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ialogsheets/sheet1.xml" ContentType="application/vnd.openxmlformats-officedocument.spreadsheetml.dialogsheet+xml"/>
  <Override PartName="/xl/dialogsheets/sheet2.xml" ContentType="application/vnd.openxmlformats-officedocument.spreadsheetml.dialogsheet+xml"/>
  <Override PartName="/xl/dialogsheets/sheet3.xml" ContentType="application/vnd.openxmlformats-officedocument.spreadsheetml.dialogsheet+xml"/>
  <Override PartName="/xl/dialogsheets/sheet4.xml" ContentType="application/vnd.openxmlformats-officedocument.spreadsheetml.dialog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trlProps/ctrlProp69.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saveExternalLinkValues="0" codeName="ThisWorkbook"/>
  <mc:AlternateContent xmlns:mc="http://schemas.openxmlformats.org/markup-compatibility/2006">
    <mc:Choice Requires="x15">
      <x15ac:absPath xmlns:x15ac="http://schemas.microsoft.com/office/spreadsheetml/2010/11/ac" url="C:\Users\havli\AppData\Local\Temp\"/>
    </mc:Choice>
  </mc:AlternateContent>
  <xr:revisionPtr revIDLastSave="0" documentId="8_{6325BB4F-1281-4104-A201-7389E625B36A}" xr6:coauthVersionLast="47" xr6:coauthVersionMax="47" xr10:uidLastSave="{00000000-0000-0000-0000-000000000000}"/>
  <bookViews>
    <workbookView xWindow="-120" yWindow="-120" windowWidth="38640" windowHeight="15720" tabRatio="831" activeTab="6"/>
  </bookViews>
  <sheets>
    <sheet name="MAIN" sheetId="2" r:id="rId1"/>
    <sheet name="Henwood Reference" sheetId="21" r:id="rId2"/>
    <sheet name="Tejon" sheetId="23" r:id="rId3"/>
    <sheet name="Returns" sheetId="20" r:id="rId4"/>
    <sheet name="Budget" sheetId="18" r:id="rId5"/>
    <sheet name="Debt" sheetId="11" r:id="rId6"/>
    <sheet name="Assumptions" sheetId="17" r:id="rId7"/>
    <sheet name="Template" sheetId="12" r:id="rId8"/>
    <sheet name="Gas Curves" sheetId="22" r:id="rId9"/>
    <sheet name="Curve Paste" sheetId="3" r:id="rId10"/>
    <sheet name="CALC" sheetId="5" r:id="rId11"/>
    <sheet name="TAKE" sheetId="4" r:id="rId12"/>
    <sheet name="Iterbox" sheetId="13" state="hidden" r:id="rId13"/>
    <sheet name="InpBox" sheetId="14" state="hidden" r:id="rId14"/>
    <sheet name="GoToBox" sheetId="15" state="hidden" r:id="rId15"/>
    <sheet name="PrintBox" sheetId="16" state="hidden" r:id="rId16"/>
  </sheets>
  <externalReferences>
    <externalReference r:id="rId17"/>
    <externalReference r:id="rId18"/>
  </externalReferences>
  <definedNames>
    <definedName name="_Order1" hidden="1">255</definedName>
    <definedName name="_Order2" hidden="1">0</definedName>
    <definedName name="ASSET_SALES">Template!$A$609:$X$622</definedName>
    <definedName name="AvailDays">CALC!$AT$17:$AW$292</definedName>
    <definedName name="BasisIndex">MAIN!$AX$18:$AX$31</definedName>
    <definedName name="BasisNumber">MAIN!$AX$16</definedName>
    <definedName name="BasisTable">'Curve Paste'!$BQ$40:$BR$316</definedName>
    <definedName name="BegDate">MAIN!$C$11</definedName>
    <definedName name="BegMonth">MAIN!$AT$50</definedName>
    <definedName name="BegYear">MAIN!$AT$51</definedName>
    <definedName name="BS">Template!$A$367:$AC$410</definedName>
    <definedName name="CalcMode">MAIN!$AT$53</definedName>
    <definedName name="CAP_TFF_FEES">Template!$A$412:$AC$481</definedName>
    <definedName name="_CAP1">Template!$A$412:$X$432</definedName>
    <definedName name="_CAP2">Template!$A$421:$X$433</definedName>
    <definedName name="CASH">Template!$I$362:$AF$364</definedName>
    <definedName name="CASH1">Template!$I$362:$I$364</definedName>
    <definedName name="CASH2">Template!$G$362:$G$364</definedName>
    <definedName name="CASHA">Template!$I$362</definedName>
    <definedName name="CASHB">Template!$I$363</definedName>
    <definedName name="CASHC">Template!$I$364</definedName>
    <definedName name="CBidOfferVolSpreadFlag">MAIN!$AP$26</definedName>
    <definedName name="CBuySell">MAIN!$AP$24</definedName>
    <definedName name="CCapVolCurve">MAIN!$AP$31</definedName>
    <definedName name="CFloorVolCurve">MAIN!$AP$30</definedName>
    <definedName name="CombineTakesFlag">MAIN!$AP$13</definedName>
    <definedName name="CorrPeakOffPeak">MAIN!$C$32</definedName>
    <definedName name="CorrPeakOffPeakOver">MAIN!$Q$27:$Q$38</definedName>
    <definedName name="CorrPeakOffPeakOverFlag">MAIN!$AP$34</definedName>
    <definedName name="CorrPowerGas">MAIN!$C$33</definedName>
    <definedName name="CorrPowerGasOver">MAIN!$R$27:$R$38</definedName>
    <definedName name="CorrPowerGasOverFlag">MAIN!$AP$35</definedName>
    <definedName name="CPriceCurve">MAIN!$AP$28</definedName>
    <definedName name="CSpec">MAIN!$AP$25</definedName>
    <definedName name="curr2" localSheetId="7">Template!$D$134</definedName>
    <definedName name="CurveDate">MAIN!$C$7</definedName>
    <definedName name="CustomHoFlag">MAIN!$AT$19</definedName>
    <definedName name="CustomHoPeriod">MAIN!$AU$19</definedName>
    <definedName name="CustomMFFlag">MAIN!$AT$16</definedName>
    <definedName name="CustomMFPeriod">MAIN!$AU$16</definedName>
    <definedName name="CustomSaFlag">MAIN!$AT$17</definedName>
    <definedName name="CustomSaPeriod">MAIN!$AU$17</definedName>
    <definedName name="CustomSuFlag">MAIN!$AT$18</definedName>
    <definedName name="CustomSuPeriod">MAIN!$AU$18</definedName>
    <definedName name="CVolSmile">MAIN!$AP$29</definedName>
    <definedName name="CVolType">MAIN!$AP$27</definedName>
    <definedName name="DailyScalarsTable">'Curve Paste'!$AT$11:$BE$34</definedName>
    <definedName name="DateToday">MAIN!$C$6</definedName>
    <definedName name="Debt_Sched">Template!$A$561:$X$580</definedName>
    <definedName name="Debt_Term">MAIN!$K$63</definedName>
    <definedName name="DEBTSCHED_THRU_TAXAS">Template!$A$561:$AC$631</definedName>
    <definedName name="DEFREV">Template!$I$415:$AF$416</definedName>
    <definedName name="DEFREV1">Template!$I$415:$I$416</definedName>
    <definedName name="DEFREV2">Template!$G$415:$G$416</definedName>
    <definedName name="DEFREVA">Template!$I$415</definedName>
    <definedName name="DEFREVB">Template!$I$416</definedName>
    <definedName name="DiffOptVolume">MAIN!$I$7</definedName>
    <definedName name="DiffOptVolumeFlag">MAIN!$AP$8</definedName>
    <definedName name="DiffOptVolumeHourlyOver">MAIN!$V$34:$Y$57</definedName>
    <definedName name="DiffOptVolumeMonthlyOver">MAIN!$Q$8:$Q$19</definedName>
    <definedName name="DILUTION">Template!$A$723:$S$736</definedName>
    <definedName name="driftswitch">#REF!</definedName>
    <definedName name="EmbeddedOrigination">MAIN!$L$29</definedName>
    <definedName name="EndDate">MAIN!$C$12</definedName>
    <definedName name="FASB">Template!$A$748:$AC$780</definedName>
    <definedName name="FINFEE1A">Template!$I$303</definedName>
    <definedName name="FINFEE2A">Template!$J$303</definedName>
    <definedName name="FirmHol">TAKE!$AF$47:$BH$58</definedName>
    <definedName name="FirmSat">TAKE!$AF$19:$BH$30</definedName>
    <definedName name="FirmSun">TAKE!$AF$33:$BH$44</definedName>
    <definedName name="FirmWeek">TAKE!$AF$5:$BH$16</definedName>
    <definedName name="FundsFlow">Template!$A$448:$X$468</definedName>
    <definedName name="GasFirstMonth">'Gas Curves'!$F$6</definedName>
    <definedName name="GasPriceCurve">MAIN!$AP$32</definedName>
    <definedName name="GasTable">'Gas Curves'!$A$6:$N$289</definedName>
    <definedName name="GasTransportPercent">Assumptions!$L$33</definedName>
    <definedName name="GasVolAsPercentOfNYMEX">[1]MAIN!$F$32</definedName>
    <definedName name="GasVolCurve">MAIN!$AP$33</definedName>
    <definedName name="GasVolOver">[1]MAIN!$F$34</definedName>
    <definedName name="GasVolSpread">[1]MAIN!$F$33</definedName>
    <definedName name="HeatRateDegradation">MAIN!$AA$59:$AM$80</definedName>
    <definedName name="HeatRateOffPeak">HeatRatePeak*MAIN!$F$27</definedName>
    <definedName name="HeatRatePeak">MAIN!$F$26</definedName>
    <definedName name="Holidays">CALC!$D$17:$D$292</definedName>
    <definedName name="INCTAX">Template!$A$634:$AC$676</definedName>
    <definedName name="INPUT">Template!$A$434:$S$633</definedName>
    <definedName name="INT">Template!$A$581:$S$595</definedName>
    <definedName name="INTEXP">Template!$K$305:$AF$305</definedName>
    <definedName name="INTEXP1">Template!$I$305</definedName>
    <definedName name="INTEXP1A">Template!$I$304</definedName>
    <definedName name="INTEXP2">Template!$J$305</definedName>
    <definedName name="INTEXP2A">Template!$J$304</definedName>
    <definedName name="INTINC">Template!$J$300:$AF$300</definedName>
    <definedName name="INTINC1">Template!$I$300</definedName>
    <definedName name="INTINC1A">Template!$I$299</definedName>
    <definedName name="INTINC2">Template!$J$300</definedName>
    <definedName name="INTINC2A">Template!$J$299</definedName>
    <definedName name="IRFirstMonth">'Curve Paste'!$A$3</definedName>
    <definedName name="IRTable">'Curve Paste'!$A$3:$B$279</definedName>
    <definedName name="IS">Template!$A$283:$AC$322</definedName>
    <definedName name="iterprec">Template!$B$2</definedName>
    <definedName name="iterx">Template!$A$2</definedName>
    <definedName name="K">Template!$I$414:$AF$419</definedName>
    <definedName name="KA">Template!$I$414:$I$419</definedName>
    <definedName name="KB">Template!$F$414:$F$419</definedName>
    <definedName name="LastDateOfMonthlyVol">'Curve Paste'!#REF!</definedName>
    <definedName name="MaxMWTable">TAKE!$CP$5:$CQ$16</definedName>
    <definedName name="MonthKnockOutTable">MAIN!$AP$40:$AP$51</definedName>
    <definedName name="MostExpFlag">MAIN!$AP$11</definedName>
    <definedName name="OBuySell">MAIN!$AP$18</definedName>
    <definedName name="OCallPut">MAIN!$AP$19</definedName>
    <definedName name="OffPeakPeriod">MAIN!$AU$7</definedName>
    <definedName name="OImpVol">MAIN!$L$26</definedName>
    <definedName name="OmicronIndex">MAIN!$AW$35:$AW$44</definedName>
    <definedName name="OmicronNumber">MAIN!$BA$34</definedName>
    <definedName name="OPCO">Template!$A$4:$AC$261</definedName>
    <definedName name="OPENBS">Template!$A$483:$S$524</definedName>
    <definedName name="OPENBS_WC">Template!$A$483:$AC$552</definedName>
    <definedName name="OPriceCurve">MAIN!$AP$20</definedName>
    <definedName name="OptExpDateShift">MAIN!$R$21</definedName>
    <definedName name="OptHol">TAKE!$BK$47:$CM$58</definedName>
    <definedName name="OptSat">TAKE!$BK$19:$CM$30</definedName>
    <definedName name="OptSun">TAKE!$BK$33:$CM$44</definedName>
    <definedName name="OptWeek">TAKE!$BK$5:$CM$16</definedName>
    <definedName name="OrderedPrices">TAKE!$F$37:$AC$48</definedName>
    <definedName name="OrderedPricesSat">TAKE!$F$53:$AC$64</definedName>
    <definedName name="OrderedPricesSun">TAKE!$F$69:$AC$80</definedName>
    <definedName name="OrderedScalars">TAKE!$F$21:$AC$32</definedName>
    <definedName name="OTake">MAIN!$F$6</definedName>
    <definedName name="Other_Inc">Template!$A$598:$S$606</definedName>
    <definedName name="output" localSheetId="7">Template!$E$265:$Y$275</definedName>
    <definedName name="OVolCurve">MAIN!$AP$21</definedName>
    <definedName name="OVolOverDailyOffPeak">MAIN!$F$19</definedName>
    <definedName name="OVolOverDailyPeak">MAIN!$F$18</definedName>
    <definedName name="OVolOverMonthlyOffPeak">MAIN!$F$17</definedName>
    <definedName name="OVolOverMonthlyPeak">MAIN!$F$16</definedName>
    <definedName name="OVolSmile">MAIN!$AP$23</definedName>
    <definedName name="OVolType">MAIN!$AP$22</definedName>
    <definedName name="PeakEnd">'Curve Paste'!$AU$7</definedName>
    <definedName name="PeakPeriod">MAIN!$AU$6</definedName>
    <definedName name="PeakStart">'Curve Paste'!$AT$7</definedName>
    <definedName name="PlannedOutages">CALC!$AY$17:$AY$299</definedName>
    <definedName name="Plantstart">MAIN!$C$59</definedName>
    <definedName name="PositionBasis">'Curve Paste'!#REF!</definedName>
    <definedName name="PositionRegion">'Curve Paste'!$D$3</definedName>
    <definedName name="PriceEsc">MAIN!$L$7</definedName>
    <definedName name="PriceEscType">MAIN!$AP$10</definedName>
    <definedName name="PriceTable">'Curve Paste'!$D$40:$K$316</definedName>
    <definedName name="PriceTableWeekend">'Curve Paste'!$M$9:$T$313</definedName>
    <definedName name="_xlnm.Print_Area" localSheetId="6">Assumptions!$A$1:$M$77</definedName>
    <definedName name="_xlnm.Print_Area" localSheetId="4">Budget!$A$59:$J$95</definedName>
    <definedName name="_xlnm.Print_Area" localSheetId="10">CALC!$A$12:$GR$61</definedName>
    <definedName name="_xlnm.Print_Area" localSheetId="5">Debt!$A$1:$V$131</definedName>
    <definedName name="_xlnm.Print_Area" localSheetId="0">MAIN!$B$1:$AN$57</definedName>
    <definedName name="_xlnm.Print_Area" localSheetId="3">Returns!$A$1:$Y$24</definedName>
    <definedName name="_xlnm.Print_Area" localSheetId="2">Tejon!$A$7:$X$29</definedName>
    <definedName name="_xlnm.Print_Area" localSheetId="7">Template!$A$4:$AC$261</definedName>
    <definedName name="_xlnm.Print_Titles" localSheetId="10">CALC!$A:$A</definedName>
    <definedName name="_xlnm.Print_Titles" localSheetId="7">Template!$4:$5</definedName>
    <definedName name="RankOffPeak">TAKE!$V$5:$AC$16</definedName>
    <definedName name="RankPeak">TAKE!$F$5:$U$16</definedName>
    <definedName name="RegionIndex">MAIN!$AU$23:$AU$47</definedName>
    <definedName name="RegionNumber">MAIN!$AU$21</definedName>
    <definedName name="REPAY">Template!$A$561:$S$580</definedName>
    <definedName name="S_U">Template!$A$327:$AC$365</definedName>
    <definedName name="SBuySell">MAIN!$AP$14</definedName>
    <definedName name="ScalarsOrderedOffPeak">TAKE!$V$21:$AC$32</definedName>
    <definedName name="ScalarsOrderedPeak">TAKE!$F$21:$U$32</definedName>
    <definedName name="SOBuySell">MAIN!$AP$15</definedName>
    <definedName name="SOCallPut">MAIN!$AP$16</definedName>
    <definedName name="SOPriceCurve">MAIN!$AP$17</definedName>
    <definedName name="SpreadOptPowerMargin">MAIN!$F$28+MAIN!$F$29</definedName>
    <definedName name="STake">MAIN!$F$5</definedName>
    <definedName name="stub" localSheetId="7">Template!$H$278</definedName>
    <definedName name="TakeType">MAIN!$AP$12</definedName>
    <definedName name="TAX">Template!$A$625:$S$629</definedName>
    <definedName name="TDATE">Template!$C$437</definedName>
    <definedName name="TIT" localSheetId="7">Template!$F$5</definedName>
    <definedName name="TRANSACTION_FEES">Template!$A$471:$T$480</definedName>
    <definedName name="VAL">Template!$A$680:$AC$721</definedName>
    <definedName name="VolatilityTable">'Curve Paste'!$M$9:$AN$294</definedName>
    <definedName name="VolSmileBook">'Curve Paste'!$AS$37:$AT$57</definedName>
    <definedName name="VolSmileModel">'Curve Paste'!#REF!</definedName>
    <definedName name="VolTableDailyOffPeak">'Curve Paste'!#REF!</definedName>
    <definedName name="VolTableDailyPeak">'Curve Paste'!#REF!</definedName>
    <definedName name="VolTableDailyPeakSat">'Curve Paste'!#REF!</definedName>
    <definedName name="VolTableDailyPeakSun">'Curve Paste'!#REF!</definedName>
    <definedName name="VolTableMonthlyOffPeak">'Curve Paste'!#REF!</definedName>
    <definedName name="VolTableMonthlyPeak">'Curve Paste'!#REF!</definedName>
    <definedName name="VolTableMonthlyPeakSat">'Curve Paste'!#REF!</definedName>
    <definedName name="VolTableMonthlyPeakSun">'Curve Paste'!#REF!</definedName>
    <definedName name="VolTableYearlyOffPeak">'Curve Paste'!#REF!</definedName>
    <definedName name="VolTableYearlyPeak">'Curve Paste'!#REF!</definedName>
    <definedName name="VolTableYearlyPeakSat">'Curve Paste'!#REF!</definedName>
    <definedName name="VolTableYearlyPeakSun">'Curve Paste'!#REF!</definedName>
    <definedName name="Volume">MAIN!$I$5</definedName>
    <definedName name="VolumeEsc">MAIN!$L$5</definedName>
    <definedName name="VolumeEscType">MAIN!$AP$9</definedName>
    <definedName name="VolumeHourlyOver">MAIN!$V$7:$Y$30</definedName>
    <definedName name="VolumeMonthlyOver">MAIN!$P$8:$P$19</definedName>
    <definedName name="VolumeMonthlyOverFlag">MAIN!$AP$7</definedName>
    <definedName name="waitime">Template!$A$3</definedName>
    <definedName name="WC">Template!$A$528:$S$560</definedName>
    <definedName name="WeatherCapacityAdjustment">MAIN!$AA$84:$AC$95</definedName>
    <definedName name="WeatherHeatRateAdjustment">MAIN!$AG$84:$AI$95</definedName>
    <definedName name="WeekDef">MAIN!$AS$7</definedName>
    <definedName name="YearOffset">[2]OffsetLookup!$B$6:$D$27</definedName>
    <definedName name="ZA0">"Crystal Ball Data : Ver. 4.0"</definedName>
    <definedName name="ZA0A">479+842</definedName>
    <definedName name="ZA0C">0+0</definedName>
    <definedName name="ZA0F">2+109</definedName>
    <definedName name="ZA0T">43347870+0</definedName>
  </definedNames>
  <calcPr calcId="0" calcMode="manual" fullCalcOnLoad="1" iterate="1" iterateCount="3"/>
</workbook>
</file>

<file path=xl/calcChain.xml><?xml version="1.0" encoding="utf-8"?>
<calcChain xmlns="http://schemas.openxmlformats.org/spreadsheetml/2006/main">
  <c r="G8" i="17" l="1"/>
  <c r="H8" i="17"/>
  <c r="I8" i="17"/>
  <c r="L8" i="17"/>
  <c r="M8" i="17"/>
  <c r="M9" i="17"/>
  <c r="B11" i="17"/>
  <c r="C11" i="17"/>
  <c r="H11" i="17"/>
  <c r="K12" i="17"/>
  <c r="L13" i="17"/>
  <c r="L14" i="17"/>
  <c r="M14" i="17"/>
  <c r="L15" i="17"/>
  <c r="M15" i="17"/>
  <c r="L16" i="17"/>
  <c r="M16" i="17"/>
  <c r="M17" i="17"/>
  <c r="G22" i="17"/>
  <c r="C23" i="17"/>
  <c r="H26" i="17"/>
  <c r="I26" i="17"/>
  <c r="H27" i="17"/>
  <c r="I27" i="17"/>
  <c r="H28" i="17"/>
  <c r="I28" i="17"/>
  <c r="H29" i="17"/>
  <c r="I29" i="17"/>
  <c r="H30" i="17"/>
  <c r="I30" i="17"/>
  <c r="H31" i="17"/>
  <c r="L32" i="17"/>
  <c r="H33" i="17"/>
  <c r="I33" i="17"/>
  <c r="C34" i="17"/>
  <c r="H34" i="17"/>
  <c r="I34" i="17"/>
  <c r="H35" i="17"/>
  <c r="I35" i="17"/>
  <c r="H36" i="17"/>
  <c r="I36" i="17"/>
  <c r="H37" i="17"/>
  <c r="I37" i="17"/>
  <c r="H38" i="17"/>
  <c r="I38" i="17"/>
  <c r="M38" i="17"/>
  <c r="C39" i="17"/>
  <c r="H39" i="17"/>
  <c r="M39" i="17"/>
  <c r="C40" i="17"/>
  <c r="H40" i="17"/>
  <c r="M40" i="17"/>
  <c r="C41" i="17"/>
  <c r="H41" i="17"/>
  <c r="I41" i="17"/>
  <c r="M43" i="17"/>
  <c r="I44" i="17"/>
  <c r="M44" i="17"/>
  <c r="C45" i="17"/>
  <c r="H45" i="17"/>
  <c r="M48" i="17"/>
  <c r="C50" i="17"/>
  <c r="H50" i="17"/>
  <c r="I50" i="17"/>
  <c r="M50" i="17"/>
  <c r="H51" i="17"/>
  <c r="I51" i="17"/>
  <c r="M51" i="17"/>
  <c r="C52" i="17"/>
  <c r="G52" i="17"/>
  <c r="I52" i="17"/>
  <c r="M52" i="17"/>
  <c r="M53" i="17"/>
  <c r="G54" i="17"/>
  <c r="H54" i="17"/>
  <c r="I54" i="17"/>
  <c r="I55" i="17"/>
  <c r="C56" i="17"/>
  <c r="F56" i="17"/>
  <c r="M58" i="17"/>
  <c r="H59" i="17"/>
  <c r="M59" i="17"/>
  <c r="H60" i="17"/>
  <c r="M60" i="17"/>
  <c r="H61" i="17"/>
  <c r="H62" i="17"/>
  <c r="H63" i="17"/>
  <c r="M64" i="17"/>
  <c r="M65" i="17"/>
  <c r="M66" i="17"/>
  <c r="M69" i="17"/>
  <c r="M70" i="17"/>
  <c r="M72" i="17"/>
  <c r="M73" i="17"/>
  <c r="M74" i="17"/>
  <c r="M75" i="17"/>
  <c r="M76" i="17"/>
  <c r="M77" i="17"/>
  <c r="M78" i="17"/>
  <c r="M79" i="17"/>
  <c r="M80" i="17"/>
  <c r="Y5" i="18"/>
  <c r="Z5" i="18"/>
  <c r="AA5" i="18"/>
  <c r="AB5" i="18"/>
  <c r="AC5" i="18"/>
  <c r="AD5" i="18"/>
  <c r="AE5" i="18"/>
  <c r="AF5" i="18"/>
  <c r="AG5" i="18"/>
  <c r="AH5" i="18"/>
  <c r="AI5" i="18"/>
  <c r="AJ5" i="18"/>
  <c r="AK5" i="18"/>
  <c r="AL5" i="18"/>
  <c r="AM5" i="18"/>
  <c r="AN5" i="18"/>
  <c r="AO5" i="18"/>
  <c r="AP5" i="18"/>
  <c r="AQ5" i="18"/>
  <c r="AS5" i="18"/>
  <c r="AT5" i="18"/>
  <c r="B7" i="18"/>
  <c r="B8" i="18"/>
  <c r="E8" i="18"/>
  <c r="F8" i="18"/>
  <c r="G8" i="18"/>
  <c r="H8" i="18"/>
  <c r="I8" i="18"/>
  <c r="J8" i="18"/>
  <c r="K8" i="18"/>
  <c r="L8" i="18"/>
  <c r="M8" i="18"/>
  <c r="Q8" i="18"/>
  <c r="R8" i="18"/>
  <c r="S8" i="18"/>
  <c r="T8" i="18"/>
  <c r="U8" i="18"/>
  <c r="V8" i="18"/>
  <c r="W8" i="18"/>
  <c r="X8" i="18"/>
  <c r="B9" i="18"/>
  <c r="B10" i="18"/>
  <c r="B11" i="18"/>
  <c r="B12" i="18"/>
  <c r="B13" i="18"/>
  <c r="B14" i="18"/>
  <c r="E14" i="18"/>
  <c r="F14" i="18"/>
  <c r="G14" i="18"/>
  <c r="H14" i="18"/>
  <c r="I14" i="18"/>
  <c r="J14" i="18"/>
  <c r="K14" i="18"/>
  <c r="L14" i="18"/>
  <c r="M14" i="18"/>
  <c r="N14" i="18"/>
  <c r="Q14" i="18"/>
  <c r="R14" i="18"/>
  <c r="S14" i="18"/>
  <c r="T14" i="18"/>
  <c r="U14" i="18"/>
  <c r="V14" i="18"/>
  <c r="W14" i="18"/>
  <c r="X14" i="18"/>
  <c r="B15" i="18"/>
  <c r="E15" i="18"/>
  <c r="F15" i="18"/>
  <c r="G15" i="18"/>
  <c r="H15" i="18"/>
  <c r="I15" i="18"/>
  <c r="J15" i="18"/>
  <c r="K15" i="18"/>
  <c r="L15" i="18"/>
  <c r="M15" i="18"/>
  <c r="Q15" i="18"/>
  <c r="R15" i="18"/>
  <c r="S15" i="18"/>
  <c r="T15" i="18"/>
  <c r="U15" i="18"/>
  <c r="V15" i="18"/>
  <c r="W15" i="18"/>
  <c r="X15" i="18"/>
  <c r="B16" i="18"/>
  <c r="B17" i="18"/>
  <c r="D17" i="18"/>
  <c r="E17" i="18"/>
  <c r="F17" i="18"/>
  <c r="G17" i="18"/>
  <c r="H17" i="18"/>
  <c r="I17" i="18"/>
  <c r="J17" i="18"/>
  <c r="K17" i="18"/>
  <c r="L17" i="18"/>
  <c r="M17" i="18"/>
  <c r="N17" i="18"/>
  <c r="O17" i="18"/>
  <c r="P17" i="18"/>
  <c r="Q17" i="18"/>
  <c r="R17" i="18"/>
  <c r="S17" i="18"/>
  <c r="T17" i="18"/>
  <c r="U17" i="18"/>
  <c r="V17" i="18"/>
  <c r="W17" i="18"/>
  <c r="X17" i="18"/>
  <c r="B18" i="18"/>
  <c r="N18" i="18"/>
  <c r="O18" i="18"/>
  <c r="P18" i="18"/>
  <c r="Q18" i="18"/>
  <c r="R18" i="18"/>
  <c r="S18" i="18"/>
  <c r="T18" i="18"/>
  <c r="U18" i="18"/>
  <c r="V18" i="18"/>
  <c r="W18" i="18"/>
  <c r="X18" i="18"/>
  <c r="B19" i="18"/>
  <c r="B20" i="18"/>
  <c r="D20" i="18"/>
  <c r="E20" i="18"/>
  <c r="F20" i="18"/>
  <c r="G20" i="18"/>
  <c r="H20" i="18"/>
  <c r="I20" i="18"/>
  <c r="J20" i="18"/>
  <c r="K20" i="18"/>
  <c r="L20" i="18"/>
  <c r="M20" i="18"/>
  <c r="N20" i="18"/>
  <c r="O20" i="18"/>
  <c r="P20" i="18"/>
  <c r="Q20" i="18"/>
  <c r="R20" i="18"/>
  <c r="S20" i="18"/>
  <c r="T20" i="18"/>
  <c r="U20" i="18"/>
  <c r="V20" i="18"/>
  <c r="W20" i="18"/>
  <c r="X20" i="18"/>
  <c r="B21" i="18"/>
  <c r="Q21" i="18"/>
  <c r="R21" i="18"/>
  <c r="S21" i="18"/>
  <c r="T21" i="18"/>
  <c r="U21" i="18"/>
  <c r="V21" i="18"/>
  <c r="W21" i="18"/>
  <c r="X21" i="18"/>
  <c r="B22" i="18"/>
  <c r="C22" i="18"/>
  <c r="D22" i="18"/>
  <c r="E22" i="18"/>
  <c r="F22" i="18"/>
  <c r="G22" i="18"/>
  <c r="H22" i="18"/>
  <c r="I22" i="18"/>
  <c r="J22" i="18"/>
  <c r="K22" i="18"/>
  <c r="L22" i="18"/>
  <c r="M22" i="18"/>
  <c r="N22" i="18"/>
  <c r="O22" i="18"/>
  <c r="P22" i="18"/>
  <c r="Q22" i="18"/>
  <c r="R22" i="18"/>
  <c r="S22" i="18"/>
  <c r="T22" i="18"/>
  <c r="U22" i="18"/>
  <c r="V22" i="18"/>
  <c r="W22" i="18"/>
  <c r="X22" i="18"/>
  <c r="B25" i="18"/>
  <c r="E25" i="18"/>
  <c r="F25" i="18"/>
  <c r="G25" i="18"/>
  <c r="H25" i="18"/>
  <c r="I25" i="18"/>
  <c r="J25" i="18"/>
  <c r="K25" i="18"/>
  <c r="L25" i="18"/>
  <c r="M25" i="18"/>
  <c r="O25" i="18"/>
  <c r="P25" i="18"/>
  <c r="Q25" i="18"/>
  <c r="R25" i="18"/>
  <c r="T25" i="18"/>
  <c r="V25" i="18"/>
  <c r="B26" i="18"/>
  <c r="C26" i="18"/>
  <c r="D26" i="18"/>
  <c r="E26" i="18"/>
  <c r="F26" i="18"/>
  <c r="G26" i="18"/>
  <c r="H26" i="18"/>
  <c r="I26" i="18"/>
  <c r="J26" i="18"/>
  <c r="K26" i="18"/>
  <c r="L26" i="18"/>
  <c r="M26" i="18"/>
  <c r="N26" i="18"/>
  <c r="O26" i="18"/>
  <c r="P26" i="18"/>
  <c r="Q26" i="18"/>
  <c r="R26" i="18"/>
  <c r="S26" i="18"/>
  <c r="T26" i="18"/>
  <c r="U26" i="18"/>
  <c r="V26" i="18"/>
  <c r="W26" i="18"/>
  <c r="X26" i="18"/>
  <c r="B27" i="18"/>
  <c r="C27" i="18"/>
  <c r="D27" i="18"/>
  <c r="E27" i="18"/>
  <c r="F27" i="18"/>
  <c r="G27" i="18"/>
  <c r="H27" i="18"/>
  <c r="I27" i="18"/>
  <c r="J27" i="18"/>
  <c r="K27" i="18"/>
  <c r="L27" i="18"/>
  <c r="M27" i="18"/>
  <c r="N27" i="18"/>
  <c r="O27" i="18"/>
  <c r="P27" i="18"/>
  <c r="Q27" i="18"/>
  <c r="R27" i="18"/>
  <c r="S27" i="18"/>
  <c r="T27" i="18"/>
  <c r="U27" i="18"/>
  <c r="V27" i="18"/>
  <c r="W27" i="18"/>
  <c r="X27" i="18"/>
  <c r="B29" i="18"/>
  <c r="C29" i="18"/>
  <c r="D29" i="18"/>
  <c r="E29" i="18"/>
  <c r="F29" i="18"/>
  <c r="G29" i="18"/>
  <c r="H29" i="18"/>
  <c r="I29" i="18"/>
  <c r="J29" i="18"/>
  <c r="K29" i="18"/>
  <c r="L29" i="18"/>
  <c r="M29" i="18"/>
  <c r="N29" i="18"/>
  <c r="O29" i="18"/>
  <c r="P29" i="18"/>
  <c r="Q29" i="18"/>
  <c r="R29" i="18"/>
  <c r="S29" i="18"/>
  <c r="T29" i="18"/>
  <c r="U29" i="18"/>
  <c r="V29" i="18"/>
  <c r="W29" i="18"/>
  <c r="X29" i="18"/>
  <c r="B32" i="18"/>
  <c r="C32" i="18"/>
  <c r="D32" i="18"/>
  <c r="E32" i="18"/>
  <c r="F32" i="18"/>
  <c r="G32" i="18"/>
  <c r="H32" i="18"/>
  <c r="I32" i="18"/>
  <c r="J32" i="18"/>
  <c r="K32" i="18"/>
  <c r="L32" i="18"/>
  <c r="M32" i="18"/>
  <c r="N32" i="18"/>
  <c r="O32" i="18"/>
  <c r="P32" i="18"/>
  <c r="Q32" i="18"/>
  <c r="R32" i="18"/>
  <c r="S32" i="18"/>
  <c r="T32" i="18"/>
  <c r="U32" i="18"/>
  <c r="V32" i="18"/>
  <c r="W32" i="18"/>
  <c r="X32" i="18"/>
  <c r="B33" i="18"/>
  <c r="C33" i="18"/>
  <c r="D33" i="18"/>
  <c r="E33" i="18"/>
  <c r="F33" i="18"/>
  <c r="G33" i="18"/>
  <c r="H33" i="18"/>
  <c r="I33" i="18"/>
  <c r="J33" i="18"/>
  <c r="K33" i="18"/>
  <c r="L33" i="18"/>
  <c r="M33" i="18"/>
  <c r="N33" i="18"/>
  <c r="O33" i="18"/>
  <c r="P33" i="18"/>
  <c r="Q33" i="18"/>
  <c r="R33" i="18"/>
  <c r="S33" i="18"/>
  <c r="T33" i="18"/>
  <c r="U33" i="18"/>
  <c r="V33" i="18"/>
  <c r="W33" i="18"/>
  <c r="X33" i="18"/>
  <c r="B34" i="18"/>
  <c r="U34" i="18"/>
  <c r="V34" i="18"/>
  <c r="W34" i="18"/>
  <c r="X34" i="18"/>
  <c r="B35" i="18"/>
  <c r="B36" i="18"/>
  <c r="C36" i="18"/>
  <c r="D36" i="18"/>
  <c r="E36" i="18"/>
  <c r="F36" i="18"/>
  <c r="G36" i="18"/>
  <c r="H36" i="18"/>
  <c r="I36" i="18"/>
  <c r="J36" i="18"/>
  <c r="K36" i="18"/>
  <c r="L36" i="18"/>
  <c r="M36" i="18"/>
  <c r="N36" i="18"/>
  <c r="O36" i="18"/>
  <c r="P36" i="18"/>
  <c r="Q36" i="18"/>
  <c r="R36" i="18"/>
  <c r="S36" i="18"/>
  <c r="T36" i="18"/>
  <c r="U36" i="18"/>
  <c r="V36" i="18"/>
  <c r="W36" i="18"/>
  <c r="X36" i="18"/>
  <c r="B37" i="18"/>
  <c r="C37" i="18"/>
  <c r="D37" i="18"/>
  <c r="E37" i="18"/>
  <c r="F37" i="18"/>
  <c r="G37" i="18"/>
  <c r="H37" i="18"/>
  <c r="I37" i="18"/>
  <c r="J37" i="18"/>
  <c r="K37" i="18"/>
  <c r="L37" i="18"/>
  <c r="M37" i="18"/>
  <c r="N37" i="18"/>
  <c r="O37" i="18"/>
  <c r="P37" i="18"/>
  <c r="Q37" i="18"/>
  <c r="R37" i="18"/>
  <c r="S37" i="18"/>
  <c r="T37" i="18"/>
  <c r="U37" i="18"/>
  <c r="V37" i="18"/>
  <c r="W37" i="18"/>
  <c r="X37" i="18"/>
  <c r="B40" i="18"/>
  <c r="C40" i="18"/>
  <c r="D40" i="18"/>
  <c r="E40" i="18"/>
  <c r="F40" i="18"/>
  <c r="G40" i="18"/>
  <c r="H40" i="18"/>
  <c r="I40" i="18"/>
  <c r="J40" i="18"/>
  <c r="K40" i="18"/>
  <c r="L40" i="18"/>
  <c r="M40" i="18"/>
  <c r="N40" i="18"/>
  <c r="O40" i="18"/>
  <c r="P40" i="18"/>
  <c r="Q40" i="18"/>
  <c r="R40" i="18"/>
  <c r="S40" i="18"/>
  <c r="T40" i="18"/>
  <c r="U40" i="18"/>
  <c r="V40" i="18"/>
  <c r="W40" i="18"/>
  <c r="X40" i="18"/>
  <c r="B42" i="18"/>
  <c r="B43"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C45" i="18"/>
  <c r="D45" i="18"/>
  <c r="E45" i="18"/>
  <c r="F45" i="18"/>
  <c r="G45" i="18"/>
  <c r="H45" i="18"/>
  <c r="I45" i="18"/>
  <c r="J45" i="18"/>
  <c r="K45" i="18"/>
  <c r="L45" i="18"/>
  <c r="M45" i="18"/>
  <c r="N45" i="18"/>
  <c r="O45" i="18"/>
  <c r="P45" i="18"/>
  <c r="Q45" i="18"/>
  <c r="R45" i="18"/>
  <c r="S45" i="18"/>
  <c r="T45" i="18"/>
  <c r="U45" i="18"/>
  <c r="V45" i="18"/>
  <c r="W45" i="18"/>
  <c r="X45" i="18"/>
  <c r="B46" i="18"/>
  <c r="Y46" i="18"/>
  <c r="B47" i="18"/>
  <c r="C50" i="18"/>
  <c r="C51" i="18"/>
  <c r="C52" i="18"/>
  <c r="C53" i="18"/>
  <c r="C54" i="18"/>
  <c r="C56" i="18"/>
  <c r="C57" i="18"/>
  <c r="A65" i="18"/>
  <c r="B65" i="18"/>
  <c r="C65" i="18"/>
  <c r="D65" i="18"/>
  <c r="E65" i="18"/>
  <c r="F65" i="18"/>
  <c r="G65" i="18"/>
  <c r="H65" i="18"/>
  <c r="I65" i="18"/>
  <c r="J65" i="18"/>
  <c r="A66" i="18"/>
  <c r="B66" i="18"/>
  <c r="C66" i="18"/>
  <c r="D66" i="18"/>
  <c r="E66" i="18"/>
  <c r="F66" i="18"/>
  <c r="G66" i="18"/>
  <c r="H66" i="18"/>
  <c r="I66" i="18"/>
  <c r="J66" i="18"/>
  <c r="A67" i="18"/>
  <c r="B67" i="18"/>
  <c r="C67" i="18"/>
  <c r="D67" i="18"/>
  <c r="E67" i="18"/>
  <c r="F67" i="18"/>
  <c r="G67" i="18"/>
  <c r="H67" i="18"/>
  <c r="I67" i="18"/>
  <c r="J67" i="18"/>
  <c r="B68" i="18"/>
  <c r="C68" i="18"/>
  <c r="D68" i="18"/>
  <c r="E68" i="18"/>
  <c r="F68" i="18"/>
  <c r="G68" i="18"/>
  <c r="H68" i="18"/>
  <c r="I68" i="18"/>
  <c r="J68" i="18"/>
  <c r="A69" i="18"/>
  <c r="B69" i="18"/>
  <c r="C69" i="18"/>
  <c r="D69" i="18"/>
  <c r="E69" i="18"/>
  <c r="F69" i="18"/>
  <c r="G69" i="18"/>
  <c r="H69" i="18"/>
  <c r="I69" i="18"/>
  <c r="J69" i="18"/>
  <c r="A70" i="18"/>
  <c r="B70" i="18"/>
  <c r="C70" i="18"/>
  <c r="D70" i="18"/>
  <c r="E70" i="18"/>
  <c r="F70" i="18"/>
  <c r="G70" i="18"/>
  <c r="H70" i="18"/>
  <c r="I70" i="18"/>
  <c r="J70" i="18"/>
  <c r="A71" i="18"/>
  <c r="B71" i="18"/>
  <c r="C71" i="18"/>
  <c r="D71" i="18"/>
  <c r="E71" i="18"/>
  <c r="F71" i="18"/>
  <c r="G71" i="18"/>
  <c r="H71" i="18"/>
  <c r="I71" i="18"/>
  <c r="J71" i="18"/>
  <c r="A72" i="18"/>
  <c r="B72" i="18"/>
  <c r="C72" i="18"/>
  <c r="D72" i="18"/>
  <c r="E72" i="18"/>
  <c r="F72" i="18"/>
  <c r="G72" i="18"/>
  <c r="H72" i="18"/>
  <c r="I72" i="18"/>
  <c r="J72" i="18"/>
  <c r="A73" i="18"/>
  <c r="B73" i="18"/>
  <c r="C73" i="18"/>
  <c r="D73" i="18"/>
  <c r="E73" i="18"/>
  <c r="F73" i="18"/>
  <c r="G73" i="18"/>
  <c r="H73" i="18"/>
  <c r="I73" i="18"/>
  <c r="J73" i="18"/>
  <c r="A74" i="18"/>
  <c r="B74" i="18"/>
  <c r="C74" i="18"/>
  <c r="D74" i="18"/>
  <c r="E74" i="18"/>
  <c r="F74" i="18"/>
  <c r="G74" i="18"/>
  <c r="H74" i="18"/>
  <c r="I74" i="18"/>
  <c r="J74" i="18"/>
  <c r="A75" i="18"/>
  <c r="B75" i="18"/>
  <c r="C75" i="18"/>
  <c r="D75" i="18"/>
  <c r="E75" i="18"/>
  <c r="F75" i="18"/>
  <c r="G75" i="18"/>
  <c r="H75" i="18"/>
  <c r="I75" i="18"/>
  <c r="J75" i="18"/>
  <c r="A76" i="18"/>
  <c r="B76" i="18"/>
  <c r="C76" i="18"/>
  <c r="D76" i="18"/>
  <c r="E76" i="18"/>
  <c r="F76" i="18"/>
  <c r="G76" i="18"/>
  <c r="H76" i="18"/>
  <c r="I76" i="18"/>
  <c r="J76" i="18"/>
  <c r="A77" i="18"/>
  <c r="B77" i="18"/>
  <c r="C77" i="18"/>
  <c r="D77" i="18"/>
  <c r="E77" i="18"/>
  <c r="F77" i="18"/>
  <c r="G77" i="18"/>
  <c r="H77" i="18"/>
  <c r="I77" i="18"/>
  <c r="J77" i="18"/>
  <c r="A78" i="18"/>
  <c r="B78" i="18"/>
  <c r="C78" i="18"/>
  <c r="D78" i="18"/>
  <c r="E78" i="18"/>
  <c r="F78" i="18"/>
  <c r="G78" i="18"/>
  <c r="H78" i="18"/>
  <c r="I78" i="18"/>
  <c r="J78" i="18"/>
  <c r="A79" i="18"/>
  <c r="B79" i="18"/>
  <c r="C79" i="18"/>
  <c r="D79" i="18"/>
  <c r="E79" i="18"/>
  <c r="F79" i="18"/>
  <c r="G79" i="18"/>
  <c r="H79" i="18"/>
  <c r="I79" i="18"/>
  <c r="J79" i="18"/>
  <c r="B80" i="18"/>
  <c r="C80" i="18"/>
  <c r="D80" i="18"/>
  <c r="E80" i="18"/>
  <c r="F80" i="18"/>
  <c r="G80" i="18"/>
  <c r="H80" i="18"/>
  <c r="I80" i="18"/>
  <c r="J80" i="18"/>
  <c r="B82" i="18"/>
  <c r="C82" i="18"/>
  <c r="D82" i="18"/>
  <c r="E82" i="18"/>
  <c r="F82" i="18"/>
  <c r="G82" i="18"/>
  <c r="H82" i="18"/>
  <c r="I82" i="18"/>
  <c r="J82" i="18"/>
  <c r="B84" i="18"/>
  <c r="C84" i="18"/>
  <c r="D84" i="18"/>
  <c r="E84" i="18"/>
  <c r="F84" i="18"/>
  <c r="G84" i="18"/>
  <c r="H84" i="18"/>
  <c r="I84" i="18"/>
  <c r="J84" i="18"/>
  <c r="A87" i="18"/>
  <c r="B87" i="18"/>
  <c r="C87" i="18"/>
  <c r="D87" i="18"/>
  <c r="E87" i="18"/>
  <c r="F87" i="18"/>
  <c r="G87" i="18"/>
  <c r="H87" i="18"/>
  <c r="I87" i="18"/>
  <c r="J87" i="18"/>
  <c r="A88" i="18"/>
  <c r="B88" i="18"/>
  <c r="C88" i="18"/>
  <c r="D88" i="18"/>
  <c r="E88" i="18"/>
  <c r="F88" i="18"/>
  <c r="G88" i="18"/>
  <c r="H88" i="18"/>
  <c r="I88" i="18"/>
  <c r="J88" i="18"/>
  <c r="A89" i="18"/>
  <c r="B89" i="18"/>
  <c r="C89" i="18"/>
  <c r="D89" i="18"/>
  <c r="E89" i="18"/>
  <c r="F89" i="18"/>
  <c r="G89" i="18"/>
  <c r="H89" i="18"/>
  <c r="I89" i="18"/>
  <c r="J89" i="18"/>
  <c r="A90" i="18"/>
  <c r="B90" i="18"/>
  <c r="C90" i="18"/>
  <c r="D90" i="18"/>
  <c r="E90" i="18"/>
  <c r="F90" i="18"/>
  <c r="G90" i="18"/>
  <c r="H90" i="18"/>
  <c r="I90" i="18"/>
  <c r="J90" i="18"/>
  <c r="B91" i="18"/>
  <c r="C91" i="18"/>
  <c r="D91" i="18"/>
  <c r="E91" i="18"/>
  <c r="F91" i="18"/>
  <c r="G91" i="18"/>
  <c r="H91" i="18"/>
  <c r="I91" i="18"/>
  <c r="J91" i="18"/>
  <c r="B92" i="18"/>
  <c r="C92" i="18"/>
  <c r="D92" i="18"/>
  <c r="E92" i="18"/>
  <c r="F92" i="18"/>
  <c r="G92" i="18"/>
  <c r="H92" i="18"/>
  <c r="I92" i="18"/>
  <c r="J92" i="18"/>
  <c r="B94" i="18"/>
  <c r="C94" i="18"/>
  <c r="D94" i="18"/>
  <c r="E94" i="18"/>
  <c r="F94" i="18"/>
  <c r="G94" i="18"/>
  <c r="H94" i="18"/>
  <c r="I94" i="18"/>
  <c r="J94" i="18"/>
  <c r="D95" i="18"/>
  <c r="E95" i="18"/>
  <c r="F95" i="18"/>
  <c r="G95" i="18"/>
  <c r="H95" i="18"/>
  <c r="I95" i="18"/>
  <c r="J95" i="18"/>
  <c r="I1" i="5"/>
  <c r="J1" i="5"/>
  <c r="K1" i="5"/>
  <c r="L1" i="5"/>
  <c r="M1" i="5"/>
  <c r="N1" i="5"/>
  <c r="O1" i="5"/>
  <c r="P1" i="5"/>
  <c r="Q1" i="5"/>
  <c r="R1" i="5"/>
  <c r="S1" i="5"/>
  <c r="T1" i="5"/>
  <c r="H5" i="5"/>
  <c r="DM11" i="5"/>
  <c r="DN11" i="5"/>
  <c r="DO11" i="5"/>
  <c r="DP11" i="5"/>
  <c r="DQ11" i="5"/>
  <c r="DR11" i="5"/>
  <c r="DS11" i="5"/>
  <c r="DT11" i="5"/>
  <c r="DU11" i="5"/>
  <c r="DV11" i="5"/>
  <c r="I12" i="5"/>
  <c r="DQ14" i="5"/>
  <c r="DV14" i="5"/>
  <c r="ED14" i="5"/>
  <c r="EI14" i="5"/>
  <c r="EN14" i="5"/>
  <c r="ES14" i="5"/>
  <c r="D16" i="5"/>
  <c r="AZ16" i="5"/>
  <c r="BA16" i="5"/>
  <c r="BB16" i="5"/>
  <c r="BC16" i="5"/>
  <c r="BH16" i="5"/>
  <c r="BI16" i="5"/>
  <c r="BJ16" i="5"/>
  <c r="BK16" i="5"/>
  <c r="FE16" i="5"/>
  <c r="FF16" i="5"/>
  <c r="FG16" i="5"/>
  <c r="FH16" i="5"/>
  <c r="FL16" i="5"/>
  <c r="FM16" i="5"/>
  <c r="FN16" i="5"/>
  <c r="FO16" i="5"/>
  <c r="FP16" i="5"/>
  <c r="FQ16" i="5"/>
  <c r="FR16" i="5"/>
  <c r="FS16" i="5"/>
  <c r="FT16" i="5"/>
  <c r="FU16" i="5"/>
  <c r="FV16" i="5"/>
  <c r="FW16" i="5"/>
  <c r="FX16" i="5"/>
  <c r="FY16" i="5"/>
  <c r="FZ16" i="5"/>
  <c r="GA16" i="5"/>
  <c r="GL16" i="5"/>
  <c r="GM16" i="5"/>
  <c r="GN16" i="5"/>
  <c r="GO16" i="5"/>
  <c r="A17" i="5"/>
  <c r="B17" i="5"/>
  <c r="C17" i="5"/>
  <c r="D17" i="5"/>
  <c r="E17" i="5"/>
  <c r="F17" i="5"/>
  <c r="H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AZ17" i="5" a="1"/>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HH17" i="5"/>
  <c r="HI17" i="5"/>
  <c r="HJ17" i="5"/>
  <c r="HK17" i="5"/>
  <c r="HL17" i="5"/>
  <c r="HM17" i="5"/>
  <c r="HO17" i="5"/>
  <c r="HP17" i="5"/>
  <c r="HQ17" i="5"/>
  <c r="HR17" i="5"/>
  <c r="HS17" i="5"/>
  <c r="HT17" i="5"/>
  <c r="HU17" i="5"/>
  <c r="HV17" i="5"/>
  <c r="HW17" i="5"/>
  <c r="HX17" i="5"/>
  <c r="HY17" i="5"/>
  <c r="HZ17" i="5"/>
  <c r="IA17" i="5"/>
  <c r="IB17" i="5"/>
  <c r="IC17" i="5"/>
  <c r="ID17" i="5"/>
  <c r="IE17" i="5"/>
  <c r="IF17" i="5"/>
  <c r="IG17" i="5"/>
  <c r="IH17" i="5"/>
  <c r="II17" i="5"/>
  <c r="IJ17" i="5"/>
  <c r="A18" i="5"/>
  <c r="B18" i="5"/>
  <c r="C18" i="5"/>
  <c r="D18" i="5"/>
  <c r="E18" i="5"/>
  <c r="F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HH18" i="5"/>
  <c r="HI18" i="5"/>
  <c r="HJ18" i="5"/>
  <c r="HK18" i="5"/>
  <c r="HL18" i="5"/>
  <c r="HM18" i="5"/>
  <c r="HO18" i="5"/>
  <c r="HP18" i="5"/>
  <c r="HQ18" i="5"/>
  <c r="HR18" i="5"/>
  <c r="HS18" i="5"/>
  <c r="HT18" i="5"/>
  <c r="HU18" i="5"/>
  <c r="HV18" i="5"/>
  <c r="HW18" i="5"/>
  <c r="HX18" i="5"/>
  <c r="HY18" i="5"/>
  <c r="HZ18" i="5"/>
  <c r="IA18" i="5"/>
  <c r="IB18" i="5"/>
  <c r="IC18" i="5"/>
  <c r="ID18" i="5"/>
  <c r="IE18" i="5"/>
  <c r="IF18" i="5"/>
  <c r="IG18" i="5"/>
  <c r="IH18" i="5"/>
  <c r="II18" i="5"/>
  <c r="IJ18" i="5"/>
  <c r="A19" i="5"/>
  <c r="B19" i="5"/>
  <c r="C19" i="5"/>
  <c r="D19" i="5"/>
  <c r="E19" i="5"/>
  <c r="F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HH19" i="5"/>
  <c r="HI19" i="5"/>
  <c r="HJ19" i="5"/>
  <c r="HK19" i="5"/>
  <c r="HL19" i="5"/>
  <c r="HM19" i="5"/>
  <c r="HO19" i="5"/>
  <c r="HP19" i="5"/>
  <c r="HQ19" i="5"/>
  <c r="HR19" i="5"/>
  <c r="HS19" i="5"/>
  <c r="HT19" i="5"/>
  <c r="HU19" i="5"/>
  <c r="HV19" i="5"/>
  <c r="HW19" i="5"/>
  <c r="HX19" i="5"/>
  <c r="HY19" i="5"/>
  <c r="HZ19" i="5"/>
  <c r="IA19" i="5"/>
  <c r="IB19" i="5"/>
  <c r="IC19" i="5"/>
  <c r="ID19" i="5"/>
  <c r="IE19" i="5"/>
  <c r="IF19" i="5"/>
  <c r="IG19" i="5"/>
  <c r="IH19" i="5"/>
  <c r="II19" i="5"/>
  <c r="IJ19" i="5"/>
  <c r="A20" i="5"/>
  <c r="B20" i="5"/>
  <c r="C20" i="5"/>
  <c r="D20" i="5"/>
  <c r="E20" i="5"/>
  <c r="F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HH20" i="5"/>
  <c r="HI20" i="5"/>
  <c r="HJ20" i="5"/>
  <c r="HK20" i="5"/>
  <c r="HL20" i="5"/>
  <c r="HM20" i="5"/>
  <c r="HO20" i="5"/>
  <c r="HP20" i="5"/>
  <c r="HQ20" i="5"/>
  <c r="HR20" i="5"/>
  <c r="HS20" i="5"/>
  <c r="HT20" i="5"/>
  <c r="HU20" i="5"/>
  <c r="HV20" i="5"/>
  <c r="HW20" i="5"/>
  <c r="HX20" i="5"/>
  <c r="HY20" i="5"/>
  <c r="HZ20" i="5"/>
  <c r="IA20" i="5"/>
  <c r="IB20" i="5"/>
  <c r="IC20" i="5"/>
  <c r="ID20" i="5"/>
  <c r="IE20" i="5"/>
  <c r="IF20" i="5"/>
  <c r="IG20" i="5"/>
  <c r="IH20" i="5"/>
  <c r="II20" i="5"/>
  <c r="IJ20" i="5"/>
  <c r="A21" i="5"/>
  <c r="B21" i="5"/>
  <c r="C21" i="5"/>
  <c r="D21" i="5"/>
  <c r="E21" i="5"/>
  <c r="F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HH21" i="5"/>
  <c r="HI21" i="5"/>
  <c r="HJ21" i="5"/>
  <c r="HK21" i="5"/>
  <c r="HL21" i="5"/>
  <c r="HM21" i="5"/>
  <c r="HO21" i="5"/>
  <c r="HP21" i="5"/>
  <c r="HQ21" i="5"/>
  <c r="HR21" i="5"/>
  <c r="HS21" i="5"/>
  <c r="HT21" i="5"/>
  <c r="HU21" i="5"/>
  <c r="HV21" i="5"/>
  <c r="HW21" i="5"/>
  <c r="HX21" i="5"/>
  <c r="HY21" i="5"/>
  <c r="HZ21" i="5"/>
  <c r="IA21" i="5"/>
  <c r="IB21" i="5"/>
  <c r="IC21" i="5"/>
  <c r="ID21" i="5"/>
  <c r="IE21" i="5"/>
  <c r="IF21" i="5"/>
  <c r="IG21" i="5"/>
  <c r="IH21" i="5"/>
  <c r="II21" i="5"/>
  <c r="IJ21" i="5"/>
  <c r="A22" i="5"/>
  <c r="B22" i="5"/>
  <c r="C22" i="5"/>
  <c r="D22" i="5"/>
  <c r="E22" i="5"/>
  <c r="F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HH22" i="5"/>
  <c r="HI22" i="5"/>
  <c r="HJ22" i="5"/>
  <c r="HK22" i="5"/>
  <c r="HL22" i="5"/>
  <c r="HM22" i="5"/>
  <c r="HO22" i="5"/>
  <c r="HP22" i="5"/>
  <c r="HQ22" i="5"/>
  <c r="HR22" i="5"/>
  <c r="HS22" i="5"/>
  <c r="HT22" i="5"/>
  <c r="HU22" i="5"/>
  <c r="HV22" i="5"/>
  <c r="HW22" i="5"/>
  <c r="HX22" i="5"/>
  <c r="HY22" i="5"/>
  <c r="HZ22" i="5"/>
  <c r="IA22" i="5"/>
  <c r="IB22" i="5"/>
  <c r="IC22" i="5"/>
  <c r="ID22" i="5"/>
  <c r="IE22" i="5"/>
  <c r="IF22" i="5"/>
  <c r="IG22" i="5"/>
  <c r="IH22" i="5"/>
  <c r="II22" i="5"/>
  <c r="IJ22" i="5"/>
  <c r="A23" i="5"/>
  <c r="B23" i="5"/>
  <c r="C23" i="5"/>
  <c r="D23" i="5"/>
  <c r="E23" i="5"/>
  <c r="F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HH23" i="5"/>
  <c r="HI23" i="5"/>
  <c r="HJ23" i="5"/>
  <c r="HK23" i="5"/>
  <c r="HL23" i="5"/>
  <c r="HM23" i="5"/>
  <c r="HO23" i="5"/>
  <c r="HP23" i="5"/>
  <c r="HQ23" i="5"/>
  <c r="HR23" i="5"/>
  <c r="HS23" i="5"/>
  <c r="HT23" i="5"/>
  <c r="HU23" i="5"/>
  <c r="HV23" i="5"/>
  <c r="HW23" i="5"/>
  <c r="HX23" i="5"/>
  <c r="HY23" i="5"/>
  <c r="HZ23" i="5"/>
  <c r="IA23" i="5"/>
  <c r="IB23" i="5"/>
  <c r="IC23" i="5"/>
  <c r="ID23" i="5"/>
  <c r="IE23" i="5"/>
  <c r="IF23" i="5"/>
  <c r="IG23" i="5"/>
  <c r="IH23" i="5"/>
  <c r="II23" i="5"/>
  <c r="IJ23" i="5"/>
  <c r="A24" i="5"/>
  <c r="B24" i="5"/>
  <c r="C24" i="5"/>
  <c r="D24" i="5"/>
  <c r="E24" i="5"/>
  <c r="F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HH24" i="5"/>
  <c r="HI24" i="5"/>
  <c r="HJ24" i="5"/>
  <c r="HK24" i="5"/>
  <c r="HL24" i="5"/>
  <c r="HM24" i="5"/>
  <c r="HO24" i="5"/>
  <c r="HP24" i="5"/>
  <c r="HQ24" i="5"/>
  <c r="HR24" i="5"/>
  <c r="HS24" i="5"/>
  <c r="HT24" i="5"/>
  <c r="HU24" i="5"/>
  <c r="HV24" i="5"/>
  <c r="HW24" i="5"/>
  <c r="HX24" i="5"/>
  <c r="HY24" i="5"/>
  <c r="HZ24" i="5"/>
  <c r="IA24" i="5"/>
  <c r="IB24" i="5"/>
  <c r="IC24" i="5"/>
  <c r="ID24" i="5"/>
  <c r="IE24" i="5"/>
  <c r="IF24" i="5"/>
  <c r="IG24" i="5"/>
  <c r="IH24" i="5"/>
  <c r="II24" i="5"/>
  <c r="IJ24" i="5"/>
  <c r="A25" i="5"/>
  <c r="B25" i="5"/>
  <c r="C25" i="5"/>
  <c r="D25" i="5"/>
  <c r="E25" i="5"/>
  <c r="F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HH25" i="5"/>
  <c r="HI25" i="5"/>
  <c r="HJ25" i="5"/>
  <c r="HK25" i="5"/>
  <c r="HL25" i="5"/>
  <c r="HM25" i="5"/>
  <c r="HO25" i="5"/>
  <c r="HP25" i="5"/>
  <c r="HQ25" i="5"/>
  <c r="HR25" i="5"/>
  <c r="HS25" i="5"/>
  <c r="HT25" i="5"/>
  <c r="HU25" i="5"/>
  <c r="HV25" i="5"/>
  <c r="HW25" i="5"/>
  <c r="HX25" i="5"/>
  <c r="HY25" i="5"/>
  <c r="HZ25" i="5"/>
  <c r="IA25" i="5"/>
  <c r="IB25" i="5"/>
  <c r="IC25" i="5"/>
  <c r="ID25" i="5"/>
  <c r="IE25" i="5"/>
  <c r="IF25" i="5"/>
  <c r="IG25" i="5"/>
  <c r="IH25" i="5"/>
  <c r="II25" i="5"/>
  <c r="IJ25" i="5"/>
  <c r="A26" i="5"/>
  <c r="B26" i="5"/>
  <c r="C26" i="5"/>
  <c r="D26" i="5"/>
  <c r="E26" i="5"/>
  <c r="F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HH26" i="5"/>
  <c r="HI26" i="5"/>
  <c r="HJ26" i="5"/>
  <c r="HK26" i="5"/>
  <c r="HL26" i="5"/>
  <c r="HM26" i="5"/>
  <c r="HO26" i="5"/>
  <c r="HP26" i="5"/>
  <c r="HQ26" i="5"/>
  <c r="HR26" i="5"/>
  <c r="HS26" i="5"/>
  <c r="HT26" i="5"/>
  <c r="HU26" i="5"/>
  <c r="HV26" i="5"/>
  <c r="HW26" i="5"/>
  <c r="HX26" i="5"/>
  <c r="HY26" i="5"/>
  <c r="HZ26" i="5"/>
  <c r="IA26" i="5"/>
  <c r="IB26" i="5"/>
  <c r="IC26" i="5"/>
  <c r="ID26" i="5"/>
  <c r="IE26" i="5"/>
  <c r="IF26" i="5"/>
  <c r="IG26" i="5"/>
  <c r="IH26" i="5"/>
  <c r="II26" i="5"/>
  <c r="IJ26" i="5"/>
  <c r="A27" i="5"/>
  <c r="B27" i="5"/>
  <c r="C27" i="5"/>
  <c r="D27" i="5"/>
  <c r="E27" i="5"/>
  <c r="F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O27" i="5"/>
  <c r="HP27" i="5"/>
  <c r="HQ27" i="5"/>
  <c r="HR27" i="5"/>
  <c r="HS27" i="5"/>
  <c r="HT27" i="5"/>
  <c r="HU27" i="5"/>
  <c r="HV27" i="5"/>
  <c r="HW27" i="5"/>
  <c r="HX27" i="5"/>
  <c r="HY27" i="5"/>
  <c r="HZ27" i="5"/>
  <c r="IA27" i="5"/>
  <c r="IB27" i="5"/>
  <c r="IC27" i="5"/>
  <c r="ID27" i="5"/>
  <c r="IE27" i="5"/>
  <c r="IF27" i="5"/>
  <c r="IG27" i="5"/>
  <c r="IH27" i="5"/>
  <c r="II27" i="5"/>
  <c r="IJ27" i="5"/>
  <c r="A28" i="5"/>
  <c r="B28" i="5"/>
  <c r="C28" i="5"/>
  <c r="D28" i="5"/>
  <c r="E28" i="5"/>
  <c r="F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HH28" i="5"/>
  <c r="HI28" i="5"/>
  <c r="HJ28" i="5"/>
  <c r="HK28" i="5"/>
  <c r="HL28" i="5"/>
  <c r="HM28" i="5"/>
  <c r="HO28" i="5"/>
  <c r="HP28" i="5"/>
  <c r="HQ28" i="5"/>
  <c r="HR28" i="5"/>
  <c r="HS28" i="5"/>
  <c r="HT28" i="5"/>
  <c r="HU28" i="5"/>
  <c r="HV28" i="5"/>
  <c r="HW28" i="5"/>
  <c r="HX28" i="5"/>
  <c r="HY28" i="5"/>
  <c r="HZ28" i="5"/>
  <c r="IA28" i="5"/>
  <c r="IB28" i="5"/>
  <c r="IC28" i="5"/>
  <c r="ID28" i="5"/>
  <c r="IE28" i="5"/>
  <c r="IF28" i="5"/>
  <c r="IG28" i="5"/>
  <c r="IH28" i="5"/>
  <c r="II28" i="5"/>
  <c r="IJ28" i="5"/>
  <c r="A29" i="5"/>
  <c r="B29" i="5"/>
  <c r="C29" i="5"/>
  <c r="D29" i="5"/>
  <c r="E29" i="5"/>
  <c r="F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HH29" i="5"/>
  <c r="HI29" i="5"/>
  <c r="HJ29" i="5"/>
  <c r="HK29" i="5"/>
  <c r="HL29" i="5"/>
  <c r="HM29" i="5"/>
  <c r="HO29" i="5"/>
  <c r="HP29" i="5"/>
  <c r="HQ29" i="5"/>
  <c r="HR29" i="5"/>
  <c r="HS29" i="5"/>
  <c r="HT29" i="5"/>
  <c r="HU29" i="5"/>
  <c r="HV29" i="5"/>
  <c r="HW29" i="5"/>
  <c r="HX29" i="5"/>
  <c r="HY29" i="5"/>
  <c r="HZ29" i="5"/>
  <c r="IA29" i="5"/>
  <c r="IB29" i="5"/>
  <c r="IC29" i="5"/>
  <c r="ID29" i="5"/>
  <c r="IE29" i="5"/>
  <c r="IF29" i="5"/>
  <c r="IG29" i="5"/>
  <c r="IH29" i="5"/>
  <c r="II29" i="5"/>
  <c r="IJ29" i="5"/>
  <c r="A30" i="5"/>
  <c r="B30" i="5"/>
  <c r="C30" i="5"/>
  <c r="D30" i="5"/>
  <c r="E30" i="5"/>
  <c r="F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HH30" i="5"/>
  <c r="HI30" i="5"/>
  <c r="HJ30" i="5"/>
  <c r="HK30" i="5"/>
  <c r="HL30" i="5"/>
  <c r="HM30" i="5"/>
  <c r="HO30" i="5"/>
  <c r="HP30" i="5"/>
  <c r="HQ30" i="5"/>
  <c r="HR30" i="5"/>
  <c r="HS30" i="5"/>
  <c r="HT30" i="5"/>
  <c r="HU30" i="5"/>
  <c r="HV30" i="5"/>
  <c r="HW30" i="5"/>
  <c r="HX30" i="5"/>
  <c r="HY30" i="5"/>
  <c r="HZ30" i="5"/>
  <c r="IA30" i="5"/>
  <c r="IB30" i="5"/>
  <c r="IC30" i="5"/>
  <c r="ID30" i="5"/>
  <c r="IE30" i="5"/>
  <c r="IF30" i="5"/>
  <c r="IG30" i="5"/>
  <c r="IH30" i="5"/>
  <c r="II30" i="5"/>
  <c r="IJ30" i="5"/>
  <c r="A31" i="5"/>
  <c r="B31" i="5"/>
  <c r="C31" i="5"/>
  <c r="D31" i="5"/>
  <c r="E31" i="5"/>
  <c r="F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HH31" i="5"/>
  <c r="HI31" i="5"/>
  <c r="HJ31" i="5"/>
  <c r="HK31" i="5"/>
  <c r="HL31" i="5"/>
  <c r="HM31" i="5"/>
  <c r="HO31" i="5"/>
  <c r="HP31" i="5"/>
  <c r="HQ31" i="5"/>
  <c r="HR31" i="5"/>
  <c r="HS31" i="5"/>
  <c r="HT31" i="5"/>
  <c r="HU31" i="5"/>
  <c r="HV31" i="5"/>
  <c r="HW31" i="5"/>
  <c r="HX31" i="5"/>
  <c r="HY31" i="5"/>
  <c r="HZ31" i="5"/>
  <c r="IA31" i="5"/>
  <c r="IB31" i="5"/>
  <c r="IC31" i="5"/>
  <c r="ID31" i="5"/>
  <c r="IE31" i="5"/>
  <c r="IF31" i="5"/>
  <c r="IG31" i="5"/>
  <c r="IH31" i="5"/>
  <c r="II31" i="5"/>
  <c r="IJ31" i="5"/>
  <c r="A32" i="5"/>
  <c r="B32" i="5"/>
  <c r="C32" i="5"/>
  <c r="D32" i="5"/>
  <c r="E32" i="5"/>
  <c r="F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HH32" i="5"/>
  <c r="HI32" i="5"/>
  <c r="HJ32" i="5"/>
  <c r="HK32" i="5"/>
  <c r="HL32" i="5"/>
  <c r="HM32" i="5"/>
  <c r="HO32" i="5"/>
  <c r="HP32" i="5"/>
  <c r="HQ32" i="5"/>
  <c r="HR32" i="5"/>
  <c r="HS32" i="5"/>
  <c r="HT32" i="5"/>
  <c r="HU32" i="5"/>
  <c r="HV32" i="5"/>
  <c r="HW32" i="5"/>
  <c r="HX32" i="5"/>
  <c r="HY32" i="5"/>
  <c r="HZ32" i="5"/>
  <c r="IA32" i="5"/>
  <c r="IB32" i="5"/>
  <c r="IC32" i="5"/>
  <c r="ID32" i="5"/>
  <c r="IE32" i="5"/>
  <c r="IF32" i="5"/>
  <c r="IG32" i="5"/>
  <c r="IH32" i="5"/>
  <c r="II32" i="5"/>
  <c r="IJ32" i="5"/>
  <c r="A33" i="5"/>
  <c r="B33" i="5"/>
  <c r="C33" i="5"/>
  <c r="D33" i="5"/>
  <c r="E33" i="5"/>
  <c r="F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HH33" i="5"/>
  <c r="HI33" i="5"/>
  <c r="HJ33" i="5"/>
  <c r="HK33" i="5"/>
  <c r="HL33" i="5"/>
  <c r="HM33" i="5"/>
  <c r="HO33" i="5"/>
  <c r="HP33" i="5"/>
  <c r="HQ33" i="5"/>
  <c r="HR33" i="5"/>
  <c r="HS33" i="5"/>
  <c r="HT33" i="5"/>
  <c r="HU33" i="5"/>
  <c r="HV33" i="5"/>
  <c r="HW33" i="5"/>
  <c r="HX33" i="5"/>
  <c r="HY33" i="5"/>
  <c r="HZ33" i="5"/>
  <c r="IA33" i="5"/>
  <c r="IB33" i="5"/>
  <c r="IC33" i="5"/>
  <c r="ID33" i="5"/>
  <c r="IE33" i="5"/>
  <c r="IF33" i="5"/>
  <c r="IG33" i="5"/>
  <c r="IH33" i="5"/>
  <c r="II33" i="5"/>
  <c r="IJ33" i="5"/>
  <c r="A34" i="5"/>
  <c r="B34" i="5"/>
  <c r="C34" i="5"/>
  <c r="D34" i="5"/>
  <c r="E34" i="5"/>
  <c r="F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HH34" i="5"/>
  <c r="HI34" i="5"/>
  <c r="HJ34" i="5"/>
  <c r="HK34" i="5"/>
  <c r="HL34" i="5"/>
  <c r="HM34" i="5"/>
  <c r="HO34" i="5"/>
  <c r="HP34" i="5"/>
  <c r="HQ34" i="5"/>
  <c r="HR34" i="5"/>
  <c r="HS34" i="5"/>
  <c r="HT34" i="5"/>
  <c r="HU34" i="5"/>
  <c r="HV34" i="5"/>
  <c r="HW34" i="5"/>
  <c r="HX34" i="5"/>
  <c r="HY34" i="5"/>
  <c r="HZ34" i="5"/>
  <c r="IA34" i="5"/>
  <c r="IB34" i="5"/>
  <c r="IC34" i="5"/>
  <c r="ID34" i="5"/>
  <c r="IE34" i="5"/>
  <c r="IF34" i="5"/>
  <c r="IG34" i="5"/>
  <c r="IH34" i="5"/>
  <c r="II34" i="5"/>
  <c r="IJ34" i="5"/>
  <c r="A35" i="5"/>
  <c r="B35" i="5"/>
  <c r="C35" i="5"/>
  <c r="D35" i="5"/>
  <c r="E35" i="5"/>
  <c r="F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HH35" i="5"/>
  <c r="HI35" i="5"/>
  <c r="HJ35" i="5"/>
  <c r="HK35" i="5"/>
  <c r="HL35" i="5"/>
  <c r="HM35" i="5"/>
  <c r="HO35" i="5"/>
  <c r="HP35" i="5"/>
  <c r="HQ35" i="5"/>
  <c r="HR35" i="5"/>
  <c r="HS35" i="5"/>
  <c r="HT35" i="5"/>
  <c r="HU35" i="5"/>
  <c r="HV35" i="5"/>
  <c r="HW35" i="5"/>
  <c r="HX35" i="5"/>
  <c r="HY35" i="5"/>
  <c r="HZ35" i="5"/>
  <c r="IA35" i="5"/>
  <c r="IB35" i="5"/>
  <c r="IC35" i="5"/>
  <c r="ID35" i="5"/>
  <c r="IE35" i="5"/>
  <c r="IF35" i="5"/>
  <c r="IG35" i="5"/>
  <c r="IH35" i="5"/>
  <c r="II35" i="5"/>
  <c r="IJ35" i="5"/>
  <c r="A36" i="5"/>
  <c r="B36" i="5"/>
  <c r="C36" i="5"/>
  <c r="D36" i="5"/>
  <c r="E36" i="5"/>
  <c r="F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HH36" i="5"/>
  <c r="HI36" i="5"/>
  <c r="HJ36" i="5"/>
  <c r="HK36" i="5"/>
  <c r="HL36" i="5"/>
  <c r="HM36" i="5"/>
  <c r="HO36" i="5"/>
  <c r="HP36" i="5"/>
  <c r="HQ36" i="5"/>
  <c r="HR36" i="5"/>
  <c r="HS36" i="5"/>
  <c r="HT36" i="5"/>
  <c r="HU36" i="5"/>
  <c r="HV36" i="5"/>
  <c r="HW36" i="5"/>
  <c r="HX36" i="5"/>
  <c r="HY36" i="5"/>
  <c r="HZ36" i="5"/>
  <c r="IA36" i="5"/>
  <c r="IB36" i="5"/>
  <c r="IC36" i="5"/>
  <c r="ID36" i="5"/>
  <c r="IE36" i="5"/>
  <c r="IF36" i="5"/>
  <c r="IG36" i="5"/>
  <c r="IH36" i="5"/>
  <c r="II36" i="5"/>
  <c r="IJ36" i="5"/>
  <c r="A37" i="5"/>
  <c r="B37" i="5"/>
  <c r="C37" i="5"/>
  <c r="D37" i="5"/>
  <c r="E37" i="5"/>
  <c r="F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HH37" i="5"/>
  <c r="HI37" i="5"/>
  <c r="HJ37" i="5"/>
  <c r="HK37" i="5"/>
  <c r="HL37" i="5"/>
  <c r="HM37" i="5"/>
  <c r="HO37" i="5"/>
  <c r="HP37" i="5"/>
  <c r="HQ37" i="5"/>
  <c r="HR37" i="5"/>
  <c r="HS37" i="5"/>
  <c r="HT37" i="5"/>
  <c r="HU37" i="5"/>
  <c r="HV37" i="5"/>
  <c r="HW37" i="5"/>
  <c r="HX37" i="5"/>
  <c r="HY37" i="5"/>
  <c r="HZ37" i="5"/>
  <c r="IA37" i="5"/>
  <c r="IB37" i="5"/>
  <c r="IC37" i="5"/>
  <c r="ID37" i="5"/>
  <c r="IE37" i="5"/>
  <c r="IF37" i="5"/>
  <c r="IG37" i="5"/>
  <c r="IH37" i="5"/>
  <c r="II37" i="5"/>
  <c r="IJ37" i="5"/>
  <c r="A38" i="5"/>
  <c r="B38" i="5"/>
  <c r="C38" i="5"/>
  <c r="D38" i="5"/>
  <c r="E38" i="5"/>
  <c r="F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HH38" i="5"/>
  <c r="HI38" i="5"/>
  <c r="HJ38" i="5"/>
  <c r="HK38" i="5"/>
  <c r="HL38" i="5"/>
  <c r="HM38" i="5"/>
  <c r="HO38" i="5"/>
  <c r="HP38" i="5"/>
  <c r="HQ38" i="5"/>
  <c r="HR38" i="5"/>
  <c r="HS38" i="5"/>
  <c r="HT38" i="5"/>
  <c r="HU38" i="5"/>
  <c r="HV38" i="5"/>
  <c r="HW38" i="5"/>
  <c r="HX38" i="5"/>
  <c r="HY38" i="5"/>
  <c r="HZ38" i="5"/>
  <c r="IA38" i="5"/>
  <c r="IB38" i="5"/>
  <c r="IC38" i="5"/>
  <c r="ID38" i="5"/>
  <c r="IE38" i="5"/>
  <c r="IF38" i="5"/>
  <c r="IG38" i="5"/>
  <c r="IH38" i="5"/>
  <c r="II38" i="5"/>
  <c r="IJ38" i="5"/>
  <c r="A39" i="5"/>
  <c r="B39" i="5"/>
  <c r="C39" i="5"/>
  <c r="D39" i="5"/>
  <c r="E39" i="5"/>
  <c r="F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HH39" i="5"/>
  <c r="HI39" i="5"/>
  <c r="HJ39" i="5"/>
  <c r="HK39" i="5"/>
  <c r="HL39" i="5"/>
  <c r="HM39" i="5"/>
  <c r="HO39" i="5"/>
  <c r="HP39" i="5"/>
  <c r="HQ39" i="5"/>
  <c r="HR39" i="5"/>
  <c r="HS39" i="5"/>
  <c r="HT39" i="5"/>
  <c r="HU39" i="5"/>
  <c r="HV39" i="5"/>
  <c r="HW39" i="5"/>
  <c r="HX39" i="5"/>
  <c r="HY39" i="5"/>
  <c r="HZ39" i="5"/>
  <c r="IA39" i="5"/>
  <c r="IB39" i="5"/>
  <c r="IC39" i="5"/>
  <c r="ID39" i="5"/>
  <c r="IE39" i="5"/>
  <c r="IF39" i="5"/>
  <c r="IG39" i="5"/>
  <c r="IH39" i="5"/>
  <c r="II39" i="5"/>
  <c r="IJ39" i="5"/>
  <c r="A40" i="5"/>
  <c r="B40" i="5"/>
  <c r="C40" i="5"/>
  <c r="D40" i="5"/>
  <c r="E40" i="5"/>
  <c r="F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HH40" i="5"/>
  <c r="HI40" i="5"/>
  <c r="HJ40" i="5"/>
  <c r="HK40" i="5"/>
  <c r="HL40" i="5"/>
  <c r="HM40" i="5"/>
  <c r="HO40" i="5"/>
  <c r="HP40" i="5"/>
  <c r="HQ40" i="5"/>
  <c r="HR40" i="5"/>
  <c r="HS40" i="5"/>
  <c r="HT40" i="5"/>
  <c r="HU40" i="5"/>
  <c r="HV40" i="5"/>
  <c r="HW40" i="5"/>
  <c r="HX40" i="5"/>
  <c r="HY40" i="5"/>
  <c r="HZ40" i="5"/>
  <c r="IA40" i="5"/>
  <c r="IB40" i="5"/>
  <c r="IC40" i="5"/>
  <c r="ID40" i="5"/>
  <c r="IE40" i="5"/>
  <c r="IF40" i="5"/>
  <c r="IG40" i="5"/>
  <c r="IH40" i="5"/>
  <c r="II40" i="5"/>
  <c r="IJ40" i="5"/>
  <c r="A41" i="5"/>
  <c r="B41" i="5"/>
  <c r="C41" i="5"/>
  <c r="D41" i="5"/>
  <c r="E41" i="5"/>
  <c r="F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HH41" i="5"/>
  <c r="HI41" i="5"/>
  <c r="HJ41" i="5"/>
  <c r="HK41" i="5"/>
  <c r="HL41" i="5"/>
  <c r="HM41" i="5"/>
  <c r="A42" i="5"/>
  <c r="B42" i="5"/>
  <c r="C42" i="5"/>
  <c r="D42" i="5"/>
  <c r="E42" i="5"/>
  <c r="F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HH42" i="5"/>
  <c r="HI42" i="5"/>
  <c r="HJ42" i="5"/>
  <c r="HK42" i="5"/>
  <c r="HL42" i="5"/>
  <c r="HM42" i="5"/>
  <c r="A43" i="5"/>
  <c r="B43" i="5"/>
  <c r="C43" i="5"/>
  <c r="D43" i="5"/>
  <c r="E43" i="5"/>
  <c r="F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HH43" i="5"/>
  <c r="HI43" i="5"/>
  <c r="HJ43" i="5"/>
  <c r="HK43" i="5"/>
  <c r="HL43" i="5"/>
  <c r="HM43" i="5"/>
  <c r="A44" i="5"/>
  <c r="B44" i="5"/>
  <c r="C44" i="5"/>
  <c r="D44" i="5"/>
  <c r="E44" i="5"/>
  <c r="F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HH44" i="5"/>
  <c r="HI44" i="5"/>
  <c r="HJ44" i="5"/>
  <c r="HK44" i="5"/>
  <c r="HL44" i="5"/>
  <c r="HM44" i="5"/>
  <c r="A45" i="5"/>
  <c r="B45" i="5"/>
  <c r="C45" i="5"/>
  <c r="D45" i="5"/>
  <c r="E45" i="5"/>
  <c r="F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HH45" i="5"/>
  <c r="HI45" i="5"/>
  <c r="HJ45" i="5"/>
  <c r="HK45" i="5"/>
  <c r="HL45" i="5"/>
  <c r="HM45" i="5"/>
  <c r="A46" i="5"/>
  <c r="B46" i="5"/>
  <c r="C46" i="5"/>
  <c r="D46" i="5"/>
  <c r="E46" i="5"/>
  <c r="F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HH46" i="5"/>
  <c r="HI46" i="5"/>
  <c r="HJ46" i="5"/>
  <c r="HK46" i="5"/>
  <c r="HL46" i="5"/>
  <c r="HM46" i="5"/>
  <c r="A47" i="5"/>
  <c r="B47" i="5"/>
  <c r="C47" i="5"/>
  <c r="D47" i="5"/>
  <c r="E47" i="5"/>
  <c r="F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HH47" i="5"/>
  <c r="HI47" i="5"/>
  <c r="HJ47" i="5"/>
  <c r="HK47" i="5"/>
  <c r="HL47" i="5"/>
  <c r="HM47" i="5"/>
  <c r="A48" i="5"/>
  <c r="B48" i="5"/>
  <c r="C48" i="5"/>
  <c r="D48" i="5"/>
  <c r="E48" i="5"/>
  <c r="F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HH48" i="5"/>
  <c r="HI48" i="5"/>
  <c r="HJ48" i="5"/>
  <c r="HK48" i="5"/>
  <c r="HL48" i="5"/>
  <c r="HM48" i="5"/>
  <c r="A49" i="5"/>
  <c r="B49" i="5"/>
  <c r="C49" i="5"/>
  <c r="D49" i="5"/>
  <c r="E49" i="5"/>
  <c r="F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HH49" i="5"/>
  <c r="HI49" i="5"/>
  <c r="HJ49" i="5"/>
  <c r="HK49" i="5"/>
  <c r="HL49" i="5"/>
  <c r="HM49" i="5"/>
  <c r="A50" i="5"/>
  <c r="B50" i="5"/>
  <c r="C50" i="5"/>
  <c r="D50" i="5"/>
  <c r="E50" i="5"/>
  <c r="F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HH50" i="5"/>
  <c r="HI50" i="5"/>
  <c r="HJ50" i="5"/>
  <c r="HK50" i="5"/>
  <c r="HL50" i="5"/>
  <c r="HM50" i="5"/>
  <c r="A51" i="5"/>
  <c r="B51" i="5"/>
  <c r="C51" i="5"/>
  <c r="D51" i="5"/>
  <c r="E51" i="5"/>
  <c r="F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HH51" i="5"/>
  <c r="HI51" i="5"/>
  <c r="HJ51" i="5"/>
  <c r="HK51" i="5"/>
  <c r="HL51" i="5"/>
  <c r="HM51" i="5"/>
  <c r="A52" i="5"/>
  <c r="B52" i="5"/>
  <c r="C52" i="5"/>
  <c r="D52" i="5"/>
  <c r="E52" i="5"/>
  <c r="F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HH52" i="5"/>
  <c r="HI52" i="5"/>
  <c r="HJ52" i="5"/>
  <c r="HK52" i="5"/>
  <c r="HL52" i="5"/>
  <c r="HM52" i="5"/>
  <c r="A53" i="5"/>
  <c r="B53" i="5"/>
  <c r="C53" i="5"/>
  <c r="D53" i="5"/>
  <c r="E53" i="5"/>
  <c r="F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HH53" i="5"/>
  <c r="HI53" i="5"/>
  <c r="HJ53" i="5"/>
  <c r="HK53" i="5"/>
  <c r="HL53" i="5"/>
  <c r="HM53" i="5"/>
  <c r="A54" i="5"/>
  <c r="B54" i="5"/>
  <c r="C54" i="5"/>
  <c r="D54" i="5"/>
  <c r="E54" i="5"/>
  <c r="F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HH54" i="5"/>
  <c r="HI54" i="5"/>
  <c r="HJ54" i="5"/>
  <c r="HK54" i="5"/>
  <c r="HL54" i="5"/>
  <c r="HM54" i="5"/>
  <c r="A55" i="5"/>
  <c r="B55" i="5"/>
  <c r="C55" i="5"/>
  <c r="D55" i="5"/>
  <c r="E55" i="5"/>
  <c r="F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HH55" i="5"/>
  <c r="HI55" i="5"/>
  <c r="HJ55" i="5"/>
  <c r="HK55" i="5"/>
  <c r="HL55" i="5"/>
  <c r="HM55" i="5"/>
  <c r="A56" i="5"/>
  <c r="B56" i="5"/>
  <c r="C56" i="5"/>
  <c r="D56" i="5"/>
  <c r="E56" i="5"/>
  <c r="F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HH56" i="5"/>
  <c r="HI56" i="5"/>
  <c r="HJ56" i="5"/>
  <c r="HK56" i="5"/>
  <c r="HL56" i="5"/>
  <c r="HM56" i="5"/>
  <c r="A57" i="5"/>
  <c r="B57" i="5"/>
  <c r="C57" i="5"/>
  <c r="D57" i="5"/>
  <c r="E57" i="5"/>
  <c r="F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HH57" i="5"/>
  <c r="HI57" i="5"/>
  <c r="HJ57" i="5"/>
  <c r="HK57" i="5"/>
  <c r="HL57" i="5"/>
  <c r="HM57" i="5"/>
  <c r="A58" i="5"/>
  <c r="B58" i="5"/>
  <c r="C58" i="5"/>
  <c r="D58" i="5"/>
  <c r="E58" i="5"/>
  <c r="F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HH58" i="5"/>
  <c r="HI58" i="5"/>
  <c r="HJ58" i="5"/>
  <c r="HK58" i="5"/>
  <c r="HL58" i="5"/>
  <c r="HM58" i="5"/>
  <c r="A59" i="5"/>
  <c r="B59" i="5"/>
  <c r="C59" i="5"/>
  <c r="D59" i="5"/>
  <c r="E59" i="5"/>
  <c r="F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HH59" i="5"/>
  <c r="HI59" i="5"/>
  <c r="HJ59" i="5"/>
  <c r="HK59" i="5"/>
  <c r="HL59" i="5"/>
  <c r="HM59" i="5"/>
  <c r="A60" i="5"/>
  <c r="B60" i="5"/>
  <c r="C60" i="5"/>
  <c r="D60" i="5"/>
  <c r="E60" i="5"/>
  <c r="F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HH60" i="5"/>
  <c r="HI60" i="5"/>
  <c r="HJ60" i="5"/>
  <c r="HK60" i="5"/>
  <c r="HL60" i="5"/>
  <c r="HM60" i="5"/>
  <c r="A61" i="5"/>
  <c r="B61" i="5"/>
  <c r="C61" i="5"/>
  <c r="D61" i="5"/>
  <c r="E61" i="5"/>
  <c r="F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HH61" i="5"/>
  <c r="HI61" i="5"/>
  <c r="HJ61" i="5"/>
  <c r="HK61" i="5"/>
  <c r="HL61" i="5"/>
  <c r="HM61" i="5"/>
  <c r="A62" i="5"/>
  <c r="B62" i="5"/>
  <c r="C62" i="5"/>
  <c r="D62" i="5"/>
  <c r="E62" i="5"/>
  <c r="F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HH62" i="5"/>
  <c r="HI62" i="5"/>
  <c r="HJ62" i="5"/>
  <c r="HK62" i="5"/>
  <c r="HL62" i="5"/>
  <c r="HM62" i="5"/>
  <c r="A63" i="5"/>
  <c r="B63" i="5"/>
  <c r="C63" i="5"/>
  <c r="D63" i="5"/>
  <c r="E63" i="5"/>
  <c r="F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HH63" i="5"/>
  <c r="HI63" i="5"/>
  <c r="HJ63" i="5"/>
  <c r="HK63" i="5"/>
  <c r="HL63" i="5"/>
  <c r="HM63" i="5"/>
  <c r="A64" i="5"/>
  <c r="B64" i="5"/>
  <c r="C64" i="5"/>
  <c r="D64" i="5"/>
  <c r="E64" i="5"/>
  <c r="F64" i="5"/>
  <c r="H64"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HH64" i="5"/>
  <c r="HI64" i="5"/>
  <c r="HJ64" i="5"/>
  <c r="HK64" i="5"/>
  <c r="HL64" i="5"/>
  <c r="HM64" i="5"/>
  <c r="A65" i="5"/>
  <c r="B65" i="5"/>
  <c r="C65" i="5"/>
  <c r="D65" i="5"/>
  <c r="E65" i="5"/>
  <c r="F65" i="5"/>
  <c r="H65"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HH65" i="5"/>
  <c r="HI65" i="5"/>
  <c r="HJ65" i="5"/>
  <c r="HK65" i="5"/>
  <c r="HL65" i="5"/>
  <c r="HM65" i="5"/>
  <c r="A66" i="5"/>
  <c r="B66" i="5"/>
  <c r="C66" i="5"/>
  <c r="D66" i="5"/>
  <c r="E66" i="5"/>
  <c r="F66" i="5"/>
  <c r="H66"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HH66" i="5"/>
  <c r="HI66" i="5"/>
  <c r="HJ66" i="5"/>
  <c r="HK66" i="5"/>
  <c r="HL66" i="5"/>
  <c r="HM66" i="5"/>
  <c r="HN66" i="5"/>
  <c r="A67" i="5"/>
  <c r="B67" i="5"/>
  <c r="C67" i="5"/>
  <c r="D67" i="5"/>
  <c r="E67" i="5"/>
  <c r="F67" i="5"/>
  <c r="H67"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HH67" i="5"/>
  <c r="HI67" i="5"/>
  <c r="HJ67" i="5"/>
  <c r="HK67" i="5"/>
  <c r="HL67" i="5"/>
  <c r="HM67" i="5"/>
  <c r="HN67" i="5"/>
  <c r="A68" i="5"/>
  <c r="B68" i="5"/>
  <c r="C68" i="5"/>
  <c r="D68" i="5"/>
  <c r="E68" i="5"/>
  <c r="F68" i="5"/>
  <c r="H68"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HH68" i="5"/>
  <c r="HI68" i="5"/>
  <c r="HJ68" i="5"/>
  <c r="HK68" i="5"/>
  <c r="HL68" i="5"/>
  <c r="HM68" i="5"/>
  <c r="HN68" i="5"/>
  <c r="A69" i="5"/>
  <c r="B69" i="5"/>
  <c r="C69" i="5"/>
  <c r="D69" i="5"/>
  <c r="E69" i="5"/>
  <c r="F69" i="5"/>
  <c r="H69"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HH69" i="5"/>
  <c r="HI69" i="5"/>
  <c r="HJ69" i="5"/>
  <c r="HK69" i="5"/>
  <c r="HL69" i="5"/>
  <c r="HM69" i="5"/>
  <c r="HN69" i="5"/>
  <c r="A70" i="5"/>
  <c r="B70" i="5"/>
  <c r="C70" i="5"/>
  <c r="D70" i="5"/>
  <c r="E70" i="5"/>
  <c r="F70" i="5"/>
  <c r="H70"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HH70" i="5"/>
  <c r="HI70" i="5"/>
  <c r="HJ70" i="5"/>
  <c r="HK70" i="5"/>
  <c r="HL70" i="5"/>
  <c r="HM70" i="5"/>
  <c r="HN70" i="5"/>
  <c r="A71" i="5"/>
  <c r="B71" i="5"/>
  <c r="C71" i="5"/>
  <c r="D71" i="5"/>
  <c r="E71" i="5"/>
  <c r="F71" i="5"/>
  <c r="H71"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HH71" i="5"/>
  <c r="HI71" i="5"/>
  <c r="HJ71" i="5"/>
  <c r="HK71" i="5"/>
  <c r="HL71" i="5"/>
  <c r="HM71" i="5"/>
  <c r="HN71" i="5"/>
  <c r="A72" i="5"/>
  <c r="B72" i="5"/>
  <c r="C72" i="5"/>
  <c r="D72" i="5"/>
  <c r="E72" i="5"/>
  <c r="F72" i="5"/>
  <c r="H72"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HH72" i="5"/>
  <c r="HI72" i="5"/>
  <c r="HJ72" i="5"/>
  <c r="HK72" i="5"/>
  <c r="HL72" i="5"/>
  <c r="HM72" i="5"/>
  <c r="HN72" i="5"/>
  <c r="A73" i="5"/>
  <c r="B73" i="5"/>
  <c r="C73" i="5"/>
  <c r="D73" i="5"/>
  <c r="E73" i="5"/>
  <c r="F73" i="5"/>
  <c r="H73"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HH73" i="5"/>
  <c r="HI73" i="5"/>
  <c r="HJ73" i="5"/>
  <c r="HK73" i="5"/>
  <c r="HL73" i="5"/>
  <c r="HM73" i="5"/>
  <c r="HN73" i="5"/>
  <c r="A74" i="5"/>
  <c r="B74" i="5"/>
  <c r="C74" i="5"/>
  <c r="D74" i="5"/>
  <c r="E74" i="5"/>
  <c r="F74" i="5"/>
  <c r="H74"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HH74" i="5"/>
  <c r="HI74" i="5"/>
  <c r="HJ74" i="5"/>
  <c r="HK74" i="5"/>
  <c r="HL74" i="5"/>
  <c r="HM74" i="5"/>
  <c r="HN74" i="5"/>
  <c r="A75" i="5"/>
  <c r="B75" i="5"/>
  <c r="C75" i="5"/>
  <c r="D75" i="5"/>
  <c r="E75" i="5"/>
  <c r="F75" i="5"/>
  <c r="H75"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HH75" i="5"/>
  <c r="HI75" i="5"/>
  <c r="HJ75" i="5"/>
  <c r="HK75" i="5"/>
  <c r="HL75" i="5"/>
  <c r="HM75" i="5"/>
  <c r="HN75" i="5"/>
  <c r="A76" i="5"/>
  <c r="B76" i="5"/>
  <c r="C76" i="5"/>
  <c r="D76" i="5"/>
  <c r="E76" i="5"/>
  <c r="F76" i="5"/>
  <c r="H76"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HH76" i="5"/>
  <c r="HI76" i="5"/>
  <c r="HJ76" i="5"/>
  <c r="HK76" i="5"/>
  <c r="HL76" i="5"/>
  <c r="HM76" i="5"/>
  <c r="HN76" i="5"/>
  <c r="A77" i="5"/>
  <c r="B77" i="5"/>
  <c r="C77" i="5"/>
  <c r="D77" i="5"/>
  <c r="E77" i="5"/>
  <c r="F77" i="5"/>
  <c r="H77"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HH77" i="5"/>
  <c r="HI77" i="5"/>
  <c r="HJ77" i="5"/>
  <c r="HK77" i="5"/>
  <c r="HL77" i="5"/>
  <c r="HM77" i="5"/>
  <c r="HN77" i="5"/>
  <c r="A78" i="5"/>
  <c r="B78" i="5"/>
  <c r="C78" i="5"/>
  <c r="D78" i="5"/>
  <c r="E78" i="5"/>
  <c r="F78" i="5"/>
  <c r="H78"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HH78" i="5"/>
  <c r="HI78" i="5"/>
  <c r="HJ78" i="5"/>
  <c r="HK78" i="5"/>
  <c r="HL78" i="5"/>
  <c r="HM78" i="5"/>
  <c r="HN78" i="5"/>
  <c r="A79" i="5"/>
  <c r="B79" i="5"/>
  <c r="C79" i="5"/>
  <c r="D79" i="5"/>
  <c r="E79" i="5"/>
  <c r="F79" i="5"/>
  <c r="H79"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HH79" i="5"/>
  <c r="HI79" i="5"/>
  <c r="HJ79" i="5"/>
  <c r="HK79" i="5"/>
  <c r="HL79" i="5"/>
  <c r="HM79" i="5"/>
  <c r="HN79" i="5"/>
  <c r="A80" i="5"/>
  <c r="B80" i="5"/>
  <c r="C80" i="5"/>
  <c r="D80" i="5"/>
  <c r="E80" i="5"/>
  <c r="F80" i="5"/>
  <c r="H80"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HH80" i="5"/>
  <c r="HI80" i="5"/>
  <c r="HJ80" i="5"/>
  <c r="HK80" i="5"/>
  <c r="HL80" i="5"/>
  <c r="HM80" i="5"/>
  <c r="HN80" i="5"/>
  <c r="A81" i="5"/>
  <c r="B81" i="5"/>
  <c r="C81" i="5"/>
  <c r="D81" i="5"/>
  <c r="E81" i="5"/>
  <c r="F81" i="5"/>
  <c r="H81"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HH81" i="5"/>
  <c r="HI81" i="5"/>
  <c r="HJ81" i="5"/>
  <c r="HK81" i="5"/>
  <c r="HL81" i="5"/>
  <c r="HM81" i="5"/>
  <c r="HN81" i="5"/>
  <c r="A82" i="5"/>
  <c r="B82" i="5"/>
  <c r="C82" i="5"/>
  <c r="D82" i="5"/>
  <c r="E82" i="5"/>
  <c r="F82" i="5"/>
  <c r="H82"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HH82" i="5"/>
  <c r="HI82" i="5"/>
  <c r="HJ82" i="5"/>
  <c r="HK82" i="5"/>
  <c r="HL82" i="5"/>
  <c r="HM82" i="5"/>
  <c r="HN82" i="5"/>
  <c r="A83" i="5"/>
  <c r="B83" i="5"/>
  <c r="C83" i="5"/>
  <c r="D83" i="5"/>
  <c r="E83" i="5"/>
  <c r="F83" i="5"/>
  <c r="H83"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HH83" i="5"/>
  <c r="HI83" i="5"/>
  <c r="HJ83" i="5"/>
  <c r="HK83" i="5"/>
  <c r="HL83" i="5"/>
  <c r="HM83" i="5"/>
  <c r="HN83" i="5"/>
  <c r="A84" i="5"/>
  <c r="B84" i="5"/>
  <c r="C84" i="5"/>
  <c r="D84" i="5"/>
  <c r="E84" i="5"/>
  <c r="F84" i="5"/>
  <c r="H84"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HH84" i="5"/>
  <c r="HI84" i="5"/>
  <c r="HJ84" i="5"/>
  <c r="HK84" i="5"/>
  <c r="HL84" i="5"/>
  <c r="HM84" i="5"/>
  <c r="A85" i="5"/>
  <c r="B85" i="5"/>
  <c r="C85" i="5"/>
  <c r="D85" i="5"/>
  <c r="E85" i="5"/>
  <c r="F85" i="5"/>
  <c r="H85"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HH85" i="5"/>
  <c r="HI85" i="5"/>
  <c r="HJ85" i="5"/>
  <c r="HK85" i="5"/>
  <c r="HL85" i="5"/>
  <c r="HM85" i="5"/>
  <c r="A86" i="5"/>
  <c r="B86" i="5"/>
  <c r="C86" i="5"/>
  <c r="D86" i="5"/>
  <c r="E86" i="5"/>
  <c r="F86" i="5"/>
  <c r="H86"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HH86" i="5"/>
  <c r="HI86" i="5"/>
  <c r="HJ86" i="5"/>
  <c r="HK86" i="5"/>
  <c r="HL86" i="5"/>
  <c r="HM86" i="5"/>
  <c r="A87" i="5"/>
  <c r="B87" i="5"/>
  <c r="C87" i="5"/>
  <c r="D87" i="5"/>
  <c r="E87" i="5"/>
  <c r="F87" i="5"/>
  <c r="H87"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HH87" i="5"/>
  <c r="HI87" i="5"/>
  <c r="HJ87" i="5"/>
  <c r="HK87" i="5"/>
  <c r="HL87" i="5"/>
  <c r="HM87" i="5"/>
  <c r="A88" i="5"/>
  <c r="B88" i="5"/>
  <c r="C88" i="5"/>
  <c r="D88" i="5"/>
  <c r="E88" i="5"/>
  <c r="F88" i="5"/>
  <c r="H88"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HH88" i="5"/>
  <c r="HI88" i="5"/>
  <c r="HJ88" i="5"/>
  <c r="HK88" i="5"/>
  <c r="HL88" i="5"/>
  <c r="HM88" i="5"/>
  <c r="A89" i="5"/>
  <c r="B89" i="5"/>
  <c r="C89" i="5"/>
  <c r="D89" i="5"/>
  <c r="E89" i="5"/>
  <c r="F89" i="5"/>
  <c r="H89"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HH89" i="5"/>
  <c r="HI89" i="5"/>
  <c r="HJ89" i="5"/>
  <c r="HK89" i="5"/>
  <c r="HL89" i="5"/>
  <c r="HM89" i="5"/>
  <c r="A90" i="5"/>
  <c r="B90" i="5"/>
  <c r="C90" i="5"/>
  <c r="D90" i="5"/>
  <c r="E90" i="5"/>
  <c r="F90" i="5"/>
  <c r="H90"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HH90" i="5"/>
  <c r="HI90" i="5"/>
  <c r="HJ90" i="5"/>
  <c r="HK90" i="5"/>
  <c r="HL90" i="5"/>
  <c r="HM90" i="5"/>
  <c r="A91" i="5"/>
  <c r="B91" i="5"/>
  <c r="C91" i="5"/>
  <c r="D91" i="5"/>
  <c r="E91" i="5"/>
  <c r="F91" i="5"/>
  <c r="H91"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HH91" i="5"/>
  <c r="HI91" i="5"/>
  <c r="HJ91" i="5"/>
  <c r="HK91" i="5"/>
  <c r="HL91" i="5"/>
  <c r="HM91" i="5"/>
  <c r="A92" i="5"/>
  <c r="B92" i="5"/>
  <c r="C92" i="5"/>
  <c r="D92" i="5"/>
  <c r="E92" i="5"/>
  <c r="F92" i="5"/>
  <c r="H92"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HH92" i="5"/>
  <c r="HI92" i="5"/>
  <c r="HJ92" i="5"/>
  <c r="HK92" i="5"/>
  <c r="HL92" i="5"/>
  <c r="HM92" i="5"/>
  <c r="A93" i="5"/>
  <c r="B93" i="5"/>
  <c r="C93" i="5"/>
  <c r="D93" i="5"/>
  <c r="E93" i="5"/>
  <c r="F93" i="5"/>
  <c r="H93"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HH93" i="5"/>
  <c r="HI93" i="5"/>
  <c r="HJ93" i="5"/>
  <c r="HK93" i="5"/>
  <c r="HL93" i="5"/>
  <c r="HM93" i="5"/>
  <c r="A94" i="5"/>
  <c r="B94" i="5"/>
  <c r="C94" i="5"/>
  <c r="D94" i="5"/>
  <c r="E94" i="5"/>
  <c r="F94" i="5"/>
  <c r="H94"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HH94" i="5"/>
  <c r="HI94" i="5"/>
  <c r="HJ94" i="5"/>
  <c r="HK94" i="5"/>
  <c r="HL94" i="5"/>
  <c r="HM94" i="5"/>
  <c r="A95" i="5"/>
  <c r="B95" i="5"/>
  <c r="C95" i="5"/>
  <c r="D95" i="5"/>
  <c r="E95" i="5"/>
  <c r="F95" i="5"/>
  <c r="H95"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A96" i="5"/>
  <c r="B96" i="5"/>
  <c r="C96" i="5"/>
  <c r="D96" i="5"/>
  <c r="E96" i="5"/>
  <c r="F96" i="5"/>
  <c r="H96"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A97" i="5"/>
  <c r="B97" i="5"/>
  <c r="C97" i="5"/>
  <c r="D97" i="5"/>
  <c r="E97" i="5"/>
  <c r="F97" i="5"/>
  <c r="H97"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A98" i="5"/>
  <c r="B98" i="5"/>
  <c r="C98" i="5"/>
  <c r="D98" i="5"/>
  <c r="E98" i="5"/>
  <c r="F98" i="5"/>
  <c r="H98"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HH98" i="5"/>
  <c r="HI98" i="5"/>
  <c r="HJ98" i="5"/>
  <c r="HK98" i="5"/>
  <c r="HL98" i="5"/>
  <c r="HM98" i="5"/>
  <c r="A99" i="5"/>
  <c r="B99" i="5"/>
  <c r="C99" i="5"/>
  <c r="D99" i="5"/>
  <c r="E99" i="5"/>
  <c r="F99" i="5"/>
  <c r="H99"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HH99" i="5"/>
  <c r="HI99" i="5"/>
  <c r="HJ99" i="5"/>
  <c r="HK99" i="5"/>
  <c r="HL99" i="5"/>
  <c r="HM99" i="5"/>
  <c r="A100" i="5"/>
  <c r="B100" i="5"/>
  <c r="C100" i="5"/>
  <c r="D100" i="5"/>
  <c r="E100" i="5"/>
  <c r="F100" i="5"/>
  <c r="H100"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HH100" i="5"/>
  <c r="HI100" i="5"/>
  <c r="HJ100" i="5"/>
  <c r="HK100" i="5"/>
  <c r="HL100" i="5"/>
  <c r="HM100" i="5"/>
  <c r="A101" i="5"/>
  <c r="B101" i="5"/>
  <c r="C101" i="5"/>
  <c r="D101" i="5"/>
  <c r="E101" i="5"/>
  <c r="F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HH101" i="5"/>
  <c r="HI101" i="5"/>
  <c r="HJ101" i="5"/>
  <c r="HK101" i="5"/>
  <c r="HL101" i="5"/>
  <c r="HM101" i="5"/>
  <c r="A102" i="5"/>
  <c r="B102" i="5"/>
  <c r="C102" i="5"/>
  <c r="D102" i="5"/>
  <c r="E102" i="5"/>
  <c r="F102" i="5"/>
  <c r="H102"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HH102" i="5"/>
  <c r="HI102" i="5"/>
  <c r="HJ102" i="5"/>
  <c r="HK102" i="5"/>
  <c r="HL102" i="5"/>
  <c r="HM102" i="5"/>
  <c r="A103" i="5"/>
  <c r="B103" i="5"/>
  <c r="C103" i="5"/>
  <c r="D103" i="5"/>
  <c r="E103" i="5"/>
  <c r="F103" i="5"/>
  <c r="H103"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HH103" i="5"/>
  <c r="HI103" i="5"/>
  <c r="HJ103" i="5"/>
  <c r="HK103" i="5"/>
  <c r="HL103" i="5"/>
  <c r="HM103" i="5"/>
  <c r="A104" i="5"/>
  <c r="B104" i="5"/>
  <c r="C104" i="5"/>
  <c r="D104" i="5"/>
  <c r="E104" i="5"/>
  <c r="F104" i="5"/>
  <c r="H104"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HH104" i="5"/>
  <c r="HI104" i="5"/>
  <c r="HJ104" i="5"/>
  <c r="HK104" i="5"/>
  <c r="HL104" i="5"/>
  <c r="HM104" i="5"/>
  <c r="A105" i="5"/>
  <c r="B105" i="5"/>
  <c r="C105" i="5"/>
  <c r="D105" i="5"/>
  <c r="E105" i="5"/>
  <c r="F105" i="5"/>
  <c r="H105"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HH105" i="5"/>
  <c r="HI105" i="5"/>
  <c r="HJ105" i="5"/>
  <c r="HK105" i="5"/>
  <c r="HL105" i="5"/>
  <c r="HM105" i="5"/>
  <c r="A106" i="5"/>
  <c r="B106" i="5"/>
  <c r="C106" i="5"/>
  <c r="D106" i="5"/>
  <c r="E106" i="5"/>
  <c r="F106" i="5"/>
  <c r="H106"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HH106" i="5"/>
  <c r="HI106" i="5"/>
  <c r="HJ106" i="5"/>
  <c r="HK106" i="5"/>
  <c r="HL106" i="5"/>
  <c r="HM106" i="5"/>
  <c r="A107" i="5"/>
  <c r="B107" i="5"/>
  <c r="C107" i="5"/>
  <c r="D107" i="5"/>
  <c r="E107" i="5"/>
  <c r="F107" i="5"/>
  <c r="H107"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HH107" i="5"/>
  <c r="HI107" i="5"/>
  <c r="HJ107" i="5"/>
  <c r="HK107" i="5"/>
  <c r="HL107" i="5"/>
  <c r="HM107" i="5"/>
  <c r="A108" i="5"/>
  <c r="B108" i="5"/>
  <c r="C108" i="5"/>
  <c r="D108" i="5"/>
  <c r="E108" i="5"/>
  <c r="F108" i="5"/>
  <c r="H108"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HH108" i="5"/>
  <c r="HI108" i="5"/>
  <c r="HJ108" i="5"/>
  <c r="HK108" i="5"/>
  <c r="HL108" i="5"/>
  <c r="HM108" i="5"/>
  <c r="A109" i="5"/>
  <c r="B109" i="5"/>
  <c r="C109" i="5"/>
  <c r="D109" i="5"/>
  <c r="E109" i="5"/>
  <c r="F109" i="5"/>
  <c r="H109"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HH109" i="5"/>
  <c r="HI109" i="5"/>
  <c r="HJ109" i="5"/>
  <c r="HK109" i="5"/>
  <c r="HL109" i="5"/>
  <c r="HM109" i="5"/>
  <c r="A110" i="5"/>
  <c r="B110" i="5"/>
  <c r="C110" i="5"/>
  <c r="D110" i="5"/>
  <c r="E110" i="5"/>
  <c r="F110" i="5"/>
  <c r="H110"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HH110" i="5"/>
  <c r="HI110" i="5"/>
  <c r="HJ110" i="5"/>
  <c r="HK110" i="5"/>
  <c r="HL110" i="5"/>
  <c r="HM110" i="5"/>
  <c r="A111" i="5"/>
  <c r="B111" i="5"/>
  <c r="C111" i="5"/>
  <c r="D111" i="5"/>
  <c r="E111" i="5"/>
  <c r="F111" i="5"/>
  <c r="H111"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HH111" i="5"/>
  <c r="HI111" i="5"/>
  <c r="HJ111" i="5"/>
  <c r="HK111" i="5"/>
  <c r="HL111" i="5"/>
  <c r="HM111" i="5"/>
  <c r="A112" i="5"/>
  <c r="B112" i="5"/>
  <c r="C112" i="5"/>
  <c r="D112" i="5"/>
  <c r="E112" i="5"/>
  <c r="F112" i="5"/>
  <c r="H112"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HH112" i="5"/>
  <c r="HI112" i="5"/>
  <c r="HJ112" i="5"/>
  <c r="HK112" i="5"/>
  <c r="HL112" i="5"/>
  <c r="HM112" i="5"/>
  <c r="A113" i="5"/>
  <c r="B113" i="5"/>
  <c r="C113" i="5"/>
  <c r="D113" i="5"/>
  <c r="E113" i="5"/>
  <c r="F113" i="5"/>
  <c r="H113"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HH113" i="5"/>
  <c r="HI113" i="5"/>
  <c r="HJ113" i="5"/>
  <c r="HK113" i="5"/>
  <c r="HL113" i="5"/>
  <c r="HM113" i="5"/>
  <c r="A114" i="5"/>
  <c r="B114" i="5"/>
  <c r="C114" i="5"/>
  <c r="D114" i="5"/>
  <c r="E114" i="5"/>
  <c r="F114" i="5"/>
  <c r="H114"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HH114" i="5"/>
  <c r="HI114" i="5"/>
  <c r="HJ114" i="5"/>
  <c r="HK114" i="5"/>
  <c r="HL114" i="5"/>
  <c r="HM114" i="5"/>
  <c r="A115" i="5"/>
  <c r="B115" i="5"/>
  <c r="C115" i="5"/>
  <c r="D115" i="5"/>
  <c r="E115" i="5"/>
  <c r="F115" i="5"/>
  <c r="H115"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HH115" i="5"/>
  <c r="HI115" i="5"/>
  <c r="HJ115" i="5"/>
  <c r="HK115" i="5"/>
  <c r="HL115" i="5"/>
  <c r="HM115" i="5"/>
  <c r="A116" i="5"/>
  <c r="B116" i="5"/>
  <c r="C116" i="5"/>
  <c r="D116" i="5"/>
  <c r="E116" i="5"/>
  <c r="F116" i="5"/>
  <c r="H116"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HH116" i="5"/>
  <c r="HI116" i="5"/>
  <c r="HJ116" i="5"/>
  <c r="HK116" i="5"/>
  <c r="HL116" i="5"/>
  <c r="HM116" i="5"/>
  <c r="A117" i="5"/>
  <c r="B117" i="5"/>
  <c r="C117" i="5"/>
  <c r="D117" i="5"/>
  <c r="E117" i="5"/>
  <c r="F117" i="5"/>
  <c r="H117"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HH117" i="5"/>
  <c r="HI117" i="5"/>
  <c r="HJ117" i="5"/>
  <c r="HK117" i="5"/>
  <c r="HL117" i="5"/>
  <c r="HM117" i="5"/>
  <c r="A118" i="5"/>
  <c r="B118" i="5"/>
  <c r="C118" i="5"/>
  <c r="D118" i="5"/>
  <c r="E118" i="5"/>
  <c r="F118" i="5"/>
  <c r="H118"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HH118" i="5"/>
  <c r="HI118" i="5"/>
  <c r="HJ118" i="5"/>
  <c r="HK118" i="5"/>
  <c r="HL118" i="5"/>
  <c r="HM118" i="5"/>
  <c r="A119" i="5"/>
  <c r="B119" i="5"/>
  <c r="C119" i="5"/>
  <c r="D119" i="5"/>
  <c r="E119" i="5"/>
  <c r="F119" i="5"/>
  <c r="H119"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HH119" i="5"/>
  <c r="HI119" i="5"/>
  <c r="HJ119" i="5"/>
  <c r="HK119" i="5"/>
  <c r="HL119" i="5"/>
  <c r="HM119" i="5"/>
  <c r="A120" i="5"/>
  <c r="B120" i="5"/>
  <c r="C120" i="5"/>
  <c r="D120" i="5"/>
  <c r="E120" i="5"/>
  <c r="F120" i="5"/>
  <c r="H120"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HH120" i="5"/>
  <c r="HI120" i="5"/>
  <c r="HJ120" i="5"/>
  <c r="HK120" i="5"/>
  <c r="HL120" i="5"/>
  <c r="HM120" i="5"/>
  <c r="A121" i="5"/>
  <c r="B121" i="5"/>
  <c r="C121" i="5"/>
  <c r="D121" i="5"/>
  <c r="E121" i="5"/>
  <c r="F121" i="5"/>
  <c r="H121"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HH121" i="5"/>
  <c r="HI121" i="5"/>
  <c r="HJ121" i="5"/>
  <c r="HK121" i="5"/>
  <c r="HL121" i="5"/>
  <c r="HM121" i="5"/>
  <c r="A122" i="5"/>
  <c r="B122" i="5"/>
  <c r="C122" i="5"/>
  <c r="D122" i="5"/>
  <c r="E122" i="5"/>
  <c r="F122" i="5"/>
  <c r="H122"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HH122" i="5"/>
  <c r="HI122" i="5"/>
  <c r="HJ122" i="5"/>
  <c r="HK122" i="5"/>
  <c r="HL122" i="5"/>
  <c r="HM122" i="5"/>
  <c r="A123" i="5"/>
  <c r="B123" i="5"/>
  <c r="C123" i="5"/>
  <c r="D123" i="5"/>
  <c r="E123" i="5"/>
  <c r="F123" i="5"/>
  <c r="H123"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HH123" i="5"/>
  <c r="HI123" i="5"/>
  <c r="HJ123" i="5"/>
  <c r="HK123" i="5"/>
  <c r="HL123" i="5"/>
  <c r="HM123" i="5"/>
  <c r="A124" i="5"/>
  <c r="B124" i="5"/>
  <c r="C124" i="5"/>
  <c r="D124" i="5"/>
  <c r="E124" i="5"/>
  <c r="F124" i="5"/>
  <c r="H124"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HH124" i="5"/>
  <c r="HI124" i="5"/>
  <c r="HJ124" i="5"/>
  <c r="HK124" i="5"/>
  <c r="HL124" i="5"/>
  <c r="HM124" i="5"/>
  <c r="A125" i="5"/>
  <c r="B125" i="5"/>
  <c r="C125" i="5"/>
  <c r="D125" i="5"/>
  <c r="E125" i="5"/>
  <c r="F125" i="5"/>
  <c r="H125"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HH125" i="5"/>
  <c r="HI125" i="5"/>
  <c r="HJ125" i="5"/>
  <c r="HK125" i="5"/>
  <c r="HL125" i="5"/>
  <c r="HM125" i="5"/>
  <c r="A126" i="5"/>
  <c r="B126" i="5"/>
  <c r="C126" i="5"/>
  <c r="D126" i="5"/>
  <c r="E126" i="5"/>
  <c r="F126" i="5"/>
  <c r="H126"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HH126" i="5"/>
  <c r="HI126" i="5"/>
  <c r="HJ126" i="5"/>
  <c r="HK126" i="5"/>
  <c r="HL126" i="5"/>
  <c r="HM126" i="5"/>
  <c r="A127" i="5"/>
  <c r="B127" i="5"/>
  <c r="C127" i="5"/>
  <c r="D127" i="5"/>
  <c r="E127" i="5"/>
  <c r="F127" i="5"/>
  <c r="H127"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HH127" i="5"/>
  <c r="HI127" i="5"/>
  <c r="HJ127" i="5"/>
  <c r="HK127" i="5"/>
  <c r="HL127" i="5"/>
  <c r="HM127" i="5"/>
  <c r="A128" i="5"/>
  <c r="B128" i="5"/>
  <c r="C128" i="5"/>
  <c r="D128" i="5"/>
  <c r="E128" i="5"/>
  <c r="F128" i="5"/>
  <c r="H128"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HH128" i="5"/>
  <c r="HI128" i="5"/>
  <c r="HJ128" i="5"/>
  <c r="HK128" i="5"/>
  <c r="HL128" i="5"/>
  <c r="HM128" i="5"/>
  <c r="A129" i="5"/>
  <c r="B129" i="5"/>
  <c r="C129" i="5"/>
  <c r="D129" i="5"/>
  <c r="E129" i="5"/>
  <c r="F129" i="5"/>
  <c r="H129"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HH129" i="5"/>
  <c r="HI129" i="5"/>
  <c r="HJ129" i="5"/>
  <c r="HK129" i="5"/>
  <c r="HL129" i="5"/>
  <c r="HM129" i="5"/>
  <c r="A130" i="5"/>
  <c r="B130" i="5"/>
  <c r="C130" i="5"/>
  <c r="D130" i="5"/>
  <c r="E130" i="5"/>
  <c r="F130" i="5"/>
  <c r="H130"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HH130" i="5"/>
  <c r="HI130" i="5"/>
  <c r="HJ130" i="5"/>
  <c r="HK130" i="5"/>
  <c r="HL130" i="5"/>
  <c r="HM130" i="5"/>
  <c r="A131" i="5"/>
  <c r="B131" i="5"/>
  <c r="C131" i="5"/>
  <c r="D131" i="5"/>
  <c r="E131" i="5"/>
  <c r="F131" i="5"/>
  <c r="H131"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HH131" i="5"/>
  <c r="HI131" i="5"/>
  <c r="HJ131" i="5"/>
  <c r="HK131" i="5"/>
  <c r="HL131" i="5"/>
  <c r="HM131" i="5"/>
  <c r="A132" i="5"/>
  <c r="B132" i="5"/>
  <c r="C132" i="5"/>
  <c r="D132" i="5"/>
  <c r="E132" i="5"/>
  <c r="F132" i="5"/>
  <c r="H132"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HH132" i="5"/>
  <c r="HI132" i="5"/>
  <c r="HJ132" i="5"/>
  <c r="HK132" i="5"/>
  <c r="HL132" i="5"/>
  <c r="HM132" i="5"/>
  <c r="A133" i="5"/>
  <c r="B133" i="5"/>
  <c r="C133" i="5"/>
  <c r="D133" i="5"/>
  <c r="E133" i="5"/>
  <c r="F133" i="5"/>
  <c r="H133"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HH133" i="5"/>
  <c r="HI133" i="5"/>
  <c r="HJ133" i="5"/>
  <c r="HK133" i="5"/>
  <c r="HL133" i="5"/>
  <c r="HM133" i="5"/>
  <c r="A134" i="5"/>
  <c r="B134" i="5"/>
  <c r="C134" i="5"/>
  <c r="D134" i="5"/>
  <c r="E134" i="5"/>
  <c r="F134" i="5"/>
  <c r="H134"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HH134" i="5"/>
  <c r="HI134" i="5"/>
  <c r="HJ134" i="5"/>
  <c r="HK134" i="5"/>
  <c r="HL134" i="5"/>
  <c r="HM134" i="5"/>
  <c r="A135" i="5"/>
  <c r="B135" i="5"/>
  <c r="C135" i="5"/>
  <c r="D135" i="5"/>
  <c r="E135" i="5"/>
  <c r="F135" i="5"/>
  <c r="H135"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HH135" i="5"/>
  <c r="HI135" i="5"/>
  <c r="HJ135" i="5"/>
  <c r="HK135" i="5"/>
  <c r="HL135" i="5"/>
  <c r="HM135" i="5"/>
  <c r="A136" i="5"/>
  <c r="B136" i="5"/>
  <c r="C136" i="5"/>
  <c r="D136" i="5"/>
  <c r="E136" i="5"/>
  <c r="F136" i="5"/>
  <c r="H136"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HH136" i="5"/>
  <c r="HI136" i="5"/>
  <c r="HJ136" i="5"/>
  <c r="HK136" i="5"/>
  <c r="HL136" i="5"/>
  <c r="HM136" i="5"/>
  <c r="A137" i="5"/>
  <c r="B137" i="5"/>
  <c r="C137" i="5"/>
  <c r="D137" i="5"/>
  <c r="E137" i="5"/>
  <c r="F137" i="5"/>
  <c r="H137"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HH137" i="5"/>
  <c r="HI137" i="5"/>
  <c r="HJ137" i="5"/>
  <c r="HK137" i="5"/>
  <c r="HL137" i="5"/>
  <c r="HM137" i="5"/>
  <c r="A138" i="5"/>
  <c r="B138" i="5"/>
  <c r="C138" i="5"/>
  <c r="D138" i="5"/>
  <c r="E138" i="5"/>
  <c r="F138" i="5"/>
  <c r="H138"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HH138" i="5"/>
  <c r="HI138" i="5"/>
  <c r="HJ138" i="5"/>
  <c r="HK138" i="5"/>
  <c r="HL138" i="5"/>
  <c r="HM138" i="5"/>
  <c r="A139" i="5"/>
  <c r="B139" i="5"/>
  <c r="C139" i="5"/>
  <c r="D139" i="5"/>
  <c r="E139" i="5"/>
  <c r="F139" i="5"/>
  <c r="H139"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HH139" i="5"/>
  <c r="HI139" i="5"/>
  <c r="HJ139" i="5"/>
  <c r="HK139" i="5"/>
  <c r="HL139" i="5"/>
  <c r="HM139" i="5"/>
  <c r="A140" i="5"/>
  <c r="B140" i="5"/>
  <c r="C140" i="5"/>
  <c r="D140" i="5"/>
  <c r="E140" i="5"/>
  <c r="F140" i="5"/>
  <c r="H140"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HH140" i="5"/>
  <c r="HI140" i="5"/>
  <c r="HJ140" i="5"/>
  <c r="HK140" i="5"/>
  <c r="HL140" i="5"/>
  <c r="HM140" i="5"/>
  <c r="A141" i="5"/>
  <c r="B141" i="5"/>
  <c r="C141" i="5"/>
  <c r="D141" i="5"/>
  <c r="E141" i="5"/>
  <c r="F141" i="5"/>
  <c r="H141"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HH141" i="5"/>
  <c r="HI141" i="5"/>
  <c r="HJ141" i="5"/>
  <c r="HK141" i="5"/>
  <c r="HL141" i="5"/>
  <c r="HM141" i="5"/>
  <c r="A142" i="5"/>
  <c r="B142" i="5"/>
  <c r="C142" i="5"/>
  <c r="D142" i="5"/>
  <c r="E142" i="5"/>
  <c r="F142" i="5"/>
  <c r="H142"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HH142" i="5"/>
  <c r="HI142" i="5"/>
  <c r="HJ142" i="5"/>
  <c r="HK142" i="5"/>
  <c r="HL142" i="5"/>
  <c r="HM142" i="5"/>
  <c r="A143" i="5"/>
  <c r="B143" i="5"/>
  <c r="C143" i="5"/>
  <c r="D143" i="5"/>
  <c r="E143" i="5"/>
  <c r="F143" i="5"/>
  <c r="H143"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HH143" i="5"/>
  <c r="HI143" i="5"/>
  <c r="HJ143" i="5"/>
  <c r="HK143" i="5"/>
  <c r="HL143" i="5"/>
  <c r="HM143" i="5"/>
  <c r="A144" i="5"/>
  <c r="B144" i="5"/>
  <c r="C144" i="5"/>
  <c r="D144" i="5"/>
  <c r="E144" i="5"/>
  <c r="F144" i="5"/>
  <c r="H144"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HH144" i="5"/>
  <c r="HI144" i="5"/>
  <c r="HJ144" i="5"/>
  <c r="HK144" i="5"/>
  <c r="HL144" i="5"/>
  <c r="HM144" i="5"/>
  <c r="A145" i="5"/>
  <c r="B145" i="5"/>
  <c r="C145" i="5"/>
  <c r="D145" i="5"/>
  <c r="E145" i="5"/>
  <c r="F145" i="5"/>
  <c r="H145"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HH145" i="5"/>
  <c r="HI145" i="5"/>
  <c r="HJ145" i="5"/>
  <c r="HK145" i="5"/>
  <c r="HL145" i="5"/>
  <c r="HM145" i="5"/>
  <c r="A146" i="5"/>
  <c r="B146" i="5"/>
  <c r="C146" i="5"/>
  <c r="D146" i="5"/>
  <c r="E146" i="5"/>
  <c r="F146" i="5"/>
  <c r="H146"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HH146" i="5"/>
  <c r="HI146" i="5"/>
  <c r="HJ146" i="5"/>
  <c r="HK146" i="5"/>
  <c r="HL146" i="5"/>
  <c r="HM146" i="5"/>
  <c r="A147" i="5"/>
  <c r="B147" i="5"/>
  <c r="C147" i="5"/>
  <c r="D147" i="5"/>
  <c r="E147" i="5"/>
  <c r="F147" i="5"/>
  <c r="H147"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HH147" i="5"/>
  <c r="HI147" i="5"/>
  <c r="HJ147" i="5"/>
  <c r="HK147" i="5"/>
  <c r="HL147" i="5"/>
  <c r="HM147" i="5"/>
  <c r="A148" i="5"/>
  <c r="B148" i="5"/>
  <c r="C148" i="5"/>
  <c r="D148" i="5"/>
  <c r="E148" i="5"/>
  <c r="F148" i="5"/>
  <c r="H148"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HH148" i="5"/>
  <c r="HI148" i="5"/>
  <c r="HJ148" i="5"/>
  <c r="HK148" i="5"/>
  <c r="HL148" i="5"/>
  <c r="HM148" i="5"/>
  <c r="A149" i="5"/>
  <c r="B149" i="5"/>
  <c r="C149" i="5"/>
  <c r="D149" i="5"/>
  <c r="E149" i="5"/>
  <c r="F149" i="5"/>
  <c r="H149"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HH149" i="5"/>
  <c r="HI149" i="5"/>
  <c r="HJ149" i="5"/>
  <c r="HK149" i="5"/>
  <c r="HL149" i="5"/>
  <c r="HM149" i="5"/>
  <c r="A150" i="5"/>
  <c r="B150" i="5"/>
  <c r="C150" i="5"/>
  <c r="D150" i="5"/>
  <c r="E150" i="5"/>
  <c r="F150" i="5"/>
  <c r="H150"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HH150" i="5"/>
  <c r="HI150" i="5"/>
  <c r="HJ150" i="5"/>
  <c r="HK150" i="5"/>
  <c r="HL150" i="5"/>
  <c r="HM150" i="5"/>
  <c r="A151" i="5"/>
  <c r="B151" i="5"/>
  <c r="C151" i="5"/>
  <c r="D151" i="5"/>
  <c r="E151" i="5"/>
  <c r="F151" i="5"/>
  <c r="H151"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HH151" i="5"/>
  <c r="HI151" i="5"/>
  <c r="HJ151" i="5"/>
  <c r="HK151" i="5"/>
  <c r="HL151" i="5"/>
  <c r="HM151" i="5"/>
  <c r="A152" i="5"/>
  <c r="B152" i="5"/>
  <c r="C152" i="5"/>
  <c r="D152" i="5"/>
  <c r="E152" i="5"/>
  <c r="F152" i="5"/>
  <c r="H152"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HH152" i="5"/>
  <c r="HI152" i="5"/>
  <c r="HJ152" i="5"/>
  <c r="HK152" i="5"/>
  <c r="HL152" i="5"/>
  <c r="HM152" i="5"/>
  <c r="A153" i="5"/>
  <c r="B153" i="5"/>
  <c r="C153" i="5"/>
  <c r="D153" i="5"/>
  <c r="E153" i="5"/>
  <c r="F153" i="5"/>
  <c r="H153"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HH153" i="5"/>
  <c r="HI153" i="5"/>
  <c r="HJ153" i="5"/>
  <c r="HK153" i="5"/>
  <c r="HL153" i="5"/>
  <c r="HM153" i="5"/>
  <c r="A154" i="5"/>
  <c r="B154" i="5"/>
  <c r="C154" i="5"/>
  <c r="D154" i="5"/>
  <c r="E154" i="5"/>
  <c r="F154" i="5"/>
  <c r="H154"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HH154" i="5"/>
  <c r="HI154" i="5"/>
  <c r="HJ154" i="5"/>
  <c r="HK154" i="5"/>
  <c r="HL154" i="5"/>
  <c r="HM154" i="5"/>
  <c r="A155" i="5"/>
  <c r="B155" i="5"/>
  <c r="C155" i="5"/>
  <c r="D155" i="5"/>
  <c r="E155" i="5"/>
  <c r="F155" i="5"/>
  <c r="H155"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HH155" i="5"/>
  <c r="HI155" i="5"/>
  <c r="HJ155" i="5"/>
  <c r="HK155" i="5"/>
  <c r="HL155" i="5"/>
  <c r="HM155" i="5"/>
  <c r="A156" i="5"/>
  <c r="B156" i="5"/>
  <c r="C156" i="5"/>
  <c r="D156" i="5"/>
  <c r="E156" i="5"/>
  <c r="F156" i="5"/>
  <c r="H156"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HH156" i="5"/>
  <c r="HI156" i="5"/>
  <c r="HJ156" i="5"/>
  <c r="HK156" i="5"/>
  <c r="HL156" i="5"/>
  <c r="HM156" i="5"/>
  <c r="A157" i="5"/>
  <c r="B157" i="5"/>
  <c r="C157" i="5"/>
  <c r="D157" i="5"/>
  <c r="E157" i="5"/>
  <c r="F157" i="5"/>
  <c r="H157"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HH157" i="5"/>
  <c r="HI157" i="5"/>
  <c r="HJ157" i="5"/>
  <c r="HK157" i="5"/>
  <c r="HL157" i="5"/>
  <c r="HM157" i="5"/>
  <c r="A158" i="5"/>
  <c r="B158" i="5"/>
  <c r="C158" i="5"/>
  <c r="D158" i="5"/>
  <c r="E158" i="5"/>
  <c r="F158" i="5"/>
  <c r="H158"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HH158" i="5"/>
  <c r="HI158" i="5"/>
  <c r="HJ158" i="5"/>
  <c r="HK158" i="5"/>
  <c r="HL158" i="5"/>
  <c r="HM158" i="5"/>
  <c r="A159" i="5"/>
  <c r="B159" i="5"/>
  <c r="C159" i="5"/>
  <c r="D159" i="5"/>
  <c r="E159" i="5"/>
  <c r="F159" i="5"/>
  <c r="H159"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HH159" i="5"/>
  <c r="HI159" i="5"/>
  <c r="HJ159" i="5"/>
  <c r="HK159" i="5"/>
  <c r="HL159" i="5"/>
  <c r="HM159" i="5"/>
  <c r="A160" i="5"/>
  <c r="B160" i="5"/>
  <c r="C160" i="5"/>
  <c r="D160" i="5"/>
  <c r="E160" i="5"/>
  <c r="F160" i="5"/>
  <c r="H160"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HH160" i="5"/>
  <c r="HI160" i="5"/>
  <c r="HJ160" i="5"/>
  <c r="HK160" i="5"/>
  <c r="HL160" i="5"/>
  <c r="HM160" i="5"/>
  <c r="A161" i="5"/>
  <c r="B161" i="5"/>
  <c r="C161" i="5"/>
  <c r="D161" i="5"/>
  <c r="E161" i="5"/>
  <c r="F161" i="5"/>
  <c r="H161"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HH161" i="5"/>
  <c r="HI161" i="5"/>
  <c r="HJ161" i="5"/>
  <c r="HK161" i="5"/>
  <c r="HL161" i="5"/>
  <c r="HM161" i="5"/>
  <c r="A162" i="5"/>
  <c r="B162" i="5"/>
  <c r="C162" i="5"/>
  <c r="D162" i="5"/>
  <c r="E162" i="5"/>
  <c r="F162" i="5"/>
  <c r="H162"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HH162" i="5"/>
  <c r="HI162" i="5"/>
  <c r="HJ162" i="5"/>
  <c r="HK162" i="5"/>
  <c r="HL162" i="5"/>
  <c r="HM162" i="5"/>
  <c r="A163" i="5"/>
  <c r="B163" i="5"/>
  <c r="C163" i="5"/>
  <c r="D163" i="5"/>
  <c r="E163" i="5"/>
  <c r="F163" i="5"/>
  <c r="H163"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HH163" i="5"/>
  <c r="HI163" i="5"/>
  <c r="HJ163" i="5"/>
  <c r="HK163" i="5"/>
  <c r="HL163" i="5"/>
  <c r="HM163" i="5"/>
  <c r="A164" i="5"/>
  <c r="B164" i="5"/>
  <c r="C164" i="5"/>
  <c r="D164" i="5"/>
  <c r="E164" i="5"/>
  <c r="F164" i="5"/>
  <c r="H164"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HH164" i="5"/>
  <c r="HI164" i="5"/>
  <c r="HJ164" i="5"/>
  <c r="HK164" i="5"/>
  <c r="HL164" i="5"/>
  <c r="HM164" i="5"/>
  <c r="A165" i="5"/>
  <c r="B165" i="5"/>
  <c r="C165" i="5"/>
  <c r="D165" i="5"/>
  <c r="E165" i="5"/>
  <c r="F165" i="5"/>
  <c r="H165"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HH165" i="5"/>
  <c r="HI165" i="5"/>
  <c r="HJ165" i="5"/>
  <c r="HK165" i="5"/>
  <c r="HL165" i="5"/>
  <c r="HM165" i="5"/>
  <c r="A166" i="5"/>
  <c r="B166" i="5"/>
  <c r="C166" i="5"/>
  <c r="D166" i="5"/>
  <c r="E166" i="5"/>
  <c r="F166" i="5"/>
  <c r="H166"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HH166" i="5"/>
  <c r="HI166" i="5"/>
  <c r="HJ166" i="5"/>
  <c r="HK166" i="5"/>
  <c r="HL166" i="5"/>
  <c r="HM166" i="5"/>
  <c r="A167" i="5"/>
  <c r="B167" i="5"/>
  <c r="C167" i="5"/>
  <c r="D167" i="5"/>
  <c r="E167" i="5"/>
  <c r="F167" i="5"/>
  <c r="H167"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HH167" i="5"/>
  <c r="HI167" i="5"/>
  <c r="HJ167" i="5"/>
  <c r="HK167" i="5"/>
  <c r="HL167" i="5"/>
  <c r="HM167" i="5"/>
  <c r="A168" i="5"/>
  <c r="B168" i="5"/>
  <c r="C168" i="5"/>
  <c r="D168" i="5"/>
  <c r="E168" i="5"/>
  <c r="F168" i="5"/>
  <c r="H168"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HH168" i="5"/>
  <c r="HI168" i="5"/>
  <c r="HJ168" i="5"/>
  <c r="HK168" i="5"/>
  <c r="HL168" i="5"/>
  <c r="HM168" i="5"/>
  <c r="A169" i="5"/>
  <c r="B169" i="5"/>
  <c r="C169" i="5"/>
  <c r="D169" i="5"/>
  <c r="E169" i="5"/>
  <c r="F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HH169" i="5"/>
  <c r="HI169" i="5"/>
  <c r="HJ169" i="5"/>
  <c r="HK169" i="5"/>
  <c r="HL169" i="5"/>
  <c r="HM169" i="5"/>
  <c r="A170" i="5"/>
  <c r="B170" i="5"/>
  <c r="C170" i="5"/>
  <c r="D170" i="5"/>
  <c r="E170" i="5"/>
  <c r="F170" i="5"/>
  <c r="H170"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HH170" i="5"/>
  <c r="HI170" i="5"/>
  <c r="HJ170" i="5"/>
  <c r="HK170" i="5"/>
  <c r="HL170" i="5"/>
  <c r="HM170" i="5"/>
  <c r="A171" i="5"/>
  <c r="B171" i="5"/>
  <c r="C171" i="5"/>
  <c r="D171" i="5"/>
  <c r="E171" i="5"/>
  <c r="F171" i="5"/>
  <c r="H171"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HH171" i="5"/>
  <c r="HI171" i="5"/>
  <c r="HJ171" i="5"/>
  <c r="HK171" i="5"/>
  <c r="HL171" i="5"/>
  <c r="HM171" i="5"/>
  <c r="A172" i="5"/>
  <c r="B172" i="5"/>
  <c r="C172" i="5"/>
  <c r="D172" i="5"/>
  <c r="E172" i="5"/>
  <c r="F172" i="5"/>
  <c r="H172"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HH172" i="5"/>
  <c r="HI172" i="5"/>
  <c r="HJ172" i="5"/>
  <c r="HK172" i="5"/>
  <c r="HL172" i="5"/>
  <c r="HM172" i="5"/>
  <c r="A173" i="5"/>
  <c r="B173" i="5"/>
  <c r="C173" i="5"/>
  <c r="D173" i="5"/>
  <c r="E173" i="5"/>
  <c r="F173" i="5"/>
  <c r="H173"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HH173" i="5"/>
  <c r="HI173" i="5"/>
  <c r="HJ173" i="5"/>
  <c r="HK173" i="5"/>
  <c r="HL173" i="5"/>
  <c r="HM173" i="5"/>
  <c r="A174" i="5"/>
  <c r="B174" i="5"/>
  <c r="C174" i="5"/>
  <c r="D174" i="5"/>
  <c r="E174" i="5"/>
  <c r="F174" i="5"/>
  <c r="H174"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HH174" i="5"/>
  <c r="HI174" i="5"/>
  <c r="HJ174" i="5"/>
  <c r="HK174" i="5"/>
  <c r="HL174" i="5"/>
  <c r="HM174" i="5"/>
  <c r="A175" i="5"/>
  <c r="B175" i="5"/>
  <c r="C175" i="5"/>
  <c r="D175" i="5"/>
  <c r="E175" i="5"/>
  <c r="F175" i="5"/>
  <c r="H175"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HH175" i="5"/>
  <c r="HI175" i="5"/>
  <c r="HJ175" i="5"/>
  <c r="HK175" i="5"/>
  <c r="HL175" i="5"/>
  <c r="HM175" i="5"/>
  <c r="A176" i="5"/>
  <c r="B176" i="5"/>
  <c r="C176" i="5"/>
  <c r="D176" i="5"/>
  <c r="E176" i="5"/>
  <c r="F176" i="5"/>
  <c r="H176"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HH176" i="5"/>
  <c r="HI176" i="5"/>
  <c r="HJ176" i="5"/>
  <c r="HK176" i="5"/>
  <c r="HL176" i="5"/>
  <c r="HM176" i="5"/>
  <c r="A177" i="5"/>
  <c r="B177" i="5"/>
  <c r="C177" i="5"/>
  <c r="D177" i="5"/>
  <c r="E177" i="5"/>
  <c r="F177" i="5"/>
  <c r="H177"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HH177" i="5"/>
  <c r="HI177" i="5"/>
  <c r="HJ177" i="5"/>
  <c r="HK177" i="5"/>
  <c r="HL177" i="5"/>
  <c r="HM177" i="5"/>
  <c r="A178" i="5"/>
  <c r="B178" i="5"/>
  <c r="C178" i="5"/>
  <c r="D178" i="5"/>
  <c r="E178" i="5"/>
  <c r="F178" i="5"/>
  <c r="H178"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HH178" i="5"/>
  <c r="HI178" i="5"/>
  <c r="HJ178" i="5"/>
  <c r="HK178" i="5"/>
  <c r="HL178" i="5"/>
  <c r="HM178" i="5"/>
  <c r="A179" i="5"/>
  <c r="B179" i="5"/>
  <c r="C179" i="5"/>
  <c r="D179" i="5"/>
  <c r="E179" i="5"/>
  <c r="F179" i="5"/>
  <c r="H179"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HH179" i="5"/>
  <c r="HI179" i="5"/>
  <c r="HJ179" i="5"/>
  <c r="HK179" i="5"/>
  <c r="HL179" i="5"/>
  <c r="HM179" i="5"/>
  <c r="A180" i="5"/>
  <c r="B180" i="5"/>
  <c r="C180" i="5"/>
  <c r="D180" i="5"/>
  <c r="E180" i="5"/>
  <c r="F180" i="5"/>
  <c r="H180"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HH180" i="5"/>
  <c r="HI180" i="5"/>
  <c r="HJ180" i="5"/>
  <c r="HK180" i="5"/>
  <c r="HL180" i="5"/>
  <c r="HM180" i="5"/>
  <c r="A181" i="5"/>
  <c r="B181" i="5"/>
  <c r="C181" i="5"/>
  <c r="D181" i="5"/>
  <c r="E181" i="5"/>
  <c r="F181" i="5"/>
  <c r="H181"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HH181" i="5"/>
  <c r="HI181" i="5"/>
  <c r="HJ181" i="5"/>
  <c r="HK181" i="5"/>
  <c r="HL181" i="5"/>
  <c r="HM181" i="5"/>
  <c r="A182" i="5"/>
  <c r="B182" i="5"/>
  <c r="C182" i="5"/>
  <c r="D182" i="5"/>
  <c r="E182" i="5"/>
  <c r="F182" i="5"/>
  <c r="H182"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HH182" i="5"/>
  <c r="HI182" i="5"/>
  <c r="HJ182" i="5"/>
  <c r="HK182" i="5"/>
  <c r="HL182" i="5"/>
  <c r="HM182" i="5"/>
  <c r="A183" i="5"/>
  <c r="B183" i="5"/>
  <c r="C183" i="5"/>
  <c r="D183" i="5"/>
  <c r="E183" i="5"/>
  <c r="F183" i="5"/>
  <c r="H183"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HH183" i="5"/>
  <c r="HI183" i="5"/>
  <c r="HJ183" i="5"/>
  <c r="HK183" i="5"/>
  <c r="HL183" i="5"/>
  <c r="HM183" i="5"/>
  <c r="A184" i="5"/>
  <c r="B184" i="5"/>
  <c r="C184" i="5"/>
  <c r="D184" i="5"/>
  <c r="E184" i="5"/>
  <c r="F184" i="5"/>
  <c r="H184"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HH184" i="5"/>
  <c r="HI184" i="5"/>
  <c r="HJ184" i="5"/>
  <c r="HK184" i="5"/>
  <c r="HL184" i="5"/>
  <c r="HM184" i="5"/>
  <c r="A185" i="5"/>
  <c r="B185" i="5"/>
  <c r="C185" i="5"/>
  <c r="D185" i="5"/>
  <c r="E185" i="5"/>
  <c r="F185" i="5"/>
  <c r="H185"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HH185" i="5"/>
  <c r="HI185" i="5"/>
  <c r="HJ185" i="5"/>
  <c r="HK185" i="5"/>
  <c r="HL185" i="5"/>
  <c r="HM185" i="5"/>
  <c r="A186" i="5"/>
  <c r="B186" i="5"/>
  <c r="C186" i="5"/>
  <c r="D186" i="5"/>
  <c r="E186" i="5"/>
  <c r="F186" i="5"/>
  <c r="H186"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HH186" i="5"/>
  <c r="HI186" i="5"/>
  <c r="HJ186" i="5"/>
  <c r="HK186" i="5"/>
  <c r="HL186" i="5"/>
  <c r="HM186" i="5"/>
  <c r="A187" i="5"/>
  <c r="B187" i="5"/>
  <c r="C187" i="5"/>
  <c r="D187" i="5"/>
  <c r="E187" i="5"/>
  <c r="F187" i="5"/>
  <c r="H187"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HH187" i="5"/>
  <c r="HI187" i="5"/>
  <c r="HJ187" i="5"/>
  <c r="HK187" i="5"/>
  <c r="HL187" i="5"/>
  <c r="HM187" i="5"/>
  <c r="A188" i="5"/>
  <c r="B188" i="5"/>
  <c r="C188" i="5"/>
  <c r="D188" i="5"/>
  <c r="E188" i="5"/>
  <c r="F188" i="5"/>
  <c r="H188"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HH188" i="5"/>
  <c r="HI188" i="5"/>
  <c r="HJ188" i="5"/>
  <c r="HK188" i="5"/>
  <c r="HL188" i="5"/>
  <c r="HM188" i="5"/>
  <c r="A189" i="5"/>
  <c r="B189" i="5"/>
  <c r="C189" i="5"/>
  <c r="D189" i="5"/>
  <c r="E189" i="5"/>
  <c r="F189" i="5"/>
  <c r="H189"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HH189" i="5"/>
  <c r="HI189" i="5"/>
  <c r="HJ189" i="5"/>
  <c r="HK189" i="5"/>
  <c r="HL189" i="5"/>
  <c r="HM189" i="5"/>
  <c r="A190" i="5"/>
  <c r="B190" i="5"/>
  <c r="C190" i="5"/>
  <c r="D190" i="5"/>
  <c r="E190" i="5"/>
  <c r="F190" i="5"/>
  <c r="H190"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HH190" i="5"/>
  <c r="HI190" i="5"/>
  <c r="HJ190" i="5"/>
  <c r="HK190" i="5"/>
  <c r="HL190" i="5"/>
  <c r="HM190" i="5"/>
  <c r="A191" i="5"/>
  <c r="B191" i="5"/>
  <c r="C191" i="5"/>
  <c r="D191" i="5"/>
  <c r="E191" i="5"/>
  <c r="F191" i="5"/>
  <c r="H191"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HH191" i="5"/>
  <c r="HI191" i="5"/>
  <c r="HJ191" i="5"/>
  <c r="HK191" i="5"/>
  <c r="HL191" i="5"/>
  <c r="HM191" i="5"/>
  <c r="A192" i="5"/>
  <c r="B192" i="5"/>
  <c r="C192" i="5"/>
  <c r="D192" i="5"/>
  <c r="E192" i="5"/>
  <c r="F192" i="5"/>
  <c r="H192"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HH192" i="5"/>
  <c r="HI192" i="5"/>
  <c r="HJ192" i="5"/>
  <c r="HK192" i="5"/>
  <c r="HL192" i="5"/>
  <c r="HM192" i="5"/>
  <c r="A193" i="5"/>
  <c r="B193" i="5"/>
  <c r="C193" i="5"/>
  <c r="D193" i="5"/>
  <c r="E193" i="5"/>
  <c r="F193" i="5"/>
  <c r="H193"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A194" i="5"/>
  <c r="B194" i="5"/>
  <c r="C194" i="5"/>
  <c r="D194" i="5"/>
  <c r="E194" i="5"/>
  <c r="F194" i="5"/>
  <c r="H194"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A195" i="5"/>
  <c r="B195" i="5"/>
  <c r="C195" i="5"/>
  <c r="D195" i="5"/>
  <c r="E195" i="5"/>
  <c r="F195" i="5"/>
  <c r="H195"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A196" i="5"/>
  <c r="B196" i="5"/>
  <c r="C196" i="5"/>
  <c r="D196" i="5"/>
  <c r="E196" i="5"/>
  <c r="F196" i="5"/>
  <c r="H196"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HH196" i="5"/>
  <c r="HI196" i="5"/>
  <c r="HJ196" i="5"/>
  <c r="HK196" i="5"/>
  <c r="HL196" i="5"/>
  <c r="HM196" i="5"/>
  <c r="A197" i="5"/>
  <c r="B197" i="5"/>
  <c r="C197" i="5"/>
  <c r="D197" i="5"/>
  <c r="E197" i="5"/>
  <c r="F197" i="5"/>
  <c r="H197"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HH197" i="5"/>
  <c r="HI197" i="5"/>
  <c r="HJ197" i="5"/>
  <c r="HK197" i="5"/>
  <c r="HL197" i="5"/>
  <c r="HM197" i="5"/>
  <c r="A198" i="5"/>
  <c r="B198" i="5"/>
  <c r="C198" i="5"/>
  <c r="D198" i="5"/>
  <c r="E198" i="5"/>
  <c r="F198" i="5"/>
  <c r="H198"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HH198" i="5"/>
  <c r="HI198" i="5"/>
  <c r="HJ198" i="5"/>
  <c r="HK198" i="5"/>
  <c r="HL198" i="5"/>
  <c r="HM198" i="5"/>
  <c r="A199" i="5"/>
  <c r="B199" i="5"/>
  <c r="C199" i="5"/>
  <c r="D199" i="5"/>
  <c r="E199" i="5"/>
  <c r="F199" i="5"/>
  <c r="H199"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HH199" i="5"/>
  <c r="HI199" i="5"/>
  <c r="HJ199" i="5"/>
  <c r="HK199" i="5"/>
  <c r="HL199" i="5"/>
  <c r="HM199" i="5"/>
  <c r="A200" i="5"/>
  <c r="B200" i="5"/>
  <c r="C200" i="5"/>
  <c r="D200" i="5"/>
  <c r="E200" i="5"/>
  <c r="F200" i="5"/>
  <c r="H200"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HH200" i="5"/>
  <c r="HI200" i="5"/>
  <c r="HJ200" i="5"/>
  <c r="HK200" i="5"/>
  <c r="HL200" i="5"/>
  <c r="HM200" i="5"/>
  <c r="A201" i="5"/>
  <c r="B201" i="5"/>
  <c r="C201" i="5"/>
  <c r="D201" i="5"/>
  <c r="E201" i="5"/>
  <c r="F201" i="5"/>
  <c r="H201"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HH201" i="5"/>
  <c r="HI201" i="5"/>
  <c r="HJ201" i="5"/>
  <c r="HK201" i="5"/>
  <c r="HL201" i="5"/>
  <c r="HM201" i="5"/>
  <c r="A202" i="5"/>
  <c r="B202" i="5"/>
  <c r="C202" i="5"/>
  <c r="D202" i="5"/>
  <c r="E202" i="5"/>
  <c r="F202" i="5"/>
  <c r="H202"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HH202" i="5"/>
  <c r="HI202" i="5"/>
  <c r="HJ202" i="5"/>
  <c r="HK202" i="5"/>
  <c r="HL202" i="5"/>
  <c r="HM202" i="5"/>
  <c r="A203" i="5"/>
  <c r="B203" i="5"/>
  <c r="C203" i="5"/>
  <c r="D203" i="5"/>
  <c r="E203" i="5"/>
  <c r="F203" i="5"/>
  <c r="H203"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HH203" i="5"/>
  <c r="HI203" i="5"/>
  <c r="HJ203" i="5"/>
  <c r="HK203" i="5"/>
  <c r="HL203" i="5"/>
  <c r="HM203" i="5"/>
  <c r="A204" i="5"/>
  <c r="B204" i="5"/>
  <c r="C204" i="5"/>
  <c r="D204" i="5"/>
  <c r="E204" i="5"/>
  <c r="F204" i="5"/>
  <c r="H204"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HH204" i="5"/>
  <c r="HI204" i="5"/>
  <c r="HJ204" i="5"/>
  <c r="HK204" i="5"/>
  <c r="HL204" i="5"/>
  <c r="HM204" i="5"/>
  <c r="A205" i="5"/>
  <c r="B205" i="5"/>
  <c r="C205" i="5"/>
  <c r="D205" i="5"/>
  <c r="E205" i="5"/>
  <c r="F205" i="5"/>
  <c r="H205"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HH205" i="5"/>
  <c r="HI205" i="5"/>
  <c r="HJ205" i="5"/>
  <c r="HK205" i="5"/>
  <c r="HL205" i="5"/>
  <c r="HM205" i="5"/>
  <c r="A206" i="5"/>
  <c r="B206" i="5"/>
  <c r="C206" i="5"/>
  <c r="D206" i="5"/>
  <c r="E206" i="5"/>
  <c r="F206" i="5"/>
  <c r="H206"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HH206" i="5"/>
  <c r="HI206" i="5"/>
  <c r="HJ206" i="5"/>
  <c r="HK206" i="5"/>
  <c r="HL206" i="5"/>
  <c r="HM206" i="5"/>
  <c r="A207" i="5"/>
  <c r="B207" i="5"/>
  <c r="C207" i="5"/>
  <c r="D207" i="5"/>
  <c r="E207" i="5"/>
  <c r="F207" i="5"/>
  <c r="H207"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HH207" i="5"/>
  <c r="HI207" i="5"/>
  <c r="HJ207" i="5"/>
  <c r="HK207" i="5"/>
  <c r="HL207" i="5"/>
  <c r="HM207" i="5"/>
  <c r="A208" i="5"/>
  <c r="B208" i="5"/>
  <c r="C208" i="5"/>
  <c r="D208" i="5"/>
  <c r="E208" i="5"/>
  <c r="F208" i="5"/>
  <c r="H208"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HH208" i="5"/>
  <c r="HI208" i="5"/>
  <c r="HJ208" i="5"/>
  <c r="HK208" i="5"/>
  <c r="HL208" i="5"/>
  <c r="HM208" i="5"/>
  <c r="A209" i="5"/>
  <c r="B209" i="5"/>
  <c r="C209" i="5"/>
  <c r="D209" i="5"/>
  <c r="E209" i="5"/>
  <c r="F209" i="5"/>
  <c r="H209"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HH209" i="5"/>
  <c r="HI209" i="5"/>
  <c r="HJ209" i="5"/>
  <c r="HK209" i="5"/>
  <c r="HL209" i="5"/>
  <c r="HM209" i="5"/>
  <c r="A210" i="5"/>
  <c r="B210" i="5"/>
  <c r="C210" i="5"/>
  <c r="D210" i="5"/>
  <c r="E210" i="5"/>
  <c r="F210" i="5"/>
  <c r="H210"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HH210" i="5"/>
  <c r="HI210" i="5"/>
  <c r="HJ210" i="5"/>
  <c r="HK210" i="5"/>
  <c r="HL210" i="5"/>
  <c r="HM210" i="5"/>
  <c r="A211" i="5"/>
  <c r="B211" i="5"/>
  <c r="C211" i="5"/>
  <c r="D211" i="5"/>
  <c r="E211" i="5"/>
  <c r="F211" i="5"/>
  <c r="H211"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HH211" i="5"/>
  <c r="HI211" i="5"/>
  <c r="HJ211" i="5"/>
  <c r="HK211" i="5"/>
  <c r="HL211" i="5"/>
  <c r="HM211" i="5"/>
  <c r="A212" i="5"/>
  <c r="B212" i="5"/>
  <c r="C212" i="5"/>
  <c r="D212" i="5"/>
  <c r="E212" i="5"/>
  <c r="F212" i="5"/>
  <c r="H212"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HH212" i="5"/>
  <c r="HI212" i="5"/>
  <c r="HJ212" i="5"/>
  <c r="HK212" i="5"/>
  <c r="HL212" i="5"/>
  <c r="HM212" i="5"/>
  <c r="A213" i="5"/>
  <c r="B213" i="5"/>
  <c r="C213" i="5"/>
  <c r="D213" i="5"/>
  <c r="E213" i="5"/>
  <c r="F213" i="5"/>
  <c r="H213"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HH213" i="5"/>
  <c r="HI213" i="5"/>
  <c r="HJ213" i="5"/>
  <c r="HK213" i="5"/>
  <c r="HL213" i="5"/>
  <c r="HM213" i="5"/>
  <c r="A214" i="5"/>
  <c r="B214" i="5"/>
  <c r="C214" i="5"/>
  <c r="D214" i="5"/>
  <c r="E214" i="5"/>
  <c r="F214" i="5"/>
  <c r="H214"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HH214" i="5"/>
  <c r="HI214" i="5"/>
  <c r="HJ214" i="5"/>
  <c r="HK214" i="5"/>
  <c r="HL214" i="5"/>
  <c r="HM214" i="5"/>
  <c r="A215" i="5"/>
  <c r="B215" i="5"/>
  <c r="C215" i="5"/>
  <c r="D215" i="5"/>
  <c r="E215" i="5"/>
  <c r="F215" i="5"/>
  <c r="H215"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HH215" i="5"/>
  <c r="HI215" i="5"/>
  <c r="HJ215" i="5"/>
  <c r="HK215" i="5"/>
  <c r="HL215" i="5"/>
  <c r="HM215" i="5"/>
  <c r="A216" i="5"/>
  <c r="B216" i="5"/>
  <c r="C216" i="5"/>
  <c r="D216" i="5"/>
  <c r="E216" i="5"/>
  <c r="F216" i="5"/>
  <c r="H216"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HH216" i="5"/>
  <c r="HI216" i="5"/>
  <c r="HJ216" i="5"/>
  <c r="HK216" i="5"/>
  <c r="HL216" i="5"/>
  <c r="HM216" i="5"/>
  <c r="A217" i="5"/>
  <c r="B217" i="5"/>
  <c r="C217" i="5"/>
  <c r="D217" i="5"/>
  <c r="E217" i="5"/>
  <c r="F217" i="5"/>
  <c r="H217"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HH217" i="5"/>
  <c r="HI217" i="5"/>
  <c r="HJ217" i="5"/>
  <c r="HK217" i="5"/>
  <c r="HL217" i="5"/>
  <c r="HM217" i="5"/>
  <c r="A218" i="5"/>
  <c r="B218" i="5"/>
  <c r="C218" i="5"/>
  <c r="D218" i="5"/>
  <c r="E218" i="5"/>
  <c r="F218" i="5"/>
  <c r="H218"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HH218" i="5"/>
  <c r="HI218" i="5"/>
  <c r="HJ218" i="5"/>
  <c r="HK218" i="5"/>
  <c r="HL218" i="5"/>
  <c r="HM218" i="5"/>
  <c r="A219" i="5"/>
  <c r="B219" i="5"/>
  <c r="C219" i="5"/>
  <c r="D219" i="5"/>
  <c r="E219" i="5"/>
  <c r="F219" i="5"/>
  <c r="H219"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HH219" i="5"/>
  <c r="HI219" i="5"/>
  <c r="HJ219" i="5"/>
  <c r="HK219" i="5"/>
  <c r="HL219" i="5"/>
  <c r="HM219" i="5"/>
  <c r="A220" i="5"/>
  <c r="B220" i="5"/>
  <c r="C220" i="5"/>
  <c r="D220" i="5"/>
  <c r="E220" i="5"/>
  <c r="F220" i="5"/>
  <c r="H220"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HH220" i="5"/>
  <c r="HI220" i="5"/>
  <c r="HJ220" i="5"/>
  <c r="HK220" i="5"/>
  <c r="HL220" i="5"/>
  <c r="HM220" i="5"/>
  <c r="A221" i="5"/>
  <c r="B221" i="5"/>
  <c r="C221" i="5"/>
  <c r="D221" i="5"/>
  <c r="E221" i="5"/>
  <c r="F221" i="5"/>
  <c r="H221"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HH221" i="5"/>
  <c r="HI221" i="5"/>
  <c r="HJ221" i="5"/>
  <c r="HK221" i="5"/>
  <c r="HL221" i="5"/>
  <c r="HM221" i="5"/>
  <c r="A222" i="5"/>
  <c r="B222" i="5"/>
  <c r="C222" i="5"/>
  <c r="D222" i="5"/>
  <c r="E222" i="5"/>
  <c r="F222" i="5"/>
  <c r="H222"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HH222" i="5"/>
  <c r="HI222" i="5"/>
  <c r="HJ222" i="5"/>
  <c r="HK222" i="5"/>
  <c r="HL222" i="5"/>
  <c r="HM222" i="5"/>
  <c r="A223" i="5"/>
  <c r="B223" i="5"/>
  <c r="C223" i="5"/>
  <c r="D223" i="5"/>
  <c r="E223" i="5"/>
  <c r="F223" i="5"/>
  <c r="H223"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HH223" i="5"/>
  <c r="HI223" i="5"/>
  <c r="HJ223" i="5"/>
  <c r="HK223" i="5"/>
  <c r="HL223" i="5"/>
  <c r="HM223" i="5"/>
  <c r="A224" i="5"/>
  <c r="B224" i="5"/>
  <c r="C224" i="5"/>
  <c r="D224" i="5"/>
  <c r="E224" i="5"/>
  <c r="F224" i="5"/>
  <c r="H224"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HH224" i="5"/>
  <c r="HI224" i="5"/>
  <c r="HJ224" i="5"/>
  <c r="HK224" i="5"/>
  <c r="HL224" i="5"/>
  <c r="HM224" i="5"/>
  <c r="A225" i="5"/>
  <c r="B225" i="5"/>
  <c r="C225" i="5"/>
  <c r="D225" i="5"/>
  <c r="E225" i="5"/>
  <c r="F225" i="5"/>
  <c r="H225"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HH225" i="5"/>
  <c r="HI225" i="5"/>
  <c r="HJ225" i="5"/>
  <c r="HK225" i="5"/>
  <c r="HL225" i="5"/>
  <c r="HM225" i="5"/>
  <c r="A226" i="5"/>
  <c r="B226" i="5"/>
  <c r="C226" i="5"/>
  <c r="D226" i="5"/>
  <c r="E226" i="5"/>
  <c r="F226" i="5"/>
  <c r="H226"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HH226" i="5"/>
  <c r="HI226" i="5"/>
  <c r="HJ226" i="5"/>
  <c r="HK226" i="5"/>
  <c r="HL226" i="5"/>
  <c r="HM226" i="5"/>
  <c r="A227" i="5"/>
  <c r="B227" i="5"/>
  <c r="C227" i="5"/>
  <c r="D227" i="5"/>
  <c r="E227" i="5"/>
  <c r="F227" i="5"/>
  <c r="H227"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HH227" i="5"/>
  <c r="HI227" i="5"/>
  <c r="HJ227" i="5"/>
  <c r="HK227" i="5"/>
  <c r="HL227" i="5"/>
  <c r="HM227" i="5"/>
  <c r="A228" i="5"/>
  <c r="B228" i="5"/>
  <c r="C228" i="5"/>
  <c r="D228" i="5"/>
  <c r="E228" i="5"/>
  <c r="F228" i="5"/>
  <c r="H228"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HH228" i="5"/>
  <c r="HI228" i="5"/>
  <c r="HJ228" i="5"/>
  <c r="HK228" i="5"/>
  <c r="HL228" i="5"/>
  <c r="HM228" i="5"/>
  <c r="A229" i="5"/>
  <c r="B229" i="5"/>
  <c r="C229" i="5"/>
  <c r="D229" i="5"/>
  <c r="E229" i="5"/>
  <c r="F229" i="5"/>
  <c r="H229"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HH229" i="5"/>
  <c r="HI229" i="5"/>
  <c r="HJ229" i="5"/>
  <c r="HK229" i="5"/>
  <c r="HL229" i="5"/>
  <c r="HM229" i="5"/>
  <c r="A230" i="5"/>
  <c r="B230" i="5"/>
  <c r="C230" i="5"/>
  <c r="D230" i="5"/>
  <c r="E230" i="5"/>
  <c r="F230" i="5"/>
  <c r="H230"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HH230" i="5"/>
  <c r="HI230" i="5"/>
  <c r="HJ230" i="5"/>
  <c r="HK230" i="5"/>
  <c r="HL230" i="5"/>
  <c r="HM230" i="5"/>
  <c r="A231" i="5"/>
  <c r="B231" i="5"/>
  <c r="C231" i="5"/>
  <c r="D231" i="5"/>
  <c r="E231" i="5"/>
  <c r="F231" i="5"/>
  <c r="H231"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HH231" i="5"/>
  <c r="HI231" i="5"/>
  <c r="HJ231" i="5"/>
  <c r="HK231" i="5"/>
  <c r="HL231" i="5"/>
  <c r="HM231" i="5"/>
  <c r="A232" i="5"/>
  <c r="B232" i="5"/>
  <c r="C232" i="5"/>
  <c r="D232" i="5"/>
  <c r="E232" i="5"/>
  <c r="F232" i="5"/>
  <c r="H232"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HH232" i="5"/>
  <c r="HI232" i="5"/>
  <c r="HJ232" i="5"/>
  <c r="HK232" i="5"/>
  <c r="HL232" i="5"/>
  <c r="HM232" i="5"/>
  <c r="A233" i="5"/>
  <c r="B233" i="5"/>
  <c r="C233" i="5"/>
  <c r="D233" i="5"/>
  <c r="E233" i="5"/>
  <c r="F233" i="5"/>
  <c r="H233"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HH233" i="5"/>
  <c r="HI233" i="5"/>
  <c r="HJ233" i="5"/>
  <c r="HK233" i="5"/>
  <c r="HL233" i="5"/>
  <c r="HM233" i="5"/>
  <c r="A234" i="5"/>
  <c r="B234" i="5"/>
  <c r="C234" i="5"/>
  <c r="D234" i="5"/>
  <c r="E234" i="5"/>
  <c r="F234" i="5"/>
  <c r="H234"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HH234" i="5"/>
  <c r="HI234" i="5"/>
  <c r="HJ234" i="5"/>
  <c r="HK234" i="5"/>
  <c r="HL234" i="5"/>
  <c r="HM234" i="5"/>
  <c r="A235" i="5"/>
  <c r="B235" i="5"/>
  <c r="C235" i="5"/>
  <c r="D235" i="5"/>
  <c r="E235" i="5"/>
  <c r="F235" i="5"/>
  <c r="H235"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HH235" i="5"/>
  <c r="HI235" i="5"/>
  <c r="HJ235" i="5"/>
  <c r="HK235" i="5"/>
  <c r="HL235" i="5"/>
  <c r="HM235" i="5"/>
  <c r="A236" i="5"/>
  <c r="B236" i="5"/>
  <c r="C236" i="5"/>
  <c r="D236" i="5"/>
  <c r="E236" i="5"/>
  <c r="F236" i="5"/>
  <c r="H236"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HH236" i="5"/>
  <c r="HI236" i="5"/>
  <c r="HJ236" i="5"/>
  <c r="HK236" i="5"/>
  <c r="HL236" i="5"/>
  <c r="HM236" i="5"/>
  <c r="A237" i="5"/>
  <c r="B237" i="5"/>
  <c r="C237" i="5"/>
  <c r="D237" i="5"/>
  <c r="E237" i="5"/>
  <c r="F237" i="5"/>
  <c r="H237"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HH237" i="5"/>
  <c r="HI237" i="5"/>
  <c r="HJ237" i="5"/>
  <c r="HK237" i="5"/>
  <c r="HL237" i="5"/>
  <c r="HM237" i="5"/>
  <c r="A238" i="5"/>
  <c r="B238" i="5"/>
  <c r="C238" i="5"/>
  <c r="D238" i="5"/>
  <c r="E238" i="5"/>
  <c r="F238" i="5"/>
  <c r="H238"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HH238" i="5"/>
  <c r="HI238" i="5"/>
  <c r="HJ238" i="5"/>
  <c r="HK238" i="5"/>
  <c r="HL238" i="5"/>
  <c r="HM238" i="5"/>
  <c r="A239" i="5"/>
  <c r="B239" i="5"/>
  <c r="C239" i="5"/>
  <c r="D239" i="5"/>
  <c r="E239" i="5"/>
  <c r="F239" i="5"/>
  <c r="H239"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HH239" i="5"/>
  <c r="HI239" i="5"/>
  <c r="HJ239" i="5"/>
  <c r="HK239" i="5"/>
  <c r="HL239" i="5"/>
  <c r="HM239" i="5"/>
  <c r="A240" i="5"/>
  <c r="B240" i="5"/>
  <c r="C240" i="5"/>
  <c r="D240" i="5"/>
  <c r="E240" i="5"/>
  <c r="F240" i="5"/>
  <c r="H240"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HH240" i="5"/>
  <c r="HI240" i="5"/>
  <c r="HJ240" i="5"/>
  <c r="HK240" i="5"/>
  <c r="HL240" i="5"/>
  <c r="HM240" i="5"/>
  <c r="A241" i="5"/>
  <c r="B241" i="5"/>
  <c r="C241" i="5"/>
  <c r="D241" i="5"/>
  <c r="E241" i="5"/>
  <c r="F241" i="5"/>
  <c r="H241"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HH241" i="5"/>
  <c r="HI241" i="5"/>
  <c r="HJ241" i="5"/>
  <c r="HK241" i="5"/>
  <c r="HL241" i="5"/>
  <c r="HM241" i="5"/>
  <c r="A242" i="5"/>
  <c r="B242" i="5"/>
  <c r="C242" i="5"/>
  <c r="D242" i="5"/>
  <c r="E242" i="5"/>
  <c r="F242" i="5"/>
  <c r="H242"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HH242" i="5"/>
  <c r="HI242" i="5"/>
  <c r="HJ242" i="5"/>
  <c r="HK242" i="5"/>
  <c r="HL242" i="5"/>
  <c r="HM242" i="5"/>
  <c r="A243" i="5"/>
  <c r="B243" i="5"/>
  <c r="C243" i="5"/>
  <c r="D243" i="5"/>
  <c r="E243" i="5"/>
  <c r="F243" i="5"/>
  <c r="H243"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HH243" i="5"/>
  <c r="HI243" i="5"/>
  <c r="HJ243" i="5"/>
  <c r="HK243" i="5"/>
  <c r="HL243" i="5"/>
  <c r="HM243" i="5"/>
  <c r="A244" i="5"/>
  <c r="B244" i="5"/>
  <c r="C244" i="5"/>
  <c r="D244" i="5"/>
  <c r="E244" i="5"/>
  <c r="F244" i="5"/>
  <c r="H244"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HH244" i="5"/>
  <c r="HI244" i="5"/>
  <c r="HJ244" i="5"/>
  <c r="HK244" i="5"/>
  <c r="HL244" i="5"/>
  <c r="HM244" i="5"/>
  <c r="A245" i="5"/>
  <c r="B245" i="5"/>
  <c r="C245" i="5"/>
  <c r="D245" i="5"/>
  <c r="E245" i="5"/>
  <c r="F245" i="5"/>
  <c r="H245"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HH245" i="5"/>
  <c r="HI245" i="5"/>
  <c r="HJ245" i="5"/>
  <c r="HK245" i="5"/>
  <c r="HL245" i="5"/>
  <c r="HM245" i="5"/>
  <c r="A246" i="5"/>
  <c r="B246" i="5"/>
  <c r="C246" i="5"/>
  <c r="D246" i="5"/>
  <c r="E246" i="5"/>
  <c r="F246" i="5"/>
  <c r="H246"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HH246" i="5"/>
  <c r="HI246" i="5"/>
  <c r="HJ246" i="5"/>
  <c r="HK246" i="5"/>
  <c r="HL246" i="5"/>
  <c r="HM246" i="5"/>
  <c r="A247" i="5"/>
  <c r="B247" i="5"/>
  <c r="C247" i="5"/>
  <c r="D247" i="5"/>
  <c r="E247" i="5"/>
  <c r="F247" i="5"/>
  <c r="H247"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HH247" i="5"/>
  <c r="HI247" i="5"/>
  <c r="HJ247" i="5"/>
  <c r="HK247" i="5"/>
  <c r="HL247" i="5"/>
  <c r="HM247" i="5"/>
  <c r="A248" i="5"/>
  <c r="B248" i="5"/>
  <c r="C248" i="5"/>
  <c r="D248" i="5"/>
  <c r="E248" i="5"/>
  <c r="F248" i="5"/>
  <c r="H248"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HH248" i="5"/>
  <c r="HI248" i="5"/>
  <c r="HJ248" i="5"/>
  <c r="HK248" i="5"/>
  <c r="HL248" i="5"/>
  <c r="HM248" i="5"/>
  <c r="A249" i="5"/>
  <c r="B249" i="5"/>
  <c r="C249" i="5"/>
  <c r="D249" i="5"/>
  <c r="E249" i="5"/>
  <c r="F249" i="5"/>
  <c r="H249"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HH249" i="5"/>
  <c r="HI249" i="5"/>
  <c r="HJ249" i="5"/>
  <c r="HK249" i="5"/>
  <c r="HL249" i="5"/>
  <c r="HM249" i="5"/>
  <c r="A250" i="5"/>
  <c r="B250" i="5"/>
  <c r="C250" i="5"/>
  <c r="D250" i="5"/>
  <c r="E250" i="5"/>
  <c r="F250" i="5"/>
  <c r="H250"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HH250" i="5"/>
  <c r="HI250" i="5"/>
  <c r="HJ250" i="5"/>
  <c r="HK250" i="5"/>
  <c r="HL250" i="5"/>
  <c r="HM250" i="5"/>
  <c r="A251" i="5"/>
  <c r="B251" i="5"/>
  <c r="C251" i="5"/>
  <c r="D251" i="5"/>
  <c r="E251" i="5"/>
  <c r="F251" i="5"/>
  <c r="H251"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HH251" i="5"/>
  <c r="HI251" i="5"/>
  <c r="HJ251" i="5"/>
  <c r="HK251" i="5"/>
  <c r="HL251" i="5"/>
  <c r="HM251" i="5"/>
  <c r="A252" i="5"/>
  <c r="B252" i="5"/>
  <c r="C252" i="5"/>
  <c r="D252" i="5"/>
  <c r="E252" i="5"/>
  <c r="F252" i="5"/>
  <c r="H252"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HH252" i="5"/>
  <c r="HI252" i="5"/>
  <c r="HJ252" i="5"/>
  <c r="HK252" i="5"/>
  <c r="HL252" i="5"/>
  <c r="HM252" i="5"/>
  <c r="A253" i="5"/>
  <c r="B253" i="5"/>
  <c r="C253" i="5"/>
  <c r="D253" i="5"/>
  <c r="E253" i="5"/>
  <c r="F253" i="5"/>
  <c r="H253"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HH253" i="5"/>
  <c r="HI253" i="5"/>
  <c r="HJ253" i="5"/>
  <c r="HK253" i="5"/>
  <c r="HL253" i="5"/>
  <c r="HM253" i="5"/>
  <c r="A254" i="5"/>
  <c r="B254" i="5"/>
  <c r="C254" i="5"/>
  <c r="D254" i="5"/>
  <c r="E254" i="5"/>
  <c r="F254" i="5"/>
  <c r="H254"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HH254" i="5"/>
  <c r="HI254" i="5"/>
  <c r="HJ254" i="5"/>
  <c r="HK254" i="5"/>
  <c r="HL254" i="5"/>
  <c r="HM254" i="5"/>
  <c r="A255" i="5"/>
  <c r="B255" i="5"/>
  <c r="C255" i="5"/>
  <c r="D255" i="5"/>
  <c r="E255" i="5"/>
  <c r="F255" i="5"/>
  <c r="H255"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HH255" i="5"/>
  <c r="HI255" i="5"/>
  <c r="HJ255" i="5"/>
  <c r="HK255" i="5"/>
  <c r="HL255" i="5"/>
  <c r="HM255" i="5"/>
  <c r="A256" i="5"/>
  <c r="B256" i="5"/>
  <c r="C256" i="5"/>
  <c r="D256" i="5"/>
  <c r="E256" i="5"/>
  <c r="F256" i="5"/>
  <c r="H256"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HH256" i="5"/>
  <c r="HI256" i="5"/>
  <c r="HJ256" i="5"/>
  <c r="HK256" i="5"/>
  <c r="HL256" i="5"/>
  <c r="HM256" i="5"/>
  <c r="A257" i="5"/>
  <c r="B257" i="5"/>
  <c r="C257" i="5"/>
  <c r="D257" i="5"/>
  <c r="E257" i="5"/>
  <c r="F257" i="5"/>
  <c r="H257"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HH257" i="5"/>
  <c r="HI257" i="5"/>
  <c r="HJ257" i="5"/>
  <c r="HK257" i="5"/>
  <c r="HL257" i="5"/>
  <c r="HM257" i="5"/>
  <c r="A258" i="5"/>
  <c r="B258" i="5"/>
  <c r="C258" i="5"/>
  <c r="D258" i="5"/>
  <c r="E258" i="5"/>
  <c r="F258" i="5"/>
  <c r="H258"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HH258" i="5"/>
  <c r="HI258" i="5"/>
  <c r="HJ258" i="5"/>
  <c r="HK258" i="5"/>
  <c r="HL258" i="5"/>
  <c r="HM258" i="5"/>
  <c r="A259" i="5"/>
  <c r="B259" i="5"/>
  <c r="C259" i="5"/>
  <c r="D259" i="5"/>
  <c r="E259" i="5"/>
  <c r="F259" i="5"/>
  <c r="H259"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HH259" i="5"/>
  <c r="HI259" i="5"/>
  <c r="HJ259" i="5"/>
  <c r="HK259" i="5"/>
  <c r="HL259" i="5"/>
  <c r="HM259" i="5"/>
  <c r="A260" i="5"/>
  <c r="B260" i="5"/>
  <c r="C260" i="5"/>
  <c r="D260" i="5"/>
  <c r="E260" i="5"/>
  <c r="F260" i="5"/>
  <c r="H260"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HH260" i="5"/>
  <c r="HI260" i="5"/>
  <c r="HJ260" i="5"/>
  <c r="HK260" i="5"/>
  <c r="HL260" i="5"/>
  <c r="HM260" i="5"/>
  <c r="A261" i="5"/>
  <c r="B261" i="5"/>
  <c r="C261" i="5"/>
  <c r="D261" i="5"/>
  <c r="E261" i="5"/>
  <c r="F261" i="5"/>
  <c r="H261"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HH261" i="5"/>
  <c r="HI261" i="5"/>
  <c r="HJ261" i="5"/>
  <c r="HK261" i="5"/>
  <c r="HL261" i="5"/>
  <c r="HM261" i="5"/>
  <c r="A262" i="5"/>
  <c r="B262" i="5"/>
  <c r="C262" i="5"/>
  <c r="D262" i="5"/>
  <c r="E262" i="5"/>
  <c r="F262" i="5"/>
  <c r="H262"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HH262" i="5"/>
  <c r="HI262" i="5"/>
  <c r="HJ262" i="5"/>
  <c r="HK262" i="5"/>
  <c r="HL262" i="5"/>
  <c r="HM262" i="5"/>
  <c r="A263" i="5"/>
  <c r="B263" i="5"/>
  <c r="C263" i="5"/>
  <c r="D263" i="5"/>
  <c r="E263" i="5"/>
  <c r="F263" i="5"/>
  <c r="H263"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HH263" i="5"/>
  <c r="HI263" i="5"/>
  <c r="HJ263" i="5"/>
  <c r="HK263" i="5"/>
  <c r="HL263" i="5"/>
  <c r="HM263" i="5"/>
  <c r="A264" i="5"/>
  <c r="B264" i="5"/>
  <c r="C264" i="5"/>
  <c r="D264" i="5"/>
  <c r="E264" i="5"/>
  <c r="F264" i="5"/>
  <c r="H264"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HH264" i="5"/>
  <c r="HI264" i="5"/>
  <c r="HJ264" i="5"/>
  <c r="HK264" i="5"/>
  <c r="HL264" i="5"/>
  <c r="HM264" i="5"/>
  <c r="A265" i="5"/>
  <c r="B265" i="5"/>
  <c r="C265" i="5"/>
  <c r="D265" i="5"/>
  <c r="E265" i="5"/>
  <c r="F265" i="5"/>
  <c r="H265"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HH265" i="5"/>
  <c r="HI265" i="5"/>
  <c r="HJ265" i="5"/>
  <c r="HK265" i="5"/>
  <c r="HL265" i="5"/>
  <c r="HM265" i="5"/>
  <c r="A266" i="5"/>
  <c r="B266" i="5"/>
  <c r="C266" i="5"/>
  <c r="D266" i="5"/>
  <c r="E266" i="5"/>
  <c r="F266" i="5"/>
  <c r="H266"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HH266" i="5"/>
  <c r="HI266" i="5"/>
  <c r="HJ266" i="5"/>
  <c r="HK266" i="5"/>
  <c r="HL266" i="5"/>
  <c r="HM266" i="5"/>
  <c r="A267" i="5"/>
  <c r="B267" i="5"/>
  <c r="C267" i="5"/>
  <c r="D267" i="5"/>
  <c r="E267" i="5"/>
  <c r="F267" i="5"/>
  <c r="H267"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HH267" i="5"/>
  <c r="HI267" i="5"/>
  <c r="HJ267" i="5"/>
  <c r="HK267" i="5"/>
  <c r="HL267" i="5"/>
  <c r="HM267" i="5"/>
  <c r="A268" i="5"/>
  <c r="B268" i="5"/>
  <c r="C268" i="5"/>
  <c r="D268" i="5"/>
  <c r="E268" i="5"/>
  <c r="F268" i="5"/>
  <c r="H268"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HH268" i="5"/>
  <c r="HI268" i="5"/>
  <c r="HJ268" i="5"/>
  <c r="HK268" i="5"/>
  <c r="HL268" i="5"/>
  <c r="HM268" i="5"/>
  <c r="A269" i="5"/>
  <c r="B269" i="5"/>
  <c r="C269" i="5"/>
  <c r="D269" i="5"/>
  <c r="E269" i="5"/>
  <c r="F269" i="5"/>
  <c r="H269"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HH269" i="5"/>
  <c r="HI269" i="5"/>
  <c r="HJ269" i="5"/>
  <c r="HK269" i="5"/>
  <c r="HL269" i="5"/>
  <c r="HM269" i="5"/>
  <c r="A270" i="5"/>
  <c r="B270" i="5"/>
  <c r="C270" i="5"/>
  <c r="D270" i="5"/>
  <c r="E270" i="5"/>
  <c r="F270" i="5"/>
  <c r="H270"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HH270" i="5"/>
  <c r="HI270" i="5"/>
  <c r="HJ270" i="5"/>
  <c r="HK270" i="5"/>
  <c r="HL270" i="5"/>
  <c r="HM270" i="5"/>
  <c r="A271" i="5"/>
  <c r="B271" i="5"/>
  <c r="C271" i="5"/>
  <c r="D271" i="5"/>
  <c r="E271" i="5"/>
  <c r="F271" i="5"/>
  <c r="H271"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HH271" i="5"/>
  <c r="HI271" i="5"/>
  <c r="HJ271" i="5"/>
  <c r="HK271" i="5"/>
  <c r="HL271" i="5"/>
  <c r="HM271" i="5"/>
  <c r="A272" i="5"/>
  <c r="B272" i="5"/>
  <c r="C272" i="5"/>
  <c r="D272" i="5"/>
  <c r="E272" i="5"/>
  <c r="F272" i="5"/>
  <c r="H272"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HH272" i="5"/>
  <c r="HI272" i="5"/>
  <c r="HJ272" i="5"/>
  <c r="HK272" i="5"/>
  <c r="HL272" i="5"/>
  <c r="HM272" i="5"/>
  <c r="A273" i="5"/>
  <c r="B273" i="5"/>
  <c r="C273" i="5"/>
  <c r="D273" i="5"/>
  <c r="E273" i="5"/>
  <c r="F273" i="5"/>
  <c r="H273"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HH273" i="5"/>
  <c r="HI273" i="5"/>
  <c r="HJ273" i="5"/>
  <c r="HK273" i="5"/>
  <c r="HL273" i="5"/>
  <c r="HM273" i="5"/>
  <c r="A274" i="5"/>
  <c r="B274" i="5"/>
  <c r="C274" i="5"/>
  <c r="D274" i="5"/>
  <c r="E274" i="5"/>
  <c r="F274" i="5"/>
  <c r="H274"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HH274" i="5"/>
  <c r="HI274" i="5"/>
  <c r="HJ274" i="5"/>
  <c r="HK274" i="5"/>
  <c r="HL274" i="5"/>
  <c r="HM274" i="5"/>
  <c r="A275" i="5"/>
  <c r="B275" i="5"/>
  <c r="C275" i="5"/>
  <c r="D275" i="5"/>
  <c r="E275" i="5"/>
  <c r="F275" i="5"/>
  <c r="H275"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HH275" i="5"/>
  <c r="HI275" i="5"/>
  <c r="HJ275" i="5"/>
  <c r="HK275" i="5"/>
  <c r="HL275" i="5"/>
  <c r="HM275" i="5"/>
  <c r="A276" i="5"/>
  <c r="B276" i="5"/>
  <c r="C276" i="5"/>
  <c r="D276" i="5"/>
  <c r="E276" i="5"/>
  <c r="F276" i="5"/>
  <c r="H276"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HH276" i="5"/>
  <c r="HI276" i="5"/>
  <c r="HJ276" i="5"/>
  <c r="HK276" i="5"/>
  <c r="HL276" i="5"/>
  <c r="HM276" i="5"/>
  <c r="A277" i="5"/>
  <c r="B277" i="5"/>
  <c r="C277" i="5"/>
  <c r="D277" i="5"/>
  <c r="E277" i="5"/>
  <c r="F277" i="5"/>
  <c r="H277"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HH277" i="5"/>
  <c r="HI277" i="5"/>
  <c r="HJ277" i="5"/>
  <c r="HK277" i="5"/>
  <c r="HL277" i="5"/>
  <c r="HM277" i="5"/>
  <c r="A278" i="5"/>
  <c r="B278" i="5"/>
  <c r="C278" i="5"/>
  <c r="D278" i="5"/>
  <c r="E278" i="5"/>
  <c r="F278" i="5"/>
  <c r="H278"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HH278" i="5"/>
  <c r="HI278" i="5"/>
  <c r="HJ278" i="5"/>
  <c r="HK278" i="5"/>
  <c r="HL278" i="5"/>
  <c r="HM278" i="5"/>
  <c r="A279" i="5"/>
  <c r="B279" i="5"/>
  <c r="C279" i="5"/>
  <c r="D279" i="5"/>
  <c r="E279" i="5"/>
  <c r="F279" i="5"/>
  <c r="H279"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HH279" i="5"/>
  <c r="HI279" i="5"/>
  <c r="HJ279" i="5"/>
  <c r="HK279" i="5"/>
  <c r="HL279" i="5"/>
  <c r="HM279" i="5"/>
  <c r="A280" i="5"/>
  <c r="B280" i="5"/>
  <c r="C280" i="5"/>
  <c r="D280" i="5"/>
  <c r="E280" i="5"/>
  <c r="F280" i="5"/>
  <c r="H280"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HH280" i="5"/>
  <c r="HI280" i="5"/>
  <c r="HJ280" i="5"/>
  <c r="HK280" i="5"/>
  <c r="HL280" i="5"/>
  <c r="HM280" i="5"/>
  <c r="A281" i="5"/>
  <c r="B281" i="5"/>
  <c r="C281" i="5"/>
  <c r="D281" i="5"/>
  <c r="E281" i="5"/>
  <c r="F281" i="5"/>
  <c r="H281"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HH281" i="5"/>
  <c r="HI281" i="5"/>
  <c r="HJ281" i="5"/>
  <c r="HK281" i="5"/>
  <c r="HL281" i="5"/>
  <c r="HM281" i="5"/>
  <c r="A282" i="5"/>
  <c r="B282" i="5"/>
  <c r="C282" i="5"/>
  <c r="D282" i="5"/>
  <c r="E282" i="5"/>
  <c r="F282" i="5"/>
  <c r="H282"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HH282" i="5"/>
  <c r="HI282" i="5"/>
  <c r="HJ282" i="5"/>
  <c r="HK282" i="5"/>
  <c r="HL282" i="5"/>
  <c r="HM282" i="5"/>
  <c r="A283" i="5"/>
  <c r="B283" i="5"/>
  <c r="C283" i="5"/>
  <c r="D283" i="5"/>
  <c r="E283" i="5"/>
  <c r="F283" i="5"/>
  <c r="H283"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HH283" i="5"/>
  <c r="HI283" i="5"/>
  <c r="HJ283" i="5"/>
  <c r="HK283" i="5"/>
  <c r="HL283" i="5"/>
  <c r="HM283" i="5"/>
  <c r="A284" i="5"/>
  <c r="B284" i="5"/>
  <c r="C284" i="5"/>
  <c r="D284" i="5"/>
  <c r="E284" i="5"/>
  <c r="F284" i="5"/>
  <c r="H284"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HH284" i="5"/>
  <c r="HI284" i="5"/>
  <c r="HJ284" i="5"/>
  <c r="HK284" i="5"/>
  <c r="HL284" i="5"/>
  <c r="HM284" i="5"/>
  <c r="A285" i="5"/>
  <c r="B285" i="5"/>
  <c r="C285" i="5"/>
  <c r="D285" i="5"/>
  <c r="E285" i="5"/>
  <c r="F285" i="5"/>
  <c r="H285"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HH285" i="5"/>
  <c r="HI285" i="5"/>
  <c r="HJ285" i="5"/>
  <c r="HK285" i="5"/>
  <c r="HL285" i="5"/>
  <c r="HM285" i="5"/>
  <c r="A286" i="5"/>
  <c r="B286" i="5"/>
  <c r="C286" i="5"/>
  <c r="D286" i="5"/>
  <c r="E286" i="5"/>
  <c r="F286" i="5"/>
  <c r="H286"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HH286" i="5"/>
  <c r="HI286" i="5"/>
  <c r="HJ286" i="5"/>
  <c r="HK286" i="5"/>
  <c r="HL286" i="5"/>
  <c r="HM286" i="5"/>
  <c r="A287" i="5"/>
  <c r="B287" i="5"/>
  <c r="C287" i="5"/>
  <c r="D287" i="5"/>
  <c r="E287" i="5"/>
  <c r="F287" i="5"/>
  <c r="H287"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HH287" i="5"/>
  <c r="HI287" i="5"/>
  <c r="HJ287" i="5"/>
  <c r="HK287" i="5"/>
  <c r="HL287" i="5"/>
  <c r="HM287" i="5"/>
  <c r="A288" i="5"/>
  <c r="B288" i="5"/>
  <c r="C288" i="5"/>
  <c r="D288" i="5"/>
  <c r="E288" i="5"/>
  <c r="F288" i="5"/>
  <c r="H288"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HH288" i="5"/>
  <c r="HI288" i="5"/>
  <c r="HJ288" i="5"/>
  <c r="HK288" i="5"/>
  <c r="HL288" i="5"/>
  <c r="HM288" i="5"/>
  <c r="A289" i="5"/>
  <c r="B289" i="5"/>
  <c r="C289" i="5"/>
  <c r="D289" i="5"/>
  <c r="E289" i="5"/>
  <c r="F289" i="5"/>
  <c r="H289"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HH289" i="5"/>
  <c r="HI289" i="5"/>
  <c r="HJ289" i="5"/>
  <c r="HK289" i="5"/>
  <c r="HL289" i="5"/>
  <c r="HM289" i="5"/>
  <c r="A290" i="5"/>
  <c r="B290" i="5"/>
  <c r="C290" i="5"/>
  <c r="D290" i="5"/>
  <c r="E290" i="5"/>
  <c r="F290" i="5"/>
  <c r="H290"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HH290" i="5"/>
  <c r="HI290" i="5"/>
  <c r="HJ290" i="5"/>
  <c r="HK290" i="5"/>
  <c r="HL290" i="5"/>
  <c r="HM290" i="5"/>
  <c r="A291" i="5"/>
  <c r="B291" i="5"/>
  <c r="C291" i="5"/>
  <c r="D291" i="5"/>
  <c r="E291" i="5"/>
  <c r="F291" i="5"/>
  <c r="H291"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HH291" i="5"/>
  <c r="HI291" i="5"/>
  <c r="HJ291" i="5"/>
  <c r="HK291" i="5"/>
  <c r="HL291" i="5"/>
  <c r="HM291" i="5"/>
  <c r="A292" i="5"/>
  <c r="B292" i="5"/>
  <c r="C292" i="5"/>
  <c r="D292" i="5"/>
  <c r="E292" i="5"/>
  <c r="F292" i="5"/>
  <c r="H292"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HH292" i="5"/>
  <c r="HI292" i="5"/>
  <c r="HJ292" i="5"/>
  <c r="HK292" i="5"/>
  <c r="HL292" i="5"/>
  <c r="HM292" i="5"/>
  <c r="A293" i="5"/>
  <c r="B293" i="5"/>
  <c r="C293" i="5"/>
  <c r="D293" i="5"/>
  <c r="E293" i="5"/>
  <c r="F293" i="5"/>
  <c r="H293" i="5"/>
  <c r="I293" i="5"/>
  <c r="J293" i="5"/>
  <c r="K293" i="5"/>
  <c r="L293" i="5"/>
  <c r="M293" i="5"/>
  <c r="N293" i="5"/>
  <c r="O293" i="5"/>
  <c r="P293" i="5"/>
  <c r="Q293" i="5"/>
  <c r="R293" i="5"/>
  <c r="S293" i="5"/>
  <c r="T293" i="5"/>
  <c r="U293"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AZ293" i="5" a="1"/>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DB293" i="5"/>
  <c r="DC293" i="5"/>
  <c r="DD293" i="5"/>
  <c r="DE293" i="5"/>
  <c r="DF293" i="5"/>
  <c r="DG293" i="5"/>
  <c r="DH293" i="5"/>
  <c r="DI293" i="5"/>
  <c r="DJ293" i="5"/>
  <c r="DK293" i="5"/>
  <c r="DL293" i="5"/>
  <c r="DW293" i="5"/>
  <c r="DX293" i="5"/>
  <c r="DY293" i="5"/>
  <c r="DZ293" i="5"/>
  <c r="EA293" i="5"/>
  <c r="EB293" i="5"/>
  <c r="EC293" i="5"/>
  <c r="ED293" i="5"/>
  <c r="EE293" i="5"/>
  <c r="EF293" i="5"/>
  <c r="EG293" i="5"/>
  <c r="EH293" i="5"/>
  <c r="EI293" i="5"/>
  <c r="EJ293" i="5"/>
  <c r="EK293" i="5"/>
  <c r="EL293" i="5"/>
  <c r="EM293" i="5"/>
  <c r="EN293" i="5"/>
  <c r="EO293" i="5"/>
  <c r="EP293" i="5"/>
  <c r="EQ293" i="5"/>
  <c r="ER293" i="5"/>
  <c r="ES293" i="5"/>
  <c r="ET293" i="5"/>
  <c r="EU293" i="5"/>
  <c r="EV293" i="5"/>
  <c r="EW293" i="5"/>
  <c r="EX293" i="5"/>
  <c r="EY293" i="5"/>
  <c r="EZ293" i="5"/>
  <c r="FA293" i="5"/>
  <c r="FB293" i="5"/>
  <c r="FC293" i="5"/>
  <c r="FD293" i="5"/>
  <c r="FE293" i="5"/>
  <c r="FF293" i="5"/>
  <c r="FG293" i="5"/>
  <c r="FH293" i="5"/>
  <c r="FI293" i="5"/>
  <c r="FJ293" i="5"/>
  <c r="FK293" i="5"/>
  <c r="FL293" i="5"/>
  <c r="FM293" i="5"/>
  <c r="FN293" i="5"/>
  <c r="FO293" i="5"/>
  <c r="FP293" i="5"/>
  <c r="FQ293" i="5"/>
  <c r="FR293" i="5"/>
  <c r="FS293" i="5"/>
  <c r="FT293" i="5"/>
  <c r="FU293" i="5"/>
  <c r="FV293" i="5"/>
  <c r="FW293" i="5"/>
  <c r="FX293" i="5"/>
  <c r="FY293" i="5"/>
  <c r="FZ293" i="5"/>
  <c r="GA293" i="5"/>
  <c r="GB293" i="5"/>
  <c r="GC293" i="5"/>
  <c r="GD293" i="5"/>
  <c r="GE293" i="5"/>
  <c r="GF293" i="5"/>
  <c r="GG293" i="5"/>
  <c r="GH293" i="5"/>
  <c r="GI293" i="5"/>
  <c r="GJ293" i="5"/>
  <c r="GK293" i="5"/>
  <c r="GL293" i="5"/>
  <c r="GM293" i="5"/>
  <c r="GN293" i="5"/>
  <c r="GO293" i="5"/>
  <c r="GP293" i="5"/>
  <c r="GQ293" i="5"/>
  <c r="GR293" i="5"/>
  <c r="GS293" i="5"/>
  <c r="GT293" i="5"/>
  <c r="GU293" i="5"/>
  <c r="GV293" i="5"/>
  <c r="GW293" i="5"/>
  <c r="GX293" i="5"/>
  <c r="GY293" i="5"/>
  <c r="GZ293" i="5"/>
  <c r="HA293" i="5"/>
  <c r="HB293" i="5"/>
  <c r="HC293" i="5"/>
  <c r="HD293" i="5"/>
  <c r="HE293" i="5"/>
  <c r="HF293" i="5"/>
  <c r="HG293" i="5"/>
  <c r="HH293" i="5"/>
  <c r="HI293" i="5"/>
  <c r="HJ293" i="5"/>
  <c r="HK293" i="5"/>
  <c r="HL293" i="5"/>
  <c r="HM293" i="5"/>
  <c r="A294" i="5"/>
  <c r="B294" i="5"/>
  <c r="C294" i="5"/>
  <c r="D294" i="5"/>
  <c r="E294" i="5"/>
  <c r="F294" i="5"/>
  <c r="H294" i="5"/>
  <c r="I294" i="5"/>
  <c r="J294" i="5"/>
  <c r="K294" i="5"/>
  <c r="L294" i="5"/>
  <c r="M294" i="5"/>
  <c r="N294" i="5"/>
  <c r="O294" i="5"/>
  <c r="P294" i="5"/>
  <c r="Q294" i="5"/>
  <c r="R294" i="5"/>
  <c r="S294" i="5"/>
  <c r="T294" i="5"/>
  <c r="U294"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AZ294" i="5" a="1"/>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DB294" i="5"/>
  <c r="DC294" i="5"/>
  <c r="DD294" i="5"/>
  <c r="DE294" i="5"/>
  <c r="DF294" i="5"/>
  <c r="DG294" i="5"/>
  <c r="DH294" i="5"/>
  <c r="DI294" i="5"/>
  <c r="DJ294" i="5"/>
  <c r="DK294" i="5"/>
  <c r="DL294" i="5"/>
  <c r="DW294" i="5"/>
  <c r="DX294" i="5"/>
  <c r="DY294" i="5"/>
  <c r="DZ294" i="5"/>
  <c r="EA294" i="5"/>
  <c r="EB294" i="5"/>
  <c r="EC294" i="5"/>
  <c r="ED294" i="5"/>
  <c r="EE294" i="5"/>
  <c r="EF294" i="5"/>
  <c r="EG294" i="5"/>
  <c r="EH294" i="5"/>
  <c r="EI294" i="5"/>
  <c r="EJ294" i="5"/>
  <c r="EK294" i="5"/>
  <c r="EL294" i="5"/>
  <c r="EM294" i="5"/>
  <c r="EN294" i="5"/>
  <c r="EO294" i="5"/>
  <c r="EP294" i="5"/>
  <c r="EQ294" i="5"/>
  <c r="ER294" i="5"/>
  <c r="ES294" i="5"/>
  <c r="ET294" i="5"/>
  <c r="EU294" i="5"/>
  <c r="EV294" i="5"/>
  <c r="EW294" i="5"/>
  <c r="EX294" i="5"/>
  <c r="EY294" i="5"/>
  <c r="EZ294" i="5"/>
  <c r="FA294" i="5"/>
  <c r="FB294" i="5"/>
  <c r="FC294" i="5"/>
  <c r="FD294" i="5"/>
  <c r="FE294" i="5"/>
  <c r="FF294" i="5"/>
  <c r="FG294" i="5"/>
  <c r="FH294" i="5"/>
  <c r="FI294" i="5"/>
  <c r="FJ294" i="5"/>
  <c r="FK294" i="5"/>
  <c r="FL294" i="5"/>
  <c r="FM294" i="5"/>
  <c r="FN294" i="5"/>
  <c r="FO294" i="5"/>
  <c r="FP294" i="5"/>
  <c r="FQ294" i="5"/>
  <c r="FR294" i="5"/>
  <c r="FS294" i="5"/>
  <c r="FT294" i="5"/>
  <c r="FU294" i="5"/>
  <c r="FV294" i="5"/>
  <c r="FW294" i="5"/>
  <c r="FX294" i="5"/>
  <c r="FY294" i="5"/>
  <c r="FZ294" i="5"/>
  <c r="GA294" i="5"/>
  <c r="GB294" i="5"/>
  <c r="GC294" i="5"/>
  <c r="GD294" i="5"/>
  <c r="GE294" i="5"/>
  <c r="GF294" i="5"/>
  <c r="GG294" i="5"/>
  <c r="GH294" i="5"/>
  <c r="GI294" i="5"/>
  <c r="GJ294" i="5"/>
  <c r="GK294" i="5"/>
  <c r="GL294" i="5"/>
  <c r="GM294" i="5"/>
  <c r="GN294" i="5"/>
  <c r="GO294" i="5"/>
  <c r="GP294" i="5"/>
  <c r="GQ294" i="5"/>
  <c r="GR294" i="5"/>
  <c r="GS294" i="5"/>
  <c r="GT294" i="5"/>
  <c r="GU294" i="5"/>
  <c r="GV294" i="5"/>
  <c r="GW294" i="5"/>
  <c r="GX294" i="5"/>
  <c r="GY294" i="5"/>
  <c r="GZ294" i="5"/>
  <c r="HA294" i="5"/>
  <c r="HB294" i="5"/>
  <c r="HC294" i="5"/>
  <c r="HD294" i="5"/>
  <c r="HE294" i="5"/>
  <c r="HF294" i="5"/>
  <c r="HG294" i="5"/>
  <c r="HH294" i="5"/>
  <c r="HI294" i="5"/>
  <c r="HJ294" i="5"/>
  <c r="HK294" i="5"/>
  <c r="HL294" i="5"/>
  <c r="HM294" i="5"/>
  <c r="A295" i="5"/>
  <c r="B295" i="5"/>
  <c r="C295" i="5"/>
  <c r="D295" i="5"/>
  <c r="E295" i="5"/>
  <c r="F295" i="5"/>
  <c r="H295" i="5"/>
  <c r="I295" i="5"/>
  <c r="J295" i="5"/>
  <c r="K295" i="5"/>
  <c r="L295" i="5"/>
  <c r="M295" i="5"/>
  <c r="N295" i="5"/>
  <c r="O295" i="5"/>
  <c r="P295" i="5"/>
  <c r="Q295" i="5"/>
  <c r="R295" i="5"/>
  <c r="S295" i="5"/>
  <c r="T295" i="5"/>
  <c r="U295"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AZ295" i="5" a="1"/>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DB295" i="5"/>
  <c r="DC295" i="5"/>
  <c r="DD295" i="5"/>
  <c r="DE295" i="5"/>
  <c r="DF295" i="5"/>
  <c r="DG295" i="5"/>
  <c r="DH295" i="5"/>
  <c r="DI295" i="5"/>
  <c r="DJ295" i="5"/>
  <c r="DK295" i="5"/>
  <c r="DL295" i="5"/>
  <c r="DW295" i="5"/>
  <c r="DX295" i="5"/>
  <c r="DY295" i="5"/>
  <c r="DZ295" i="5"/>
  <c r="EA295" i="5"/>
  <c r="EB295" i="5"/>
  <c r="EC295" i="5"/>
  <c r="ED295" i="5"/>
  <c r="EE295" i="5"/>
  <c r="EF295" i="5"/>
  <c r="EG295" i="5"/>
  <c r="EH295" i="5"/>
  <c r="EI295" i="5"/>
  <c r="EJ295" i="5"/>
  <c r="EK295" i="5"/>
  <c r="EL295" i="5"/>
  <c r="EM295" i="5"/>
  <c r="EN295" i="5"/>
  <c r="EO295" i="5"/>
  <c r="EP295" i="5"/>
  <c r="EQ295" i="5"/>
  <c r="ER295" i="5"/>
  <c r="ES295" i="5"/>
  <c r="ET295" i="5"/>
  <c r="EU295" i="5"/>
  <c r="EV295" i="5"/>
  <c r="EW295" i="5"/>
  <c r="EX295" i="5"/>
  <c r="EY295" i="5"/>
  <c r="EZ295" i="5"/>
  <c r="FA295" i="5"/>
  <c r="FB295" i="5"/>
  <c r="FC295" i="5"/>
  <c r="FD295" i="5"/>
  <c r="FE295" i="5"/>
  <c r="FF295" i="5"/>
  <c r="FG295" i="5"/>
  <c r="FH295" i="5"/>
  <c r="FI295" i="5"/>
  <c r="FJ295" i="5"/>
  <c r="FK295" i="5"/>
  <c r="FL295" i="5"/>
  <c r="FM295" i="5"/>
  <c r="FN295" i="5"/>
  <c r="FO295" i="5"/>
  <c r="FP295" i="5"/>
  <c r="FQ295" i="5"/>
  <c r="FR295" i="5"/>
  <c r="FS295" i="5"/>
  <c r="FT295" i="5"/>
  <c r="FU295" i="5"/>
  <c r="FV295" i="5"/>
  <c r="FW295" i="5"/>
  <c r="FX295" i="5"/>
  <c r="FY295" i="5"/>
  <c r="FZ295" i="5"/>
  <c r="GA295" i="5"/>
  <c r="GB295" i="5"/>
  <c r="GC295" i="5"/>
  <c r="GD295" i="5"/>
  <c r="GE295" i="5"/>
  <c r="GF295" i="5"/>
  <c r="GG295" i="5"/>
  <c r="GH295" i="5"/>
  <c r="GI295" i="5"/>
  <c r="GJ295" i="5"/>
  <c r="GK295" i="5"/>
  <c r="GL295" i="5"/>
  <c r="GM295" i="5"/>
  <c r="GN295" i="5"/>
  <c r="GO295" i="5"/>
  <c r="GP295" i="5"/>
  <c r="GQ295" i="5"/>
  <c r="GR295" i="5"/>
  <c r="GS295" i="5"/>
  <c r="GT295" i="5"/>
  <c r="GU295" i="5"/>
  <c r="GV295" i="5"/>
  <c r="GW295" i="5"/>
  <c r="GX295" i="5"/>
  <c r="GY295" i="5"/>
  <c r="GZ295" i="5"/>
  <c r="HA295" i="5"/>
  <c r="HB295" i="5"/>
  <c r="HC295" i="5"/>
  <c r="HD295" i="5"/>
  <c r="HE295" i="5"/>
  <c r="HF295" i="5"/>
  <c r="HG295" i="5"/>
  <c r="HH295" i="5"/>
  <c r="HI295" i="5"/>
  <c r="HJ295" i="5"/>
  <c r="HK295" i="5"/>
  <c r="HL295" i="5"/>
  <c r="HM295" i="5"/>
  <c r="A296" i="5"/>
  <c r="B296" i="5"/>
  <c r="C296" i="5"/>
  <c r="D296" i="5"/>
  <c r="E296" i="5"/>
  <c r="F296" i="5"/>
  <c r="H296" i="5"/>
  <c r="I296" i="5"/>
  <c r="J296" i="5"/>
  <c r="K296" i="5"/>
  <c r="L296" i="5"/>
  <c r="M296" i="5"/>
  <c r="N296" i="5"/>
  <c r="O296" i="5"/>
  <c r="P296" i="5"/>
  <c r="Q296" i="5"/>
  <c r="R296" i="5"/>
  <c r="S296" i="5"/>
  <c r="T296" i="5"/>
  <c r="U296"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AZ296" i="5" a="1"/>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DB296" i="5"/>
  <c r="DC296" i="5"/>
  <c r="DD296" i="5"/>
  <c r="DE296" i="5"/>
  <c r="DF296" i="5"/>
  <c r="DG296" i="5"/>
  <c r="DH296" i="5"/>
  <c r="DI296" i="5"/>
  <c r="DJ296" i="5"/>
  <c r="DK296" i="5"/>
  <c r="DL296" i="5"/>
  <c r="DW296" i="5"/>
  <c r="DX296" i="5"/>
  <c r="DY296" i="5"/>
  <c r="DZ296" i="5"/>
  <c r="EA296" i="5"/>
  <c r="EB296" i="5"/>
  <c r="EC296" i="5"/>
  <c r="ED296" i="5"/>
  <c r="EE296" i="5"/>
  <c r="EF296" i="5"/>
  <c r="EG296" i="5"/>
  <c r="EH296" i="5"/>
  <c r="EI296" i="5"/>
  <c r="EJ296" i="5"/>
  <c r="EK296" i="5"/>
  <c r="EL296" i="5"/>
  <c r="EM296" i="5"/>
  <c r="EN296" i="5"/>
  <c r="EO296" i="5"/>
  <c r="EP296" i="5"/>
  <c r="EQ296" i="5"/>
  <c r="ER296" i="5"/>
  <c r="ES296" i="5"/>
  <c r="ET296" i="5"/>
  <c r="EU296" i="5"/>
  <c r="EV296" i="5"/>
  <c r="EW296" i="5"/>
  <c r="EX296" i="5"/>
  <c r="EY296" i="5"/>
  <c r="EZ296" i="5"/>
  <c r="FA296" i="5"/>
  <c r="FB296" i="5"/>
  <c r="FC296" i="5"/>
  <c r="FD296" i="5"/>
  <c r="FE296" i="5"/>
  <c r="FF296" i="5"/>
  <c r="FG296" i="5"/>
  <c r="FH296" i="5"/>
  <c r="FI296" i="5"/>
  <c r="FJ296" i="5"/>
  <c r="FK296" i="5"/>
  <c r="FL296" i="5"/>
  <c r="FM296" i="5"/>
  <c r="FN296" i="5"/>
  <c r="FO296" i="5"/>
  <c r="FP296" i="5"/>
  <c r="FQ296" i="5"/>
  <c r="FR296" i="5"/>
  <c r="FS296" i="5"/>
  <c r="FT296" i="5"/>
  <c r="FU296" i="5"/>
  <c r="FV296" i="5"/>
  <c r="FW296" i="5"/>
  <c r="FX296" i="5"/>
  <c r="FY296" i="5"/>
  <c r="FZ296" i="5"/>
  <c r="GA296" i="5"/>
  <c r="GB296" i="5"/>
  <c r="GC296" i="5"/>
  <c r="GD296" i="5"/>
  <c r="GE296" i="5"/>
  <c r="GF296" i="5"/>
  <c r="GG296" i="5"/>
  <c r="GH296" i="5"/>
  <c r="GI296" i="5"/>
  <c r="GJ296" i="5"/>
  <c r="GK296" i="5"/>
  <c r="GL296" i="5"/>
  <c r="GM296" i="5"/>
  <c r="GN296" i="5"/>
  <c r="GO296" i="5"/>
  <c r="GP296" i="5"/>
  <c r="GQ296" i="5"/>
  <c r="GR296" i="5"/>
  <c r="GS296" i="5"/>
  <c r="GT296" i="5"/>
  <c r="GU296" i="5"/>
  <c r="GV296" i="5"/>
  <c r="GW296" i="5"/>
  <c r="GX296" i="5"/>
  <c r="GY296" i="5"/>
  <c r="GZ296" i="5"/>
  <c r="HA296" i="5"/>
  <c r="HB296" i="5"/>
  <c r="HC296" i="5"/>
  <c r="HD296" i="5"/>
  <c r="HE296" i="5"/>
  <c r="HF296" i="5"/>
  <c r="HG296" i="5"/>
  <c r="HH296" i="5"/>
  <c r="HI296" i="5"/>
  <c r="HJ296" i="5"/>
  <c r="HK296" i="5"/>
  <c r="HL296" i="5"/>
  <c r="HM296" i="5"/>
  <c r="A297" i="5"/>
  <c r="B297" i="5"/>
  <c r="C297" i="5"/>
  <c r="D297" i="5"/>
  <c r="E297" i="5"/>
  <c r="F297" i="5"/>
  <c r="H297" i="5"/>
  <c r="I297" i="5"/>
  <c r="J297" i="5"/>
  <c r="K297" i="5"/>
  <c r="L297" i="5"/>
  <c r="M297" i="5"/>
  <c r="N297" i="5"/>
  <c r="O297" i="5"/>
  <c r="P297" i="5"/>
  <c r="Q297" i="5"/>
  <c r="R297" i="5"/>
  <c r="S297" i="5"/>
  <c r="T297" i="5"/>
  <c r="U297"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AZ297" i="5" a="1"/>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DB297" i="5"/>
  <c r="DC297" i="5"/>
  <c r="DD297" i="5"/>
  <c r="DE297" i="5"/>
  <c r="DF297" i="5"/>
  <c r="DG297" i="5"/>
  <c r="DH297" i="5"/>
  <c r="DI297" i="5"/>
  <c r="DJ297" i="5"/>
  <c r="DK297" i="5"/>
  <c r="DL297" i="5"/>
  <c r="DW297" i="5"/>
  <c r="DX297" i="5"/>
  <c r="DY297" i="5"/>
  <c r="DZ297" i="5"/>
  <c r="EA297" i="5"/>
  <c r="EB297" i="5"/>
  <c r="EC297" i="5"/>
  <c r="ED297" i="5"/>
  <c r="EE297" i="5"/>
  <c r="EF297" i="5"/>
  <c r="EG297" i="5"/>
  <c r="EH297" i="5"/>
  <c r="EI297" i="5"/>
  <c r="EJ297" i="5"/>
  <c r="EK297" i="5"/>
  <c r="EL297" i="5"/>
  <c r="EM297" i="5"/>
  <c r="EN297" i="5"/>
  <c r="EO297" i="5"/>
  <c r="EP297" i="5"/>
  <c r="EQ297" i="5"/>
  <c r="ER297" i="5"/>
  <c r="ES297" i="5"/>
  <c r="ET297" i="5"/>
  <c r="EU297" i="5"/>
  <c r="EV297" i="5"/>
  <c r="EW297" i="5"/>
  <c r="EX297" i="5"/>
  <c r="EY297" i="5"/>
  <c r="EZ297" i="5"/>
  <c r="FA297" i="5"/>
  <c r="FB297" i="5"/>
  <c r="FC297" i="5"/>
  <c r="FD297" i="5"/>
  <c r="FE297" i="5"/>
  <c r="FF297" i="5"/>
  <c r="FG297" i="5"/>
  <c r="FH297" i="5"/>
  <c r="FI297" i="5"/>
  <c r="FJ297" i="5"/>
  <c r="FK297" i="5"/>
  <c r="FL297" i="5"/>
  <c r="FM297" i="5"/>
  <c r="FN297" i="5"/>
  <c r="FO297" i="5"/>
  <c r="FP297" i="5"/>
  <c r="FQ297" i="5"/>
  <c r="FR297" i="5"/>
  <c r="FS297" i="5"/>
  <c r="FT297" i="5"/>
  <c r="FU297" i="5"/>
  <c r="FV297" i="5"/>
  <c r="FW297" i="5"/>
  <c r="FX297" i="5"/>
  <c r="FY297" i="5"/>
  <c r="FZ297" i="5"/>
  <c r="GA297" i="5"/>
  <c r="GB297" i="5"/>
  <c r="GC297" i="5"/>
  <c r="GD297" i="5"/>
  <c r="GE297" i="5"/>
  <c r="GF297" i="5"/>
  <c r="GG297" i="5"/>
  <c r="GH297" i="5"/>
  <c r="GI297" i="5"/>
  <c r="GJ297" i="5"/>
  <c r="GK297" i="5"/>
  <c r="GL297" i="5"/>
  <c r="GM297" i="5"/>
  <c r="GN297" i="5"/>
  <c r="GO297" i="5"/>
  <c r="GP297" i="5"/>
  <c r="GQ297" i="5"/>
  <c r="GR297" i="5"/>
  <c r="GS297" i="5"/>
  <c r="GT297" i="5"/>
  <c r="GU297" i="5"/>
  <c r="GV297" i="5"/>
  <c r="GW297" i="5"/>
  <c r="GX297" i="5"/>
  <c r="GY297" i="5"/>
  <c r="GZ297" i="5"/>
  <c r="HA297" i="5"/>
  <c r="HB297" i="5"/>
  <c r="HC297" i="5"/>
  <c r="HD297" i="5"/>
  <c r="HE297" i="5"/>
  <c r="HF297" i="5"/>
  <c r="HG297" i="5"/>
  <c r="HH297" i="5"/>
  <c r="HI297" i="5"/>
  <c r="HJ297" i="5"/>
  <c r="HK297" i="5"/>
  <c r="HL297" i="5"/>
  <c r="HM297" i="5"/>
  <c r="A298" i="5"/>
  <c r="B298" i="5"/>
  <c r="C298" i="5"/>
  <c r="D298" i="5"/>
  <c r="E298" i="5"/>
  <c r="F298" i="5"/>
  <c r="H298" i="5"/>
  <c r="I298" i="5"/>
  <c r="J298" i="5"/>
  <c r="K298" i="5"/>
  <c r="L298" i="5"/>
  <c r="M298" i="5"/>
  <c r="N298" i="5"/>
  <c r="O298" i="5"/>
  <c r="P298" i="5"/>
  <c r="Q298" i="5"/>
  <c r="R298" i="5"/>
  <c r="S298" i="5"/>
  <c r="T298" i="5"/>
  <c r="U298"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AZ298" i="5" a="1"/>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DB298" i="5"/>
  <c r="DC298" i="5"/>
  <c r="DD298" i="5"/>
  <c r="DE298" i="5"/>
  <c r="DF298" i="5"/>
  <c r="DG298" i="5"/>
  <c r="DH298" i="5"/>
  <c r="DI298" i="5"/>
  <c r="DJ298" i="5"/>
  <c r="DK298" i="5"/>
  <c r="DL298" i="5"/>
  <c r="DW298" i="5"/>
  <c r="DX298" i="5"/>
  <c r="DY298" i="5"/>
  <c r="DZ298" i="5"/>
  <c r="EA298" i="5"/>
  <c r="EB298" i="5"/>
  <c r="EC298" i="5"/>
  <c r="ED298" i="5"/>
  <c r="EE298" i="5"/>
  <c r="EF298" i="5"/>
  <c r="EG298" i="5"/>
  <c r="EH298" i="5"/>
  <c r="EI298" i="5"/>
  <c r="EJ298" i="5"/>
  <c r="EK298" i="5"/>
  <c r="EL298" i="5"/>
  <c r="EM298" i="5"/>
  <c r="EN298" i="5"/>
  <c r="EO298" i="5"/>
  <c r="EP298" i="5"/>
  <c r="EQ298" i="5"/>
  <c r="ER298" i="5"/>
  <c r="ES298" i="5"/>
  <c r="ET298" i="5"/>
  <c r="EU298" i="5"/>
  <c r="EV298" i="5"/>
  <c r="EW298" i="5"/>
  <c r="EX298" i="5"/>
  <c r="EY298" i="5"/>
  <c r="EZ298" i="5"/>
  <c r="FA298" i="5"/>
  <c r="FB298" i="5"/>
  <c r="FC298" i="5"/>
  <c r="FD298" i="5"/>
  <c r="FE298" i="5"/>
  <c r="FF298" i="5"/>
  <c r="FG298" i="5"/>
  <c r="FH298" i="5"/>
  <c r="FI298" i="5"/>
  <c r="FJ298" i="5"/>
  <c r="FK298" i="5"/>
  <c r="FL298" i="5"/>
  <c r="FM298" i="5"/>
  <c r="FN298" i="5"/>
  <c r="FO298" i="5"/>
  <c r="FP298" i="5"/>
  <c r="FQ298" i="5"/>
  <c r="FR298" i="5"/>
  <c r="FS298" i="5"/>
  <c r="FT298" i="5"/>
  <c r="FU298" i="5"/>
  <c r="FV298" i="5"/>
  <c r="FW298" i="5"/>
  <c r="FX298" i="5"/>
  <c r="FY298" i="5"/>
  <c r="FZ298" i="5"/>
  <c r="GA298" i="5"/>
  <c r="GB298" i="5"/>
  <c r="GC298" i="5"/>
  <c r="GD298" i="5"/>
  <c r="GE298" i="5"/>
  <c r="GF298" i="5"/>
  <c r="GG298" i="5"/>
  <c r="GH298" i="5"/>
  <c r="GI298" i="5"/>
  <c r="GJ298" i="5"/>
  <c r="GK298" i="5"/>
  <c r="GL298" i="5"/>
  <c r="GM298" i="5"/>
  <c r="GN298" i="5"/>
  <c r="GO298" i="5"/>
  <c r="GP298" i="5"/>
  <c r="GQ298" i="5"/>
  <c r="GR298" i="5"/>
  <c r="GS298" i="5"/>
  <c r="GT298" i="5"/>
  <c r="GU298" i="5"/>
  <c r="GV298" i="5"/>
  <c r="GW298" i="5"/>
  <c r="GX298" i="5"/>
  <c r="GY298" i="5"/>
  <c r="GZ298" i="5"/>
  <c r="HA298" i="5"/>
  <c r="HB298" i="5"/>
  <c r="HC298" i="5"/>
  <c r="HD298" i="5"/>
  <c r="HE298" i="5"/>
  <c r="HF298" i="5"/>
  <c r="HG298" i="5"/>
  <c r="HH298" i="5"/>
  <c r="HI298" i="5"/>
  <c r="HJ298" i="5"/>
  <c r="HK298" i="5"/>
  <c r="HL298" i="5"/>
  <c r="HM298" i="5"/>
  <c r="A299" i="5"/>
  <c r="B299" i="5"/>
  <c r="C299" i="5"/>
  <c r="D299" i="5"/>
  <c r="E299" i="5"/>
  <c r="F299" i="5"/>
  <c r="H299" i="5"/>
  <c r="I299" i="5"/>
  <c r="J299" i="5"/>
  <c r="K299" i="5"/>
  <c r="L299" i="5"/>
  <c r="M299" i="5"/>
  <c r="N299" i="5"/>
  <c r="O299" i="5"/>
  <c r="P299" i="5"/>
  <c r="Q299" i="5"/>
  <c r="R299" i="5"/>
  <c r="S299" i="5"/>
  <c r="T299" i="5"/>
  <c r="U299"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AZ299" i="5" a="1"/>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DB299" i="5"/>
  <c r="DC299" i="5"/>
  <c r="DD299" i="5"/>
  <c r="DE299" i="5"/>
  <c r="DF299" i="5"/>
  <c r="DG299" i="5"/>
  <c r="DH299" i="5"/>
  <c r="DI299" i="5"/>
  <c r="DJ299" i="5"/>
  <c r="DK299" i="5"/>
  <c r="DL299" i="5"/>
  <c r="DW299" i="5"/>
  <c r="DX299" i="5"/>
  <c r="DY299" i="5"/>
  <c r="DZ299" i="5"/>
  <c r="EA299" i="5"/>
  <c r="EB299" i="5"/>
  <c r="EC299" i="5"/>
  <c r="ED299" i="5"/>
  <c r="EE299" i="5"/>
  <c r="EF299" i="5"/>
  <c r="EG299" i="5"/>
  <c r="EH299" i="5"/>
  <c r="EI299" i="5"/>
  <c r="EJ299" i="5"/>
  <c r="EK299" i="5"/>
  <c r="EL299" i="5"/>
  <c r="EM299" i="5"/>
  <c r="EN299" i="5"/>
  <c r="EO299" i="5"/>
  <c r="EP299" i="5"/>
  <c r="EQ299" i="5"/>
  <c r="ER299" i="5"/>
  <c r="ES299" i="5"/>
  <c r="ET299" i="5"/>
  <c r="EU299" i="5"/>
  <c r="EV299" i="5"/>
  <c r="EW299" i="5"/>
  <c r="EX299" i="5"/>
  <c r="EY299" i="5"/>
  <c r="EZ299" i="5"/>
  <c r="FA299" i="5"/>
  <c r="FB299" i="5"/>
  <c r="FC299" i="5"/>
  <c r="FD299" i="5"/>
  <c r="FE299" i="5"/>
  <c r="FF299" i="5"/>
  <c r="FG299" i="5"/>
  <c r="FH299" i="5"/>
  <c r="FI299" i="5"/>
  <c r="FJ299" i="5"/>
  <c r="FK299" i="5"/>
  <c r="FL299" i="5"/>
  <c r="FM299" i="5"/>
  <c r="FN299" i="5"/>
  <c r="FO299" i="5"/>
  <c r="FP299" i="5"/>
  <c r="FQ299" i="5"/>
  <c r="FR299" i="5"/>
  <c r="FS299" i="5"/>
  <c r="FT299" i="5"/>
  <c r="FU299" i="5"/>
  <c r="FV299" i="5"/>
  <c r="FW299" i="5"/>
  <c r="FX299" i="5"/>
  <c r="FY299" i="5"/>
  <c r="FZ299" i="5"/>
  <c r="GA299" i="5"/>
  <c r="GB299" i="5"/>
  <c r="GC299" i="5"/>
  <c r="GD299" i="5"/>
  <c r="GE299" i="5"/>
  <c r="GF299" i="5"/>
  <c r="GG299" i="5"/>
  <c r="GH299" i="5"/>
  <c r="GI299" i="5"/>
  <c r="GJ299" i="5"/>
  <c r="GK299" i="5"/>
  <c r="GL299" i="5"/>
  <c r="GM299" i="5"/>
  <c r="GN299" i="5"/>
  <c r="GO299" i="5"/>
  <c r="GP299" i="5"/>
  <c r="GQ299" i="5"/>
  <c r="GR299" i="5"/>
  <c r="GS299" i="5"/>
  <c r="GT299" i="5"/>
  <c r="GU299" i="5"/>
  <c r="GV299" i="5"/>
  <c r="GW299" i="5"/>
  <c r="GX299" i="5"/>
  <c r="GY299" i="5"/>
  <c r="GZ299" i="5"/>
  <c r="HA299" i="5"/>
  <c r="HB299" i="5"/>
  <c r="HC299" i="5"/>
  <c r="HD299" i="5"/>
  <c r="HE299" i="5"/>
  <c r="HF299" i="5"/>
  <c r="HG299" i="5"/>
  <c r="HH299" i="5"/>
  <c r="HI299" i="5"/>
  <c r="HJ299" i="5"/>
  <c r="HK299" i="5"/>
  <c r="HL299" i="5"/>
  <c r="HM299" i="5"/>
  <c r="A300" i="5"/>
  <c r="B300" i="5"/>
  <c r="C300" i="5"/>
  <c r="D300" i="5"/>
  <c r="E300" i="5"/>
  <c r="F300" i="5"/>
  <c r="H300" i="5"/>
  <c r="I300" i="5"/>
  <c r="J300" i="5"/>
  <c r="K300" i="5"/>
  <c r="L300" i="5"/>
  <c r="M300" i="5"/>
  <c r="N300" i="5"/>
  <c r="O300" i="5"/>
  <c r="P300" i="5"/>
  <c r="Q300" i="5"/>
  <c r="R300" i="5"/>
  <c r="S300" i="5"/>
  <c r="T300" i="5"/>
  <c r="U300"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AZ300" i="5" a="1"/>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DB300" i="5"/>
  <c r="DC300" i="5"/>
  <c r="DD300" i="5"/>
  <c r="DE300" i="5"/>
  <c r="DF300" i="5"/>
  <c r="DG300" i="5"/>
  <c r="DH300" i="5"/>
  <c r="DI300" i="5"/>
  <c r="DJ300" i="5"/>
  <c r="DK300" i="5"/>
  <c r="DL300" i="5"/>
  <c r="DW300" i="5"/>
  <c r="DX300" i="5"/>
  <c r="DY300" i="5"/>
  <c r="DZ300" i="5"/>
  <c r="EA300" i="5"/>
  <c r="EB300" i="5"/>
  <c r="EC300" i="5"/>
  <c r="ED300" i="5"/>
  <c r="EE300" i="5"/>
  <c r="EF300" i="5"/>
  <c r="EG300" i="5"/>
  <c r="EH300" i="5"/>
  <c r="EI300" i="5"/>
  <c r="EJ300" i="5"/>
  <c r="EK300" i="5"/>
  <c r="EL300" i="5"/>
  <c r="EM300" i="5"/>
  <c r="EN300" i="5"/>
  <c r="EO300" i="5"/>
  <c r="EP300" i="5"/>
  <c r="EQ300" i="5"/>
  <c r="ER300" i="5"/>
  <c r="ES300" i="5"/>
  <c r="ET300" i="5"/>
  <c r="EU300" i="5"/>
  <c r="EV300" i="5"/>
  <c r="EW300" i="5"/>
  <c r="EX300" i="5"/>
  <c r="EY300" i="5"/>
  <c r="EZ300" i="5"/>
  <c r="FA300" i="5"/>
  <c r="FB300" i="5"/>
  <c r="FC300" i="5"/>
  <c r="FD300" i="5"/>
  <c r="FE300" i="5"/>
  <c r="FF300" i="5"/>
  <c r="FG300" i="5"/>
  <c r="FH300" i="5"/>
  <c r="FI300" i="5"/>
  <c r="FJ300" i="5"/>
  <c r="FK300" i="5"/>
  <c r="FL300" i="5"/>
  <c r="FM300" i="5"/>
  <c r="FN300" i="5"/>
  <c r="FO300" i="5"/>
  <c r="FP300" i="5"/>
  <c r="FQ300" i="5"/>
  <c r="FR300" i="5"/>
  <c r="FS300" i="5"/>
  <c r="FT300" i="5"/>
  <c r="FU300" i="5"/>
  <c r="FV300" i="5"/>
  <c r="FW300" i="5"/>
  <c r="FX300" i="5"/>
  <c r="FY300" i="5"/>
  <c r="FZ300" i="5"/>
  <c r="GA300" i="5"/>
  <c r="GB300" i="5"/>
  <c r="GC300" i="5"/>
  <c r="GD300" i="5"/>
  <c r="GE300" i="5"/>
  <c r="GF300" i="5"/>
  <c r="GG300" i="5"/>
  <c r="GH300" i="5"/>
  <c r="GI300" i="5"/>
  <c r="GJ300" i="5"/>
  <c r="GK300" i="5"/>
  <c r="GL300" i="5"/>
  <c r="GM300" i="5"/>
  <c r="GN300" i="5"/>
  <c r="GO300" i="5"/>
  <c r="GP300" i="5"/>
  <c r="GQ300" i="5"/>
  <c r="GR300" i="5"/>
  <c r="GS300" i="5"/>
  <c r="GT300" i="5"/>
  <c r="GU300" i="5"/>
  <c r="GV300" i="5"/>
  <c r="GW300" i="5"/>
  <c r="GX300" i="5"/>
  <c r="GY300" i="5"/>
  <c r="GZ300" i="5"/>
  <c r="HA300" i="5"/>
  <c r="HB300" i="5"/>
  <c r="HC300" i="5"/>
  <c r="HD300" i="5"/>
  <c r="HE300" i="5"/>
  <c r="HF300" i="5"/>
  <c r="HG300" i="5"/>
  <c r="HH300" i="5"/>
  <c r="HI300" i="5"/>
  <c r="HJ300" i="5"/>
  <c r="HK300" i="5"/>
  <c r="HL300" i="5"/>
  <c r="HM300" i="5"/>
  <c r="A301" i="5"/>
  <c r="B301" i="5"/>
  <c r="C301" i="5"/>
  <c r="BU218" i="3"/>
  <c r="BV218" i="3"/>
  <c r="BW218" i="3"/>
  <c r="BU219" i="3"/>
  <c r="BV219" i="3"/>
  <c r="BW219" i="3"/>
  <c r="BU220" i="3"/>
  <c r="BV220" i="3"/>
  <c r="BW220" i="3"/>
  <c r="BU221" i="3"/>
  <c r="BV221" i="3"/>
  <c r="BW221" i="3"/>
  <c r="BU222" i="3"/>
  <c r="BV222" i="3"/>
  <c r="BW222" i="3"/>
  <c r="BU223" i="3"/>
  <c r="BV223" i="3"/>
  <c r="BW223" i="3"/>
  <c r="BU224" i="3"/>
  <c r="BV224" i="3"/>
  <c r="BW224" i="3"/>
  <c r="BU225" i="3"/>
  <c r="BV225" i="3"/>
  <c r="BW225" i="3"/>
  <c r="BU226" i="3"/>
  <c r="BV226" i="3"/>
  <c r="BW226" i="3"/>
  <c r="BU227" i="3"/>
  <c r="BV227" i="3"/>
  <c r="BW227" i="3"/>
  <c r="BU228" i="3"/>
  <c r="BV228" i="3"/>
  <c r="BW228" i="3"/>
  <c r="BU229" i="3"/>
  <c r="BV229" i="3"/>
  <c r="BW229" i="3"/>
  <c r="BU230" i="3"/>
  <c r="BV230" i="3"/>
  <c r="BW230" i="3"/>
  <c r="BU231" i="3"/>
  <c r="BV231" i="3"/>
  <c r="BW231" i="3"/>
  <c r="BU232" i="3"/>
  <c r="BV232" i="3"/>
  <c r="BW232" i="3"/>
  <c r="BU233" i="3"/>
  <c r="BV233" i="3"/>
  <c r="BW233" i="3"/>
  <c r="BU234" i="3"/>
  <c r="BV234" i="3"/>
  <c r="BW234" i="3"/>
  <c r="BU235" i="3"/>
  <c r="BV235" i="3"/>
  <c r="BW235" i="3"/>
  <c r="BU236" i="3"/>
  <c r="BV236" i="3"/>
  <c r="BW236" i="3"/>
  <c r="BU237" i="3"/>
  <c r="BV237" i="3"/>
  <c r="BW237" i="3"/>
  <c r="BU238" i="3"/>
  <c r="BV238" i="3"/>
  <c r="BW238" i="3"/>
  <c r="BU239" i="3"/>
  <c r="BV239" i="3"/>
  <c r="BW239" i="3"/>
  <c r="BU240" i="3"/>
  <c r="BV240" i="3"/>
  <c r="BW240" i="3"/>
  <c r="BU241" i="3"/>
  <c r="BV241" i="3"/>
  <c r="BW241" i="3"/>
  <c r="BU242" i="3"/>
  <c r="BV242" i="3"/>
  <c r="BW242" i="3"/>
  <c r="BU243" i="3"/>
  <c r="BV243" i="3"/>
  <c r="BW243" i="3"/>
  <c r="BU244" i="3"/>
  <c r="BV244" i="3"/>
  <c r="BW244" i="3"/>
  <c r="BU245" i="3"/>
  <c r="BV245" i="3"/>
  <c r="BW245" i="3"/>
  <c r="BU246" i="3"/>
  <c r="BV246" i="3"/>
  <c r="BW246" i="3"/>
  <c r="BU247" i="3"/>
  <c r="BV247" i="3"/>
  <c r="BW247" i="3"/>
  <c r="BU248" i="3"/>
  <c r="BV248" i="3"/>
  <c r="BW248" i="3"/>
  <c r="BU249" i="3"/>
  <c r="BV249" i="3"/>
  <c r="BW249" i="3"/>
  <c r="BU250" i="3"/>
  <c r="BV250" i="3"/>
  <c r="BW250" i="3"/>
  <c r="BU251" i="3"/>
  <c r="BV251" i="3"/>
  <c r="BW251" i="3"/>
  <c r="BU252" i="3"/>
  <c r="BV252" i="3"/>
  <c r="BW252" i="3"/>
  <c r="BU253" i="3"/>
  <c r="BV253" i="3"/>
  <c r="BW253" i="3"/>
  <c r="BU254" i="3"/>
  <c r="BV254" i="3"/>
  <c r="BW254" i="3"/>
  <c r="BU255" i="3"/>
  <c r="BV255" i="3"/>
  <c r="BW255" i="3"/>
  <c r="BU256" i="3"/>
  <c r="BV256" i="3"/>
  <c r="BW256" i="3"/>
  <c r="BU257" i="3"/>
  <c r="BV257" i="3"/>
  <c r="BW257" i="3"/>
  <c r="BU258" i="3"/>
  <c r="BV258" i="3"/>
  <c r="BW258" i="3"/>
  <c r="BU259" i="3"/>
  <c r="BV259" i="3"/>
  <c r="BW259" i="3"/>
  <c r="BU260" i="3"/>
  <c r="BV260" i="3"/>
  <c r="BW260" i="3"/>
  <c r="BU261" i="3"/>
  <c r="BV261" i="3"/>
  <c r="BW261" i="3"/>
  <c r="BU262" i="3"/>
  <c r="BV262" i="3"/>
  <c r="BW262" i="3"/>
  <c r="BU263" i="3"/>
  <c r="BV263" i="3"/>
  <c r="BW263" i="3"/>
  <c r="BU264" i="3"/>
  <c r="BV264" i="3"/>
  <c r="BW264" i="3"/>
  <c r="BU265" i="3"/>
  <c r="BV265" i="3"/>
  <c r="BW265" i="3"/>
  <c r="BU266" i="3"/>
  <c r="BV266" i="3"/>
  <c r="BW266" i="3"/>
  <c r="BU267" i="3"/>
  <c r="BV267" i="3"/>
  <c r="BW267" i="3"/>
  <c r="BU268" i="3"/>
  <c r="BV268" i="3"/>
  <c r="BW268" i="3"/>
  <c r="BU269" i="3"/>
  <c r="BV269" i="3"/>
  <c r="BW269" i="3"/>
  <c r="BU270" i="3"/>
  <c r="BV270" i="3"/>
  <c r="BW270" i="3"/>
  <c r="Z271" i="3"/>
  <c r="AA271" i="3"/>
  <c r="AB271" i="3"/>
  <c r="AD271" i="3"/>
  <c r="AE271" i="3"/>
  <c r="AF271" i="3"/>
  <c r="BU271" i="3"/>
  <c r="BV271" i="3"/>
  <c r="BW271" i="3"/>
  <c r="Z272" i="3"/>
  <c r="AA272" i="3"/>
  <c r="AB272" i="3"/>
  <c r="AD272" i="3"/>
  <c r="AE272" i="3"/>
  <c r="AF272" i="3"/>
  <c r="BU272" i="3"/>
  <c r="BV272" i="3"/>
  <c r="BW272" i="3"/>
  <c r="Z273" i="3"/>
  <c r="AA273" i="3"/>
  <c r="AB273" i="3"/>
  <c r="AD273" i="3"/>
  <c r="AE273" i="3"/>
  <c r="AF273" i="3"/>
  <c r="BU273" i="3"/>
  <c r="BV273" i="3"/>
  <c r="BW273" i="3"/>
  <c r="Z274" i="3"/>
  <c r="AA274" i="3"/>
  <c r="AB274" i="3"/>
  <c r="AD274" i="3"/>
  <c r="AE274" i="3"/>
  <c r="AF274" i="3"/>
  <c r="BU274" i="3"/>
  <c r="BV274" i="3"/>
  <c r="BW274" i="3"/>
  <c r="Z275" i="3"/>
  <c r="AA275" i="3"/>
  <c r="AB275" i="3"/>
  <c r="AD275" i="3"/>
  <c r="AE275" i="3"/>
  <c r="AF275" i="3"/>
  <c r="BU275" i="3"/>
  <c r="BV275" i="3"/>
  <c r="BW275" i="3"/>
  <c r="Z276" i="3"/>
  <c r="AA276" i="3"/>
  <c r="AB276" i="3"/>
  <c r="AD276" i="3"/>
  <c r="AE276" i="3"/>
  <c r="AF276" i="3"/>
  <c r="BU276" i="3"/>
  <c r="BV276" i="3"/>
  <c r="BW276" i="3"/>
  <c r="Z277" i="3"/>
  <c r="AA277" i="3"/>
  <c r="AB277" i="3"/>
  <c r="AD277" i="3"/>
  <c r="AE277" i="3"/>
  <c r="AF277" i="3"/>
  <c r="BU277" i="3"/>
  <c r="BV277" i="3"/>
  <c r="BW277" i="3"/>
  <c r="Z278" i="3"/>
  <c r="AA278" i="3"/>
  <c r="AB278" i="3"/>
  <c r="AD278" i="3"/>
  <c r="AE278" i="3"/>
  <c r="AF278" i="3"/>
  <c r="BU278" i="3"/>
  <c r="BV278" i="3"/>
  <c r="BW278" i="3"/>
  <c r="Z279" i="3"/>
  <c r="AA279" i="3"/>
  <c r="AB279" i="3"/>
  <c r="AD279" i="3"/>
  <c r="AE279" i="3"/>
  <c r="AF279" i="3"/>
  <c r="BU279" i="3"/>
  <c r="BV279" i="3"/>
  <c r="BW279" i="3"/>
  <c r="Z280" i="3"/>
  <c r="AA280" i="3"/>
  <c r="AB280" i="3"/>
  <c r="AD280" i="3"/>
  <c r="AE280" i="3"/>
  <c r="AF280" i="3"/>
  <c r="BU280" i="3"/>
  <c r="BV280" i="3"/>
  <c r="BW280" i="3"/>
  <c r="Z281" i="3"/>
  <c r="AA281" i="3"/>
  <c r="AB281" i="3"/>
  <c r="AD281" i="3"/>
  <c r="AE281" i="3"/>
  <c r="AF281" i="3"/>
  <c r="BU281" i="3"/>
  <c r="BV281" i="3"/>
  <c r="BW281" i="3"/>
  <c r="Z282" i="3"/>
  <c r="AA282" i="3"/>
  <c r="AB282" i="3"/>
  <c r="AD282" i="3"/>
  <c r="AE282" i="3"/>
  <c r="AF282" i="3"/>
  <c r="BU282" i="3"/>
  <c r="BV282" i="3"/>
  <c r="BW282" i="3"/>
  <c r="Z283" i="3"/>
  <c r="AA283" i="3"/>
  <c r="AB283" i="3"/>
  <c r="AD283" i="3"/>
  <c r="AE283" i="3"/>
  <c r="AF283" i="3"/>
  <c r="BU283" i="3"/>
  <c r="BV283" i="3"/>
  <c r="BW283" i="3"/>
  <c r="Z284" i="3"/>
  <c r="AA284" i="3"/>
  <c r="AB284" i="3"/>
  <c r="AD284" i="3"/>
  <c r="AE284" i="3"/>
  <c r="AF284" i="3"/>
  <c r="BU284" i="3"/>
  <c r="BV284" i="3"/>
  <c r="BW284" i="3"/>
  <c r="BX284" i="3"/>
  <c r="BZ284" i="3"/>
  <c r="Z285" i="3"/>
  <c r="AA285" i="3"/>
  <c r="AB285" i="3"/>
  <c r="AD285" i="3"/>
  <c r="AE285" i="3"/>
  <c r="AF285" i="3"/>
  <c r="BU285" i="3"/>
  <c r="BV285" i="3"/>
  <c r="BW285" i="3"/>
  <c r="BX285" i="3"/>
  <c r="BZ285" i="3"/>
  <c r="Z286" i="3"/>
  <c r="AA286" i="3"/>
  <c r="AB286" i="3"/>
  <c r="AD286" i="3"/>
  <c r="AE286" i="3"/>
  <c r="AF286" i="3"/>
  <c r="BU286" i="3"/>
  <c r="BV286" i="3"/>
  <c r="BW286" i="3"/>
  <c r="BX286" i="3"/>
  <c r="BZ286" i="3"/>
  <c r="Z287" i="3"/>
  <c r="AA287" i="3"/>
  <c r="AB287" i="3"/>
  <c r="AD287" i="3"/>
  <c r="AE287" i="3"/>
  <c r="AF287" i="3"/>
  <c r="BU287" i="3"/>
  <c r="BV287" i="3"/>
  <c r="BW287" i="3"/>
  <c r="BX287" i="3"/>
  <c r="BZ287" i="3"/>
  <c r="N288" i="3"/>
  <c r="O288" i="3"/>
  <c r="P288" i="3"/>
  <c r="R288" i="3"/>
  <c r="S288" i="3"/>
  <c r="T288" i="3"/>
  <c r="V288" i="3"/>
  <c r="W288" i="3"/>
  <c r="X288" i="3"/>
  <c r="Z288" i="3"/>
  <c r="AA288" i="3"/>
  <c r="AB288" i="3"/>
  <c r="AD288" i="3"/>
  <c r="AE288" i="3"/>
  <c r="AF288" i="3"/>
  <c r="AH288" i="3"/>
  <c r="AI288" i="3"/>
  <c r="AJ288" i="3"/>
  <c r="AL288" i="3"/>
  <c r="AM288" i="3"/>
  <c r="AN288" i="3"/>
  <c r="AP288" i="3"/>
  <c r="AQ288" i="3"/>
  <c r="BU288" i="3"/>
  <c r="BV288" i="3"/>
  <c r="BW288" i="3"/>
  <c r="BX288" i="3"/>
  <c r="BZ288" i="3"/>
  <c r="N289" i="3"/>
  <c r="O289" i="3"/>
  <c r="P289" i="3"/>
  <c r="R289" i="3"/>
  <c r="S289" i="3"/>
  <c r="T289" i="3"/>
  <c r="V289" i="3"/>
  <c r="W289" i="3"/>
  <c r="X289" i="3"/>
  <c r="Z289" i="3"/>
  <c r="AA289" i="3"/>
  <c r="AB289" i="3"/>
  <c r="AD289" i="3"/>
  <c r="AE289" i="3"/>
  <c r="AF289" i="3"/>
  <c r="AH289" i="3"/>
  <c r="AI289" i="3"/>
  <c r="AJ289" i="3"/>
  <c r="AL289" i="3"/>
  <c r="AM289" i="3"/>
  <c r="AN289" i="3"/>
  <c r="AP289" i="3"/>
  <c r="AQ289" i="3"/>
  <c r="BU289" i="3"/>
  <c r="BV289" i="3"/>
  <c r="BW289" i="3"/>
  <c r="BX289" i="3"/>
  <c r="BZ289" i="3"/>
  <c r="N290" i="3"/>
  <c r="O290" i="3"/>
  <c r="P290" i="3"/>
  <c r="R290" i="3"/>
  <c r="S290" i="3"/>
  <c r="T290" i="3"/>
  <c r="V290" i="3"/>
  <c r="W290" i="3"/>
  <c r="X290" i="3"/>
  <c r="Z290" i="3"/>
  <c r="AA290" i="3"/>
  <c r="AB290" i="3"/>
  <c r="AD290" i="3"/>
  <c r="AE290" i="3"/>
  <c r="AF290" i="3"/>
  <c r="AH290" i="3"/>
  <c r="AI290" i="3"/>
  <c r="AJ290" i="3"/>
  <c r="AL290" i="3"/>
  <c r="AM290" i="3"/>
  <c r="AN290" i="3"/>
  <c r="AP290" i="3"/>
  <c r="AQ290" i="3"/>
  <c r="BU290" i="3"/>
  <c r="BV290" i="3"/>
  <c r="BW290" i="3"/>
  <c r="BX290" i="3"/>
  <c r="BZ290" i="3"/>
  <c r="N291" i="3"/>
  <c r="O291" i="3"/>
  <c r="P291" i="3"/>
  <c r="R291" i="3"/>
  <c r="S291" i="3"/>
  <c r="T291" i="3"/>
  <c r="V291" i="3"/>
  <c r="W291" i="3"/>
  <c r="X291" i="3"/>
  <c r="Z291" i="3"/>
  <c r="AA291" i="3"/>
  <c r="AB291" i="3"/>
  <c r="AD291" i="3"/>
  <c r="AE291" i="3"/>
  <c r="AF291" i="3"/>
  <c r="AH291" i="3"/>
  <c r="AI291" i="3"/>
  <c r="AJ291" i="3"/>
  <c r="AL291" i="3"/>
  <c r="AM291" i="3"/>
  <c r="AN291" i="3"/>
  <c r="AP291" i="3"/>
  <c r="AQ291" i="3"/>
  <c r="BU291" i="3"/>
  <c r="BV291" i="3"/>
  <c r="BW291" i="3"/>
  <c r="BX291" i="3"/>
  <c r="BZ291" i="3"/>
  <c r="N292" i="3"/>
  <c r="O292" i="3"/>
  <c r="P292" i="3"/>
  <c r="R292" i="3"/>
  <c r="S292" i="3"/>
  <c r="T292" i="3"/>
  <c r="V292" i="3"/>
  <c r="W292" i="3"/>
  <c r="X292" i="3"/>
  <c r="Z292" i="3"/>
  <c r="AA292" i="3"/>
  <c r="AB292" i="3"/>
  <c r="AD292" i="3"/>
  <c r="AE292" i="3"/>
  <c r="AF292" i="3"/>
  <c r="AH292" i="3"/>
  <c r="AI292" i="3"/>
  <c r="AJ292" i="3"/>
  <c r="AL292" i="3"/>
  <c r="AM292" i="3"/>
  <c r="AN292" i="3"/>
  <c r="AP292" i="3"/>
  <c r="AQ292" i="3"/>
  <c r="BU292" i="3"/>
  <c r="BV292" i="3"/>
  <c r="BW292" i="3"/>
  <c r="BX292" i="3"/>
  <c r="BZ292" i="3"/>
  <c r="N293" i="3"/>
  <c r="O293" i="3"/>
  <c r="P293" i="3"/>
  <c r="R293" i="3"/>
  <c r="S293" i="3"/>
  <c r="T293" i="3"/>
  <c r="V293" i="3"/>
  <c r="W293" i="3"/>
  <c r="X293" i="3"/>
  <c r="Z293" i="3"/>
  <c r="AA293" i="3"/>
  <c r="AB293" i="3"/>
  <c r="AD293" i="3"/>
  <c r="AE293" i="3"/>
  <c r="AF293" i="3"/>
  <c r="AH293" i="3"/>
  <c r="AI293" i="3"/>
  <c r="AJ293" i="3"/>
  <c r="AL293" i="3"/>
  <c r="AM293" i="3"/>
  <c r="AN293" i="3"/>
  <c r="AP293" i="3"/>
  <c r="AQ293" i="3"/>
  <c r="BU293" i="3"/>
  <c r="BV293" i="3"/>
  <c r="BW293" i="3"/>
  <c r="BX293" i="3"/>
  <c r="BZ293" i="3"/>
  <c r="N294" i="3"/>
  <c r="O294" i="3"/>
  <c r="P294" i="3"/>
  <c r="R294" i="3"/>
  <c r="S294" i="3"/>
  <c r="T294" i="3"/>
  <c r="V294" i="3"/>
  <c r="W294" i="3"/>
  <c r="X294" i="3"/>
  <c r="Z294" i="3"/>
  <c r="AA294" i="3"/>
  <c r="AB294" i="3"/>
  <c r="AD294" i="3"/>
  <c r="AE294" i="3"/>
  <c r="AF294" i="3"/>
  <c r="AH294" i="3"/>
  <c r="AI294" i="3"/>
  <c r="AJ294" i="3"/>
  <c r="AL294" i="3"/>
  <c r="AM294" i="3"/>
  <c r="AN294" i="3"/>
  <c r="AP294" i="3"/>
  <c r="AQ294" i="3"/>
  <c r="BU294" i="3"/>
  <c r="BV294" i="3"/>
  <c r="BW294" i="3"/>
  <c r="BX294" i="3"/>
  <c r="BZ294" i="3"/>
  <c r="N295" i="3"/>
  <c r="O295" i="3"/>
  <c r="P295" i="3"/>
  <c r="R295" i="3"/>
  <c r="S295" i="3"/>
  <c r="T295" i="3"/>
  <c r="V295" i="3"/>
  <c r="W295" i="3"/>
  <c r="X295" i="3"/>
  <c r="Z295" i="3"/>
  <c r="AA295" i="3"/>
  <c r="AB295" i="3"/>
  <c r="AD295" i="3"/>
  <c r="AE295" i="3"/>
  <c r="AF295" i="3"/>
  <c r="AH295" i="3"/>
  <c r="AI295" i="3"/>
  <c r="AJ295" i="3"/>
  <c r="AL295" i="3"/>
  <c r="AM295" i="3"/>
  <c r="AN295" i="3"/>
  <c r="AP295" i="3"/>
  <c r="AQ295" i="3"/>
  <c r="BR295" i="3"/>
  <c r="BU295" i="3"/>
  <c r="BV295" i="3"/>
  <c r="BW295" i="3"/>
  <c r="BX295" i="3"/>
  <c r="BZ295" i="3"/>
  <c r="N296" i="3"/>
  <c r="O296" i="3"/>
  <c r="P296" i="3"/>
  <c r="R296" i="3"/>
  <c r="S296" i="3"/>
  <c r="T296" i="3"/>
  <c r="V296" i="3"/>
  <c r="W296" i="3"/>
  <c r="X296" i="3"/>
  <c r="Z296" i="3"/>
  <c r="AA296" i="3"/>
  <c r="AB296" i="3"/>
  <c r="AD296" i="3"/>
  <c r="AE296" i="3"/>
  <c r="AF296" i="3"/>
  <c r="AH296" i="3"/>
  <c r="AI296" i="3"/>
  <c r="AJ296" i="3"/>
  <c r="AL296" i="3"/>
  <c r="AM296" i="3"/>
  <c r="AN296" i="3"/>
  <c r="AP296" i="3"/>
  <c r="AQ296" i="3"/>
  <c r="BU296" i="3"/>
  <c r="BV296" i="3"/>
  <c r="BW296" i="3"/>
  <c r="BX296" i="3"/>
  <c r="BZ296" i="3"/>
  <c r="N297" i="3"/>
  <c r="O297" i="3"/>
  <c r="P297" i="3"/>
  <c r="R297" i="3"/>
  <c r="S297" i="3"/>
  <c r="T297" i="3"/>
  <c r="V297" i="3"/>
  <c r="W297" i="3"/>
  <c r="X297" i="3"/>
  <c r="Z297" i="3"/>
  <c r="AA297" i="3"/>
  <c r="AB297" i="3"/>
  <c r="AD297" i="3"/>
  <c r="AE297" i="3"/>
  <c r="AF297" i="3"/>
  <c r="AH297" i="3"/>
  <c r="AI297" i="3"/>
  <c r="AJ297" i="3"/>
  <c r="AL297" i="3"/>
  <c r="AM297" i="3"/>
  <c r="AN297" i="3"/>
  <c r="AP297" i="3"/>
  <c r="AQ297" i="3"/>
  <c r="BU297" i="3"/>
  <c r="BV297" i="3"/>
  <c r="BW297" i="3"/>
  <c r="BX297" i="3"/>
  <c r="BZ297" i="3"/>
  <c r="N298" i="3"/>
  <c r="O298" i="3"/>
  <c r="P298" i="3"/>
  <c r="R298" i="3"/>
  <c r="S298" i="3"/>
  <c r="T298" i="3"/>
  <c r="V298" i="3"/>
  <c r="W298" i="3"/>
  <c r="X298" i="3"/>
  <c r="Z298" i="3"/>
  <c r="AA298" i="3"/>
  <c r="AB298" i="3"/>
  <c r="AD298" i="3"/>
  <c r="AE298" i="3"/>
  <c r="AF298" i="3"/>
  <c r="AH298" i="3"/>
  <c r="AI298" i="3"/>
  <c r="AJ298" i="3"/>
  <c r="AL298" i="3"/>
  <c r="AM298" i="3"/>
  <c r="AN298" i="3"/>
  <c r="AP298" i="3"/>
  <c r="AQ298" i="3"/>
  <c r="BU298" i="3"/>
  <c r="BV298" i="3"/>
  <c r="BW298" i="3"/>
  <c r="BX298" i="3"/>
  <c r="BZ298" i="3"/>
  <c r="N299" i="3"/>
  <c r="O299" i="3"/>
  <c r="P299" i="3"/>
  <c r="R299" i="3"/>
  <c r="S299" i="3"/>
  <c r="T299" i="3"/>
  <c r="V299" i="3"/>
  <c r="W299" i="3"/>
  <c r="X299" i="3"/>
  <c r="Z299" i="3"/>
  <c r="AA299" i="3"/>
  <c r="AB299" i="3"/>
  <c r="AD299" i="3"/>
  <c r="AE299" i="3"/>
  <c r="AF299" i="3"/>
  <c r="AH299" i="3"/>
  <c r="AI299" i="3"/>
  <c r="AJ299" i="3"/>
  <c r="AL299" i="3"/>
  <c r="AM299" i="3"/>
  <c r="AN299" i="3"/>
  <c r="AP299" i="3"/>
  <c r="AQ299" i="3"/>
  <c r="BU299" i="3"/>
  <c r="BV299" i="3"/>
  <c r="BW299" i="3"/>
  <c r="BX299" i="3"/>
  <c r="BZ299" i="3"/>
  <c r="N300" i="3"/>
  <c r="O300" i="3"/>
  <c r="P300" i="3"/>
  <c r="R300" i="3"/>
  <c r="S300" i="3"/>
  <c r="T300" i="3"/>
  <c r="V300" i="3"/>
  <c r="W300" i="3"/>
  <c r="X300" i="3"/>
  <c r="Z300" i="3"/>
  <c r="AA300" i="3"/>
  <c r="AB300" i="3"/>
  <c r="AD300" i="3"/>
  <c r="AE300" i="3"/>
  <c r="AF300" i="3"/>
  <c r="AH300" i="3"/>
  <c r="AI300" i="3"/>
  <c r="AJ300" i="3"/>
  <c r="AL300" i="3"/>
  <c r="AM300" i="3"/>
  <c r="AN300" i="3"/>
  <c r="AP300" i="3"/>
  <c r="AQ300" i="3"/>
  <c r="BU300" i="3"/>
  <c r="BV300" i="3"/>
  <c r="BW300" i="3"/>
  <c r="BX300" i="3"/>
  <c r="BZ300" i="3"/>
  <c r="N301" i="3"/>
  <c r="O301" i="3"/>
  <c r="P301" i="3"/>
  <c r="R301" i="3"/>
  <c r="S301" i="3"/>
  <c r="T301" i="3"/>
  <c r="V301" i="3"/>
  <c r="W301" i="3"/>
  <c r="X301" i="3"/>
  <c r="Z301" i="3"/>
  <c r="AA301" i="3"/>
  <c r="AB301" i="3"/>
  <c r="AD301" i="3"/>
  <c r="AE301" i="3"/>
  <c r="AF301" i="3"/>
  <c r="AH301" i="3"/>
  <c r="AI301" i="3"/>
  <c r="AJ301" i="3"/>
  <c r="AL301" i="3"/>
  <c r="AM301" i="3"/>
  <c r="AN301" i="3"/>
  <c r="AP301" i="3"/>
  <c r="AQ301" i="3"/>
  <c r="BU301" i="3"/>
  <c r="BV301" i="3"/>
  <c r="BW301" i="3"/>
  <c r="BX301" i="3"/>
  <c r="BZ301" i="3"/>
  <c r="N302" i="3"/>
  <c r="O302" i="3"/>
  <c r="P302" i="3"/>
  <c r="R302" i="3"/>
  <c r="S302" i="3"/>
  <c r="T302" i="3"/>
  <c r="V302" i="3"/>
  <c r="W302" i="3"/>
  <c r="X302" i="3"/>
  <c r="Z302" i="3"/>
  <c r="AA302" i="3"/>
  <c r="AB302" i="3"/>
  <c r="AD302" i="3"/>
  <c r="AE302" i="3"/>
  <c r="AF302" i="3"/>
  <c r="AH302" i="3"/>
  <c r="AI302" i="3"/>
  <c r="AJ302" i="3"/>
  <c r="AL302" i="3"/>
  <c r="AM302" i="3"/>
  <c r="AN302" i="3"/>
  <c r="AP302" i="3"/>
  <c r="AQ302" i="3"/>
  <c r="N303" i="3"/>
  <c r="O303" i="3"/>
  <c r="P303" i="3"/>
  <c r="R303" i="3"/>
  <c r="S303" i="3"/>
  <c r="T303" i="3"/>
  <c r="V303" i="3"/>
  <c r="W303" i="3"/>
  <c r="X303" i="3"/>
  <c r="Z303" i="3"/>
  <c r="AA303" i="3"/>
  <c r="AB303" i="3"/>
  <c r="AD303" i="3"/>
  <c r="AE303" i="3"/>
  <c r="AF303" i="3"/>
  <c r="AH303" i="3"/>
  <c r="AI303" i="3"/>
  <c r="AJ303" i="3"/>
  <c r="AL303" i="3"/>
  <c r="AM303" i="3"/>
  <c r="AN303" i="3"/>
  <c r="AP303" i="3"/>
  <c r="AQ303" i="3"/>
  <c r="N304" i="3"/>
  <c r="O304" i="3"/>
  <c r="P304" i="3"/>
  <c r="R304" i="3"/>
  <c r="S304" i="3"/>
  <c r="T304" i="3"/>
  <c r="V304" i="3"/>
  <c r="W304" i="3"/>
  <c r="X304" i="3"/>
  <c r="Z304" i="3"/>
  <c r="AA304" i="3"/>
  <c r="AB304" i="3"/>
  <c r="AD304" i="3"/>
  <c r="AE304" i="3"/>
  <c r="AF304" i="3"/>
  <c r="AH304" i="3"/>
  <c r="AI304" i="3"/>
  <c r="AJ304" i="3"/>
  <c r="AL304" i="3"/>
  <c r="AM304" i="3"/>
  <c r="AN304" i="3"/>
  <c r="AP304" i="3"/>
  <c r="AQ304" i="3"/>
  <c r="N305" i="3"/>
  <c r="O305" i="3"/>
  <c r="P305" i="3"/>
  <c r="R305" i="3"/>
  <c r="S305" i="3"/>
  <c r="T305" i="3"/>
  <c r="V305" i="3"/>
  <c r="W305" i="3"/>
  <c r="X305" i="3"/>
  <c r="Z305" i="3"/>
  <c r="AA305" i="3"/>
  <c r="AB305" i="3"/>
  <c r="AD305" i="3"/>
  <c r="AE305" i="3"/>
  <c r="AF305" i="3"/>
  <c r="AH305" i="3"/>
  <c r="AI305" i="3"/>
  <c r="AJ305" i="3"/>
  <c r="AL305" i="3"/>
  <c r="AM305" i="3"/>
  <c r="AN305" i="3"/>
  <c r="AP305" i="3"/>
  <c r="AQ305" i="3"/>
  <c r="N306" i="3"/>
  <c r="O306" i="3"/>
  <c r="P306" i="3"/>
  <c r="R306" i="3"/>
  <c r="S306" i="3"/>
  <c r="T306" i="3"/>
  <c r="V306" i="3"/>
  <c r="W306" i="3"/>
  <c r="X306" i="3"/>
  <c r="Z306" i="3"/>
  <c r="AA306" i="3"/>
  <c r="AB306" i="3"/>
  <c r="AD306" i="3"/>
  <c r="AE306" i="3"/>
  <c r="AF306" i="3"/>
  <c r="AH306" i="3"/>
  <c r="AI306" i="3"/>
  <c r="AJ306" i="3"/>
  <c r="AL306" i="3"/>
  <c r="AM306" i="3"/>
  <c r="AN306" i="3"/>
  <c r="AP306" i="3"/>
  <c r="AQ306" i="3"/>
  <c r="E317" i="3"/>
  <c r="F317" i="3"/>
  <c r="G317" i="3"/>
  <c r="I317" i="3"/>
  <c r="J317" i="3"/>
  <c r="K317" i="3"/>
  <c r="E318" i="3"/>
  <c r="F318" i="3"/>
  <c r="G318" i="3"/>
  <c r="I318" i="3"/>
  <c r="J318" i="3"/>
  <c r="K318" i="3"/>
  <c r="E319" i="3"/>
  <c r="F319" i="3"/>
  <c r="G319" i="3"/>
  <c r="I319" i="3"/>
  <c r="J319" i="3"/>
  <c r="K319" i="3"/>
  <c r="E320" i="3"/>
  <c r="F320" i="3"/>
  <c r="G320" i="3"/>
  <c r="I320" i="3"/>
  <c r="J320" i="3"/>
  <c r="K320" i="3"/>
  <c r="E321" i="3"/>
  <c r="F321" i="3"/>
  <c r="G321" i="3"/>
  <c r="I321" i="3"/>
  <c r="J321" i="3"/>
  <c r="K321" i="3"/>
  <c r="E322" i="3"/>
  <c r="F322" i="3"/>
  <c r="G322" i="3"/>
  <c r="I322" i="3"/>
  <c r="J322" i="3"/>
  <c r="K322" i="3"/>
  <c r="E323" i="3"/>
  <c r="F323" i="3"/>
  <c r="G323" i="3"/>
  <c r="I323" i="3"/>
  <c r="J323" i="3"/>
  <c r="K323" i="3"/>
  <c r="E324" i="3"/>
  <c r="F324" i="3"/>
  <c r="G324" i="3"/>
  <c r="I324" i="3"/>
  <c r="J324" i="3"/>
  <c r="K324" i="3"/>
  <c r="E325" i="3"/>
  <c r="F325" i="3"/>
  <c r="G325" i="3"/>
  <c r="I325" i="3"/>
  <c r="J325" i="3"/>
  <c r="K325" i="3"/>
  <c r="E326" i="3"/>
  <c r="F326" i="3"/>
  <c r="G326" i="3"/>
  <c r="I326" i="3"/>
  <c r="J326" i="3"/>
  <c r="K326" i="3"/>
  <c r="E327" i="3"/>
  <c r="F327" i="3"/>
  <c r="G327" i="3"/>
  <c r="I327" i="3"/>
  <c r="J327" i="3"/>
  <c r="K327" i="3"/>
  <c r="E328" i="3"/>
  <c r="F328" i="3"/>
  <c r="G328" i="3"/>
  <c r="I328" i="3"/>
  <c r="J328" i="3"/>
  <c r="K328" i="3"/>
  <c r="E329" i="3"/>
  <c r="F329" i="3"/>
  <c r="G329" i="3"/>
  <c r="I329" i="3"/>
  <c r="J329" i="3"/>
  <c r="K329" i="3"/>
  <c r="E330" i="3"/>
  <c r="F330" i="3"/>
  <c r="G330" i="3"/>
  <c r="I330" i="3"/>
  <c r="J330" i="3"/>
  <c r="K330" i="3"/>
  <c r="E331" i="3"/>
  <c r="F331" i="3"/>
  <c r="G331" i="3"/>
  <c r="I331" i="3"/>
  <c r="J331" i="3"/>
  <c r="K331" i="3"/>
  <c r="E332" i="3"/>
  <c r="F332" i="3"/>
  <c r="G332" i="3"/>
  <c r="I332" i="3"/>
  <c r="J332" i="3"/>
  <c r="K332" i="3"/>
  <c r="E333" i="3"/>
  <c r="F333" i="3"/>
  <c r="G333" i="3"/>
  <c r="I333" i="3"/>
  <c r="J333" i="3"/>
  <c r="K333" i="3"/>
  <c r="E334" i="3"/>
  <c r="F334" i="3"/>
  <c r="G334" i="3"/>
  <c r="I334" i="3"/>
  <c r="J334" i="3"/>
  <c r="K334" i="3"/>
  <c r="E335" i="3"/>
  <c r="F335" i="3"/>
  <c r="G335" i="3"/>
  <c r="I335" i="3"/>
  <c r="J335" i="3"/>
  <c r="K335" i="3"/>
  <c r="C4" i="11"/>
  <c r="D4" i="11"/>
  <c r="E4" i="11"/>
  <c r="F4" i="11"/>
  <c r="G4" i="11"/>
  <c r="H4" i="11"/>
  <c r="I4" i="11"/>
  <c r="J4" i="11"/>
  <c r="K4" i="11"/>
  <c r="L4" i="11"/>
  <c r="M4" i="11"/>
  <c r="N4" i="11"/>
  <c r="O4" i="11"/>
  <c r="P4" i="11"/>
  <c r="Q4" i="11"/>
  <c r="R4" i="11"/>
  <c r="S4" i="11"/>
  <c r="T4" i="11"/>
  <c r="U4" i="11"/>
  <c r="V4" i="11"/>
  <c r="W4" i="11"/>
  <c r="B7" i="11"/>
  <c r="B8" i="11"/>
  <c r="B9" i="11"/>
  <c r="C9" i="11"/>
  <c r="D9" i="11"/>
  <c r="E9" i="11"/>
  <c r="F9" i="11"/>
  <c r="G9" i="11"/>
  <c r="H9" i="11"/>
  <c r="I9" i="11"/>
  <c r="J9" i="11"/>
  <c r="K9" i="11"/>
  <c r="L9" i="11"/>
  <c r="M9" i="11"/>
  <c r="N9" i="11"/>
  <c r="O9" i="11"/>
  <c r="P9" i="11"/>
  <c r="Q9" i="11"/>
  <c r="R9" i="11"/>
  <c r="S9" i="11"/>
  <c r="T9" i="11"/>
  <c r="U9" i="11"/>
  <c r="V9" i="11"/>
  <c r="W9" i="11"/>
  <c r="D11" i="11"/>
  <c r="E11" i="11"/>
  <c r="F11" i="11"/>
  <c r="G11" i="11"/>
  <c r="H11" i="11"/>
  <c r="I11" i="11"/>
  <c r="J11" i="11"/>
  <c r="K11" i="11"/>
  <c r="L11" i="11"/>
  <c r="M11" i="11"/>
  <c r="N11" i="11"/>
  <c r="O11" i="11"/>
  <c r="P11" i="11"/>
  <c r="Q11" i="11"/>
  <c r="R11" i="11"/>
  <c r="S11" i="11"/>
  <c r="T11" i="11"/>
  <c r="U11" i="11"/>
  <c r="V11" i="11"/>
  <c r="W11" i="11"/>
  <c r="C13" i="11"/>
  <c r="D13" i="11"/>
  <c r="E13" i="11"/>
  <c r="F13" i="11"/>
  <c r="G13" i="11"/>
  <c r="H13" i="11"/>
  <c r="I13" i="11"/>
  <c r="J13" i="11"/>
  <c r="K13" i="11"/>
  <c r="L13" i="11"/>
  <c r="M13" i="11"/>
  <c r="N13" i="11"/>
  <c r="O13" i="11"/>
  <c r="P13" i="11"/>
  <c r="Q13" i="11"/>
  <c r="R13" i="11"/>
  <c r="S13" i="11"/>
  <c r="T13" i="11"/>
  <c r="U13" i="11"/>
  <c r="V13" i="11"/>
  <c r="W13" i="11"/>
  <c r="C18" i="11"/>
  <c r="H18" i="11"/>
  <c r="L18" i="11"/>
  <c r="Q18" i="11"/>
  <c r="T18" i="11"/>
  <c r="C19" i="11"/>
  <c r="H19" i="11"/>
  <c r="L19" i="11"/>
  <c r="Q19" i="11"/>
  <c r="T19" i="11"/>
  <c r="C20" i="11"/>
  <c r="H20" i="11"/>
  <c r="L20" i="11"/>
  <c r="T20" i="11"/>
  <c r="H21" i="11"/>
  <c r="T21" i="11"/>
  <c r="H22" i="11"/>
  <c r="H23" i="11"/>
  <c r="Q23" i="11"/>
  <c r="H25" i="11"/>
  <c r="Q25" i="11"/>
  <c r="C26" i="11"/>
  <c r="C29" i="11"/>
  <c r="D40" i="11"/>
  <c r="E40" i="11"/>
  <c r="F40" i="11"/>
  <c r="G40" i="11"/>
  <c r="H40" i="11"/>
  <c r="I40" i="11"/>
  <c r="J40" i="11"/>
  <c r="K40" i="11"/>
  <c r="L40" i="11"/>
  <c r="M40" i="11"/>
  <c r="N40" i="11"/>
  <c r="O40" i="11"/>
  <c r="P40" i="11"/>
  <c r="Q40" i="11"/>
  <c r="R40" i="11"/>
  <c r="S40" i="11"/>
  <c r="T40" i="11"/>
  <c r="U40" i="11"/>
  <c r="V40" i="11"/>
  <c r="W40" i="11"/>
  <c r="B41" i="11"/>
  <c r="C41" i="11"/>
  <c r="D41" i="11"/>
  <c r="E41" i="11"/>
  <c r="F41" i="11"/>
  <c r="G41" i="11"/>
  <c r="H41" i="11"/>
  <c r="I41" i="11"/>
  <c r="J41" i="11"/>
  <c r="K41" i="11"/>
  <c r="L41" i="11"/>
  <c r="M41" i="11"/>
  <c r="N41" i="11"/>
  <c r="O41" i="11"/>
  <c r="P41" i="11"/>
  <c r="Q41" i="11"/>
  <c r="R41" i="11"/>
  <c r="S41" i="11"/>
  <c r="T41" i="11"/>
  <c r="U41" i="11"/>
  <c r="V41" i="11"/>
  <c r="W41" i="11"/>
  <c r="C44" i="11"/>
  <c r="D44" i="11"/>
  <c r="E44" i="11"/>
  <c r="F44" i="11"/>
  <c r="G44" i="11"/>
  <c r="H44" i="11"/>
  <c r="I44" i="11"/>
  <c r="J44" i="11"/>
  <c r="K44" i="11"/>
  <c r="L44" i="11"/>
  <c r="M44" i="11"/>
  <c r="N44" i="11"/>
  <c r="O44" i="11"/>
  <c r="P44" i="11"/>
  <c r="Q44" i="11"/>
  <c r="R44" i="11"/>
  <c r="S44" i="11"/>
  <c r="T44" i="11"/>
  <c r="U44" i="11"/>
  <c r="V44" i="11"/>
  <c r="W44" i="11"/>
  <c r="C45" i="11"/>
  <c r="D45" i="11"/>
  <c r="E45" i="11"/>
  <c r="F45" i="11"/>
  <c r="G45" i="11"/>
  <c r="H45" i="11"/>
  <c r="I45" i="11"/>
  <c r="J45" i="11"/>
  <c r="K45" i="11"/>
  <c r="L45" i="11"/>
  <c r="M45" i="11"/>
  <c r="N45" i="11"/>
  <c r="O45" i="11"/>
  <c r="P45" i="11"/>
  <c r="Q45" i="11"/>
  <c r="R45" i="11"/>
  <c r="S45" i="11"/>
  <c r="T45" i="11"/>
  <c r="U45" i="11"/>
  <c r="V45" i="11"/>
  <c r="W45" i="11"/>
  <c r="B47" i="11"/>
  <c r="C47" i="11"/>
  <c r="D47" i="11"/>
  <c r="E47" i="11"/>
  <c r="F47" i="11"/>
  <c r="G47" i="11"/>
  <c r="H47" i="11"/>
  <c r="I47" i="11"/>
  <c r="J47" i="11"/>
  <c r="K47" i="11"/>
  <c r="L47" i="11"/>
  <c r="M47" i="11"/>
  <c r="N47" i="11"/>
  <c r="O47" i="11"/>
  <c r="P47" i="11"/>
  <c r="Q47" i="11"/>
  <c r="R47" i="11"/>
  <c r="S47" i="11"/>
  <c r="T47" i="11"/>
  <c r="U47" i="11"/>
  <c r="V47" i="11"/>
  <c r="W47" i="11"/>
  <c r="B48" i="11"/>
  <c r="E48" i="11"/>
  <c r="B49" i="11"/>
  <c r="E49" i="11"/>
  <c r="B50" i="11"/>
  <c r="C50" i="11"/>
  <c r="E50" i="11"/>
  <c r="F50" i="11"/>
  <c r="G50" i="11"/>
  <c r="H50" i="11"/>
  <c r="I50" i="11"/>
  <c r="J50" i="11"/>
  <c r="K50" i="11"/>
  <c r="L50" i="11"/>
  <c r="M50" i="11"/>
  <c r="N50" i="11"/>
  <c r="O50" i="11"/>
  <c r="P50" i="11"/>
  <c r="Q50" i="11"/>
  <c r="R50" i="11"/>
  <c r="S50" i="11"/>
  <c r="T50" i="11"/>
  <c r="U50" i="11"/>
  <c r="V50" i="11"/>
  <c r="W50" i="11"/>
  <c r="E51" i="11"/>
  <c r="E52" i="11"/>
  <c r="D54" i="11"/>
  <c r="E54" i="11"/>
  <c r="F54" i="11"/>
  <c r="G54" i="11"/>
  <c r="H54" i="11"/>
  <c r="I54" i="11"/>
  <c r="J54" i="11"/>
  <c r="K54" i="11"/>
  <c r="L54" i="11"/>
  <c r="M54" i="11"/>
  <c r="N54" i="11"/>
  <c r="O54" i="11"/>
  <c r="P54" i="11"/>
  <c r="Q54" i="11"/>
  <c r="R54" i="11"/>
  <c r="S54" i="11"/>
  <c r="T54" i="11"/>
  <c r="U54" i="11"/>
  <c r="V54" i="11"/>
  <c r="W54" i="11"/>
  <c r="E55" i="11"/>
  <c r="F55" i="11"/>
  <c r="G55" i="11"/>
  <c r="H55" i="11"/>
  <c r="I55" i="11"/>
  <c r="J55" i="11"/>
  <c r="K55" i="11"/>
  <c r="L55" i="11"/>
  <c r="M55" i="11"/>
  <c r="N55" i="11"/>
  <c r="O55" i="11"/>
  <c r="P55" i="11"/>
  <c r="Q55" i="11"/>
  <c r="R55" i="11"/>
  <c r="S55" i="11"/>
  <c r="T55" i="11"/>
  <c r="U55" i="11"/>
  <c r="V55" i="11"/>
  <c r="W55" i="11"/>
  <c r="F56" i="11"/>
  <c r="G56" i="11"/>
  <c r="H56" i="11"/>
  <c r="I56" i="11"/>
  <c r="J56" i="11"/>
  <c r="K56" i="11"/>
  <c r="L56" i="11"/>
  <c r="M56" i="11"/>
  <c r="N56" i="11"/>
  <c r="O56" i="11"/>
  <c r="P56" i="11"/>
  <c r="Q56" i="11"/>
  <c r="R56" i="11"/>
  <c r="S56" i="11"/>
  <c r="T56" i="11"/>
  <c r="U56" i="11"/>
  <c r="V56" i="11"/>
  <c r="W56" i="11"/>
  <c r="G57" i="11"/>
  <c r="H57" i="11"/>
  <c r="I57" i="11"/>
  <c r="J57" i="11"/>
  <c r="K57" i="11"/>
  <c r="L57" i="11"/>
  <c r="M57" i="11"/>
  <c r="N57" i="11"/>
  <c r="O57" i="11"/>
  <c r="P57" i="11"/>
  <c r="Q57" i="11"/>
  <c r="R57" i="11"/>
  <c r="S57" i="11"/>
  <c r="T57" i="11"/>
  <c r="U57" i="11"/>
  <c r="V57" i="11"/>
  <c r="W57" i="11"/>
  <c r="H58" i="11"/>
  <c r="I58" i="11"/>
  <c r="J58" i="11"/>
  <c r="K58" i="11"/>
  <c r="L58" i="11"/>
  <c r="M58" i="11"/>
  <c r="N58" i="11"/>
  <c r="O58" i="11"/>
  <c r="P58" i="11"/>
  <c r="Q58" i="11"/>
  <c r="R58" i="11"/>
  <c r="S58" i="11"/>
  <c r="T58" i="11"/>
  <c r="U58" i="11"/>
  <c r="V58" i="11"/>
  <c r="W58" i="11"/>
  <c r="I59" i="11"/>
  <c r="J59" i="11"/>
  <c r="K59" i="11"/>
  <c r="L59" i="11"/>
  <c r="M59" i="11"/>
  <c r="N59" i="11"/>
  <c r="O59" i="11"/>
  <c r="P59" i="11"/>
  <c r="Q59" i="11"/>
  <c r="R59" i="11"/>
  <c r="S59" i="11"/>
  <c r="T59" i="11"/>
  <c r="U59" i="11"/>
  <c r="V59" i="11"/>
  <c r="W59" i="11"/>
  <c r="C60" i="11"/>
  <c r="D60" i="11"/>
  <c r="E60" i="11"/>
  <c r="F60" i="11"/>
  <c r="G60" i="11"/>
  <c r="H60" i="11"/>
  <c r="I60" i="11"/>
  <c r="J60" i="11"/>
  <c r="K60" i="11"/>
  <c r="L60" i="11"/>
  <c r="M60" i="11"/>
  <c r="N60" i="11"/>
  <c r="O60" i="11"/>
  <c r="P60" i="11"/>
  <c r="Q60" i="11"/>
  <c r="R60" i="11"/>
  <c r="S60" i="11"/>
  <c r="T60" i="11"/>
  <c r="U60" i="11"/>
  <c r="V60" i="11"/>
  <c r="W60" i="11"/>
  <c r="E65" i="11"/>
  <c r="E66" i="11"/>
  <c r="E68" i="11"/>
  <c r="F69" i="11"/>
  <c r="F70" i="11"/>
  <c r="F71" i="11"/>
  <c r="G71" i="11"/>
  <c r="F72" i="11"/>
  <c r="F73" i="11"/>
  <c r="F74" i="11"/>
  <c r="F75" i="11"/>
  <c r="G75" i="11"/>
  <c r="E76" i="11"/>
  <c r="F76" i="11"/>
  <c r="E77" i="11"/>
  <c r="F77" i="11"/>
  <c r="E78" i="11"/>
  <c r="E82" i="11"/>
  <c r="H82" i="11"/>
  <c r="I82" i="11"/>
  <c r="J82" i="11"/>
  <c r="E83" i="11"/>
  <c r="H83" i="11"/>
  <c r="I83" i="11"/>
  <c r="J83" i="11"/>
  <c r="E84" i="11"/>
  <c r="H84" i="11"/>
  <c r="I84" i="11"/>
  <c r="J84" i="11"/>
  <c r="E85" i="11"/>
  <c r="J85" i="11"/>
  <c r="E86" i="11"/>
  <c r="H86" i="11"/>
  <c r="I86" i="11"/>
  <c r="J86" i="11"/>
  <c r="E87" i="11"/>
  <c r="B93" i="11"/>
  <c r="B94" i="11"/>
  <c r="D94" i="11"/>
  <c r="E94" i="11"/>
  <c r="F94" i="11"/>
  <c r="I94" i="11"/>
  <c r="B95" i="11"/>
  <c r="C95" i="11"/>
  <c r="D95" i="11"/>
  <c r="E95" i="11"/>
  <c r="F95" i="11"/>
  <c r="I95" i="11"/>
  <c r="B96" i="11"/>
  <c r="C96" i="11"/>
  <c r="D96" i="11"/>
  <c r="E96" i="11"/>
  <c r="F96" i="11"/>
  <c r="I96" i="11"/>
  <c r="B97" i="11"/>
  <c r="C97" i="11"/>
  <c r="D97" i="11"/>
  <c r="E97" i="11"/>
  <c r="F97" i="11"/>
  <c r="I97" i="11"/>
  <c r="B98" i="11"/>
  <c r="C98" i="11"/>
  <c r="D98" i="11"/>
  <c r="E98" i="11"/>
  <c r="F98" i="11"/>
  <c r="I98" i="11"/>
  <c r="B99" i="11"/>
  <c r="C99" i="11"/>
  <c r="D99" i="11"/>
  <c r="E99" i="11"/>
  <c r="F99" i="11"/>
  <c r="I99" i="11"/>
  <c r="B100" i="11"/>
  <c r="C100" i="11"/>
  <c r="D100" i="11"/>
  <c r="E100" i="11"/>
  <c r="F100" i="11"/>
  <c r="I100" i="11"/>
  <c r="B101" i="11"/>
  <c r="C101" i="11"/>
  <c r="D101" i="11"/>
  <c r="E101" i="11"/>
  <c r="F101" i="11"/>
  <c r="I101" i="11"/>
  <c r="B102" i="11"/>
  <c r="C102" i="11"/>
  <c r="D102" i="11"/>
  <c r="E102" i="11"/>
  <c r="F102" i="11"/>
  <c r="I102" i="11"/>
  <c r="B103" i="11"/>
  <c r="C103" i="11"/>
  <c r="D103" i="11"/>
  <c r="E103" i="11"/>
  <c r="F103" i="11"/>
  <c r="I103" i="11"/>
  <c r="B104" i="11"/>
  <c r="C104" i="11"/>
  <c r="D104" i="11"/>
  <c r="E104" i="11"/>
  <c r="F104" i="11"/>
  <c r="I104" i="11"/>
  <c r="B105" i="11"/>
  <c r="C105" i="11"/>
  <c r="D105" i="11"/>
  <c r="E105" i="11"/>
  <c r="F105" i="11"/>
  <c r="I105" i="11"/>
  <c r="B106" i="11"/>
  <c r="C106" i="11"/>
  <c r="D106" i="11"/>
  <c r="E106" i="11"/>
  <c r="F106" i="11"/>
  <c r="I106" i="11"/>
  <c r="J106" i="11"/>
  <c r="B107" i="11"/>
  <c r="C107" i="11"/>
  <c r="D107" i="11"/>
  <c r="E107" i="11"/>
  <c r="F107" i="11"/>
  <c r="I107" i="11"/>
  <c r="J107" i="11"/>
  <c r="B108" i="11"/>
  <c r="C108" i="11"/>
  <c r="D108" i="11"/>
  <c r="E108" i="11"/>
  <c r="F108" i="11"/>
  <c r="I108" i="11"/>
  <c r="J108" i="11"/>
  <c r="B109" i="11"/>
  <c r="C109" i="11"/>
  <c r="D109" i="11"/>
  <c r="E109" i="11"/>
  <c r="F109" i="11"/>
  <c r="I109" i="11"/>
  <c r="J109" i="11"/>
  <c r="B110" i="11"/>
  <c r="C110" i="11"/>
  <c r="D110" i="11"/>
  <c r="E110" i="11"/>
  <c r="F110" i="11"/>
  <c r="I110" i="11"/>
  <c r="J110" i="11"/>
  <c r="B111" i="11"/>
  <c r="C111" i="11"/>
  <c r="D111" i="11"/>
  <c r="E111" i="11"/>
  <c r="F111" i="11"/>
  <c r="I111" i="11"/>
  <c r="J111" i="11"/>
  <c r="B112" i="11"/>
  <c r="C112" i="11"/>
  <c r="D112" i="11"/>
  <c r="E112" i="11"/>
  <c r="F112" i="11"/>
  <c r="I112" i="11"/>
  <c r="J112" i="11"/>
  <c r="B113" i="11"/>
  <c r="C113" i="11"/>
  <c r="D113" i="11"/>
  <c r="E113" i="11"/>
  <c r="F113" i="11"/>
  <c r="I113" i="11"/>
  <c r="J113" i="11"/>
  <c r="B114" i="11"/>
  <c r="C114" i="11"/>
  <c r="D114" i="11"/>
  <c r="E114" i="11"/>
  <c r="F114" i="11"/>
  <c r="I114" i="11"/>
  <c r="J114" i="11"/>
  <c r="B115" i="11"/>
  <c r="C115" i="11"/>
  <c r="D115" i="11"/>
  <c r="E115" i="11"/>
  <c r="F115" i="11"/>
  <c r="I115" i="11"/>
  <c r="J115" i="11"/>
  <c r="B116" i="11"/>
  <c r="C116" i="11"/>
  <c r="D116" i="11"/>
  <c r="E116" i="11"/>
  <c r="F116" i="11"/>
  <c r="I116" i="11"/>
  <c r="J116" i="11"/>
  <c r="B117" i="11"/>
  <c r="C117" i="11"/>
  <c r="D117" i="11"/>
  <c r="E117" i="11"/>
  <c r="F117" i="11"/>
  <c r="I117" i="11"/>
  <c r="J117" i="11"/>
  <c r="B118" i="11"/>
  <c r="C118" i="11"/>
  <c r="D118" i="11"/>
  <c r="E118" i="11"/>
  <c r="F118" i="11"/>
  <c r="I118" i="11"/>
  <c r="J118" i="11"/>
  <c r="B119" i="11"/>
  <c r="C119" i="11"/>
  <c r="D119" i="11"/>
  <c r="E119" i="11"/>
  <c r="F119" i="11"/>
  <c r="I119" i="11"/>
  <c r="J119" i="11"/>
  <c r="B120" i="11"/>
  <c r="C120" i="11"/>
  <c r="D120" i="11"/>
  <c r="E120" i="11"/>
  <c r="F120" i="11"/>
  <c r="I120" i="11"/>
  <c r="J120" i="11"/>
  <c r="B121" i="11"/>
  <c r="C121" i="11"/>
  <c r="D121" i="11"/>
  <c r="E121" i="11"/>
  <c r="F121" i="11"/>
  <c r="I121" i="11"/>
  <c r="J121" i="11"/>
  <c r="B122" i="11"/>
  <c r="C122" i="11"/>
  <c r="D122" i="11"/>
  <c r="E122" i="11"/>
  <c r="F122" i="11"/>
  <c r="I122" i="11"/>
  <c r="J122" i="11"/>
  <c r="B123" i="11"/>
  <c r="C123" i="11"/>
  <c r="D123" i="11"/>
  <c r="E123" i="11"/>
  <c r="F123" i="11"/>
  <c r="I123" i="11"/>
  <c r="J123" i="11"/>
  <c r="B124" i="11"/>
  <c r="C124" i="11"/>
  <c r="D124" i="11"/>
  <c r="E124" i="11"/>
  <c r="F124" i="11"/>
  <c r="I124" i="11"/>
  <c r="J124" i="11"/>
  <c r="B125" i="11"/>
  <c r="C125" i="11"/>
  <c r="D125" i="11"/>
  <c r="E125" i="11"/>
  <c r="F125" i="11"/>
  <c r="I125" i="11"/>
  <c r="J125" i="11"/>
  <c r="B126" i="11"/>
  <c r="C126" i="11"/>
  <c r="D126" i="11"/>
  <c r="E126" i="11"/>
  <c r="F126" i="11"/>
  <c r="I126" i="11"/>
  <c r="J126" i="11"/>
  <c r="B127" i="11"/>
  <c r="C127" i="11"/>
  <c r="D127" i="11"/>
  <c r="E127" i="11"/>
  <c r="F127" i="11"/>
  <c r="I127" i="11"/>
  <c r="J127" i="11"/>
  <c r="B128" i="11"/>
  <c r="C128" i="11"/>
  <c r="D128" i="11"/>
  <c r="E128" i="11"/>
  <c r="F128" i="11"/>
  <c r="I128" i="11"/>
  <c r="J128" i="11"/>
  <c r="B129" i="11"/>
  <c r="C129" i="11"/>
  <c r="D129" i="11"/>
  <c r="E129" i="11"/>
  <c r="F129" i="11"/>
  <c r="I129" i="11"/>
  <c r="J129" i="11"/>
  <c r="A131" i="11"/>
  <c r="H4" i="22"/>
  <c r="J4" i="22"/>
  <c r="A6" i="22"/>
  <c r="B6" i="22"/>
  <c r="C6" i="22"/>
  <c r="D6" i="22"/>
  <c r="E6" i="22"/>
  <c r="H6" i="22"/>
  <c r="J6" i="22"/>
  <c r="L6" i="22"/>
  <c r="M6" i="22"/>
  <c r="N6" i="22"/>
  <c r="P6" i="22"/>
  <c r="A7" i="22"/>
  <c r="B7" i="22"/>
  <c r="C7" i="22"/>
  <c r="D7" i="22"/>
  <c r="H7" i="22"/>
  <c r="J7" i="22"/>
  <c r="L7" i="22"/>
  <c r="M7" i="22"/>
  <c r="N7" i="22"/>
  <c r="P7" i="22"/>
  <c r="A8" i="22"/>
  <c r="B8" i="22"/>
  <c r="C8" i="22"/>
  <c r="D8" i="22"/>
  <c r="H8" i="22"/>
  <c r="J8" i="22"/>
  <c r="L8" i="22"/>
  <c r="M8" i="22"/>
  <c r="N8" i="22"/>
  <c r="P8" i="22"/>
  <c r="A9" i="22"/>
  <c r="B9" i="22"/>
  <c r="C9" i="22"/>
  <c r="D9" i="22"/>
  <c r="H9" i="22"/>
  <c r="J9" i="22"/>
  <c r="L9" i="22"/>
  <c r="M9" i="22"/>
  <c r="N9" i="22"/>
  <c r="P9" i="22"/>
  <c r="A10" i="22"/>
  <c r="B10" i="22"/>
  <c r="C10" i="22"/>
  <c r="D10" i="22"/>
  <c r="H10" i="22"/>
  <c r="J10" i="22"/>
  <c r="L10" i="22"/>
  <c r="M10" i="22"/>
  <c r="N10" i="22"/>
  <c r="P10" i="22"/>
  <c r="A11" i="22"/>
  <c r="B11" i="22"/>
  <c r="C11" i="22"/>
  <c r="D11" i="22"/>
  <c r="H11" i="22"/>
  <c r="J11" i="22"/>
  <c r="L11" i="22"/>
  <c r="M11" i="22"/>
  <c r="N11" i="22"/>
  <c r="P11" i="22"/>
  <c r="A12" i="22"/>
  <c r="B12" i="22"/>
  <c r="C12" i="22"/>
  <c r="D12" i="22"/>
  <c r="H12" i="22"/>
  <c r="J12" i="22"/>
  <c r="L12" i="22"/>
  <c r="M12" i="22"/>
  <c r="N12" i="22"/>
  <c r="P12" i="22"/>
  <c r="A13" i="22"/>
  <c r="B13" i="22"/>
  <c r="C13" i="22"/>
  <c r="D13" i="22"/>
  <c r="H13" i="22"/>
  <c r="J13" i="22"/>
  <c r="L13" i="22"/>
  <c r="M13" i="22"/>
  <c r="N13" i="22"/>
  <c r="P13" i="22"/>
  <c r="A14" i="22"/>
  <c r="B14" i="22"/>
  <c r="C14" i="22"/>
  <c r="D14" i="22"/>
  <c r="H14" i="22"/>
  <c r="J14" i="22"/>
  <c r="L14" i="22"/>
  <c r="M14" i="22"/>
  <c r="N14" i="22"/>
  <c r="P14" i="22"/>
  <c r="A15" i="22"/>
  <c r="B15" i="22"/>
  <c r="C15" i="22"/>
  <c r="D15" i="22"/>
  <c r="H15" i="22"/>
  <c r="J15" i="22"/>
  <c r="L15" i="22"/>
  <c r="M15" i="22"/>
  <c r="N15" i="22"/>
  <c r="P15" i="22"/>
  <c r="A16" i="22"/>
  <c r="B16" i="22"/>
  <c r="C16" i="22"/>
  <c r="D16" i="22"/>
  <c r="H16" i="22"/>
  <c r="J16" i="22"/>
  <c r="L16" i="22"/>
  <c r="M16" i="22"/>
  <c r="N16" i="22"/>
  <c r="P16" i="22"/>
  <c r="A17" i="22"/>
  <c r="B17" i="22"/>
  <c r="C17" i="22"/>
  <c r="D17" i="22"/>
  <c r="H17" i="22"/>
  <c r="J17" i="22"/>
  <c r="L17" i="22"/>
  <c r="M17" i="22"/>
  <c r="N17" i="22"/>
  <c r="P17" i="22"/>
  <c r="A18" i="22"/>
  <c r="B18" i="22"/>
  <c r="C18" i="22"/>
  <c r="D18" i="22"/>
  <c r="H18" i="22"/>
  <c r="J18" i="22"/>
  <c r="L18" i="22"/>
  <c r="M18" i="22"/>
  <c r="N18" i="22"/>
  <c r="P18" i="22"/>
  <c r="A19" i="22"/>
  <c r="B19" i="22"/>
  <c r="C19" i="22"/>
  <c r="D19" i="22"/>
  <c r="H19" i="22"/>
  <c r="J19" i="22"/>
  <c r="L19" i="22"/>
  <c r="M19" i="22"/>
  <c r="N19" i="22"/>
  <c r="P19" i="22"/>
  <c r="A20" i="22"/>
  <c r="B20" i="22"/>
  <c r="C20" i="22"/>
  <c r="D20" i="22"/>
  <c r="H20" i="22"/>
  <c r="J20" i="22"/>
  <c r="L20" i="22"/>
  <c r="M20" i="22"/>
  <c r="N20" i="22"/>
  <c r="P20" i="22"/>
  <c r="A21" i="22"/>
  <c r="B21" i="22"/>
  <c r="C21" i="22"/>
  <c r="D21" i="22"/>
  <c r="H21" i="22"/>
  <c r="J21" i="22"/>
  <c r="L21" i="22"/>
  <c r="M21" i="22"/>
  <c r="N21" i="22"/>
  <c r="P21" i="22"/>
  <c r="A22" i="22"/>
  <c r="B22" i="22"/>
  <c r="C22" i="22"/>
  <c r="D22" i="22"/>
  <c r="H22" i="22"/>
  <c r="J22" i="22"/>
  <c r="L22" i="22"/>
  <c r="M22" i="22"/>
  <c r="N22" i="22"/>
  <c r="P22" i="22"/>
  <c r="A23" i="22"/>
  <c r="B23" i="22"/>
  <c r="C23" i="22"/>
  <c r="D23" i="22"/>
  <c r="H23" i="22"/>
  <c r="J23" i="22"/>
  <c r="L23" i="22"/>
  <c r="M23" i="22"/>
  <c r="N23" i="22"/>
  <c r="P23" i="22"/>
  <c r="A24" i="22"/>
  <c r="B24" i="22"/>
  <c r="C24" i="22"/>
  <c r="D24" i="22"/>
  <c r="H24" i="22"/>
  <c r="J24" i="22"/>
  <c r="L24" i="22"/>
  <c r="M24" i="22"/>
  <c r="N24" i="22"/>
  <c r="P24" i="22"/>
  <c r="A25" i="22"/>
  <c r="B25" i="22"/>
  <c r="C25" i="22"/>
  <c r="D25" i="22"/>
  <c r="H25" i="22"/>
  <c r="J25" i="22"/>
  <c r="L25" i="22"/>
  <c r="M25" i="22"/>
  <c r="N25" i="22"/>
  <c r="P25" i="22"/>
  <c r="A26" i="22"/>
  <c r="B26" i="22"/>
  <c r="C26" i="22"/>
  <c r="D26" i="22"/>
  <c r="H26" i="22"/>
  <c r="J26" i="22"/>
  <c r="L26" i="22"/>
  <c r="M26" i="22"/>
  <c r="N26" i="22"/>
  <c r="P26" i="22"/>
  <c r="A27" i="22"/>
  <c r="B27" i="22"/>
  <c r="C27" i="22"/>
  <c r="D27" i="22"/>
  <c r="H27" i="22"/>
  <c r="J27" i="22"/>
  <c r="L27" i="22"/>
  <c r="M27" i="22"/>
  <c r="N27" i="22"/>
  <c r="P27" i="22"/>
  <c r="A28" i="22"/>
  <c r="B28" i="22"/>
  <c r="C28" i="22"/>
  <c r="D28" i="22"/>
  <c r="H28" i="22"/>
  <c r="J28" i="22"/>
  <c r="L28" i="22"/>
  <c r="M28" i="22"/>
  <c r="N28" i="22"/>
  <c r="P28" i="22"/>
  <c r="A29" i="22"/>
  <c r="B29" i="22"/>
  <c r="C29" i="22"/>
  <c r="D29" i="22"/>
  <c r="H29" i="22"/>
  <c r="J29" i="22"/>
  <c r="L29" i="22"/>
  <c r="M29" i="22"/>
  <c r="N29" i="22"/>
  <c r="P29" i="22"/>
  <c r="A30" i="22"/>
  <c r="B30" i="22"/>
  <c r="C30" i="22"/>
  <c r="D30" i="22"/>
  <c r="H30" i="22"/>
  <c r="J30" i="22"/>
  <c r="L30" i="22"/>
  <c r="M30" i="22"/>
  <c r="N30" i="22"/>
  <c r="P30" i="22"/>
  <c r="A31" i="22"/>
  <c r="B31" i="22"/>
  <c r="C31" i="22"/>
  <c r="D31" i="22"/>
  <c r="H31" i="22"/>
  <c r="J31" i="22"/>
  <c r="L31" i="22"/>
  <c r="M31" i="22"/>
  <c r="N31" i="22"/>
  <c r="P31" i="22"/>
  <c r="A32" i="22"/>
  <c r="B32" i="22"/>
  <c r="C32" i="22"/>
  <c r="D32" i="22"/>
  <c r="H32" i="22"/>
  <c r="J32" i="22"/>
  <c r="L32" i="22"/>
  <c r="M32" i="22"/>
  <c r="N32" i="22"/>
  <c r="P32" i="22"/>
  <c r="A33" i="22"/>
  <c r="B33" i="22"/>
  <c r="C33" i="22"/>
  <c r="D33" i="22"/>
  <c r="H33" i="22"/>
  <c r="J33" i="22"/>
  <c r="L33" i="22"/>
  <c r="M33" i="22"/>
  <c r="N33" i="22"/>
  <c r="P33" i="22"/>
  <c r="A34" i="22"/>
  <c r="B34" i="22"/>
  <c r="C34" i="22"/>
  <c r="D34" i="22"/>
  <c r="H34" i="22"/>
  <c r="J34" i="22"/>
  <c r="L34" i="22"/>
  <c r="M34" i="22"/>
  <c r="N34" i="22"/>
  <c r="P34" i="22"/>
  <c r="A35" i="22"/>
  <c r="B35" i="22"/>
  <c r="C35" i="22"/>
  <c r="D35" i="22"/>
  <c r="H35" i="22"/>
  <c r="J35" i="22"/>
  <c r="L35" i="22"/>
  <c r="M35" i="22"/>
  <c r="N35" i="22"/>
  <c r="P35" i="22"/>
  <c r="A36" i="22"/>
  <c r="B36" i="22"/>
  <c r="C36" i="22"/>
  <c r="D36" i="22"/>
  <c r="H36" i="22"/>
  <c r="J36" i="22"/>
  <c r="L36" i="22"/>
  <c r="M36" i="22"/>
  <c r="N36" i="22"/>
  <c r="P36" i="22"/>
  <c r="A37" i="22"/>
  <c r="B37" i="22"/>
  <c r="C37" i="22"/>
  <c r="D37" i="22"/>
  <c r="H37" i="22"/>
  <c r="J37" i="22"/>
  <c r="L37" i="22"/>
  <c r="M37" i="22"/>
  <c r="N37" i="22"/>
  <c r="P37" i="22"/>
  <c r="A38" i="22"/>
  <c r="B38" i="22"/>
  <c r="C38" i="22"/>
  <c r="D38" i="22"/>
  <c r="H38" i="22"/>
  <c r="J38" i="22"/>
  <c r="L38" i="22"/>
  <c r="M38" i="22"/>
  <c r="N38" i="22"/>
  <c r="P38" i="22"/>
  <c r="A39" i="22"/>
  <c r="B39" i="22"/>
  <c r="C39" i="22"/>
  <c r="D39" i="22"/>
  <c r="H39" i="22"/>
  <c r="J39" i="22"/>
  <c r="L39" i="22"/>
  <c r="M39" i="22"/>
  <c r="N39" i="22"/>
  <c r="P39" i="22"/>
  <c r="A40" i="22"/>
  <c r="B40" i="22"/>
  <c r="C40" i="22"/>
  <c r="D40" i="22"/>
  <c r="H40" i="22"/>
  <c r="J40" i="22"/>
  <c r="L40" i="22"/>
  <c r="M40" i="22"/>
  <c r="N40" i="22"/>
  <c r="P40" i="22"/>
  <c r="A41" i="22"/>
  <c r="B41" i="22"/>
  <c r="C41" i="22"/>
  <c r="D41" i="22"/>
  <c r="H41" i="22"/>
  <c r="J41" i="22"/>
  <c r="L41" i="22"/>
  <c r="M41" i="22"/>
  <c r="N41" i="22"/>
  <c r="P41" i="22"/>
  <c r="A42" i="22"/>
  <c r="B42" i="22"/>
  <c r="C42" i="22"/>
  <c r="D42" i="22"/>
  <c r="H42" i="22"/>
  <c r="J42" i="22"/>
  <c r="K42" i="22"/>
  <c r="L42" i="22"/>
  <c r="M42" i="22"/>
  <c r="N42" i="22"/>
  <c r="P42" i="22"/>
  <c r="A43" i="22"/>
  <c r="B43" i="22"/>
  <c r="C43" i="22"/>
  <c r="D43" i="22"/>
  <c r="H43" i="22"/>
  <c r="J43" i="22"/>
  <c r="K43" i="22"/>
  <c r="L43" i="22"/>
  <c r="M43" i="22"/>
  <c r="N43" i="22"/>
  <c r="P43" i="22"/>
  <c r="A44" i="22"/>
  <c r="B44" i="22"/>
  <c r="C44" i="22"/>
  <c r="D44" i="22"/>
  <c r="H44" i="22"/>
  <c r="J44" i="22"/>
  <c r="K44" i="22"/>
  <c r="L44" i="22"/>
  <c r="M44" i="22"/>
  <c r="N44" i="22"/>
  <c r="P44" i="22"/>
  <c r="A45" i="22"/>
  <c r="B45" i="22"/>
  <c r="C45" i="22"/>
  <c r="D45" i="22"/>
  <c r="H45" i="22"/>
  <c r="J45" i="22"/>
  <c r="K45" i="22"/>
  <c r="L45" i="22"/>
  <c r="M45" i="22"/>
  <c r="N45" i="22"/>
  <c r="P45" i="22"/>
  <c r="A46" i="22"/>
  <c r="B46" i="22"/>
  <c r="C46" i="22"/>
  <c r="D46" i="22"/>
  <c r="H46" i="22"/>
  <c r="J46" i="22"/>
  <c r="K46" i="22"/>
  <c r="L46" i="22"/>
  <c r="M46" i="22"/>
  <c r="N46" i="22"/>
  <c r="P46" i="22"/>
  <c r="A47" i="22"/>
  <c r="B47" i="22"/>
  <c r="C47" i="22"/>
  <c r="D47" i="22"/>
  <c r="H47" i="22"/>
  <c r="J47" i="22"/>
  <c r="K47" i="22"/>
  <c r="L47" i="22"/>
  <c r="M47" i="22"/>
  <c r="N47" i="22"/>
  <c r="P47" i="22"/>
  <c r="A48" i="22"/>
  <c r="B48" i="22"/>
  <c r="C48" i="22"/>
  <c r="D48" i="22"/>
  <c r="H48" i="22"/>
  <c r="J48" i="22"/>
  <c r="K48" i="22"/>
  <c r="L48" i="22"/>
  <c r="M48" i="22"/>
  <c r="N48" i="22"/>
  <c r="P48" i="22"/>
  <c r="A49" i="22"/>
  <c r="B49" i="22"/>
  <c r="C49" i="22"/>
  <c r="D49" i="22"/>
  <c r="H49" i="22"/>
  <c r="J49" i="22"/>
  <c r="K49" i="22"/>
  <c r="L49" i="22"/>
  <c r="M49" i="22"/>
  <c r="N49" i="22"/>
  <c r="P49" i="22"/>
  <c r="A50" i="22"/>
  <c r="B50" i="22"/>
  <c r="C50" i="22"/>
  <c r="D50" i="22"/>
  <c r="H50" i="22"/>
  <c r="J50" i="22"/>
  <c r="K50" i="22"/>
  <c r="L50" i="22"/>
  <c r="M50" i="22"/>
  <c r="N50" i="22"/>
  <c r="P50" i="22"/>
  <c r="A51" i="22"/>
  <c r="B51" i="22"/>
  <c r="C51" i="22"/>
  <c r="D51" i="22"/>
  <c r="H51" i="22"/>
  <c r="J51" i="22"/>
  <c r="K51" i="22"/>
  <c r="L51" i="22"/>
  <c r="M51" i="22"/>
  <c r="N51" i="22"/>
  <c r="P51" i="22"/>
  <c r="A52" i="22"/>
  <c r="B52" i="22"/>
  <c r="C52" i="22"/>
  <c r="D52" i="22"/>
  <c r="H52" i="22"/>
  <c r="J52" i="22"/>
  <c r="K52" i="22"/>
  <c r="L52" i="22"/>
  <c r="M52" i="22"/>
  <c r="N52" i="22"/>
  <c r="P52" i="22"/>
  <c r="A53" i="22"/>
  <c r="B53" i="22"/>
  <c r="C53" i="22"/>
  <c r="D53" i="22"/>
  <c r="H53" i="22"/>
  <c r="J53" i="22"/>
  <c r="K53" i="22"/>
  <c r="L53" i="22"/>
  <c r="M53" i="22"/>
  <c r="N53" i="22"/>
  <c r="P53" i="22"/>
  <c r="A54" i="22"/>
  <c r="B54" i="22"/>
  <c r="C54" i="22"/>
  <c r="D54" i="22"/>
  <c r="H54" i="22"/>
  <c r="J54" i="22"/>
  <c r="K54" i="22"/>
  <c r="L54" i="22"/>
  <c r="M54" i="22"/>
  <c r="N54" i="22"/>
  <c r="P54" i="22"/>
  <c r="A55" i="22"/>
  <c r="B55" i="22"/>
  <c r="C55" i="22"/>
  <c r="D55" i="22"/>
  <c r="H55" i="22"/>
  <c r="J55" i="22"/>
  <c r="K55" i="22"/>
  <c r="L55" i="22"/>
  <c r="M55" i="22"/>
  <c r="N55" i="22"/>
  <c r="P55" i="22"/>
  <c r="A56" i="22"/>
  <c r="B56" i="22"/>
  <c r="C56" i="22"/>
  <c r="D56" i="22"/>
  <c r="H56" i="22"/>
  <c r="J56" i="22"/>
  <c r="K56" i="22"/>
  <c r="L56" i="22"/>
  <c r="M56" i="22"/>
  <c r="N56" i="22"/>
  <c r="P56" i="22"/>
  <c r="A57" i="22"/>
  <c r="B57" i="22"/>
  <c r="C57" i="22"/>
  <c r="D57" i="22"/>
  <c r="H57" i="22"/>
  <c r="J57" i="22"/>
  <c r="K57" i="22"/>
  <c r="L57" i="22"/>
  <c r="M57" i="22"/>
  <c r="N57" i="22"/>
  <c r="P57" i="22"/>
  <c r="A58" i="22"/>
  <c r="B58" i="22"/>
  <c r="C58" i="22"/>
  <c r="D58" i="22"/>
  <c r="H58" i="22"/>
  <c r="J58" i="22"/>
  <c r="K58" i="22"/>
  <c r="L58" i="22"/>
  <c r="M58" i="22"/>
  <c r="N58" i="22"/>
  <c r="P58" i="22"/>
  <c r="A59" i="22"/>
  <c r="B59" i="22"/>
  <c r="C59" i="22"/>
  <c r="D59" i="22"/>
  <c r="H59" i="22"/>
  <c r="J59" i="22"/>
  <c r="K59" i="22"/>
  <c r="L59" i="22"/>
  <c r="M59" i="22"/>
  <c r="N59" i="22"/>
  <c r="P59" i="22"/>
  <c r="A60" i="22"/>
  <c r="B60" i="22"/>
  <c r="C60" i="22"/>
  <c r="D60" i="22"/>
  <c r="H60" i="22"/>
  <c r="J60" i="22"/>
  <c r="K60" i="22"/>
  <c r="L60" i="22"/>
  <c r="M60" i="22"/>
  <c r="N60" i="22"/>
  <c r="P60" i="22"/>
  <c r="A61" i="22"/>
  <c r="B61" i="22"/>
  <c r="C61" i="22"/>
  <c r="D61" i="22"/>
  <c r="H61" i="22"/>
  <c r="J61" i="22"/>
  <c r="K61" i="22"/>
  <c r="L61" i="22"/>
  <c r="M61" i="22"/>
  <c r="N61" i="22"/>
  <c r="P61" i="22"/>
  <c r="A62" i="22"/>
  <c r="B62" i="22"/>
  <c r="C62" i="22"/>
  <c r="D62" i="22"/>
  <c r="H62" i="22"/>
  <c r="J62" i="22"/>
  <c r="K62" i="22"/>
  <c r="L62" i="22"/>
  <c r="M62" i="22"/>
  <c r="N62" i="22"/>
  <c r="P62" i="22"/>
  <c r="A63" i="22"/>
  <c r="B63" i="22"/>
  <c r="C63" i="22"/>
  <c r="D63" i="22"/>
  <c r="H63" i="22"/>
  <c r="J63" i="22"/>
  <c r="K63" i="22"/>
  <c r="L63" i="22"/>
  <c r="M63" i="22"/>
  <c r="N63" i="22"/>
  <c r="P63" i="22"/>
  <c r="A64" i="22"/>
  <c r="B64" i="22"/>
  <c r="C64" i="22"/>
  <c r="D64" i="22"/>
  <c r="H64" i="22"/>
  <c r="J64" i="22"/>
  <c r="K64" i="22"/>
  <c r="L64" i="22"/>
  <c r="M64" i="22"/>
  <c r="N64" i="22"/>
  <c r="P64" i="22"/>
  <c r="A65" i="22"/>
  <c r="B65" i="22"/>
  <c r="C65" i="22"/>
  <c r="D65" i="22"/>
  <c r="H65" i="22"/>
  <c r="J65" i="22"/>
  <c r="K65" i="22"/>
  <c r="L65" i="22"/>
  <c r="M65" i="22"/>
  <c r="N65" i="22"/>
  <c r="P65" i="22"/>
  <c r="A66" i="22"/>
  <c r="B66" i="22"/>
  <c r="C66" i="22"/>
  <c r="D66" i="22"/>
  <c r="H66" i="22"/>
  <c r="J66" i="22"/>
  <c r="K66" i="22"/>
  <c r="L66" i="22"/>
  <c r="M66" i="22"/>
  <c r="N66" i="22"/>
  <c r="P66" i="22"/>
  <c r="A67" i="22"/>
  <c r="B67" i="22"/>
  <c r="C67" i="22"/>
  <c r="D67" i="22"/>
  <c r="H67" i="22"/>
  <c r="J67" i="22"/>
  <c r="K67" i="22"/>
  <c r="L67" i="22"/>
  <c r="M67" i="22"/>
  <c r="N67" i="22"/>
  <c r="P67" i="22"/>
  <c r="A68" i="22"/>
  <c r="B68" i="22"/>
  <c r="C68" i="22"/>
  <c r="D68" i="22"/>
  <c r="H68" i="22"/>
  <c r="J68" i="22"/>
  <c r="K68" i="22"/>
  <c r="L68" i="22"/>
  <c r="M68" i="22"/>
  <c r="N68" i="22"/>
  <c r="P68" i="22"/>
  <c r="A69" i="22"/>
  <c r="B69" i="22"/>
  <c r="C69" i="22"/>
  <c r="D69" i="22"/>
  <c r="H69" i="22"/>
  <c r="J69" i="22"/>
  <c r="K69" i="22"/>
  <c r="L69" i="22"/>
  <c r="M69" i="22"/>
  <c r="N69" i="22"/>
  <c r="P69" i="22"/>
  <c r="A70" i="22"/>
  <c r="B70" i="22"/>
  <c r="C70" i="22"/>
  <c r="D70" i="22"/>
  <c r="H70" i="22"/>
  <c r="J70" i="22"/>
  <c r="K70" i="22"/>
  <c r="L70" i="22"/>
  <c r="M70" i="22"/>
  <c r="N70" i="22"/>
  <c r="P70" i="22"/>
  <c r="A71" i="22"/>
  <c r="B71" i="22"/>
  <c r="C71" i="22"/>
  <c r="D71" i="22"/>
  <c r="H71" i="22"/>
  <c r="J71" i="22"/>
  <c r="K71" i="22"/>
  <c r="L71" i="22"/>
  <c r="M71" i="22"/>
  <c r="N71" i="22"/>
  <c r="P71" i="22"/>
  <c r="A72" i="22"/>
  <c r="B72" i="22"/>
  <c r="C72" i="22"/>
  <c r="D72" i="22"/>
  <c r="H72" i="22"/>
  <c r="J72" i="22"/>
  <c r="K72" i="22"/>
  <c r="L72" i="22"/>
  <c r="M72" i="22"/>
  <c r="N72" i="22"/>
  <c r="P72" i="22"/>
  <c r="A73" i="22"/>
  <c r="B73" i="22"/>
  <c r="C73" i="22"/>
  <c r="D73" i="22"/>
  <c r="H73" i="22"/>
  <c r="J73" i="22"/>
  <c r="K73" i="22"/>
  <c r="L73" i="22"/>
  <c r="M73" i="22"/>
  <c r="N73" i="22"/>
  <c r="P73" i="22"/>
  <c r="A74" i="22"/>
  <c r="B74" i="22"/>
  <c r="C74" i="22"/>
  <c r="D74" i="22"/>
  <c r="H74" i="22"/>
  <c r="J74" i="22"/>
  <c r="K74" i="22"/>
  <c r="L74" i="22"/>
  <c r="M74" i="22"/>
  <c r="N74" i="22"/>
  <c r="P74" i="22"/>
  <c r="A75" i="22"/>
  <c r="B75" i="22"/>
  <c r="C75" i="22"/>
  <c r="D75" i="22"/>
  <c r="H75" i="22"/>
  <c r="J75" i="22"/>
  <c r="K75" i="22"/>
  <c r="L75" i="22"/>
  <c r="M75" i="22"/>
  <c r="N75" i="22"/>
  <c r="P75" i="22"/>
  <c r="A76" i="22"/>
  <c r="B76" i="22"/>
  <c r="C76" i="22"/>
  <c r="D76" i="22"/>
  <c r="H76" i="22"/>
  <c r="J76" i="22"/>
  <c r="K76" i="22"/>
  <c r="L76" i="22"/>
  <c r="M76" i="22"/>
  <c r="N76" i="22"/>
  <c r="P76" i="22"/>
  <c r="A77" i="22"/>
  <c r="B77" i="22"/>
  <c r="C77" i="22"/>
  <c r="D77" i="22"/>
  <c r="H77" i="22"/>
  <c r="J77" i="22"/>
  <c r="K77" i="22"/>
  <c r="L77" i="22"/>
  <c r="M77" i="22"/>
  <c r="N77" i="22"/>
  <c r="P77" i="22"/>
  <c r="A78" i="22"/>
  <c r="B78" i="22"/>
  <c r="C78" i="22"/>
  <c r="D78" i="22"/>
  <c r="H78" i="22"/>
  <c r="J78" i="22"/>
  <c r="K78" i="22"/>
  <c r="L78" i="22"/>
  <c r="M78" i="22"/>
  <c r="N78" i="22"/>
  <c r="P78" i="22"/>
  <c r="A79" i="22"/>
  <c r="B79" i="22"/>
  <c r="C79" i="22"/>
  <c r="D79" i="22"/>
  <c r="H79" i="22"/>
  <c r="J79" i="22"/>
  <c r="K79" i="22"/>
  <c r="L79" i="22"/>
  <c r="M79" i="22"/>
  <c r="N79" i="22"/>
  <c r="P79" i="22"/>
  <c r="A80" i="22"/>
  <c r="B80" i="22"/>
  <c r="C80" i="22"/>
  <c r="D80" i="22"/>
  <c r="H80" i="22"/>
  <c r="J80" i="22"/>
  <c r="K80" i="22"/>
  <c r="L80" i="22"/>
  <c r="M80" i="22"/>
  <c r="N80" i="22"/>
  <c r="P80" i="22"/>
  <c r="A81" i="22"/>
  <c r="B81" i="22"/>
  <c r="C81" i="22"/>
  <c r="D81" i="22"/>
  <c r="H81" i="22"/>
  <c r="J81" i="22"/>
  <c r="K81" i="22"/>
  <c r="L81" i="22"/>
  <c r="M81" i="22"/>
  <c r="N81" i="22"/>
  <c r="P81" i="22"/>
  <c r="A82" i="22"/>
  <c r="B82" i="22"/>
  <c r="C82" i="22"/>
  <c r="D82" i="22"/>
  <c r="H82" i="22"/>
  <c r="J82" i="22"/>
  <c r="K82" i="22"/>
  <c r="L82" i="22"/>
  <c r="M82" i="22"/>
  <c r="N82" i="22"/>
  <c r="P82" i="22"/>
  <c r="A83" i="22"/>
  <c r="B83" i="22"/>
  <c r="C83" i="22"/>
  <c r="D83" i="22"/>
  <c r="H83" i="22"/>
  <c r="J83" i="22"/>
  <c r="K83" i="22"/>
  <c r="L83" i="22"/>
  <c r="M83" i="22"/>
  <c r="N83" i="22"/>
  <c r="P83" i="22"/>
  <c r="A84" i="22"/>
  <c r="B84" i="22"/>
  <c r="C84" i="22"/>
  <c r="D84" i="22"/>
  <c r="H84" i="22"/>
  <c r="J84" i="22"/>
  <c r="K84" i="22"/>
  <c r="L84" i="22"/>
  <c r="M84" i="22"/>
  <c r="N84" i="22"/>
  <c r="P84" i="22"/>
  <c r="A85" i="22"/>
  <c r="B85" i="22"/>
  <c r="C85" i="22"/>
  <c r="D85" i="22"/>
  <c r="H85" i="22"/>
  <c r="J85" i="22"/>
  <c r="K85" i="22"/>
  <c r="L85" i="22"/>
  <c r="M85" i="22"/>
  <c r="N85" i="22"/>
  <c r="P85" i="22"/>
  <c r="A86" i="22"/>
  <c r="B86" i="22"/>
  <c r="C86" i="22"/>
  <c r="D86" i="22"/>
  <c r="H86" i="22"/>
  <c r="J86" i="22"/>
  <c r="K86" i="22"/>
  <c r="L86" i="22"/>
  <c r="M86" i="22"/>
  <c r="N86" i="22"/>
  <c r="P86" i="22"/>
  <c r="A87" i="22"/>
  <c r="B87" i="22"/>
  <c r="C87" i="22"/>
  <c r="D87" i="22"/>
  <c r="H87" i="22"/>
  <c r="J87" i="22"/>
  <c r="K87" i="22"/>
  <c r="L87" i="22"/>
  <c r="M87" i="22"/>
  <c r="N87" i="22"/>
  <c r="P87" i="22"/>
  <c r="A88" i="22"/>
  <c r="B88" i="22"/>
  <c r="C88" i="22"/>
  <c r="D88" i="22"/>
  <c r="H88" i="22"/>
  <c r="J88" i="22"/>
  <c r="K88" i="22"/>
  <c r="L88" i="22"/>
  <c r="M88" i="22"/>
  <c r="N88" i="22"/>
  <c r="P88" i="22"/>
  <c r="A89" i="22"/>
  <c r="B89" i="22"/>
  <c r="C89" i="22"/>
  <c r="D89" i="22"/>
  <c r="H89" i="22"/>
  <c r="J89" i="22"/>
  <c r="K89" i="22"/>
  <c r="L89" i="22"/>
  <c r="M89" i="22"/>
  <c r="N89" i="22"/>
  <c r="P89" i="22"/>
  <c r="A90" i="22"/>
  <c r="B90" i="22"/>
  <c r="C90" i="22"/>
  <c r="D90" i="22"/>
  <c r="H90" i="22"/>
  <c r="J90" i="22"/>
  <c r="K90" i="22"/>
  <c r="L90" i="22"/>
  <c r="M90" i="22"/>
  <c r="N90" i="22"/>
  <c r="P90" i="22"/>
  <c r="A91" i="22"/>
  <c r="B91" i="22"/>
  <c r="C91" i="22"/>
  <c r="D91" i="22"/>
  <c r="H91" i="22"/>
  <c r="J91" i="22"/>
  <c r="K91" i="22"/>
  <c r="L91" i="22"/>
  <c r="M91" i="22"/>
  <c r="N91" i="22"/>
  <c r="P91" i="22"/>
  <c r="A92" i="22"/>
  <c r="B92" i="22"/>
  <c r="C92" i="22"/>
  <c r="D92" i="22"/>
  <c r="H92" i="22"/>
  <c r="J92" i="22"/>
  <c r="K92" i="22"/>
  <c r="L92" i="22"/>
  <c r="M92" i="22"/>
  <c r="N92" i="22"/>
  <c r="P92" i="22"/>
  <c r="A93" i="22"/>
  <c r="B93" i="22"/>
  <c r="C93" i="22"/>
  <c r="D93" i="22"/>
  <c r="H93" i="22"/>
  <c r="J93" i="22"/>
  <c r="K93" i="22"/>
  <c r="L93" i="22"/>
  <c r="M93" i="22"/>
  <c r="N93" i="22"/>
  <c r="P93" i="22"/>
  <c r="A94" i="22"/>
  <c r="B94" i="22"/>
  <c r="C94" i="22"/>
  <c r="D94" i="22"/>
  <c r="H94" i="22"/>
  <c r="J94" i="22"/>
  <c r="K94" i="22"/>
  <c r="L94" i="22"/>
  <c r="M94" i="22"/>
  <c r="N94" i="22"/>
  <c r="P94" i="22"/>
  <c r="A95" i="22"/>
  <c r="B95" i="22"/>
  <c r="C95" i="22"/>
  <c r="D95" i="22"/>
  <c r="H95" i="22"/>
  <c r="J95" i="22"/>
  <c r="K95" i="22"/>
  <c r="L95" i="22"/>
  <c r="M95" i="22"/>
  <c r="N95" i="22"/>
  <c r="P95" i="22"/>
  <c r="A96" i="22"/>
  <c r="B96" i="22"/>
  <c r="C96" i="22"/>
  <c r="D96" i="22"/>
  <c r="H96" i="22"/>
  <c r="J96" i="22"/>
  <c r="K96" i="22"/>
  <c r="L96" i="22"/>
  <c r="M96" i="22"/>
  <c r="N96" i="22"/>
  <c r="P96" i="22"/>
  <c r="A97" i="22"/>
  <c r="B97" i="22"/>
  <c r="C97" i="22"/>
  <c r="D97" i="22"/>
  <c r="H97" i="22"/>
  <c r="J97" i="22"/>
  <c r="K97" i="22"/>
  <c r="L97" i="22"/>
  <c r="M97" i="22"/>
  <c r="N97" i="22"/>
  <c r="P97" i="22"/>
  <c r="A98" i="22"/>
  <c r="B98" i="22"/>
  <c r="C98" i="22"/>
  <c r="D98" i="22"/>
  <c r="H98" i="22"/>
  <c r="J98" i="22"/>
  <c r="K98" i="22"/>
  <c r="L98" i="22"/>
  <c r="M98" i="22"/>
  <c r="N98" i="22"/>
  <c r="P98" i="22"/>
  <c r="A99" i="22"/>
  <c r="B99" i="22"/>
  <c r="C99" i="22"/>
  <c r="D99" i="22"/>
  <c r="H99" i="22"/>
  <c r="J99" i="22"/>
  <c r="K99" i="22"/>
  <c r="L99" i="22"/>
  <c r="M99" i="22"/>
  <c r="N99" i="22"/>
  <c r="P99" i="22"/>
  <c r="A100" i="22"/>
  <c r="B100" i="22"/>
  <c r="C100" i="22"/>
  <c r="D100" i="22"/>
  <c r="H100" i="22"/>
  <c r="J100" i="22"/>
  <c r="K100" i="22"/>
  <c r="L100" i="22"/>
  <c r="M100" i="22"/>
  <c r="N100" i="22"/>
  <c r="P100" i="22"/>
  <c r="A101" i="22"/>
  <c r="B101" i="22"/>
  <c r="C101" i="22"/>
  <c r="D101" i="22"/>
  <c r="H101" i="22"/>
  <c r="J101" i="22"/>
  <c r="K101" i="22"/>
  <c r="L101" i="22"/>
  <c r="M101" i="22"/>
  <c r="N101" i="22"/>
  <c r="P101" i="22"/>
  <c r="A102" i="22"/>
  <c r="B102" i="22"/>
  <c r="C102" i="22"/>
  <c r="D102" i="22"/>
  <c r="H102" i="22"/>
  <c r="J102" i="22"/>
  <c r="K102" i="22"/>
  <c r="L102" i="22"/>
  <c r="M102" i="22"/>
  <c r="N102" i="22"/>
  <c r="P102" i="22"/>
  <c r="A103" i="22"/>
  <c r="B103" i="22"/>
  <c r="C103" i="22"/>
  <c r="D103" i="22"/>
  <c r="H103" i="22"/>
  <c r="J103" i="22"/>
  <c r="K103" i="22"/>
  <c r="L103" i="22"/>
  <c r="M103" i="22"/>
  <c r="N103" i="22"/>
  <c r="P103" i="22"/>
  <c r="A104" i="22"/>
  <c r="B104" i="22"/>
  <c r="C104" i="22"/>
  <c r="D104" i="22"/>
  <c r="H104" i="22"/>
  <c r="J104" i="22"/>
  <c r="K104" i="22"/>
  <c r="L104" i="22"/>
  <c r="M104" i="22"/>
  <c r="N104" i="22"/>
  <c r="P104" i="22"/>
  <c r="A105" i="22"/>
  <c r="B105" i="22"/>
  <c r="C105" i="22"/>
  <c r="D105" i="22"/>
  <c r="H105" i="22"/>
  <c r="J105" i="22"/>
  <c r="K105" i="22"/>
  <c r="L105" i="22"/>
  <c r="M105" i="22"/>
  <c r="N105" i="22"/>
  <c r="P105" i="22"/>
  <c r="A106" i="22"/>
  <c r="B106" i="22"/>
  <c r="C106" i="22"/>
  <c r="D106" i="22"/>
  <c r="H106" i="22"/>
  <c r="J106" i="22"/>
  <c r="K106" i="22"/>
  <c r="L106" i="22"/>
  <c r="M106" i="22"/>
  <c r="N106" i="22"/>
  <c r="P106" i="22"/>
  <c r="A107" i="22"/>
  <c r="B107" i="22"/>
  <c r="C107" i="22"/>
  <c r="D107" i="22"/>
  <c r="H107" i="22"/>
  <c r="J107" i="22"/>
  <c r="K107" i="22"/>
  <c r="L107" i="22"/>
  <c r="M107" i="22"/>
  <c r="N107" i="22"/>
  <c r="P107" i="22"/>
  <c r="A108" i="22"/>
  <c r="B108" i="22"/>
  <c r="C108" i="22"/>
  <c r="D108" i="22"/>
  <c r="H108" i="22"/>
  <c r="J108" i="22"/>
  <c r="K108" i="22"/>
  <c r="L108" i="22"/>
  <c r="M108" i="22"/>
  <c r="N108" i="22"/>
  <c r="P108" i="22"/>
  <c r="A109" i="22"/>
  <c r="B109" i="22"/>
  <c r="C109" i="22"/>
  <c r="D109" i="22"/>
  <c r="H109" i="22"/>
  <c r="J109" i="22"/>
  <c r="K109" i="22"/>
  <c r="L109" i="22"/>
  <c r="M109" i="22"/>
  <c r="N109" i="22"/>
  <c r="P109" i="22"/>
  <c r="A110" i="22"/>
  <c r="B110" i="22"/>
  <c r="C110" i="22"/>
  <c r="D110" i="22"/>
  <c r="H110" i="22"/>
  <c r="J110" i="22"/>
  <c r="K110" i="22"/>
  <c r="L110" i="22"/>
  <c r="M110" i="22"/>
  <c r="N110" i="22"/>
  <c r="P110" i="22"/>
  <c r="A111" i="22"/>
  <c r="B111" i="22"/>
  <c r="C111" i="22"/>
  <c r="D111" i="22"/>
  <c r="H111" i="22"/>
  <c r="J111" i="22"/>
  <c r="K111" i="22"/>
  <c r="L111" i="22"/>
  <c r="M111" i="22"/>
  <c r="N111" i="22"/>
  <c r="P111" i="22"/>
  <c r="A112" i="22"/>
  <c r="B112" i="22"/>
  <c r="C112" i="22"/>
  <c r="D112" i="22"/>
  <c r="H112" i="22"/>
  <c r="J112" i="22"/>
  <c r="K112" i="22"/>
  <c r="L112" i="22"/>
  <c r="M112" i="22"/>
  <c r="N112" i="22"/>
  <c r="P112" i="22"/>
  <c r="A113" i="22"/>
  <c r="B113" i="22"/>
  <c r="C113" i="22"/>
  <c r="D113" i="22"/>
  <c r="H113" i="22"/>
  <c r="J113" i="22"/>
  <c r="K113" i="22"/>
  <c r="L113" i="22"/>
  <c r="M113" i="22"/>
  <c r="N113" i="22"/>
  <c r="P113" i="22"/>
  <c r="A114" i="22"/>
  <c r="B114" i="22"/>
  <c r="C114" i="22"/>
  <c r="D114" i="22"/>
  <c r="H114" i="22"/>
  <c r="J114" i="22"/>
  <c r="K114" i="22"/>
  <c r="L114" i="22"/>
  <c r="M114" i="22"/>
  <c r="N114" i="22"/>
  <c r="P114" i="22"/>
  <c r="A115" i="22"/>
  <c r="B115" i="22"/>
  <c r="C115" i="22"/>
  <c r="D115" i="22"/>
  <c r="H115" i="22"/>
  <c r="J115" i="22"/>
  <c r="K115" i="22"/>
  <c r="L115" i="22"/>
  <c r="M115" i="22"/>
  <c r="N115" i="22"/>
  <c r="P115" i="22"/>
  <c r="A116" i="22"/>
  <c r="B116" i="22"/>
  <c r="C116" i="22"/>
  <c r="D116" i="22"/>
  <c r="H116" i="22"/>
  <c r="J116" i="22"/>
  <c r="K116" i="22"/>
  <c r="L116" i="22"/>
  <c r="M116" i="22"/>
  <c r="N116" i="22"/>
  <c r="P116" i="22"/>
  <c r="A117" i="22"/>
  <c r="B117" i="22"/>
  <c r="C117" i="22"/>
  <c r="D117" i="22"/>
  <c r="H117" i="22"/>
  <c r="J117" i="22"/>
  <c r="K117" i="22"/>
  <c r="L117" i="22"/>
  <c r="M117" i="22"/>
  <c r="N117" i="22"/>
  <c r="P117" i="22"/>
  <c r="A118" i="22"/>
  <c r="B118" i="22"/>
  <c r="C118" i="22"/>
  <c r="D118" i="22"/>
  <c r="H118" i="22"/>
  <c r="J118" i="22"/>
  <c r="K118" i="22"/>
  <c r="L118" i="22"/>
  <c r="M118" i="22"/>
  <c r="N118" i="22"/>
  <c r="P118" i="22"/>
  <c r="A119" i="22"/>
  <c r="B119" i="22"/>
  <c r="C119" i="22"/>
  <c r="D119" i="22"/>
  <c r="H119" i="22"/>
  <c r="J119" i="22"/>
  <c r="K119" i="22"/>
  <c r="L119" i="22"/>
  <c r="M119" i="22"/>
  <c r="N119" i="22"/>
  <c r="P119" i="22"/>
  <c r="A120" i="22"/>
  <c r="B120" i="22"/>
  <c r="C120" i="22"/>
  <c r="D120" i="22"/>
  <c r="H120" i="22"/>
  <c r="J120" i="22"/>
  <c r="K120" i="22"/>
  <c r="L120" i="22"/>
  <c r="M120" i="22"/>
  <c r="N120" i="22"/>
  <c r="P120" i="22"/>
  <c r="A121" i="22"/>
  <c r="B121" i="22"/>
  <c r="C121" i="22"/>
  <c r="D121" i="22"/>
  <c r="H121" i="22"/>
  <c r="J121" i="22"/>
  <c r="K121" i="22"/>
  <c r="L121" i="22"/>
  <c r="M121" i="22"/>
  <c r="N121" i="22"/>
  <c r="P121" i="22"/>
  <c r="A122" i="22"/>
  <c r="B122" i="22"/>
  <c r="C122" i="22"/>
  <c r="D122" i="22"/>
  <c r="H122" i="22"/>
  <c r="J122" i="22"/>
  <c r="K122" i="22"/>
  <c r="L122" i="22"/>
  <c r="M122" i="22"/>
  <c r="N122" i="22"/>
  <c r="P122" i="22"/>
  <c r="A123" i="22"/>
  <c r="B123" i="22"/>
  <c r="C123" i="22"/>
  <c r="D123" i="22"/>
  <c r="H123" i="22"/>
  <c r="J123" i="22"/>
  <c r="K123" i="22"/>
  <c r="L123" i="22"/>
  <c r="M123" i="22"/>
  <c r="N123" i="22"/>
  <c r="P123" i="22"/>
  <c r="A124" i="22"/>
  <c r="B124" i="22"/>
  <c r="C124" i="22"/>
  <c r="D124" i="22"/>
  <c r="H124" i="22"/>
  <c r="J124" i="22"/>
  <c r="K124" i="22"/>
  <c r="L124" i="22"/>
  <c r="M124" i="22"/>
  <c r="N124" i="22"/>
  <c r="P124" i="22"/>
  <c r="A125" i="22"/>
  <c r="B125" i="22"/>
  <c r="C125" i="22"/>
  <c r="D125" i="22"/>
  <c r="H125" i="22"/>
  <c r="J125" i="22"/>
  <c r="K125" i="22"/>
  <c r="L125" i="22"/>
  <c r="M125" i="22"/>
  <c r="N125" i="22"/>
  <c r="P125" i="22"/>
  <c r="A126" i="22"/>
  <c r="B126" i="22"/>
  <c r="C126" i="22"/>
  <c r="D126" i="22"/>
  <c r="H126" i="22"/>
  <c r="J126" i="22"/>
  <c r="K126" i="22"/>
  <c r="L126" i="22"/>
  <c r="M126" i="22"/>
  <c r="N126" i="22"/>
  <c r="P126" i="22"/>
  <c r="A127" i="22"/>
  <c r="B127" i="22"/>
  <c r="C127" i="22"/>
  <c r="D127" i="22"/>
  <c r="H127" i="22"/>
  <c r="J127" i="22"/>
  <c r="K127" i="22"/>
  <c r="L127" i="22"/>
  <c r="M127" i="22"/>
  <c r="N127" i="22"/>
  <c r="P127" i="22"/>
  <c r="A128" i="22"/>
  <c r="B128" i="22"/>
  <c r="C128" i="22"/>
  <c r="D128" i="22"/>
  <c r="H128" i="22"/>
  <c r="J128" i="22"/>
  <c r="K128" i="22"/>
  <c r="L128" i="22"/>
  <c r="M128" i="22"/>
  <c r="N128" i="22"/>
  <c r="P128" i="22"/>
  <c r="A129" i="22"/>
  <c r="B129" i="22"/>
  <c r="C129" i="22"/>
  <c r="D129" i="22"/>
  <c r="H129" i="22"/>
  <c r="J129" i="22"/>
  <c r="K129" i="22"/>
  <c r="L129" i="22"/>
  <c r="M129" i="22"/>
  <c r="N129" i="22"/>
  <c r="P129" i="22"/>
  <c r="A130" i="22"/>
  <c r="B130" i="22"/>
  <c r="C130" i="22"/>
  <c r="D130" i="22"/>
  <c r="H130" i="22"/>
  <c r="J130" i="22"/>
  <c r="K130" i="22"/>
  <c r="L130" i="22"/>
  <c r="M130" i="22"/>
  <c r="N130" i="22"/>
  <c r="P130" i="22"/>
  <c r="A131" i="22"/>
  <c r="B131" i="22"/>
  <c r="C131" i="22"/>
  <c r="D131" i="22"/>
  <c r="H131" i="22"/>
  <c r="J131" i="22"/>
  <c r="K131" i="22"/>
  <c r="L131" i="22"/>
  <c r="M131" i="22"/>
  <c r="N131" i="22"/>
  <c r="P131" i="22"/>
  <c r="A132" i="22"/>
  <c r="B132" i="22"/>
  <c r="C132" i="22"/>
  <c r="D132" i="22"/>
  <c r="H132" i="22"/>
  <c r="J132" i="22"/>
  <c r="K132" i="22"/>
  <c r="L132" i="22"/>
  <c r="M132" i="22"/>
  <c r="N132" i="22"/>
  <c r="P132" i="22"/>
  <c r="A133" i="22"/>
  <c r="B133" i="22"/>
  <c r="C133" i="22"/>
  <c r="D133" i="22"/>
  <c r="H133" i="22"/>
  <c r="J133" i="22"/>
  <c r="K133" i="22"/>
  <c r="L133" i="22"/>
  <c r="M133" i="22"/>
  <c r="N133" i="22"/>
  <c r="P133" i="22"/>
  <c r="A134" i="22"/>
  <c r="B134" i="22"/>
  <c r="C134" i="22"/>
  <c r="D134" i="22"/>
  <c r="H134" i="22"/>
  <c r="J134" i="22"/>
  <c r="K134" i="22"/>
  <c r="L134" i="22"/>
  <c r="M134" i="22"/>
  <c r="N134" i="22"/>
  <c r="P134" i="22"/>
  <c r="A135" i="22"/>
  <c r="B135" i="22"/>
  <c r="C135" i="22"/>
  <c r="D135" i="22"/>
  <c r="H135" i="22"/>
  <c r="J135" i="22"/>
  <c r="K135" i="22"/>
  <c r="L135" i="22"/>
  <c r="M135" i="22"/>
  <c r="N135" i="22"/>
  <c r="P135" i="22"/>
  <c r="A136" i="22"/>
  <c r="B136" i="22"/>
  <c r="C136" i="22"/>
  <c r="D136" i="22"/>
  <c r="H136" i="22"/>
  <c r="J136" i="22"/>
  <c r="K136" i="22"/>
  <c r="L136" i="22"/>
  <c r="M136" i="22"/>
  <c r="N136" i="22"/>
  <c r="P136" i="22"/>
  <c r="A137" i="22"/>
  <c r="B137" i="22"/>
  <c r="C137" i="22"/>
  <c r="D137" i="22"/>
  <c r="H137" i="22"/>
  <c r="J137" i="22"/>
  <c r="K137" i="22"/>
  <c r="L137" i="22"/>
  <c r="M137" i="22"/>
  <c r="N137" i="22"/>
  <c r="P137" i="22"/>
  <c r="A138" i="22"/>
  <c r="B138" i="22"/>
  <c r="C138" i="22"/>
  <c r="D138" i="22"/>
  <c r="H138" i="22"/>
  <c r="J138" i="22"/>
  <c r="K138" i="22"/>
  <c r="L138" i="22"/>
  <c r="M138" i="22"/>
  <c r="N138" i="22"/>
  <c r="P138" i="22"/>
  <c r="A139" i="22"/>
  <c r="B139" i="22"/>
  <c r="C139" i="22"/>
  <c r="D139" i="22"/>
  <c r="H139" i="22"/>
  <c r="J139" i="22"/>
  <c r="K139" i="22"/>
  <c r="L139" i="22"/>
  <c r="M139" i="22"/>
  <c r="N139" i="22"/>
  <c r="P139" i="22"/>
  <c r="A140" i="22"/>
  <c r="B140" i="22"/>
  <c r="C140" i="22"/>
  <c r="D140" i="22"/>
  <c r="H140" i="22"/>
  <c r="J140" i="22"/>
  <c r="K140" i="22"/>
  <c r="L140" i="22"/>
  <c r="M140" i="22"/>
  <c r="N140" i="22"/>
  <c r="P140" i="22"/>
  <c r="A141" i="22"/>
  <c r="B141" i="22"/>
  <c r="C141" i="22"/>
  <c r="D141" i="22"/>
  <c r="H141" i="22"/>
  <c r="J141" i="22"/>
  <c r="K141" i="22"/>
  <c r="L141" i="22"/>
  <c r="M141" i="22"/>
  <c r="N141" i="22"/>
  <c r="P141" i="22"/>
  <c r="A142" i="22"/>
  <c r="B142" i="22"/>
  <c r="C142" i="22"/>
  <c r="D142" i="22"/>
  <c r="H142" i="22"/>
  <c r="J142" i="22"/>
  <c r="K142" i="22"/>
  <c r="L142" i="22"/>
  <c r="M142" i="22"/>
  <c r="N142" i="22"/>
  <c r="P142" i="22"/>
  <c r="A143" i="22"/>
  <c r="B143" i="22"/>
  <c r="C143" i="22"/>
  <c r="D143" i="22"/>
  <c r="H143" i="22"/>
  <c r="J143" i="22"/>
  <c r="K143" i="22"/>
  <c r="L143" i="22"/>
  <c r="M143" i="22"/>
  <c r="N143" i="22"/>
  <c r="P143" i="22"/>
  <c r="A144" i="22"/>
  <c r="B144" i="22"/>
  <c r="C144" i="22"/>
  <c r="D144" i="22"/>
  <c r="H144" i="22"/>
  <c r="J144" i="22"/>
  <c r="K144" i="22"/>
  <c r="L144" i="22"/>
  <c r="M144" i="22"/>
  <c r="N144" i="22"/>
  <c r="P144" i="22"/>
  <c r="A145" i="22"/>
  <c r="B145" i="22"/>
  <c r="C145" i="22"/>
  <c r="D145" i="22"/>
  <c r="H145" i="22"/>
  <c r="J145" i="22"/>
  <c r="K145" i="22"/>
  <c r="L145" i="22"/>
  <c r="M145" i="22"/>
  <c r="N145" i="22"/>
  <c r="P145" i="22"/>
  <c r="A146" i="22"/>
  <c r="B146" i="22"/>
  <c r="C146" i="22"/>
  <c r="D146" i="22"/>
  <c r="H146" i="22"/>
  <c r="J146" i="22"/>
  <c r="K146" i="22"/>
  <c r="L146" i="22"/>
  <c r="M146" i="22"/>
  <c r="N146" i="22"/>
  <c r="P146" i="22"/>
  <c r="A147" i="22"/>
  <c r="B147" i="22"/>
  <c r="C147" i="22"/>
  <c r="D147" i="22"/>
  <c r="H147" i="22"/>
  <c r="J147" i="22"/>
  <c r="K147" i="22"/>
  <c r="L147" i="22"/>
  <c r="M147" i="22"/>
  <c r="N147" i="22"/>
  <c r="P147" i="22"/>
  <c r="A148" i="22"/>
  <c r="B148" i="22"/>
  <c r="C148" i="22"/>
  <c r="D148" i="22"/>
  <c r="H148" i="22"/>
  <c r="J148" i="22"/>
  <c r="K148" i="22"/>
  <c r="L148" i="22"/>
  <c r="M148" i="22"/>
  <c r="N148" i="22"/>
  <c r="P148" i="22"/>
  <c r="A149" i="22"/>
  <c r="B149" i="22"/>
  <c r="C149" i="22"/>
  <c r="D149" i="22"/>
  <c r="H149" i="22"/>
  <c r="J149" i="22"/>
  <c r="K149" i="22"/>
  <c r="L149" i="22"/>
  <c r="M149" i="22"/>
  <c r="N149" i="22"/>
  <c r="P149" i="22"/>
  <c r="A150" i="22"/>
  <c r="B150" i="22"/>
  <c r="C150" i="22"/>
  <c r="D150" i="22"/>
  <c r="H150" i="22"/>
  <c r="J150" i="22"/>
  <c r="K150" i="22"/>
  <c r="L150" i="22"/>
  <c r="M150" i="22"/>
  <c r="N150" i="22"/>
  <c r="P150" i="22"/>
  <c r="A151" i="22"/>
  <c r="B151" i="22"/>
  <c r="C151" i="22"/>
  <c r="D151" i="22"/>
  <c r="H151" i="22"/>
  <c r="J151" i="22"/>
  <c r="K151" i="22"/>
  <c r="L151" i="22"/>
  <c r="M151" i="22"/>
  <c r="N151" i="22"/>
  <c r="P151" i="22"/>
  <c r="A152" i="22"/>
  <c r="B152" i="22"/>
  <c r="C152" i="22"/>
  <c r="D152" i="22"/>
  <c r="H152" i="22"/>
  <c r="J152" i="22"/>
  <c r="K152" i="22"/>
  <c r="L152" i="22"/>
  <c r="M152" i="22"/>
  <c r="N152" i="22"/>
  <c r="P152" i="22"/>
  <c r="A153" i="22"/>
  <c r="B153" i="22"/>
  <c r="C153" i="22"/>
  <c r="D153" i="22"/>
  <c r="H153" i="22"/>
  <c r="J153" i="22"/>
  <c r="K153" i="22"/>
  <c r="L153" i="22"/>
  <c r="M153" i="22"/>
  <c r="N153" i="22"/>
  <c r="P153" i="22"/>
  <c r="A154" i="22"/>
  <c r="B154" i="22"/>
  <c r="C154" i="22"/>
  <c r="D154" i="22"/>
  <c r="H154" i="22"/>
  <c r="J154" i="22"/>
  <c r="K154" i="22"/>
  <c r="L154" i="22"/>
  <c r="M154" i="22"/>
  <c r="N154" i="22"/>
  <c r="P154" i="22"/>
  <c r="A155" i="22"/>
  <c r="B155" i="22"/>
  <c r="C155" i="22"/>
  <c r="D155" i="22"/>
  <c r="H155" i="22"/>
  <c r="J155" i="22"/>
  <c r="K155" i="22"/>
  <c r="L155" i="22"/>
  <c r="M155" i="22"/>
  <c r="N155" i="22"/>
  <c r="P155" i="22"/>
  <c r="A156" i="22"/>
  <c r="B156" i="22"/>
  <c r="C156" i="22"/>
  <c r="D156" i="22"/>
  <c r="H156" i="22"/>
  <c r="J156" i="22"/>
  <c r="K156" i="22"/>
  <c r="L156" i="22"/>
  <c r="M156" i="22"/>
  <c r="N156" i="22"/>
  <c r="P156" i="22"/>
  <c r="A157" i="22"/>
  <c r="B157" i="22"/>
  <c r="C157" i="22"/>
  <c r="D157" i="22"/>
  <c r="H157" i="22"/>
  <c r="J157" i="22"/>
  <c r="K157" i="22"/>
  <c r="L157" i="22"/>
  <c r="M157" i="22"/>
  <c r="N157" i="22"/>
  <c r="P157" i="22"/>
  <c r="A158" i="22"/>
  <c r="B158" i="22"/>
  <c r="C158" i="22"/>
  <c r="D158" i="22"/>
  <c r="H158" i="22"/>
  <c r="J158" i="22"/>
  <c r="K158" i="22"/>
  <c r="L158" i="22"/>
  <c r="M158" i="22"/>
  <c r="N158" i="22"/>
  <c r="P158" i="22"/>
  <c r="A159" i="22"/>
  <c r="B159" i="22"/>
  <c r="C159" i="22"/>
  <c r="D159" i="22"/>
  <c r="H159" i="22"/>
  <c r="J159" i="22"/>
  <c r="K159" i="22"/>
  <c r="L159" i="22"/>
  <c r="M159" i="22"/>
  <c r="N159" i="22"/>
  <c r="P159" i="22"/>
  <c r="A160" i="22"/>
  <c r="B160" i="22"/>
  <c r="C160" i="22"/>
  <c r="D160" i="22"/>
  <c r="H160" i="22"/>
  <c r="J160" i="22"/>
  <c r="K160" i="22"/>
  <c r="L160" i="22"/>
  <c r="M160" i="22"/>
  <c r="N160" i="22"/>
  <c r="P160" i="22"/>
  <c r="A161" i="22"/>
  <c r="B161" i="22"/>
  <c r="C161" i="22"/>
  <c r="D161" i="22"/>
  <c r="H161" i="22"/>
  <c r="J161" i="22"/>
  <c r="K161" i="22"/>
  <c r="L161" i="22"/>
  <c r="M161" i="22"/>
  <c r="N161" i="22"/>
  <c r="P161" i="22"/>
  <c r="A162" i="22"/>
  <c r="B162" i="22"/>
  <c r="C162" i="22"/>
  <c r="D162" i="22"/>
  <c r="H162" i="22"/>
  <c r="J162" i="22"/>
  <c r="K162" i="22"/>
  <c r="L162" i="22"/>
  <c r="M162" i="22"/>
  <c r="N162" i="22"/>
  <c r="P162" i="22"/>
  <c r="A163" i="22"/>
  <c r="B163" i="22"/>
  <c r="C163" i="22"/>
  <c r="D163" i="22"/>
  <c r="H163" i="22"/>
  <c r="J163" i="22"/>
  <c r="K163" i="22"/>
  <c r="L163" i="22"/>
  <c r="M163" i="22"/>
  <c r="N163" i="22"/>
  <c r="P163" i="22"/>
  <c r="A164" i="22"/>
  <c r="B164" i="22"/>
  <c r="C164" i="22"/>
  <c r="D164" i="22"/>
  <c r="H164" i="22"/>
  <c r="J164" i="22"/>
  <c r="K164" i="22"/>
  <c r="L164" i="22"/>
  <c r="M164" i="22"/>
  <c r="N164" i="22"/>
  <c r="P164" i="22"/>
  <c r="A165" i="22"/>
  <c r="B165" i="22"/>
  <c r="C165" i="22"/>
  <c r="D165" i="22"/>
  <c r="H165" i="22"/>
  <c r="J165" i="22"/>
  <c r="K165" i="22"/>
  <c r="L165" i="22"/>
  <c r="M165" i="22"/>
  <c r="N165" i="22"/>
  <c r="P165" i="22"/>
  <c r="A166" i="22"/>
  <c r="B166" i="22"/>
  <c r="C166" i="22"/>
  <c r="D166" i="22"/>
  <c r="H166" i="22"/>
  <c r="J166" i="22"/>
  <c r="K166" i="22"/>
  <c r="L166" i="22"/>
  <c r="M166" i="22"/>
  <c r="N166" i="22"/>
  <c r="P166" i="22"/>
  <c r="A167" i="22"/>
  <c r="B167" i="22"/>
  <c r="C167" i="22"/>
  <c r="D167" i="22"/>
  <c r="H167" i="22"/>
  <c r="J167" i="22"/>
  <c r="K167" i="22"/>
  <c r="L167" i="22"/>
  <c r="M167" i="22"/>
  <c r="N167" i="22"/>
  <c r="P167" i="22"/>
  <c r="A168" i="22"/>
  <c r="B168" i="22"/>
  <c r="C168" i="22"/>
  <c r="D168" i="22"/>
  <c r="H168" i="22"/>
  <c r="J168" i="22"/>
  <c r="K168" i="22"/>
  <c r="L168" i="22"/>
  <c r="M168" i="22"/>
  <c r="N168" i="22"/>
  <c r="P168" i="22"/>
  <c r="A169" i="22"/>
  <c r="B169" i="22"/>
  <c r="C169" i="22"/>
  <c r="D169" i="22"/>
  <c r="H169" i="22"/>
  <c r="J169" i="22"/>
  <c r="K169" i="22"/>
  <c r="L169" i="22"/>
  <c r="M169" i="22"/>
  <c r="N169" i="22"/>
  <c r="P169" i="22"/>
  <c r="A170" i="22"/>
  <c r="B170" i="22"/>
  <c r="C170" i="22"/>
  <c r="D170" i="22"/>
  <c r="H170" i="22"/>
  <c r="J170" i="22"/>
  <c r="K170" i="22"/>
  <c r="L170" i="22"/>
  <c r="M170" i="22"/>
  <c r="N170" i="22"/>
  <c r="P170" i="22"/>
  <c r="A171" i="22"/>
  <c r="B171" i="22"/>
  <c r="C171" i="22"/>
  <c r="D171" i="22"/>
  <c r="H171" i="22"/>
  <c r="J171" i="22"/>
  <c r="K171" i="22"/>
  <c r="L171" i="22"/>
  <c r="M171" i="22"/>
  <c r="N171" i="22"/>
  <c r="P171" i="22"/>
  <c r="A172" i="22"/>
  <c r="B172" i="22"/>
  <c r="C172" i="22"/>
  <c r="D172" i="22"/>
  <c r="H172" i="22"/>
  <c r="J172" i="22"/>
  <c r="K172" i="22"/>
  <c r="L172" i="22"/>
  <c r="M172" i="22"/>
  <c r="N172" i="22"/>
  <c r="P172" i="22"/>
  <c r="A173" i="22"/>
  <c r="B173" i="22"/>
  <c r="C173" i="22"/>
  <c r="D173" i="22"/>
  <c r="H173" i="22"/>
  <c r="J173" i="22"/>
  <c r="K173" i="22"/>
  <c r="L173" i="22"/>
  <c r="M173" i="22"/>
  <c r="N173" i="22"/>
  <c r="P173" i="22"/>
  <c r="A174" i="22"/>
  <c r="B174" i="22"/>
  <c r="C174" i="22"/>
  <c r="D174" i="22"/>
  <c r="H174" i="22"/>
  <c r="J174" i="22"/>
  <c r="K174" i="22"/>
  <c r="L174" i="22"/>
  <c r="M174" i="22"/>
  <c r="N174" i="22"/>
  <c r="P174" i="22"/>
  <c r="A175" i="22"/>
  <c r="B175" i="22"/>
  <c r="C175" i="22"/>
  <c r="D175" i="22"/>
  <c r="H175" i="22"/>
  <c r="J175" i="22"/>
  <c r="K175" i="22"/>
  <c r="L175" i="22"/>
  <c r="M175" i="22"/>
  <c r="N175" i="22"/>
  <c r="P175" i="22"/>
  <c r="A176" i="22"/>
  <c r="B176" i="22"/>
  <c r="C176" i="22"/>
  <c r="D176" i="22"/>
  <c r="H176" i="22"/>
  <c r="J176" i="22"/>
  <c r="K176" i="22"/>
  <c r="L176" i="22"/>
  <c r="M176" i="22"/>
  <c r="N176" i="22"/>
  <c r="P176" i="22"/>
  <c r="A177" i="22"/>
  <c r="B177" i="22"/>
  <c r="C177" i="22"/>
  <c r="D177" i="22"/>
  <c r="H177" i="22"/>
  <c r="J177" i="22"/>
  <c r="K177" i="22"/>
  <c r="L177" i="22"/>
  <c r="M177" i="22"/>
  <c r="N177" i="22"/>
  <c r="P177" i="22"/>
  <c r="A178" i="22"/>
  <c r="B178" i="22"/>
  <c r="C178" i="22"/>
  <c r="D178" i="22"/>
  <c r="H178" i="22"/>
  <c r="J178" i="22"/>
  <c r="K178" i="22"/>
  <c r="L178" i="22"/>
  <c r="M178" i="22"/>
  <c r="N178" i="22"/>
  <c r="P178" i="22"/>
  <c r="A179" i="22"/>
  <c r="B179" i="22"/>
  <c r="C179" i="22"/>
  <c r="D179" i="22"/>
  <c r="H179" i="22"/>
  <c r="J179" i="22"/>
  <c r="K179" i="22"/>
  <c r="L179" i="22"/>
  <c r="M179" i="22"/>
  <c r="N179" i="22"/>
  <c r="P179" i="22"/>
  <c r="A180" i="22"/>
  <c r="B180" i="22"/>
  <c r="C180" i="22"/>
  <c r="D180" i="22"/>
  <c r="H180" i="22"/>
  <c r="J180" i="22"/>
  <c r="K180" i="22"/>
  <c r="L180" i="22"/>
  <c r="M180" i="22"/>
  <c r="N180" i="22"/>
  <c r="P180" i="22"/>
  <c r="A181" i="22"/>
  <c r="B181" i="22"/>
  <c r="C181" i="22"/>
  <c r="D181" i="22"/>
  <c r="H181" i="22"/>
  <c r="J181" i="22"/>
  <c r="K181" i="22"/>
  <c r="L181" i="22"/>
  <c r="M181" i="22"/>
  <c r="N181" i="22"/>
  <c r="P181" i="22"/>
  <c r="A182" i="22"/>
  <c r="B182" i="22"/>
  <c r="C182" i="22"/>
  <c r="D182" i="22"/>
  <c r="H182" i="22"/>
  <c r="J182" i="22"/>
  <c r="K182" i="22"/>
  <c r="L182" i="22"/>
  <c r="M182" i="22"/>
  <c r="N182" i="22"/>
  <c r="P182" i="22"/>
  <c r="A183" i="22"/>
  <c r="B183" i="22"/>
  <c r="C183" i="22"/>
  <c r="D183" i="22"/>
  <c r="H183" i="22"/>
  <c r="J183" i="22"/>
  <c r="K183" i="22"/>
  <c r="L183" i="22"/>
  <c r="M183" i="22"/>
  <c r="N183" i="22"/>
  <c r="P183" i="22"/>
  <c r="A184" i="22"/>
  <c r="B184" i="22"/>
  <c r="C184" i="22"/>
  <c r="D184" i="22"/>
  <c r="H184" i="22"/>
  <c r="J184" i="22"/>
  <c r="K184" i="22"/>
  <c r="L184" i="22"/>
  <c r="M184" i="22"/>
  <c r="N184" i="22"/>
  <c r="P184" i="22"/>
  <c r="A185" i="22"/>
  <c r="B185" i="22"/>
  <c r="C185" i="22"/>
  <c r="D185" i="22"/>
  <c r="H185" i="22"/>
  <c r="J185" i="22"/>
  <c r="K185" i="22"/>
  <c r="L185" i="22"/>
  <c r="M185" i="22"/>
  <c r="N185" i="22"/>
  <c r="P185" i="22"/>
  <c r="A186" i="22"/>
  <c r="B186" i="22"/>
  <c r="C186" i="22"/>
  <c r="D186" i="22"/>
  <c r="H186" i="22"/>
  <c r="J186" i="22"/>
  <c r="K186" i="22"/>
  <c r="L186" i="22"/>
  <c r="M186" i="22"/>
  <c r="N186" i="22"/>
  <c r="P186" i="22"/>
  <c r="A187" i="22"/>
  <c r="B187" i="22"/>
  <c r="C187" i="22"/>
  <c r="D187" i="22"/>
  <c r="H187" i="22"/>
  <c r="J187" i="22"/>
  <c r="K187" i="22"/>
  <c r="L187" i="22"/>
  <c r="M187" i="22"/>
  <c r="N187" i="22"/>
  <c r="P187" i="22"/>
  <c r="A188" i="22"/>
  <c r="B188" i="22"/>
  <c r="C188" i="22"/>
  <c r="D188" i="22"/>
  <c r="H188" i="22"/>
  <c r="J188" i="22"/>
  <c r="K188" i="22"/>
  <c r="L188" i="22"/>
  <c r="M188" i="22"/>
  <c r="N188" i="22"/>
  <c r="P188" i="22"/>
  <c r="A189" i="22"/>
  <c r="B189" i="22"/>
  <c r="C189" i="22"/>
  <c r="D189" i="22"/>
  <c r="H189" i="22"/>
  <c r="J189" i="22"/>
  <c r="K189" i="22"/>
  <c r="L189" i="22"/>
  <c r="M189" i="22"/>
  <c r="N189" i="22"/>
  <c r="P189" i="22"/>
  <c r="A190" i="22"/>
  <c r="B190" i="22"/>
  <c r="C190" i="22"/>
  <c r="D190" i="22"/>
  <c r="H190" i="22"/>
  <c r="J190" i="22"/>
  <c r="K190" i="22"/>
  <c r="L190" i="22"/>
  <c r="M190" i="22"/>
  <c r="N190" i="22"/>
  <c r="P190" i="22"/>
  <c r="A191" i="22"/>
  <c r="B191" i="22"/>
  <c r="C191" i="22"/>
  <c r="D191" i="22"/>
  <c r="H191" i="22"/>
  <c r="J191" i="22"/>
  <c r="K191" i="22"/>
  <c r="L191" i="22"/>
  <c r="M191" i="22"/>
  <c r="N191" i="22"/>
  <c r="P191" i="22"/>
  <c r="A192" i="22"/>
  <c r="B192" i="22"/>
  <c r="C192" i="22"/>
  <c r="D192" i="22"/>
  <c r="H192" i="22"/>
  <c r="J192" i="22"/>
  <c r="K192" i="22"/>
  <c r="L192" i="22"/>
  <c r="M192" i="22"/>
  <c r="N192" i="22"/>
  <c r="P192" i="22"/>
  <c r="A193" i="22"/>
  <c r="B193" i="22"/>
  <c r="C193" i="22"/>
  <c r="D193" i="22"/>
  <c r="H193" i="22"/>
  <c r="J193" i="22"/>
  <c r="K193" i="22"/>
  <c r="L193" i="22"/>
  <c r="M193" i="22"/>
  <c r="N193" i="22"/>
  <c r="P193" i="22"/>
  <c r="A194" i="22"/>
  <c r="B194" i="22"/>
  <c r="C194" i="22"/>
  <c r="D194" i="22"/>
  <c r="H194" i="22"/>
  <c r="J194" i="22"/>
  <c r="K194" i="22"/>
  <c r="L194" i="22"/>
  <c r="M194" i="22"/>
  <c r="N194" i="22"/>
  <c r="P194" i="22"/>
  <c r="A195" i="22"/>
  <c r="B195" i="22"/>
  <c r="C195" i="22"/>
  <c r="D195" i="22"/>
  <c r="H195" i="22"/>
  <c r="J195" i="22"/>
  <c r="K195" i="22"/>
  <c r="L195" i="22"/>
  <c r="M195" i="22"/>
  <c r="N195" i="22"/>
  <c r="P195" i="22"/>
  <c r="A196" i="22"/>
  <c r="B196" i="22"/>
  <c r="C196" i="22"/>
  <c r="D196" i="22"/>
  <c r="H196" i="22"/>
  <c r="J196" i="22"/>
  <c r="K196" i="22"/>
  <c r="L196" i="22"/>
  <c r="M196" i="22"/>
  <c r="N196" i="22"/>
  <c r="P196" i="22"/>
  <c r="A197" i="22"/>
  <c r="B197" i="22"/>
  <c r="C197" i="22"/>
  <c r="D197" i="22"/>
  <c r="H197" i="22"/>
  <c r="J197" i="22"/>
  <c r="K197" i="22"/>
  <c r="L197" i="22"/>
  <c r="M197" i="22"/>
  <c r="N197" i="22"/>
  <c r="P197" i="22"/>
  <c r="A198" i="22"/>
  <c r="B198" i="22"/>
  <c r="C198" i="22"/>
  <c r="D198" i="22"/>
  <c r="H198" i="22"/>
  <c r="J198" i="22"/>
  <c r="K198" i="22"/>
  <c r="L198" i="22"/>
  <c r="M198" i="22"/>
  <c r="N198" i="22"/>
  <c r="P198" i="22"/>
  <c r="A199" i="22"/>
  <c r="B199" i="22"/>
  <c r="C199" i="22"/>
  <c r="D199" i="22"/>
  <c r="H199" i="22"/>
  <c r="J199" i="22"/>
  <c r="K199" i="22"/>
  <c r="L199" i="22"/>
  <c r="M199" i="22"/>
  <c r="N199" i="22"/>
  <c r="P199" i="22"/>
  <c r="A200" i="22"/>
  <c r="B200" i="22"/>
  <c r="C200" i="22"/>
  <c r="D200" i="22"/>
  <c r="H200" i="22"/>
  <c r="J200" i="22"/>
  <c r="K200" i="22"/>
  <c r="L200" i="22"/>
  <c r="M200" i="22"/>
  <c r="N200" i="22"/>
  <c r="P200" i="22"/>
  <c r="A201" i="22"/>
  <c r="B201" i="22"/>
  <c r="C201" i="22"/>
  <c r="D201" i="22"/>
  <c r="H201" i="22"/>
  <c r="J201" i="22"/>
  <c r="K201" i="22"/>
  <c r="L201" i="22"/>
  <c r="M201" i="22"/>
  <c r="N201" i="22"/>
  <c r="P201" i="22"/>
  <c r="A202" i="22"/>
  <c r="B202" i="22"/>
  <c r="C202" i="22"/>
  <c r="D202" i="22"/>
  <c r="H202" i="22"/>
  <c r="J202" i="22"/>
  <c r="K202" i="22"/>
  <c r="L202" i="22"/>
  <c r="M202" i="22"/>
  <c r="N202" i="22"/>
  <c r="P202" i="22"/>
  <c r="A203" i="22"/>
  <c r="B203" i="22"/>
  <c r="C203" i="22"/>
  <c r="D203" i="22"/>
  <c r="H203" i="22"/>
  <c r="J203" i="22"/>
  <c r="K203" i="22"/>
  <c r="L203" i="22"/>
  <c r="M203" i="22"/>
  <c r="N203" i="22"/>
  <c r="P203" i="22"/>
  <c r="A204" i="22"/>
  <c r="B204" i="22"/>
  <c r="C204" i="22"/>
  <c r="D204" i="22"/>
  <c r="H204" i="22"/>
  <c r="J204" i="22"/>
  <c r="K204" i="22"/>
  <c r="L204" i="22"/>
  <c r="M204" i="22"/>
  <c r="N204" i="22"/>
  <c r="P204" i="22"/>
  <c r="A205" i="22"/>
  <c r="B205" i="22"/>
  <c r="C205" i="22"/>
  <c r="D205" i="22"/>
  <c r="H205" i="22"/>
  <c r="J205" i="22"/>
  <c r="K205" i="22"/>
  <c r="L205" i="22"/>
  <c r="M205" i="22"/>
  <c r="N205" i="22"/>
  <c r="P205" i="22"/>
  <c r="A206" i="22"/>
  <c r="B206" i="22"/>
  <c r="C206" i="22"/>
  <c r="D206" i="22"/>
  <c r="H206" i="22"/>
  <c r="J206" i="22"/>
  <c r="K206" i="22"/>
  <c r="L206" i="22"/>
  <c r="M206" i="22"/>
  <c r="N206" i="22"/>
  <c r="P206" i="22"/>
  <c r="A207" i="22"/>
  <c r="B207" i="22"/>
  <c r="C207" i="22"/>
  <c r="D207" i="22"/>
  <c r="H207" i="22"/>
  <c r="J207" i="22"/>
  <c r="K207" i="22"/>
  <c r="L207" i="22"/>
  <c r="M207" i="22"/>
  <c r="N207" i="22"/>
  <c r="P207" i="22"/>
  <c r="A208" i="22"/>
  <c r="B208" i="22"/>
  <c r="C208" i="22"/>
  <c r="D208" i="22"/>
  <c r="H208" i="22"/>
  <c r="J208" i="22"/>
  <c r="K208" i="22"/>
  <c r="L208" i="22"/>
  <c r="M208" i="22"/>
  <c r="N208" i="22"/>
  <c r="P208" i="22"/>
  <c r="A209" i="22"/>
  <c r="B209" i="22"/>
  <c r="C209" i="22"/>
  <c r="D209" i="22"/>
  <c r="H209" i="22"/>
  <c r="J209" i="22"/>
  <c r="K209" i="22"/>
  <c r="L209" i="22"/>
  <c r="M209" i="22"/>
  <c r="N209" i="22"/>
  <c r="P209" i="22"/>
  <c r="A210" i="22"/>
  <c r="B210" i="22"/>
  <c r="C210" i="22"/>
  <c r="D210" i="22"/>
  <c r="H210" i="22"/>
  <c r="J210" i="22"/>
  <c r="K210" i="22"/>
  <c r="L210" i="22"/>
  <c r="M210" i="22"/>
  <c r="N210" i="22"/>
  <c r="P210" i="22"/>
  <c r="A211" i="22"/>
  <c r="B211" i="22"/>
  <c r="C211" i="22"/>
  <c r="D211" i="22"/>
  <c r="H211" i="22"/>
  <c r="J211" i="22"/>
  <c r="K211" i="22"/>
  <c r="L211" i="22"/>
  <c r="M211" i="22"/>
  <c r="N211" i="22"/>
  <c r="P211" i="22"/>
  <c r="A212" i="22"/>
  <c r="B212" i="22"/>
  <c r="C212" i="22"/>
  <c r="D212" i="22"/>
  <c r="H212" i="22"/>
  <c r="J212" i="22"/>
  <c r="K212" i="22"/>
  <c r="L212" i="22"/>
  <c r="M212" i="22"/>
  <c r="N212" i="22"/>
  <c r="P212" i="22"/>
  <c r="A213" i="22"/>
  <c r="B213" i="22"/>
  <c r="C213" i="22"/>
  <c r="D213" i="22"/>
  <c r="H213" i="22"/>
  <c r="J213" i="22"/>
  <c r="K213" i="22"/>
  <c r="L213" i="22"/>
  <c r="M213" i="22"/>
  <c r="N213" i="22"/>
  <c r="P213" i="22"/>
  <c r="A214" i="22"/>
  <c r="B214" i="22"/>
  <c r="C214" i="22"/>
  <c r="D214" i="22"/>
  <c r="H214" i="22"/>
  <c r="J214" i="22"/>
  <c r="K214" i="22"/>
  <c r="L214" i="22"/>
  <c r="M214" i="22"/>
  <c r="N214" i="22"/>
  <c r="P214" i="22"/>
  <c r="A215" i="22"/>
  <c r="B215" i="22"/>
  <c r="C215" i="22"/>
  <c r="D215" i="22"/>
  <c r="H215" i="22"/>
  <c r="J215" i="22"/>
  <c r="K215" i="22"/>
  <c r="L215" i="22"/>
  <c r="M215" i="22"/>
  <c r="N215" i="22"/>
  <c r="P215" i="22"/>
  <c r="A216" i="22"/>
  <c r="B216" i="22"/>
  <c r="C216" i="22"/>
  <c r="D216" i="22"/>
  <c r="H216" i="22"/>
  <c r="J216" i="22"/>
  <c r="K216" i="22"/>
  <c r="L216" i="22"/>
  <c r="M216" i="22"/>
  <c r="N216" i="22"/>
  <c r="P216" i="22"/>
  <c r="A217" i="22"/>
  <c r="B217" i="22"/>
  <c r="C217" i="22"/>
  <c r="D217" i="22"/>
  <c r="H217" i="22"/>
  <c r="J217" i="22"/>
  <c r="K217" i="22"/>
  <c r="L217" i="22"/>
  <c r="M217" i="22"/>
  <c r="N217" i="22"/>
  <c r="P217" i="22"/>
  <c r="A218" i="22"/>
  <c r="B218" i="22"/>
  <c r="C218" i="22"/>
  <c r="D218" i="22"/>
  <c r="H218" i="22"/>
  <c r="J218" i="22"/>
  <c r="K218" i="22"/>
  <c r="L218" i="22"/>
  <c r="M218" i="22"/>
  <c r="N218" i="22"/>
  <c r="P218" i="22"/>
  <c r="A219" i="22"/>
  <c r="B219" i="22"/>
  <c r="C219" i="22"/>
  <c r="D219" i="22"/>
  <c r="H219" i="22"/>
  <c r="J219" i="22"/>
  <c r="K219" i="22"/>
  <c r="L219" i="22"/>
  <c r="M219" i="22"/>
  <c r="N219" i="22"/>
  <c r="P219" i="22"/>
  <c r="A220" i="22"/>
  <c r="B220" i="22"/>
  <c r="C220" i="22"/>
  <c r="D220" i="22"/>
  <c r="H220" i="22"/>
  <c r="J220" i="22"/>
  <c r="K220" i="22"/>
  <c r="L220" i="22"/>
  <c r="M220" i="22"/>
  <c r="N220" i="22"/>
  <c r="P220" i="22"/>
  <c r="A221" i="22"/>
  <c r="B221" i="22"/>
  <c r="C221" i="22"/>
  <c r="D221" i="22"/>
  <c r="H221" i="22"/>
  <c r="J221" i="22"/>
  <c r="K221" i="22"/>
  <c r="L221" i="22"/>
  <c r="M221" i="22"/>
  <c r="N221" i="22"/>
  <c r="P221" i="22"/>
  <c r="A222" i="22"/>
  <c r="B222" i="22"/>
  <c r="C222" i="22"/>
  <c r="D222" i="22"/>
  <c r="H222" i="22"/>
  <c r="J222" i="22"/>
  <c r="K222" i="22"/>
  <c r="L222" i="22"/>
  <c r="M222" i="22"/>
  <c r="N222" i="22"/>
  <c r="P222" i="22"/>
  <c r="A223" i="22"/>
  <c r="B223" i="22"/>
  <c r="C223" i="22"/>
  <c r="D223" i="22"/>
  <c r="H223" i="22"/>
  <c r="J223" i="22"/>
  <c r="K223" i="22"/>
  <c r="L223" i="22"/>
  <c r="M223" i="22"/>
  <c r="N223" i="22"/>
  <c r="P223" i="22"/>
  <c r="A224" i="22"/>
  <c r="B224" i="22"/>
  <c r="C224" i="22"/>
  <c r="D224" i="22"/>
  <c r="H224" i="22"/>
  <c r="J224" i="22"/>
  <c r="K224" i="22"/>
  <c r="L224" i="22"/>
  <c r="M224" i="22"/>
  <c r="N224" i="22"/>
  <c r="P224" i="22"/>
  <c r="A225" i="22"/>
  <c r="B225" i="22"/>
  <c r="C225" i="22"/>
  <c r="D225" i="22"/>
  <c r="H225" i="22"/>
  <c r="J225" i="22"/>
  <c r="K225" i="22"/>
  <c r="L225" i="22"/>
  <c r="M225" i="22"/>
  <c r="N225" i="22"/>
  <c r="P225" i="22"/>
  <c r="A226" i="22"/>
  <c r="B226" i="22"/>
  <c r="C226" i="22"/>
  <c r="D226" i="22"/>
  <c r="H226" i="22"/>
  <c r="J226" i="22"/>
  <c r="K226" i="22"/>
  <c r="L226" i="22"/>
  <c r="M226" i="22"/>
  <c r="N226" i="22"/>
  <c r="P226" i="22"/>
  <c r="A227" i="22"/>
  <c r="B227" i="22"/>
  <c r="C227" i="22"/>
  <c r="D227" i="22"/>
  <c r="H227" i="22"/>
  <c r="J227" i="22"/>
  <c r="K227" i="22"/>
  <c r="L227" i="22"/>
  <c r="M227" i="22"/>
  <c r="N227" i="22"/>
  <c r="P227" i="22"/>
  <c r="A228" i="22"/>
  <c r="B228" i="22"/>
  <c r="C228" i="22"/>
  <c r="D228" i="22"/>
  <c r="H228" i="22"/>
  <c r="J228" i="22"/>
  <c r="K228" i="22"/>
  <c r="L228" i="22"/>
  <c r="M228" i="22"/>
  <c r="N228" i="22"/>
  <c r="P228" i="22"/>
  <c r="A229" i="22"/>
  <c r="B229" i="22"/>
  <c r="C229" i="22"/>
  <c r="D229" i="22"/>
  <c r="H229" i="22"/>
  <c r="J229" i="22"/>
  <c r="K229" i="22"/>
  <c r="L229" i="22"/>
  <c r="M229" i="22"/>
  <c r="N229" i="22"/>
  <c r="P229" i="22"/>
  <c r="A230" i="22"/>
  <c r="B230" i="22"/>
  <c r="C230" i="22"/>
  <c r="D230" i="22"/>
  <c r="H230" i="22"/>
  <c r="J230" i="22"/>
  <c r="K230" i="22"/>
  <c r="L230" i="22"/>
  <c r="M230" i="22"/>
  <c r="N230" i="22"/>
  <c r="P230" i="22"/>
  <c r="A231" i="22"/>
  <c r="B231" i="22"/>
  <c r="C231" i="22"/>
  <c r="D231" i="22"/>
  <c r="E231" i="22"/>
  <c r="F231" i="22"/>
  <c r="G231" i="22"/>
  <c r="H231" i="22"/>
  <c r="J231" i="22"/>
  <c r="K231" i="22"/>
  <c r="L231" i="22"/>
  <c r="M231" i="22"/>
  <c r="N231" i="22"/>
  <c r="P231" i="22"/>
  <c r="A232" i="22"/>
  <c r="B232" i="22"/>
  <c r="C232" i="22"/>
  <c r="D232" i="22"/>
  <c r="E232" i="22"/>
  <c r="F232" i="22"/>
  <c r="G232" i="22"/>
  <c r="H232" i="22"/>
  <c r="J232" i="22"/>
  <c r="K232" i="22"/>
  <c r="L232" i="22"/>
  <c r="M232" i="22"/>
  <c r="N232" i="22"/>
  <c r="P232" i="22"/>
  <c r="A233" i="22"/>
  <c r="B233" i="22"/>
  <c r="C233" i="22"/>
  <c r="D233" i="22"/>
  <c r="E233" i="22"/>
  <c r="F233" i="22"/>
  <c r="G233" i="22"/>
  <c r="H233" i="22"/>
  <c r="J233" i="22"/>
  <c r="K233" i="22"/>
  <c r="L233" i="22"/>
  <c r="M233" i="22"/>
  <c r="N233" i="22"/>
  <c r="P233" i="22"/>
  <c r="A234" i="22"/>
  <c r="B234" i="22"/>
  <c r="C234" i="22"/>
  <c r="D234" i="22"/>
  <c r="E234" i="22"/>
  <c r="F234" i="22"/>
  <c r="G234" i="22"/>
  <c r="H234" i="22"/>
  <c r="J234" i="22"/>
  <c r="K234" i="22"/>
  <c r="L234" i="22"/>
  <c r="M234" i="22"/>
  <c r="N234" i="22"/>
  <c r="P234" i="22"/>
  <c r="A235" i="22"/>
  <c r="B235" i="22"/>
  <c r="C235" i="22"/>
  <c r="D235" i="22"/>
  <c r="E235" i="22"/>
  <c r="F235" i="22"/>
  <c r="G235" i="22"/>
  <c r="H235" i="22"/>
  <c r="J235" i="22"/>
  <c r="K235" i="22"/>
  <c r="L235" i="22"/>
  <c r="M235" i="22"/>
  <c r="N235" i="22"/>
  <c r="P235" i="22"/>
  <c r="A236" i="22"/>
  <c r="B236" i="22"/>
  <c r="C236" i="22"/>
  <c r="D236" i="22"/>
  <c r="E236" i="22"/>
  <c r="F236" i="22"/>
  <c r="G236" i="22"/>
  <c r="H236" i="22"/>
  <c r="J236" i="22"/>
  <c r="K236" i="22"/>
  <c r="L236" i="22"/>
  <c r="M236" i="22"/>
  <c r="N236" i="22"/>
  <c r="P236" i="22"/>
  <c r="A237" i="22"/>
  <c r="B237" i="22"/>
  <c r="C237" i="22"/>
  <c r="D237" i="22"/>
  <c r="E237" i="22"/>
  <c r="F237" i="22"/>
  <c r="G237" i="22"/>
  <c r="H237" i="22"/>
  <c r="J237" i="22"/>
  <c r="K237" i="22"/>
  <c r="L237" i="22"/>
  <c r="M237" i="22"/>
  <c r="N237" i="22"/>
  <c r="P237" i="22"/>
  <c r="A238" i="22"/>
  <c r="B238" i="22"/>
  <c r="C238" i="22"/>
  <c r="D238" i="22"/>
  <c r="E238" i="22"/>
  <c r="F238" i="22"/>
  <c r="G238" i="22"/>
  <c r="H238" i="22"/>
  <c r="J238" i="22"/>
  <c r="K238" i="22"/>
  <c r="L238" i="22"/>
  <c r="M238" i="22"/>
  <c r="N238" i="22"/>
  <c r="P238" i="22"/>
  <c r="A239" i="22"/>
  <c r="B239" i="22"/>
  <c r="C239" i="22"/>
  <c r="D239" i="22"/>
  <c r="E239" i="22"/>
  <c r="F239" i="22"/>
  <c r="G239" i="22"/>
  <c r="H239" i="22"/>
  <c r="J239" i="22"/>
  <c r="K239" i="22"/>
  <c r="L239" i="22"/>
  <c r="M239" i="22"/>
  <c r="N239" i="22"/>
  <c r="P239" i="22"/>
  <c r="A240" i="22"/>
  <c r="B240" i="22"/>
  <c r="C240" i="22"/>
  <c r="D240" i="22"/>
  <c r="E240" i="22"/>
  <c r="F240" i="22"/>
  <c r="G240" i="22"/>
  <c r="H240" i="22"/>
  <c r="J240" i="22"/>
  <c r="K240" i="22"/>
  <c r="L240" i="22"/>
  <c r="M240" i="22"/>
  <c r="N240" i="22"/>
  <c r="P240" i="22"/>
  <c r="A241" i="22"/>
  <c r="B241" i="22"/>
  <c r="C241" i="22"/>
  <c r="D241" i="22"/>
  <c r="E241" i="22"/>
  <c r="F241" i="22"/>
  <c r="G241" i="22"/>
  <c r="H241" i="22"/>
  <c r="J241" i="22"/>
  <c r="K241" i="22"/>
  <c r="L241" i="22"/>
  <c r="M241" i="22"/>
  <c r="N241" i="22"/>
  <c r="P241" i="22"/>
  <c r="A242" i="22"/>
  <c r="B242" i="22"/>
  <c r="C242" i="22"/>
  <c r="D242" i="22"/>
  <c r="E242" i="22"/>
  <c r="F242" i="22"/>
  <c r="G242" i="22"/>
  <c r="H242" i="22"/>
  <c r="J242" i="22"/>
  <c r="K242" i="22"/>
  <c r="L242" i="22"/>
  <c r="M242" i="22"/>
  <c r="N242" i="22"/>
  <c r="P242" i="22"/>
  <c r="A243" i="22"/>
  <c r="B243" i="22"/>
  <c r="C243" i="22"/>
  <c r="D243" i="22"/>
  <c r="E243" i="22"/>
  <c r="F243" i="22"/>
  <c r="G243" i="22"/>
  <c r="H243" i="22"/>
  <c r="J243" i="22"/>
  <c r="K243" i="22"/>
  <c r="L243" i="22"/>
  <c r="M243" i="22"/>
  <c r="N243" i="22"/>
  <c r="P243" i="22"/>
  <c r="A244" i="22"/>
  <c r="B244" i="22"/>
  <c r="C244" i="22"/>
  <c r="D244" i="22"/>
  <c r="E244" i="22"/>
  <c r="F244" i="22"/>
  <c r="G244" i="22"/>
  <c r="H244" i="22"/>
  <c r="J244" i="22"/>
  <c r="K244" i="22"/>
  <c r="L244" i="22"/>
  <c r="M244" i="22"/>
  <c r="N244" i="22"/>
  <c r="P244" i="22"/>
  <c r="A245" i="22"/>
  <c r="B245" i="22"/>
  <c r="C245" i="22"/>
  <c r="D245" i="22"/>
  <c r="E245" i="22"/>
  <c r="F245" i="22"/>
  <c r="G245" i="22"/>
  <c r="H245" i="22"/>
  <c r="J245" i="22"/>
  <c r="K245" i="22"/>
  <c r="L245" i="22"/>
  <c r="M245" i="22"/>
  <c r="N245" i="22"/>
  <c r="P245" i="22"/>
  <c r="A246" i="22"/>
  <c r="B246" i="22"/>
  <c r="C246" i="22"/>
  <c r="D246" i="22"/>
  <c r="E246" i="22"/>
  <c r="F246" i="22"/>
  <c r="G246" i="22"/>
  <c r="H246" i="22"/>
  <c r="J246" i="22"/>
  <c r="K246" i="22"/>
  <c r="L246" i="22"/>
  <c r="M246" i="22"/>
  <c r="N246" i="22"/>
  <c r="P246" i="22"/>
  <c r="A247" i="22"/>
  <c r="B247" i="22"/>
  <c r="C247" i="22"/>
  <c r="D247" i="22"/>
  <c r="E247" i="22"/>
  <c r="F247" i="22"/>
  <c r="G247" i="22"/>
  <c r="H247" i="22"/>
  <c r="J247" i="22"/>
  <c r="K247" i="22"/>
  <c r="L247" i="22"/>
  <c r="M247" i="22"/>
  <c r="N247" i="22"/>
  <c r="P247" i="22"/>
  <c r="A248" i="22"/>
  <c r="B248" i="22"/>
  <c r="C248" i="22"/>
  <c r="D248" i="22"/>
  <c r="E248" i="22"/>
  <c r="F248" i="22"/>
  <c r="G248" i="22"/>
  <c r="H248" i="22"/>
  <c r="J248" i="22"/>
  <c r="K248" i="22"/>
  <c r="L248" i="22"/>
  <c r="M248" i="22"/>
  <c r="N248" i="22"/>
  <c r="P248" i="22"/>
  <c r="A249" i="22"/>
  <c r="B249" i="22"/>
  <c r="C249" i="22"/>
  <c r="D249" i="22"/>
  <c r="E249" i="22"/>
  <c r="F249" i="22"/>
  <c r="G249" i="22"/>
  <c r="H249" i="22"/>
  <c r="J249" i="22"/>
  <c r="K249" i="22"/>
  <c r="L249" i="22"/>
  <c r="M249" i="22"/>
  <c r="N249" i="22"/>
  <c r="P249" i="22"/>
  <c r="A250" i="22"/>
  <c r="B250" i="22"/>
  <c r="C250" i="22"/>
  <c r="D250" i="22"/>
  <c r="E250" i="22"/>
  <c r="F250" i="22"/>
  <c r="G250" i="22"/>
  <c r="H250" i="22"/>
  <c r="J250" i="22"/>
  <c r="K250" i="22"/>
  <c r="L250" i="22"/>
  <c r="M250" i="22"/>
  <c r="N250" i="22"/>
  <c r="P250" i="22"/>
  <c r="A251" i="22"/>
  <c r="B251" i="22"/>
  <c r="C251" i="22"/>
  <c r="D251" i="22"/>
  <c r="E251" i="22"/>
  <c r="F251" i="22"/>
  <c r="G251" i="22"/>
  <c r="H251" i="22"/>
  <c r="J251" i="22"/>
  <c r="K251" i="22"/>
  <c r="L251" i="22"/>
  <c r="M251" i="22"/>
  <c r="N251" i="22"/>
  <c r="P251" i="22"/>
  <c r="A252" i="22"/>
  <c r="B252" i="22"/>
  <c r="C252" i="22"/>
  <c r="D252" i="22"/>
  <c r="E252" i="22"/>
  <c r="F252" i="22"/>
  <c r="G252" i="22"/>
  <c r="H252" i="22"/>
  <c r="J252" i="22"/>
  <c r="K252" i="22"/>
  <c r="L252" i="22"/>
  <c r="M252" i="22"/>
  <c r="N252" i="22"/>
  <c r="P252" i="22"/>
  <c r="A253" i="22"/>
  <c r="B253" i="22"/>
  <c r="C253" i="22"/>
  <c r="D253" i="22"/>
  <c r="E253" i="22"/>
  <c r="F253" i="22"/>
  <c r="G253" i="22"/>
  <c r="H253" i="22"/>
  <c r="J253" i="22"/>
  <c r="K253" i="22"/>
  <c r="L253" i="22"/>
  <c r="M253" i="22"/>
  <c r="N253" i="22"/>
  <c r="P253" i="22"/>
  <c r="A254" i="22"/>
  <c r="B254" i="22"/>
  <c r="C254" i="22"/>
  <c r="D254" i="22"/>
  <c r="E254" i="22"/>
  <c r="F254" i="22"/>
  <c r="G254" i="22"/>
  <c r="H254" i="22"/>
  <c r="J254" i="22"/>
  <c r="K254" i="22"/>
  <c r="L254" i="22"/>
  <c r="M254" i="22"/>
  <c r="N254" i="22"/>
  <c r="P254" i="22"/>
  <c r="A255" i="22"/>
  <c r="B255" i="22"/>
  <c r="C255" i="22"/>
  <c r="D255" i="22"/>
  <c r="E255" i="22"/>
  <c r="F255" i="22"/>
  <c r="G255" i="22"/>
  <c r="H255" i="22"/>
  <c r="J255" i="22"/>
  <c r="K255" i="22"/>
  <c r="L255" i="22"/>
  <c r="M255" i="22"/>
  <c r="N255" i="22"/>
  <c r="P255" i="22"/>
  <c r="A256" i="22"/>
  <c r="B256" i="22"/>
  <c r="C256" i="22"/>
  <c r="D256" i="22"/>
  <c r="E256" i="22"/>
  <c r="F256" i="22"/>
  <c r="G256" i="22"/>
  <c r="H256" i="22"/>
  <c r="J256" i="22"/>
  <c r="K256" i="22"/>
  <c r="L256" i="22"/>
  <c r="M256" i="22"/>
  <c r="N256" i="22"/>
  <c r="P256" i="22"/>
  <c r="A257" i="22"/>
  <c r="B257" i="22"/>
  <c r="C257" i="22"/>
  <c r="D257" i="22"/>
  <c r="E257" i="22"/>
  <c r="F257" i="22"/>
  <c r="G257" i="22"/>
  <c r="H257" i="22"/>
  <c r="J257" i="22"/>
  <c r="K257" i="22"/>
  <c r="L257" i="22"/>
  <c r="M257" i="22"/>
  <c r="N257" i="22"/>
  <c r="P257" i="22"/>
  <c r="A258" i="22"/>
  <c r="B258" i="22"/>
  <c r="C258" i="22"/>
  <c r="D258" i="22"/>
  <c r="E258" i="22"/>
  <c r="F258" i="22"/>
  <c r="G258" i="22"/>
  <c r="H258" i="22"/>
  <c r="J258" i="22"/>
  <c r="K258" i="22"/>
  <c r="L258" i="22"/>
  <c r="M258" i="22"/>
  <c r="N258" i="22"/>
  <c r="P258" i="22"/>
  <c r="A259" i="22"/>
  <c r="B259" i="22"/>
  <c r="C259" i="22"/>
  <c r="D259" i="22"/>
  <c r="E259" i="22"/>
  <c r="F259" i="22"/>
  <c r="G259" i="22"/>
  <c r="H259" i="22"/>
  <c r="J259" i="22"/>
  <c r="K259" i="22"/>
  <c r="L259" i="22"/>
  <c r="M259" i="22"/>
  <c r="N259" i="22"/>
  <c r="P259" i="22"/>
  <c r="A260" i="22"/>
  <c r="B260" i="22"/>
  <c r="C260" i="22"/>
  <c r="D260" i="22"/>
  <c r="E260" i="22"/>
  <c r="F260" i="22"/>
  <c r="G260" i="22"/>
  <c r="H260" i="22"/>
  <c r="J260" i="22"/>
  <c r="K260" i="22"/>
  <c r="L260" i="22"/>
  <c r="M260" i="22"/>
  <c r="N260" i="22"/>
  <c r="P260" i="22"/>
  <c r="A261" i="22"/>
  <c r="B261" i="22"/>
  <c r="C261" i="22"/>
  <c r="D261" i="22"/>
  <c r="E261" i="22"/>
  <c r="F261" i="22"/>
  <c r="G261" i="22"/>
  <c r="H261" i="22"/>
  <c r="J261" i="22"/>
  <c r="K261" i="22"/>
  <c r="L261" i="22"/>
  <c r="M261" i="22"/>
  <c r="N261" i="22"/>
  <c r="P261" i="22"/>
  <c r="A262" i="22"/>
  <c r="B262" i="22"/>
  <c r="C262" i="22"/>
  <c r="D262" i="22"/>
  <c r="E262" i="22"/>
  <c r="F262" i="22"/>
  <c r="G262" i="22"/>
  <c r="H262" i="22"/>
  <c r="J262" i="22"/>
  <c r="K262" i="22"/>
  <c r="L262" i="22"/>
  <c r="M262" i="22"/>
  <c r="N262" i="22"/>
  <c r="P262" i="22"/>
  <c r="A263" i="22"/>
  <c r="B263" i="22"/>
  <c r="C263" i="22"/>
  <c r="D263" i="22"/>
  <c r="E263" i="22"/>
  <c r="F263" i="22"/>
  <c r="G263" i="22"/>
  <c r="H263" i="22"/>
  <c r="J263" i="22"/>
  <c r="K263" i="22"/>
  <c r="L263" i="22"/>
  <c r="M263" i="22"/>
  <c r="N263" i="22"/>
  <c r="P263" i="22"/>
  <c r="A264" i="22"/>
  <c r="B264" i="22"/>
  <c r="C264" i="22"/>
  <c r="D264" i="22"/>
  <c r="E264" i="22"/>
  <c r="F264" i="22"/>
  <c r="G264" i="22"/>
  <c r="H264" i="22"/>
  <c r="J264" i="22"/>
  <c r="K264" i="22"/>
  <c r="L264" i="22"/>
  <c r="M264" i="22"/>
  <c r="N264" i="22"/>
  <c r="P264" i="22"/>
  <c r="A265" i="22"/>
  <c r="B265" i="22"/>
  <c r="C265" i="22"/>
  <c r="D265" i="22"/>
  <c r="E265" i="22"/>
  <c r="F265" i="22"/>
  <c r="G265" i="22"/>
  <c r="H265" i="22"/>
  <c r="J265" i="22"/>
  <c r="K265" i="22"/>
  <c r="L265" i="22"/>
  <c r="M265" i="22"/>
  <c r="N265" i="22"/>
  <c r="P265" i="22"/>
  <c r="A266" i="22"/>
  <c r="B266" i="22"/>
  <c r="C266" i="22"/>
  <c r="D266" i="22"/>
  <c r="E266" i="22"/>
  <c r="F266" i="22"/>
  <c r="G266" i="22"/>
  <c r="H266" i="22"/>
  <c r="J266" i="22"/>
  <c r="K266" i="22"/>
  <c r="L266" i="22"/>
  <c r="M266" i="22"/>
  <c r="N266" i="22"/>
  <c r="P266" i="22"/>
  <c r="A267" i="22"/>
  <c r="B267" i="22"/>
  <c r="C267" i="22"/>
  <c r="D267" i="22"/>
  <c r="E267" i="22"/>
  <c r="F267" i="22"/>
  <c r="G267" i="22"/>
  <c r="H267" i="22"/>
  <c r="J267" i="22"/>
  <c r="K267" i="22"/>
  <c r="L267" i="22"/>
  <c r="M267" i="22"/>
  <c r="N267" i="22"/>
  <c r="P267" i="22"/>
  <c r="A268" i="22"/>
  <c r="B268" i="22"/>
  <c r="C268" i="22"/>
  <c r="D268" i="22"/>
  <c r="E268" i="22"/>
  <c r="F268" i="22"/>
  <c r="G268" i="22"/>
  <c r="H268" i="22"/>
  <c r="J268" i="22"/>
  <c r="K268" i="22"/>
  <c r="L268" i="22"/>
  <c r="M268" i="22"/>
  <c r="N268" i="22"/>
  <c r="P268" i="22"/>
  <c r="A269" i="22"/>
  <c r="B269" i="22"/>
  <c r="C269" i="22"/>
  <c r="D269" i="22"/>
  <c r="E269" i="22"/>
  <c r="F269" i="22"/>
  <c r="G269" i="22"/>
  <c r="H269" i="22"/>
  <c r="J269" i="22"/>
  <c r="K269" i="22"/>
  <c r="L269" i="22"/>
  <c r="M269" i="22"/>
  <c r="N269" i="22"/>
  <c r="P269" i="22"/>
  <c r="A270" i="22"/>
  <c r="B270" i="22"/>
  <c r="C270" i="22"/>
  <c r="D270" i="22"/>
  <c r="E270" i="22"/>
  <c r="F270" i="22"/>
  <c r="G270" i="22"/>
  <c r="H270" i="22"/>
  <c r="J270" i="22"/>
  <c r="K270" i="22"/>
  <c r="L270" i="22"/>
  <c r="M270" i="22"/>
  <c r="N270" i="22"/>
  <c r="P270" i="22"/>
  <c r="A271" i="22"/>
  <c r="B271" i="22"/>
  <c r="C271" i="22"/>
  <c r="D271" i="22"/>
  <c r="E271" i="22"/>
  <c r="F271" i="22"/>
  <c r="G271" i="22"/>
  <c r="H271" i="22"/>
  <c r="J271" i="22"/>
  <c r="K271" i="22"/>
  <c r="L271" i="22"/>
  <c r="M271" i="22"/>
  <c r="N271" i="22"/>
  <c r="P271" i="22"/>
  <c r="A272" i="22"/>
  <c r="B272" i="22"/>
  <c r="C272" i="22"/>
  <c r="D272" i="22"/>
  <c r="E272" i="22"/>
  <c r="F272" i="22"/>
  <c r="G272" i="22"/>
  <c r="H272" i="22"/>
  <c r="J272" i="22"/>
  <c r="K272" i="22"/>
  <c r="L272" i="22"/>
  <c r="M272" i="22"/>
  <c r="N272" i="22"/>
  <c r="P272" i="22"/>
  <c r="A273" i="22"/>
  <c r="B273" i="22"/>
  <c r="C273" i="22"/>
  <c r="D273" i="22"/>
  <c r="E273" i="22"/>
  <c r="F273" i="22"/>
  <c r="G273" i="22"/>
  <c r="H273" i="22"/>
  <c r="J273" i="22"/>
  <c r="K273" i="22"/>
  <c r="L273" i="22"/>
  <c r="M273" i="22"/>
  <c r="N273" i="22"/>
  <c r="P273" i="22"/>
  <c r="A274" i="22"/>
  <c r="B274" i="22"/>
  <c r="C274" i="22"/>
  <c r="D274" i="22"/>
  <c r="E274" i="22"/>
  <c r="F274" i="22"/>
  <c r="G274" i="22"/>
  <c r="H274" i="22"/>
  <c r="J274" i="22"/>
  <c r="K274" i="22"/>
  <c r="L274" i="22"/>
  <c r="M274" i="22"/>
  <c r="N274" i="22"/>
  <c r="P274" i="22"/>
  <c r="A275" i="22"/>
  <c r="B275" i="22"/>
  <c r="C275" i="22"/>
  <c r="D275" i="22"/>
  <c r="E275" i="22"/>
  <c r="F275" i="22"/>
  <c r="G275" i="22"/>
  <c r="H275" i="22"/>
  <c r="J275" i="22"/>
  <c r="K275" i="22"/>
  <c r="L275" i="22"/>
  <c r="M275" i="22"/>
  <c r="N275" i="22"/>
  <c r="P275" i="22"/>
  <c r="A276" i="22"/>
  <c r="B276" i="22"/>
  <c r="C276" i="22"/>
  <c r="D276" i="22"/>
  <c r="E276" i="22"/>
  <c r="F276" i="22"/>
  <c r="G276" i="22"/>
  <c r="H276" i="22"/>
  <c r="J276" i="22"/>
  <c r="K276" i="22"/>
  <c r="L276" i="22"/>
  <c r="M276" i="22"/>
  <c r="N276" i="22"/>
  <c r="P276" i="22"/>
  <c r="A277" i="22"/>
  <c r="B277" i="22"/>
  <c r="C277" i="22"/>
  <c r="D277" i="22"/>
  <c r="E277" i="22"/>
  <c r="F277" i="22"/>
  <c r="G277" i="22"/>
  <c r="H277" i="22"/>
  <c r="J277" i="22"/>
  <c r="K277" i="22"/>
  <c r="L277" i="22"/>
  <c r="M277" i="22"/>
  <c r="N277" i="22"/>
  <c r="P277" i="22"/>
  <c r="A278" i="22"/>
  <c r="B278" i="22"/>
  <c r="C278" i="22"/>
  <c r="D278" i="22"/>
  <c r="E278" i="22"/>
  <c r="F278" i="22"/>
  <c r="G278" i="22"/>
  <c r="H278" i="22"/>
  <c r="J278" i="22"/>
  <c r="K278" i="22"/>
  <c r="L278" i="22"/>
  <c r="M278" i="22"/>
  <c r="N278" i="22"/>
  <c r="P278" i="22"/>
  <c r="A279" i="22"/>
  <c r="B279" i="22"/>
  <c r="C279" i="22"/>
  <c r="D279" i="22"/>
  <c r="E279" i="22"/>
  <c r="F279" i="22"/>
  <c r="G279" i="22"/>
  <c r="H279" i="22"/>
  <c r="J279" i="22"/>
  <c r="K279" i="22"/>
  <c r="L279" i="22"/>
  <c r="M279" i="22"/>
  <c r="N279" i="22"/>
  <c r="P279" i="22"/>
  <c r="A280" i="22"/>
  <c r="B280" i="22"/>
  <c r="C280" i="22"/>
  <c r="D280" i="22"/>
  <c r="E280" i="22"/>
  <c r="F280" i="22"/>
  <c r="G280" i="22"/>
  <c r="H280" i="22"/>
  <c r="J280" i="22"/>
  <c r="K280" i="22"/>
  <c r="L280" i="22"/>
  <c r="M280" i="22"/>
  <c r="N280" i="22"/>
  <c r="P280" i="22"/>
  <c r="A281" i="22"/>
  <c r="B281" i="22"/>
  <c r="C281" i="22"/>
  <c r="D281" i="22"/>
  <c r="E281" i="22"/>
  <c r="F281" i="22"/>
  <c r="G281" i="22"/>
  <c r="H281" i="22"/>
  <c r="J281" i="22"/>
  <c r="K281" i="22"/>
  <c r="L281" i="22"/>
  <c r="M281" i="22"/>
  <c r="N281" i="22"/>
  <c r="P281" i="22"/>
  <c r="A282" i="22"/>
  <c r="B282" i="22"/>
  <c r="C282" i="22"/>
  <c r="D282" i="22"/>
  <c r="E282" i="22"/>
  <c r="F282" i="22"/>
  <c r="G282" i="22"/>
  <c r="H282" i="22"/>
  <c r="J282" i="22"/>
  <c r="K282" i="22"/>
  <c r="L282" i="22"/>
  <c r="M282" i="22"/>
  <c r="N282" i="22"/>
  <c r="P282" i="22"/>
  <c r="A283" i="22"/>
  <c r="B283" i="22"/>
  <c r="C283" i="22"/>
  <c r="D283" i="22"/>
  <c r="E283" i="22"/>
  <c r="F283" i="22"/>
  <c r="G283" i="22"/>
  <c r="H283" i="22"/>
  <c r="J283" i="22"/>
  <c r="K283" i="22"/>
  <c r="L283" i="22"/>
  <c r="M283" i="22"/>
  <c r="N283" i="22"/>
  <c r="P283" i="22"/>
  <c r="A284" i="22"/>
  <c r="B284" i="22"/>
  <c r="C284" i="22"/>
  <c r="D284" i="22"/>
  <c r="E284" i="22"/>
  <c r="F284" i="22"/>
  <c r="G284" i="22"/>
  <c r="H284" i="22"/>
  <c r="J284" i="22"/>
  <c r="K284" i="22"/>
  <c r="L284" i="22"/>
  <c r="M284" i="22"/>
  <c r="N284" i="22"/>
  <c r="P284" i="22"/>
  <c r="A285" i="22"/>
  <c r="B285" i="22"/>
  <c r="C285" i="22"/>
  <c r="D285" i="22"/>
  <c r="E285" i="22"/>
  <c r="F285" i="22"/>
  <c r="G285" i="22"/>
  <c r="H285" i="22"/>
  <c r="J285" i="22"/>
  <c r="K285" i="22"/>
  <c r="L285" i="22"/>
  <c r="M285" i="22"/>
  <c r="N285" i="22"/>
  <c r="P285" i="22"/>
  <c r="A286" i="22"/>
  <c r="B286" i="22"/>
  <c r="C286" i="22"/>
  <c r="D286" i="22"/>
  <c r="E286" i="22"/>
  <c r="F286" i="22"/>
  <c r="G286" i="22"/>
  <c r="H286" i="22"/>
  <c r="J286" i="22"/>
  <c r="K286" i="22"/>
  <c r="L286" i="22"/>
  <c r="M286" i="22"/>
  <c r="N286" i="22"/>
  <c r="P286" i="22"/>
  <c r="A287" i="22"/>
  <c r="B287" i="22"/>
  <c r="C287" i="22"/>
  <c r="D287" i="22"/>
  <c r="E287" i="22"/>
  <c r="F287" i="22"/>
  <c r="G287" i="22"/>
  <c r="H287" i="22"/>
  <c r="J287" i="22"/>
  <c r="K287" i="22"/>
  <c r="L287" i="22"/>
  <c r="M287" i="22"/>
  <c r="N287" i="22"/>
  <c r="P287" i="22"/>
  <c r="A288" i="22"/>
  <c r="B288" i="22"/>
  <c r="C288" i="22"/>
  <c r="D288" i="22"/>
  <c r="E288" i="22"/>
  <c r="F288" i="22"/>
  <c r="G288" i="22"/>
  <c r="H288" i="22"/>
  <c r="J288" i="22"/>
  <c r="K288" i="22"/>
  <c r="L288" i="22"/>
  <c r="M288" i="22"/>
  <c r="N288" i="22"/>
  <c r="P288" i="22"/>
  <c r="A289" i="22"/>
  <c r="B289" i="22"/>
  <c r="C289" i="22"/>
  <c r="D289" i="22"/>
  <c r="E289" i="22"/>
  <c r="F289" i="22"/>
  <c r="G289" i="22"/>
  <c r="H289" i="22"/>
  <c r="J289" i="22"/>
  <c r="K289" i="22"/>
  <c r="L289" i="22"/>
  <c r="M289" i="22"/>
  <c r="N289" i="22"/>
  <c r="P289" i="22"/>
  <c r="J9" i="21"/>
  <c r="K9" i="21"/>
  <c r="L9" i="21"/>
  <c r="N9" i="21"/>
  <c r="O9" i="21"/>
  <c r="P9" i="21"/>
  <c r="Q9" i="21"/>
  <c r="R9" i="21"/>
  <c r="U9" i="21"/>
  <c r="V9" i="21"/>
  <c r="W9" i="21"/>
  <c r="X9" i="21"/>
  <c r="J10" i="21"/>
  <c r="K10" i="21"/>
  <c r="L10" i="21"/>
  <c r="N10" i="21"/>
  <c r="O10" i="21"/>
  <c r="P10" i="21"/>
  <c r="Q10" i="21"/>
  <c r="R10" i="21"/>
  <c r="U10" i="21"/>
  <c r="V10" i="21"/>
  <c r="W10" i="21"/>
  <c r="X10" i="21"/>
  <c r="J11" i="21"/>
  <c r="K11" i="21"/>
  <c r="L11" i="21"/>
  <c r="N11" i="21"/>
  <c r="O11" i="21"/>
  <c r="P11" i="21"/>
  <c r="Q11" i="21"/>
  <c r="R11" i="21"/>
  <c r="U11" i="21"/>
  <c r="V11" i="21"/>
  <c r="W11" i="21"/>
  <c r="X11" i="21"/>
  <c r="J12" i="21"/>
  <c r="K12" i="21"/>
  <c r="L12" i="21"/>
  <c r="N12" i="21"/>
  <c r="O12" i="21"/>
  <c r="P12" i="21"/>
  <c r="Q12" i="21"/>
  <c r="R12" i="21"/>
  <c r="U12" i="21"/>
  <c r="V12" i="21"/>
  <c r="W12" i="21"/>
  <c r="X12" i="21"/>
  <c r="J13" i="21"/>
  <c r="K13" i="21"/>
  <c r="L13" i="21"/>
  <c r="N13" i="21"/>
  <c r="O13" i="21"/>
  <c r="P13" i="21"/>
  <c r="Q13" i="21"/>
  <c r="R13" i="21"/>
  <c r="U13" i="21"/>
  <c r="V13" i="21"/>
  <c r="W13" i="21"/>
  <c r="X13" i="21"/>
  <c r="J14" i="21"/>
  <c r="K14" i="21"/>
  <c r="L14" i="21"/>
  <c r="N14" i="21"/>
  <c r="O14" i="21"/>
  <c r="P14" i="21"/>
  <c r="Q14" i="21"/>
  <c r="R14" i="21"/>
  <c r="U14" i="21"/>
  <c r="V14" i="21"/>
  <c r="W14" i="21"/>
  <c r="X14" i="21"/>
  <c r="J15" i="21"/>
  <c r="K15" i="21"/>
  <c r="L15" i="21"/>
  <c r="N15" i="21"/>
  <c r="O15" i="21"/>
  <c r="P15" i="21"/>
  <c r="Q15" i="21"/>
  <c r="R15" i="21"/>
  <c r="U15" i="21"/>
  <c r="V15" i="21"/>
  <c r="W15" i="21"/>
  <c r="X15" i="21"/>
  <c r="J16" i="21"/>
  <c r="K16" i="21"/>
  <c r="L16" i="21"/>
  <c r="N16" i="21"/>
  <c r="O16" i="21"/>
  <c r="P16" i="21"/>
  <c r="Q16" i="21"/>
  <c r="R16" i="21"/>
  <c r="U16" i="21"/>
  <c r="V16" i="21"/>
  <c r="W16" i="21"/>
  <c r="X16" i="21"/>
  <c r="J17" i="21"/>
  <c r="K17" i="21"/>
  <c r="L17" i="21"/>
  <c r="N17" i="21"/>
  <c r="O17" i="21"/>
  <c r="P17" i="21"/>
  <c r="Q17" i="21"/>
  <c r="R17" i="21"/>
  <c r="U17" i="21"/>
  <c r="V17" i="21"/>
  <c r="W17" i="21"/>
  <c r="X17" i="21"/>
  <c r="J18" i="21"/>
  <c r="K18" i="21"/>
  <c r="L18" i="21"/>
  <c r="N18" i="21"/>
  <c r="O18" i="21"/>
  <c r="P18" i="21"/>
  <c r="Q18" i="21"/>
  <c r="R18" i="21"/>
  <c r="U18" i="21"/>
  <c r="V18" i="21"/>
  <c r="W18" i="21"/>
  <c r="X18" i="21"/>
  <c r="J19" i="21"/>
  <c r="K19" i="21"/>
  <c r="L19" i="21"/>
  <c r="N19" i="21"/>
  <c r="O19" i="21"/>
  <c r="P19" i="21"/>
  <c r="Q19" i="21"/>
  <c r="R19" i="21"/>
  <c r="U19" i="21"/>
  <c r="V19" i="21"/>
  <c r="W19" i="21"/>
  <c r="X19" i="21"/>
  <c r="J20" i="21"/>
  <c r="K20" i="21"/>
  <c r="L20" i="21"/>
  <c r="N20" i="21"/>
  <c r="O20" i="21"/>
  <c r="P20" i="21"/>
  <c r="Q20" i="21"/>
  <c r="R20" i="21"/>
  <c r="U20" i="21"/>
  <c r="V20" i="21"/>
  <c r="W20" i="21"/>
  <c r="X20" i="21"/>
  <c r="J21" i="21"/>
  <c r="K21" i="21"/>
  <c r="L21" i="21"/>
  <c r="N21" i="21"/>
  <c r="O21" i="21"/>
  <c r="P21" i="21"/>
  <c r="Q21" i="21"/>
  <c r="R21" i="21"/>
  <c r="U21" i="21"/>
  <c r="V21" i="21"/>
  <c r="W21" i="21"/>
  <c r="X21" i="21"/>
  <c r="J22" i="21"/>
  <c r="K22" i="21"/>
  <c r="L22" i="21"/>
  <c r="N22" i="21"/>
  <c r="O22" i="21"/>
  <c r="P22" i="21"/>
  <c r="Q22" i="21"/>
  <c r="R22" i="21"/>
  <c r="U22" i="21"/>
  <c r="V22" i="21"/>
  <c r="W22" i="21"/>
  <c r="X22" i="21"/>
  <c r="J23" i="21"/>
  <c r="K23" i="21"/>
  <c r="L23" i="21"/>
  <c r="N23" i="21"/>
  <c r="O23" i="21"/>
  <c r="P23" i="21"/>
  <c r="Q23" i="21"/>
  <c r="R23" i="21"/>
  <c r="U23" i="21"/>
  <c r="V23" i="21"/>
  <c r="W23" i="21"/>
  <c r="X23" i="21"/>
  <c r="J24" i="21"/>
  <c r="K24" i="21"/>
  <c r="L24" i="21"/>
  <c r="N24" i="21"/>
  <c r="O24" i="21"/>
  <c r="P24" i="21"/>
  <c r="Q24" i="21"/>
  <c r="R24" i="21"/>
  <c r="U24" i="21"/>
  <c r="V24" i="21"/>
  <c r="W24" i="21"/>
  <c r="X24" i="21"/>
  <c r="J25" i="21"/>
  <c r="K25" i="21"/>
  <c r="L25" i="21"/>
  <c r="N25" i="21"/>
  <c r="O25" i="21"/>
  <c r="P25" i="21"/>
  <c r="Q25" i="21"/>
  <c r="R25" i="21"/>
  <c r="U25" i="21"/>
  <c r="V25" i="21"/>
  <c r="W25" i="21"/>
  <c r="X25" i="21"/>
  <c r="J26" i="21"/>
  <c r="K26" i="21"/>
  <c r="L26" i="21"/>
  <c r="N26" i="21"/>
  <c r="O26" i="21"/>
  <c r="P26" i="21"/>
  <c r="Q26" i="21"/>
  <c r="R26" i="21"/>
  <c r="U26" i="21"/>
  <c r="V26" i="21"/>
  <c r="W26" i="21"/>
  <c r="X26" i="21"/>
  <c r="J27" i="21"/>
  <c r="K27" i="21"/>
  <c r="L27" i="21"/>
  <c r="N27" i="21"/>
  <c r="O27" i="21"/>
  <c r="P27" i="21"/>
  <c r="Q27" i="21"/>
  <c r="R27" i="21"/>
  <c r="U27" i="21"/>
  <c r="V27" i="21"/>
  <c r="W27" i="21"/>
  <c r="X27" i="21"/>
  <c r="J28" i="21"/>
  <c r="K28" i="21"/>
  <c r="L28" i="21"/>
  <c r="N28" i="21"/>
  <c r="O28" i="21"/>
  <c r="P28" i="21"/>
  <c r="Q28" i="21"/>
  <c r="R28" i="21"/>
  <c r="U28" i="21"/>
  <c r="V28" i="21"/>
  <c r="W28" i="21"/>
  <c r="X28" i="21"/>
  <c r="J29" i="21"/>
  <c r="K29" i="21"/>
  <c r="L29" i="21"/>
  <c r="N29" i="21"/>
  <c r="O29" i="21"/>
  <c r="P29" i="21"/>
  <c r="Q29" i="21"/>
  <c r="R29" i="21"/>
  <c r="U29" i="21"/>
  <c r="V29" i="21"/>
  <c r="W29" i="21"/>
  <c r="X29" i="21"/>
  <c r="J30" i="21"/>
  <c r="K30" i="21"/>
  <c r="L30" i="21"/>
  <c r="N30" i="21"/>
  <c r="O30" i="21"/>
  <c r="P30" i="21"/>
  <c r="Q30" i="21"/>
  <c r="R30" i="21"/>
  <c r="U30" i="21"/>
  <c r="V30" i="21"/>
  <c r="W30" i="21"/>
  <c r="X30" i="21"/>
  <c r="J31" i="21"/>
  <c r="K31" i="21"/>
  <c r="L31" i="21"/>
  <c r="N31" i="21"/>
  <c r="O31" i="21"/>
  <c r="P31" i="21"/>
  <c r="Q31" i="21"/>
  <c r="R31" i="21"/>
  <c r="J32" i="21"/>
  <c r="K32" i="21"/>
  <c r="L32" i="21"/>
  <c r="N32" i="21"/>
  <c r="O32" i="21"/>
  <c r="P32" i="21"/>
  <c r="Q32" i="21"/>
  <c r="R32" i="21"/>
  <c r="J33" i="21"/>
  <c r="K33" i="21"/>
  <c r="L33" i="21"/>
  <c r="N33" i="21"/>
  <c r="O33" i="21"/>
  <c r="P33" i="21"/>
  <c r="Q33" i="21"/>
  <c r="R33" i="21"/>
  <c r="J34" i="21"/>
  <c r="K34" i="21"/>
  <c r="L34" i="21"/>
  <c r="N34" i="21"/>
  <c r="O34" i="21"/>
  <c r="P34" i="21"/>
  <c r="Q34" i="21"/>
  <c r="R34" i="21"/>
  <c r="J35" i="21"/>
  <c r="K35" i="21"/>
  <c r="L35" i="21"/>
  <c r="N35" i="21"/>
  <c r="O35" i="21"/>
  <c r="P35" i="21"/>
  <c r="Q35" i="21"/>
  <c r="R35" i="21"/>
  <c r="J36" i="21"/>
  <c r="K36" i="21"/>
  <c r="L36" i="21"/>
  <c r="N36" i="21"/>
  <c r="O36" i="21"/>
  <c r="P36" i="21"/>
  <c r="Q36" i="21"/>
  <c r="R36" i="21"/>
  <c r="J37" i="21"/>
  <c r="K37" i="21"/>
  <c r="L37" i="21"/>
  <c r="N37" i="21"/>
  <c r="O37" i="21"/>
  <c r="P37" i="21"/>
  <c r="Q37" i="21"/>
  <c r="R37" i="21"/>
  <c r="J38" i="21"/>
  <c r="K38" i="21"/>
  <c r="L38" i="21"/>
  <c r="N38" i="21"/>
  <c r="O38" i="21"/>
  <c r="P38" i="21"/>
  <c r="Q38" i="21"/>
  <c r="R38" i="21"/>
  <c r="J39" i="21"/>
  <c r="K39" i="21"/>
  <c r="L39" i="21"/>
  <c r="N39" i="21"/>
  <c r="O39" i="21"/>
  <c r="P39" i="21"/>
  <c r="Q39" i="21"/>
  <c r="R39" i="21"/>
  <c r="J40" i="21"/>
  <c r="K40" i="21"/>
  <c r="L40" i="21"/>
  <c r="N40" i="21"/>
  <c r="O40" i="21"/>
  <c r="P40" i="21"/>
  <c r="Q40" i="21"/>
  <c r="R40" i="21"/>
  <c r="J41" i="21"/>
  <c r="K41" i="21"/>
  <c r="L41" i="21"/>
  <c r="N41" i="21"/>
  <c r="O41" i="21"/>
  <c r="P41" i="21"/>
  <c r="Q41" i="21"/>
  <c r="R41" i="21"/>
  <c r="J42" i="21"/>
  <c r="K42" i="21"/>
  <c r="L42" i="21"/>
  <c r="N42" i="21"/>
  <c r="O42" i="21"/>
  <c r="P42" i="21"/>
  <c r="Q42" i="21"/>
  <c r="R42" i="21"/>
  <c r="J43" i="21"/>
  <c r="K43" i="21"/>
  <c r="L43" i="21"/>
  <c r="N43" i="21"/>
  <c r="O43" i="21"/>
  <c r="P43" i="21"/>
  <c r="Q43" i="21"/>
  <c r="R43" i="21"/>
  <c r="J44" i="21"/>
  <c r="K44" i="21"/>
  <c r="L44" i="21"/>
  <c r="N44" i="21"/>
  <c r="O44" i="21"/>
  <c r="P44" i="21"/>
  <c r="Q44" i="21"/>
  <c r="R44" i="21"/>
  <c r="J45" i="21"/>
  <c r="K45" i="21"/>
  <c r="L45" i="21"/>
  <c r="N45" i="21"/>
  <c r="O45" i="21"/>
  <c r="P45" i="21"/>
  <c r="Q45" i="21"/>
  <c r="R45" i="21"/>
  <c r="J46" i="21"/>
  <c r="K46" i="21"/>
  <c r="L46" i="21"/>
  <c r="N46" i="21"/>
  <c r="O46" i="21"/>
  <c r="P46" i="21"/>
  <c r="Q46" i="21"/>
  <c r="R46" i="21"/>
  <c r="J47" i="21"/>
  <c r="K47" i="21"/>
  <c r="L47" i="21"/>
  <c r="N47" i="21"/>
  <c r="O47" i="21"/>
  <c r="P47" i="21"/>
  <c r="Q47" i="21"/>
  <c r="R47" i="21"/>
  <c r="J48" i="21"/>
  <c r="K48" i="21"/>
  <c r="L48" i="21"/>
  <c r="N48" i="21"/>
  <c r="O48" i="21"/>
  <c r="P48" i="21"/>
  <c r="Q48" i="21"/>
  <c r="R48" i="21"/>
  <c r="J49" i="21"/>
  <c r="K49" i="21"/>
  <c r="L49" i="21"/>
  <c r="N49" i="21"/>
  <c r="O49" i="21"/>
  <c r="P49" i="21"/>
  <c r="Q49" i="21"/>
  <c r="R49" i="21"/>
  <c r="J50" i="21"/>
  <c r="K50" i="21"/>
  <c r="L50" i="21"/>
  <c r="N50" i="21"/>
  <c r="O50" i="21"/>
  <c r="P50" i="21"/>
  <c r="Q50" i="21"/>
  <c r="R50" i="21"/>
  <c r="J51" i="21"/>
  <c r="K51" i="21"/>
  <c r="L51" i="21"/>
  <c r="N51" i="21"/>
  <c r="O51" i="21"/>
  <c r="P51" i="21"/>
  <c r="Q51" i="21"/>
  <c r="R51" i="21"/>
  <c r="J52" i="21"/>
  <c r="K52" i="21"/>
  <c r="L52" i="21"/>
  <c r="N52" i="21"/>
  <c r="O52" i="21"/>
  <c r="P52" i="21"/>
  <c r="Q52" i="21"/>
  <c r="R52" i="21"/>
  <c r="J53" i="21"/>
  <c r="K53" i="21"/>
  <c r="L53" i="21"/>
  <c r="N53" i="21"/>
  <c r="O53" i="21"/>
  <c r="P53" i="21"/>
  <c r="Q53" i="21"/>
  <c r="R53" i="21"/>
  <c r="J54" i="21"/>
  <c r="K54" i="21"/>
  <c r="L54" i="21"/>
  <c r="N54" i="21"/>
  <c r="O54" i="21"/>
  <c r="P54" i="21"/>
  <c r="Q54" i="21"/>
  <c r="R54" i="21"/>
  <c r="J55" i="21"/>
  <c r="K55" i="21"/>
  <c r="L55" i="21"/>
  <c r="N55" i="21"/>
  <c r="O55" i="21"/>
  <c r="P55" i="21"/>
  <c r="Q55" i="21"/>
  <c r="R55" i="21"/>
  <c r="J56" i="21"/>
  <c r="K56" i="21"/>
  <c r="L56" i="21"/>
  <c r="N56" i="21"/>
  <c r="O56" i="21"/>
  <c r="P56" i="21"/>
  <c r="Q56" i="21"/>
  <c r="R56" i="21"/>
  <c r="C57" i="21"/>
  <c r="D57" i="21"/>
  <c r="J57" i="21"/>
  <c r="K57" i="21"/>
  <c r="L57" i="21"/>
  <c r="N57" i="21"/>
  <c r="O57" i="21"/>
  <c r="P57" i="21"/>
  <c r="Q57" i="21"/>
  <c r="R57" i="21"/>
  <c r="C58" i="21"/>
  <c r="D58" i="21"/>
  <c r="J58" i="21"/>
  <c r="K58" i="21"/>
  <c r="L58" i="21"/>
  <c r="N58" i="21"/>
  <c r="O58" i="21"/>
  <c r="P58" i="21"/>
  <c r="Q58" i="21"/>
  <c r="R58" i="21"/>
  <c r="C59" i="21"/>
  <c r="D59" i="21"/>
  <c r="J59" i="21"/>
  <c r="K59" i="21"/>
  <c r="L59" i="21"/>
  <c r="N59" i="21"/>
  <c r="O59" i="21"/>
  <c r="P59" i="21"/>
  <c r="Q59" i="21"/>
  <c r="R59" i="21"/>
  <c r="C60" i="21"/>
  <c r="D60" i="21"/>
  <c r="J60" i="21"/>
  <c r="K60" i="21"/>
  <c r="L60" i="21"/>
  <c r="N60" i="21"/>
  <c r="O60" i="21"/>
  <c r="P60" i="21"/>
  <c r="Q60" i="21"/>
  <c r="R60" i="21"/>
  <c r="C61" i="21"/>
  <c r="D61" i="21"/>
  <c r="J61" i="21"/>
  <c r="K61" i="21"/>
  <c r="L61" i="21"/>
  <c r="N61" i="21"/>
  <c r="O61" i="21"/>
  <c r="P61" i="21"/>
  <c r="Q61" i="21"/>
  <c r="R61" i="21"/>
  <c r="C62" i="21"/>
  <c r="D62" i="21"/>
  <c r="J62" i="21"/>
  <c r="K62" i="21"/>
  <c r="L62" i="21"/>
  <c r="N62" i="21"/>
  <c r="O62" i="21"/>
  <c r="P62" i="21"/>
  <c r="Q62" i="21"/>
  <c r="R62" i="21"/>
  <c r="C63" i="21"/>
  <c r="D63" i="21"/>
  <c r="J63" i="21"/>
  <c r="K63" i="21"/>
  <c r="L63" i="21"/>
  <c r="N63" i="21"/>
  <c r="O63" i="21"/>
  <c r="P63" i="21"/>
  <c r="Q63" i="21"/>
  <c r="R63" i="21"/>
  <c r="C64" i="21"/>
  <c r="D64" i="21"/>
  <c r="J64" i="21"/>
  <c r="K64" i="21"/>
  <c r="L64" i="21"/>
  <c r="N64" i="21"/>
  <c r="O64" i="21"/>
  <c r="P64" i="21"/>
  <c r="Q64" i="21"/>
  <c r="R64" i="21"/>
  <c r="C65" i="21"/>
  <c r="D65" i="21"/>
  <c r="J65" i="21"/>
  <c r="K65" i="21"/>
  <c r="L65" i="21"/>
  <c r="N65" i="21"/>
  <c r="O65" i="21"/>
  <c r="P65" i="21"/>
  <c r="Q65" i="21"/>
  <c r="R65" i="21"/>
  <c r="C66" i="21"/>
  <c r="D66" i="21"/>
  <c r="J66" i="21"/>
  <c r="K66" i="21"/>
  <c r="L66" i="21"/>
  <c r="N66" i="21"/>
  <c r="O66" i="21"/>
  <c r="P66" i="21"/>
  <c r="Q66" i="21"/>
  <c r="R66" i="21"/>
  <c r="C67" i="21"/>
  <c r="D67" i="21"/>
  <c r="J67" i="21"/>
  <c r="K67" i="21"/>
  <c r="L67" i="21"/>
  <c r="N67" i="21"/>
  <c r="O67" i="21"/>
  <c r="P67" i="21"/>
  <c r="Q67" i="21"/>
  <c r="R67" i="21"/>
  <c r="C68" i="21"/>
  <c r="D68" i="21"/>
  <c r="J68" i="21"/>
  <c r="K68" i="21"/>
  <c r="L68" i="21"/>
  <c r="N68" i="21"/>
  <c r="O68" i="21"/>
  <c r="P68" i="21"/>
  <c r="Q68" i="21"/>
  <c r="R68" i="21"/>
  <c r="C69" i="21"/>
  <c r="D69" i="21"/>
  <c r="J69" i="21"/>
  <c r="K69" i="21"/>
  <c r="L69" i="21"/>
  <c r="N69" i="21"/>
  <c r="O69" i="21"/>
  <c r="P69" i="21"/>
  <c r="Q69" i="21"/>
  <c r="R69" i="21"/>
  <c r="C70" i="21"/>
  <c r="D70" i="21"/>
  <c r="J70" i="21"/>
  <c r="K70" i="21"/>
  <c r="L70" i="21"/>
  <c r="N70" i="21"/>
  <c r="O70" i="21"/>
  <c r="P70" i="21"/>
  <c r="Q70" i="21"/>
  <c r="R70" i="21"/>
  <c r="C71" i="21"/>
  <c r="D71" i="21"/>
  <c r="J71" i="21"/>
  <c r="K71" i="21"/>
  <c r="L71" i="21"/>
  <c r="N71" i="21"/>
  <c r="O71" i="21"/>
  <c r="P71" i="21"/>
  <c r="Q71" i="21"/>
  <c r="R71" i="21"/>
  <c r="C72" i="21"/>
  <c r="D72" i="21"/>
  <c r="J72" i="21"/>
  <c r="K72" i="21"/>
  <c r="L72" i="21"/>
  <c r="N72" i="21"/>
  <c r="O72" i="21"/>
  <c r="P72" i="21"/>
  <c r="Q72" i="21"/>
  <c r="R72" i="21"/>
  <c r="C73" i="21"/>
  <c r="D73" i="21"/>
  <c r="J73" i="21"/>
  <c r="K73" i="21"/>
  <c r="L73" i="21"/>
  <c r="N73" i="21"/>
  <c r="O73" i="21"/>
  <c r="P73" i="21"/>
  <c r="Q73" i="21"/>
  <c r="R73" i="21"/>
  <c r="C74" i="21"/>
  <c r="D74" i="21"/>
  <c r="J74" i="21"/>
  <c r="K74" i="21"/>
  <c r="L74" i="21"/>
  <c r="N74" i="21"/>
  <c r="O74" i="21"/>
  <c r="P74" i="21"/>
  <c r="Q74" i="21"/>
  <c r="R74" i="21"/>
  <c r="C75" i="21"/>
  <c r="D75" i="21"/>
  <c r="J75" i="21"/>
  <c r="K75" i="21"/>
  <c r="L75" i="21"/>
  <c r="N75" i="21"/>
  <c r="O75" i="21"/>
  <c r="P75" i="21"/>
  <c r="Q75" i="21"/>
  <c r="R75" i="21"/>
  <c r="C76" i="21"/>
  <c r="D76" i="21"/>
  <c r="J76" i="21"/>
  <c r="K76" i="21"/>
  <c r="L76" i="21"/>
  <c r="N76" i="21"/>
  <c r="O76" i="21"/>
  <c r="P76" i="21"/>
  <c r="Q76" i="21"/>
  <c r="R76" i="21"/>
  <c r="C77" i="21"/>
  <c r="D77" i="21"/>
  <c r="J77" i="21"/>
  <c r="K77" i="21"/>
  <c r="L77" i="21"/>
  <c r="N77" i="21"/>
  <c r="O77" i="21"/>
  <c r="P77" i="21"/>
  <c r="Q77" i="21"/>
  <c r="R77" i="21"/>
  <c r="C78" i="21"/>
  <c r="D78" i="21"/>
  <c r="J78" i="21"/>
  <c r="K78" i="21"/>
  <c r="L78" i="21"/>
  <c r="N78" i="21"/>
  <c r="O78" i="21"/>
  <c r="P78" i="21"/>
  <c r="Q78" i="21"/>
  <c r="R78" i="21"/>
  <c r="C79" i="21"/>
  <c r="D79" i="21"/>
  <c r="J79" i="21"/>
  <c r="K79" i="21"/>
  <c r="L79" i="21"/>
  <c r="N79" i="21"/>
  <c r="O79" i="21"/>
  <c r="P79" i="21"/>
  <c r="Q79" i="21"/>
  <c r="R79" i="21"/>
  <c r="C80" i="21"/>
  <c r="D80" i="21"/>
  <c r="J80" i="21"/>
  <c r="K80" i="21"/>
  <c r="L80" i="21"/>
  <c r="N80" i="21"/>
  <c r="O80" i="21"/>
  <c r="P80" i="21"/>
  <c r="Q80" i="21"/>
  <c r="R80" i="21"/>
  <c r="C81" i="21"/>
  <c r="D81" i="21"/>
  <c r="J81" i="21"/>
  <c r="K81" i="21"/>
  <c r="L81" i="21"/>
  <c r="N81" i="21"/>
  <c r="O81" i="21"/>
  <c r="P81" i="21"/>
  <c r="Q81" i="21"/>
  <c r="R81" i="21"/>
  <c r="C82" i="21"/>
  <c r="D82" i="21"/>
  <c r="J82" i="21"/>
  <c r="K82" i="21"/>
  <c r="L82" i="21"/>
  <c r="N82" i="21"/>
  <c r="O82" i="21"/>
  <c r="P82" i="21"/>
  <c r="Q82" i="21"/>
  <c r="R82" i="21"/>
  <c r="C83" i="21"/>
  <c r="D83" i="21"/>
  <c r="J83" i="21"/>
  <c r="K83" i="21"/>
  <c r="L83" i="21"/>
  <c r="N83" i="21"/>
  <c r="O83" i="21"/>
  <c r="P83" i="21"/>
  <c r="Q83" i="21"/>
  <c r="R83" i="21"/>
  <c r="C84" i="21"/>
  <c r="D84" i="21"/>
  <c r="J84" i="21"/>
  <c r="K84" i="21"/>
  <c r="L84" i="21"/>
  <c r="N84" i="21"/>
  <c r="O84" i="21"/>
  <c r="P84" i="21"/>
  <c r="Q84" i="21"/>
  <c r="R84" i="21"/>
  <c r="C85" i="21"/>
  <c r="D85" i="21"/>
  <c r="J85" i="21"/>
  <c r="K85" i="21"/>
  <c r="L85" i="21"/>
  <c r="N85" i="21"/>
  <c r="O85" i="21"/>
  <c r="P85" i="21"/>
  <c r="Q85" i="21"/>
  <c r="R85" i="21"/>
  <c r="C86" i="21"/>
  <c r="D86" i="21"/>
  <c r="J86" i="21"/>
  <c r="K86" i="21"/>
  <c r="L86" i="21"/>
  <c r="N86" i="21"/>
  <c r="O86" i="21"/>
  <c r="P86" i="21"/>
  <c r="Q86" i="21"/>
  <c r="R86" i="21"/>
  <c r="C87" i="21"/>
  <c r="D87" i="21"/>
  <c r="J87" i="21"/>
  <c r="K87" i="21"/>
  <c r="L87" i="21"/>
  <c r="N87" i="21"/>
  <c r="O87" i="21"/>
  <c r="P87" i="21"/>
  <c r="Q87" i="21"/>
  <c r="R87" i="21"/>
  <c r="C88" i="21"/>
  <c r="D88" i="21"/>
  <c r="J88" i="21"/>
  <c r="K88" i="21"/>
  <c r="L88" i="21"/>
  <c r="N88" i="21"/>
  <c r="O88" i="21"/>
  <c r="P88" i="21"/>
  <c r="Q88" i="21"/>
  <c r="R88" i="21"/>
  <c r="C89" i="21"/>
  <c r="D89" i="21"/>
  <c r="J89" i="21"/>
  <c r="K89" i="21"/>
  <c r="L89" i="21"/>
  <c r="N89" i="21"/>
  <c r="O89" i="21"/>
  <c r="P89" i="21"/>
  <c r="Q89" i="21"/>
  <c r="R89" i="21"/>
  <c r="C90" i="21"/>
  <c r="D90" i="21"/>
  <c r="J90" i="21"/>
  <c r="K90" i="21"/>
  <c r="L90" i="21"/>
  <c r="N90" i="21"/>
  <c r="O90" i="21"/>
  <c r="P90" i="21"/>
  <c r="Q90" i="21"/>
  <c r="R90" i="21"/>
  <c r="C91" i="21"/>
  <c r="D91" i="21"/>
  <c r="J91" i="21"/>
  <c r="K91" i="21"/>
  <c r="L91" i="21"/>
  <c r="N91" i="21"/>
  <c r="O91" i="21"/>
  <c r="P91" i="21"/>
  <c r="Q91" i="21"/>
  <c r="R91" i="21"/>
  <c r="C92" i="21"/>
  <c r="D92" i="21"/>
  <c r="J92" i="21"/>
  <c r="K92" i="21"/>
  <c r="L92" i="21"/>
  <c r="N92" i="21"/>
  <c r="O92" i="21"/>
  <c r="P92" i="21"/>
  <c r="Q92" i="21"/>
  <c r="R92" i="21"/>
  <c r="C93" i="21"/>
  <c r="D93" i="21"/>
  <c r="J93" i="21"/>
  <c r="K93" i="21"/>
  <c r="L93" i="21"/>
  <c r="N93" i="21"/>
  <c r="O93" i="21"/>
  <c r="P93" i="21"/>
  <c r="Q93" i="21"/>
  <c r="R93" i="21"/>
  <c r="C94" i="21"/>
  <c r="D94" i="21"/>
  <c r="J94" i="21"/>
  <c r="K94" i="21"/>
  <c r="L94" i="21"/>
  <c r="N94" i="21"/>
  <c r="O94" i="21"/>
  <c r="P94" i="21"/>
  <c r="Q94" i="21"/>
  <c r="R94" i="21"/>
  <c r="C95" i="21"/>
  <c r="D95" i="21"/>
  <c r="J95" i="21"/>
  <c r="K95" i="21"/>
  <c r="L95" i="21"/>
  <c r="N95" i="21"/>
  <c r="O95" i="21"/>
  <c r="P95" i="21"/>
  <c r="Q95" i="21"/>
  <c r="R95" i="21"/>
  <c r="C96" i="21"/>
  <c r="D96" i="21"/>
  <c r="J96" i="21"/>
  <c r="K96" i="21"/>
  <c r="L96" i="21"/>
  <c r="N96" i="21"/>
  <c r="O96" i="21"/>
  <c r="P96" i="21"/>
  <c r="Q96" i="21"/>
  <c r="R96" i="21"/>
  <c r="C97" i="21"/>
  <c r="D97" i="21"/>
  <c r="J97" i="21"/>
  <c r="K97" i="21"/>
  <c r="L97" i="21"/>
  <c r="N97" i="21"/>
  <c r="O97" i="21"/>
  <c r="P97" i="21"/>
  <c r="Q97" i="21"/>
  <c r="R97" i="21"/>
  <c r="C98" i="21"/>
  <c r="D98" i="21"/>
  <c r="J98" i="21"/>
  <c r="K98" i="21"/>
  <c r="L98" i="21"/>
  <c r="N98" i="21"/>
  <c r="O98" i="21"/>
  <c r="P98" i="21"/>
  <c r="Q98" i="21"/>
  <c r="R98" i="21"/>
  <c r="C99" i="21"/>
  <c r="D99" i="21"/>
  <c r="J99" i="21"/>
  <c r="K99" i="21"/>
  <c r="L99" i="21"/>
  <c r="N99" i="21"/>
  <c r="O99" i="21"/>
  <c r="P99" i="21"/>
  <c r="Q99" i="21"/>
  <c r="R99" i="21"/>
  <c r="C100" i="21"/>
  <c r="D100" i="21"/>
  <c r="J100" i="21"/>
  <c r="K100" i="21"/>
  <c r="L100" i="21"/>
  <c r="N100" i="21"/>
  <c r="O100" i="21"/>
  <c r="P100" i="21"/>
  <c r="Q100" i="21"/>
  <c r="R100" i="21"/>
  <c r="C101" i="21"/>
  <c r="D101" i="21"/>
  <c r="J101" i="21"/>
  <c r="K101" i="21"/>
  <c r="L101" i="21"/>
  <c r="N101" i="21"/>
  <c r="O101" i="21"/>
  <c r="P101" i="21"/>
  <c r="Q101" i="21"/>
  <c r="R101" i="21"/>
  <c r="C102" i="21"/>
  <c r="D102" i="21"/>
  <c r="J102" i="21"/>
  <c r="K102" i="21"/>
  <c r="L102" i="21"/>
  <c r="N102" i="21"/>
  <c r="O102" i="21"/>
  <c r="P102" i="21"/>
  <c r="Q102" i="21"/>
  <c r="R102" i="21"/>
  <c r="C103" i="21"/>
  <c r="D103" i="21"/>
  <c r="J103" i="21"/>
  <c r="K103" i="21"/>
  <c r="L103" i="21"/>
  <c r="N103" i="21"/>
  <c r="O103" i="21"/>
  <c r="P103" i="21"/>
  <c r="Q103" i="21"/>
  <c r="R103" i="21"/>
  <c r="C104" i="21"/>
  <c r="D104" i="21"/>
  <c r="J104" i="21"/>
  <c r="K104" i="21"/>
  <c r="L104" i="21"/>
  <c r="N104" i="21"/>
  <c r="O104" i="21"/>
  <c r="P104" i="21"/>
  <c r="Q104" i="21"/>
  <c r="R104" i="21"/>
  <c r="C105" i="21"/>
  <c r="D105" i="21"/>
  <c r="J105" i="21"/>
  <c r="K105" i="21"/>
  <c r="L105" i="21"/>
  <c r="N105" i="21"/>
  <c r="O105" i="21"/>
  <c r="P105" i="21"/>
  <c r="Q105" i="21"/>
  <c r="R105" i="21"/>
  <c r="C106" i="21"/>
  <c r="D106" i="21"/>
  <c r="J106" i="21"/>
  <c r="K106" i="21"/>
  <c r="L106" i="21"/>
  <c r="N106" i="21"/>
  <c r="O106" i="21"/>
  <c r="P106" i="21"/>
  <c r="Q106" i="21"/>
  <c r="R106" i="21"/>
  <c r="C107" i="21"/>
  <c r="D107" i="21"/>
  <c r="J107" i="21"/>
  <c r="K107" i="21"/>
  <c r="L107" i="21"/>
  <c r="N107" i="21"/>
  <c r="O107" i="21"/>
  <c r="P107" i="21"/>
  <c r="Q107" i="21"/>
  <c r="R107" i="21"/>
  <c r="C108" i="21"/>
  <c r="D108" i="21"/>
  <c r="J108" i="21"/>
  <c r="K108" i="21"/>
  <c r="L108" i="21"/>
  <c r="N108" i="21"/>
  <c r="O108" i="21"/>
  <c r="P108" i="21"/>
  <c r="Q108" i="21"/>
  <c r="R108" i="21"/>
  <c r="C109" i="21"/>
  <c r="D109" i="21"/>
  <c r="J109" i="21"/>
  <c r="K109" i="21"/>
  <c r="L109" i="21"/>
  <c r="N109" i="21"/>
  <c r="O109" i="21"/>
  <c r="P109" i="21"/>
  <c r="Q109" i="21"/>
  <c r="R109" i="21"/>
  <c r="C110" i="21"/>
  <c r="D110" i="21"/>
  <c r="J110" i="21"/>
  <c r="K110" i="21"/>
  <c r="L110" i="21"/>
  <c r="N110" i="21"/>
  <c r="O110" i="21"/>
  <c r="P110" i="21"/>
  <c r="Q110" i="21"/>
  <c r="R110" i="21"/>
  <c r="C111" i="21"/>
  <c r="D111" i="21"/>
  <c r="J111" i="21"/>
  <c r="K111" i="21"/>
  <c r="L111" i="21"/>
  <c r="N111" i="21"/>
  <c r="O111" i="21"/>
  <c r="P111" i="21"/>
  <c r="Q111" i="21"/>
  <c r="R111" i="21"/>
  <c r="C112" i="21"/>
  <c r="D112" i="21"/>
  <c r="J112" i="21"/>
  <c r="K112" i="21"/>
  <c r="L112" i="21"/>
  <c r="N112" i="21"/>
  <c r="O112" i="21"/>
  <c r="P112" i="21"/>
  <c r="Q112" i="21"/>
  <c r="R112" i="21"/>
  <c r="C113" i="21"/>
  <c r="D113" i="21"/>
  <c r="J113" i="21"/>
  <c r="K113" i="21"/>
  <c r="L113" i="21"/>
  <c r="N113" i="21"/>
  <c r="O113" i="21"/>
  <c r="P113" i="21"/>
  <c r="Q113" i="21"/>
  <c r="R113" i="21"/>
  <c r="C114" i="21"/>
  <c r="D114" i="21"/>
  <c r="J114" i="21"/>
  <c r="K114" i="21"/>
  <c r="L114" i="21"/>
  <c r="N114" i="21"/>
  <c r="O114" i="21"/>
  <c r="P114" i="21"/>
  <c r="Q114" i="21"/>
  <c r="R114" i="21"/>
  <c r="C115" i="21"/>
  <c r="D115" i="21"/>
  <c r="J115" i="21"/>
  <c r="K115" i="21"/>
  <c r="L115" i="21"/>
  <c r="N115" i="21"/>
  <c r="O115" i="21"/>
  <c r="P115" i="21"/>
  <c r="Q115" i="21"/>
  <c r="R115" i="21"/>
  <c r="C116" i="21"/>
  <c r="D116" i="21"/>
  <c r="J116" i="21"/>
  <c r="K116" i="21"/>
  <c r="L116" i="21"/>
  <c r="N116" i="21"/>
  <c r="O116" i="21"/>
  <c r="P116" i="21"/>
  <c r="Q116" i="21"/>
  <c r="R116" i="21"/>
  <c r="C117" i="21"/>
  <c r="D117" i="21"/>
  <c r="J117" i="21"/>
  <c r="K117" i="21"/>
  <c r="L117" i="21"/>
  <c r="N117" i="21"/>
  <c r="O117" i="21"/>
  <c r="P117" i="21"/>
  <c r="Q117" i="21"/>
  <c r="R117" i="21"/>
  <c r="C118" i="21"/>
  <c r="D118" i="21"/>
  <c r="J118" i="21"/>
  <c r="K118" i="21"/>
  <c r="L118" i="21"/>
  <c r="N118" i="21"/>
  <c r="O118" i="21"/>
  <c r="P118" i="21"/>
  <c r="Q118" i="21"/>
  <c r="R118" i="21"/>
  <c r="C119" i="21"/>
  <c r="D119" i="21"/>
  <c r="J119" i="21"/>
  <c r="K119" i="21"/>
  <c r="L119" i="21"/>
  <c r="N119" i="21"/>
  <c r="O119" i="21"/>
  <c r="P119" i="21"/>
  <c r="Q119" i="21"/>
  <c r="R119" i="21"/>
  <c r="C120" i="21"/>
  <c r="D120" i="21"/>
  <c r="J120" i="21"/>
  <c r="K120" i="21"/>
  <c r="L120" i="21"/>
  <c r="N120" i="21"/>
  <c r="O120" i="21"/>
  <c r="P120" i="21"/>
  <c r="Q120" i="21"/>
  <c r="R120" i="21"/>
  <c r="C121" i="21"/>
  <c r="D121" i="21"/>
  <c r="J121" i="21"/>
  <c r="K121" i="21"/>
  <c r="L121" i="21"/>
  <c r="N121" i="21"/>
  <c r="O121" i="21"/>
  <c r="P121" i="21"/>
  <c r="Q121" i="21"/>
  <c r="R121" i="21"/>
  <c r="C122" i="21"/>
  <c r="D122" i="21"/>
  <c r="J122" i="21"/>
  <c r="K122" i="21"/>
  <c r="L122" i="21"/>
  <c r="N122" i="21"/>
  <c r="O122" i="21"/>
  <c r="P122" i="21"/>
  <c r="Q122" i="21"/>
  <c r="R122" i="21"/>
  <c r="C123" i="21"/>
  <c r="D123" i="21"/>
  <c r="J123" i="21"/>
  <c r="K123" i="21"/>
  <c r="L123" i="21"/>
  <c r="N123" i="21"/>
  <c r="O123" i="21"/>
  <c r="P123" i="21"/>
  <c r="Q123" i="21"/>
  <c r="R123" i="21"/>
  <c r="C124" i="21"/>
  <c r="D124" i="21"/>
  <c r="J124" i="21"/>
  <c r="K124" i="21"/>
  <c r="L124" i="21"/>
  <c r="N124" i="21"/>
  <c r="O124" i="21"/>
  <c r="P124" i="21"/>
  <c r="Q124" i="21"/>
  <c r="R124" i="21"/>
  <c r="C125" i="21"/>
  <c r="D125" i="21"/>
  <c r="J125" i="21"/>
  <c r="K125" i="21"/>
  <c r="L125" i="21"/>
  <c r="N125" i="21"/>
  <c r="O125" i="21"/>
  <c r="P125" i="21"/>
  <c r="Q125" i="21"/>
  <c r="R125" i="21"/>
  <c r="C126" i="21"/>
  <c r="D126" i="21"/>
  <c r="J126" i="21"/>
  <c r="K126" i="21"/>
  <c r="L126" i="21"/>
  <c r="N126" i="21"/>
  <c r="O126" i="21"/>
  <c r="P126" i="21"/>
  <c r="Q126" i="21"/>
  <c r="R126" i="21"/>
  <c r="C127" i="21"/>
  <c r="D127" i="21"/>
  <c r="J127" i="21"/>
  <c r="K127" i="21"/>
  <c r="L127" i="21"/>
  <c r="N127" i="21"/>
  <c r="O127" i="21"/>
  <c r="P127" i="21"/>
  <c r="Q127" i="21"/>
  <c r="R127" i="21"/>
  <c r="C128" i="21"/>
  <c r="D128" i="21"/>
  <c r="J128" i="21"/>
  <c r="K128" i="21"/>
  <c r="L128" i="21"/>
  <c r="N128" i="21"/>
  <c r="O128" i="21"/>
  <c r="P128" i="21"/>
  <c r="Q128" i="21"/>
  <c r="R128" i="21"/>
  <c r="C129" i="21"/>
  <c r="D129" i="21"/>
  <c r="J129" i="21"/>
  <c r="K129" i="21"/>
  <c r="L129" i="21"/>
  <c r="N129" i="21"/>
  <c r="O129" i="21"/>
  <c r="P129" i="21"/>
  <c r="Q129" i="21"/>
  <c r="R129" i="21"/>
  <c r="C130" i="21"/>
  <c r="D130" i="21"/>
  <c r="J130" i="21"/>
  <c r="K130" i="21"/>
  <c r="L130" i="21"/>
  <c r="N130" i="21"/>
  <c r="O130" i="21"/>
  <c r="P130" i="21"/>
  <c r="Q130" i="21"/>
  <c r="R130" i="21"/>
  <c r="C131" i="21"/>
  <c r="D131" i="21"/>
  <c r="J131" i="21"/>
  <c r="K131" i="21"/>
  <c r="L131" i="21"/>
  <c r="N131" i="21"/>
  <c r="O131" i="21"/>
  <c r="P131" i="21"/>
  <c r="Q131" i="21"/>
  <c r="R131" i="21"/>
  <c r="C132" i="21"/>
  <c r="D132" i="21"/>
  <c r="J132" i="21"/>
  <c r="K132" i="21"/>
  <c r="L132" i="21"/>
  <c r="N132" i="21"/>
  <c r="O132" i="21"/>
  <c r="P132" i="21"/>
  <c r="Q132" i="21"/>
  <c r="R132" i="21"/>
  <c r="C133" i="21"/>
  <c r="D133" i="21"/>
  <c r="J133" i="21"/>
  <c r="K133" i="21"/>
  <c r="L133" i="21"/>
  <c r="N133" i="21"/>
  <c r="O133" i="21"/>
  <c r="P133" i="21"/>
  <c r="Q133" i="21"/>
  <c r="R133" i="21"/>
  <c r="C134" i="21"/>
  <c r="D134" i="21"/>
  <c r="J134" i="21"/>
  <c r="K134" i="21"/>
  <c r="L134" i="21"/>
  <c r="N134" i="21"/>
  <c r="O134" i="21"/>
  <c r="P134" i="21"/>
  <c r="Q134" i="21"/>
  <c r="R134" i="21"/>
  <c r="C135" i="21"/>
  <c r="D135" i="21"/>
  <c r="J135" i="21"/>
  <c r="K135" i="21"/>
  <c r="L135" i="21"/>
  <c r="N135" i="21"/>
  <c r="O135" i="21"/>
  <c r="P135" i="21"/>
  <c r="Q135" i="21"/>
  <c r="R135" i="21"/>
  <c r="C136" i="21"/>
  <c r="D136" i="21"/>
  <c r="J136" i="21"/>
  <c r="K136" i="21"/>
  <c r="L136" i="21"/>
  <c r="N136" i="21"/>
  <c r="O136" i="21"/>
  <c r="P136" i="21"/>
  <c r="Q136" i="21"/>
  <c r="R136" i="21"/>
  <c r="C137" i="21"/>
  <c r="D137" i="21"/>
  <c r="J137" i="21"/>
  <c r="K137" i="21"/>
  <c r="L137" i="21"/>
  <c r="N137" i="21"/>
  <c r="O137" i="21"/>
  <c r="P137" i="21"/>
  <c r="Q137" i="21"/>
  <c r="R137" i="21"/>
  <c r="C138" i="21"/>
  <c r="D138" i="21"/>
  <c r="J138" i="21"/>
  <c r="K138" i="21"/>
  <c r="L138" i="21"/>
  <c r="N138" i="21"/>
  <c r="O138" i="21"/>
  <c r="P138" i="21"/>
  <c r="Q138" i="21"/>
  <c r="R138" i="21"/>
  <c r="C139" i="21"/>
  <c r="D139" i="21"/>
  <c r="J139" i="21"/>
  <c r="K139" i="21"/>
  <c r="L139" i="21"/>
  <c r="N139" i="21"/>
  <c r="O139" i="21"/>
  <c r="P139" i="21"/>
  <c r="Q139" i="21"/>
  <c r="R139" i="21"/>
  <c r="C140" i="21"/>
  <c r="D140" i="21"/>
  <c r="J140" i="21"/>
  <c r="K140" i="21"/>
  <c r="L140" i="21"/>
  <c r="N140" i="21"/>
  <c r="O140" i="21"/>
  <c r="P140" i="21"/>
  <c r="Q140" i="21"/>
  <c r="R140" i="21"/>
  <c r="C141" i="21"/>
  <c r="D141" i="21"/>
  <c r="J141" i="21"/>
  <c r="K141" i="21"/>
  <c r="L141" i="21"/>
  <c r="N141" i="21"/>
  <c r="O141" i="21"/>
  <c r="P141" i="21"/>
  <c r="Q141" i="21"/>
  <c r="R141" i="21"/>
  <c r="C142" i="21"/>
  <c r="D142" i="21"/>
  <c r="J142" i="21"/>
  <c r="K142" i="21"/>
  <c r="L142" i="21"/>
  <c r="N142" i="21"/>
  <c r="O142" i="21"/>
  <c r="P142" i="21"/>
  <c r="Q142" i="21"/>
  <c r="R142" i="21"/>
  <c r="C143" i="21"/>
  <c r="D143" i="21"/>
  <c r="J143" i="21"/>
  <c r="K143" i="21"/>
  <c r="L143" i="21"/>
  <c r="N143" i="21"/>
  <c r="O143" i="21"/>
  <c r="P143" i="21"/>
  <c r="Q143" i="21"/>
  <c r="R143" i="21"/>
  <c r="C144" i="21"/>
  <c r="D144" i="21"/>
  <c r="J144" i="21"/>
  <c r="K144" i="21"/>
  <c r="L144" i="21"/>
  <c r="N144" i="21"/>
  <c r="O144" i="21"/>
  <c r="P144" i="21"/>
  <c r="Q144" i="21"/>
  <c r="R144" i="21"/>
  <c r="C145" i="21"/>
  <c r="D145" i="21"/>
  <c r="J145" i="21"/>
  <c r="K145" i="21"/>
  <c r="L145" i="21"/>
  <c r="N145" i="21"/>
  <c r="O145" i="21"/>
  <c r="P145" i="21"/>
  <c r="Q145" i="21"/>
  <c r="R145" i="21"/>
  <c r="C146" i="21"/>
  <c r="D146" i="21"/>
  <c r="J146" i="21"/>
  <c r="K146" i="21"/>
  <c r="L146" i="21"/>
  <c r="N146" i="21"/>
  <c r="O146" i="21"/>
  <c r="P146" i="21"/>
  <c r="Q146" i="21"/>
  <c r="R146" i="21"/>
  <c r="C147" i="21"/>
  <c r="D147" i="21"/>
  <c r="J147" i="21"/>
  <c r="K147" i="21"/>
  <c r="L147" i="21"/>
  <c r="N147" i="21"/>
  <c r="O147" i="21"/>
  <c r="P147" i="21"/>
  <c r="Q147" i="21"/>
  <c r="R147" i="21"/>
  <c r="C148" i="21"/>
  <c r="D148" i="21"/>
  <c r="J148" i="21"/>
  <c r="K148" i="21"/>
  <c r="L148" i="21"/>
  <c r="N148" i="21"/>
  <c r="O148" i="21"/>
  <c r="P148" i="21"/>
  <c r="Q148" i="21"/>
  <c r="R148" i="21"/>
  <c r="C149" i="21"/>
  <c r="D149" i="21"/>
  <c r="J149" i="21"/>
  <c r="K149" i="21"/>
  <c r="L149" i="21"/>
  <c r="N149" i="21"/>
  <c r="O149" i="21"/>
  <c r="P149" i="21"/>
  <c r="Q149" i="21"/>
  <c r="R149" i="21"/>
  <c r="C150" i="21"/>
  <c r="D150" i="21"/>
  <c r="J150" i="21"/>
  <c r="K150" i="21"/>
  <c r="L150" i="21"/>
  <c r="N150" i="21"/>
  <c r="O150" i="21"/>
  <c r="P150" i="21"/>
  <c r="Q150" i="21"/>
  <c r="R150" i="21"/>
  <c r="C151" i="21"/>
  <c r="D151" i="21"/>
  <c r="J151" i="21"/>
  <c r="K151" i="21"/>
  <c r="L151" i="21"/>
  <c r="N151" i="21"/>
  <c r="O151" i="21"/>
  <c r="P151" i="21"/>
  <c r="Q151" i="21"/>
  <c r="R151" i="21"/>
  <c r="C152" i="21"/>
  <c r="D152" i="21"/>
  <c r="J152" i="21"/>
  <c r="K152" i="21"/>
  <c r="L152" i="21"/>
  <c r="N152" i="21"/>
  <c r="O152" i="21"/>
  <c r="P152" i="21"/>
  <c r="Q152" i="21"/>
  <c r="R152" i="21"/>
  <c r="C153" i="21"/>
  <c r="D153" i="21"/>
  <c r="J153" i="21"/>
  <c r="K153" i="21"/>
  <c r="L153" i="21"/>
  <c r="N153" i="21"/>
  <c r="O153" i="21"/>
  <c r="P153" i="21"/>
  <c r="Q153" i="21"/>
  <c r="R153" i="21"/>
  <c r="C154" i="21"/>
  <c r="D154" i="21"/>
  <c r="J154" i="21"/>
  <c r="K154" i="21"/>
  <c r="L154" i="21"/>
  <c r="N154" i="21"/>
  <c r="O154" i="21"/>
  <c r="P154" i="21"/>
  <c r="Q154" i="21"/>
  <c r="R154" i="21"/>
  <c r="C155" i="21"/>
  <c r="D155" i="21"/>
  <c r="J155" i="21"/>
  <c r="K155" i="21"/>
  <c r="L155" i="21"/>
  <c r="N155" i="21"/>
  <c r="O155" i="21"/>
  <c r="P155" i="21"/>
  <c r="Q155" i="21"/>
  <c r="R155" i="21"/>
  <c r="C156" i="21"/>
  <c r="D156" i="21"/>
  <c r="J156" i="21"/>
  <c r="K156" i="21"/>
  <c r="L156" i="21"/>
  <c r="N156" i="21"/>
  <c r="O156" i="21"/>
  <c r="P156" i="21"/>
  <c r="Q156" i="21"/>
  <c r="R156" i="21"/>
  <c r="C157" i="21"/>
  <c r="D157" i="21"/>
  <c r="J157" i="21"/>
  <c r="K157" i="21"/>
  <c r="L157" i="21"/>
  <c r="N157" i="21"/>
  <c r="O157" i="21"/>
  <c r="P157" i="21"/>
  <c r="Q157" i="21"/>
  <c r="R157" i="21"/>
  <c r="C158" i="21"/>
  <c r="D158" i="21"/>
  <c r="J158" i="21"/>
  <c r="K158" i="21"/>
  <c r="L158" i="21"/>
  <c r="N158" i="21"/>
  <c r="O158" i="21"/>
  <c r="P158" i="21"/>
  <c r="Q158" i="21"/>
  <c r="R158" i="21"/>
  <c r="C159" i="21"/>
  <c r="D159" i="21"/>
  <c r="J159" i="21"/>
  <c r="K159" i="21"/>
  <c r="L159" i="21"/>
  <c r="N159" i="21"/>
  <c r="O159" i="21"/>
  <c r="P159" i="21"/>
  <c r="Q159" i="21"/>
  <c r="R159" i="21"/>
  <c r="C160" i="21"/>
  <c r="D160" i="21"/>
  <c r="J160" i="21"/>
  <c r="K160" i="21"/>
  <c r="L160" i="21"/>
  <c r="N160" i="21"/>
  <c r="O160" i="21"/>
  <c r="P160" i="21"/>
  <c r="Q160" i="21"/>
  <c r="R160" i="21"/>
  <c r="C161" i="21"/>
  <c r="D161" i="21"/>
  <c r="J161" i="21"/>
  <c r="K161" i="21"/>
  <c r="L161" i="21"/>
  <c r="N161" i="21"/>
  <c r="O161" i="21"/>
  <c r="P161" i="21"/>
  <c r="Q161" i="21"/>
  <c r="R161" i="21"/>
  <c r="C162" i="21"/>
  <c r="D162" i="21"/>
  <c r="J162" i="21"/>
  <c r="K162" i="21"/>
  <c r="L162" i="21"/>
  <c r="N162" i="21"/>
  <c r="O162" i="21"/>
  <c r="P162" i="21"/>
  <c r="Q162" i="21"/>
  <c r="R162" i="21"/>
  <c r="C163" i="21"/>
  <c r="D163" i="21"/>
  <c r="J163" i="21"/>
  <c r="K163" i="21"/>
  <c r="L163" i="21"/>
  <c r="N163" i="21"/>
  <c r="O163" i="21"/>
  <c r="P163" i="21"/>
  <c r="Q163" i="21"/>
  <c r="R163" i="21"/>
  <c r="C164" i="21"/>
  <c r="D164" i="21"/>
  <c r="J164" i="21"/>
  <c r="K164" i="21"/>
  <c r="L164" i="21"/>
  <c r="N164" i="21"/>
  <c r="O164" i="21"/>
  <c r="P164" i="21"/>
  <c r="Q164" i="21"/>
  <c r="R164" i="21"/>
  <c r="C165" i="21"/>
  <c r="D165" i="21"/>
  <c r="J165" i="21"/>
  <c r="K165" i="21"/>
  <c r="L165" i="21"/>
  <c r="N165" i="21"/>
  <c r="O165" i="21"/>
  <c r="P165" i="21"/>
  <c r="Q165" i="21"/>
  <c r="R165" i="21"/>
  <c r="C166" i="21"/>
  <c r="D166" i="21"/>
  <c r="J166" i="21"/>
  <c r="K166" i="21"/>
  <c r="L166" i="21"/>
  <c r="N166" i="21"/>
  <c r="O166" i="21"/>
  <c r="P166" i="21"/>
  <c r="Q166" i="21"/>
  <c r="R166" i="21"/>
  <c r="C167" i="21"/>
  <c r="D167" i="21"/>
  <c r="J167" i="21"/>
  <c r="K167" i="21"/>
  <c r="L167" i="21"/>
  <c r="N167" i="21"/>
  <c r="O167" i="21"/>
  <c r="P167" i="21"/>
  <c r="Q167" i="21"/>
  <c r="R167" i="21"/>
  <c r="C168" i="21"/>
  <c r="D168" i="21"/>
  <c r="J168" i="21"/>
  <c r="K168" i="21"/>
  <c r="L168" i="21"/>
  <c r="N168" i="21"/>
  <c r="O168" i="21"/>
  <c r="P168" i="21"/>
  <c r="Q168" i="21"/>
  <c r="R168" i="21"/>
  <c r="C169" i="21"/>
  <c r="D169" i="21"/>
  <c r="J169" i="21"/>
  <c r="K169" i="21"/>
  <c r="L169" i="21"/>
  <c r="N169" i="21"/>
  <c r="O169" i="21"/>
  <c r="P169" i="21"/>
  <c r="Q169" i="21"/>
  <c r="R169" i="21"/>
  <c r="C170" i="21"/>
  <c r="D170" i="21"/>
  <c r="J170" i="21"/>
  <c r="K170" i="21"/>
  <c r="L170" i="21"/>
  <c r="N170" i="21"/>
  <c r="O170" i="21"/>
  <c r="P170" i="21"/>
  <c r="Q170" i="21"/>
  <c r="R170" i="21"/>
  <c r="C171" i="21"/>
  <c r="D171" i="21"/>
  <c r="J171" i="21"/>
  <c r="K171" i="21"/>
  <c r="L171" i="21"/>
  <c r="N171" i="21"/>
  <c r="O171" i="21"/>
  <c r="P171" i="21"/>
  <c r="Q171" i="21"/>
  <c r="R171" i="21"/>
  <c r="C172" i="21"/>
  <c r="D172" i="21"/>
  <c r="J172" i="21"/>
  <c r="K172" i="21"/>
  <c r="L172" i="21"/>
  <c r="N172" i="21"/>
  <c r="O172" i="21"/>
  <c r="P172" i="21"/>
  <c r="Q172" i="21"/>
  <c r="R172" i="21"/>
  <c r="C173" i="21"/>
  <c r="D173" i="21"/>
  <c r="J173" i="21"/>
  <c r="K173" i="21"/>
  <c r="L173" i="21"/>
  <c r="N173" i="21"/>
  <c r="O173" i="21"/>
  <c r="P173" i="21"/>
  <c r="Q173" i="21"/>
  <c r="R173" i="21"/>
  <c r="C174" i="21"/>
  <c r="D174" i="21"/>
  <c r="J174" i="21"/>
  <c r="K174" i="21"/>
  <c r="L174" i="21"/>
  <c r="N174" i="21"/>
  <c r="O174" i="21"/>
  <c r="P174" i="21"/>
  <c r="Q174" i="21"/>
  <c r="R174" i="21"/>
  <c r="C175" i="21"/>
  <c r="D175" i="21"/>
  <c r="J175" i="21"/>
  <c r="K175" i="21"/>
  <c r="L175" i="21"/>
  <c r="N175" i="21"/>
  <c r="O175" i="21"/>
  <c r="P175" i="21"/>
  <c r="Q175" i="21"/>
  <c r="R175" i="21"/>
  <c r="C176" i="21"/>
  <c r="D176" i="21"/>
  <c r="J176" i="21"/>
  <c r="K176" i="21"/>
  <c r="L176" i="21"/>
  <c r="N176" i="21"/>
  <c r="O176" i="21"/>
  <c r="P176" i="21"/>
  <c r="Q176" i="21"/>
  <c r="R176" i="21"/>
  <c r="C177" i="21"/>
  <c r="D177" i="21"/>
  <c r="J177" i="21"/>
  <c r="K177" i="21"/>
  <c r="L177" i="21"/>
  <c r="N177" i="21"/>
  <c r="O177" i="21"/>
  <c r="P177" i="21"/>
  <c r="Q177" i="21"/>
  <c r="R177" i="21"/>
  <c r="C178" i="21"/>
  <c r="D178" i="21"/>
  <c r="J178" i="21"/>
  <c r="K178" i="21"/>
  <c r="L178" i="21"/>
  <c r="N178" i="21"/>
  <c r="O178" i="21"/>
  <c r="P178" i="21"/>
  <c r="Q178" i="21"/>
  <c r="R178" i="21"/>
  <c r="C179" i="21"/>
  <c r="D179" i="21"/>
  <c r="J179" i="21"/>
  <c r="K179" i="21"/>
  <c r="L179" i="21"/>
  <c r="N179" i="21"/>
  <c r="O179" i="21"/>
  <c r="P179" i="21"/>
  <c r="Q179" i="21"/>
  <c r="R179" i="21"/>
  <c r="C180" i="21"/>
  <c r="D180" i="21"/>
  <c r="J180" i="21"/>
  <c r="K180" i="21"/>
  <c r="L180" i="21"/>
  <c r="N180" i="21"/>
  <c r="O180" i="21"/>
  <c r="P180" i="21"/>
  <c r="Q180" i="21"/>
  <c r="R180" i="21"/>
  <c r="C181" i="21"/>
  <c r="D181" i="21"/>
  <c r="J181" i="21"/>
  <c r="K181" i="21"/>
  <c r="L181" i="21"/>
  <c r="N181" i="21"/>
  <c r="O181" i="21"/>
  <c r="P181" i="21"/>
  <c r="Q181" i="21"/>
  <c r="R181" i="21"/>
  <c r="C182" i="21"/>
  <c r="D182" i="21"/>
  <c r="J182" i="21"/>
  <c r="K182" i="21"/>
  <c r="L182" i="21"/>
  <c r="N182" i="21"/>
  <c r="O182" i="21"/>
  <c r="P182" i="21"/>
  <c r="Q182" i="21"/>
  <c r="R182" i="21"/>
  <c r="C183" i="21"/>
  <c r="D183" i="21"/>
  <c r="J183" i="21"/>
  <c r="K183" i="21"/>
  <c r="L183" i="21"/>
  <c r="N183" i="21"/>
  <c r="O183" i="21"/>
  <c r="P183" i="21"/>
  <c r="Q183" i="21"/>
  <c r="R183" i="21"/>
  <c r="C184" i="21"/>
  <c r="D184" i="21"/>
  <c r="J184" i="21"/>
  <c r="K184" i="21"/>
  <c r="L184" i="21"/>
  <c r="N184" i="21"/>
  <c r="O184" i="21"/>
  <c r="P184" i="21"/>
  <c r="Q184" i="21"/>
  <c r="R184" i="21"/>
  <c r="C185" i="21"/>
  <c r="D185" i="21"/>
  <c r="J185" i="21"/>
  <c r="K185" i="21"/>
  <c r="L185" i="21"/>
  <c r="N185" i="21"/>
  <c r="O185" i="21"/>
  <c r="P185" i="21"/>
  <c r="Q185" i="21"/>
  <c r="R185" i="21"/>
  <c r="C186" i="21"/>
  <c r="D186" i="21"/>
  <c r="J186" i="21"/>
  <c r="K186" i="21"/>
  <c r="L186" i="21"/>
  <c r="N186" i="21"/>
  <c r="O186" i="21"/>
  <c r="P186" i="21"/>
  <c r="Q186" i="21"/>
  <c r="R186" i="21"/>
  <c r="C187" i="21"/>
  <c r="D187" i="21"/>
  <c r="J187" i="21"/>
  <c r="K187" i="21"/>
  <c r="L187" i="21"/>
  <c r="N187" i="21"/>
  <c r="O187" i="21"/>
  <c r="P187" i="21"/>
  <c r="Q187" i="21"/>
  <c r="R187" i="21"/>
  <c r="C188" i="21"/>
  <c r="D188" i="21"/>
  <c r="J188" i="21"/>
  <c r="K188" i="21"/>
  <c r="L188" i="21"/>
  <c r="N188" i="21"/>
  <c r="O188" i="21"/>
  <c r="P188" i="21"/>
  <c r="Q188" i="21"/>
  <c r="R188" i="21"/>
  <c r="C189" i="21"/>
  <c r="D189" i="21"/>
  <c r="J189" i="21"/>
  <c r="K189" i="21"/>
  <c r="L189" i="21"/>
  <c r="N189" i="21"/>
  <c r="O189" i="21"/>
  <c r="P189" i="21"/>
  <c r="Q189" i="21"/>
  <c r="R189" i="21"/>
  <c r="C190" i="21"/>
  <c r="D190" i="21"/>
  <c r="J190" i="21"/>
  <c r="K190" i="21"/>
  <c r="L190" i="21"/>
  <c r="N190" i="21"/>
  <c r="O190" i="21"/>
  <c r="P190" i="21"/>
  <c r="Q190" i="21"/>
  <c r="R190" i="21"/>
  <c r="C191" i="21"/>
  <c r="D191" i="21"/>
  <c r="J191" i="21"/>
  <c r="K191" i="21"/>
  <c r="L191" i="21"/>
  <c r="N191" i="21"/>
  <c r="O191" i="21"/>
  <c r="P191" i="21"/>
  <c r="Q191" i="21"/>
  <c r="R191" i="21"/>
  <c r="C192" i="21"/>
  <c r="D192" i="21"/>
  <c r="J192" i="21"/>
  <c r="K192" i="21"/>
  <c r="L192" i="21"/>
  <c r="N192" i="21"/>
  <c r="O192" i="21"/>
  <c r="P192" i="21"/>
  <c r="Q192" i="21"/>
  <c r="R192" i="21"/>
  <c r="C193" i="21"/>
  <c r="D193" i="21"/>
  <c r="J193" i="21"/>
  <c r="K193" i="21"/>
  <c r="L193" i="21"/>
  <c r="N193" i="21"/>
  <c r="O193" i="21"/>
  <c r="P193" i="21"/>
  <c r="Q193" i="21"/>
  <c r="R193" i="21"/>
  <c r="C194" i="21"/>
  <c r="D194" i="21"/>
  <c r="J194" i="21"/>
  <c r="K194" i="21"/>
  <c r="L194" i="21"/>
  <c r="N194" i="21"/>
  <c r="O194" i="21"/>
  <c r="P194" i="21"/>
  <c r="Q194" i="21"/>
  <c r="R194" i="21"/>
  <c r="C195" i="21"/>
  <c r="D195" i="21"/>
  <c r="J195" i="21"/>
  <c r="K195" i="21"/>
  <c r="L195" i="21"/>
  <c r="N195" i="21"/>
  <c r="O195" i="21"/>
  <c r="P195" i="21"/>
  <c r="Q195" i="21"/>
  <c r="R195" i="21"/>
  <c r="C196" i="21"/>
  <c r="D196" i="21"/>
  <c r="J196" i="21"/>
  <c r="K196" i="21"/>
  <c r="L196" i="21"/>
  <c r="N196" i="21"/>
  <c r="O196" i="21"/>
  <c r="P196" i="21"/>
  <c r="Q196" i="21"/>
  <c r="R196" i="21"/>
  <c r="C197" i="21"/>
  <c r="D197" i="21"/>
  <c r="J197" i="21"/>
  <c r="K197" i="21"/>
  <c r="L197" i="21"/>
  <c r="N197" i="21"/>
  <c r="O197" i="21"/>
  <c r="P197" i="21"/>
  <c r="Q197" i="21"/>
  <c r="R197" i="21"/>
  <c r="C198" i="21"/>
  <c r="D198" i="21"/>
  <c r="J198" i="21"/>
  <c r="K198" i="21"/>
  <c r="L198" i="21"/>
  <c r="N198" i="21"/>
  <c r="O198" i="21"/>
  <c r="P198" i="21"/>
  <c r="Q198" i="21"/>
  <c r="R198" i="21"/>
  <c r="C199" i="21"/>
  <c r="D199" i="21"/>
  <c r="J199" i="21"/>
  <c r="K199" i="21"/>
  <c r="L199" i="21"/>
  <c r="N199" i="21"/>
  <c r="O199" i="21"/>
  <c r="P199" i="21"/>
  <c r="Q199" i="21"/>
  <c r="R199" i="21"/>
  <c r="C200" i="21"/>
  <c r="D200" i="21"/>
  <c r="J200" i="21"/>
  <c r="K200" i="21"/>
  <c r="L200" i="21"/>
  <c r="N200" i="21"/>
  <c r="O200" i="21"/>
  <c r="P200" i="21"/>
  <c r="Q200" i="21"/>
  <c r="R200" i="21"/>
  <c r="C201" i="21"/>
  <c r="D201" i="21"/>
  <c r="J201" i="21"/>
  <c r="K201" i="21"/>
  <c r="L201" i="21"/>
  <c r="N201" i="21"/>
  <c r="O201" i="21"/>
  <c r="P201" i="21"/>
  <c r="Q201" i="21"/>
  <c r="R201" i="21"/>
  <c r="C202" i="21"/>
  <c r="D202" i="21"/>
  <c r="J202" i="21"/>
  <c r="K202" i="21"/>
  <c r="L202" i="21"/>
  <c r="N202" i="21"/>
  <c r="O202" i="21"/>
  <c r="P202" i="21"/>
  <c r="Q202" i="21"/>
  <c r="R202" i="21"/>
  <c r="C203" i="21"/>
  <c r="D203" i="21"/>
  <c r="J203" i="21"/>
  <c r="K203" i="21"/>
  <c r="L203" i="21"/>
  <c r="N203" i="21"/>
  <c r="O203" i="21"/>
  <c r="P203" i="21"/>
  <c r="Q203" i="21"/>
  <c r="R203" i="21"/>
  <c r="C204" i="21"/>
  <c r="D204" i="21"/>
  <c r="J204" i="21"/>
  <c r="K204" i="21"/>
  <c r="L204" i="21"/>
  <c r="N204" i="21"/>
  <c r="O204" i="21"/>
  <c r="P204" i="21"/>
  <c r="Q204" i="21"/>
  <c r="R204" i="21"/>
  <c r="C205" i="21"/>
  <c r="D205" i="21"/>
  <c r="J205" i="21"/>
  <c r="K205" i="21"/>
  <c r="L205" i="21"/>
  <c r="N205" i="21"/>
  <c r="O205" i="21"/>
  <c r="P205" i="21"/>
  <c r="Q205" i="21"/>
  <c r="R205" i="21"/>
  <c r="C206" i="21"/>
  <c r="D206" i="21"/>
  <c r="J206" i="21"/>
  <c r="K206" i="21"/>
  <c r="L206" i="21"/>
  <c r="N206" i="21"/>
  <c r="O206" i="21"/>
  <c r="P206" i="21"/>
  <c r="Q206" i="21"/>
  <c r="R206" i="21"/>
  <c r="C207" i="21"/>
  <c r="D207" i="21"/>
  <c r="J207" i="21"/>
  <c r="K207" i="21"/>
  <c r="L207" i="21"/>
  <c r="N207" i="21"/>
  <c r="O207" i="21"/>
  <c r="P207" i="21"/>
  <c r="Q207" i="21"/>
  <c r="R207" i="21"/>
  <c r="C208" i="21"/>
  <c r="D208" i="21"/>
  <c r="J208" i="21"/>
  <c r="K208" i="21"/>
  <c r="L208" i="21"/>
  <c r="N208" i="21"/>
  <c r="O208" i="21"/>
  <c r="P208" i="21"/>
  <c r="Q208" i="21"/>
  <c r="R208" i="21"/>
  <c r="C209" i="21"/>
  <c r="D209" i="21"/>
  <c r="J209" i="21"/>
  <c r="K209" i="21"/>
  <c r="L209" i="21"/>
  <c r="N209" i="21"/>
  <c r="O209" i="21"/>
  <c r="P209" i="21"/>
  <c r="Q209" i="21"/>
  <c r="R209" i="21"/>
  <c r="C210" i="21"/>
  <c r="D210" i="21"/>
  <c r="J210" i="21"/>
  <c r="K210" i="21"/>
  <c r="L210" i="21"/>
  <c r="N210" i="21"/>
  <c r="O210" i="21"/>
  <c r="P210" i="21"/>
  <c r="Q210" i="21"/>
  <c r="R210" i="21"/>
  <c r="C211" i="21"/>
  <c r="D211" i="21"/>
  <c r="J211" i="21"/>
  <c r="K211" i="21"/>
  <c r="L211" i="21"/>
  <c r="N211" i="21"/>
  <c r="O211" i="21"/>
  <c r="P211" i="21"/>
  <c r="Q211" i="21"/>
  <c r="R211" i="21"/>
  <c r="C212" i="21"/>
  <c r="D212" i="21"/>
  <c r="J212" i="21"/>
  <c r="K212" i="21"/>
  <c r="L212" i="21"/>
  <c r="N212" i="21"/>
  <c r="O212" i="21"/>
  <c r="P212" i="21"/>
  <c r="Q212" i="21"/>
  <c r="R212" i="21"/>
  <c r="C213" i="21"/>
  <c r="D213" i="21"/>
  <c r="J213" i="21"/>
  <c r="K213" i="21"/>
  <c r="L213" i="21"/>
  <c r="N213" i="21"/>
  <c r="O213" i="21"/>
  <c r="P213" i="21"/>
  <c r="Q213" i="21"/>
  <c r="R213" i="21"/>
  <c r="C214" i="21"/>
  <c r="D214" i="21"/>
  <c r="J214" i="21"/>
  <c r="K214" i="21"/>
  <c r="L214" i="21"/>
  <c r="N214" i="21"/>
  <c r="O214" i="21"/>
  <c r="P214" i="21"/>
  <c r="Q214" i="21"/>
  <c r="R214" i="21"/>
  <c r="C215" i="21"/>
  <c r="D215" i="21"/>
  <c r="J215" i="21"/>
  <c r="K215" i="21"/>
  <c r="L215" i="21"/>
  <c r="N215" i="21"/>
  <c r="O215" i="21"/>
  <c r="P215" i="21"/>
  <c r="Q215" i="21"/>
  <c r="R215" i="21"/>
  <c r="C216" i="21"/>
  <c r="D216" i="21"/>
  <c r="J216" i="21"/>
  <c r="K216" i="21"/>
  <c r="L216" i="21"/>
  <c r="N216" i="21"/>
  <c r="O216" i="21"/>
  <c r="P216" i="21"/>
  <c r="Q216" i="21"/>
  <c r="R216" i="21"/>
  <c r="C217" i="21"/>
  <c r="D217" i="21"/>
  <c r="J217" i="21"/>
  <c r="K217" i="21"/>
  <c r="L217" i="21"/>
  <c r="N217" i="21"/>
  <c r="O217" i="21"/>
  <c r="P217" i="21"/>
  <c r="Q217" i="21"/>
  <c r="R217" i="21"/>
  <c r="C218" i="21"/>
  <c r="D218" i="21"/>
  <c r="J218" i="21"/>
  <c r="K218" i="21"/>
  <c r="L218" i="21"/>
  <c r="N218" i="21"/>
  <c r="O218" i="21"/>
  <c r="P218" i="21"/>
  <c r="Q218" i="21"/>
  <c r="R218" i="21"/>
  <c r="C219" i="21"/>
  <c r="D219" i="21"/>
  <c r="J219" i="21"/>
  <c r="K219" i="21"/>
  <c r="L219" i="21"/>
  <c r="N219" i="21"/>
  <c r="O219" i="21"/>
  <c r="P219" i="21"/>
  <c r="Q219" i="21"/>
  <c r="R219" i="21"/>
  <c r="C220" i="21"/>
  <c r="D220" i="21"/>
  <c r="J220" i="21"/>
  <c r="K220" i="21"/>
  <c r="L220" i="21"/>
  <c r="N220" i="21"/>
  <c r="O220" i="21"/>
  <c r="P220" i="21"/>
  <c r="Q220" i="21"/>
  <c r="R220" i="21"/>
  <c r="C221" i="21"/>
  <c r="D221" i="21"/>
  <c r="J221" i="21"/>
  <c r="K221" i="21"/>
  <c r="L221" i="21"/>
  <c r="N221" i="21"/>
  <c r="O221" i="21"/>
  <c r="P221" i="21"/>
  <c r="Q221" i="21"/>
  <c r="R221" i="21"/>
  <c r="C222" i="21"/>
  <c r="D222" i="21"/>
  <c r="J222" i="21"/>
  <c r="K222" i="21"/>
  <c r="L222" i="21"/>
  <c r="N222" i="21"/>
  <c r="O222" i="21"/>
  <c r="P222" i="21"/>
  <c r="Q222" i="21"/>
  <c r="R222" i="21"/>
  <c r="C223" i="21"/>
  <c r="D223" i="21"/>
  <c r="J223" i="21"/>
  <c r="K223" i="21"/>
  <c r="L223" i="21"/>
  <c r="N223" i="21"/>
  <c r="O223" i="21"/>
  <c r="P223" i="21"/>
  <c r="Q223" i="21"/>
  <c r="R223" i="21"/>
  <c r="C224" i="21"/>
  <c r="D224" i="21"/>
  <c r="J224" i="21"/>
  <c r="K224" i="21"/>
  <c r="L224" i="21"/>
  <c r="N224" i="21"/>
  <c r="O224" i="21"/>
  <c r="P224" i="21"/>
  <c r="Q224" i="21"/>
  <c r="R224" i="21"/>
  <c r="C225" i="21"/>
  <c r="D225" i="21"/>
  <c r="J225" i="21"/>
  <c r="K225" i="21"/>
  <c r="L225" i="21"/>
  <c r="N225" i="21"/>
  <c r="O225" i="21"/>
  <c r="P225" i="21"/>
  <c r="Q225" i="21"/>
  <c r="R225" i="21"/>
  <c r="C226" i="21"/>
  <c r="D226" i="21"/>
  <c r="J226" i="21"/>
  <c r="K226" i="21"/>
  <c r="L226" i="21"/>
  <c r="N226" i="21"/>
  <c r="O226" i="21"/>
  <c r="P226" i="21"/>
  <c r="Q226" i="21"/>
  <c r="R226" i="21"/>
  <c r="C227" i="21"/>
  <c r="D227" i="21"/>
  <c r="J227" i="21"/>
  <c r="K227" i="21"/>
  <c r="L227" i="21"/>
  <c r="N227" i="21"/>
  <c r="O227" i="21"/>
  <c r="P227" i="21"/>
  <c r="Q227" i="21"/>
  <c r="R227" i="21"/>
  <c r="C228" i="21"/>
  <c r="D228" i="21"/>
  <c r="J228" i="21"/>
  <c r="K228" i="21"/>
  <c r="L228" i="21"/>
  <c r="N228" i="21"/>
  <c r="O228" i="21"/>
  <c r="P228" i="21"/>
  <c r="Q228" i="21"/>
  <c r="R228" i="21"/>
  <c r="C229" i="21"/>
  <c r="D229" i="21"/>
  <c r="J229" i="21"/>
  <c r="K229" i="21"/>
  <c r="L229" i="21"/>
  <c r="N229" i="21"/>
  <c r="O229" i="21"/>
  <c r="P229" i="21"/>
  <c r="Q229" i="21"/>
  <c r="R229" i="21"/>
  <c r="C230" i="21"/>
  <c r="D230" i="21"/>
  <c r="J230" i="21"/>
  <c r="K230" i="21"/>
  <c r="L230" i="21"/>
  <c r="N230" i="21"/>
  <c r="O230" i="21"/>
  <c r="P230" i="21"/>
  <c r="Q230" i="21"/>
  <c r="R230" i="21"/>
  <c r="C231" i="21"/>
  <c r="D231" i="21"/>
  <c r="J231" i="21"/>
  <c r="K231" i="21"/>
  <c r="L231" i="21"/>
  <c r="N231" i="21"/>
  <c r="O231" i="21"/>
  <c r="P231" i="21"/>
  <c r="Q231" i="21"/>
  <c r="R231" i="21"/>
  <c r="C232" i="21"/>
  <c r="D232" i="21"/>
  <c r="J232" i="21"/>
  <c r="K232" i="21"/>
  <c r="L232" i="21"/>
  <c r="N232" i="21"/>
  <c r="O232" i="21"/>
  <c r="P232" i="21"/>
  <c r="Q232" i="21"/>
  <c r="R232" i="21"/>
  <c r="C233" i="21"/>
  <c r="D233" i="21"/>
  <c r="J233" i="21"/>
  <c r="K233" i="21"/>
  <c r="L233" i="21"/>
  <c r="N233" i="21"/>
  <c r="O233" i="21"/>
  <c r="P233" i="21"/>
  <c r="Q233" i="21"/>
  <c r="R233" i="21"/>
  <c r="C234" i="21"/>
  <c r="D234" i="21"/>
  <c r="J234" i="21"/>
  <c r="K234" i="21"/>
  <c r="L234" i="21"/>
  <c r="N234" i="21"/>
  <c r="O234" i="21"/>
  <c r="P234" i="21"/>
  <c r="Q234" i="21"/>
  <c r="R234" i="21"/>
  <c r="C235" i="21"/>
  <c r="D235" i="21"/>
  <c r="J235" i="21"/>
  <c r="K235" i="21"/>
  <c r="L235" i="21"/>
  <c r="N235" i="21"/>
  <c r="O235" i="21"/>
  <c r="P235" i="21"/>
  <c r="Q235" i="21"/>
  <c r="R235" i="21"/>
  <c r="C236" i="21"/>
  <c r="D236" i="21"/>
  <c r="J236" i="21"/>
  <c r="K236" i="21"/>
  <c r="L236" i="21"/>
  <c r="N236" i="21"/>
  <c r="O236" i="21"/>
  <c r="P236" i="21"/>
  <c r="Q236" i="21"/>
  <c r="R236" i="21"/>
  <c r="C237" i="21"/>
  <c r="D237" i="21"/>
  <c r="J237" i="21"/>
  <c r="K237" i="21"/>
  <c r="L237" i="21"/>
  <c r="N237" i="21"/>
  <c r="O237" i="21"/>
  <c r="P237" i="21"/>
  <c r="Q237" i="21"/>
  <c r="R237" i="21"/>
  <c r="C238" i="21"/>
  <c r="D238" i="21"/>
  <c r="J238" i="21"/>
  <c r="K238" i="21"/>
  <c r="L238" i="21"/>
  <c r="N238" i="21"/>
  <c r="O238" i="21"/>
  <c r="P238" i="21"/>
  <c r="Q238" i="21"/>
  <c r="R238" i="21"/>
  <c r="C239" i="21"/>
  <c r="D239" i="21"/>
  <c r="J239" i="21"/>
  <c r="K239" i="21"/>
  <c r="L239" i="21"/>
  <c r="N239" i="21"/>
  <c r="O239" i="21"/>
  <c r="P239" i="21"/>
  <c r="Q239" i="21"/>
  <c r="R239" i="21"/>
  <c r="C240" i="21"/>
  <c r="D240" i="21"/>
  <c r="J240" i="21"/>
  <c r="K240" i="21"/>
  <c r="L240" i="21"/>
  <c r="N240" i="21"/>
  <c r="O240" i="21"/>
  <c r="P240" i="21"/>
  <c r="Q240" i="21"/>
  <c r="R240" i="21"/>
  <c r="C241" i="21"/>
  <c r="D241" i="21"/>
  <c r="J241" i="21"/>
  <c r="K241" i="21"/>
  <c r="L241" i="21"/>
  <c r="N241" i="21"/>
  <c r="O241" i="21"/>
  <c r="P241" i="21"/>
  <c r="Q241" i="21"/>
  <c r="R241" i="21"/>
  <c r="C242" i="21"/>
  <c r="D242" i="21"/>
  <c r="J242" i="21"/>
  <c r="K242" i="21"/>
  <c r="L242" i="21"/>
  <c r="N242" i="21"/>
  <c r="O242" i="21"/>
  <c r="P242" i="21"/>
  <c r="Q242" i="21"/>
  <c r="R242" i="21"/>
  <c r="C243" i="21"/>
  <c r="D243" i="21"/>
  <c r="J243" i="21"/>
  <c r="K243" i="21"/>
  <c r="L243" i="21"/>
  <c r="N243" i="21"/>
  <c r="O243" i="21"/>
  <c r="P243" i="21"/>
  <c r="Q243" i="21"/>
  <c r="R243" i="21"/>
  <c r="C244" i="21"/>
  <c r="D244" i="21"/>
  <c r="J244" i="21"/>
  <c r="K244" i="21"/>
  <c r="L244" i="21"/>
  <c r="N244" i="21"/>
  <c r="O244" i="21"/>
  <c r="P244" i="21"/>
  <c r="Q244" i="21"/>
  <c r="R244" i="21"/>
  <c r="C245" i="21"/>
  <c r="D245" i="21"/>
  <c r="J245" i="21"/>
  <c r="K245" i="21"/>
  <c r="L245" i="21"/>
  <c r="N245" i="21"/>
  <c r="O245" i="21"/>
  <c r="P245" i="21"/>
  <c r="Q245" i="21"/>
  <c r="R245" i="21"/>
  <c r="C246" i="21"/>
  <c r="D246" i="21"/>
  <c r="J246" i="21"/>
  <c r="K246" i="21"/>
  <c r="L246" i="21"/>
  <c r="N246" i="21"/>
  <c r="O246" i="21"/>
  <c r="P246" i="21"/>
  <c r="Q246" i="21"/>
  <c r="R246" i="21"/>
  <c r="C247" i="21"/>
  <c r="D247" i="21"/>
  <c r="J247" i="21"/>
  <c r="K247" i="21"/>
  <c r="L247" i="21"/>
  <c r="N247" i="21"/>
  <c r="O247" i="21"/>
  <c r="P247" i="21"/>
  <c r="Q247" i="21"/>
  <c r="R247" i="21"/>
  <c r="C248" i="21"/>
  <c r="D248" i="21"/>
  <c r="J248" i="21"/>
  <c r="K248" i="21"/>
  <c r="L248" i="21"/>
  <c r="N248" i="21"/>
  <c r="O248" i="21"/>
  <c r="P248" i="21"/>
  <c r="Q248" i="21"/>
  <c r="R248" i="21"/>
  <c r="C249" i="21"/>
  <c r="D249" i="21"/>
  <c r="J249" i="21"/>
  <c r="K249" i="21"/>
  <c r="L249" i="21"/>
  <c r="N249" i="21"/>
  <c r="O249" i="21"/>
  <c r="P249" i="21"/>
  <c r="Q249" i="21"/>
  <c r="R249" i="21"/>
  <c r="C250" i="21"/>
  <c r="D250" i="21"/>
  <c r="J250" i="21"/>
  <c r="K250" i="21"/>
  <c r="L250" i="21"/>
  <c r="N250" i="21"/>
  <c r="O250" i="21"/>
  <c r="P250" i="21"/>
  <c r="Q250" i="21"/>
  <c r="R250" i="21"/>
  <c r="C251" i="21"/>
  <c r="D251" i="21"/>
  <c r="J251" i="21"/>
  <c r="K251" i="21"/>
  <c r="L251" i="21"/>
  <c r="N251" i="21"/>
  <c r="O251" i="21"/>
  <c r="P251" i="21"/>
  <c r="Q251" i="21"/>
  <c r="R251" i="21"/>
  <c r="C252" i="21"/>
  <c r="D252" i="21"/>
  <c r="J252" i="21"/>
  <c r="K252" i="21"/>
  <c r="L252" i="21"/>
  <c r="N252" i="21"/>
  <c r="O252" i="21"/>
  <c r="P252" i="21"/>
  <c r="Q252" i="21"/>
  <c r="R252" i="21"/>
  <c r="C253" i="21"/>
  <c r="D253" i="21"/>
  <c r="J253" i="21"/>
  <c r="K253" i="21"/>
  <c r="L253" i="21"/>
  <c r="N253" i="21"/>
  <c r="O253" i="21"/>
  <c r="P253" i="21"/>
  <c r="Q253" i="21"/>
  <c r="R253" i="21"/>
  <c r="C254" i="21"/>
  <c r="D254" i="21"/>
  <c r="J254" i="21"/>
  <c r="K254" i="21"/>
  <c r="L254" i="21"/>
  <c r="N254" i="21"/>
  <c r="O254" i="21"/>
  <c r="P254" i="21"/>
  <c r="Q254" i="21"/>
  <c r="R254" i="21"/>
  <c r="C255" i="21"/>
  <c r="D255" i="21"/>
  <c r="J255" i="21"/>
  <c r="K255" i="21"/>
  <c r="L255" i="21"/>
  <c r="N255" i="21"/>
  <c r="O255" i="21"/>
  <c r="P255" i="21"/>
  <c r="Q255" i="21"/>
  <c r="R255" i="21"/>
  <c r="C256" i="21"/>
  <c r="D256" i="21"/>
  <c r="J256" i="21"/>
  <c r="K256" i="21"/>
  <c r="L256" i="21"/>
  <c r="N256" i="21"/>
  <c r="O256" i="21"/>
  <c r="P256" i="21"/>
  <c r="Q256" i="21"/>
  <c r="R256" i="21"/>
  <c r="C257" i="21"/>
  <c r="D257" i="21"/>
  <c r="J257" i="21"/>
  <c r="K257" i="21"/>
  <c r="L257" i="21"/>
  <c r="N257" i="21"/>
  <c r="O257" i="21"/>
  <c r="P257" i="21"/>
  <c r="Q257" i="21"/>
  <c r="R257" i="21"/>
  <c r="C258" i="21"/>
  <c r="D258" i="21"/>
  <c r="J258" i="21"/>
  <c r="K258" i="21"/>
  <c r="L258" i="21"/>
  <c r="N258" i="21"/>
  <c r="O258" i="21"/>
  <c r="P258" i="21"/>
  <c r="Q258" i="21"/>
  <c r="R258" i="21"/>
  <c r="C259" i="21"/>
  <c r="D259" i="21"/>
  <c r="J259" i="21"/>
  <c r="K259" i="21"/>
  <c r="L259" i="21"/>
  <c r="N259" i="21"/>
  <c r="O259" i="21"/>
  <c r="P259" i="21"/>
  <c r="Q259" i="21"/>
  <c r="R259" i="21"/>
  <c r="C260" i="21"/>
  <c r="D260" i="21"/>
  <c r="J260" i="21"/>
  <c r="K260" i="21"/>
  <c r="L260" i="21"/>
  <c r="N260" i="21"/>
  <c r="O260" i="21"/>
  <c r="P260" i="21"/>
  <c r="Q260" i="21"/>
  <c r="R260" i="21"/>
  <c r="C261" i="21"/>
  <c r="D261" i="21"/>
  <c r="J261" i="21"/>
  <c r="K261" i="21"/>
  <c r="L261" i="21"/>
  <c r="N261" i="21"/>
  <c r="O261" i="21"/>
  <c r="P261" i="21"/>
  <c r="Q261" i="21"/>
  <c r="R261" i="21"/>
  <c r="C262" i="21"/>
  <c r="D262" i="21"/>
  <c r="J262" i="21"/>
  <c r="K262" i="21"/>
  <c r="L262" i="21"/>
  <c r="N262" i="21"/>
  <c r="O262" i="21"/>
  <c r="P262" i="21"/>
  <c r="Q262" i="21"/>
  <c r="R262" i="21"/>
  <c r="C263" i="21"/>
  <c r="D263" i="21"/>
  <c r="J263" i="21"/>
  <c r="K263" i="21"/>
  <c r="L263" i="21"/>
  <c r="N263" i="21"/>
  <c r="O263" i="21"/>
  <c r="P263" i="21"/>
  <c r="Q263" i="21"/>
  <c r="R263" i="21"/>
  <c r="C264" i="21"/>
  <c r="D264" i="21"/>
  <c r="J264" i="21"/>
  <c r="K264" i="21"/>
  <c r="L264" i="21"/>
  <c r="N264" i="21"/>
  <c r="O264" i="21"/>
  <c r="P264" i="21"/>
  <c r="Q264" i="21"/>
  <c r="R264" i="21"/>
  <c r="C265" i="21"/>
  <c r="D265" i="21"/>
  <c r="J265" i="21"/>
  <c r="K265" i="21"/>
  <c r="L265" i="21"/>
  <c r="N265" i="21"/>
  <c r="O265" i="21"/>
  <c r="P265" i="21"/>
  <c r="Q265" i="21"/>
  <c r="R265" i="21"/>
  <c r="C266" i="21"/>
  <c r="D266" i="21"/>
  <c r="J266" i="21"/>
  <c r="K266" i="21"/>
  <c r="L266" i="21"/>
  <c r="N266" i="21"/>
  <c r="O266" i="21"/>
  <c r="P266" i="21"/>
  <c r="Q266" i="21"/>
  <c r="R266" i="21"/>
  <c r="C267" i="21"/>
  <c r="D267" i="21"/>
  <c r="J267" i="21"/>
  <c r="K267" i="21"/>
  <c r="L267" i="21"/>
  <c r="N267" i="21"/>
  <c r="O267" i="21"/>
  <c r="P267" i="21"/>
  <c r="Q267" i="21"/>
  <c r="R267" i="21"/>
  <c r="C268" i="21"/>
  <c r="D268" i="21"/>
  <c r="J268" i="21"/>
  <c r="K268" i="21"/>
  <c r="L268" i="21"/>
  <c r="N268" i="21"/>
  <c r="O268" i="21"/>
  <c r="P268" i="21"/>
  <c r="Q268" i="21"/>
  <c r="R268" i="21"/>
  <c r="C269" i="21"/>
  <c r="D269" i="21"/>
  <c r="J269" i="21"/>
  <c r="K269" i="21"/>
  <c r="L269" i="21"/>
  <c r="N269" i="21"/>
  <c r="O269" i="21"/>
  <c r="P269" i="21"/>
  <c r="Q269" i="21"/>
  <c r="R269" i="21"/>
  <c r="C270" i="21"/>
  <c r="D270" i="21"/>
  <c r="J270" i="21"/>
  <c r="K270" i="21"/>
  <c r="L270" i="21"/>
  <c r="N270" i="21"/>
  <c r="O270" i="21"/>
  <c r="P270" i="21"/>
  <c r="Q270" i="21"/>
  <c r="R270" i="21"/>
  <c r="C271" i="21"/>
  <c r="D271" i="21"/>
  <c r="J271" i="21"/>
  <c r="K271" i="21"/>
  <c r="L271" i="21"/>
  <c r="N271" i="21"/>
  <c r="O271" i="21"/>
  <c r="P271" i="21"/>
  <c r="Q271" i="21"/>
  <c r="R271" i="21"/>
  <c r="C272" i="21"/>
  <c r="D272" i="21"/>
  <c r="J272" i="21"/>
  <c r="K272" i="21"/>
  <c r="L272" i="21"/>
  <c r="N272" i="21"/>
  <c r="O272" i="21"/>
  <c r="P272" i="21"/>
  <c r="Q272" i="21"/>
  <c r="R272" i="21"/>
  <c r="C273" i="21"/>
  <c r="D273" i="21"/>
  <c r="J273" i="21"/>
  <c r="K273" i="21"/>
  <c r="L273" i="21"/>
  <c r="N273" i="21"/>
  <c r="O273" i="21"/>
  <c r="P273" i="21"/>
  <c r="Q273" i="21"/>
  <c r="R273" i="21"/>
  <c r="C274" i="21"/>
  <c r="D274" i="21"/>
  <c r="J274" i="21"/>
  <c r="K274" i="21"/>
  <c r="L274" i="21"/>
  <c r="N274" i="21"/>
  <c r="O274" i="21"/>
  <c r="P274" i="21"/>
  <c r="Q274" i="21"/>
  <c r="R274" i="21"/>
  <c r="C275" i="21"/>
  <c r="D275" i="21"/>
  <c r="J275" i="21"/>
  <c r="K275" i="21"/>
  <c r="L275" i="21"/>
  <c r="N275" i="21"/>
  <c r="O275" i="21"/>
  <c r="P275" i="21"/>
  <c r="Q275" i="21"/>
  <c r="R275" i="21"/>
  <c r="C276" i="21"/>
  <c r="D276" i="21"/>
  <c r="J276" i="21"/>
  <c r="K276" i="21"/>
  <c r="L276" i="21"/>
  <c r="N276" i="21"/>
  <c r="O276" i="21"/>
  <c r="P276" i="21"/>
  <c r="Q276" i="21"/>
  <c r="R276" i="21"/>
  <c r="C277" i="21"/>
  <c r="D277" i="21"/>
  <c r="J277" i="21"/>
  <c r="K277" i="21"/>
  <c r="L277" i="21"/>
  <c r="N277" i="21"/>
  <c r="O277" i="21"/>
  <c r="P277" i="21"/>
  <c r="Q277" i="21"/>
  <c r="R277" i="21"/>
  <c r="C278" i="21"/>
  <c r="D278" i="21"/>
  <c r="J278" i="21"/>
  <c r="K278" i="21"/>
  <c r="L278" i="21"/>
  <c r="N278" i="21"/>
  <c r="O278" i="21"/>
  <c r="P278" i="21"/>
  <c r="Q278" i="21"/>
  <c r="R278" i="21"/>
  <c r="C279" i="21"/>
  <c r="D279" i="21"/>
  <c r="J279" i="21"/>
  <c r="K279" i="21"/>
  <c r="L279" i="21"/>
  <c r="N279" i="21"/>
  <c r="O279" i="21"/>
  <c r="P279" i="21"/>
  <c r="Q279" i="21"/>
  <c r="R279" i="21"/>
  <c r="C280" i="21"/>
  <c r="D280" i="21"/>
  <c r="J280" i="21"/>
  <c r="K280" i="21"/>
  <c r="L280" i="21"/>
  <c r="N280" i="21"/>
  <c r="O280" i="21"/>
  <c r="P280" i="21"/>
  <c r="Q280" i="21"/>
  <c r="R280" i="21"/>
  <c r="C281" i="21"/>
  <c r="D281" i="21"/>
  <c r="J281" i="21"/>
  <c r="K281" i="21"/>
  <c r="L281" i="21"/>
  <c r="N281" i="21"/>
  <c r="O281" i="21"/>
  <c r="P281" i="21"/>
  <c r="Q281" i="21"/>
  <c r="R281" i="21"/>
  <c r="C282" i="21"/>
  <c r="D282" i="21"/>
  <c r="J282" i="21"/>
  <c r="K282" i="21"/>
  <c r="L282" i="21"/>
  <c r="N282" i="21"/>
  <c r="O282" i="21"/>
  <c r="P282" i="21"/>
  <c r="Q282" i="21"/>
  <c r="R282" i="21"/>
  <c r="C283" i="21"/>
  <c r="D283" i="21"/>
  <c r="J283" i="21"/>
  <c r="K283" i="21"/>
  <c r="L283" i="21"/>
  <c r="N283" i="21"/>
  <c r="O283" i="21"/>
  <c r="P283" i="21"/>
  <c r="Q283" i="21"/>
  <c r="R283" i="21"/>
  <c r="C284" i="21"/>
  <c r="D284" i="21"/>
  <c r="J284" i="21"/>
  <c r="K284" i="21"/>
  <c r="L284" i="21"/>
  <c r="N284" i="21"/>
  <c r="O284" i="21"/>
  <c r="P284" i="21"/>
  <c r="Q284" i="21"/>
  <c r="R284" i="21"/>
  <c r="C285" i="21"/>
  <c r="D285" i="21"/>
  <c r="J285" i="21"/>
  <c r="K285" i="21"/>
  <c r="L285" i="21"/>
  <c r="N285" i="21"/>
  <c r="O285" i="21"/>
  <c r="P285" i="21"/>
  <c r="Q285" i="21"/>
  <c r="R285" i="21"/>
  <c r="C286" i="21"/>
  <c r="D286" i="21"/>
  <c r="J286" i="21"/>
  <c r="K286" i="21"/>
  <c r="L286" i="21"/>
  <c r="N286" i="21"/>
  <c r="O286" i="21"/>
  <c r="P286" i="21"/>
  <c r="Q286" i="21"/>
  <c r="R286" i="21"/>
  <c r="C287" i="21"/>
  <c r="D287" i="21"/>
  <c r="J287" i="21"/>
  <c r="K287" i="21"/>
  <c r="L287" i="21"/>
  <c r="N287" i="21"/>
  <c r="O287" i="21"/>
  <c r="P287" i="21"/>
  <c r="Q287" i="21"/>
  <c r="R287" i="21"/>
  <c r="C288" i="21"/>
  <c r="D288" i="21"/>
  <c r="J288" i="21"/>
  <c r="K288" i="21"/>
  <c r="L288" i="21"/>
  <c r="N288" i="21"/>
  <c r="O288" i="21"/>
  <c r="P288" i="21"/>
  <c r="Q288" i="21"/>
  <c r="R288" i="21"/>
  <c r="C289" i="21"/>
  <c r="D289" i="21"/>
  <c r="J289" i="21"/>
  <c r="K289" i="21"/>
  <c r="L289" i="21"/>
  <c r="N289" i="21"/>
  <c r="O289" i="21"/>
  <c r="P289" i="21"/>
  <c r="Q289" i="21"/>
  <c r="R289" i="21"/>
  <c r="C290" i="21"/>
  <c r="D290" i="21"/>
  <c r="J290" i="21"/>
  <c r="K290" i="21"/>
  <c r="L290" i="21"/>
  <c r="N290" i="21"/>
  <c r="O290" i="21"/>
  <c r="P290" i="21"/>
  <c r="Q290" i="21"/>
  <c r="R290" i="21"/>
  <c r="C291" i="21"/>
  <c r="D291" i="21"/>
  <c r="J291" i="21"/>
  <c r="K291" i="21"/>
  <c r="L291" i="21"/>
  <c r="N291" i="21"/>
  <c r="O291" i="21"/>
  <c r="P291" i="21"/>
  <c r="Q291" i="21"/>
  <c r="R291" i="21"/>
  <c r="C292" i="21"/>
  <c r="D292" i="21"/>
  <c r="J292" i="21"/>
  <c r="K292" i="21"/>
  <c r="L292" i="21"/>
  <c r="N292" i="21"/>
  <c r="O292" i="21"/>
  <c r="P292" i="21"/>
  <c r="Q292" i="21"/>
  <c r="R292" i="21"/>
  <c r="C293" i="21"/>
  <c r="D293" i="21"/>
  <c r="J293" i="21"/>
  <c r="K293" i="21"/>
  <c r="L293" i="21"/>
  <c r="N293" i="21"/>
  <c r="O293" i="21"/>
  <c r="P293" i="21"/>
  <c r="Q293" i="21"/>
  <c r="R293" i="21"/>
  <c r="C294" i="21"/>
  <c r="D294" i="21"/>
  <c r="J294" i="21"/>
  <c r="K294" i="21"/>
  <c r="L294" i="21"/>
  <c r="N294" i="21"/>
  <c r="O294" i="21"/>
  <c r="P294" i="21"/>
  <c r="Q294" i="21"/>
  <c r="R294" i="21"/>
  <c r="C295" i="21"/>
  <c r="D295" i="21"/>
  <c r="J295" i="21"/>
  <c r="K295" i="21"/>
  <c r="L295" i="21"/>
  <c r="N295" i="21"/>
  <c r="O295" i="21"/>
  <c r="P295" i="21"/>
  <c r="Q295" i="21"/>
  <c r="R295" i="21"/>
  <c r="C296" i="21"/>
  <c r="D296" i="21"/>
  <c r="J296" i="21"/>
  <c r="K296" i="21"/>
  <c r="L296" i="21"/>
  <c r="N296" i="21"/>
  <c r="O296" i="21"/>
  <c r="P296" i="21"/>
  <c r="Q296" i="21"/>
  <c r="R296" i="21"/>
  <c r="C297" i="21"/>
  <c r="D297" i="21"/>
  <c r="F297" i="21"/>
  <c r="G297" i="21"/>
  <c r="H297" i="21"/>
  <c r="I297" i="21"/>
  <c r="J297" i="21"/>
  <c r="K297" i="21"/>
  <c r="L297" i="21"/>
  <c r="N297" i="21"/>
  <c r="O297" i="21"/>
  <c r="P297" i="21"/>
  <c r="Q297" i="21"/>
  <c r="R297" i="21"/>
  <c r="C298" i="21"/>
  <c r="D298" i="21"/>
  <c r="F298" i="21"/>
  <c r="G298" i="21"/>
  <c r="H298" i="21"/>
  <c r="I298" i="21"/>
  <c r="J298" i="21"/>
  <c r="K298" i="21"/>
  <c r="L298" i="21"/>
  <c r="N298" i="21"/>
  <c r="O298" i="21"/>
  <c r="P298" i="21"/>
  <c r="Q298" i="21"/>
  <c r="R298" i="21"/>
  <c r="C299" i="21"/>
  <c r="D299" i="21"/>
  <c r="F299" i="21"/>
  <c r="G299" i="21"/>
  <c r="H299" i="21"/>
  <c r="I299" i="21"/>
  <c r="J299" i="21"/>
  <c r="K299" i="21"/>
  <c r="L299" i="21"/>
  <c r="N299" i="21"/>
  <c r="O299" i="21"/>
  <c r="P299" i="21"/>
  <c r="Q299" i="21"/>
  <c r="R299" i="21"/>
  <c r="C300" i="21"/>
  <c r="D300" i="21"/>
  <c r="F300" i="21"/>
  <c r="G300" i="21"/>
  <c r="H300" i="21"/>
  <c r="I300" i="21"/>
  <c r="J300" i="21"/>
  <c r="K300" i="21"/>
  <c r="L300" i="21"/>
  <c r="N300" i="21"/>
  <c r="O300" i="21"/>
  <c r="P300" i="21"/>
  <c r="Q300" i="21"/>
  <c r="R300" i="21"/>
  <c r="C301" i="21"/>
  <c r="D301" i="21"/>
  <c r="F301" i="21"/>
  <c r="G301" i="21"/>
  <c r="H301" i="21"/>
  <c r="I301" i="21"/>
  <c r="J301" i="21"/>
  <c r="K301" i="21"/>
  <c r="L301" i="21"/>
  <c r="N301" i="21"/>
  <c r="O301" i="21"/>
  <c r="P301" i="21"/>
  <c r="Q301" i="21"/>
  <c r="R301" i="21"/>
  <c r="C302" i="21"/>
  <c r="D302" i="21"/>
  <c r="F302" i="21"/>
  <c r="G302" i="21"/>
  <c r="H302" i="21"/>
  <c r="I302" i="21"/>
  <c r="J302" i="21"/>
  <c r="K302" i="21"/>
  <c r="L302" i="21"/>
  <c r="N302" i="21"/>
  <c r="O302" i="21"/>
  <c r="P302" i="21"/>
  <c r="Q302" i="21"/>
  <c r="R302" i="21"/>
  <c r="C303" i="21"/>
  <c r="D303" i="21"/>
  <c r="F303" i="21"/>
  <c r="G303" i="21"/>
  <c r="H303" i="21"/>
  <c r="I303" i="21"/>
  <c r="J303" i="21"/>
  <c r="K303" i="21"/>
  <c r="L303" i="21"/>
  <c r="N303" i="21"/>
  <c r="O303" i="21"/>
  <c r="P303" i="21"/>
  <c r="Q303" i="21"/>
  <c r="R303" i="21"/>
  <c r="C304" i="21"/>
  <c r="D304" i="21"/>
  <c r="F304" i="21"/>
  <c r="G304" i="21"/>
  <c r="H304" i="21"/>
  <c r="I304" i="21"/>
  <c r="J304" i="21"/>
  <c r="K304" i="21"/>
  <c r="L304" i="21"/>
  <c r="N304" i="21"/>
  <c r="O304" i="21"/>
  <c r="P304" i="21"/>
  <c r="Q304" i="21"/>
  <c r="R304" i="21"/>
  <c r="C305" i="21"/>
  <c r="D305" i="21"/>
  <c r="F305" i="21"/>
  <c r="G305" i="21"/>
  <c r="H305" i="21"/>
  <c r="I305" i="21"/>
  <c r="J305" i="21"/>
  <c r="K305" i="21"/>
  <c r="L305" i="21"/>
  <c r="N305" i="21"/>
  <c r="O305" i="21"/>
  <c r="P305" i="21"/>
  <c r="Q305" i="21"/>
  <c r="R305" i="21"/>
  <c r="C306" i="21"/>
  <c r="D306" i="21"/>
  <c r="F306" i="21"/>
  <c r="G306" i="21"/>
  <c r="H306" i="21"/>
  <c r="I306" i="21"/>
  <c r="J306" i="21"/>
  <c r="K306" i="21"/>
  <c r="L306" i="21"/>
  <c r="N306" i="21"/>
  <c r="O306" i="21"/>
  <c r="P306" i="21"/>
  <c r="Q306" i="21"/>
  <c r="R306" i="21"/>
  <c r="C307" i="21"/>
  <c r="D307" i="21"/>
  <c r="F307" i="21"/>
  <c r="G307" i="21"/>
  <c r="H307" i="21"/>
  <c r="I307" i="21"/>
  <c r="J307" i="21"/>
  <c r="K307" i="21"/>
  <c r="L307" i="21"/>
  <c r="N307" i="21"/>
  <c r="O307" i="21"/>
  <c r="P307" i="21"/>
  <c r="Q307" i="21"/>
  <c r="R307" i="21"/>
  <c r="C308" i="21"/>
  <c r="D308" i="21"/>
  <c r="F308" i="21"/>
  <c r="G308" i="21"/>
  <c r="H308" i="21"/>
  <c r="I308" i="21"/>
  <c r="J308" i="21"/>
  <c r="K308" i="21"/>
  <c r="L308" i="21"/>
  <c r="N308" i="21"/>
  <c r="O308" i="21"/>
  <c r="P308" i="21"/>
  <c r="Q308" i="21"/>
  <c r="R308" i="21"/>
  <c r="C309" i="21"/>
  <c r="D309" i="21"/>
  <c r="F309" i="21"/>
  <c r="G309" i="21"/>
  <c r="H309" i="21"/>
  <c r="I309" i="21"/>
  <c r="J309" i="21"/>
  <c r="K309" i="21"/>
  <c r="L309" i="21"/>
  <c r="N309" i="21"/>
  <c r="O309" i="21"/>
  <c r="P309" i="21"/>
  <c r="Q309" i="21"/>
  <c r="R309" i="21"/>
  <c r="C310" i="21"/>
  <c r="D310" i="21"/>
  <c r="F310" i="21"/>
  <c r="G310" i="21"/>
  <c r="H310" i="21"/>
  <c r="I310" i="21"/>
  <c r="J310" i="21"/>
  <c r="K310" i="21"/>
  <c r="L310" i="21"/>
  <c r="N310" i="21"/>
  <c r="O310" i="21"/>
  <c r="P310" i="21"/>
  <c r="Q310" i="21"/>
  <c r="R310" i="21"/>
  <c r="C311" i="21"/>
  <c r="D311" i="21"/>
  <c r="F311" i="21"/>
  <c r="G311" i="21"/>
  <c r="H311" i="21"/>
  <c r="I311" i="21"/>
  <c r="J311" i="21"/>
  <c r="K311" i="21"/>
  <c r="L311" i="21"/>
  <c r="N311" i="21"/>
  <c r="O311" i="21"/>
  <c r="P311" i="21"/>
  <c r="Q311" i="21"/>
  <c r="R311" i="21"/>
  <c r="C312" i="21"/>
  <c r="D312" i="21"/>
  <c r="F312" i="21"/>
  <c r="G312" i="21"/>
  <c r="H312" i="21"/>
  <c r="I312" i="21"/>
  <c r="J312" i="21"/>
  <c r="K312" i="21"/>
  <c r="L312" i="21"/>
  <c r="N312" i="21"/>
  <c r="O312" i="21"/>
  <c r="P312" i="21"/>
  <c r="Q312" i="21"/>
  <c r="R312" i="21"/>
  <c r="C313" i="21"/>
  <c r="D313" i="21"/>
  <c r="F313" i="21"/>
  <c r="G313" i="21"/>
  <c r="H313" i="21"/>
  <c r="I313" i="21"/>
  <c r="J313" i="21"/>
  <c r="K313" i="21"/>
  <c r="L313" i="21"/>
  <c r="N313" i="21"/>
  <c r="O313" i="21"/>
  <c r="P313" i="21"/>
  <c r="Q313" i="21"/>
  <c r="R313" i="21"/>
  <c r="C314" i="21"/>
  <c r="D314" i="21"/>
  <c r="F314" i="21"/>
  <c r="G314" i="21"/>
  <c r="H314" i="21"/>
  <c r="I314" i="21"/>
  <c r="J314" i="21"/>
  <c r="K314" i="21"/>
  <c r="L314" i="21"/>
  <c r="N314" i="21"/>
  <c r="O314" i="21"/>
  <c r="P314" i="21"/>
  <c r="Q314" i="21"/>
  <c r="R314" i="21"/>
  <c r="C315" i="21"/>
  <c r="D315" i="21"/>
  <c r="F315" i="21"/>
  <c r="G315" i="21"/>
  <c r="H315" i="21"/>
  <c r="I315" i="21"/>
  <c r="J315" i="21"/>
  <c r="K315" i="21"/>
  <c r="L315" i="21"/>
  <c r="N315" i="21"/>
  <c r="O315" i="21"/>
  <c r="P315" i="21"/>
  <c r="Q315" i="21"/>
  <c r="R315" i="21"/>
  <c r="C316" i="21"/>
  <c r="D316" i="21"/>
  <c r="F316" i="21"/>
  <c r="G316" i="21"/>
  <c r="H316" i="21"/>
  <c r="I316" i="21"/>
  <c r="J316" i="21"/>
  <c r="K316" i="21"/>
  <c r="L316" i="21"/>
  <c r="N316" i="21"/>
  <c r="O316" i="21"/>
  <c r="P316" i="21"/>
  <c r="Q316" i="21"/>
  <c r="R316" i="21"/>
  <c r="C317" i="21"/>
  <c r="D317" i="21"/>
  <c r="F317" i="21"/>
  <c r="G317" i="21"/>
  <c r="H317" i="21"/>
  <c r="I317" i="21"/>
  <c r="J317" i="21"/>
  <c r="K317" i="21"/>
  <c r="L317" i="21"/>
  <c r="N317" i="21"/>
  <c r="O317" i="21"/>
  <c r="P317" i="21"/>
  <c r="Q317" i="21"/>
  <c r="R317" i="21"/>
  <c r="C318" i="21"/>
  <c r="D318" i="21"/>
  <c r="F318" i="21"/>
  <c r="G318" i="21"/>
  <c r="H318" i="21"/>
  <c r="I318" i="21"/>
  <c r="J318" i="21"/>
  <c r="K318" i="21"/>
  <c r="L318" i="21"/>
  <c r="N318" i="21"/>
  <c r="O318" i="21"/>
  <c r="P318" i="21"/>
  <c r="Q318" i="21"/>
  <c r="R318" i="21"/>
  <c r="C319" i="21"/>
  <c r="D319" i="21"/>
  <c r="F319" i="21"/>
  <c r="G319" i="21"/>
  <c r="H319" i="21"/>
  <c r="I319" i="21"/>
  <c r="J319" i="21"/>
  <c r="K319" i="21"/>
  <c r="L319" i="21"/>
  <c r="N319" i="21"/>
  <c r="O319" i="21"/>
  <c r="P319" i="21"/>
  <c r="Q319" i="21"/>
  <c r="R319" i="21"/>
  <c r="C320" i="21"/>
  <c r="D320" i="21"/>
  <c r="F320" i="21"/>
  <c r="G320" i="21"/>
  <c r="H320" i="21"/>
  <c r="I320" i="21"/>
  <c r="J320" i="21"/>
  <c r="K320" i="21"/>
  <c r="L320" i="21"/>
  <c r="N320" i="21"/>
  <c r="O320" i="21"/>
  <c r="P320" i="21"/>
  <c r="Q320" i="21"/>
  <c r="R320" i="21"/>
  <c r="BJ4" i="2"/>
  <c r="I5" i="2"/>
  <c r="C6" i="2"/>
  <c r="I6" i="2"/>
  <c r="AU6" i="2"/>
  <c r="C7" i="2"/>
  <c r="T7" i="2"/>
  <c r="V7" i="2"/>
  <c r="W7" i="2"/>
  <c r="X7" i="2"/>
  <c r="Y7" i="2"/>
  <c r="AA7" i="2"/>
  <c r="AU7" i="2"/>
  <c r="T8" i="2"/>
  <c r="V8" i="2"/>
  <c r="W8" i="2"/>
  <c r="X8" i="2"/>
  <c r="Y8" i="2"/>
  <c r="AA8" i="2"/>
  <c r="T9" i="2"/>
  <c r="V9" i="2"/>
  <c r="W9" i="2"/>
  <c r="X9" i="2"/>
  <c r="Y9" i="2"/>
  <c r="AA9" i="2"/>
  <c r="T10" i="2"/>
  <c r="V10" i="2"/>
  <c r="W10" i="2"/>
  <c r="X10" i="2"/>
  <c r="Y10" i="2"/>
  <c r="AA10" i="2"/>
  <c r="AU10" i="2"/>
  <c r="AV10" i="2"/>
  <c r="AW10" i="2"/>
  <c r="AX10" i="2"/>
  <c r="AY10" i="2"/>
  <c r="AZ10" i="2"/>
  <c r="BA10" i="2"/>
  <c r="C11" i="2"/>
  <c r="L11" i="2"/>
  <c r="T11" i="2"/>
  <c r="V11" i="2"/>
  <c r="W11" i="2"/>
  <c r="X11" i="2"/>
  <c r="Y11" i="2"/>
  <c r="AA11" i="2"/>
  <c r="AP11" i="2"/>
  <c r="AU11" i="2"/>
  <c r="AV11" i="2"/>
  <c r="AY11" i="2"/>
  <c r="AZ11" i="2"/>
  <c r="BA11" i="2"/>
  <c r="C12" i="2"/>
  <c r="L12" i="2"/>
  <c r="T12" i="2"/>
  <c r="V12" i="2"/>
  <c r="W12" i="2"/>
  <c r="X12" i="2"/>
  <c r="Y12" i="2"/>
  <c r="AA12" i="2"/>
  <c r="AY12" i="2"/>
  <c r="AZ12" i="2"/>
  <c r="BA12" i="2"/>
  <c r="C13" i="2"/>
  <c r="L13" i="2"/>
  <c r="T13" i="2"/>
  <c r="V13" i="2"/>
  <c r="W13" i="2"/>
  <c r="X13" i="2"/>
  <c r="Y13" i="2"/>
  <c r="AA13" i="2"/>
  <c r="AT13" i="2"/>
  <c r="AU13" i="2"/>
  <c r="AV13" i="2"/>
  <c r="AW13" i="2"/>
  <c r="AX13" i="2"/>
  <c r="AY13" i="2"/>
  <c r="AZ13" i="2"/>
  <c r="BA13" i="2"/>
  <c r="L14" i="2"/>
  <c r="T14" i="2"/>
  <c r="V14" i="2"/>
  <c r="W14" i="2"/>
  <c r="X14" i="2"/>
  <c r="Y14" i="2"/>
  <c r="AA14" i="2"/>
  <c r="AP14" i="2"/>
  <c r="T15" i="2"/>
  <c r="V15" i="2"/>
  <c r="W15" i="2"/>
  <c r="X15" i="2"/>
  <c r="Y15" i="2"/>
  <c r="AA15" i="2"/>
  <c r="AP15" i="2"/>
  <c r="T16" i="2"/>
  <c r="V16" i="2"/>
  <c r="W16" i="2"/>
  <c r="X16" i="2"/>
  <c r="Y16" i="2"/>
  <c r="AA16" i="2"/>
  <c r="AP16" i="2"/>
  <c r="AW16" i="2"/>
  <c r="T17" i="2"/>
  <c r="V17" i="2"/>
  <c r="W17" i="2"/>
  <c r="X17" i="2"/>
  <c r="Y17" i="2"/>
  <c r="AA17" i="2"/>
  <c r="AP17" i="2"/>
  <c r="L18" i="2"/>
  <c r="T18" i="2"/>
  <c r="V18" i="2"/>
  <c r="W18" i="2"/>
  <c r="X18" i="2"/>
  <c r="Y18" i="2"/>
  <c r="AA18" i="2"/>
  <c r="AP18" i="2"/>
  <c r="L19" i="2"/>
  <c r="T19" i="2"/>
  <c r="V19" i="2"/>
  <c r="W19" i="2"/>
  <c r="X19" i="2"/>
  <c r="Y19" i="2"/>
  <c r="AA19" i="2"/>
  <c r="AP19" i="2"/>
  <c r="L20" i="2"/>
  <c r="T20" i="2"/>
  <c r="V20" i="2"/>
  <c r="W20" i="2"/>
  <c r="X20" i="2"/>
  <c r="Y20" i="2"/>
  <c r="AA20" i="2"/>
  <c r="AP20" i="2"/>
  <c r="L21" i="2"/>
  <c r="T21" i="2"/>
  <c r="V21" i="2"/>
  <c r="W21" i="2"/>
  <c r="X21" i="2"/>
  <c r="Y21" i="2"/>
  <c r="AA21" i="2"/>
  <c r="AP21" i="2"/>
  <c r="AT21" i="2"/>
  <c r="L22" i="2"/>
  <c r="T22" i="2"/>
  <c r="V22" i="2"/>
  <c r="W22" i="2"/>
  <c r="X22" i="2"/>
  <c r="Y22" i="2"/>
  <c r="AA22" i="2"/>
  <c r="AP22" i="2"/>
  <c r="L23" i="2"/>
  <c r="T23" i="2"/>
  <c r="V23" i="2"/>
  <c r="W23" i="2"/>
  <c r="X23" i="2"/>
  <c r="Y23" i="2"/>
  <c r="AA23" i="2"/>
  <c r="AP23" i="2"/>
  <c r="L24" i="2"/>
  <c r="T24" i="2"/>
  <c r="V24" i="2"/>
  <c r="W24" i="2"/>
  <c r="X24" i="2"/>
  <c r="Y24" i="2"/>
  <c r="AA24" i="2"/>
  <c r="AP24" i="2"/>
  <c r="B25" i="2"/>
  <c r="L25" i="2"/>
  <c r="T25" i="2"/>
  <c r="V25" i="2"/>
  <c r="W25" i="2"/>
  <c r="X25" i="2"/>
  <c r="Y25" i="2"/>
  <c r="AA25" i="2"/>
  <c r="AP25" i="2"/>
  <c r="F26" i="2"/>
  <c r="L26" i="2"/>
  <c r="T26" i="2"/>
  <c r="V26" i="2"/>
  <c r="W26" i="2"/>
  <c r="X26" i="2"/>
  <c r="Y26" i="2"/>
  <c r="AA26" i="2"/>
  <c r="F27" i="2"/>
  <c r="L27" i="2"/>
  <c r="T27" i="2"/>
  <c r="V27" i="2"/>
  <c r="W27" i="2"/>
  <c r="X27" i="2"/>
  <c r="Y27" i="2"/>
  <c r="AA27" i="2"/>
  <c r="AP27" i="2"/>
  <c r="L28" i="2"/>
  <c r="T28" i="2"/>
  <c r="V28" i="2"/>
  <c r="W28" i="2"/>
  <c r="X28" i="2"/>
  <c r="Y28" i="2"/>
  <c r="AA28" i="2"/>
  <c r="AP28" i="2"/>
  <c r="F29" i="2"/>
  <c r="T29" i="2"/>
  <c r="V29" i="2"/>
  <c r="W29" i="2"/>
  <c r="X29" i="2"/>
  <c r="Y29" i="2"/>
  <c r="AP29" i="2"/>
  <c r="T30" i="2"/>
  <c r="V30" i="2"/>
  <c r="W30" i="2"/>
  <c r="X30" i="2"/>
  <c r="Y30" i="2"/>
  <c r="AP30" i="2"/>
  <c r="AZ30" i="2"/>
  <c r="AP31" i="2"/>
  <c r="AZ31" i="2"/>
  <c r="AP32" i="2"/>
  <c r="AA33" i="2"/>
  <c r="AP33" i="2"/>
  <c r="T34" i="2"/>
  <c r="V34" i="2"/>
  <c r="W34" i="2"/>
  <c r="X34" i="2"/>
  <c r="Y34" i="2"/>
  <c r="AA34" i="2"/>
  <c r="B35" i="2"/>
  <c r="T35" i="2"/>
  <c r="V35" i="2"/>
  <c r="W35" i="2"/>
  <c r="X35" i="2"/>
  <c r="Y35" i="2"/>
  <c r="AA35" i="2"/>
  <c r="T36" i="2"/>
  <c r="V36" i="2"/>
  <c r="W36" i="2"/>
  <c r="X36" i="2"/>
  <c r="Y36" i="2"/>
  <c r="AA36" i="2"/>
  <c r="T37" i="2"/>
  <c r="V37" i="2"/>
  <c r="W37" i="2"/>
  <c r="X37" i="2"/>
  <c r="Y37" i="2"/>
  <c r="AA37" i="2"/>
  <c r="T38" i="2"/>
  <c r="V38" i="2"/>
  <c r="W38" i="2"/>
  <c r="X38" i="2"/>
  <c r="Y38" i="2"/>
  <c r="AA38" i="2"/>
  <c r="T39" i="2"/>
  <c r="V39" i="2"/>
  <c r="W39" i="2"/>
  <c r="X39" i="2"/>
  <c r="Y39" i="2"/>
  <c r="AA39" i="2"/>
  <c r="T40" i="2"/>
  <c r="V40" i="2"/>
  <c r="W40" i="2"/>
  <c r="X40" i="2"/>
  <c r="Y40" i="2"/>
  <c r="AA40" i="2"/>
  <c r="T41" i="2"/>
  <c r="V41" i="2"/>
  <c r="W41" i="2"/>
  <c r="X41" i="2"/>
  <c r="Y41" i="2"/>
  <c r="AA41" i="2"/>
  <c r="T42" i="2"/>
  <c r="V42" i="2"/>
  <c r="W42" i="2"/>
  <c r="X42" i="2"/>
  <c r="Y42" i="2"/>
  <c r="AA42" i="2"/>
  <c r="T43" i="2"/>
  <c r="V43" i="2"/>
  <c r="W43" i="2"/>
  <c r="X43" i="2"/>
  <c r="Y43" i="2"/>
  <c r="AA43" i="2"/>
  <c r="T44" i="2"/>
  <c r="V44" i="2"/>
  <c r="W44" i="2"/>
  <c r="X44" i="2"/>
  <c r="Y44" i="2"/>
  <c r="AA44" i="2"/>
  <c r="T45" i="2"/>
  <c r="V45" i="2"/>
  <c r="W45" i="2"/>
  <c r="X45" i="2"/>
  <c r="Y45" i="2"/>
  <c r="AA45" i="2"/>
  <c r="T46" i="2"/>
  <c r="V46" i="2"/>
  <c r="W46" i="2"/>
  <c r="X46" i="2"/>
  <c r="Y46" i="2"/>
  <c r="AA46" i="2"/>
  <c r="T47" i="2"/>
  <c r="V47" i="2"/>
  <c r="W47" i="2"/>
  <c r="X47" i="2"/>
  <c r="Y47" i="2"/>
  <c r="AA47" i="2"/>
  <c r="T48" i="2"/>
  <c r="V48" i="2"/>
  <c r="W48" i="2"/>
  <c r="X48" i="2"/>
  <c r="Y48" i="2"/>
  <c r="AA48" i="2"/>
  <c r="T49" i="2"/>
  <c r="V49" i="2"/>
  <c r="W49" i="2"/>
  <c r="X49" i="2"/>
  <c r="Y49" i="2"/>
  <c r="AA49" i="2"/>
  <c r="T50" i="2"/>
  <c r="V50" i="2"/>
  <c r="W50" i="2"/>
  <c r="X50" i="2"/>
  <c r="Y50" i="2"/>
  <c r="AA50" i="2"/>
  <c r="AT50" i="2"/>
  <c r="T51" i="2"/>
  <c r="V51" i="2"/>
  <c r="W51" i="2"/>
  <c r="X51" i="2"/>
  <c r="Y51" i="2"/>
  <c r="AA51" i="2"/>
  <c r="AT51" i="2"/>
  <c r="T52" i="2"/>
  <c r="V52" i="2"/>
  <c r="W52" i="2"/>
  <c r="X52" i="2"/>
  <c r="Y52" i="2"/>
  <c r="AA52" i="2"/>
  <c r="T53" i="2"/>
  <c r="V53" i="2"/>
  <c r="W53" i="2"/>
  <c r="X53" i="2"/>
  <c r="Y53" i="2"/>
  <c r="AA53" i="2"/>
  <c r="T54" i="2"/>
  <c r="V54" i="2"/>
  <c r="W54" i="2"/>
  <c r="X54" i="2"/>
  <c r="Y54" i="2"/>
  <c r="AA54" i="2"/>
  <c r="T55" i="2"/>
  <c r="V55" i="2"/>
  <c r="W55" i="2"/>
  <c r="X55" i="2"/>
  <c r="Y55" i="2"/>
  <c r="T56" i="2"/>
  <c r="V56" i="2"/>
  <c r="W56" i="2"/>
  <c r="X56" i="2"/>
  <c r="Y56" i="2"/>
  <c r="T57" i="2"/>
  <c r="V57" i="2"/>
  <c r="W57" i="2"/>
  <c r="X57" i="2"/>
  <c r="Y57" i="2"/>
  <c r="AA59" i="2"/>
  <c r="AB59" i="2"/>
  <c r="AC59" i="2"/>
  <c r="AD59" i="2"/>
  <c r="AE59" i="2"/>
  <c r="AF59" i="2"/>
  <c r="AG59" i="2"/>
  <c r="AH59" i="2"/>
  <c r="AI59" i="2"/>
  <c r="AJ59" i="2"/>
  <c r="AK59" i="2"/>
  <c r="AL59" i="2"/>
  <c r="AM59" i="2"/>
  <c r="AA60" i="2"/>
  <c r="AB60" i="2"/>
  <c r="AC60" i="2"/>
  <c r="AD60" i="2"/>
  <c r="AE60" i="2"/>
  <c r="AF60" i="2"/>
  <c r="AG60" i="2"/>
  <c r="AH60" i="2"/>
  <c r="AI60" i="2"/>
  <c r="AJ60" i="2"/>
  <c r="AK60" i="2"/>
  <c r="AL60" i="2"/>
  <c r="AM60" i="2"/>
  <c r="AA61" i="2"/>
  <c r="AB61" i="2"/>
  <c r="AC61" i="2"/>
  <c r="AD61" i="2"/>
  <c r="AE61" i="2"/>
  <c r="AF61" i="2"/>
  <c r="AG61" i="2"/>
  <c r="AH61" i="2"/>
  <c r="AI61" i="2"/>
  <c r="AJ61" i="2"/>
  <c r="AK61" i="2"/>
  <c r="AL61" i="2"/>
  <c r="AM61" i="2"/>
  <c r="AA62" i="2"/>
  <c r="AB62" i="2"/>
  <c r="AC62" i="2"/>
  <c r="AD62" i="2"/>
  <c r="AE62" i="2"/>
  <c r="AF62" i="2"/>
  <c r="AG62" i="2"/>
  <c r="AH62" i="2"/>
  <c r="AI62" i="2"/>
  <c r="AJ62" i="2"/>
  <c r="AK62" i="2"/>
  <c r="AL62" i="2"/>
  <c r="AM62" i="2"/>
  <c r="AA63" i="2"/>
  <c r="AB63" i="2"/>
  <c r="AC63" i="2"/>
  <c r="AD63" i="2"/>
  <c r="AE63" i="2"/>
  <c r="AF63" i="2"/>
  <c r="AG63" i="2"/>
  <c r="AH63" i="2"/>
  <c r="AI63" i="2"/>
  <c r="AJ63" i="2"/>
  <c r="AK63" i="2"/>
  <c r="AL63" i="2"/>
  <c r="AM63" i="2"/>
  <c r="AA64" i="2"/>
  <c r="AB64" i="2"/>
  <c r="AC64" i="2"/>
  <c r="AD64" i="2"/>
  <c r="AE64" i="2"/>
  <c r="AF64" i="2"/>
  <c r="AG64" i="2"/>
  <c r="AH64" i="2"/>
  <c r="AI64" i="2"/>
  <c r="AJ64" i="2"/>
  <c r="AK64" i="2"/>
  <c r="AL64" i="2"/>
  <c r="AM64" i="2"/>
  <c r="AA65" i="2"/>
  <c r="AB65" i="2"/>
  <c r="AC65" i="2"/>
  <c r="AD65" i="2"/>
  <c r="AF65" i="2"/>
  <c r="AG65" i="2"/>
  <c r="AH65" i="2"/>
  <c r="AI65" i="2"/>
  <c r="AJ65" i="2"/>
  <c r="AK65" i="2"/>
  <c r="AL65" i="2"/>
  <c r="AM65" i="2"/>
  <c r="AA66" i="2"/>
  <c r="AB66" i="2"/>
  <c r="AC66" i="2"/>
  <c r="AD66" i="2"/>
  <c r="AE66" i="2"/>
  <c r="AF66" i="2"/>
  <c r="AG66" i="2"/>
  <c r="AH66" i="2"/>
  <c r="AI66" i="2"/>
  <c r="AJ66" i="2"/>
  <c r="AK66" i="2"/>
  <c r="AL66" i="2"/>
  <c r="AM66" i="2"/>
  <c r="AA67" i="2"/>
  <c r="AB67" i="2"/>
  <c r="AC67" i="2"/>
  <c r="AD67" i="2"/>
  <c r="AE67" i="2"/>
  <c r="AF67" i="2"/>
  <c r="AG67" i="2"/>
  <c r="AH67" i="2"/>
  <c r="AI67" i="2"/>
  <c r="AJ67" i="2"/>
  <c r="AK67" i="2"/>
  <c r="AL67" i="2"/>
  <c r="AM67" i="2"/>
  <c r="AA68" i="2"/>
  <c r="AB68" i="2"/>
  <c r="AC68" i="2"/>
  <c r="AD68" i="2"/>
  <c r="AE68" i="2"/>
  <c r="AF68" i="2"/>
  <c r="AG68" i="2"/>
  <c r="AH68" i="2"/>
  <c r="AI68" i="2"/>
  <c r="AJ68" i="2"/>
  <c r="AK68" i="2"/>
  <c r="AL68" i="2"/>
  <c r="AM68" i="2"/>
  <c r="AA69" i="2"/>
  <c r="AB69" i="2"/>
  <c r="AC69" i="2"/>
  <c r="AD69" i="2"/>
  <c r="AE69" i="2"/>
  <c r="AF69" i="2"/>
  <c r="AG69" i="2"/>
  <c r="AH69" i="2"/>
  <c r="AI69" i="2"/>
  <c r="AJ69" i="2"/>
  <c r="AK69" i="2"/>
  <c r="AL69" i="2"/>
  <c r="AM69" i="2"/>
  <c r="AA70" i="2"/>
  <c r="AB70" i="2"/>
  <c r="AC70" i="2"/>
  <c r="AD70" i="2"/>
  <c r="AE70" i="2"/>
  <c r="AF70" i="2"/>
  <c r="AG70" i="2"/>
  <c r="AH70" i="2"/>
  <c r="AI70" i="2"/>
  <c r="AJ70" i="2"/>
  <c r="AK70" i="2"/>
  <c r="AL70" i="2"/>
  <c r="AM70" i="2"/>
  <c r="AA71" i="2"/>
  <c r="AB71" i="2"/>
  <c r="AC71" i="2"/>
  <c r="AD71" i="2"/>
  <c r="AF71" i="2"/>
  <c r="AG71" i="2"/>
  <c r="AH71" i="2"/>
  <c r="AI71" i="2"/>
  <c r="AJ71" i="2"/>
  <c r="AK71" i="2"/>
  <c r="AL71" i="2"/>
  <c r="AM71" i="2"/>
  <c r="AA72" i="2"/>
  <c r="AB72" i="2"/>
  <c r="AC72" i="2"/>
  <c r="AD72" i="2"/>
  <c r="AE72" i="2"/>
  <c r="AF72" i="2"/>
  <c r="AG72" i="2"/>
  <c r="AH72" i="2"/>
  <c r="AI72" i="2"/>
  <c r="AJ72" i="2"/>
  <c r="AK72" i="2"/>
  <c r="AL72" i="2"/>
  <c r="AM72" i="2"/>
  <c r="AA73" i="2"/>
  <c r="AB73" i="2"/>
  <c r="AC73" i="2"/>
  <c r="AD73" i="2"/>
  <c r="AE73" i="2"/>
  <c r="AF73" i="2"/>
  <c r="AG73" i="2"/>
  <c r="AH73" i="2"/>
  <c r="AI73" i="2"/>
  <c r="AJ73" i="2"/>
  <c r="AK73" i="2"/>
  <c r="AL73" i="2"/>
  <c r="AM73" i="2"/>
  <c r="AA74" i="2"/>
  <c r="AB74" i="2"/>
  <c r="AC74" i="2"/>
  <c r="AD74" i="2"/>
  <c r="AE74" i="2"/>
  <c r="AF74" i="2"/>
  <c r="AG74" i="2"/>
  <c r="AH74" i="2"/>
  <c r="AI74" i="2"/>
  <c r="AJ74" i="2"/>
  <c r="AK74" i="2"/>
  <c r="AL74" i="2"/>
  <c r="AM74" i="2"/>
  <c r="AA75" i="2"/>
  <c r="AB75" i="2"/>
  <c r="AC75" i="2"/>
  <c r="AD75" i="2"/>
  <c r="AE75" i="2"/>
  <c r="AF75" i="2"/>
  <c r="AG75" i="2"/>
  <c r="AH75" i="2"/>
  <c r="AI75" i="2"/>
  <c r="AJ75" i="2"/>
  <c r="AK75" i="2"/>
  <c r="AL75" i="2"/>
  <c r="AM75" i="2"/>
  <c r="AA76" i="2"/>
  <c r="AB76" i="2"/>
  <c r="AC76" i="2"/>
  <c r="AD76" i="2"/>
  <c r="AE76" i="2"/>
  <c r="AF76" i="2"/>
  <c r="AG76" i="2"/>
  <c r="AH76" i="2"/>
  <c r="AI76" i="2"/>
  <c r="AJ76" i="2"/>
  <c r="AK76" i="2"/>
  <c r="AL76" i="2"/>
  <c r="AM76" i="2"/>
  <c r="AA77" i="2"/>
  <c r="AB77" i="2"/>
  <c r="AC77" i="2"/>
  <c r="AD77" i="2"/>
  <c r="AF77" i="2"/>
  <c r="AG77" i="2"/>
  <c r="AH77" i="2"/>
  <c r="AI77" i="2"/>
  <c r="AJ77" i="2"/>
  <c r="AK77" i="2"/>
  <c r="AL77" i="2"/>
  <c r="AM77" i="2"/>
  <c r="AA78" i="2"/>
  <c r="AB78" i="2"/>
  <c r="AC78" i="2"/>
  <c r="AD78" i="2"/>
  <c r="AE78" i="2"/>
  <c r="AF78" i="2"/>
  <c r="AG78" i="2"/>
  <c r="AH78" i="2"/>
  <c r="AI78" i="2"/>
  <c r="AJ78" i="2"/>
  <c r="AK78" i="2"/>
  <c r="AL78" i="2"/>
  <c r="AM78" i="2"/>
  <c r="AA79" i="2"/>
  <c r="AB79" i="2"/>
  <c r="AC79" i="2"/>
  <c r="AD79" i="2"/>
  <c r="AE79" i="2"/>
  <c r="AF79" i="2"/>
  <c r="AG79" i="2"/>
  <c r="AH79" i="2"/>
  <c r="AI79" i="2"/>
  <c r="AJ79" i="2"/>
  <c r="AK79" i="2"/>
  <c r="AL79" i="2"/>
  <c r="AM79" i="2"/>
  <c r="AA80" i="2"/>
  <c r="AB80" i="2"/>
  <c r="AC80" i="2"/>
  <c r="AD80" i="2"/>
  <c r="AE80" i="2"/>
  <c r="AF80" i="2"/>
  <c r="AG80" i="2"/>
  <c r="AH80" i="2"/>
  <c r="AI80" i="2"/>
  <c r="AJ80" i="2"/>
  <c r="AK80" i="2"/>
  <c r="AL80" i="2"/>
  <c r="AM80" i="2"/>
  <c r="D3" i="20"/>
  <c r="E3" i="20"/>
  <c r="F3" i="20"/>
  <c r="G3" i="20"/>
  <c r="H3" i="20"/>
  <c r="I3" i="20"/>
  <c r="J3" i="20"/>
  <c r="K3" i="20"/>
  <c r="L3" i="20"/>
  <c r="M3" i="20"/>
  <c r="N3" i="20"/>
  <c r="O3" i="20"/>
  <c r="P3" i="20"/>
  <c r="Q3" i="20"/>
  <c r="R3" i="20"/>
  <c r="S3" i="20"/>
  <c r="T3" i="20"/>
  <c r="U3" i="20"/>
  <c r="V3" i="20"/>
  <c r="W3" i="20"/>
  <c r="X3" i="20"/>
  <c r="Y3" i="20"/>
  <c r="Z3" i="20"/>
  <c r="AA3" i="20"/>
  <c r="AB3" i="20"/>
  <c r="AC3" i="20"/>
  <c r="AD3" i="20"/>
  <c r="AE3" i="20"/>
  <c r="AF3" i="20"/>
  <c r="AG3" i="20"/>
  <c r="AH3" i="20"/>
  <c r="AI3" i="20"/>
  <c r="AJ3" i="20"/>
  <c r="AK3" i="20"/>
  <c r="AL3" i="20"/>
  <c r="AM3" i="20"/>
  <c r="AN3" i="20"/>
  <c r="AO3" i="20"/>
  <c r="AP3" i="20"/>
  <c r="AQ3" i="20"/>
  <c r="AR3" i="20"/>
  <c r="AS3" i="20"/>
  <c r="AT3" i="20"/>
  <c r="Y7" i="20"/>
  <c r="Z7" i="20"/>
  <c r="AA7" i="20"/>
  <c r="AB7" i="20"/>
  <c r="AC7" i="20"/>
  <c r="AD7" i="20"/>
  <c r="AE7" i="20"/>
  <c r="AF7" i="20"/>
  <c r="AG7" i="20"/>
  <c r="AH7" i="20"/>
  <c r="AI7" i="20"/>
  <c r="AJ7" i="20"/>
  <c r="AK7" i="20"/>
  <c r="AL7" i="20"/>
  <c r="AM7" i="20"/>
  <c r="AN7" i="20"/>
  <c r="AO7" i="20"/>
  <c r="AP7" i="20"/>
  <c r="AQ7" i="20"/>
  <c r="AR7" i="20"/>
  <c r="AS7" i="20"/>
  <c r="AT7" i="20"/>
  <c r="C8" i="20"/>
  <c r="B9" i="20"/>
  <c r="C9" i="20"/>
  <c r="C17" i="20"/>
  <c r="D17" i="20"/>
  <c r="E17" i="20"/>
  <c r="F17" i="20"/>
  <c r="G17" i="20"/>
  <c r="H17" i="20"/>
  <c r="I17" i="20"/>
  <c r="J17" i="20"/>
  <c r="K17" i="20"/>
  <c r="L17" i="20"/>
  <c r="M17" i="20"/>
  <c r="N17" i="20"/>
  <c r="O17" i="20"/>
  <c r="P17" i="20"/>
  <c r="Q17" i="20"/>
  <c r="R17" i="20"/>
  <c r="S17" i="20"/>
  <c r="T17" i="20"/>
  <c r="U17" i="20"/>
  <c r="V17" i="20"/>
  <c r="W17" i="20"/>
  <c r="X17" i="20"/>
  <c r="C18" i="20"/>
  <c r="D18" i="20"/>
  <c r="E18" i="20"/>
  <c r="F18" i="20"/>
  <c r="G18" i="20"/>
  <c r="H18" i="20"/>
  <c r="I18" i="20"/>
  <c r="J18" i="20"/>
  <c r="K18" i="20"/>
  <c r="L18" i="20"/>
  <c r="M18" i="20"/>
  <c r="N18" i="20"/>
  <c r="O18" i="20"/>
  <c r="P18" i="20"/>
  <c r="Q18" i="20"/>
  <c r="R18" i="20"/>
  <c r="S18" i="20"/>
  <c r="T18" i="20"/>
  <c r="U18" i="20"/>
  <c r="V18" i="20"/>
  <c r="W18" i="20"/>
  <c r="X18" i="20"/>
  <c r="C19" i="20"/>
  <c r="D19" i="20"/>
  <c r="E19" i="20"/>
  <c r="F19" i="20"/>
  <c r="G19" i="20"/>
  <c r="H19" i="20"/>
  <c r="I19" i="20"/>
  <c r="J19" i="20"/>
  <c r="K19" i="20"/>
  <c r="L19" i="20"/>
  <c r="M19" i="20"/>
  <c r="N19" i="20"/>
  <c r="O19" i="20"/>
  <c r="P19" i="20"/>
  <c r="Q19" i="20"/>
  <c r="R19" i="20"/>
  <c r="S19" i="20"/>
  <c r="T19" i="20"/>
  <c r="U19" i="20"/>
  <c r="V19" i="20"/>
  <c r="W19" i="20"/>
  <c r="X19" i="20"/>
  <c r="C20" i="20"/>
  <c r="D20" i="20"/>
  <c r="E20" i="20"/>
  <c r="F20" i="20"/>
  <c r="G20" i="20"/>
  <c r="H20" i="20"/>
  <c r="I20" i="20"/>
  <c r="J20" i="20"/>
  <c r="K20" i="20"/>
  <c r="L20" i="20"/>
  <c r="M20" i="20"/>
  <c r="N20" i="20"/>
  <c r="O20" i="20"/>
  <c r="P20" i="20"/>
  <c r="Q20" i="20"/>
  <c r="R20" i="20"/>
  <c r="S20" i="20"/>
  <c r="T20" i="20"/>
  <c r="U20" i="20"/>
  <c r="V20" i="20"/>
  <c r="W20" i="20"/>
  <c r="X20" i="20"/>
  <c r="C21" i="20"/>
  <c r="D21" i="20"/>
  <c r="E21" i="20"/>
  <c r="F21" i="20"/>
  <c r="G21" i="20"/>
  <c r="H21" i="20"/>
  <c r="I21" i="20"/>
  <c r="J21" i="20"/>
  <c r="K21" i="20"/>
  <c r="L21" i="20"/>
  <c r="M21" i="20"/>
  <c r="N21" i="20"/>
  <c r="O21" i="20"/>
  <c r="P21" i="20"/>
  <c r="Q21" i="20"/>
  <c r="R21" i="20"/>
  <c r="S21" i="20"/>
  <c r="T21" i="20"/>
  <c r="U21" i="20"/>
  <c r="V21" i="20"/>
  <c r="W21" i="20"/>
  <c r="X21" i="20"/>
  <c r="D22" i="20"/>
  <c r="E22" i="20"/>
  <c r="F22" i="20"/>
  <c r="G22" i="20"/>
  <c r="H22" i="20"/>
  <c r="I22" i="20"/>
  <c r="J22" i="20"/>
  <c r="K22" i="20"/>
  <c r="L22" i="20"/>
  <c r="M22" i="20"/>
  <c r="N22" i="20"/>
  <c r="O22" i="20"/>
  <c r="P22" i="20"/>
  <c r="Q22" i="20"/>
  <c r="R22" i="20"/>
  <c r="S22" i="20"/>
  <c r="T22" i="20"/>
  <c r="U22" i="20"/>
  <c r="V22" i="20"/>
  <c r="W22" i="20"/>
  <c r="X22" i="20"/>
  <c r="C23" i="20"/>
  <c r="C24" i="20"/>
  <c r="D32" i="20"/>
  <c r="E32" i="20"/>
  <c r="F32" i="20"/>
  <c r="G32" i="20"/>
  <c r="H32" i="20"/>
  <c r="I32" i="20"/>
  <c r="J32" i="20"/>
  <c r="K32" i="20"/>
  <c r="L32" i="20"/>
  <c r="M32" i="20"/>
  <c r="N32" i="20"/>
  <c r="O32" i="20"/>
  <c r="P32" i="20"/>
  <c r="Q32" i="20"/>
  <c r="R32" i="20"/>
  <c r="S32" i="20"/>
  <c r="T32" i="20"/>
  <c r="U32" i="20"/>
  <c r="V32" i="20"/>
  <c r="W32" i="20"/>
  <c r="X32" i="20"/>
  <c r="Y32" i="20"/>
  <c r="Z32" i="20"/>
  <c r="AA32" i="20"/>
  <c r="AB32" i="20"/>
  <c r="AC32" i="20"/>
  <c r="AD32" i="20"/>
  <c r="AE32" i="20"/>
  <c r="AF32" i="20"/>
  <c r="AG32" i="20"/>
  <c r="AH32" i="20"/>
  <c r="AI32" i="20"/>
  <c r="AJ32" i="20"/>
  <c r="AK32" i="20"/>
  <c r="AL32" i="20"/>
  <c r="AM32" i="20"/>
  <c r="AN32" i="20"/>
  <c r="AO32" i="20"/>
  <c r="AP32" i="20"/>
  <c r="AQ32" i="20"/>
  <c r="AR32" i="20"/>
  <c r="AS32" i="20"/>
  <c r="AT32" i="20"/>
  <c r="D33" i="20"/>
  <c r="E33" i="20"/>
  <c r="F33" i="20"/>
  <c r="G33" i="20"/>
  <c r="H33" i="20"/>
  <c r="I33" i="20"/>
  <c r="J33" i="20"/>
  <c r="K33" i="20"/>
  <c r="L33" i="20"/>
  <c r="M33" i="20"/>
  <c r="N33" i="20"/>
  <c r="O33" i="20"/>
  <c r="P33" i="20"/>
  <c r="Q33" i="20"/>
  <c r="R33" i="20"/>
  <c r="S33" i="20"/>
  <c r="T33" i="20"/>
  <c r="U33" i="20"/>
  <c r="V33" i="20"/>
  <c r="W33" i="20"/>
  <c r="X33" i="20"/>
  <c r="Y33" i="20"/>
  <c r="Z33" i="20"/>
  <c r="AA33" i="20"/>
  <c r="AB33" i="20"/>
  <c r="AC33" i="20"/>
  <c r="AD33" i="20"/>
  <c r="AE33" i="20"/>
  <c r="AF33" i="20"/>
  <c r="AG33" i="20"/>
  <c r="AH33" i="20"/>
  <c r="AI33" i="20"/>
  <c r="AJ33" i="20"/>
  <c r="AK33" i="20"/>
  <c r="AL33" i="20"/>
  <c r="AM33" i="20"/>
  <c r="AN33" i="20"/>
  <c r="AO33" i="20"/>
  <c r="AP33" i="20"/>
  <c r="AQ33" i="20"/>
  <c r="AR33" i="20"/>
  <c r="AS33" i="20"/>
  <c r="AT33" i="20"/>
  <c r="D34" i="20"/>
  <c r="E34" i="20"/>
  <c r="F34" i="20"/>
  <c r="G34" i="20"/>
  <c r="H34" i="20"/>
  <c r="I34" i="20"/>
  <c r="J34" i="20"/>
  <c r="K34" i="20"/>
  <c r="L34" i="20"/>
  <c r="M34" i="20"/>
  <c r="N34" i="20"/>
  <c r="O34" i="20"/>
  <c r="P34" i="20"/>
  <c r="Q34" i="20"/>
  <c r="R34" i="20"/>
  <c r="S34" i="20"/>
  <c r="T34" i="20"/>
  <c r="U34" i="20"/>
  <c r="V34" i="20"/>
  <c r="W34" i="20"/>
  <c r="X34" i="20"/>
  <c r="Y34" i="20"/>
  <c r="Z34" i="20"/>
  <c r="AA34" i="20"/>
  <c r="AB34" i="20"/>
  <c r="AC34" i="20"/>
  <c r="AD34" i="20"/>
  <c r="AE34" i="20"/>
  <c r="AF34" i="20"/>
  <c r="AG34" i="20"/>
  <c r="AH34" i="20"/>
  <c r="AI34" i="20"/>
  <c r="AJ34" i="20"/>
  <c r="AK34" i="20"/>
  <c r="AL34" i="20"/>
  <c r="AM34" i="20"/>
  <c r="AN34" i="20"/>
  <c r="AO34" i="20"/>
  <c r="AP34" i="20"/>
  <c r="AQ34" i="20"/>
  <c r="AR34" i="20"/>
  <c r="AS34" i="20"/>
  <c r="AT34" i="20"/>
  <c r="D35" i="20"/>
  <c r="E35" i="20"/>
  <c r="F35" i="20"/>
  <c r="G35" i="20"/>
  <c r="H35" i="20"/>
  <c r="I35" i="20"/>
  <c r="J35" i="20"/>
  <c r="K35" i="20"/>
  <c r="L35" i="20"/>
  <c r="M35" i="20"/>
  <c r="N35" i="20"/>
  <c r="O35" i="20"/>
  <c r="P35" i="20"/>
  <c r="Q35" i="20"/>
  <c r="R35" i="20"/>
  <c r="S35" i="20"/>
  <c r="T35" i="20"/>
  <c r="U35" i="20"/>
  <c r="V35" i="20"/>
  <c r="W35"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C36" i="20"/>
  <c r="B37" i="20"/>
  <c r="C37" i="20"/>
  <c r="C44" i="20"/>
  <c r="D44" i="20"/>
  <c r="E44" i="20"/>
  <c r="F44" i="20"/>
  <c r="G44" i="20"/>
  <c r="H44" i="20"/>
  <c r="I44" i="20"/>
  <c r="J44" i="20"/>
  <c r="K44" i="20"/>
  <c r="L44" i="20"/>
  <c r="M44" i="20"/>
  <c r="N44" i="20"/>
  <c r="O44" i="20"/>
  <c r="P44" i="20"/>
  <c r="Q44" i="20"/>
  <c r="R44" i="20"/>
  <c r="S44" i="20"/>
  <c r="T44" i="20"/>
  <c r="U44" i="20"/>
  <c r="V44" i="20"/>
  <c r="W44" i="20"/>
  <c r="X44" i="20"/>
  <c r="Y44" i="20"/>
  <c r="C45" i="20"/>
  <c r="D45" i="20"/>
  <c r="E45" i="20"/>
  <c r="F45"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C46" i="20"/>
  <c r="D46" i="20"/>
  <c r="E46" i="20"/>
  <c r="F46" i="20"/>
  <c r="G46" i="20"/>
  <c r="H46" i="20"/>
  <c r="I46" i="20"/>
  <c r="J46" i="20"/>
  <c r="K46" i="20"/>
  <c r="L46" i="20"/>
  <c r="M46" i="20"/>
  <c r="N46" i="20"/>
  <c r="O46" i="20"/>
  <c r="P46" i="20"/>
  <c r="Q46" i="20"/>
  <c r="R46" i="20"/>
  <c r="S46" i="20"/>
  <c r="T46" i="20"/>
  <c r="U46" i="20"/>
  <c r="V46" i="20"/>
  <c r="W46" i="20"/>
  <c r="X46" i="20"/>
  <c r="Y46" i="20"/>
  <c r="C47" i="20"/>
  <c r="D47" i="20"/>
  <c r="E47" i="20"/>
  <c r="F47" i="20"/>
  <c r="G47" i="20"/>
  <c r="H47" i="20"/>
  <c r="I47" i="20"/>
  <c r="J47" i="20"/>
  <c r="K47" i="20"/>
  <c r="L47" i="20"/>
  <c r="M47" i="20"/>
  <c r="N47" i="20"/>
  <c r="O47" i="20"/>
  <c r="P47" i="20"/>
  <c r="Q47" i="20"/>
  <c r="R47" i="20"/>
  <c r="S47" i="20"/>
  <c r="T47" i="20"/>
  <c r="U47" i="20"/>
  <c r="V47" i="20"/>
  <c r="W47" i="20"/>
  <c r="X47" i="20"/>
  <c r="Y47" i="20"/>
  <c r="C48" i="20"/>
  <c r="D48" i="20"/>
  <c r="E48" i="20"/>
  <c r="F48" i="20"/>
  <c r="G48" i="20"/>
  <c r="H48" i="20"/>
  <c r="I48" i="20"/>
  <c r="J48" i="20"/>
  <c r="K48" i="20"/>
  <c r="L48" i="20"/>
  <c r="M48" i="20"/>
  <c r="N48" i="20"/>
  <c r="O48" i="20"/>
  <c r="P48" i="20"/>
  <c r="Q48" i="20"/>
  <c r="R48" i="20"/>
  <c r="S48" i="20"/>
  <c r="T48" i="20"/>
  <c r="U48" i="20"/>
  <c r="V48" i="20"/>
  <c r="W48" i="20"/>
  <c r="X48" i="20"/>
  <c r="Y48" i="20"/>
  <c r="C49" i="20"/>
  <c r="Z49" i="20"/>
  <c r="AA49" i="20"/>
  <c r="AB49" i="20"/>
  <c r="AC49" i="20"/>
  <c r="AD49" i="20"/>
  <c r="AE49" i="20"/>
  <c r="AF49" i="20"/>
  <c r="AG49" i="20"/>
  <c r="AH49" i="20"/>
  <c r="AI49" i="20"/>
  <c r="AJ49" i="20"/>
  <c r="AK49" i="20"/>
  <c r="AL49" i="20"/>
  <c r="AM49" i="20"/>
  <c r="AN49" i="20"/>
  <c r="AO49" i="20"/>
  <c r="AP49" i="20"/>
  <c r="AQ49" i="20"/>
  <c r="AR49" i="20"/>
  <c r="AS49" i="20"/>
  <c r="AT49" i="20"/>
  <c r="C50" i="20"/>
  <c r="Z50" i="20"/>
  <c r="AA50" i="20"/>
  <c r="AB50" i="20"/>
  <c r="AC50" i="20"/>
  <c r="AD50" i="20"/>
  <c r="AE50" i="20"/>
  <c r="AF50" i="20"/>
  <c r="AG50" i="20"/>
  <c r="AH50" i="20"/>
  <c r="AI50" i="20"/>
  <c r="AJ50" i="20"/>
  <c r="AK50" i="20"/>
  <c r="AL50" i="20"/>
  <c r="AM50" i="20"/>
  <c r="AN50" i="20"/>
  <c r="AO50" i="20"/>
  <c r="AP50" i="20"/>
  <c r="AQ50" i="20"/>
  <c r="AR50" i="20"/>
  <c r="AS50" i="20"/>
  <c r="AT50" i="20"/>
  <c r="C51" i="20"/>
  <c r="D51" i="20"/>
  <c r="E51" i="20"/>
  <c r="F51" i="20"/>
  <c r="G51" i="20"/>
  <c r="H51" i="20"/>
  <c r="I51" i="20"/>
  <c r="J51" i="20"/>
  <c r="K51" i="20"/>
  <c r="L51" i="20"/>
  <c r="M51" i="20"/>
  <c r="N51" i="20"/>
  <c r="O51" i="20"/>
  <c r="P51" i="20"/>
  <c r="Q51" i="20"/>
  <c r="R51" i="20"/>
  <c r="S51" i="20"/>
  <c r="T51" i="20"/>
  <c r="U51" i="20"/>
  <c r="V51" i="20"/>
  <c r="W51" i="20"/>
  <c r="X51" i="20"/>
  <c r="Y51" i="20"/>
  <c r="Z51" i="20"/>
  <c r="AA51" i="20"/>
  <c r="AB51" i="20"/>
  <c r="AC51" i="20"/>
  <c r="AD51" i="20"/>
  <c r="AE51" i="20"/>
  <c r="AF51" i="20"/>
  <c r="AG51" i="20"/>
  <c r="AH51" i="20"/>
  <c r="AI51" i="20"/>
  <c r="AJ51" i="20"/>
  <c r="AK51" i="20"/>
  <c r="AL51" i="20"/>
  <c r="AM51" i="20"/>
  <c r="AN51" i="20"/>
  <c r="AO51" i="20"/>
  <c r="AP51" i="20"/>
  <c r="AQ51" i="20"/>
  <c r="AR51" i="20"/>
  <c r="AS51" i="20"/>
  <c r="AT51" i="20"/>
  <c r="AF5" i="4"/>
  <c r="AG5" i="4"/>
  <c r="AH5" i="4"/>
  <c r="AI5" i="4"/>
  <c r="AJ5" i="4"/>
  <c r="AK5" i="4"/>
  <c r="AL5" i="4"/>
  <c r="AM5" i="4"/>
  <c r="AN5" i="4"/>
  <c r="AO5" i="4"/>
  <c r="AP5" i="4"/>
  <c r="AQ5" i="4"/>
  <c r="AR5" i="4"/>
  <c r="AS5" i="4"/>
  <c r="AT5" i="4"/>
  <c r="AU5" i="4"/>
  <c r="AV5" i="4"/>
  <c r="AW5" i="4"/>
  <c r="AX5" i="4"/>
  <c r="AY5" i="4"/>
  <c r="AZ5" i="4"/>
  <c r="BA5" i="4"/>
  <c r="BB5" i="4"/>
  <c r="BC5" i="4"/>
  <c r="BD5" i="4"/>
  <c r="BE5" i="4"/>
  <c r="BF5" i="4"/>
  <c r="BG5" i="4"/>
  <c r="BH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P5" i="4"/>
  <c r="CQ5" i="4"/>
  <c r="AF6" i="4"/>
  <c r="AG6" i="4"/>
  <c r="AH6" i="4"/>
  <c r="AI6" i="4"/>
  <c r="AJ6" i="4"/>
  <c r="AK6" i="4"/>
  <c r="AL6" i="4"/>
  <c r="AM6" i="4"/>
  <c r="AN6" i="4"/>
  <c r="AO6" i="4"/>
  <c r="AP6" i="4"/>
  <c r="AQ6" i="4"/>
  <c r="AR6" i="4"/>
  <c r="AS6" i="4"/>
  <c r="AT6" i="4"/>
  <c r="AU6" i="4"/>
  <c r="AV6" i="4"/>
  <c r="AW6" i="4"/>
  <c r="AX6" i="4"/>
  <c r="AY6" i="4"/>
  <c r="AZ6" i="4"/>
  <c r="BA6" i="4"/>
  <c r="BB6" i="4"/>
  <c r="BC6" i="4"/>
  <c r="BD6" i="4"/>
  <c r="BE6" i="4"/>
  <c r="BF6" i="4"/>
  <c r="BG6" i="4"/>
  <c r="BH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P6" i="4"/>
  <c r="CQ6" i="4"/>
  <c r="AF7" i="4"/>
  <c r="AG7" i="4"/>
  <c r="AH7" i="4"/>
  <c r="AI7" i="4"/>
  <c r="AJ7" i="4"/>
  <c r="AK7" i="4"/>
  <c r="AL7" i="4"/>
  <c r="AM7" i="4"/>
  <c r="AN7" i="4"/>
  <c r="AO7" i="4"/>
  <c r="AP7" i="4"/>
  <c r="AQ7" i="4"/>
  <c r="AR7" i="4"/>
  <c r="AS7" i="4"/>
  <c r="AT7" i="4"/>
  <c r="AU7" i="4"/>
  <c r="AV7" i="4"/>
  <c r="AW7" i="4"/>
  <c r="AX7" i="4"/>
  <c r="AY7" i="4"/>
  <c r="AZ7" i="4"/>
  <c r="BA7" i="4"/>
  <c r="BB7" i="4"/>
  <c r="BC7" i="4"/>
  <c r="BD7" i="4"/>
  <c r="BE7" i="4"/>
  <c r="BF7" i="4"/>
  <c r="BG7" i="4"/>
  <c r="BH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P7" i="4"/>
  <c r="CQ7" i="4"/>
  <c r="AF8" i="4"/>
  <c r="AG8" i="4"/>
  <c r="AH8" i="4"/>
  <c r="AI8" i="4"/>
  <c r="AJ8" i="4"/>
  <c r="AK8" i="4"/>
  <c r="AL8" i="4"/>
  <c r="AM8" i="4"/>
  <c r="AN8" i="4"/>
  <c r="AO8" i="4"/>
  <c r="AP8" i="4"/>
  <c r="AQ8" i="4"/>
  <c r="AR8" i="4"/>
  <c r="AS8" i="4"/>
  <c r="AT8" i="4"/>
  <c r="AU8" i="4"/>
  <c r="AV8" i="4"/>
  <c r="AW8" i="4"/>
  <c r="AX8" i="4"/>
  <c r="AY8" i="4"/>
  <c r="AZ8" i="4"/>
  <c r="BA8" i="4"/>
  <c r="BB8" i="4"/>
  <c r="BC8" i="4"/>
  <c r="BD8" i="4"/>
  <c r="BE8" i="4"/>
  <c r="BF8" i="4"/>
  <c r="BG8" i="4"/>
  <c r="BH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P8" i="4"/>
  <c r="CQ8" i="4"/>
  <c r="AF9" i="4"/>
  <c r="AG9" i="4"/>
  <c r="AH9" i="4"/>
  <c r="AI9" i="4"/>
  <c r="AJ9" i="4"/>
  <c r="AK9" i="4"/>
  <c r="AL9" i="4"/>
  <c r="AM9" i="4"/>
  <c r="AN9" i="4"/>
  <c r="AO9" i="4"/>
  <c r="AP9" i="4"/>
  <c r="AQ9" i="4"/>
  <c r="AR9" i="4"/>
  <c r="AS9" i="4"/>
  <c r="AT9" i="4"/>
  <c r="AU9" i="4"/>
  <c r="AV9" i="4"/>
  <c r="AW9" i="4"/>
  <c r="AX9" i="4"/>
  <c r="AY9" i="4"/>
  <c r="AZ9" i="4"/>
  <c r="BA9" i="4"/>
  <c r="BB9" i="4"/>
  <c r="BC9" i="4"/>
  <c r="BD9" i="4"/>
  <c r="BE9" i="4"/>
  <c r="BF9" i="4"/>
  <c r="BG9" i="4"/>
  <c r="BH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P9" i="4"/>
  <c r="CQ9" i="4"/>
  <c r="AF10" i="4"/>
  <c r="AG10" i="4"/>
  <c r="AH10" i="4"/>
  <c r="AI10" i="4"/>
  <c r="AJ10" i="4"/>
  <c r="AK10" i="4"/>
  <c r="AL10" i="4"/>
  <c r="AM10" i="4"/>
  <c r="AN10" i="4"/>
  <c r="AO10" i="4"/>
  <c r="AP10" i="4"/>
  <c r="AQ10" i="4"/>
  <c r="AR10" i="4"/>
  <c r="AS10" i="4"/>
  <c r="AT10" i="4"/>
  <c r="AU10" i="4"/>
  <c r="AV10" i="4"/>
  <c r="AW10" i="4"/>
  <c r="AX10" i="4"/>
  <c r="AY10" i="4"/>
  <c r="AZ10" i="4"/>
  <c r="BA10" i="4"/>
  <c r="BB10" i="4"/>
  <c r="BC10" i="4"/>
  <c r="BD10" i="4"/>
  <c r="BE10" i="4"/>
  <c r="BF10" i="4"/>
  <c r="BG10" i="4"/>
  <c r="BH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P10" i="4"/>
  <c r="CQ10" i="4"/>
  <c r="AF11" i="4"/>
  <c r="AG11" i="4"/>
  <c r="AH11" i="4"/>
  <c r="AI11" i="4"/>
  <c r="AJ11" i="4"/>
  <c r="AK11" i="4"/>
  <c r="AL11" i="4"/>
  <c r="AM11" i="4"/>
  <c r="AN11" i="4"/>
  <c r="AO11" i="4"/>
  <c r="AP11" i="4"/>
  <c r="AQ11" i="4"/>
  <c r="AR11" i="4"/>
  <c r="AS11" i="4"/>
  <c r="AT11" i="4"/>
  <c r="AU11" i="4"/>
  <c r="AV11" i="4"/>
  <c r="AW11" i="4"/>
  <c r="AX11" i="4"/>
  <c r="AY11" i="4"/>
  <c r="AZ11" i="4"/>
  <c r="BA11" i="4"/>
  <c r="BB11" i="4"/>
  <c r="BC11" i="4"/>
  <c r="BD11" i="4"/>
  <c r="BE11" i="4"/>
  <c r="BF11" i="4"/>
  <c r="BG11" i="4"/>
  <c r="BH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P11" i="4"/>
  <c r="CQ11" i="4"/>
  <c r="AF12" i="4"/>
  <c r="AG12" i="4"/>
  <c r="AH12" i="4"/>
  <c r="AI12" i="4"/>
  <c r="AJ12" i="4"/>
  <c r="AK12" i="4"/>
  <c r="AL12" i="4"/>
  <c r="AM12" i="4"/>
  <c r="AN12" i="4"/>
  <c r="AO12" i="4"/>
  <c r="AP12" i="4"/>
  <c r="AQ12" i="4"/>
  <c r="AR12" i="4"/>
  <c r="AS12" i="4"/>
  <c r="AT12" i="4"/>
  <c r="AU12" i="4"/>
  <c r="AV12" i="4"/>
  <c r="AW12" i="4"/>
  <c r="AX12" i="4"/>
  <c r="AY12" i="4"/>
  <c r="AZ12" i="4"/>
  <c r="BA12" i="4"/>
  <c r="BB12" i="4"/>
  <c r="BC12" i="4"/>
  <c r="BD12" i="4"/>
  <c r="BE12" i="4"/>
  <c r="BF12" i="4"/>
  <c r="BG12" i="4"/>
  <c r="BH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P12" i="4"/>
  <c r="CQ12" i="4"/>
  <c r="AF13" i="4"/>
  <c r="AG13" i="4"/>
  <c r="AH13" i="4"/>
  <c r="AI13" i="4"/>
  <c r="AJ13" i="4"/>
  <c r="AK13" i="4"/>
  <c r="AL13" i="4"/>
  <c r="AM13" i="4"/>
  <c r="AN13" i="4"/>
  <c r="AO13" i="4"/>
  <c r="AP13" i="4"/>
  <c r="AQ13" i="4"/>
  <c r="AR13" i="4"/>
  <c r="AS13" i="4"/>
  <c r="AT13" i="4"/>
  <c r="AU13" i="4"/>
  <c r="AV13" i="4"/>
  <c r="AW13" i="4"/>
  <c r="AX13" i="4"/>
  <c r="AY13" i="4"/>
  <c r="AZ13" i="4"/>
  <c r="BA13" i="4"/>
  <c r="BB13" i="4"/>
  <c r="BC13" i="4"/>
  <c r="BD13" i="4"/>
  <c r="BE13" i="4"/>
  <c r="BF13" i="4"/>
  <c r="BG13" i="4"/>
  <c r="BH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P13" i="4"/>
  <c r="CQ13" i="4"/>
  <c r="AF14" i="4"/>
  <c r="AG14" i="4"/>
  <c r="AH14" i="4"/>
  <c r="AI14" i="4"/>
  <c r="AJ14" i="4"/>
  <c r="AK14" i="4"/>
  <c r="AL14" i="4"/>
  <c r="AM14" i="4"/>
  <c r="AN14" i="4"/>
  <c r="AO14" i="4"/>
  <c r="AP14" i="4"/>
  <c r="AQ14" i="4"/>
  <c r="AR14" i="4"/>
  <c r="AS14" i="4"/>
  <c r="AT14" i="4"/>
  <c r="AU14" i="4"/>
  <c r="AV14" i="4"/>
  <c r="AW14" i="4"/>
  <c r="AX14" i="4"/>
  <c r="AY14" i="4"/>
  <c r="AZ14" i="4"/>
  <c r="BA14" i="4"/>
  <c r="BB14" i="4"/>
  <c r="BC14" i="4"/>
  <c r="BD14" i="4"/>
  <c r="BE14" i="4"/>
  <c r="BF14" i="4"/>
  <c r="BG14" i="4"/>
  <c r="BH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P14" i="4"/>
  <c r="CQ14" i="4"/>
  <c r="AF15" i="4"/>
  <c r="AG15" i="4"/>
  <c r="AH15" i="4"/>
  <c r="AI15" i="4"/>
  <c r="AJ15" i="4"/>
  <c r="AK15" i="4"/>
  <c r="AL15" i="4"/>
  <c r="AM15" i="4"/>
  <c r="AN15" i="4"/>
  <c r="AO15" i="4"/>
  <c r="AP15" i="4"/>
  <c r="AQ15" i="4"/>
  <c r="AR15" i="4"/>
  <c r="AS15" i="4"/>
  <c r="AT15" i="4"/>
  <c r="AU15" i="4"/>
  <c r="AV15" i="4"/>
  <c r="AW15" i="4"/>
  <c r="AX15" i="4"/>
  <c r="AY15" i="4"/>
  <c r="AZ15" i="4"/>
  <c r="BA15" i="4"/>
  <c r="BB15" i="4"/>
  <c r="BC15" i="4"/>
  <c r="BD15" i="4"/>
  <c r="BE15" i="4"/>
  <c r="BF15" i="4"/>
  <c r="BG15" i="4"/>
  <c r="BH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P15" i="4"/>
  <c r="CQ15" i="4"/>
  <c r="AF16" i="4"/>
  <c r="AG16" i="4"/>
  <c r="AH16" i="4"/>
  <c r="AI16" i="4"/>
  <c r="AJ16" i="4"/>
  <c r="AK16" i="4"/>
  <c r="AL16" i="4"/>
  <c r="AM16" i="4"/>
  <c r="AN16" i="4"/>
  <c r="AO16" i="4"/>
  <c r="AP16" i="4"/>
  <c r="AQ16" i="4"/>
  <c r="AR16" i="4"/>
  <c r="AS16" i="4"/>
  <c r="AT16" i="4"/>
  <c r="AU16" i="4"/>
  <c r="AV16" i="4"/>
  <c r="AW16" i="4"/>
  <c r="AX16" i="4"/>
  <c r="AY16" i="4"/>
  <c r="AZ16" i="4"/>
  <c r="BA16" i="4"/>
  <c r="BB16" i="4"/>
  <c r="BC16" i="4"/>
  <c r="BD16" i="4"/>
  <c r="BE16" i="4"/>
  <c r="BF16" i="4"/>
  <c r="BG16" i="4"/>
  <c r="BH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P16" i="4"/>
  <c r="CQ16" i="4"/>
  <c r="AF19" i="4"/>
  <c r="AG19" i="4"/>
  <c r="AH19" i="4"/>
  <c r="AI19" i="4"/>
  <c r="AJ19" i="4"/>
  <c r="AK19" i="4"/>
  <c r="AL19" i="4"/>
  <c r="AM19" i="4"/>
  <c r="AN19" i="4"/>
  <c r="AO19" i="4"/>
  <c r="AP19" i="4"/>
  <c r="AQ19" i="4"/>
  <c r="AR19" i="4"/>
  <c r="AS19" i="4"/>
  <c r="AT19" i="4"/>
  <c r="AU19" i="4"/>
  <c r="AV19" i="4"/>
  <c r="AW19" i="4"/>
  <c r="AX19" i="4"/>
  <c r="AY19" i="4"/>
  <c r="AZ19" i="4"/>
  <c r="BA19" i="4"/>
  <c r="BB19" i="4"/>
  <c r="BC19" i="4"/>
  <c r="BD19" i="4"/>
  <c r="BE19" i="4"/>
  <c r="BF19" i="4"/>
  <c r="BG19" i="4"/>
  <c r="BH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AF20" i="4"/>
  <c r="AG20" i="4"/>
  <c r="AH20" i="4"/>
  <c r="AI20" i="4"/>
  <c r="AJ20" i="4"/>
  <c r="AK20" i="4"/>
  <c r="AL20" i="4"/>
  <c r="AM20" i="4"/>
  <c r="AN20" i="4"/>
  <c r="AO20" i="4"/>
  <c r="AP20" i="4"/>
  <c r="AQ20" i="4"/>
  <c r="AR20" i="4"/>
  <c r="AS20" i="4"/>
  <c r="AT20" i="4"/>
  <c r="AU20" i="4"/>
  <c r="AV20" i="4"/>
  <c r="AW20" i="4"/>
  <c r="AX20" i="4"/>
  <c r="AY20" i="4"/>
  <c r="AZ20" i="4"/>
  <c r="BA20" i="4"/>
  <c r="BB20" i="4"/>
  <c r="BC20" i="4"/>
  <c r="BD20" i="4"/>
  <c r="BE20" i="4"/>
  <c r="BF20" i="4"/>
  <c r="BG20" i="4"/>
  <c r="BH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AF21" i="4"/>
  <c r="AG21" i="4"/>
  <c r="AH21" i="4"/>
  <c r="AI21" i="4"/>
  <c r="AJ21" i="4"/>
  <c r="AK21" i="4"/>
  <c r="AL21" i="4"/>
  <c r="AM21" i="4"/>
  <c r="AN21" i="4"/>
  <c r="AO21" i="4"/>
  <c r="AP21" i="4"/>
  <c r="AQ21" i="4"/>
  <c r="AR21" i="4"/>
  <c r="AS21" i="4"/>
  <c r="AT21" i="4"/>
  <c r="AU21" i="4"/>
  <c r="AV21" i="4"/>
  <c r="AW21" i="4"/>
  <c r="AX21" i="4"/>
  <c r="AY21" i="4"/>
  <c r="AZ21" i="4"/>
  <c r="BA21" i="4"/>
  <c r="BB21" i="4"/>
  <c r="BC21" i="4"/>
  <c r="BD21" i="4"/>
  <c r="BE21" i="4"/>
  <c r="BF21" i="4"/>
  <c r="BG21" i="4"/>
  <c r="BH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AF22" i="4"/>
  <c r="AG22" i="4"/>
  <c r="AH22" i="4"/>
  <c r="AI22" i="4"/>
  <c r="AJ22" i="4"/>
  <c r="AK22" i="4"/>
  <c r="AL22" i="4"/>
  <c r="AM22" i="4"/>
  <c r="AN22" i="4"/>
  <c r="AO22" i="4"/>
  <c r="AP22" i="4"/>
  <c r="AQ22" i="4"/>
  <c r="AR22" i="4"/>
  <c r="AS22" i="4"/>
  <c r="AT22" i="4"/>
  <c r="AU22" i="4"/>
  <c r="AV22" i="4"/>
  <c r="AW22" i="4"/>
  <c r="AX22" i="4"/>
  <c r="AY22" i="4"/>
  <c r="AZ22" i="4"/>
  <c r="BA22" i="4"/>
  <c r="BB22" i="4"/>
  <c r="BC22" i="4"/>
  <c r="BD22" i="4"/>
  <c r="BE22" i="4"/>
  <c r="BF22" i="4"/>
  <c r="BG22" i="4"/>
  <c r="BH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AF23" i="4"/>
  <c r="AG23" i="4"/>
  <c r="AH23" i="4"/>
  <c r="AI23" i="4"/>
  <c r="AJ23" i="4"/>
  <c r="AK23" i="4"/>
  <c r="AL23" i="4"/>
  <c r="AM23" i="4"/>
  <c r="AN23" i="4"/>
  <c r="AO23" i="4"/>
  <c r="AP23" i="4"/>
  <c r="AQ23" i="4"/>
  <c r="AR23" i="4"/>
  <c r="AS23" i="4"/>
  <c r="AT23" i="4"/>
  <c r="AU23" i="4"/>
  <c r="AV23" i="4"/>
  <c r="AW23" i="4"/>
  <c r="AX23" i="4"/>
  <c r="AY23" i="4"/>
  <c r="AZ23" i="4"/>
  <c r="BA23" i="4"/>
  <c r="BB23" i="4"/>
  <c r="BC23" i="4"/>
  <c r="BD23" i="4"/>
  <c r="BE23" i="4"/>
  <c r="BF23" i="4"/>
  <c r="BG23" i="4"/>
  <c r="BH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AF24" i="4"/>
  <c r="AG24" i="4"/>
  <c r="AH24" i="4"/>
  <c r="AI24" i="4"/>
  <c r="AJ24" i="4"/>
  <c r="AK24" i="4"/>
  <c r="AL24" i="4"/>
  <c r="AM24" i="4"/>
  <c r="AN24" i="4"/>
  <c r="AO24" i="4"/>
  <c r="AP24" i="4"/>
  <c r="AQ24" i="4"/>
  <c r="AR24" i="4"/>
  <c r="AS24" i="4"/>
  <c r="AT24" i="4"/>
  <c r="AU24" i="4"/>
  <c r="AV24" i="4"/>
  <c r="AW24" i="4"/>
  <c r="AX24" i="4"/>
  <c r="AY24" i="4"/>
  <c r="AZ24" i="4"/>
  <c r="BA24" i="4"/>
  <c r="BB24" i="4"/>
  <c r="BC24" i="4"/>
  <c r="BD24" i="4"/>
  <c r="BE24" i="4"/>
  <c r="BF24" i="4"/>
  <c r="BG24" i="4"/>
  <c r="BH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AF25" i="4"/>
  <c r="AG25" i="4"/>
  <c r="AH25" i="4"/>
  <c r="AI25" i="4"/>
  <c r="AJ25" i="4"/>
  <c r="AK25" i="4"/>
  <c r="AL25" i="4"/>
  <c r="AM25" i="4"/>
  <c r="AN25" i="4"/>
  <c r="AO25" i="4"/>
  <c r="AP25" i="4"/>
  <c r="AQ25" i="4"/>
  <c r="AR25" i="4"/>
  <c r="AS25" i="4"/>
  <c r="AT25" i="4"/>
  <c r="AU25" i="4"/>
  <c r="AV25" i="4"/>
  <c r="AW25" i="4"/>
  <c r="AX25" i="4"/>
  <c r="AY25" i="4"/>
  <c r="AZ25" i="4"/>
  <c r="BA25" i="4"/>
  <c r="BB25" i="4"/>
  <c r="BC25" i="4"/>
  <c r="BD25" i="4"/>
  <c r="BE25" i="4"/>
  <c r="BF25" i="4"/>
  <c r="BG25" i="4"/>
  <c r="BH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AF26" i="4"/>
  <c r="AG26" i="4"/>
  <c r="AH26" i="4"/>
  <c r="AI26" i="4"/>
  <c r="AJ26" i="4"/>
  <c r="AK26" i="4"/>
  <c r="AL26" i="4"/>
  <c r="AM26" i="4"/>
  <c r="AN26" i="4"/>
  <c r="AO26" i="4"/>
  <c r="AP26" i="4"/>
  <c r="AQ26" i="4"/>
  <c r="AR26" i="4"/>
  <c r="AS26" i="4"/>
  <c r="AT26" i="4"/>
  <c r="AU26" i="4"/>
  <c r="AV26" i="4"/>
  <c r="AW26" i="4"/>
  <c r="AX26" i="4"/>
  <c r="AY26" i="4"/>
  <c r="AZ26" i="4"/>
  <c r="BA26" i="4"/>
  <c r="BB26" i="4"/>
  <c r="BC26" i="4"/>
  <c r="BD26" i="4"/>
  <c r="BE26" i="4"/>
  <c r="BF26" i="4"/>
  <c r="BG26" i="4"/>
  <c r="BH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AF27" i="4"/>
  <c r="AG27" i="4"/>
  <c r="AH27" i="4"/>
  <c r="AI27" i="4"/>
  <c r="AJ27" i="4"/>
  <c r="AK27" i="4"/>
  <c r="AL27" i="4"/>
  <c r="AM27" i="4"/>
  <c r="AN27" i="4"/>
  <c r="AO27" i="4"/>
  <c r="AP27" i="4"/>
  <c r="AQ27" i="4"/>
  <c r="AR27" i="4"/>
  <c r="AS27" i="4"/>
  <c r="AT27" i="4"/>
  <c r="AU27" i="4"/>
  <c r="AV27" i="4"/>
  <c r="AW27" i="4"/>
  <c r="AX27" i="4"/>
  <c r="AY27" i="4"/>
  <c r="AZ27" i="4"/>
  <c r="BA27" i="4"/>
  <c r="BB27" i="4"/>
  <c r="BC27" i="4"/>
  <c r="BD27" i="4"/>
  <c r="BE27" i="4"/>
  <c r="BF27" i="4"/>
  <c r="BG27" i="4"/>
  <c r="BH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AF28" i="4"/>
  <c r="AG28" i="4"/>
  <c r="AH28" i="4"/>
  <c r="AI28" i="4"/>
  <c r="AJ28" i="4"/>
  <c r="AK28" i="4"/>
  <c r="AL28" i="4"/>
  <c r="AM28" i="4"/>
  <c r="AN28" i="4"/>
  <c r="AO28" i="4"/>
  <c r="AP28" i="4"/>
  <c r="AQ28" i="4"/>
  <c r="AR28" i="4"/>
  <c r="AS28" i="4"/>
  <c r="AT28" i="4"/>
  <c r="AU28" i="4"/>
  <c r="AV28" i="4"/>
  <c r="AW28" i="4"/>
  <c r="AX28" i="4"/>
  <c r="AY28" i="4"/>
  <c r="AZ28" i="4"/>
  <c r="BA28" i="4"/>
  <c r="BB28" i="4"/>
  <c r="BC28" i="4"/>
  <c r="BD28" i="4"/>
  <c r="BE28" i="4"/>
  <c r="BF28" i="4"/>
  <c r="BG28" i="4"/>
  <c r="BH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AF29" i="4"/>
  <c r="AG29" i="4"/>
  <c r="AH29" i="4"/>
  <c r="AI29" i="4"/>
  <c r="AJ29" i="4"/>
  <c r="AK29" i="4"/>
  <c r="AL29" i="4"/>
  <c r="AM29" i="4"/>
  <c r="AN29" i="4"/>
  <c r="AO29" i="4"/>
  <c r="AP29" i="4"/>
  <c r="AQ29" i="4"/>
  <c r="AR29" i="4"/>
  <c r="AS29" i="4"/>
  <c r="AT29" i="4"/>
  <c r="AU29" i="4"/>
  <c r="AV29" i="4"/>
  <c r="AW29" i="4"/>
  <c r="AX29" i="4"/>
  <c r="AY29" i="4"/>
  <c r="AZ29" i="4"/>
  <c r="BA29" i="4"/>
  <c r="BB29" i="4"/>
  <c r="BC29" i="4"/>
  <c r="BD29" i="4"/>
  <c r="BE29" i="4"/>
  <c r="BF29" i="4"/>
  <c r="BG29" i="4"/>
  <c r="BH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AF30" i="4"/>
  <c r="AG30" i="4"/>
  <c r="AH30" i="4"/>
  <c r="AI30" i="4"/>
  <c r="AJ30" i="4"/>
  <c r="AK30" i="4"/>
  <c r="AL30" i="4"/>
  <c r="AM30" i="4"/>
  <c r="AN30" i="4"/>
  <c r="AO30" i="4"/>
  <c r="AP30" i="4"/>
  <c r="AQ30" i="4"/>
  <c r="AR30" i="4"/>
  <c r="AS30" i="4"/>
  <c r="AT30" i="4"/>
  <c r="AU30" i="4"/>
  <c r="AV30" i="4"/>
  <c r="AW30" i="4"/>
  <c r="AX30" i="4"/>
  <c r="AY30" i="4"/>
  <c r="AZ30" i="4"/>
  <c r="BA30" i="4"/>
  <c r="BB30" i="4"/>
  <c r="BC30" i="4"/>
  <c r="BD30" i="4"/>
  <c r="BE30" i="4"/>
  <c r="BF30" i="4"/>
  <c r="BG30" i="4"/>
  <c r="BH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AF33" i="4"/>
  <c r="AG33" i="4"/>
  <c r="AH33" i="4"/>
  <c r="AI33" i="4"/>
  <c r="AJ33" i="4"/>
  <c r="AK33" i="4"/>
  <c r="AL33" i="4"/>
  <c r="AM33" i="4"/>
  <c r="AN33" i="4"/>
  <c r="AO33" i="4"/>
  <c r="AP33" i="4"/>
  <c r="AQ33" i="4"/>
  <c r="AR33" i="4"/>
  <c r="AS33" i="4"/>
  <c r="AT33" i="4"/>
  <c r="AU33" i="4"/>
  <c r="AV33" i="4"/>
  <c r="AW33" i="4"/>
  <c r="AX33" i="4"/>
  <c r="AY33" i="4"/>
  <c r="AZ33" i="4"/>
  <c r="BA33" i="4"/>
  <c r="BB33" i="4"/>
  <c r="BC33" i="4"/>
  <c r="BD33" i="4"/>
  <c r="BE33" i="4"/>
  <c r="BF33" i="4"/>
  <c r="BG33" i="4"/>
  <c r="BH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AF34" i="4"/>
  <c r="AG34" i="4"/>
  <c r="AH34" i="4"/>
  <c r="AI34" i="4"/>
  <c r="AJ34" i="4"/>
  <c r="AK34" i="4"/>
  <c r="AL34" i="4"/>
  <c r="AM34" i="4"/>
  <c r="AN34" i="4"/>
  <c r="AO34" i="4"/>
  <c r="AP34" i="4"/>
  <c r="AQ34" i="4"/>
  <c r="AR34" i="4"/>
  <c r="AS34" i="4"/>
  <c r="AT34" i="4"/>
  <c r="AU34" i="4"/>
  <c r="AV34" i="4"/>
  <c r="AW34" i="4"/>
  <c r="AX34" i="4"/>
  <c r="AY34" i="4"/>
  <c r="AZ34" i="4"/>
  <c r="BA34" i="4"/>
  <c r="BB34" i="4"/>
  <c r="BC34" i="4"/>
  <c r="BD34" i="4"/>
  <c r="BE34" i="4"/>
  <c r="BF34" i="4"/>
  <c r="BG34" i="4"/>
  <c r="BH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F35" i="4"/>
  <c r="BG35" i="4"/>
  <c r="BH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F36" i="4"/>
  <c r="BG36" i="4"/>
  <c r="BH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B37" i="4"/>
  <c r="C37" i="4"/>
  <c r="D37" i="4"/>
  <c r="F37" i="4"/>
  <c r="G37" i="4"/>
  <c r="H37" i="4"/>
  <c r="I37" i="4"/>
  <c r="J37" i="4"/>
  <c r="K37" i="4"/>
  <c r="L37" i="4"/>
  <c r="M37" i="4"/>
  <c r="N37" i="4"/>
  <c r="O37" i="4"/>
  <c r="P37" i="4"/>
  <c r="Q37" i="4"/>
  <c r="R37" i="4"/>
  <c r="S37" i="4"/>
  <c r="T37" i="4"/>
  <c r="U37" i="4"/>
  <c r="V37" i="4"/>
  <c r="W37" i="4"/>
  <c r="X37" i="4"/>
  <c r="Y37" i="4"/>
  <c r="Z37" i="4"/>
  <c r="AA37" i="4"/>
  <c r="AB37" i="4"/>
  <c r="AC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F37" i="4"/>
  <c r="BG37" i="4"/>
  <c r="BH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B38" i="4"/>
  <c r="C38" i="4"/>
  <c r="D38" i="4"/>
  <c r="F38" i="4"/>
  <c r="G38" i="4"/>
  <c r="H38" i="4"/>
  <c r="I38" i="4"/>
  <c r="J38" i="4"/>
  <c r="K38" i="4"/>
  <c r="L38" i="4"/>
  <c r="M38" i="4"/>
  <c r="N38" i="4"/>
  <c r="O38" i="4"/>
  <c r="P38" i="4"/>
  <c r="Q38" i="4"/>
  <c r="R38" i="4"/>
  <c r="S38" i="4"/>
  <c r="T38" i="4"/>
  <c r="U38" i="4"/>
  <c r="V38" i="4"/>
  <c r="W38" i="4"/>
  <c r="X38" i="4"/>
  <c r="Y38" i="4"/>
  <c r="Z38" i="4"/>
  <c r="AA38" i="4"/>
  <c r="AB38" i="4"/>
  <c r="AC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F38" i="4"/>
  <c r="BG38" i="4"/>
  <c r="BH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B39" i="4"/>
  <c r="C39" i="4"/>
  <c r="D39" i="4"/>
  <c r="F39" i="4"/>
  <c r="G39" i="4"/>
  <c r="H39" i="4"/>
  <c r="I39" i="4"/>
  <c r="J39" i="4"/>
  <c r="K39" i="4"/>
  <c r="L39" i="4"/>
  <c r="M39" i="4"/>
  <c r="N39" i="4"/>
  <c r="O39" i="4"/>
  <c r="P39" i="4"/>
  <c r="Q39" i="4"/>
  <c r="R39" i="4"/>
  <c r="S39" i="4"/>
  <c r="T39" i="4"/>
  <c r="U39" i="4"/>
  <c r="V39" i="4"/>
  <c r="W39" i="4"/>
  <c r="X39" i="4"/>
  <c r="Y39" i="4"/>
  <c r="Z39" i="4"/>
  <c r="AA39" i="4"/>
  <c r="AB39" i="4"/>
  <c r="AC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F39" i="4"/>
  <c r="BG39" i="4"/>
  <c r="BH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B40" i="4"/>
  <c r="C40" i="4"/>
  <c r="D40" i="4"/>
  <c r="F40" i="4"/>
  <c r="G40" i="4"/>
  <c r="H40" i="4"/>
  <c r="I40" i="4"/>
  <c r="J40" i="4"/>
  <c r="K40" i="4"/>
  <c r="L40" i="4"/>
  <c r="M40" i="4"/>
  <c r="N40" i="4"/>
  <c r="O40" i="4"/>
  <c r="P40" i="4"/>
  <c r="Q40" i="4"/>
  <c r="R40" i="4"/>
  <c r="S40" i="4"/>
  <c r="T40" i="4"/>
  <c r="U40" i="4"/>
  <c r="V40" i="4"/>
  <c r="W40" i="4"/>
  <c r="X40" i="4"/>
  <c r="Y40" i="4"/>
  <c r="Z40" i="4"/>
  <c r="AA40" i="4"/>
  <c r="AB40" i="4"/>
  <c r="AC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F40" i="4"/>
  <c r="BG40" i="4"/>
  <c r="BH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B41" i="4"/>
  <c r="C41" i="4"/>
  <c r="D41" i="4"/>
  <c r="F41" i="4"/>
  <c r="G41" i="4"/>
  <c r="H41" i="4"/>
  <c r="I41" i="4"/>
  <c r="J41" i="4"/>
  <c r="K41" i="4"/>
  <c r="L41" i="4"/>
  <c r="M41" i="4"/>
  <c r="N41" i="4"/>
  <c r="O41" i="4"/>
  <c r="P41" i="4"/>
  <c r="Q41" i="4"/>
  <c r="R41" i="4"/>
  <c r="S41" i="4"/>
  <c r="T41" i="4"/>
  <c r="U41" i="4"/>
  <c r="V41" i="4"/>
  <c r="W41" i="4"/>
  <c r="X41" i="4"/>
  <c r="Y41" i="4"/>
  <c r="Z41" i="4"/>
  <c r="AA41" i="4"/>
  <c r="AB41" i="4"/>
  <c r="AC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F41" i="4"/>
  <c r="BG41" i="4"/>
  <c r="BH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B42" i="4"/>
  <c r="C42" i="4"/>
  <c r="D42" i="4"/>
  <c r="F42" i="4"/>
  <c r="G42" i="4"/>
  <c r="H42" i="4"/>
  <c r="I42" i="4"/>
  <c r="J42" i="4"/>
  <c r="K42" i="4"/>
  <c r="L42" i="4"/>
  <c r="M42" i="4"/>
  <c r="N42" i="4"/>
  <c r="O42" i="4"/>
  <c r="P42" i="4"/>
  <c r="Q42" i="4"/>
  <c r="R42" i="4"/>
  <c r="S42" i="4"/>
  <c r="T42" i="4"/>
  <c r="U42" i="4"/>
  <c r="V42" i="4"/>
  <c r="W42" i="4"/>
  <c r="X42" i="4"/>
  <c r="Y42" i="4"/>
  <c r="Z42" i="4"/>
  <c r="AA42" i="4"/>
  <c r="AB42" i="4"/>
  <c r="AC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F42" i="4"/>
  <c r="BG42" i="4"/>
  <c r="BH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B43" i="4"/>
  <c r="C43" i="4"/>
  <c r="D43" i="4"/>
  <c r="F43" i="4"/>
  <c r="G43" i="4"/>
  <c r="H43" i="4"/>
  <c r="I43" i="4"/>
  <c r="J43" i="4"/>
  <c r="K43" i="4"/>
  <c r="L43" i="4"/>
  <c r="M43" i="4"/>
  <c r="N43" i="4"/>
  <c r="O43" i="4"/>
  <c r="P43" i="4"/>
  <c r="Q43" i="4"/>
  <c r="R43" i="4"/>
  <c r="S43" i="4"/>
  <c r="T43" i="4"/>
  <c r="U43" i="4"/>
  <c r="V43" i="4"/>
  <c r="W43" i="4"/>
  <c r="X43" i="4"/>
  <c r="Y43" i="4"/>
  <c r="Z43" i="4"/>
  <c r="AA43" i="4"/>
  <c r="AB43" i="4"/>
  <c r="AC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F43" i="4"/>
  <c r="BG43" i="4"/>
  <c r="BH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B44" i="4"/>
  <c r="C44" i="4"/>
  <c r="D44" i="4"/>
  <c r="F44" i="4"/>
  <c r="G44" i="4"/>
  <c r="H44" i="4"/>
  <c r="I44" i="4"/>
  <c r="J44" i="4"/>
  <c r="K44" i="4"/>
  <c r="L44" i="4"/>
  <c r="M44" i="4"/>
  <c r="N44" i="4"/>
  <c r="O44" i="4"/>
  <c r="P44" i="4"/>
  <c r="Q44" i="4"/>
  <c r="R44" i="4"/>
  <c r="S44" i="4"/>
  <c r="T44" i="4"/>
  <c r="U44" i="4"/>
  <c r="V44" i="4"/>
  <c r="W44" i="4"/>
  <c r="X44" i="4"/>
  <c r="Y44" i="4"/>
  <c r="Z44" i="4"/>
  <c r="AA44" i="4"/>
  <c r="AB44" i="4"/>
  <c r="AC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F44" i="4"/>
  <c r="BG44" i="4"/>
  <c r="BH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B45" i="4"/>
  <c r="C45" i="4"/>
  <c r="D45" i="4"/>
  <c r="F45" i="4"/>
  <c r="G45" i="4"/>
  <c r="H45" i="4"/>
  <c r="I45" i="4"/>
  <c r="J45" i="4"/>
  <c r="K45" i="4"/>
  <c r="L45" i="4"/>
  <c r="M45" i="4"/>
  <c r="N45" i="4"/>
  <c r="O45" i="4"/>
  <c r="P45" i="4"/>
  <c r="Q45" i="4"/>
  <c r="R45" i="4"/>
  <c r="S45" i="4"/>
  <c r="T45" i="4"/>
  <c r="U45" i="4"/>
  <c r="V45" i="4"/>
  <c r="W45" i="4"/>
  <c r="X45" i="4"/>
  <c r="Y45" i="4"/>
  <c r="Z45" i="4"/>
  <c r="AA45" i="4"/>
  <c r="AB45" i="4"/>
  <c r="AC45" i="4"/>
  <c r="B46" i="4"/>
  <c r="C46" i="4"/>
  <c r="D46" i="4"/>
  <c r="F46" i="4"/>
  <c r="G46" i="4"/>
  <c r="H46" i="4"/>
  <c r="I46" i="4"/>
  <c r="J46" i="4"/>
  <c r="K46" i="4"/>
  <c r="L46" i="4"/>
  <c r="M46" i="4"/>
  <c r="N46" i="4"/>
  <c r="O46" i="4"/>
  <c r="P46" i="4"/>
  <c r="Q46" i="4"/>
  <c r="R46" i="4"/>
  <c r="S46" i="4"/>
  <c r="T46" i="4"/>
  <c r="U46" i="4"/>
  <c r="V46" i="4"/>
  <c r="W46" i="4"/>
  <c r="X46" i="4"/>
  <c r="Y46" i="4"/>
  <c r="Z46" i="4"/>
  <c r="AA46" i="4"/>
  <c r="AB46" i="4"/>
  <c r="AC46" i="4"/>
  <c r="B47" i="4"/>
  <c r="C47" i="4"/>
  <c r="D47" i="4"/>
  <c r="F47" i="4"/>
  <c r="G47" i="4"/>
  <c r="H47" i="4"/>
  <c r="I47" i="4"/>
  <c r="J47" i="4"/>
  <c r="K47" i="4"/>
  <c r="L47" i="4"/>
  <c r="M47" i="4"/>
  <c r="N47" i="4"/>
  <c r="O47" i="4"/>
  <c r="P47" i="4"/>
  <c r="Q47" i="4"/>
  <c r="R47" i="4"/>
  <c r="S47" i="4"/>
  <c r="T47" i="4"/>
  <c r="U47" i="4"/>
  <c r="V47" i="4"/>
  <c r="W47" i="4"/>
  <c r="X47" i="4"/>
  <c r="Y47" i="4"/>
  <c r="Z47" i="4"/>
  <c r="AA47" i="4"/>
  <c r="AB47" i="4"/>
  <c r="AC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F47" i="4"/>
  <c r="BG47" i="4"/>
  <c r="BH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B48" i="4"/>
  <c r="C48" i="4"/>
  <c r="D48" i="4"/>
  <c r="F48" i="4"/>
  <c r="G48" i="4"/>
  <c r="H48" i="4"/>
  <c r="I48" i="4"/>
  <c r="J48" i="4"/>
  <c r="K48" i="4"/>
  <c r="L48" i="4"/>
  <c r="M48" i="4"/>
  <c r="N48" i="4"/>
  <c r="O48" i="4"/>
  <c r="P48" i="4"/>
  <c r="Q48" i="4"/>
  <c r="R48" i="4"/>
  <c r="S48" i="4"/>
  <c r="T48" i="4"/>
  <c r="U48" i="4"/>
  <c r="V48" i="4"/>
  <c r="W48" i="4"/>
  <c r="X48" i="4"/>
  <c r="Y48" i="4"/>
  <c r="Z48" i="4"/>
  <c r="AA48" i="4"/>
  <c r="AB48" i="4"/>
  <c r="AC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F48" i="4"/>
  <c r="BG48" i="4"/>
  <c r="BH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F50" i="4"/>
  <c r="BG50" i="4"/>
  <c r="BH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F52" i="4"/>
  <c r="BG52" i="4"/>
  <c r="BH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B53" i="4"/>
  <c r="C53" i="4"/>
  <c r="D53" i="4"/>
  <c r="F53" i="4"/>
  <c r="G53" i="4"/>
  <c r="H53" i="4"/>
  <c r="I53" i="4"/>
  <c r="J53" i="4"/>
  <c r="K53" i="4"/>
  <c r="L53" i="4"/>
  <c r="M53" i="4"/>
  <c r="N53" i="4"/>
  <c r="O53" i="4"/>
  <c r="P53" i="4"/>
  <c r="Q53" i="4"/>
  <c r="R53" i="4"/>
  <c r="S53" i="4"/>
  <c r="T53" i="4"/>
  <c r="U53" i="4"/>
  <c r="V53" i="4"/>
  <c r="W53" i="4"/>
  <c r="X53" i="4"/>
  <c r="Y53" i="4"/>
  <c r="Z53" i="4"/>
  <c r="AA53" i="4"/>
  <c r="AB53" i="4"/>
  <c r="AC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F53" i="4"/>
  <c r="BG53" i="4"/>
  <c r="BH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B54" i="4"/>
  <c r="C54" i="4"/>
  <c r="D54" i="4"/>
  <c r="F54" i="4"/>
  <c r="G54" i="4"/>
  <c r="H54" i="4"/>
  <c r="I54" i="4"/>
  <c r="J54" i="4"/>
  <c r="K54" i="4"/>
  <c r="L54" i="4"/>
  <c r="M54" i="4"/>
  <c r="N54" i="4"/>
  <c r="O54" i="4"/>
  <c r="P54" i="4"/>
  <c r="Q54" i="4"/>
  <c r="R54" i="4"/>
  <c r="S54" i="4"/>
  <c r="T54" i="4"/>
  <c r="U54" i="4"/>
  <c r="V54" i="4"/>
  <c r="W54" i="4"/>
  <c r="X54" i="4"/>
  <c r="Y54" i="4"/>
  <c r="Z54" i="4"/>
  <c r="AA54" i="4"/>
  <c r="AB54" i="4"/>
  <c r="AC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F54" i="4"/>
  <c r="BG54" i="4"/>
  <c r="BH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B55" i="4"/>
  <c r="C55" i="4"/>
  <c r="D55" i="4"/>
  <c r="F55" i="4"/>
  <c r="G55" i="4"/>
  <c r="H55" i="4"/>
  <c r="I55" i="4"/>
  <c r="J55" i="4"/>
  <c r="K55" i="4"/>
  <c r="L55" i="4"/>
  <c r="M55" i="4"/>
  <c r="N55" i="4"/>
  <c r="O55" i="4"/>
  <c r="P55" i="4"/>
  <c r="Q55" i="4"/>
  <c r="R55" i="4"/>
  <c r="S55" i="4"/>
  <c r="T55" i="4"/>
  <c r="U55" i="4"/>
  <c r="V55" i="4"/>
  <c r="W55" i="4"/>
  <c r="X55" i="4"/>
  <c r="Y55" i="4"/>
  <c r="Z55" i="4"/>
  <c r="AA55" i="4"/>
  <c r="AB55" i="4"/>
  <c r="AC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F55" i="4"/>
  <c r="BG55" i="4"/>
  <c r="BH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B56" i="4"/>
  <c r="C56" i="4"/>
  <c r="D56" i="4"/>
  <c r="F56" i="4"/>
  <c r="G56" i="4"/>
  <c r="H56" i="4"/>
  <c r="I56" i="4"/>
  <c r="J56" i="4"/>
  <c r="K56" i="4"/>
  <c r="L56" i="4"/>
  <c r="M56" i="4"/>
  <c r="N56" i="4"/>
  <c r="O56" i="4"/>
  <c r="P56" i="4"/>
  <c r="Q56" i="4"/>
  <c r="R56" i="4"/>
  <c r="S56" i="4"/>
  <c r="T56" i="4"/>
  <c r="U56" i="4"/>
  <c r="V56" i="4"/>
  <c r="W56" i="4"/>
  <c r="X56" i="4"/>
  <c r="Y56" i="4"/>
  <c r="Z56" i="4"/>
  <c r="AA56" i="4"/>
  <c r="AB56" i="4"/>
  <c r="AC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F56" i="4"/>
  <c r="BG56" i="4"/>
  <c r="BH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B57" i="4"/>
  <c r="C57" i="4"/>
  <c r="D57" i="4"/>
  <c r="F57" i="4"/>
  <c r="G57" i="4"/>
  <c r="H57" i="4"/>
  <c r="I57" i="4"/>
  <c r="J57" i="4"/>
  <c r="K57" i="4"/>
  <c r="L57" i="4"/>
  <c r="M57" i="4"/>
  <c r="N57" i="4"/>
  <c r="O57" i="4"/>
  <c r="P57" i="4"/>
  <c r="Q57" i="4"/>
  <c r="R57" i="4"/>
  <c r="S57" i="4"/>
  <c r="T57" i="4"/>
  <c r="U57" i="4"/>
  <c r="V57" i="4"/>
  <c r="W57" i="4"/>
  <c r="X57" i="4"/>
  <c r="Y57" i="4"/>
  <c r="Z57" i="4"/>
  <c r="AA57" i="4"/>
  <c r="AB57" i="4"/>
  <c r="AC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F57" i="4"/>
  <c r="BG57" i="4"/>
  <c r="BH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B58" i="4"/>
  <c r="C58" i="4"/>
  <c r="D58" i="4"/>
  <c r="F58" i="4"/>
  <c r="G58" i="4"/>
  <c r="H58" i="4"/>
  <c r="I58" i="4"/>
  <c r="J58" i="4"/>
  <c r="K58" i="4"/>
  <c r="L58" i="4"/>
  <c r="M58" i="4"/>
  <c r="N58" i="4"/>
  <c r="O58" i="4"/>
  <c r="P58" i="4"/>
  <c r="Q58" i="4"/>
  <c r="R58" i="4"/>
  <c r="S58" i="4"/>
  <c r="T58" i="4"/>
  <c r="U58" i="4"/>
  <c r="V58" i="4"/>
  <c r="W58" i="4"/>
  <c r="X58" i="4"/>
  <c r="Y58" i="4"/>
  <c r="Z58" i="4"/>
  <c r="AA58" i="4"/>
  <c r="AB58" i="4"/>
  <c r="AC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F58" i="4"/>
  <c r="BG58" i="4"/>
  <c r="BH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B59" i="4"/>
  <c r="C59" i="4"/>
  <c r="D59" i="4"/>
  <c r="F59" i="4"/>
  <c r="G59" i="4"/>
  <c r="H59" i="4"/>
  <c r="I59" i="4"/>
  <c r="J59" i="4"/>
  <c r="K59" i="4"/>
  <c r="L59" i="4"/>
  <c r="M59" i="4"/>
  <c r="N59" i="4"/>
  <c r="O59" i="4"/>
  <c r="P59" i="4"/>
  <c r="Q59" i="4"/>
  <c r="R59" i="4"/>
  <c r="S59" i="4"/>
  <c r="T59" i="4"/>
  <c r="U59" i="4"/>
  <c r="V59" i="4"/>
  <c r="W59" i="4"/>
  <c r="X59" i="4"/>
  <c r="Y59" i="4"/>
  <c r="Z59" i="4"/>
  <c r="AA59" i="4"/>
  <c r="AB59" i="4"/>
  <c r="AC59" i="4"/>
  <c r="B60" i="4"/>
  <c r="C60" i="4"/>
  <c r="D60" i="4"/>
  <c r="F60" i="4"/>
  <c r="G60" i="4"/>
  <c r="H60" i="4"/>
  <c r="I60" i="4"/>
  <c r="J60" i="4"/>
  <c r="K60" i="4"/>
  <c r="L60" i="4"/>
  <c r="M60" i="4"/>
  <c r="N60" i="4"/>
  <c r="O60" i="4"/>
  <c r="P60" i="4"/>
  <c r="Q60" i="4"/>
  <c r="R60" i="4"/>
  <c r="S60" i="4"/>
  <c r="T60" i="4"/>
  <c r="U60" i="4"/>
  <c r="V60" i="4"/>
  <c r="W60" i="4"/>
  <c r="X60" i="4"/>
  <c r="Y60" i="4"/>
  <c r="Z60" i="4"/>
  <c r="AA60" i="4"/>
  <c r="AB60" i="4"/>
  <c r="AC60" i="4"/>
  <c r="B61" i="4"/>
  <c r="C61" i="4"/>
  <c r="D61" i="4"/>
  <c r="F61" i="4"/>
  <c r="G61" i="4"/>
  <c r="H61" i="4"/>
  <c r="I61" i="4"/>
  <c r="J61" i="4"/>
  <c r="K61" i="4"/>
  <c r="L61" i="4"/>
  <c r="M61" i="4"/>
  <c r="N61" i="4"/>
  <c r="O61" i="4"/>
  <c r="P61" i="4"/>
  <c r="Q61" i="4"/>
  <c r="R61" i="4"/>
  <c r="S61" i="4"/>
  <c r="T61" i="4"/>
  <c r="U61" i="4"/>
  <c r="V61" i="4"/>
  <c r="W61" i="4"/>
  <c r="X61" i="4"/>
  <c r="Y61" i="4"/>
  <c r="Z61" i="4"/>
  <c r="AA61" i="4"/>
  <c r="AB61" i="4"/>
  <c r="AC61" i="4"/>
  <c r="B62" i="4"/>
  <c r="C62" i="4"/>
  <c r="D62" i="4"/>
  <c r="F62" i="4"/>
  <c r="G62" i="4"/>
  <c r="H62" i="4"/>
  <c r="I62" i="4"/>
  <c r="J62" i="4"/>
  <c r="K62" i="4"/>
  <c r="L62" i="4"/>
  <c r="M62" i="4"/>
  <c r="N62" i="4"/>
  <c r="O62" i="4"/>
  <c r="P62" i="4"/>
  <c r="Q62" i="4"/>
  <c r="R62" i="4"/>
  <c r="S62" i="4"/>
  <c r="T62" i="4"/>
  <c r="U62" i="4"/>
  <c r="V62" i="4"/>
  <c r="W62" i="4"/>
  <c r="X62" i="4"/>
  <c r="Y62" i="4"/>
  <c r="Z62" i="4"/>
  <c r="AA62" i="4"/>
  <c r="AB62" i="4"/>
  <c r="AC62" i="4"/>
  <c r="B63" i="4"/>
  <c r="C63" i="4"/>
  <c r="D63" i="4"/>
  <c r="F63" i="4"/>
  <c r="G63" i="4"/>
  <c r="H63" i="4"/>
  <c r="I63" i="4"/>
  <c r="J63" i="4"/>
  <c r="K63" i="4"/>
  <c r="L63" i="4"/>
  <c r="M63" i="4"/>
  <c r="N63" i="4"/>
  <c r="O63" i="4"/>
  <c r="P63" i="4"/>
  <c r="Q63" i="4"/>
  <c r="R63" i="4"/>
  <c r="S63" i="4"/>
  <c r="T63" i="4"/>
  <c r="U63" i="4"/>
  <c r="V63" i="4"/>
  <c r="W63" i="4"/>
  <c r="X63" i="4"/>
  <c r="Y63" i="4"/>
  <c r="Z63" i="4"/>
  <c r="AA63" i="4"/>
  <c r="AB63" i="4"/>
  <c r="AC63" i="4"/>
  <c r="B64" i="4"/>
  <c r="C64" i="4"/>
  <c r="D64" i="4"/>
  <c r="F64" i="4"/>
  <c r="G64" i="4"/>
  <c r="H64" i="4"/>
  <c r="I64" i="4"/>
  <c r="J64" i="4"/>
  <c r="K64" i="4"/>
  <c r="L64" i="4"/>
  <c r="M64" i="4"/>
  <c r="N64" i="4"/>
  <c r="O64" i="4"/>
  <c r="P64" i="4"/>
  <c r="Q64" i="4"/>
  <c r="R64" i="4"/>
  <c r="S64" i="4"/>
  <c r="T64" i="4"/>
  <c r="U64" i="4"/>
  <c r="V64" i="4"/>
  <c r="W64" i="4"/>
  <c r="X64" i="4"/>
  <c r="Y64" i="4"/>
  <c r="Z64" i="4"/>
  <c r="AA64" i="4"/>
  <c r="AB64" i="4"/>
  <c r="AC64" i="4"/>
  <c r="B69" i="4"/>
  <c r="C69" i="4"/>
  <c r="D69" i="4"/>
  <c r="F69" i="4"/>
  <c r="G69" i="4"/>
  <c r="H69" i="4"/>
  <c r="I69" i="4"/>
  <c r="J69" i="4"/>
  <c r="K69" i="4"/>
  <c r="L69" i="4"/>
  <c r="M69" i="4"/>
  <c r="N69" i="4"/>
  <c r="O69" i="4"/>
  <c r="P69" i="4"/>
  <c r="Q69" i="4"/>
  <c r="R69" i="4"/>
  <c r="S69" i="4"/>
  <c r="T69" i="4"/>
  <c r="U69" i="4"/>
  <c r="V69" i="4"/>
  <c r="W69" i="4"/>
  <c r="X69" i="4"/>
  <c r="Y69" i="4"/>
  <c r="Z69" i="4"/>
  <c r="AA69" i="4"/>
  <c r="AB69" i="4"/>
  <c r="AC69" i="4"/>
  <c r="B70" i="4"/>
  <c r="C70" i="4"/>
  <c r="D70" i="4"/>
  <c r="F70" i="4"/>
  <c r="G70" i="4"/>
  <c r="H70" i="4"/>
  <c r="I70" i="4"/>
  <c r="J70" i="4"/>
  <c r="K70" i="4"/>
  <c r="L70" i="4"/>
  <c r="M70" i="4"/>
  <c r="N70" i="4"/>
  <c r="O70" i="4"/>
  <c r="P70" i="4"/>
  <c r="Q70" i="4"/>
  <c r="R70" i="4"/>
  <c r="S70" i="4"/>
  <c r="T70" i="4"/>
  <c r="U70" i="4"/>
  <c r="V70" i="4"/>
  <c r="W70" i="4"/>
  <c r="X70" i="4"/>
  <c r="Y70" i="4"/>
  <c r="Z70" i="4"/>
  <c r="AA70" i="4"/>
  <c r="AB70" i="4"/>
  <c r="AC70" i="4"/>
  <c r="B71" i="4"/>
  <c r="C71" i="4"/>
  <c r="D71" i="4"/>
  <c r="F71" i="4"/>
  <c r="G71" i="4"/>
  <c r="H71" i="4"/>
  <c r="I71" i="4"/>
  <c r="J71" i="4"/>
  <c r="K71" i="4"/>
  <c r="L71" i="4"/>
  <c r="M71" i="4"/>
  <c r="N71" i="4"/>
  <c r="O71" i="4"/>
  <c r="P71" i="4"/>
  <c r="Q71" i="4"/>
  <c r="R71" i="4"/>
  <c r="S71" i="4"/>
  <c r="T71" i="4"/>
  <c r="U71" i="4"/>
  <c r="V71" i="4"/>
  <c r="W71" i="4"/>
  <c r="X71" i="4"/>
  <c r="Y71" i="4"/>
  <c r="Z71" i="4"/>
  <c r="AA71" i="4"/>
  <c r="AB71" i="4"/>
  <c r="AC71" i="4"/>
  <c r="B72" i="4"/>
  <c r="C72" i="4"/>
  <c r="D72" i="4"/>
  <c r="F72" i="4"/>
  <c r="G72" i="4"/>
  <c r="H72" i="4"/>
  <c r="I72" i="4"/>
  <c r="J72" i="4"/>
  <c r="K72" i="4"/>
  <c r="L72" i="4"/>
  <c r="M72" i="4"/>
  <c r="N72" i="4"/>
  <c r="O72" i="4"/>
  <c r="P72" i="4"/>
  <c r="Q72" i="4"/>
  <c r="R72" i="4"/>
  <c r="S72" i="4"/>
  <c r="T72" i="4"/>
  <c r="U72" i="4"/>
  <c r="V72" i="4"/>
  <c r="W72" i="4"/>
  <c r="X72" i="4"/>
  <c r="Y72" i="4"/>
  <c r="Z72" i="4"/>
  <c r="AA72" i="4"/>
  <c r="AB72" i="4"/>
  <c r="AC72" i="4"/>
  <c r="B73" i="4"/>
  <c r="C73" i="4"/>
  <c r="D73" i="4"/>
  <c r="F73" i="4"/>
  <c r="G73" i="4"/>
  <c r="H73" i="4"/>
  <c r="I73" i="4"/>
  <c r="J73" i="4"/>
  <c r="K73" i="4"/>
  <c r="L73" i="4"/>
  <c r="M73" i="4"/>
  <c r="N73" i="4"/>
  <c r="O73" i="4"/>
  <c r="P73" i="4"/>
  <c r="Q73" i="4"/>
  <c r="R73" i="4"/>
  <c r="S73" i="4"/>
  <c r="T73" i="4"/>
  <c r="U73" i="4"/>
  <c r="V73" i="4"/>
  <c r="W73" i="4"/>
  <c r="X73" i="4"/>
  <c r="Y73" i="4"/>
  <c r="Z73" i="4"/>
  <c r="AA73" i="4"/>
  <c r="AB73" i="4"/>
  <c r="AC73" i="4"/>
  <c r="B74" i="4"/>
  <c r="C74" i="4"/>
  <c r="D74" i="4"/>
  <c r="F74" i="4"/>
  <c r="G74" i="4"/>
  <c r="H74" i="4"/>
  <c r="I74" i="4"/>
  <c r="J74" i="4"/>
  <c r="K74" i="4"/>
  <c r="L74" i="4"/>
  <c r="M74" i="4"/>
  <c r="N74" i="4"/>
  <c r="O74" i="4"/>
  <c r="P74" i="4"/>
  <c r="Q74" i="4"/>
  <c r="R74" i="4"/>
  <c r="S74" i="4"/>
  <c r="T74" i="4"/>
  <c r="U74" i="4"/>
  <c r="V74" i="4"/>
  <c r="W74" i="4"/>
  <c r="X74" i="4"/>
  <c r="Y74" i="4"/>
  <c r="Z74" i="4"/>
  <c r="AA74" i="4"/>
  <c r="AB74" i="4"/>
  <c r="AC74" i="4"/>
  <c r="B75" i="4"/>
  <c r="C75" i="4"/>
  <c r="D75" i="4"/>
  <c r="F75" i="4"/>
  <c r="G75" i="4"/>
  <c r="H75" i="4"/>
  <c r="I75" i="4"/>
  <c r="J75" i="4"/>
  <c r="K75" i="4"/>
  <c r="L75" i="4"/>
  <c r="M75" i="4"/>
  <c r="N75" i="4"/>
  <c r="O75" i="4"/>
  <c r="P75" i="4"/>
  <c r="Q75" i="4"/>
  <c r="R75" i="4"/>
  <c r="S75" i="4"/>
  <c r="T75" i="4"/>
  <c r="U75" i="4"/>
  <c r="V75" i="4"/>
  <c r="W75" i="4"/>
  <c r="X75" i="4"/>
  <c r="Y75" i="4"/>
  <c r="Z75" i="4"/>
  <c r="AA75" i="4"/>
  <c r="AB75" i="4"/>
  <c r="AC75" i="4"/>
  <c r="B76" i="4"/>
  <c r="C76" i="4"/>
  <c r="D76" i="4"/>
  <c r="F76" i="4"/>
  <c r="G76" i="4"/>
  <c r="H76" i="4"/>
  <c r="I76" i="4"/>
  <c r="J76" i="4"/>
  <c r="K76" i="4"/>
  <c r="L76" i="4"/>
  <c r="M76" i="4"/>
  <c r="N76" i="4"/>
  <c r="O76" i="4"/>
  <c r="P76" i="4"/>
  <c r="Q76" i="4"/>
  <c r="R76" i="4"/>
  <c r="S76" i="4"/>
  <c r="T76" i="4"/>
  <c r="U76" i="4"/>
  <c r="V76" i="4"/>
  <c r="W76" i="4"/>
  <c r="X76" i="4"/>
  <c r="Y76" i="4"/>
  <c r="Z76" i="4"/>
  <c r="AA76" i="4"/>
  <c r="AB76" i="4"/>
  <c r="AC76" i="4"/>
  <c r="B77" i="4"/>
  <c r="C77" i="4"/>
  <c r="D77" i="4"/>
  <c r="F77" i="4"/>
  <c r="G77" i="4"/>
  <c r="H77" i="4"/>
  <c r="I77" i="4"/>
  <c r="J77" i="4"/>
  <c r="K77" i="4"/>
  <c r="L77" i="4"/>
  <c r="M77" i="4"/>
  <c r="N77" i="4"/>
  <c r="O77" i="4"/>
  <c r="P77" i="4"/>
  <c r="Q77" i="4"/>
  <c r="R77" i="4"/>
  <c r="S77" i="4"/>
  <c r="T77" i="4"/>
  <c r="U77" i="4"/>
  <c r="V77" i="4"/>
  <c r="W77" i="4"/>
  <c r="X77" i="4"/>
  <c r="Y77" i="4"/>
  <c r="Z77" i="4"/>
  <c r="AA77" i="4"/>
  <c r="AB77" i="4"/>
  <c r="AC77" i="4"/>
  <c r="B78" i="4"/>
  <c r="C78" i="4"/>
  <c r="D78" i="4"/>
  <c r="F78" i="4"/>
  <c r="G78" i="4"/>
  <c r="H78" i="4"/>
  <c r="I78" i="4"/>
  <c r="J78" i="4"/>
  <c r="K78" i="4"/>
  <c r="L78" i="4"/>
  <c r="M78" i="4"/>
  <c r="N78" i="4"/>
  <c r="O78" i="4"/>
  <c r="P78" i="4"/>
  <c r="Q78" i="4"/>
  <c r="R78" i="4"/>
  <c r="S78" i="4"/>
  <c r="T78" i="4"/>
  <c r="U78" i="4"/>
  <c r="V78" i="4"/>
  <c r="W78" i="4"/>
  <c r="X78" i="4"/>
  <c r="Y78" i="4"/>
  <c r="Z78" i="4"/>
  <c r="AA78" i="4"/>
  <c r="AB78" i="4"/>
  <c r="AC78" i="4"/>
  <c r="B79" i="4"/>
  <c r="C79" i="4"/>
  <c r="D79" i="4"/>
  <c r="F79" i="4"/>
  <c r="G79" i="4"/>
  <c r="H79" i="4"/>
  <c r="I79" i="4"/>
  <c r="J79" i="4"/>
  <c r="K79" i="4"/>
  <c r="L79" i="4"/>
  <c r="M79" i="4"/>
  <c r="N79" i="4"/>
  <c r="O79" i="4"/>
  <c r="P79" i="4"/>
  <c r="Q79" i="4"/>
  <c r="R79" i="4"/>
  <c r="S79" i="4"/>
  <c r="T79" i="4"/>
  <c r="U79" i="4"/>
  <c r="V79" i="4"/>
  <c r="W79" i="4"/>
  <c r="X79" i="4"/>
  <c r="Y79" i="4"/>
  <c r="Z79" i="4"/>
  <c r="AA79" i="4"/>
  <c r="AB79" i="4"/>
  <c r="AC79" i="4"/>
  <c r="B80" i="4"/>
  <c r="C80" i="4"/>
  <c r="D80" i="4"/>
  <c r="F80" i="4"/>
  <c r="G80" i="4"/>
  <c r="H80" i="4"/>
  <c r="I80" i="4"/>
  <c r="J80" i="4"/>
  <c r="K80" i="4"/>
  <c r="L80" i="4"/>
  <c r="M80" i="4"/>
  <c r="N80" i="4"/>
  <c r="O80" i="4"/>
  <c r="P80" i="4"/>
  <c r="Q80" i="4"/>
  <c r="R80" i="4"/>
  <c r="S80" i="4"/>
  <c r="T80" i="4"/>
  <c r="U80" i="4"/>
  <c r="V80" i="4"/>
  <c r="W80" i="4"/>
  <c r="X80" i="4"/>
  <c r="Y80" i="4"/>
  <c r="Z80" i="4"/>
  <c r="AA80" i="4"/>
  <c r="AB80" i="4"/>
  <c r="AC80" i="4"/>
  <c r="E8" i="23"/>
  <c r="F8" i="23"/>
  <c r="G8" i="23"/>
  <c r="H8" i="23"/>
  <c r="I8" i="23"/>
  <c r="J8" i="23"/>
  <c r="K8" i="23"/>
  <c r="L8" i="23"/>
  <c r="M8" i="23"/>
  <c r="N8" i="23"/>
  <c r="O8" i="23"/>
  <c r="P8" i="23"/>
  <c r="Q8" i="23"/>
  <c r="R8" i="23"/>
  <c r="S8" i="23"/>
  <c r="T8" i="23"/>
  <c r="U8" i="23"/>
  <c r="V8" i="23"/>
  <c r="W8" i="23"/>
  <c r="X8" i="23"/>
  <c r="E9" i="23"/>
  <c r="F9" i="23"/>
  <c r="G9" i="23"/>
  <c r="H9" i="23"/>
  <c r="I9" i="23"/>
  <c r="J9" i="23"/>
  <c r="K9" i="23"/>
  <c r="L9" i="23"/>
  <c r="M9" i="23"/>
  <c r="N9" i="23"/>
  <c r="O9" i="23"/>
  <c r="P9" i="23"/>
  <c r="Q9" i="23"/>
  <c r="R9" i="23"/>
  <c r="S9" i="23"/>
  <c r="T9" i="23"/>
  <c r="U9" i="23"/>
  <c r="V9" i="23"/>
  <c r="W9" i="23"/>
  <c r="X9" i="23"/>
  <c r="E10" i="23"/>
  <c r="F10" i="23"/>
  <c r="G10" i="23"/>
  <c r="H10" i="23"/>
  <c r="I10" i="23"/>
  <c r="J10" i="23"/>
  <c r="K10" i="23"/>
  <c r="L10" i="23"/>
  <c r="M10" i="23"/>
  <c r="N10" i="23"/>
  <c r="O10" i="23"/>
  <c r="P10" i="23"/>
  <c r="Q10" i="23"/>
  <c r="R10" i="23"/>
  <c r="S10" i="23"/>
  <c r="T10" i="23"/>
  <c r="U10" i="23"/>
  <c r="V10" i="23"/>
  <c r="W10" i="23"/>
  <c r="X10" i="23"/>
  <c r="E11" i="23"/>
  <c r="F11" i="23"/>
  <c r="G11" i="23"/>
  <c r="H11" i="23"/>
  <c r="I11" i="23"/>
  <c r="J11" i="23"/>
  <c r="K11" i="23"/>
  <c r="L11" i="23"/>
  <c r="M11" i="23"/>
  <c r="N11" i="23"/>
  <c r="O11" i="23"/>
  <c r="P11" i="23"/>
  <c r="Q11" i="23"/>
  <c r="R11" i="23"/>
  <c r="S11" i="23"/>
  <c r="T11" i="23"/>
  <c r="U11" i="23"/>
  <c r="V11" i="23"/>
  <c r="W11" i="23"/>
  <c r="X11" i="23"/>
  <c r="E12" i="23"/>
  <c r="F12" i="23"/>
  <c r="G12" i="23"/>
  <c r="H12" i="23"/>
  <c r="I12" i="23"/>
  <c r="J12" i="23"/>
  <c r="K12" i="23"/>
  <c r="L12" i="23"/>
  <c r="M12" i="23"/>
  <c r="N12" i="23"/>
  <c r="O12" i="23"/>
  <c r="P12" i="23"/>
  <c r="Q12" i="23"/>
  <c r="R12" i="23"/>
  <c r="S12" i="23"/>
  <c r="T12" i="23"/>
  <c r="U12" i="23"/>
  <c r="V12" i="23"/>
  <c r="W12" i="23"/>
  <c r="X12" i="23"/>
  <c r="E13" i="23"/>
  <c r="F13" i="23"/>
  <c r="G13" i="23"/>
  <c r="H13" i="23"/>
  <c r="I13" i="23"/>
  <c r="J13" i="23"/>
  <c r="K13" i="23"/>
  <c r="L13" i="23"/>
  <c r="M13" i="23"/>
  <c r="N13" i="23"/>
  <c r="O13" i="23"/>
  <c r="P13" i="23"/>
  <c r="Q13" i="23"/>
  <c r="R13" i="23"/>
  <c r="S13" i="23"/>
  <c r="T13" i="23"/>
  <c r="U13" i="23"/>
  <c r="V13" i="23"/>
  <c r="W13" i="23"/>
  <c r="X13" i="23"/>
  <c r="E14" i="23"/>
  <c r="F14" i="23"/>
  <c r="G14" i="23"/>
  <c r="H14" i="23"/>
  <c r="I14" i="23"/>
  <c r="J14" i="23"/>
  <c r="K14" i="23"/>
  <c r="L14" i="23"/>
  <c r="M14" i="23"/>
  <c r="N14" i="23"/>
  <c r="O14" i="23"/>
  <c r="P14" i="23"/>
  <c r="Q14" i="23"/>
  <c r="R14" i="23"/>
  <c r="S14" i="23"/>
  <c r="T14" i="23"/>
  <c r="U14" i="23"/>
  <c r="V14" i="23"/>
  <c r="W14" i="23"/>
  <c r="X14" i="23"/>
  <c r="C15" i="23"/>
  <c r="E19" i="23"/>
  <c r="F19" i="23"/>
  <c r="G19" i="23"/>
  <c r="H19" i="23"/>
  <c r="I19" i="23"/>
  <c r="J19" i="23"/>
  <c r="K19" i="23"/>
  <c r="L19" i="23"/>
  <c r="M19" i="23"/>
  <c r="N19" i="23"/>
  <c r="O19" i="23"/>
  <c r="P19" i="23"/>
  <c r="Q19" i="23"/>
  <c r="R19" i="23"/>
  <c r="S19" i="23"/>
  <c r="T19" i="23"/>
  <c r="U19" i="23"/>
  <c r="V19" i="23"/>
  <c r="W19" i="23"/>
  <c r="X19" i="23"/>
  <c r="E20" i="23"/>
  <c r="F20" i="23"/>
  <c r="G20" i="23"/>
  <c r="H20" i="23"/>
  <c r="I20" i="23"/>
  <c r="J20" i="23"/>
  <c r="K20" i="23"/>
  <c r="L20" i="23"/>
  <c r="M20" i="23"/>
  <c r="N20" i="23"/>
  <c r="O20" i="23"/>
  <c r="P20" i="23"/>
  <c r="Q20" i="23"/>
  <c r="R20" i="23"/>
  <c r="S20" i="23"/>
  <c r="T20" i="23"/>
  <c r="U20" i="23"/>
  <c r="V20" i="23"/>
  <c r="W20" i="23"/>
  <c r="X20" i="23"/>
  <c r="E21" i="23"/>
  <c r="F21" i="23"/>
  <c r="G21" i="23"/>
  <c r="H21" i="23"/>
  <c r="I21" i="23"/>
  <c r="J21" i="23"/>
  <c r="K21" i="23"/>
  <c r="L21" i="23"/>
  <c r="M21" i="23"/>
  <c r="N21" i="23"/>
  <c r="O21" i="23"/>
  <c r="P21" i="23"/>
  <c r="Q21" i="23"/>
  <c r="R21" i="23"/>
  <c r="S21" i="23"/>
  <c r="T21" i="23"/>
  <c r="U21" i="23"/>
  <c r="V21" i="23"/>
  <c r="W21" i="23"/>
  <c r="X21" i="23"/>
  <c r="F22" i="23"/>
  <c r="G22" i="23"/>
  <c r="H22" i="23"/>
  <c r="I22" i="23"/>
  <c r="J22" i="23"/>
  <c r="K22" i="23"/>
  <c r="L22" i="23"/>
  <c r="M22" i="23"/>
  <c r="N22" i="23"/>
  <c r="O22" i="23"/>
  <c r="P22" i="23"/>
  <c r="Q22" i="23"/>
  <c r="R22" i="23"/>
  <c r="S22" i="23"/>
  <c r="T22" i="23"/>
  <c r="U22" i="23"/>
  <c r="V22" i="23"/>
  <c r="W22" i="23"/>
  <c r="X22" i="23"/>
  <c r="E23" i="23"/>
  <c r="F23" i="23"/>
  <c r="G23" i="23"/>
  <c r="H23" i="23"/>
  <c r="I23" i="23"/>
  <c r="J23" i="23"/>
  <c r="K23" i="23"/>
  <c r="L23" i="23"/>
  <c r="M23" i="23"/>
  <c r="N23" i="23"/>
  <c r="O23" i="23"/>
  <c r="P23" i="23"/>
  <c r="Q23" i="23"/>
  <c r="R23" i="23"/>
  <c r="S23" i="23"/>
  <c r="T23" i="23"/>
  <c r="U23" i="23"/>
  <c r="V23" i="23"/>
  <c r="W23" i="23"/>
  <c r="X23" i="23"/>
  <c r="C24" i="23"/>
  <c r="E27" i="23"/>
  <c r="E28" i="23"/>
  <c r="E29" i="23"/>
  <c r="E2" i="12"/>
  <c r="O2" i="12"/>
  <c r="P2" i="12"/>
  <c r="C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4" i="12"/>
  <c r="X4" i="12"/>
  <c r="A5" i="12"/>
  <c r="C5" i="12"/>
  <c r="E5" i="12"/>
  <c r="F5" i="12"/>
  <c r="X5" i="12"/>
  <c r="I8" i="12"/>
  <c r="J8" i="12"/>
  <c r="K8" i="12"/>
  <c r="L8" i="12"/>
  <c r="M8" i="12"/>
  <c r="N8" i="12"/>
  <c r="O8" i="12"/>
  <c r="P8" i="12"/>
  <c r="Q8" i="12"/>
  <c r="R8" i="12"/>
  <c r="S8" i="12"/>
  <c r="T8" i="12"/>
  <c r="U8" i="12"/>
  <c r="V8" i="12"/>
  <c r="W8" i="12"/>
  <c r="X8" i="12"/>
  <c r="Y8" i="12"/>
  <c r="Z8" i="12"/>
  <c r="AA8" i="12"/>
  <c r="AB8" i="12"/>
  <c r="AC8" i="12"/>
  <c r="AD8" i="12"/>
  <c r="AE8" i="12"/>
  <c r="AF8" i="12"/>
  <c r="D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D11" i="12"/>
  <c r="K11" i="12"/>
  <c r="D12" i="12"/>
  <c r="D13" i="12"/>
  <c r="D14" i="12"/>
  <c r="D15" i="12"/>
  <c r="D16" i="12"/>
  <c r="D17" i="12"/>
  <c r="D18" i="12"/>
  <c r="D19" i="12"/>
  <c r="D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D23" i="12"/>
  <c r="I23" i="12"/>
  <c r="D24" i="12"/>
  <c r="D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D27"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C41" i="12"/>
  <c r="D41" i="12"/>
  <c r="F41" i="12"/>
  <c r="L41" i="12"/>
  <c r="N41" i="12"/>
  <c r="O41" i="12"/>
  <c r="P41" i="12"/>
  <c r="C42" i="12"/>
  <c r="D42" i="12"/>
  <c r="L42" i="12"/>
  <c r="N42" i="12"/>
  <c r="O42" i="12"/>
  <c r="C43" i="12"/>
  <c r="D43" i="12"/>
  <c r="L43" i="12"/>
  <c r="N43" i="12"/>
  <c r="O43" i="12"/>
  <c r="C44" i="12"/>
  <c r="D44" i="12"/>
  <c r="L44" i="12"/>
  <c r="N44" i="12"/>
  <c r="O44" i="12"/>
  <c r="C45" i="12"/>
  <c r="D45" i="12"/>
  <c r="L45" i="12"/>
  <c r="N45" i="12"/>
  <c r="O45" i="12"/>
  <c r="C46" i="12"/>
  <c r="D46" i="12"/>
  <c r="L46" i="12"/>
  <c r="N46" i="12"/>
  <c r="O46" i="12"/>
  <c r="C47" i="12"/>
  <c r="D47" i="12"/>
  <c r="L47" i="12"/>
  <c r="N47" i="12"/>
  <c r="O47" i="12"/>
  <c r="C48" i="12"/>
  <c r="D48" i="12"/>
  <c r="L48" i="12"/>
  <c r="N48" i="12"/>
  <c r="O48" i="12"/>
  <c r="C49" i="12"/>
  <c r="D49" i="12"/>
  <c r="L49" i="12"/>
  <c r="N49" i="12"/>
  <c r="O49" i="12"/>
  <c r="C50" i="12"/>
  <c r="D50" i="12"/>
  <c r="L50" i="12"/>
  <c r="N50" i="12"/>
  <c r="O50" i="12"/>
  <c r="D51" i="12"/>
  <c r="E51" i="12"/>
  <c r="N51" i="12"/>
  <c r="O51" i="12"/>
  <c r="C54" i="12"/>
  <c r="D54" i="12"/>
  <c r="F54" i="12"/>
  <c r="L54" i="12"/>
  <c r="N54" i="12"/>
  <c r="O54" i="12"/>
  <c r="P54" i="12"/>
  <c r="C55" i="12"/>
  <c r="D55" i="12"/>
  <c r="L55" i="12"/>
  <c r="N55" i="12"/>
  <c r="O55" i="12"/>
  <c r="D56" i="12"/>
  <c r="E56" i="12"/>
  <c r="N56" i="12"/>
  <c r="N57" i="12"/>
  <c r="I61" i="12"/>
  <c r="J61" i="12"/>
  <c r="K61" i="12"/>
  <c r="L61" i="12"/>
  <c r="M61" i="12"/>
  <c r="N61" i="12"/>
  <c r="O61" i="12"/>
  <c r="P61" i="12"/>
  <c r="Q61" i="12"/>
  <c r="R61" i="12"/>
  <c r="S61" i="12"/>
  <c r="T61" i="12"/>
  <c r="U61" i="12"/>
  <c r="V61" i="12"/>
  <c r="W61" i="12"/>
  <c r="X61" i="12"/>
  <c r="Y61" i="12"/>
  <c r="Z61" i="12"/>
  <c r="AA61" i="12"/>
  <c r="AB61" i="12"/>
  <c r="AC61" i="12"/>
  <c r="AD61" i="12"/>
  <c r="AE61" i="12"/>
  <c r="AF61" i="12"/>
  <c r="C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C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C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C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C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C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C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C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C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C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I72" i="12"/>
  <c r="J72" i="12"/>
  <c r="K72" i="12"/>
  <c r="L72" i="12"/>
  <c r="M72" i="12"/>
  <c r="N72" i="12"/>
  <c r="O72" i="12"/>
  <c r="P72" i="12"/>
  <c r="Q72" i="12"/>
  <c r="R72" i="12"/>
  <c r="S72" i="12"/>
  <c r="T72" i="12"/>
  <c r="U72" i="12"/>
  <c r="V72" i="12"/>
  <c r="W72" i="12"/>
  <c r="X72" i="12"/>
  <c r="Y72" i="12"/>
  <c r="Z72" i="12"/>
  <c r="AA72" i="12"/>
  <c r="AB72" i="12"/>
  <c r="AC72" i="12"/>
  <c r="AD72" i="12"/>
  <c r="AE72" i="12"/>
  <c r="AF72" i="12"/>
  <c r="C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C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I77" i="12"/>
  <c r="J77" i="12"/>
  <c r="K77" i="12"/>
  <c r="L77" i="12"/>
  <c r="M77" i="12"/>
  <c r="N77" i="12"/>
  <c r="O77" i="12"/>
  <c r="P77" i="12"/>
  <c r="Q77" i="12"/>
  <c r="R77" i="12"/>
  <c r="S77" i="12"/>
  <c r="T77" i="12"/>
  <c r="U77" i="12"/>
  <c r="V77" i="12"/>
  <c r="W77" i="12"/>
  <c r="X77" i="12"/>
  <c r="Y77" i="12"/>
  <c r="Z77" i="12"/>
  <c r="AA77" i="12"/>
  <c r="AB77" i="12"/>
  <c r="AC77" i="12"/>
  <c r="AD77" i="12"/>
  <c r="AE77" i="12"/>
  <c r="AF77" i="12"/>
  <c r="I79" i="12"/>
  <c r="J79" i="12"/>
  <c r="K79" i="12"/>
  <c r="L79" i="12"/>
  <c r="M79" i="12"/>
  <c r="N79" i="12"/>
  <c r="O79" i="12"/>
  <c r="P79" i="12"/>
  <c r="Q79" i="12"/>
  <c r="R79" i="12"/>
  <c r="S79" i="12"/>
  <c r="T79" i="12"/>
  <c r="U79" i="12"/>
  <c r="V79" i="12"/>
  <c r="W79" i="12"/>
  <c r="X79" i="12"/>
  <c r="Y79" i="12"/>
  <c r="Z79" i="12"/>
  <c r="AA79" i="12"/>
  <c r="AB79" i="12"/>
  <c r="AC79" i="12"/>
  <c r="AD79" i="12"/>
  <c r="AE79" i="12"/>
  <c r="AF79" i="12"/>
  <c r="B80" i="12"/>
  <c r="C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C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C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C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C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C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C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C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C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C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I93" i="12"/>
  <c r="J93" i="12"/>
  <c r="K93" i="12"/>
  <c r="L93" i="12"/>
  <c r="M93" i="12"/>
  <c r="N93" i="12"/>
  <c r="O93" i="12"/>
  <c r="P93" i="12"/>
  <c r="Q93" i="12"/>
  <c r="R93" i="12"/>
  <c r="S93" i="12"/>
  <c r="T93" i="12"/>
  <c r="U93" i="12"/>
  <c r="V93" i="12"/>
  <c r="W93" i="12"/>
  <c r="X93" i="12"/>
  <c r="Y93" i="12"/>
  <c r="Z93" i="12"/>
  <c r="AA93" i="12"/>
  <c r="AB93" i="12"/>
  <c r="AC93" i="12"/>
  <c r="AD93" i="12"/>
  <c r="AE93" i="12"/>
  <c r="AF93" i="12"/>
  <c r="C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C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I98" i="12"/>
  <c r="J98" i="12"/>
  <c r="K98" i="12"/>
  <c r="L98" i="12"/>
  <c r="M98" i="12"/>
  <c r="N98" i="12"/>
  <c r="O98" i="12"/>
  <c r="P98" i="12"/>
  <c r="Q98" i="12"/>
  <c r="R98" i="12"/>
  <c r="S98" i="12"/>
  <c r="T98" i="12"/>
  <c r="U98" i="12"/>
  <c r="V98" i="12"/>
  <c r="W98" i="12"/>
  <c r="X98" i="12"/>
  <c r="Y98" i="12"/>
  <c r="Z98" i="12"/>
  <c r="AA98" i="12"/>
  <c r="AB98" i="12"/>
  <c r="AC98" i="12"/>
  <c r="AD98" i="12"/>
  <c r="AE98" i="12"/>
  <c r="AF98"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B101"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135" i="12"/>
  <c r="B137" i="12"/>
  <c r="B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141"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B150"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I153" i="12"/>
  <c r="I153" i="12" a="1"/>
  <c r="J153" i="12"/>
  <c r="K153" i="12"/>
  <c r="L153" i="12"/>
  <c r="M153" i="12"/>
  <c r="N153" i="12"/>
  <c r="O153" i="12"/>
  <c r="P153" i="12"/>
  <c r="Q153" i="12"/>
  <c r="R153" i="12"/>
  <c r="S153" i="12"/>
  <c r="T153" i="12"/>
  <c r="U153" i="12"/>
  <c r="V153" i="12"/>
  <c r="W153" i="12"/>
  <c r="X153" i="12"/>
  <c r="Y153" i="12"/>
  <c r="Z153" i="12"/>
  <c r="AA153" i="12"/>
  <c r="AB153" i="12"/>
  <c r="AC153"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163" i="12"/>
  <c r="I163" i="12"/>
  <c r="I163" i="12" a="1"/>
  <c r="J163" i="12"/>
  <c r="K163" i="12"/>
  <c r="L163" i="12"/>
  <c r="M163" i="12"/>
  <c r="N163" i="12"/>
  <c r="O163" i="12"/>
  <c r="P163" i="12"/>
  <c r="Q163" i="12"/>
  <c r="R163" i="12"/>
  <c r="S163" i="12"/>
  <c r="T163" i="12"/>
  <c r="U163" i="12"/>
  <c r="V163" i="12"/>
  <c r="W163" i="12"/>
  <c r="X163" i="12"/>
  <c r="Y163" i="12"/>
  <c r="Z163" i="12"/>
  <c r="AA163" i="12"/>
  <c r="AB163" i="12"/>
  <c r="AC163"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B168"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I171" i="12"/>
  <c r="I171" i="12" a="1"/>
  <c r="J171" i="12"/>
  <c r="K171" i="12"/>
  <c r="L171" i="12"/>
  <c r="M171" i="12"/>
  <c r="N171" i="12"/>
  <c r="O171" i="12"/>
  <c r="P171" i="12"/>
  <c r="Q171" i="12"/>
  <c r="R171" i="12"/>
  <c r="S171" i="12"/>
  <c r="T171" i="12"/>
  <c r="U171" i="12"/>
  <c r="V171" i="12"/>
  <c r="W171" i="12"/>
  <c r="X171" i="12"/>
  <c r="Y171" i="12"/>
  <c r="Z171" i="12"/>
  <c r="AA171" i="12"/>
  <c r="AB171" i="12"/>
  <c r="AC171"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181" i="12"/>
  <c r="I181" i="12"/>
  <c r="I181" i="12" a="1"/>
  <c r="J181" i="12"/>
  <c r="K181" i="12"/>
  <c r="L181" i="12"/>
  <c r="M181" i="12"/>
  <c r="N181" i="12"/>
  <c r="O181" i="12"/>
  <c r="P181" i="12"/>
  <c r="Q181" i="12"/>
  <c r="R181" i="12"/>
  <c r="S181" i="12"/>
  <c r="T181" i="12"/>
  <c r="U181" i="12"/>
  <c r="V181" i="12"/>
  <c r="W181" i="12"/>
  <c r="X181" i="12"/>
  <c r="Y181" i="12"/>
  <c r="Z181" i="12"/>
  <c r="AA181" i="12"/>
  <c r="AB181" i="12"/>
  <c r="AC181"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I185" i="12"/>
  <c r="I185" i="12" a="1"/>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I186" i="12"/>
  <c r="I186" i="12" a="1"/>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I193" i="12"/>
  <c r="I193" i="12" a="1"/>
  <c r="J193" i="12"/>
  <c r="K193" i="12"/>
  <c r="L193" i="12"/>
  <c r="M193" i="12"/>
  <c r="N193" i="12"/>
  <c r="O193" i="12"/>
  <c r="P193" i="12"/>
  <c r="Q193" i="12"/>
  <c r="R193" i="12"/>
  <c r="S193" i="12"/>
  <c r="T193" i="12"/>
  <c r="U193" i="12"/>
  <c r="V193" i="12"/>
  <c r="W193" i="12"/>
  <c r="X193" i="12"/>
  <c r="Y193" i="12"/>
  <c r="Z193" i="12"/>
  <c r="AA193" i="12"/>
  <c r="AB193" i="12"/>
  <c r="AC193" i="12"/>
  <c r="E194" i="12"/>
  <c r="I194" i="12"/>
  <c r="I194" i="12" a="1"/>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E195" i="12"/>
  <c r="I197" i="12"/>
  <c r="J197" i="12"/>
  <c r="K197" i="12"/>
  <c r="L197" i="12"/>
  <c r="M197" i="12"/>
  <c r="N197" i="12"/>
  <c r="O197" i="12"/>
  <c r="P197" i="12"/>
  <c r="Q197" i="12"/>
  <c r="R197" i="12"/>
  <c r="S197" i="12"/>
  <c r="T197" i="12"/>
  <c r="U197" i="12"/>
  <c r="V197" i="12"/>
  <c r="W197" i="12"/>
  <c r="X197" i="12"/>
  <c r="Y197" i="12"/>
  <c r="Z197" i="12"/>
  <c r="AA197" i="12"/>
  <c r="AB197" i="12"/>
  <c r="AC197" i="12"/>
  <c r="AD197" i="12"/>
  <c r="AE197" i="12"/>
  <c r="AF197" i="12"/>
  <c r="I199" i="12"/>
  <c r="I199" i="12" a="1"/>
  <c r="J199" i="12"/>
  <c r="K199" i="12"/>
  <c r="L199" i="12"/>
  <c r="M199" i="12"/>
  <c r="N199" i="12"/>
  <c r="O199" i="12"/>
  <c r="P199" i="12"/>
  <c r="Q199" i="12"/>
  <c r="R199" i="12"/>
  <c r="S199" i="12"/>
  <c r="T199" i="12"/>
  <c r="U199" i="12"/>
  <c r="V199" i="12"/>
  <c r="W199" i="12"/>
  <c r="X199" i="12"/>
  <c r="Y199" i="12"/>
  <c r="Z199" i="12"/>
  <c r="AA199" i="12"/>
  <c r="AB199" i="12"/>
  <c r="AC199" i="12"/>
  <c r="E200" i="12"/>
  <c r="I200" i="12"/>
  <c r="I200" i="12" a="1"/>
  <c r="J200" i="12"/>
  <c r="K200" i="12"/>
  <c r="L200" i="12"/>
  <c r="M200" i="12"/>
  <c r="N200" i="12"/>
  <c r="O200" i="12"/>
  <c r="P200" i="12"/>
  <c r="Q200" i="12"/>
  <c r="R200" i="12"/>
  <c r="S200" i="12"/>
  <c r="T200" i="12"/>
  <c r="U200" i="12"/>
  <c r="V200" i="12"/>
  <c r="W200" i="12"/>
  <c r="X200" i="12"/>
  <c r="Y200" i="12"/>
  <c r="Z200" i="12"/>
  <c r="AA200" i="12"/>
  <c r="AB200" i="12"/>
  <c r="AC200" i="12"/>
  <c r="AD200" i="12"/>
  <c r="AE200" i="12"/>
  <c r="AF200" i="12"/>
  <c r="E201" i="12"/>
  <c r="I203" i="12"/>
  <c r="J203" i="12"/>
  <c r="K203" i="12"/>
  <c r="L203" i="12"/>
  <c r="M203" i="12"/>
  <c r="N203" i="12"/>
  <c r="O203" i="12"/>
  <c r="P203" i="12"/>
  <c r="Q203" i="12"/>
  <c r="R203" i="12"/>
  <c r="S203" i="12"/>
  <c r="T203" i="12"/>
  <c r="U203" i="12"/>
  <c r="V203" i="12"/>
  <c r="W203" i="12"/>
  <c r="X203" i="12"/>
  <c r="Y203" i="12"/>
  <c r="Z203" i="12"/>
  <c r="AA203" i="12"/>
  <c r="AB203" i="12"/>
  <c r="AC203" i="12"/>
  <c r="AD203" i="12"/>
  <c r="AE203" i="12"/>
  <c r="AF203" i="12"/>
  <c r="I205" i="12"/>
  <c r="I205" i="12" a="1"/>
  <c r="J205" i="12"/>
  <c r="K205" i="12"/>
  <c r="L205" i="12"/>
  <c r="M205" i="12"/>
  <c r="N205" i="12"/>
  <c r="O205" i="12"/>
  <c r="P205" i="12"/>
  <c r="Q205" i="12"/>
  <c r="R205" i="12"/>
  <c r="S205" i="12"/>
  <c r="T205" i="12"/>
  <c r="U205" i="12"/>
  <c r="V205" i="12"/>
  <c r="W205" i="12"/>
  <c r="X205" i="12"/>
  <c r="Y205" i="12"/>
  <c r="Z205" i="12"/>
  <c r="AA205" i="12"/>
  <c r="AB205" i="12"/>
  <c r="AC205" i="12"/>
  <c r="E206" i="12"/>
  <c r="I206" i="12"/>
  <c r="I206" i="12" a="1"/>
  <c r="J206" i="12"/>
  <c r="K206" i="12"/>
  <c r="L206" i="12"/>
  <c r="M206" i="12"/>
  <c r="N206" i="12"/>
  <c r="O206" i="12"/>
  <c r="P206" i="12"/>
  <c r="Q206" i="12"/>
  <c r="R206" i="12"/>
  <c r="S206" i="12"/>
  <c r="T206" i="12"/>
  <c r="U206" i="12"/>
  <c r="V206" i="12"/>
  <c r="W206" i="12"/>
  <c r="X206" i="12"/>
  <c r="Y206" i="12"/>
  <c r="Z206" i="12"/>
  <c r="AA206" i="12"/>
  <c r="AB206" i="12"/>
  <c r="AC206" i="12"/>
  <c r="AD206" i="12"/>
  <c r="AE206" i="12"/>
  <c r="AF206" i="12"/>
  <c r="E207" i="12"/>
  <c r="I209" i="12"/>
  <c r="J209" i="12"/>
  <c r="K209" i="12"/>
  <c r="L209" i="12"/>
  <c r="M209" i="12"/>
  <c r="N209" i="12"/>
  <c r="O209" i="12"/>
  <c r="P209" i="12"/>
  <c r="Q209" i="12"/>
  <c r="R209" i="12"/>
  <c r="S209" i="12"/>
  <c r="T209" i="12"/>
  <c r="U209" i="12"/>
  <c r="V209" i="12"/>
  <c r="W209" i="12"/>
  <c r="X209" i="12"/>
  <c r="Y209" i="12"/>
  <c r="Z209" i="12"/>
  <c r="AA209" i="12"/>
  <c r="AB209" i="12"/>
  <c r="AC209" i="12"/>
  <c r="AD209" i="12"/>
  <c r="AE209" i="12"/>
  <c r="AF209" i="12"/>
  <c r="I214" i="12"/>
  <c r="J214" i="12"/>
  <c r="K214" i="12"/>
  <c r="L214" i="12"/>
  <c r="M214" i="12"/>
  <c r="N214" i="12"/>
  <c r="O214" i="12"/>
  <c r="P214" i="12"/>
  <c r="Q214" i="12"/>
  <c r="R214" i="12"/>
  <c r="S214" i="12"/>
  <c r="T214" i="12"/>
  <c r="U214" i="12"/>
  <c r="V214" i="12"/>
  <c r="W214" i="12"/>
  <c r="X214" i="12"/>
  <c r="Y214" i="12"/>
  <c r="Z214" i="12"/>
  <c r="AA214" i="12"/>
  <c r="AB214" i="12"/>
  <c r="AC214" i="12"/>
  <c r="AD214" i="12"/>
  <c r="AE214" i="12"/>
  <c r="AF214" i="12"/>
  <c r="E219"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I225" i="12"/>
  <c r="J225" i="12"/>
  <c r="K225" i="12"/>
  <c r="L225" i="12"/>
  <c r="M225" i="12"/>
  <c r="N225" i="12"/>
  <c r="O225" i="12"/>
  <c r="P225" i="12"/>
  <c r="Q225" i="12"/>
  <c r="R225" i="12"/>
  <c r="S225" i="12"/>
  <c r="T225" i="12"/>
  <c r="U225" i="12"/>
  <c r="V225" i="12"/>
  <c r="W225" i="12"/>
  <c r="X225" i="12"/>
  <c r="Y225" i="12"/>
  <c r="Z225" i="12"/>
  <c r="AA225" i="12"/>
  <c r="AB225" i="12"/>
  <c r="AC225" i="12"/>
  <c r="AD225" i="12"/>
  <c r="AE225" i="12"/>
  <c r="AF225" i="12"/>
  <c r="I228" i="12"/>
  <c r="J228" i="12"/>
  <c r="K228" i="12"/>
  <c r="L228" i="12"/>
  <c r="M228" i="12"/>
  <c r="N228" i="12"/>
  <c r="O228" i="12"/>
  <c r="P228" i="12"/>
  <c r="Q228" i="12"/>
  <c r="R228" i="12"/>
  <c r="S228" i="12"/>
  <c r="T228" i="12"/>
  <c r="U228" i="12"/>
  <c r="V228" i="12"/>
  <c r="W228" i="12"/>
  <c r="X228" i="12"/>
  <c r="Y228" i="12"/>
  <c r="Z228" i="12"/>
  <c r="AA228" i="12"/>
  <c r="AB228" i="12"/>
  <c r="AC228" i="12"/>
  <c r="AD228" i="12"/>
  <c r="AE228" i="12"/>
  <c r="AF228" i="12"/>
  <c r="E230" i="12"/>
  <c r="I230" i="12"/>
  <c r="I230" i="12" a="1"/>
  <c r="J230" i="12"/>
  <c r="K230" i="12"/>
  <c r="L230" i="12"/>
  <c r="M230" i="12"/>
  <c r="N230" i="12"/>
  <c r="O230" i="12"/>
  <c r="P230" i="12"/>
  <c r="Q230" i="12"/>
  <c r="R230" i="12"/>
  <c r="S230" i="12"/>
  <c r="T230" i="12"/>
  <c r="U230" i="12"/>
  <c r="V230" i="12"/>
  <c r="W230" i="12"/>
  <c r="X230" i="12"/>
  <c r="Y230" i="12"/>
  <c r="Z230" i="12"/>
  <c r="AA230" i="12"/>
  <c r="AB230" i="12"/>
  <c r="AC230" i="12"/>
  <c r="AD230" i="12"/>
  <c r="AE230" i="12"/>
  <c r="AF230" i="12"/>
  <c r="I233" i="12"/>
  <c r="J233" i="12"/>
  <c r="K233" i="12"/>
  <c r="L233" i="12"/>
  <c r="M233" i="12"/>
  <c r="N233" i="12"/>
  <c r="O233" i="12"/>
  <c r="P233" i="12"/>
  <c r="Q233" i="12"/>
  <c r="R233" i="12"/>
  <c r="S233" i="12"/>
  <c r="T233" i="12"/>
  <c r="U233" i="12"/>
  <c r="V233" i="12"/>
  <c r="W233" i="12"/>
  <c r="X233" i="12"/>
  <c r="Y233" i="12"/>
  <c r="Z233" i="12"/>
  <c r="AA233" i="12"/>
  <c r="AB233" i="12"/>
  <c r="AC233" i="12"/>
  <c r="AD233" i="12"/>
  <c r="AE233" i="12"/>
  <c r="AF233" i="12"/>
  <c r="I234" i="12"/>
  <c r="J234" i="12"/>
  <c r="K234" i="12"/>
  <c r="L234" i="12"/>
  <c r="M234" i="12"/>
  <c r="N234" i="12"/>
  <c r="O234" i="12"/>
  <c r="P234" i="12"/>
  <c r="Q234" i="12"/>
  <c r="R234" i="12"/>
  <c r="S234" i="12"/>
  <c r="T234" i="12"/>
  <c r="U234" i="12"/>
  <c r="V234" i="12"/>
  <c r="W234" i="12"/>
  <c r="X234" i="12"/>
  <c r="Y234" i="12"/>
  <c r="Z234" i="12"/>
  <c r="AA234" i="12"/>
  <c r="AB234" i="12"/>
  <c r="AC234" i="12"/>
  <c r="AD234" i="12"/>
  <c r="AE234" i="12"/>
  <c r="AF234" i="12"/>
  <c r="H236" i="12"/>
  <c r="E237" i="12"/>
  <c r="I239" i="12"/>
  <c r="J239" i="12"/>
  <c r="K239" i="12"/>
  <c r="L239" i="12"/>
  <c r="M239" i="12"/>
  <c r="N239" i="12"/>
  <c r="O239" i="12"/>
  <c r="P239" i="12"/>
  <c r="Q239" i="12"/>
  <c r="R239" i="12"/>
  <c r="S239" i="12"/>
  <c r="T239" i="12"/>
  <c r="U239" i="12"/>
  <c r="V239" i="12"/>
  <c r="W239" i="12"/>
  <c r="X239" i="12"/>
  <c r="Y239" i="12"/>
  <c r="Z239" i="12"/>
  <c r="AA239" i="12"/>
  <c r="AB239" i="12"/>
  <c r="AC239" i="12"/>
  <c r="AD239" i="12"/>
  <c r="AE239" i="12"/>
  <c r="AF239" i="12"/>
  <c r="I240" i="12"/>
  <c r="J240" i="12"/>
  <c r="K240" i="12"/>
  <c r="L240" i="12"/>
  <c r="M240" i="12"/>
  <c r="N240" i="12"/>
  <c r="O240" i="12"/>
  <c r="P240" i="12"/>
  <c r="Q240" i="12"/>
  <c r="R240" i="12"/>
  <c r="S240" i="12"/>
  <c r="T240" i="12"/>
  <c r="U240" i="12"/>
  <c r="V240" i="12"/>
  <c r="W240" i="12"/>
  <c r="X240" i="12"/>
  <c r="Y240" i="12"/>
  <c r="Z240" i="12"/>
  <c r="AA240" i="12"/>
  <c r="AB240" i="12"/>
  <c r="AC240" i="12"/>
  <c r="AD240" i="12"/>
  <c r="AE240" i="12"/>
  <c r="AF240" i="12"/>
  <c r="I242" i="12"/>
  <c r="J242" i="12"/>
  <c r="K242" i="12"/>
  <c r="L242" i="12"/>
  <c r="M242" i="12"/>
  <c r="N242" i="12"/>
  <c r="O242" i="12"/>
  <c r="P242" i="12"/>
  <c r="Q242" i="12"/>
  <c r="R242" i="12"/>
  <c r="S242" i="12"/>
  <c r="T242" i="12"/>
  <c r="U242" i="12"/>
  <c r="V242" i="12"/>
  <c r="W242" i="12"/>
  <c r="X242" i="12"/>
  <c r="Y242" i="12"/>
  <c r="Z242" i="12"/>
  <c r="AA242" i="12"/>
  <c r="AB242" i="12"/>
  <c r="AC242" i="12"/>
  <c r="AD242" i="12"/>
  <c r="AE242" i="12"/>
  <c r="AF242" i="12"/>
  <c r="I246" i="12"/>
  <c r="J246" i="12"/>
  <c r="K246" i="12"/>
  <c r="L246" i="12"/>
  <c r="M246" i="12"/>
  <c r="N246" i="12"/>
  <c r="O246" i="12"/>
  <c r="P246" i="12"/>
  <c r="Q246" i="12"/>
  <c r="R246" i="12"/>
  <c r="S246" i="12"/>
  <c r="T246" i="12"/>
  <c r="U246" i="12"/>
  <c r="V246" i="12"/>
  <c r="W246" i="12"/>
  <c r="X246" i="12"/>
  <c r="Y246" i="12"/>
  <c r="Z246" i="12"/>
  <c r="AA246" i="12"/>
  <c r="AB246" i="12"/>
  <c r="AC246" i="12"/>
  <c r="AD246" i="12"/>
  <c r="AE246" i="12"/>
  <c r="AF246" i="12"/>
  <c r="C248" i="12"/>
  <c r="I248" i="12"/>
  <c r="J248" i="12"/>
  <c r="K248" i="12"/>
  <c r="L248" i="12"/>
  <c r="M248" i="12"/>
  <c r="N248" i="12"/>
  <c r="O248" i="12"/>
  <c r="P248" i="12"/>
  <c r="Q248" i="12"/>
  <c r="R248" i="12"/>
  <c r="S248" i="12"/>
  <c r="T248" i="12"/>
  <c r="U248" i="12"/>
  <c r="V248" i="12"/>
  <c r="W248" i="12"/>
  <c r="X248" i="12"/>
  <c r="Y248" i="12"/>
  <c r="Z248" i="12"/>
  <c r="AA248" i="12"/>
  <c r="AB248" i="12"/>
  <c r="AC248" i="12"/>
  <c r="AD248" i="12"/>
  <c r="AE248" i="12"/>
  <c r="AF248" i="12"/>
  <c r="C249" i="12"/>
  <c r="I249" i="12"/>
  <c r="J249" i="12"/>
  <c r="K249" i="12"/>
  <c r="L249" i="12"/>
  <c r="M249" i="12"/>
  <c r="N249" i="12"/>
  <c r="O249" i="12"/>
  <c r="P249" i="12"/>
  <c r="Q249" i="12"/>
  <c r="R249" i="12"/>
  <c r="S249" i="12"/>
  <c r="T249" i="12"/>
  <c r="U249" i="12"/>
  <c r="V249" i="12"/>
  <c r="W249" i="12"/>
  <c r="X249" i="12"/>
  <c r="Y249" i="12"/>
  <c r="Z249" i="12"/>
  <c r="AA249" i="12"/>
  <c r="AB249" i="12"/>
  <c r="AC249" i="12"/>
  <c r="AD249" i="12"/>
  <c r="AE249" i="12"/>
  <c r="AF249" i="12"/>
  <c r="C250" i="12"/>
  <c r="I250" i="12"/>
  <c r="J250" i="12"/>
  <c r="K250" i="12"/>
  <c r="L250" i="12"/>
  <c r="M250" i="12"/>
  <c r="N250" i="12"/>
  <c r="O250" i="12"/>
  <c r="P250" i="12"/>
  <c r="Q250" i="12"/>
  <c r="R250" i="12"/>
  <c r="S250" i="12"/>
  <c r="T250" i="12"/>
  <c r="U250" i="12"/>
  <c r="V250" i="12"/>
  <c r="W250" i="12"/>
  <c r="X250" i="12"/>
  <c r="Y250" i="12"/>
  <c r="Z250" i="12"/>
  <c r="AA250" i="12"/>
  <c r="AB250" i="12"/>
  <c r="AC250" i="12"/>
  <c r="AD250" i="12"/>
  <c r="AE250" i="12"/>
  <c r="AF250" i="12"/>
  <c r="C251" i="12"/>
  <c r="I251" i="12"/>
  <c r="J251" i="12"/>
  <c r="K251" i="12"/>
  <c r="L251" i="12"/>
  <c r="M251" i="12"/>
  <c r="N251" i="12"/>
  <c r="O251" i="12"/>
  <c r="P251" i="12"/>
  <c r="Q251" i="12"/>
  <c r="R251" i="12"/>
  <c r="S251" i="12"/>
  <c r="T251" i="12"/>
  <c r="U251" i="12"/>
  <c r="V251" i="12"/>
  <c r="W251" i="12"/>
  <c r="X251" i="12"/>
  <c r="Y251" i="12"/>
  <c r="Z251" i="12"/>
  <c r="AA251" i="12"/>
  <c r="AB251" i="12"/>
  <c r="AC251" i="12"/>
  <c r="AD251" i="12"/>
  <c r="AE251" i="12"/>
  <c r="AF251" i="12"/>
  <c r="E252" i="12"/>
  <c r="F252" i="12"/>
  <c r="G252" i="12"/>
  <c r="H252" i="12"/>
  <c r="I252" i="12"/>
  <c r="J252" i="12"/>
  <c r="K252" i="12"/>
  <c r="L252" i="12"/>
  <c r="M252" i="12"/>
  <c r="N252" i="12"/>
  <c r="O252" i="12"/>
  <c r="P252" i="12"/>
  <c r="Q252" i="12"/>
  <c r="R252" i="12"/>
  <c r="S252" i="12"/>
  <c r="T252" i="12"/>
  <c r="U252" i="12"/>
  <c r="V252" i="12"/>
  <c r="W252" i="12"/>
  <c r="X252" i="12"/>
  <c r="Y252" i="12"/>
  <c r="Z252" i="12"/>
  <c r="AA252" i="12"/>
  <c r="AB252" i="12"/>
  <c r="AC252" i="12"/>
  <c r="AD252" i="12"/>
  <c r="AE252" i="12"/>
  <c r="AF252" i="12"/>
  <c r="I254" i="12"/>
  <c r="J254" i="12"/>
  <c r="K254" i="12"/>
  <c r="L254" i="12"/>
  <c r="M254" i="12"/>
  <c r="N254" i="12"/>
  <c r="O254" i="12"/>
  <c r="P254" i="12"/>
  <c r="Q254" i="12"/>
  <c r="R254" i="12"/>
  <c r="S254" i="12"/>
  <c r="T254" i="12"/>
  <c r="U254" i="12"/>
  <c r="V254" i="12"/>
  <c r="W254" i="12"/>
  <c r="X254" i="12"/>
  <c r="Y254" i="12"/>
  <c r="Z254" i="12"/>
  <c r="AA254" i="12"/>
  <c r="AB254" i="12"/>
  <c r="AC254" i="12"/>
  <c r="AD254" i="12"/>
  <c r="AE254" i="12"/>
  <c r="AF254" i="12"/>
  <c r="I255" i="12"/>
  <c r="J255" i="12"/>
  <c r="K255" i="12"/>
  <c r="L255" i="12"/>
  <c r="M255" i="12"/>
  <c r="N255" i="12"/>
  <c r="O255" i="12"/>
  <c r="P255" i="12"/>
  <c r="Q255" i="12"/>
  <c r="R255" i="12"/>
  <c r="S255" i="12"/>
  <c r="T255" i="12"/>
  <c r="U255" i="12"/>
  <c r="V255" i="12"/>
  <c r="W255" i="12"/>
  <c r="X255" i="12"/>
  <c r="Y255" i="12"/>
  <c r="Z255" i="12"/>
  <c r="AA255" i="12"/>
  <c r="AB255" i="12"/>
  <c r="AC255" i="12"/>
  <c r="AD255" i="12"/>
  <c r="AE255" i="12"/>
  <c r="AF255" i="12"/>
  <c r="E257" i="12"/>
  <c r="F257" i="12"/>
  <c r="G257" i="12"/>
  <c r="H257" i="12"/>
  <c r="I257" i="12"/>
  <c r="J257" i="12"/>
  <c r="K257" i="12"/>
  <c r="L257" i="12"/>
  <c r="M257" i="12"/>
  <c r="N257" i="12"/>
  <c r="O257" i="12"/>
  <c r="P257" i="12"/>
  <c r="Q257" i="12"/>
  <c r="R257" i="12"/>
  <c r="S257" i="12"/>
  <c r="T257" i="12"/>
  <c r="U257" i="12"/>
  <c r="V257" i="12"/>
  <c r="W257" i="12"/>
  <c r="X257" i="12"/>
  <c r="Y257" i="12"/>
  <c r="Z257" i="12"/>
  <c r="AA257" i="12"/>
  <c r="AB257" i="12"/>
  <c r="AC257" i="12"/>
  <c r="AD257" i="12"/>
  <c r="AE257" i="12"/>
  <c r="AF257" i="12"/>
  <c r="E259" i="12"/>
  <c r="F259" i="12"/>
  <c r="G259" i="12"/>
  <c r="H259" i="12"/>
  <c r="I259" i="12"/>
  <c r="J259" i="12"/>
  <c r="K259" i="12"/>
  <c r="L259" i="12"/>
  <c r="M259" i="12"/>
  <c r="N259" i="12"/>
  <c r="O259" i="12"/>
  <c r="P259" i="12"/>
  <c r="Q259" i="12"/>
  <c r="R259" i="12"/>
  <c r="S259" i="12"/>
  <c r="T259" i="12"/>
  <c r="U259" i="12"/>
  <c r="V259" i="12"/>
  <c r="W259" i="12"/>
  <c r="X259" i="12"/>
  <c r="Y259" i="12"/>
  <c r="Z259" i="12"/>
  <c r="AA259" i="12"/>
  <c r="AB259" i="12"/>
  <c r="AC259" i="12"/>
  <c r="AD259" i="12"/>
  <c r="AE259" i="12"/>
  <c r="AF259" i="12"/>
  <c r="E260" i="12"/>
  <c r="F260" i="12"/>
  <c r="G260" i="12"/>
  <c r="H260" i="12"/>
  <c r="I260" i="12"/>
  <c r="J260" i="12"/>
  <c r="K260" i="12"/>
  <c r="L260" i="12"/>
  <c r="M260" i="12"/>
  <c r="N260" i="12"/>
  <c r="O260" i="12"/>
  <c r="P260" i="12"/>
  <c r="Q260" i="12"/>
  <c r="R260" i="12"/>
  <c r="S260" i="12"/>
  <c r="T260" i="12"/>
  <c r="U260" i="12"/>
  <c r="V260" i="12"/>
  <c r="W260" i="12"/>
  <c r="X260" i="12"/>
  <c r="Y260" i="12"/>
  <c r="Z260" i="12"/>
  <c r="AA260" i="12"/>
  <c r="AB260" i="12"/>
  <c r="AC260" i="12"/>
  <c r="AD260" i="12"/>
  <c r="AE260" i="12"/>
  <c r="AF260" i="12"/>
  <c r="E265" i="12"/>
  <c r="F265" i="12"/>
  <c r="G265" i="12"/>
  <c r="H265" i="12"/>
  <c r="I265" i="12"/>
  <c r="J265" i="12"/>
  <c r="K265" i="12"/>
  <c r="L265" i="12"/>
  <c r="M265" i="12"/>
  <c r="N265" i="12"/>
  <c r="O265" i="12"/>
  <c r="P265" i="12"/>
  <c r="Q265" i="12"/>
  <c r="R265" i="12"/>
  <c r="S265" i="12"/>
  <c r="T265" i="12"/>
  <c r="U265" i="12"/>
  <c r="V265" i="12"/>
  <c r="W265" i="12"/>
  <c r="X265" i="12"/>
  <c r="Y265" i="12"/>
  <c r="Z265" i="12"/>
  <c r="AA265" i="12"/>
  <c r="AB265" i="12"/>
  <c r="AC265" i="12"/>
  <c r="AD265" i="12"/>
  <c r="AE265" i="12"/>
  <c r="AF265" i="12"/>
  <c r="E266" i="12"/>
  <c r="F266" i="12"/>
  <c r="G266" i="12"/>
  <c r="H266" i="12"/>
  <c r="I266" i="12"/>
  <c r="J266" i="12"/>
  <c r="K266" i="12"/>
  <c r="L266" i="12"/>
  <c r="M266" i="12"/>
  <c r="N266" i="12"/>
  <c r="O266" i="12"/>
  <c r="P266" i="12"/>
  <c r="Q266" i="12"/>
  <c r="R266" i="12"/>
  <c r="S266" i="12"/>
  <c r="T266" i="12"/>
  <c r="U266" i="12"/>
  <c r="V266" i="12"/>
  <c r="W266" i="12"/>
  <c r="X266" i="12"/>
  <c r="Y266" i="12"/>
  <c r="Z266" i="12"/>
  <c r="AA266" i="12"/>
  <c r="AB266" i="12"/>
  <c r="AC266" i="12"/>
  <c r="AD266" i="12"/>
  <c r="AE266" i="12"/>
  <c r="AF266" i="12"/>
  <c r="E267" i="12"/>
  <c r="F267" i="12"/>
  <c r="G267" i="12"/>
  <c r="H267" i="12"/>
  <c r="I267" i="12"/>
  <c r="J267" i="12"/>
  <c r="K267" i="12"/>
  <c r="L267" i="12"/>
  <c r="M267" i="12"/>
  <c r="N267" i="12"/>
  <c r="O267" i="12"/>
  <c r="P267" i="12"/>
  <c r="Q267" i="12"/>
  <c r="R267" i="12"/>
  <c r="S267" i="12"/>
  <c r="T267" i="12"/>
  <c r="U267" i="12"/>
  <c r="V267" i="12"/>
  <c r="W267" i="12"/>
  <c r="X267" i="12"/>
  <c r="Y267" i="12"/>
  <c r="Z267" i="12"/>
  <c r="AA267" i="12"/>
  <c r="AB267" i="12"/>
  <c r="AC267" i="12"/>
  <c r="AD267" i="12"/>
  <c r="AE267" i="12"/>
  <c r="AF267" i="12"/>
  <c r="I268" i="12"/>
  <c r="J268" i="12"/>
  <c r="K268" i="12"/>
  <c r="L268" i="12"/>
  <c r="M268" i="12"/>
  <c r="N268" i="12"/>
  <c r="O268" i="12"/>
  <c r="P268" i="12"/>
  <c r="Q268" i="12"/>
  <c r="R268" i="12"/>
  <c r="S268" i="12"/>
  <c r="T268" i="12"/>
  <c r="U268" i="12"/>
  <c r="V268" i="12"/>
  <c r="W268" i="12"/>
  <c r="X268" i="12"/>
  <c r="Y268" i="12"/>
  <c r="Z268" i="12"/>
  <c r="AA268" i="12"/>
  <c r="AB268" i="12"/>
  <c r="AC268" i="12"/>
  <c r="AD268" i="12"/>
  <c r="AE268" i="12"/>
  <c r="AF268" i="12"/>
  <c r="I270" i="12"/>
  <c r="J270" i="12"/>
  <c r="K270" i="12"/>
  <c r="L270" i="12"/>
  <c r="M270" i="12"/>
  <c r="N270" i="12"/>
  <c r="O270" i="12"/>
  <c r="P270" i="12"/>
  <c r="Q270" i="12"/>
  <c r="R270" i="12"/>
  <c r="S270" i="12"/>
  <c r="T270" i="12"/>
  <c r="U270" i="12"/>
  <c r="V270" i="12"/>
  <c r="W270" i="12"/>
  <c r="X270" i="12"/>
  <c r="Y270" i="12"/>
  <c r="Z270" i="12"/>
  <c r="AA270" i="12"/>
  <c r="AB270" i="12"/>
  <c r="AC270" i="12"/>
  <c r="AD270" i="12"/>
  <c r="AE270" i="12"/>
  <c r="AF270" i="12"/>
  <c r="I271" i="12"/>
  <c r="J271" i="12"/>
  <c r="K271" i="12"/>
  <c r="L271" i="12"/>
  <c r="M271" i="12"/>
  <c r="N271" i="12"/>
  <c r="O271" i="12"/>
  <c r="P271" i="12"/>
  <c r="Q271" i="12"/>
  <c r="R271" i="12"/>
  <c r="S271" i="12"/>
  <c r="T271" i="12"/>
  <c r="U271" i="12"/>
  <c r="V271" i="12"/>
  <c r="W271" i="12"/>
  <c r="X271" i="12"/>
  <c r="Y271" i="12"/>
  <c r="Z271" i="12"/>
  <c r="AA271" i="12"/>
  <c r="AB271" i="12"/>
  <c r="AC271" i="12"/>
  <c r="AD271" i="12"/>
  <c r="AE271" i="12"/>
  <c r="AF271" i="12"/>
  <c r="E272" i="12"/>
  <c r="F272" i="12"/>
  <c r="G272" i="12"/>
  <c r="H272" i="12"/>
  <c r="I272" i="12"/>
  <c r="J272" i="12"/>
  <c r="K272" i="12"/>
  <c r="L272" i="12"/>
  <c r="M272" i="12"/>
  <c r="N272" i="12"/>
  <c r="O272" i="12"/>
  <c r="P272" i="12"/>
  <c r="Q272" i="12"/>
  <c r="R272" i="12"/>
  <c r="S272" i="12"/>
  <c r="T272" i="12"/>
  <c r="U272" i="12"/>
  <c r="V272" i="12"/>
  <c r="W272" i="12"/>
  <c r="X272" i="12"/>
  <c r="Y272" i="12"/>
  <c r="Z272" i="12"/>
  <c r="AA272" i="12"/>
  <c r="AB272" i="12"/>
  <c r="AC272" i="12"/>
  <c r="AD272" i="12"/>
  <c r="AE272" i="12"/>
  <c r="AF272" i="12"/>
  <c r="E273" i="12"/>
  <c r="F273" i="12"/>
  <c r="G273" i="12"/>
  <c r="H273" i="12"/>
  <c r="I273" i="12"/>
  <c r="J273" i="12"/>
  <c r="K273" i="12"/>
  <c r="L273" i="12"/>
  <c r="M273" i="12"/>
  <c r="N273" i="12"/>
  <c r="O273" i="12"/>
  <c r="P273" i="12"/>
  <c r="Q273" i="12"/>
  <c r="R273" i="12"/>
  <c r="S273" i="12"/>
  <c r="T273" i="12"/>
  <c r="U273" i="12"/>
  <c r="V273" i="12"/>
  <c r="W273" i="12"/>
  <c r="X273" i="12"/>
  <c r="Y273" i="12"/>
  <c r="Z273" i="12"/>
  <c r="AA273" i="12"/>
  <c r="AB273" i="12"/>
  <c r="AC273" i="12"/>
  <c r="AD273" i="12"/>
  <c r="AE273" i="12"/>
  <c r="AF273" i="12"/>
  <c r="E274" i="12"/>
  <c r="F274" i="12"/>
  <c r="G274" i="12"/>
  <c r="H274" i="12"/>
  <c r="I274" i="12"/>
  <c r="J274" i="12"/>
  <c r="K274" i="12"/>
  <c r="L274" i="12"/>
  <c r="M274" i="12"/>
  <c r="N274" i="12"/>
  <c r="O274" i="12"/>
  <c r="P274" i="12"/>
  <c r="Q274" i="12"/>
  <c r="R274" i="12"/>
  <c r="S274" i="12"/>
  <c r="T274" i="12"/>
  <c r="U274" i="12"/>
  <c r="V274" i="12"/>
  <c r="W274" i="12"/>
  <c r="X274" i="12"/>
  <c r="Y274" i="12"/>
  <c r="Z274" i="12"/>
  <c r="AA274" i="12"/>
  <c r="AB274" i="12"/>
  <c r="AC274" i="12"/>
  <c r="AD274" i="12"/>
  <c r="AE274" i="12"/>
  <c r="AF274" i="12"/>
  <c r="H278" i="12"/>
  <c r="H279" i="12"/>
  <c r="S281" i="12"/>
  <c r="S282" i="12"/>
  <c r="E283" i="12"/>
  <c r="F283" i="12"/>
  <c r="G283" i="12"/>
  <c r="H283" i="12"/>
  <c r="I283" i="12"/>
  <c r="J283" i="12"/>
  <c r="K283" i="12"/>
  <c r="L283" i="12"/>
  <c r="M283" i="12"/>
  <c r="N283" i="12"/>
  <c r="O283" i="12"/>
  <c r="P283" i="12"/>
  <c r="Q283" i="12"/>
  <c r="R283" i="12"/>
  <c r="S283" i="12"/>
  <c r="T283" i="12"/>
  <c r="U283" i="12"/>
  <c r="V283" i="12"/>
  <c r="W283" i="12"/>
  <c r="X283" i="12"/>
  <c r="Y283" i="12"/>
  <c r="Z283" i="12"/>
  <c r="AA283" i="12"/>
  <c r="AB283" i="12"/>
  <c r="AC283" i="12"/>
  <c r="AD283" i="12"/>
  <c r="AE283" i="12"/>
  <c r="AF283" i="12"/>
  <c r="E285" i="12"/>
  <c r="F285" i="12"/>
  <c r="G285" i="12"/>
  <c r="H285" i="12"/>
  <c r="I285" i="12"/>
  <c r="J285" i="12"/>
  <c r="K285" i="12"/>
  <c r="L285" i="12"/>
  <c r="M285" i="12"/>
  <c r="N285" i="12"/>
  <c r="O285" i="12"/>
  <c r="P285" i="12"/>
  <c r="Q285" i="12"/>
  <c r="R285" i="12"/>
  <c r="S285" i="12"/>
  <c r="T285" i="12"/>
  <c r="U285" i="12"/>
  <c r="V285" i="12"/>
  <c r="W285" i="12"/>
  <c r="X285" i="12"/>
  <c r="Y285" i="12"/>
  <c r="Z285" i="12"/>
  <c r="AA285" i="12"/>
  <c r="AB285" i="12"/>
  <c r="AC285" i="12"/>
  <c r="AD285" i="12"/>
  <c r="AE285" i="12"/>
  <c r="AF285" i="12"/>
  <c r="E286" i="12"/>
  <c r="F286" i="12"/>
  <c r="G286" i="12"/>
  <c r="H286" i="12"/>
  <c r="I286" i="12"/>
  <c r="J286" i="12"/>
  <c r="K286" i="12"/>
  <c r="L286" i="12"/>
  <c r="M286" i="12"/>
  <c r="N286" i="12"/>
  <c r="O286" i="12"/>
  <c r="P286" i="12"/>
  <c r="Q286" i="12"/>
  <c r="R286" i="12"/>
  <c r="S286" i="12"/>
  <c r="T286" i="12"/>
  <c r="U286" i="12"/>
  <c r="V286" i="12"/>
  <c r="W286" i="12"/>
  <c r="X286" i="12"/>
  <c r="Y286" i="12"/>
  <c r="Z286" i="12"/>
  <c r="AA286" i="12"/>
  <c r="AB286" i="12"/>
  <c r="AC286" i="12"/>
  <c r="AD286" i="12"/>
  <c r="AE286" i="12"/>
  <c r="AF286" i="12"/>
  <c r="E287" i="12"/>
  <c r="F287" i="12"/>
  <c r="G287" i="12"/>
  <c r="H287" i="12"/>
  <c r="I287" i="12"/>
  <c r="J287" i="12"/>
  <c r="K287" i="12"/>
  <c r="L287" i="12"/>
  <c r="M287" i="12"/>
  <c r="N287" i="12"/>
  <c r="O287" i="12"/>
  <c r="P287" i="12"/>
  <c r="Q287" i="12"/>
  <c r="R287" i="12"/>
  <c r="S287" i="12"/>
  <c r="T287" i="12"/>
  <c r="U287" i="12"/>
  <c r="V287" i="12"/>
  <c r="W287" i="12"/>
  <c r="X287" i="12"/>
  <c r="Y287" i="12"/>
  <c r="Z287" i="12"/>
  <c r="AA287" i="12"/>
  <c r="AB287" i="12"/>
  <c r="AC287" i="12"/>
  <c r="AD287" i="12"/>
  <c r="AE287" i="12"/>
  <c r="AF287" i="12"/>
  <c r="E289" i="12"/>
  <c r="F289" i="12"/>
  <c r="G289" i="12"/>
  <c r="H289" i="12"/>
  <c r="I289" i="12"/>
  <c r="J289" i="12"/>
  <c r="K289" i="12"/>
  <c r="L289" i="12"/>
  <c r="M289" i="12"/>
  <c r="N289" i="12"/>
  <c r="O289" i="12"/>
  <c r="P289" i="12"/>
  <c r="Q289" i="12"/>
  <c r="R289" i="12"/>
  <c r="S289" i="12"/>
  <c r="T289" i="12"/>
  <c r="U289" i="12"/>
  <c r="V289" i="12"/>
  <c r="W289" i="12"/>
  <c r="X289" i="12"/>
  <c r="Y289" i="12"/>
  <c r="Z289" i="12"/>
  <c r="AA289" i="12"/>
  <c r="AB289" i="12"/>
  <c r="AC289" i="12"/>
  <c r="AD289" i="12"/>
  <c r="AE289" i="12"/>
  <c r="AF289" i="12"/>
  <c r="E290" i="12"/>
  <c r="F290" i="12"/>
  <c r="G290" i="12"/>
  <c r="H290" i="12"/>
  <c r="I290" i="12"/>
  <c r="J290" i="12"/>
  <c r="K290" i="12"/>
  <c r="L290" i="12"/>
  <c r="M290" i="12"/>
  <c r="N290" i="12"/>
  <c r="O290" i="12"/>
  <c r="P290" i="12"/>
  <c r="Q290" i="12"/>
  <c r="R290" i="12"/>
  <c r="S290" i="12"/>
  <c r="T290" i="12"/>
  <c r="U290" i="12"/>
  <c r="V290" i="12"/>
  <c r="W290" i="12"/>
  <c r="X290" i="12"/>
  <c r="Y290" i="12"/>
  <c r="Z290" i="12"/>
  <c r="AA290" i="12"/>
  <c r="AB290" i="12"/>
  <c r="AC290" i="12"/>
  <c r="AD290" i="12"/>
  <c r="AE290" i="12"/>
  <c r="AF290" i="12"/>
  <c r="E292" i="12"/>
  <c r="F292" i="12"/>
  <c r="G292" i="12"/>
  <c r="H292" i="12"/>
  <c r="I292" i="12"/>
  <c r="J292" i="12"/>
  <c r="K292" i="12"/>
  <c r="L292" i="12"/>
  <c r="M292" i="12"/>
  <c r="N292" i="12"/>
  <c r="O292" i="12"/>
  <c r="P292" i="12"/>
  <c r="Q292" i="12"/>
  <c r="R292" i="12"/>
  <c r="S292" i="12"/>
  <c r="T292" i="12"/>
  <c r="U292" i="12"/>
  <c r="V292" i="12"/>
  <c r="W292" i="12"/>
  <c r="X292" i="12"/>
  <c r="Y292" i="12"/>
  <c r="Z292" i="12"/>
  <c r="AA292" i="12"/>
  <c r="AB292" i="12"/>
  <c r="AC292" i="12"/>
  <c r="AD292" i="12"/>
  <c r="AE292" i="12"/>
  <c r="AF292" i="12"/>
  <c r="A293" i="12"/>
  <c r="E293" i="12"/>
  <c r="F293" i="12"/>
  <c r="G293" i="12"/>
  <c r="H293" i="12"/>
  <c r="I293" i="12"/>
  <c r="J293" i="12"/>
  <c r="K293" i="12"/>
  <c r="L293" i="12"/>
  <c r="M293" i="12"/>
  <c r="N293" i="12"/>
  <c r="O293" i="12"/>
  <c r="P293" i="12"/>
  <c r="Q293" i="12"/>
  <c r="R293" i="12"/>
  <c r="S293" i="12"/>
  <c r="T293" i="12"/>
  <c r="U293" i="12"/>
  <c r="V293" i="12"/>
  <c r="W293" i="12"/>
  <c r="X293" i="12"/>
  <c r="Y293" i="12"/>
  <c r="Z293" i="12"/>
  <c r="AA293" i="12"/>
  <c r="AB293" i="12"/>
  <c r="AC293" i="12"/>
  <c r="AD293" i="12"/>
  <c r="AE293" i="12"/>
  <c r="AF293" i="12"/>
  <c r="A294" i="12"/>
  <c r="E294" i="12"/>
  <c r="F294" i="12"/>
  <c r="G294" i="12"/>
  <c r="H294" i="12"/>
  <c r="I294" i="12"/>
  <c r="J294" i="12"/>
  <c r="K294" i="12"/>
  <c r="L294" i="12"/>
  <c r="M294" i="12"/>
  <c r="N294" i="12"/>
  <c r="O294" i="12"/>
  <c r="P294" i="12"/>
  <c r="Q294" i="12"/>
  <c r="R294" i="12"/>
  <c r="S294" i="12"/>
  <c r="T294" i="12"/>
  <c r="U294" i="12"/>
  <c r="V294" i="12"/>
  <c r="W294" i="12"/>
  <c r="X294" i="12"/>
  <c r="Y294" i="12"/>
  <c r="Z294" i="12"/>
  <c r="AA294" i="12"/>
  <c r="AB294" i="12"/>
  <c r="AC294" i="12"/>
  <c r="AD294" i="12"/>
  <c r="AE294" i="12"/>
  <c r="AF294" i="12"/>
  <c r="E295" i="12"/>
  <c r="F295" i="12"/>
  <c r="G295" i="12"/>
  <c r="H295" i="12"/>
  <c r="I295" i="12"/>
  <c r="J295" i="12"/>
  <c r="K295" i="12"/>
  <c r="L295" i="12"/>
  <c r="M295" i="12"/>
  <c r="N295" i="12"/>
  <c r="O295" i="12"/>
  <c r="P295" i="12"/>
  <c r="Q295" i="12"/>
  <c r="R295" i="12"/>
  <c r="S295" i="12"/>
  <c r="T295" i="12"/>
  <c r="U295" i="12"/>
  <c r="V295" i="12"/>
  <c r="W295" i="12"/>
  <c r="X295" i="12"/>
  <c r="Y295" i="12"/>
  <c r="Z295" i="12"/>
  <c r="AA295" i="12"/>
  <c r="AB295" i="12"/>
  <c r="AC295" i="12"/>
  <c r="AD295" i="12"/>
  <c r="AE295" i="12"/>
  <c r="AF295" i="12"/>
  <c r="E297" i="12"/>
  <c r="F297" i="12"/>
  <c r="G297" i="12"/>
  <c r="H297" i="12"/>
  <c r="I297" i="12"/>
  <c r="J297" i="12"/>
  <c r="K297" i="12"/>
  <c r="L297" i="12"/>
  <c r="M297" i="12"/>
  <c r="N297" i="12"/>
  <c r="O297" i="12"/>
  <c r="P297" i="12"/>
  <c r="Q297" i="12"/>
  <c r="R297" i="12"/>
  <c r="S297" i="12"/>
  <c r="T297" i="12"/>
  <c r="U297" i="12"/>
  <c r="V297" i="12"/>
  <c r="W297" i="12"/>
  <c r="X297" i="12"/>
  <c r="Y297" i="12"/>
  <c r="Z297" i="12"/>
  <c r="AA297" i="12"/>
  <c r="AB297" i="12"/>
  <c r="AC297" i="12"/>
  <c r="AD297" i="12"/>
  <c r="AE297" i="12"/>
  <c r="AF297" i="12"/>
  <c r="E300" i="12"/>
  <c r="F300" i="12"/>
  <c r="G300" i="12"/>
  <c r="H300" i="12"/>
  <c r="I300" i="12"/>
  <c r="J300" i="12"/>
  <c r="K300" i="12"/>
  <c r="L300" i="12"/>
  <c r="M300" i="12"/>
  <c r="N300" i="12"/>
  <c r="O300" i="12"/>
  <c r="P300" i="12"/>
  <c r="Q300" i="12"/>
  <c r="R300" i="12"/>
  <c r="S300" i="12"/>
  <c r="T300" i="12"/>
  <c r="U300" i="12"/>
  <c r="V300" i="12"/>
  <c r="W300" i="12"/>
  <c r="X300" i="12"/>
  <c r="Y300" i="12"/>
  <c r="Z300" i="12"/>
  <c r="AA300" i="12"/>
  <c r="AB300" i="12"/>
  <c r="AC300" i="12"/>
  <c r="AD300" i="12"/>
  <c r="AE300" i="12"/>
  <c r="AF300" i="12"/>
  <c r="A301" i="12"/>
  <c r="E301" i="12"/>
  <c r="F301" i="12"/>
  <c r="G301" i="12"/>
  <c r="H301" i="12"/>
  <c r="I301" i="12"/>
  <c r="J301" i="12"/>
  <c r="K301" i="12"/>
  <c r="L301" i="12"/>
  <c r="M301" i="12"/>
  <c r="N301" i="12"/>
  <c r="O301" i="12"/>
  <c r="P301" i="12"/>
  <c r="Q301" i="12"/>
  <c r="R301" i="12"/>
  <c r="S301" i="12"/>
  <c r="T301" i="12"/>
  <c r="U301" i="12"/>
  <c r="V301" i="12"/>
  <c r="W301" i="12"/>
  <c r="X301" i="12"/>
  <c r="Y301" i="12"/>
  <c r="Z301" i="12"/>
  <c r="AA301" i="12"/>
  <c r="AB301" i="12"/>
  <c r="AC301" i="12"/>
  <c r="AD301" i="12"/>
  <c r="AE301" i="12"/>
  <c r="AF301" i="12"/>
  <c r="E302" i="12"/>
  <c r="F302" i="12"/>
  <c r="G302" i="12"/>
  <c r="H302" i="12"/>
  <c r="I302" i="12"/>
  <c r="J302" i="12"/>
  <c r="K302" i="12"/>
  <c r="L302" i="12"/>
  <c r="M302" i="12"/>
  <c r="N302" i="12"/>
  <c r="O302" i="12"/>
  <c r="P302" i="12"/>
  <c r="Q302" i="12"/>
  <c r="R302" i="12"/>
  <c r="S302" i="12"/>
  <c r="T302" i="12"/>
  <c r="U302" i="12"/>
  <c r="V302" i="12"/>
  <c r="W302" i="12"/>
  <c r="X302" i="12"/>
  <c r="Y302" i="12"/>
  <c r="Z302" i="12"/>
  <c r="AA302" i="12"/>
  <c r="AB302" i="12"/>
  <c r="AC302" i="12"/>
  <c r="AD302" i="12"/>
  <c r="AE302" i="12"/>
  <c r="AF302" i="12"/>
  <c r="A305"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A306" i="12"/>
  <c r="I306" i="12"/>
  <c r="J306" i="12"/>
  <c r="K306" i="12"/>
  <c r="L306" i="12"/>
  <c r="M306" i="12"/>
  <c r="N306" i="12"/>
  <c r="O306" i="12"/>
  <c r="P306" i="12"/>
  <c r="Q306" i="12"/>
  <c r="R306" i="12"/>
  <c r="S306" i="12"/>
  <c r="T306" i="12"/>
  <c r="U306" i="12"/>
  <c r="V306" i="12"/>
  <c r="W306" i="12"/>
  <c r="X306" i="12"/>
  <c r="Y306" i="12"/>
  <c r="Z306" i="12"/>
  <c r="AA306" i="12"/>
  <c r="AB306" i="12"/>
  <c r="AC306" i="12"/>
  <c r="AD306" i="12"/>
  <c r="AE306" i="12"/>
  <c r="AF306"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E308" i="12"/>
  <c r="F308" i="12"/>
  <c r="G308" i="12"/>
  <c r="H308"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E310" i="12"/>
  <c r="F310" i="12"/>
  <c r="G310" i="12"/>
  <c r="H310"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E312" i="12"/>
  <c r="F312" i="12"/>
  <c r="G312" i="12"/>
  <c r="H312" i="12"/>
  <c r="I312" i="12"/>
  <c r="J312" i="12"/>
  <c r="K312" i="12"/>
  <c r="L312" i="12"/>
  <c r="M312" i="12"/>
  <c r="N312" i="12"/>
  <c r="O312" i="12"/>
  <c r="P312" i="12"/>
  <c r="Q312" i="12"/>
  <c r="R312" i="12"/>
  <c r="S312" i="12"/>
  <c r="T312" i="12"/>
  <c r="U312" i="12"/>
  <c r="V312" i="12"/>
  <c r="W312" i="12"/>
  <c r="X312" i="12"/>
  <c r="Y312" i="12"/>
  <c r="Z312" i="12"/>
  <c r="AA312" i="12"/>
  <c r="AB312" i="12"/>
  <c r="AC312" i="12"/>
  <c r="AD312" i="12"/>
  <c r="AE312" i="12"/>
  <c r="AF312" i="12"/>
  <c r="I313" i="12"/>
  <c r="J313" i="12"/>
  <c r="K313" i="12"/>
  <c r="L313" i="12"/>
  <c r="M313" i="12"/>
  <c r="N313" i="12"/>
  <c r="O313" i="12"/>
  <c r="P313" i="12"/>
  <c r="Q313" i="12"/>
  <c r="R313" i="12"/>
  <c r="S313" i="12"/>
  <c r="T313" i="12"/>
  <c r="U313" i="12"/>
  <c r="V313" i="12"/>
  <c r="W313" i="12"/>
  <c r="X313" i="12"/>
  <c r="Y313" i="12"/>
  <c r="Z313" i="12"/>
  <c r="AA313" i="12"/>
  <c r="AB313" i="12"/>
  <c r="AC313" i="12"/>
  <c r="AD313" i="12"/>
  <c r="AE313" i="12"/>
  <c r="AF313" i="12"/>
  <c r="E314" i="12"/>
  <c r="F314" i="12"/>
  <c r="G314" i="12"/>
  <c r="H314"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E316" i="12"/>
  <c r="F316" i="12"/>
  <c r="G316" i="12"/>
  <c r="H316"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E317" i="12"/>
  <c r="F317" i="12"/>
  <c r="G317" i="12"/>
  <c r="H317"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E320" i="12"/>
  <c r="F320" i="12"/>
  <c r="G320" i="12"/>
  <c r="H320"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E322" i="12"/>
  <c r="F322" i="12"/>
  <c r="G322" i="12"/>
  <c r="H322"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H327" i="12"/>
  <c r="I327" i="12"/>
  <c r="J327" i="12"/>
  <c r="K327" i="12"/>
  <c r="L327" i="12"/>
  <c r="M327" i="12"/>
  <c r="N327" i="12"/>
  <c r="O327" i="12"/>
  <c r="P327" i="12"/>
  <c r="Q327" i="12"/>
  <c r="R327" i="12"/>
  <c r="S327" i="12"/>
  <c r="T327" i="12"/>
  <c r="U327" i="12"/>
  <c r="V327" i="12"/>
  <c r="W327" i="12"/>
  <c r="X327" i="12"/>
  <c r="Y327" i="12"/>
  <c r="Z327" i="12"/>
  <c r="AA327" i="12"/>
  <c r="AB327" i="12"/>
  <c r="AC327" i="12"/>
  <c r="AD327" i="12"/>
  <c r="AE327" i="12"/>
  <c r="AF327" i="12"/>
  <c r="A330"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I331" i="12"/>
  <c r="J331" i="12"/>
  <c r="K331" i="12"/>
  <c r="L331" i="12"/>
  <c r="M331" i="12"/>
  <c r="N331" i="12"/>
  <c r="O331" i="12"/>
  <c r="P331" i="12"/>
  <c r="Q331" i="12"/>
  <c r="R331" i="12"/>
  <c r="S331" i="12"/>
  <c r="T331" i="12"/>
  <c r="U331" i="12"/>
  <c r="V331" i="12"/>
  <c r="W331" i="12"/>
  <c r="X331" i="12"/>
  <c r="Y331" i="12"/>
  <c r="Z331" i="12"/>
  <c r="AA331" i="12"/>
  <c r="AB331" i="12"/>
  <c r="AC331" i="12"/>
  <c r="AD331" i="12"/>
  <c r="AE331" i="12"/>
  <c r="AF331"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I333" i="12"/>
  <c r="J333" i="12"/>
  <c r="K333" i="12"/>
  <c r="L333" i="12"/>
  <c r="M333" i="12"/>
  <c r="N333" i="12"/>
  <c r="O333" i="12"/>
  <c r="P333" i="12"/>
  <c r="Q333" i="12"/>
  <c r="R333" i="12"/>
  <c r="S333" i="12"/>
  <c r="T333" i="12"/>
  <c r="U333" i="12"/>
  <c r="V333" i="12"/>
  <c r="W333" i="12"/>
  <c r="X333" i="12"/>
  <c r="Y333" i="12"/>
  <c r="Z333" i="12"/>
  <c r="AA333" i="12"/>
  <c r="AB333" i="12"/>
  <c r="AC333" i="12"/>
  <c r="AD333" i="12"/>
  <c r="AE333" i="12"/>
  <c r="AF333" i="12"/>
  <c r="A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I335" i="12"/>
  <c r="J335" i="12"/>
  <c r="K335" i="12"/>
  <c r="L335" i="12"/>
  <c r="M335" i="12"/>
  <c r="N335" i="12"/>
  <c r="O335" i="12"/>
  <c r="P335" i="12"/>
  <c r="Q335" i="12"/>
  <c r="R335" i="12"/>
  <c r="S335" i="12"/>
  <c r="T335" i="12"/>
  <c r="U335" i="12"/>
  <c r="V335" i="12"/>
  <c r="W335" i="12"/>
  <c r="X335" i="12"/>
  <c r="Y335" i="12"/>
  <c r="Z335" i="12"/>
  <c r="AA335" i="12"/>
  <c r="AB335" i="12"/>
  <c r="AC335" i="12"/>
  <c r="AD335" i="12"/>
  <c r="AE335" i="12"/>
  <c r="AF335"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H339" i="12"/>
  <c r="I339" i="12"/>
  <c r="J339" i="12"/>
  <c r="K339" i="12"/>
  <c r="L339" i="12"/>
  <c r="M339" i="12"/>
  <c r="N339" i="12"/>
  <c r="O339" i="12"/>
  <c r="P339" i="12"/>
  <c r="Q339" i="12"/>
  <c r="R339" i="12"/>
  <c r="S339" i="12"/>
  <c r="T339" i="12"/>
  <c r="U339" i="12"/>
  <c r="V339" i="12"/>
  <c r="W339" i="12"/>
  <c r="X339" i="12"/>
  <c r="Y339" i="12"/>
  <c r="Z339" i="12"/>
  <c r="AA339" i="12"/>
  <c r="AB339" i="12"/>
  <c r="AC339" i="12"/>
  <c r="AD339" i="12"/>
  <c r="AE339" i="12"/>
  <c r="AF339" i="12"/>
  <c r="A340" i="12"/>
  <c r="H340" i="12"/>
  <c r="K340" i="12"/>
  <c r="H341" i="12"/>
  <c r="I341" i="12"/>
  <c r="J341" i="12"/>
  <c r="K341" i="12"/>
  <c r="L341" i="12"/>
  <c r="M341" i="12"/>
  <c r="N341" i="12"/>
  <c r="O341" i="12"/>
  <c r="P341" i="12"/>
  <c r="Q341" i="12"/>
  <c r="R341" i="12"/>
  <c r="S341" i="12"/>
  <c r="T341" i="12"/>
  <c r="U341" i="12"/>
  <c r="V341" i="12"/>
  <c r="W341" i="12"/>
  <c r="X341" i="12"/>
  <c r="Y341" i="12"/>
  <c r="Z341" i="12"/>
  <c r="AA341" i="12"/>
  <c r="AB341" i="12"/>
  <c r="AC341" i="12"/>
  <c r="AD341" i="12"/>
  <c r="AE341" i="12"/>
  <c r="AF341" i="12"/>
  <c r="A342" i="12"/>
  <c r="H342"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B343" i="12"/>
  <c r="I343" i="12"/>
  <c r="J343" i="12"/>
  <c r="K343" i="12"/>
  <c r="L343" i="12"/>
  <c r="M343" i="12"/>
  <c r="N343" i="12"/>
  <c r="O343" i="12"/>
  <c r="P343" i="12"/>
  <c r="Q343" i="12"/>
  <c r="R343" i="12"/>
  <c r="S343" i="12"/>
  <c r="T343" i="12"/>
  <c r="U343" i="12"/>
  <c r="V343" i="12"/>
  <c r="W343" i="12"/>
  <c r="X343" i="12"/>
  <c r="Y343" i="12"/>
  <c r="Z343" i="12"/>
  <c r="AA343" i="12"/>
  <c r="AB343" i="12"/>
  <c r="AC343" i="12"/>
  <c r="AD343" i="12"/>
  <c r="AE343" i="12"/>
  <c r="AF343" i="12"/>
  <c r="B344" i="12"/>
  <c r="I344" i="12"/>
  <c r="J344" i="12"/>
  <c r="K344" i="12"/>
  <c r="L344" i="12"/>
  <c r="M344" i="12"/>
  <c r="N344" i="12"/>
  <c r="O344" i="12"/>
  <c r="P344" i="12"/>
  <c r="Q344" i="12"/>
  <c r="R344" i="12"/>
  <c r="S344" i="12"/>
  <c r="T344" i="12"/>
  <c r="U344" i="12"/>
  <c r="V344" i="12"/>
  <c r="W344" i="12"/>
  <c r="X344" i="12"/>
  <c r="Y344" i="12"/>
  <c r="Z344" i="12"/>
  <c r="AA344" i="12"/>
  <c r="AB344" i="12"/>
  <c r="AC344" i="12"/>
  <c r="AD344" i="12"/>
  <c r="AE344" i="12"/>
  <c r="AF344" i="12"/>
  <c r="H345"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H346" i="12"/>
  <c r="I346" i="12"/>
  <c r="J346" i="12"/>
  <c r="K346" i="12"/>
  <c r="L346" i="12"/>
  <c r="M346" i="12"/>
  <c r="N346" i="12"/>
  <c r="O346" i="12"/>
  <c r="P346" i="12"/>
  <c r="Q346" i="12"/>
  <c r="R346" i="12"/>
  <c r="S346" i="12"/>
  <c r="T346" i="12"/>
  <c r="U346" i="12"/>
  <c r="V346" i="12"/>
  <c r="W346" i="12"/>
  <c r="X346" i="12"/>
  <c r="Y346" i="12"/>
  <c r="Z346" i="12"/>
  <c r="AA346" i="12"/>
  <c r="AB346" i="12"/>
  <c r="AC346" i="12"/>
  <c r="AD346" i="12"/>
  <c r="AE346" i="12"/>
  <c r="AF346"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A351" i="12"/>
  <c r="H351" i="12"/>
  <c r="I351" i="12"/>
  <c r="J351" i="12"/>
  <c r="K351" i="12"/>
  <c r="L351" i="12"/>
  <c r="M351" i="12"/>
  <c r="N351" i="12"/>
  <c r="O351" i="12"/>
  <c r="P351" i="12"/>
  <c r="Q351" i="12"/>
  <c r="R351" i="12"/>
  <c r="S351" i="12"/>
  <c r="T351" i="12"/>
  <c r="U351" i="12"/>
  <c r="V351" i="12"/>
  <c r="W351" i="12"/>
  <c r="X351" i="12"/>
  <c r="Y351" i="12"/>
  <c r="Z351" i="12"/>
  <c r="AA351" i="12"/>
  <c r="AB351" i="12"/>
  <c r="AC351" i="12"/>
  <c r="AD351" i="12"/>
  <c r="AE351" i="12"/>
  <c r="AF351" i="12"/>
  <c r="A352" i="12"/>
  <c r="H352" i="12"/>
  <c r="I352" i="12"/>
  <c r="J352" i="12"/>
  <c r="K352" i="12"/>
  <c r="L352" i="12"/>
  <c r="M352" i="12"/>
  <c r="N352" i="12"/>
  <c r="O352" i="12"/>
  <c r="P352" i="12"/>
  <c r="Q352" i="12"/>
  <c r="R352" i="12"/>
  <c r="S352" i="12"/>
  <c r="T352" i="12"/>
  <c r="U352" i="12"/>
  <c r="V352" i="12"/>
  <c r="W352" i="12"/>
  <c r="X352" i="12"/>
  <c r="Y352" i="12"/>
  <c r="Z352" i="12"/>
  <c r="AA352" i="12"/>
  <c r="AB352" i="12"/>
  <c r="AC352" i="12"/>
  <c r="AD352" i="12"/>
  <c r="AE352" i="12"/>
  <c r="AF352" i="12"/>
  <c r="A353" i="12"/>
  <c r="H353" i="12"/>
  <c r="I353" i="12"/>
  <c r="J353" i="12"/>
  <c r="K353" i="12"/>
  <c r="L353" i="12"/>
  <c r="M353" i="12"/>
  <c r="N353" i="12"/>
  <c r="O353" i="12"/>
  <c r="P353" i="12"/>
  <c r="Q353" i="12"/>
  <c r="R353" i="12"/>
  <c r="S353" i="12"/>
  <c r="T353" i="12"/>
  <c r="U353" i="12"/>
  <c r="V353" i="12"/>
  <c r="W353" i="12"/>
  <c r="X353" i="12"/>
  <c r="Y353" i="12"/>
  <c r="Z353" i="12"/>
  <c r="AA353" i="12"/>
  <c r="AB353" i="12"/>
  <c r="AC353" i="12"/>
  <c r="AD353" i="12"/>
  <c r="AE353" i="12"/>
  <c r="AF353" i="12"/>
  <c r="H354" i="12"/>
  <c r="I354" i="12"/>
  <c r="J354" i="12"/>
  <c r="K354" i="12"/>
  <c r="L354" i="12"/>
  <c r="M354" i="12"/>
  <c r="N354" i="12"/>
  <c r="O354" i="12"/>
  <c r="P354" i="12"/>
  <c r="Q354" i="12"/>
  <c r="R354" i="12"/>
  <c r="S354" i="12"/>
  <c r="T354" i="12"/>
  <c r="U354" i="12"/>
  <c r="V354" i="12"/>
  <c r="W354" i="12"/>
  <c r="X354" i="12"/>
  <c r="Y354" i="12"/>
  <c r="Z354" i="12"/>
  <c r="AA354" i="12"/>
  <c r="AB354" i="12"/>
  <c r="AC354" i="12"/>
  <c r="AD354" i="12"/>
  <c r="AE354" i="12"/>
  <c r="AF354"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H361"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I362" i="12"/>
  <c r="J362" i="12"/>
  <c r="K362" i="12"/>
  <c r="L362" i="12"/>
  <c r="M362" i="12"/>
  <c r="N362" i="12"/>
  <c r="O362" i="12"/>
  <c r="P362" i="12"/>
  <c r="Q362" i="12"/>
  <c r="R362" i="12"/>
  <c r="S362" i="12"/>
  <c r="T362" i="12"/>
  <c r="U362" i="12"/>
  <c r="V362" i="12"/>
  <c r="W362" i="12"/>
  <c r="X362" i="12"/>
  <c r="Y362" i="12"/>
  <c r="Z362" i="12"/>
  <c r="AA362" i="12"/>
  <c r="AB362" i="12"/>
  <c r="AC362" i="12"/>
  <c r="AD362" i="12"/>
  <c r="AE362" i="12"/>
  <c r="AF362"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A364"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E367" i="12"/>
  <c r="F367" i="12"/>
  <c r="G367" i="12"/>
  <c r="H367" i="12"/>
  <c r="I367" i="12"/>
  <c r="J367" i="12"/>
  <c r="K367" i="12"/>
  <c r="L367" i="12"/>
  <c r="M367" i="12"/>
  <c r="N367" i="12"/>
  <c r="O367" i="12"/>
  <c r="P367" i="12"/>
  <c r="Q367" i="12"/>
  <c r="R367" i="12"/>
  <c r="S367" i="12"/>
  <c r="T367" i="12"/>
  <c r="U367" i="12"/>
  <c r="V367" i="12"/>
  <c r="W367" i="12"/>
  <c r="X367" i="12"/>
  <c r="Y367" i="12"/>
  <c r="Z367" i="12"/>
  <c r="AA367" i="12"/>
  <c r="AB367" i="12"/>
  <c r="AC367" i="12"/>
  <c r="AD367" i="12"/>
  <c r="AE367" i="12"/>
  <c r="AF367" i="12"/>
  <c r="A369" i="12"/>
  <c r="E369" i="12"/>
  <c r="F369" i="12"/>
  <c r="G369" i="12"/>
  <c r="H369"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A370" i="12"/>
  <c r="E370" i="12"/>
  <c r="F370" i="12"/>
  <c r="G370" i="12"/>
  <c r="H370" i="12"/>
  <c r="I370" i="12"/>
  <c r="J370" i="12"/>
  <c r="K370" i="12"/>
  <c r="L370" i="12"/>
  <c r="M370" i="12"/>
  <c r="N370" i="12"/>
  <c r="O370" i="12"/>
  <c r="P370" i="12"/>
  <c r="Q370" i="12"/>
  <c r="R370" i="12"/>
  <c r="S370" i="12"/>
  <c r="T370" i="12"/>
  <c r="U370" i="12"/>
  <c r="V370" i="12"/>
  <c r="W370" i="12"/>
  <c r="X370" i="12"/>
  <c r="Y370" i="12"/>
  <c r="Z370" i="12"/>
  <c r="AA370" i="12"/>
  <c r="AB370" i="12"/>
  <c r="AC370" i="12"/>
  <c r="AD370" i="12"/>
  <c r="AE370" i="12"/>
  <c r="AF370" i="12"/>
  <c r="A371" i="12"/>
  <c r="E371" i="12"/>
  <c r="F371" i="12"/>
  <c r="G371" i="12"/>
  <c r="H371" i="12"/>
  <c r="I371" i="12"/>
  <c r="J371" i="12"/>
  <c r="K371" i="12"/>
  <c r="L371" i="12"/>
  <c r="M371" i="12"/>
  <c r="N371" i="12"/>
  <c r="O371" i="12"/>
  <c r="P371" i="12"/>
  <c r="Q371" i="12"/>
  <c r="R371" i="12"/>
  <c r="S371" i="12"/>
  <c r="T371" i="12"/>
  <c r="U371" i="12"/>
  <c r="V371" i="12"/>
  <c r="W371" i="12"/>
  <c r="X371" i="12"/>
  <c r="Y371" i="12"/>
  <c r="Z371" i="12"/>
  <c r="AA371" i="12"/>
  <c r="AB371" i="12"/>
  <c r="AC371" i="12"/>
  <c r="AD371" i="12"/>
  <c r="AE371" i="12"/>
  <c r="AF371" i="12"/>
  <c r="A372" i="12"/>
  <c r="E372" i="12"/>
  <c r="F372" i="12"/>
  <c r="G372" i="12"/>
  <c r="H372" i="12"/>
  <c r="I372" i="12"/>
  <c r="J372" i="12"/>
  <c r="K372" i="12"/>
  <c r="L372" i="12"/>
  <c r="M372" i="12"/>
  <c r="N372" i="12"/>
  <c r="O372" i="12"/>
  <c r="P372" i="12"/>
  <c r="Q372" i="12"/>
  <c r="R372" i="12"/>
  <c r="S372" i="12"/>
  <c r="T372" i="12"/>
  <c r="U372" i="12"/>
  <c r="V372" i="12"/>
  <c r="W372" i="12"/>
  <c r="X372" i="12"/>
  <c r="Y372" i="12"/>
  <c r="Z372" i="12"/>
  <c r="AA372" i="12"/>
  <c r="AB372" i="12"/>
  <c r="AC372" i="12"/>
  <c r="AD372" i="12"/>
  <c r="AE372" i="12"/>
  <c r="AF372" i="12"/>
  <c r="A373" i="12"/>
  <c r="E373" i="12"/>
  <c r="F373" i="12"/>
  <c r="G373" i="12"/>
  <c r="H373"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A375" i="12"/>
  <c r="E375" i="12"/>
  <c r="F375" i="12"/>
  <c r="G375" i="12"/>
  <c r="H375" i="12"/>
  <c r="I375" i="12"/>
  <c r="J375" i="12"/>
  <c r="K375" i="12"/>
  <c r="L375" i="12"/>
  <c r="M375" i="12"/>
  <c r="N375" i="12"/>
  <c r="O375" i="12"/>
  <c r="P375" i="12"/>
  <c r="Q375" i="12"/>
  <c r="R375" i="12"/>
  <c r="S375" i="12"/>
  <c r="T375" i="12"/>
  <c r="U375" i="12"/>
  <c r="V375" i="12"/>
  <c r="W375" i="12"/>
  <c r="X375" i="12"/>
  <c r="Y375" i="12"/>
  <c r="Z375" i="12"/>
  <c r="AA375" i="12"/>
  <c r="AB375" i="12"/>
  <c r="AC375" i="12"/>
  <c r="AD375" i="12"/>
  <c r="AE375" i="12"/>
  <c r="AF375" i="12"/>
  <c r="A376" i="12"/>
  <c r="E376" i="12"/>
  <c r="F376" i="12"/>
  <c r="G376"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E377" i="12"/>
  <c r="F377" i="12"/>
  <c r="G377"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A379" i="12"/>
  <c r="E379" i="12"/>
  <c r="F379" i="12"/>
  <c r="G379" i="12"/>
  <c r="H379" i="12"/>
  <c r="I379" i="12"/>
  <c r="J379" i="12"/>
  <c r="K379" i="12"/>
  <c r="L379" i="12"/>
  <c r="M379" i="12"/>
  <c r="N379" i="12"/>
  <c r="O379" i="12"/>
  <c r="P379" i="12"/>
  <c r="Q379" i="12"/>
  <c r="R379" i="12"/>
  <c r="S379" i="12"/>
  <c r="T379" i="12"/>
  <c r="U379" i="12"/>
  <c r="V379" i="12"/>
  <c r="W379" i="12"/>
  <c r="X379" i="12"/>
  <c r="Y379" i="12"/>
  <c r="Z379" i="12"/>
  <c r="AA379" i="12"/>
  <c r="AB379" i="12"/>
  <c r="AC379" i="12"/>
  <c r="AD379" i="12"/>
  <c r="AE379" i="12"/>
  <c r="AF379" i="12"/>
  <c r="A380" i="12"/>
  <c r="E380" i="12"/>
  <c r="F380" i="12"/>
  <c r="G380" i="12"/>
  <c r="H380" i="12"/>
  <c r="I380" i="12"/>
  <c r="J380" i="12"/>
  <c r="K380" i="12"/>
  <c r="L380" i="12"/>
  <c r="M380" i="12"/>
  <c r="N380" i="12"/>
  <c r="O380" i="12"/>
  <c r="P380" i="12"/>
  <c r="Q380" i="12"/>
  <c r="R380" i="12"/>
  <c r="S380" i="12"/>
  <c r="T380" i="12"/>
  <c r="U380" i="12"/>
  <c r="V380" i="12"/>
  <c r="W380" i="12"/>
  <c r="X380" i="12"/>
  <c r="Y380" i="12"/>
  <c r="Z380" i="12"/>
  <c r="AA380" i="12"/>
  <c r="AB380" i="12"/>
  <c r="AC380" i="12"/>
  <c r="AD380" i="12"/>
  <c r="AE380" i="12"/>
  <c r="AF380" i="12"/>
  <c r="A381" i="12"/>
  <c r="E381" i="12"/>
  <c r="F381" i="12"/>
  <c r="G381" i="12"/>
  <c r="H381" i="12"/>
  <c r="I381" i="12"/>
  <c r="J381" i="12"/>
  <c r="K381" i="12"/>
  <c r="L381" i="12"/>
  <c r="M381" i="12"/>
  <c r="N381" i="12"/>
  <c r="O381" i="12"/>
  <c r="P381" i="12"/>
  <c r="Q381" i="12"/>
  <c r="R381" i="12"/>
  <c r="S381" i="12"/>
  <c r="T381" i="12"/>
  <c r="U381" i="12"/>
  <c r="V381" i="12"/>
  <c r="W381" i="12"/>
  <c r="X381" i="12"/>
  <c r="Y381" i="12"/>
  <c r="Z381" i="12"/>
  <c r="AA381" i="12"/>
  <c r="AB381" i="12"/>
  <c r="AC381" i="12"/>
  <c r="AD381" i="12"/>
  <c r="AE381" i="12"/>
  <c r="AF381" i="12"/>
  <c r="A383" i="12"/>
  <c r="E383" i="12"/>
  <c r="F383" i="12"/>
  <c r="G383" i="12"/>
  <c r="H383" i="12"/>
  <c r="I383" i="12"/>
  <c r="J383" i="12"/>
  <c r="K383" i="12"/>
  <c r="L383" i="12"/>
  <c r="M383" i="12"/>
  <c r="N383" i="12"/>
  <c r="O383" i="12"/>
  <c r="P383" i="12"/>
  <c r="Q383" i="12"/>
  <c r="R383" i="12"/>
  <c r="S383" i="12"/>
  <c r="T383" i="12"/>
  <c r="U383" i="12"/>
  <c r="V383" i="12"/>
  <c r="W383" i="12"/>
  <c r="X383" i="12"/>
  <c r="Y383" i="12"/>
  <c r="Z383" i="12"/>
  <c r="AA383" i="12"/>
  <c r="AB383" i="12"/>
  <c r="AC383" i="12"/>
  <c r="AD383" i="12"/>
  <c r="AE383" i="12"/>
  <c r="AF383" i="12"/>
  <c r="A384" i="12"/>
  <c r="E384" i="12"/>
  <c r="F384" i="12"/>
  <c r="G384" i="12"/>
  <c r="H384"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A385" i="12"/>
  <c r="E385" i="12"/>
  <c r="F385" i="12"/>
  <c r="G385"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A387" i="12"/>
  <c r="A388" i="12"/>
  <c r="E388" i="12"/>
  <c r="F388" i="12"/>
  <c r="G388" i="12"/>
  <c r="H388" i="12"/>
  <c r="I388" i="12"/>
  <c r="J388" i="12"/>
  <c r="K388" i="12"/>
  <c r="L388" i="12"/>
  <c r="M388" i="12"/>
  <c r="N388" i="12"/>
  <c r="O388" i="12"/>
  <c r="P388" i="12"/>
  <c r="Q388" i="12"/>
  <c r="R388" i="12"/>
  <c r="S388" i="12"/>
  <c r="T388" i="12"/>
  <c r="U388" i="12"/>
  <c r="V388" i="12"/>
  <c r="W388" i="12"/>
  <c r="X388" i="12"/>
  <c r="Y388" i="12"/>
  <c r="Z388" i="12"/>
  <c r="AA388" i="12"/>
  <c r="AB388" i="12"/>
  <c r="AC388" i="12"/>
  <c r="AD388" i="12"/>
  <c r="AE388" i="12"/>
  <c r="AF388" i="12"/>
  <c r="A389" i="12"/>
  <c r="E389" i="12"/>
  <c r="F389" i="12"/>
  <c r="G389" i="12"/>
  <c r="H389" i="12"/>
  <c r="I389" i="12"/>
  <c r="J389" i="12"/>
  <c r="K389" i="12"/>
  <c r="L389" i="12"/>
  <c r="M389" i="12"/>
  <c r="N389" i="12"/>
  <c r="O389" i="12"/>
  <c r="P389" i="12"/>
  <c r="Q389" i="12"/>
  <c r="R389" i="12"/>
  <c r="S389" i="12"/>
  <c r="T389" i="12"/>
  <c r="U389" i="12"/>
  <c r="V389" i="12"/>
  <c r="W389" i="12"/>
  <c r="X389" i="12"/>
  <c r="Y389" i="12"/>
  <c r="Z389" i="12"/>
  <c r="AA389" i="12"/>
  <c r="AB389" i="12"/>
  <c r="AC389" i="12"/>
  <c r="AD389" i="12"/>
  <c r="AE389" i="12"/>
  <c r="AF389" i="12"/>
  <c r="A390" i="12"/>
  <c r="E390" i="12"/>
  <c r="F390" i="12"/>
  <c r="G390" i="12"/>
  <c r="H390" i="12"/>
  <c r="I390" i="12"/>
  <c r="J390" i="12"/>
  <c r="K390" i="12"/>
  <c r="L390" i="12"/>
  <c r="M390" i="12"/>
  <c r="N390" i="12"/>
  <c r="O390" i="12"/>
  <c r="P390" i="12"/>
  <c r="Q390" i="12"/>
  <c r="R390" i="12"/>
  <c r="S390" i="12"/>
  <c r="T390" i="12"/>
  <c r="U390" i="12"/>
  <c r="V390" i="12"/>
  <c r="W390" i="12"/>
  <c r="X390" i="12"/>
  <c r="Y390" i="12"/>
  <c r="Z390" i="12"/>
  <c r="AA390" i="12"/>
  <c r="AB390" i="12"/>
  <c r="AC390" i="12"/>
  <c r="AD390" i="12"/>
  <c r="AE390" i="12"/>
  <c r="AF390" i="12"/>
  <c r="A391" i="12"/>
  <c r="E391" i="12"/>
  <c r="F391" i="12"/>
  <c r="G391" i="12"/>
  <c r="H391"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AF391"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A393" i="12"/>
  <c r="E393" i="12"/>
  <c r="F393" i="12"/>
  <c r="G393" i="12"/>
  <c r="H393"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A395" i="12"/>
  <c r="E395"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A396" i="12"/>
  <c r="E396" i="12"/>
  <c r="F396" i="12"/>
  <c r="G396" i="12"/>
  <c r="H396"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A397" i="12"/>
  <c r="E397" i="12"/>
  <c r="F397" i="12"/>
  <c r="G397" i="12"/>
  <c r="H397" i="12"/>
  <c r="I397" i="12"/>
  <c r="J397" i="12"/>
  <c r="K397" i="12"/>
  <c r="L397" i="12"/>
  <c r="M397" i="12"/>
  <c r="N397" i="12"/>
  <c r="O397" i="12"/>
  <c r="P397" i="12"/>
  <c r="Q397" i="12"/>
  <c r="R397" i="12"/>
  <c r="S397" i="12"/>
  <c r="T397" i="12"/>
  <c r="U397" i="12"/>
  <c r="V397" i="12"/>
  <c r="W397" i="12"/>
  <c r="X397" i="12"/>
  <c r="Y397" i="12"/>
  <c r="Z397" i="12"/>
  <c r="AA397" i="12"/>
  <c r="AB397" i="12"/>
  <c r="AC397" i="12"/>
  <c r="AD397" i="12"/>
  <c r="AE397" i="12"/>
  <c r="AF397" i="12"/>
  <c r="A398" i="12"/>
  <c r="E398" i="12"/>
  <c r="F398" i="12"/>
  <c r="G398"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A400" i="12"/>
  <c r="E400" i="12"/>
  <c r="F400" i="12"/>
  <c r="G400" i="12"/>
  <c r="H400" i="12"/>
  <c r="I400" i="12"/>
  <c r="J400" i="12"/>
  <c r="K400" i="12"/>
  <c r="L400" i="12"/>
  <c r="M400" i="12"/>
  <c r="N400" i="12"/>
  <c r="O400" i="12"/>
  <c r="P400" i="12"/>
  <c r="Q400" i="12"/>
  <c r="R400" i="12"/>
  <c r="S400" i="12"/>
  <c r="T400" i="12"/>
  <c r="U400" i="12"/>
  <c r="V400" i="12"/>
  <c r="W400" i="12"/>
  <c r="X400" i="12"/>
  <c r="Y400" i="12"/>
  <c r="Z400" i="12"/>
  <c r="AA400" i="12"/>
  <c r="AB400" i="12"/>
  <c r="AC400" i="12"/>
  <c r="AD400" i="12"/>
  <c r="AE400" i="12"/>
  <c r="AF400" i="12"/>
  <c r="A402" i="12"/>
  <c r="E402" i="12"/>
  <c r="F402" i="12"/>
  <c r="G402" i="12"/>
  <c r="H402" i="12"/>
  <c r="I402" i="12"/>
  <c r="J402" i="12"/>
  <c r="K402" i="12"/>
  <c r="L402" i="12"/>
  <c r="M402" i="12"/>
  <c r="N402" i="12"/>
  <c r="O402" i="12"/>
  <c r="P402" i="12"/>
  <c r="Q402" i="12"/>
  <c r="R402" i="12"/>
  <c r="S402" i="12"/>
  <c r="T402" i="12"/>
  <c r="U402" i="12"/>
  <c r="V402" i="12"/>
  <c r="W402" i="12"/>
  <c r="X402" i="12"/>
  <c r="Y402" i="12"/>
  <c r="Z402" i="12"/>
  <c r="AA402" i="12"/>
  <c r="AB402" i="12"/>
  <c r="AC402" i="12"/>
  <c r="AD402" i="12"/>
  <c r="AE402" i="12"/>
  <c r="AF402" i="12"/>
  <c r="A403" i="12"/>
  <c r="E403" i="12"/>
  <c r="F403" i="12"/>
  <c r="G403" i="12"/>
  <c r="H403" i="12"/>
  <c r="I403" i="12"/>
  <c r="J403" i="12"/>
  <c r="K403" i="12"/>
  <c r="L403" i="12"/>
  <c r="M403" i="12"/>
  <c r="N403" i="12"/>
  <c r="O403" i="12"/>
  <c r="P403" i="12"/>
  <c r="Q403" i="12"/>
  <c r="R403" i="12"/>
  <c r="S403" i="12"/>
  <c r="T403" i="12"/>
  <c r="U403" i="12"/>
  <c r="V403" i="12"/>
  <c r="W403" i="12"/>
  <c r="X403" i="12"/>
  <c r="Y403" i="12"/>
  <c r="Z403" i="12"/>
  <c r="AA403" i="12"/>
  <c r="AB403" i="12"/>
  <c r="AC403" i="12"/>
  <c r="AD403" i="12"/>
  <c r="AE403" i="12"/>
  <c r="AF403" i="12"/>
  <c r="A404" i="12"/>
  <c r="E404" i="12"/>
  <c r="F404" i="12"/>
  <c r="G404" i="12"/>
  <c r="H404" i="12"/>
  <c r="I404" i="12"/>
  <c r="J404" i="12"/>
  <c r="K404" i="12"/>
  <c r="L404" i="12"/>
  <c r="M404" i="12"/>
  <c r="N404" i="12"/>
  <c r="O404" i="12"/>
  <c r="P404" i="12"/>
  <c r="Q404" i="12"/>
  <c r="R404" i="12"/>
  <c r="S404" i="12"/>
  <c r="T404" i="12"/>
  <c r="U404" i="12"/>
  <c r="V404" i="12"/>
  <c r="W404" i="12"/>
  <c r="X404" i="12"/>
  <c r="Y404" i="12"/>
  <c r="Z404" i="12"/>
  <c r="AA404" i="12"/>
  <c r="AB404" i="12"/>
  <c r="AC404" i="12"/>
  <c r="AD404" i="12"/>
  <c r="AE404" i="12"/>
  <c r="AF404" i="12"/>
  <c r="A405" i="12"/>
  <c r="E405" i="12"/>
  <c r="F405" i="12"/>
  <c r="G405" i="12"/>
  <c r="H405" i="12"/>
  <c r="I405" i="12"/>
  <c r="J405" i="12"/>
  <c r="K405" i="12"/>
  <c r="L405" i="12"/>
  <c r="M405" i="12"/>
  <c r="N405" i="12"/>
  <c r="O405" i="12"/>
  <c r="P405" i="12"/>
  <c r="Q405" i="12"/>
  <c r="R405" i="12"/>
  <c r="S405" i="12"/>
  <c r="T405" i="12"/>
  <c r="U405" i="12"/>
  <c r="V405" i="12"/>
  <c r="W405" i="12"/>
  <c r="X405" i="12"/>
  <c r="Y405" i="12"/>
  <c r="Z405" i="12"/>
  <c r="AA405" i="12"/>
  <c r="AB405" i="12"/>
  <c r="AC405" i="12"/>
  <c r="AD405" i="12"/>
  <c r="AE405" i="12"/>
  <c r="AF405" i="12"/>
  <c r="A406" i="12"/>
  <c r="E406" i="12"/>
  <c r="F406" i="12"/>
  <c r="G406" i="12"/>
  <c r="H406" i="12"/>
  <c r="I406" i="12"/>
  <c r="J406" i="12"/>
  <c r="K406" i="12"/>
  <c r="L406" i="12"/>
  <c r="M406" i="12"/>
  <c r="N406" i="12"/>
  <c r="O406" i="12"/>
  <c r="P406" i="12"/>
  <c r="Q406" i="12"/>
  <c r="R406" i="12"/>
  <c r="S406" i="12"/>
  <c r="T406" i="12"/>
  <c r="U406" i="12"/>
  <c r="V406" i="12"/>
  <c r="W406" i="12"/>
  <c r="X406" i="12"/>
  <c r="Y406" i="12"/>
  <c r="Z406" i="12"/>
  <c r="AA406" i="12"/>
  <c r="AB406" i="12"/>
  <c r="AC406" i="12"/>
  <c r="AD406" i="12"/>
  <c r="AE406" i="12"/>
  <c r="AF406" i="12"/>
  <c r="A407" i="12"/>
  <c r="E407" i="12"/>
  <c r="F407" i="12"/>
  <c r="G407" i="12"/>
  <c r="H407" i="12"/>
  <c r="I407" i="12"/>
  <c r="J407" i="12"/>
  <c r="K407" i="12"/>
  <c r="L407" i="12"/>
  <c r="M407" i="12"/>
  <c r="N407" i="12"/>
  <c r="O407" i="12"/>
  <c r="P407" i="12"/>
  <c r="Q407" i="12"/>
  <c r="R407" i="12"/>
  <c r="S407" i="12"/>
  <c r="T407" i="12"/>
  <c r="U407" i="12"/>
  <c r="V407" i="12"/>
  <c r="W407" i="12"/>
  <c r="X407" i="12"/>
  <c r="Y407" i="12"/>
  <c r="Z407" i="12"/>
  <c r="AA407" i="12"/>
  <c r="AB407" i="12"/>
  <c r="AC407" i="12"/>
  <c r="AD407" i="12"/>
  <c r="AE407" i="12"/>
  <c r="AF407" i="12"/>
  <c r="A408" i="12"/>
  <c r="E408" i="12"/>
  <c r="F408" i="12"/>
  <c r="G408" i="12"/>
  <c r="H408" i="12"/>
  <c r="I408" i="12"/>
  <c r="J408" i="12"/>
  <c r="K408" i="12"/>
  <c r="L408" i="12"/>
  <c r="M408" i="12"/>
  <c r="N408" i="12"/>
  <c r="O408" i="12"/>
  <c r="P408" i="12"/>
  <c r="Q408" i="12"/>
  <c r="R408" i="12"/>
  <c r="S408" i="12"/>
  <c r="T408" i="12"/>
  <c r="U408" i="12"/>
  <c r="V408" i="12"/>
  <c r="W408" i="12"/>
  <c r="X408" i="12"/>
  <c r="Y408" i="12"/>
  <c r="Z408" i="12"/>
  <c r="AA408" i="12"/>
  <c r="AB408" i="12"/>
  <c r="AC408" i="12"/>
  <c r="AD408" i="12"/>
  <c r="AE408" i="12"/>
  <c r="AF408" i="12"/>
  <c r="E410" i="12"/>
  <c r="F410" i="12"/>
  <c r="G410" i="12"/>
  <c r="H410" i="12"/>
  <c r="I410" i="12"/>
  <c r="J410" i="12"/>
  <c r="K410" i="12"/>
  <c r="L410" i="12"/>
  <c r="M410" i="12"/>
  <c r="N410" i="12"/>
  <c r="O410" i="12"/>
  <c r="P410" i="12"/>
  <c r="Q410" i="12"/>
  <c r="R410" i="12"/>
  <c r="S410" i="12"/>
  <c r="T410" i="12"/>
  <c r="U410" i="12"/>
  <c r="V410" i="12"/>
  <c r="W410" i="12"/>
  <c r="X410" i="12"/>
  <c r="Y410" i="12"/>
  <c r="Z410" i="12"/>
  <c r="AA410" i="12"/>
  <c r="AB410" i="12"/>
  <c r="AC410" i="12"/>
  <c r="AD410" i="12"/>
  <c r="AE410" i="12"/>
  <c r="AF410" i="12"/>
  <c r="H412" i="12"/>
  <c r="I412" i="12"/>
  <c r="J412" i="12"/>
  <c r="K412" i="12"/>
  <c r="L412" i="12"/>
  <c r="M412" i="12"/>
  <c r="N412" i="12"/>
  <c r="O412" i="12"/>
  <c r="P412" i="12"/>
  <c r="Q412" i="12"/>
  <c r="R412" i="12"/>
  <c r="S412" i="12"/>
  <c r="T412" i="12"/>
  <c r="U412" i="12"/>
  <c r="V412" i="12"/>
  <c r="W412" i="12"/>
  <c r="X412" i="12"/>
  <c r="Y412" i="12"/>
  <c r="Z412" i="12"/>
  <c r="AA412" i="12"/>
  <c r="AB412" i="12"/>
  <c r="AC412" i="12"/>
  <c r="AD412" i="12"/>
  <c r="AE412" i="12"/>
  <c r="AF412" i="12"/>
  <c r="I414" i="12"/>
  <c r="J414" i="12"/>
  <c r="K414" i="12"/>
  <c r="L414" i="12"/>
  <c r="M414" i="12"/>
  <c r="N414" i="12"/>
  <c r="O414" i="12"/>
  <c r="P414" i="12"/>
  <c r="Q414" i="12"/>
  <c r="R414" i="12"/>
  <c r="S414" i="12"/>
  <c r="T414" i="12"/>
  <c r="U414" i="12"/>
  <c r="V414" i="12"/>
  <c r="W414" i="12"/>
  <c r="X414" i="12"/>
  <c r="Y414" i="12"/>
  <c r="Z414" i="12"/>
  <c r="AA414" i="12"/>
  <c r="AB414" i="12"/>
  <c r="AC414" i="12"/>
  <c r="AD414" i="12"/>
  <c r="AE414" i="12"/>
  <c r="AF414" i="12"/>
  <c r="I415" i="12"/>
  <c r="J415" i="12"/>
  <c r="K415" i="12"/>
  <c r="L415" i="12"/>
  <c r="M415" i="12"/>
  <c r="N415" i="12"/>
  <c r="O415" i="12"/>
  <c r="P415" i="12"/>
  <c r="Q415" i="12"/>
  <c r="R415" i="12"/>
  <c r="S415" i="12"/>
  <c r="T415" i="12"/>
  <c r="U415" i="12"/>
  <c r="V415" i="12"/>
  <c r="W415" i="12"/>
  <c r="X415" i="12"/>
  <c r="Y415" i="12"/>
  <c r="Z415" i="12"/>
  <c r="AA415" i="12"/>
  <c r="AB415" i="12"/>
  <c r="AC415" i="12"/>
  <c r="AD415" i="12"/>
  <c r="AE415" i="12"/>
  <c r="AF415" i="12"/>
  <c r="I416" i="12"/>
  <c r="J416" i="12"/>
  <c r="K416" i="12"/>
  <c r="L416" i="12"/>
  <c r="M416" i="12"/>
  <c r="N416" i="12"/>
  <c r="O416" i="12"/>
  <c r="P416" i="12"/>
  <c r="Q416" i="12"/>
  <c r="R416" i="12"/>
  <c r="S416" i="12"/>
  <c r="T416" i="12"/>
  <c r="U416" i="12"/>
  <c r="V416" i="12"/>
  <c r="W416" i="12"/>
  <c r="X416" i="12"/>
  <c r="Y416" i="12"/>
  <c r="Z416" i="12"/>
  <c r="AA416" i="12"/>
  <c r="AB416" i="12"/>
  <c r="AC416" i="12"/>
  <c r="AD416" i="12"/>
  <c r="AE416" i="12"/>
  <c r="AF416" i="12"/>
  <c r="H417" i="12"/>
  <c r="I417" i="12"/>
  <c r="J417" i="12"/>
  <c r="K417" i="12"/>
  <c r="L417" i="12"/>
  <c r="M417" i="12"/>
  <c r="N417" i="12"/>
  <c r="O417" i="12"/>
  <c r="P417" i="12"/>
  <c r="Q417" i="12"/>
  <c r="R417" i="12"/>
  <c r="S417" i="12"/>
  <c r="T417" i="12"/>
  <c r="U417" i="12"/>
  <c r="V417" i="12"/>
  <c r="W417" i="12"/>
  <c r="X417" i="12"/>
  <c r="Y417" i="12"/>
  <c r="Z417" i="12"/>
  <c r="AA417" i="12"/>
  <c r="AB417" i="12"/>
  <c r="AC417" i="12"/>
  <c r="AD417" i="12"/>
  <c r="AE417" i="12"/>
  <c r="AF417" i="12"/>
  <c r="I418" i="12"/>
  <c r="J418" i="12"/>
  <c r="K418" i="12"/>
  <c r="L418" i="12"/>
  <c r="M418" i="12"/>
  <c r="N418" i="12"/>
  <c r="O418" i="12"/>
  <c r="P418" i="12"/>
  <c r="Q418" i="12"/>
  <c r="R418" i="12"/>
  <c r="S418" i="12"/>
  <c r="T418" i="12"/>
  <c r="U418" i="12"/>
  <c r="V418" i="12"/>
  <c r="W418" i="12"/>
  <c r="X418" i="12"/>
  <c r="Y418" i="12"/>
  <c r="Z418" i="12"/>
  <c r="AA418" i="12"/>
  <c r="AB418" i="12"/>
  <c r="AC418" i="12"/>
  <c r="AD418" i="12"/>
  <c r="AE418" i="12"/>
  <c r="AF418" i="12"/>
  <c r="A421" i="12"/>
  <c r="I421" i="12"/>
  <c r="J421" i="12"/>
  <c r="K421" i="12"/>
  <c r="L421" i="12"/>
  <c r="M421" i="12"/>
  <c r="N421" i="12"/>
  <c r="O421" i="12"/>
  <c r="P421" i="12"/>
  <c r="Q421" i="12"/>
  <c r="R421" i="12"/>
  <c r="S421" i="12"/>
  <c r="T421" i="12"/>
  <c r="U421" i="12"/>
  <c r="V421" i="12"/>
  <c r="W421" i="12"/>
  <c r="X421" i="12"/>
  <c r="Y421" i="12"/>
  <c r="Z421" i="12"/>
  <c r="AA421" i="12"/>
  <c r="AB421" i="12"/>
  <c r="AC421" i="12"/>
  <c r="AD421" i="12"/>
  <c r="AE421" i="12"/>
  <c r="AF421" i="12"/>
  <c r="H422" i="12"/>
  <c r="I422" i="12"/>
  <c r="J422" i="12"/>
  <c r="K422" i="12"/>
  <c r="L422" i="12"/>
  <c r="M422" i="12"/>
  <c r="N422" i="12"/>
  <c r="O422" i="12"/>
  <c r="P422" i="12"/>
  <c r="Q422" i="12"/>
  <c r="R422" i="12"/>
  <c r="S422" i="12"/>
  <c r="T422" i="12"/>
  <c r="U422" i="12"/>
  <c r="V422" i="12"/>
  <c r="W422" i="12"/>
  <c r="X422" i="12"/>
  <c r="Y422" i="12"/>
  <c r="Z422" i="12"/>
  <c r="AA422" i="12"/>
  <c r="AB422" i="12"/>
  <c r="AC422" i="12"/>
  <c r="AD422" i="12"/>
  <c r="AE422" i="12"/>
  <c r="AF422" i="12"/>
  <c r="H423" i="12"/>
  <c r="I423" i="12"/>
  <c r="J423" i="12"/>
  <c r="K423" i="12"/>
  <c r="L423" i="12"/>
  <c r="M423" i="12"/>
  <c r="N423" i="12"/>
  <c r="O423" i="12"/>
  <c r="P423" i="12"/>
  <c r="Q423" i="12"/>
  <c r="R423" i="12"/>
  <c r="S423" i="12"/>
  <c r="T423" i="12"/>
  <c r="U423" i="12"/>
  <c r="V423" i="12"/>
  <c r="W423" i="12"/>
  <c r="X423" i="12"/>
  <c r="Y423" i="12"/>
  <c r="Z423" i="12"/>
  <c r="AA423" i="12"/>
  <c r="AB423" i="12"/>
  <c r="AC423" i="12"/>
  <c r="AD423" i="12"/>
  <c r="AE423" i="12"/>
  <c r="AF423" i="12"/>
  <c r="H424" i="12"/>
  <c r="I424" i="12"/>
  <c r="J424" i="12"/>
  <c r="K424" i="12"/>
  <c r="L424" i="12"/>
  <c r="M424" i="12"/>
  <c r="N424" i="12"/>
  <c r="O424" i="12"/>
  <c r="P424" i="12"/>
  <c r="Q424" i="12"/>
  <c r="R424" i="12"/>
  <c r="S424" i="12"/>
  <c r="T424" i="12"/>
  <c r="U424" i="12"/>
  <c r="V424" i="12"/>
  <c r="W424" i="12"/>
  <c r="X424" i="12"/>
  <c r="Y424" i="12"/>
  <c r="Z424" i="12"/>
  <c r="AA424" i="12"/>
  <c r="AB424" i="12"/>
  <c r="AC424" i="12"/>
  <c r="AD424" i="12"/>
  <c r="AE424" i="12"/>
  <c r="AF424" i="12"/>
  <c r="H425" i="12"/>
  <c r="I425" i="12"/>
  <c r="J425" i="12"/>
  <c r="K425" i="12"/>
  <c r="L425" i="12"/>
  <c r="M425" i="12"/>
  <c r="N425" i="12"/>
  <c r="O425" i="12"/>
  <c r="P425" i="12"/>
  <c r="Q425" i="12"/>
  <c r="R425" i="12"/>
  <c r="S425" i="12"/>
  <c r="T425" i="12"/>
  <c r="U425" i="12"/>
  <c r="V425" i="12"/>
  <c r="W425" i="12"/>
  <c r="X425" i="12"/>
  <c r="Y425" i="12"/>
  <c r="Z425" i="12"/>
  <c r="AA425" i="12"/>
  <c r="AB425" i="12"/>
  <c r="AC425" i="12"/>
  <c r="AD425" i="12"/>
  <c r="AE425" i="12"/>
  <c r="AF425" i="12"/>
  <c r="I426" i="12"/>
  <c r="J426" i="12"/>
  <c r="K426" i="12"/>
  <c r="L426" i="12"/>
  <c r="M426" i="12"/>
  <c r="N426" i="12"/>
  <c r="O426" i="12"/>
  <c r="P426" i="12"/>
  <c r="Q426" i="12"/>
  <c r="R426" i="12"/>
  <c r="S426" i="12"/>
  <c r="T426" i="12"/>
  <c r="U426" i="12"/>
  <c r="V426" i="12"/>
  <c r="W426" i="12"/>
  <c r="X426" i="12"/>
  <c r="Y426" i="12"/>
  <c r="Z426" i="12"/>
  <c r="AA426" i="12"/>
  <c r="AB426" i="12"/>
  <c r="AC426" i="12"/>
  <c r="AD426" i="12"/>
  <c r="AE426" i="12"/>
  <c r="AF426" i="12"/>
  <c r="A428" i="12"/>
  <c r="I428" i="12"/>
  <c r="J428" i="12"/>
  <c r="K428" i="12"/>
  <c r="L428" i="12"/>
  <c r="M428" i="12"/>
  <c r="N428" i="12"/>
  <c r="O428" i="12"/>
  <c r="P428" i="12"/>
  <c r="Q428" i="12"/>
  <c r="R428" i="12"/>
  <c r="S428" i="12"/>
  <c r="T428" i="12"/>
  <c r="U428" i="12"/>
  <c r="V428" i="12"/>
  <c r="W428" i="12"/>
  <c r="X428" i="12"/>
  <c r="Y428" i="12"/>
  <c r="Z428" i="12"/>
  <c r="AA428" i="12"/>
  <c r="AB428" i="12"/>
  <c r="AC428" i="12"/>
  <c r="AD428" i="12"/>
  <c r="AE428" i="12"/>
  <c r="AF428" i="12"/>
  <c r="H429" i="12"/>
  <c r="I429" i="12"/>
  <c r="J429" i="12"/>
  <c r="K429" i="12"/>
  <c r="L429" i="12"/>
  <c r="M429" i="12"/>
  <c r="N429" i="12"/>
  <c r="O429" i="12"/>
  <c r="P429" i="12"/>
  <c r="Q429" i="12"/>
  <c r="R429" i="12"/>
  <c r="S429" i="12"/>
  <c r="T429" i="12"/>
  <c r="U429" i="12"/>
  <c r="V429" i="12"/>
  <c r="W429" i="12"/>
  <c r="X429" i="12"/>
  <c r="Y429" i="12"/>
  <c r="Z429" i="12"/>
  <c r="AA429" i="12"/>
  <c r="AB429" i="12"/>
  <c r="AC429" i="12"/>
  <c r="AD429" i="12"/>
  <c r="AE429" i="12"/>
  <c r="AF429" i="12"/>
  <c r="H430" i="12"/>
  <c r="I430" i="12"/>
  <c r="J430" i="12"/>
  <c r="K430" i="12"/>
  <c r="L430" i="12"/>
  <c r="M430" i="12"/>
  <c r="N430" i="12"/>
  <c r="O430" i="12"/>
  <c r="P430" i="12"/>
  <c r="Q430" i="12"/>
  <c r="R430" i="12"/>
  <c r="S430" i="12"/>
  <c r="T430" i="12"/>
  <c r="U430" i="12"/>
  <c r="V430" i="12"/>
  <c r="W430" i="12"/>
  <c r="X430" i="12"/>
  <c r="Y430" i="12"/>
  <c r="Z430" i="12"/>
  <c r="AA430" i="12"/>
  <c r="AB430" i="12"/>
  <c r="AC430" i="12"/>
  <c r="AD430" i="12"/>
  <c r="AE430" i="12"/>
  <c r="AF430" i="12"/>
  <c r="H431" i="12"/>
  <c r="I431" i="12"/>
  <c r="J431" i="12"/>
  <c r="K431" i="12"/>
  <c r="L431" i="12"/>
  <c r="M431" i="12"/>
  <c r="N431" i="12"/>
  <c r="O431" i="12"/>
  <c r="P431" i="12"/>
  <c r="Q431" i="12"/>
  <c r="R431" i="12"/>
  <c r="S431" i="12"/>
  <c r="T431" i="12"/>
  <c r="U431" i="12"/>
  <c r="V431" i="12"/>
  <c r="W431" i="12"/>
  <c r="X431" i="12"/>
  <c r="Y431" i="12"/>
  <c r="Z431" i="12"/>
  <c r="AA431" i="12"/>
  <c r="AB431" i="12"/>
  <c r="AC431" i="12"/>
  <c r="AD431" i="12"/>
  <c r="AE431" i="12"/>
  <c r="AF431" i="12"/>
  <c r="I432" i="12"/>
  <c r="J432" i="12"/>
  <c r="K432" i="12"/>
  <c r="L432" i="12"/>
  <c r="M432" i="12"/>
  <c r="N432" i="12"/>
  <c r="O432" i="12"/>
  <c r="P432" i="12"/>
  <c r="Q432" i="12"/>
  <c r="R432" i="12"/>
  <c r="S432" i="12"/>
  <c r="T432" i="12"/>
  <c r="U432" i="12"/>
  <c r="V432" i="12"/>
  <c r="W432" i="12"/>
  <c r="X432" i="12"/>
  <c r="Y432" i="12"/>
  <c r="Z432" i="12"/>
  <c r="AA432" i="12"/>
  <c r="AB432" i="12"/>
  <c r="AC432" i="12"/>
  <c r="AD432" i="12"/>
  <c r="AE432" i="12"/>
  <c r="AF432" i="12"/>
  <c r="C437" i="12"/>
  <c r="C439" i="12"/>
  <c r="C440" i="12"/>
  <c r="C442" i="12"/>
  <c r="C443" i="12"/>
  <c r="G443" i="12"/>
  <c r="E445" i="12"/>
  <c r="I450" i="12"/>
  <c r="J450" i="12"/>
  <c r="K450" i="12"/>
  <c r="L450" i="12"/>
  <c r="M450" i="12"/>
  <c r="N450" i="12"/>
  <c r="O450" i="12"/>
  <c r="P450" i="12"/>
  <c r="Q450" i="12"/>
  <c r="R450" i="12"/>
  <c r="S450" i="12"/>
  <c r="T450" i="12"/>
  <c r="U450" i="12"/>
  <c r="V450" i="12"/>
  <c r="W450" i="12"/>
  <c r="X450" i="12"/>
  <c r="Y450" i="12"/>
  <c r="Z450" i="12"/>
  <c r="AA450" i="12"/>
  <c r="AB450" i="12"/>
  <c r="AC450" i="12"/>
  <c r="AD450" i="12"/>
  <c r="AE450" i="12"/>
  <c r="AF450" i="12"/>
  <c r="E451" i="12"/>
  <c r="H451" i="12"/>
  <c r="I451" i="12"/>
  <c r="J451" i="12"/>
  <c r="K451" i="12"/>
  <c r="L451" i="12"/>
  <c r="M451" i="12"/>
  <c r="N451" i="12"/>
  <c r="O451" i="12"/>
  <c r="P451" i="12"/>
  <c r="Q451" i="12"/>
  <c r="R451" i="12"/>
  <c r="S451" i="12"/>
  <c r="T451" i="12"/>
  <c r="U451" i="12"/>
  <c r="V451" i="12"/>
  <c r="W451" i="12"/>
  <c r="X451" i="12"/>
  <c r="Y451" i="12"/>
  <c r="Z451" i="12"/>
  <c r="AA451" i="12"/>
  <c r="AB451" i="12"/>
  <c r="AC451" i="12"/>
  <c r="AD451" i="12"/>
  <c r="AE451" i="12"/>
  <c r="AF451" i="12"/>
  <c r="H452" i="12"/>
  <c r="I452" i="12"/>
  <c r="J452" i="12"/>
  <c r="K452" i="12"/>
  <c r="L452" i="12"/>
  <c r="M452" i="12"/>
  <c r="N452" i="12"/>
  <c r="O452" i="12"/>
  <c r="P452" i="12"/>
  <c r="Q452" i="12"/>
  <c r="R452" i="12"/>
  <c r="S452" i="12"/>
  <c r="T452" i="12"/>
  <c r="U452" i="12"/>
  <c r="V452" i="12"/>
  <c r="W452" i="12"/>
  <c r="X452" i="12"/>
  <c r="Y452" i="12"/>
  <c r="Z452" i="12"/>
  <c r="AA452" i="12"/>
  <c r="AB452" i="12"/>
  <c r="AC452" i="12"/>
  <c r="AD452" i="12"/>
  <c r="AE452" i="12"/>
  <c r="AF452" i="12"/>
  <c r="E453" i="12"/>
  <c r="H453" i="12"/>
  <c r="I453" i="12"/>
  <c r="J453" i="12"/>
  <c r="K453" i="12"/>
  <c r="L453" i="12"/>
  <c r="M453" i="12"/>
  <c r="N453" i="12"/>
  <c r="O453" i="12"/>
  <c r="P453" i="12"/>
  <c r="Q453" i="12"/>
  <c r="R453" i="12"/>
  <c r="S453" i="12"/>
  <c r="T453" i="12"/>
  <c r="U453" i="12"/>
  <c r="V453" i="12"/>
  <c r="W453" i="12"/>
  <c r="X453" i="12"/>
  <c r="Y453" i="12"/>
  <c r="Z453" i="12"/>
  <c r="AA453" i="12"/>
  <c r="AB453" i="12"/>
  <c r="AC453" i="12"/>
  <c r="AD453" i="12"/>
  <c r="AE453" i="12"/>
  <c r="AF453" i="12"/>
  <c r="H454" i="12"/>
  <c r="E455" i="12"/>
  <c r="H455" i="12"/>
  <c r="I455" i="12"/>
  <c r="J455" i="12"/>
  <c r="K455" i="12"/>
  <c r="L455" i="12"/>
  <c r="M455" i="12"/>
  <c r="N455" i="12"/>
  <c r="O455" i="12"/>
  <c r="P455" i="12"/>
  <c r="Q455" i="12"/>
  <c r="R455" i="12"/>
  <c r="S455" i="12"/>
  <c r="T455" i="12"/>
  <c r="U455" i="12"/>
  <c r="V455" i="12"/>
  <c r="W455" i="12"/>
  <c r="X455" i="12"/>
  <c r="Y455" i="12"/>
  <c r="Z455" i="12"/>
  <c r="AA455" i="12"/>
  <c r="AB455" i="12"/>
  <c r="AC455" i="12"/>
  <c r="AD455" i="12"/>
  <c r="AE455" i="12"/>
  <c r="AF455" i="12"/>
  <c r="C458" i="12"/>
  <c r="E458" i="12"/>
  <c r="H458" i="12"/>
  <c r="I458" i="12"/>
  <c r="J458" i="12"/>
  <c r="K458" i="12"/>
  <c r="L458" i="12"/>
  <c r="M458" i="12"/>
  <c r="N458" i="12"/>
  <c r="O458" i="12"/>
  <c r="P458" i="12"/>
  <c r="Q458" i="12"/>
  <c r="R458" i="12"/>
  <c r="S458" i="12"/>
  <c r="T458" i="12"/>
  <c r="U458" i="12"/>
  <c r="V458" i="12"/>
  <c r="W458" i="12"/>
  <c r="X458" i="12"/>
  <c r="Y458" i="12"/>
  <c r="Z458" i="12"/>
  <c r="AA458" i="12"/>
  <c r="AB458" i="12"/>
  <c r="AC458" i="12"/>
  <c r="AD458" i="12"/>
  <c r="AE458" i="12"/>
  <c r="AF458" i="12"/>
  <c r="E459" i="12"/>
  <c r="H459" i="12"/>
  <c r="I459" i="12"/>
  <c r="J459" i="12"/>
  <c r="K459" i="12"/>
  <c r="L459" i="12"/>
  <c r="M459" i="12"/>
  <c r="N459" i="12"/>
  <c r="O459" i="12"/>
  <c r="P459" i="12"/>
  <c r="Q459" i="12"/>
  <c r="R459" i="12"/>
  <c r="S459" i="12"/>
  <c r="T459" i="12"/>
  <c r="U459" i="12"/>
  <c r="V459" i="12"/>
  <c r="W459" i="12"/>
  <c r="X459" i="12"/>
  <c r="Y459" i="12"/>
  <c r="Z459" i="12"/>
  <c r="AA459" i="12"/>
  <c r="AB459" i="12"/>
  <c r="AC459" i="12"/>
  <c r="AD459" i="12"/>
  <c r="AE459" i="12"/>
  <c r="AF459" i="12"/>
  <c r="H460" i="12"/>
  <c r="I460" i="12"/>
  <c r="J460" i="12"/>
  <c r="K460" i="12"/>
  <c r="L460" i="12"/>
  <c r="M460" i="12"/>
  <c r="N460" i="12"/>
  <c r="O460" i="12"/>
  <c r="P460" i="12"/>
  <c r="Q460" i="12"/>
  <c r="R460" i="12"/>
  <c r="S460" i="12"/>
  <c r="T460" i="12"/>
  <c r="U460" i="12"/>
  <c r="V460" i="12"/>
  <c r="W460" i="12"/>
  <c r="X460" i="12"/>
  <c r="Y460" i="12"/>
  <c r="Z460" i="12"/>
  <c r="AA460" i="12"/>
  <c r="AB460" i="12"/>
  <c r="AC460" i="12"/>
  <c r="AD460" i="12"/>
  <c r="AE460" i="12"/>
  <c r="AF460" i="12"/>
  <c r="H462" i="12"/>
  <c r="I462" i="12"/>
  <c r="J462" i="12"/>
  <c r="K462" i="12"/>
  <c r="L462" i="12"/>
  <c r="M462" i="12"/>
  <c r="N462" i="12"/>
  <c r="O462" i="12"/>
  <c r="P462" i="12"/>
  <c r="Q462" i="12"/>
  <c r="R462" i="12"/>
  <c r="S462" i="12"/>
  <c r="T462" i="12"/>
  <c r="U462" i="12"/>
  <c r="V462" i="12"/>
  <c r="W462" i="12"/>
  <c r="X462" i="12"/>
  <c r="Y462" i="12"/>
  <c r="Z462" i="12"/>
  <c r="AA462" i="12"/>
  <c r="AB462" i="12"/>
  <c r="AC462" i="12"/>
  <c r="AD462" i="12"/>
  <c r="AE462" i="12"/>
  <c r="AF462" i="12"/>
  <c r="E463" i="12"/>
  <c r="H463" i="12"/>
  <c r="K463" i="12"/>
  <c r="E464" i="12"/>
  <c r="H464" i="12"/>
  <c r="I464" i="12"/>
  <c r="J464" i="12"/>
  <c r="K464" i="12"/>
  <c r="L464" i="12"/>
  <c r="M464" i="12"/>
  <c r="N464" i="12"/>
  <c r="O464" i="12"/>
  <c r="P464" i="12"/>
  <c r="Q464" i="12"/>
  <c r="R464" i="12"/>
  <c r="S464" i="12"/>
  <c r="T464" i="12"/>
  <c r="U464" i="12"/>
  <c r="V464" i="12"/>
  <c r="W464" i="12"/>
  <c r="X464" i="12"/>
  <c r="Y464" i="12"/>
  <c r="Z464" i="12"/>
  <c r="AA464" i="12"/>
  <c r="AB464" i="12"/>
  <c r="AC464" i="12"/>
  <c r="AD464" i="12"/>
  <c r="AE464" i="12"/>
  <c r="AF464" i="12"/>
  <c r="E466" i="12"/>
  <c r="H466" i="12"/>
  <c r="I466" i="12"/>
  <c r="J466" i="12"/>
  <c r="K466" i="12"/>
  <c r="L466" i="12"/>
  <c r="M466" i="12"/>
  <c r="N466" i="12"/>
  <c r="O466" i="12"/>
  <c r="P466" i="12"/>
  <c r="Q466" i="12"/>
  <c r="R466" i="12"/>
  <c r="S466" i="12"/>
  <c r="T466" i="12"/>
  <c r="U466" i="12"/>
  <c r="V466" i="12"/>
  <c r="W466" i="12"/>
  <c r="X466" i="12"/>
  <c r="Y466" i="12"/>
  <c r="Z466" i="12"/>
  <c r="AA466" i="12"/>
  <c r="AB466" i="12"/>
  <c r="AC466" i="12"/>
  <c r="AD466" i="12"/>
  <c r="AE466" i="12"/>
  <c r="AF466" i="12"/>
  <c r="E467" i="12"/>
  <c r="H467" i="12"/>
  <c r="I467" i="12"/>
  <c r="J467" i="12"/>
  <c r="K467" i="12"/>
  <c r="L467" i="12"/>
  <c r="M467" i="12"/>
  <c r="N467" i="12"/>
  <c r="O467" i="12"/>
  <c r="P467" i="12"/>
  <c r="Q467" i="12"/>
  <c r="R467" i="12"/>
  <c r="S467" i="12"/>
  <c r="T467" i="12"/>
  <c r="U467" i="12"/>
  <c r="V467" i="12"/>
  <c r="W467" i="12"/>
  <c r="X467" i="12"/>
  <c r="Y467" i="12"/>
  <c r="Z467" i="12"/>
  <c r="AA467" i="12"/>
  <c r="AB467" i="12"/>
  <c r="AC467" i="12"/>
  <c r="AD467" i="12"/>
  <c r="AE467" i="12"/>
  <c r="AF467" i="12"/>
  <c r="I472" i="12"/>
  <c r="J472" i="12"/>
  <c r="K472" i="12"/>
  <c r="L472" i="12"/>
  <c r="M472" i="12"/>
  <c r="N472" i="12"/>
  <c r="O472" i="12"/>
  <c r="P472" i="12"/>
  <c r="Q472" i="12"/>
  <c r="R472" i="12"/>
  <c r="S472" i="12"/>
  <c r="T472" i="12"/>
  <c r="U472" i="12"/>
  <c r="V472" i="12"/>
  <c r="W472" i="12"/>
  <c r="X472" i="12"/>
  <c r="Y472" i="12"/>
  <c r="Z472" i="12"/>
  <c r="AA472" i="12"/>
  <c r="AB472" i="12"/>
  <c r="AC472" i="12"/>
  <c r="AD472" i="12"/>
  <c r="AE472" i="12"/>
  <c r="AF472" i="12"/>
  <c r="I473" i="12"/>
  <c r="I474" i="12"/>
  <c r="I475" i="12"/>
  <c r="J475" i="12"/>
  <c r="A476" i="12"/>
  <c r="E476" i="12"/>
  <c r="I476" i="12"/>
  <c r="J476" i="12"/>
  <c r="K476" i="12"/>
  <c r="L476" i="12"/>
  <c r="M476" i="12"/>
  <c r="N476" i="12"/>
  <c r="O476" i="12"/>
  <c r="P476" i="12"/>
  <c r="Q476" i="12"/>
  <c r="R476" i="12"/>
  <c r="S476" i="12"/>
  <c r="A477" i="12"/>
  <c r="K477" i="12"/>
  <c r="L477" i="12"/>
  <c r="M477" i="12"/>
  <c r="N477" i="12"/>
  <c r="O477" i="12"/>
  <c r="P477" i="12"/>
  <c r="Q477" i="12"/>
  <c r="R477" i="12"/>
  <c r="S477" i="12"/>
  <c r="T477" i="12"/>
  <c r="A478" i="12"/>
  <c r="E478" i="12"/>
  <c r="E479" i="12"/>
  <c r="I479" i="12"/>
  <c r="J479" i="12"/>
  <c r="K479" i="12"/>
  <c r="L479" i="12"/>
  <c r="M479" i="12"/>
  <c r="N479" i="12"/>
  <c r="O479" i="12"/>
  <c r="P479" i="12"/>
  <c r="Q479" i="12"/>
  <c r="R479" i="12"/>
  <c r="S479" i="12"/>
  <c r="T479" i="12"/>
  <c r="U479" i="12"/>
  <c r="V479" i="12"/>
  <c r="W479" i="12"/>
  <c r="E484" i="12"/>
  <c r="F484" i="12"/>
  <c r="G484" i="12"/>
  <c r="I484" i="12"/>
  <c r="N484" i="12"/>
  <c r="K485" i="12"/>
  <c r="L485" i="12"/>
  <c r="N485" i="12"/>
  <c r="P485" i="12"/>
  <c r="K486" i="12"/>
  <c r="N486" i="12"/>
  <c r="K487" i="12"/>
  <c r="N487" i="12"/>
  <c r="N488" i="12"/>
  <c r="E489" i="12"/>
  <c r="F489" i="12"/>
  <c r="G489" i="12"/>
  <c r="I489" i="12"/>
  <c r="K489" i="12"/>
  <c r="L489" i="12"/>
  <c r="N489" i="12"/>
  <c r="K491" i="12"/>
  <c r="N491" i="12"/>
  <c r="I492" i="12"/>
  <c r="K492" i="12"/>
  <c r="N492" i="12"/>
  <c r="K494" i="12"/>
  <c r="N494" i="12"/>
  <c r="N495" i="12"/>
  <c r="E496" i="12"/>
  <c r="F496" i="12"/>
  <c r="G496" i="12"/>
  <c r="I496" i="12"/>
  <c r="K496" i="12"/>
  <c r="N496" i="12"/>
  <c r="K498" i="12"/>
  <c r="N498" i="12"/>
  <c r="K499" i="12"/>
  <c r="N499" i="12"/>
  <c r="E500" i="12"/>
  <c r="F500" i="12"/>
  <c r="G500" i="12"/>
  <c r="I500" i="12"/>
  <c r="K500" i="12"/>
  <c r="L500" i="12"/>
  <c r="N500" i="12"/>
  <c r="K503" i="12"/>
  <c r="N503" i="12"/>
  <c r="K504" i="12"/>
  <c r="N504" i="12"/>
  <c r="K505" i="12"/>
  <c r="N505" i="12"/>
  <c r="N506" i="12"/>
  <c r="P506" i="12"/>
  <c r="Q506" i="12"/>
  <c r="R506" i="12"/>
  <c r="S506" i="12"/>
  <c r="E507" i="12"/>
  <c r="F507" i="12"/>
  <c r="G507" i="12"/>
  <c r="I507" i="12"/>
  <c r="K507" i="12"/>
  <c r="L507" i="12"/>
  <c r="N507" i="12"/>
  <c r="P507" i="12"/>
  <c r="Q507" i="12"/>
  <c r="R507" i="12"/>
  <c r="S507" i="12"/>
  <c r="A509" i="12"/>
  <c r="K509" i="12"/>
  <c r="N509" i="12"/>
  <c r="P509" i="12"/>
  <c r="Q509" i="12"/>
  <c r="R509" i="12"/>
  <c r="S509" i="12"/>
  <c r="N510" i="12"/>
  <c r="N511" i="12"/>
  <c r="E512" i="12"/>
  <c r="F512" i="12"/>
  <c r="G512" i="12"/>
  <c r="I512" i="12"/>
  <c r="K512" i="12"/>
  <c r="L512" i="12"/>
  <c r="N512" i="12"/>
  <c r="P512" i="12"/>
  <c r="Q512" i="12"/>
  <c r="R512" i="12"/>
  <c r="S512" i="12"/>
  <c r="E514" i="12"/>
  <c r="F514" i="12"/>
  <c r="G514" i="12"/>
  <c r="I514" i="12"/>
  <c r="K514" i="12"/>
  <c r="L514" i="12"/>
  <c r="N514" i="12"/>
  <c r="P514" i="12"/>
  <c r="Q514" i="12"/>
  <c r="R514" i="12"/>
  <c r="S514" i="12"/>
  <c r="A516" i="12"/>
  <c r="K516" i="12"/>
  <c r="N516" i="12"/>
  <c r="P516" i="12"/>
  <c r="Q516" i="12"/>
  <c r="R516" i="12"/>
  <c r="S516" i="12"/>
  <c r="N517" i="12"/>
  <c r="P517" i="12"/>
  <c r="Q517" i="12"/>
  <c r="R517" i="12"/>
  <c r="S517" i="12"/>
  <c r="L518" i="12"/>
  <c r="N518" i="12"/>
  <c r="P518" i="12"/>
  <c r="Q518" i="12"/>
  <c r="R518" i="12"/>
  <c r="S518" i="12"/>
  <c r="L519" i="12"/>
  <c r="N519" i="12"/>
  <c r="P519" i="12"/>
  <c r="Q519" i="12"/>
  <c r="R519" i="12"/>
  <c r="S519" i="12"/>
  <c r="N520" i="12"/>
  <c r="P520" i="12"/>
  <c r="Q520" i="12"/>
  <c r="R520" i="12"/>
  <c r="S520" i="12"/>
  <c r="E521" i="12"/>
  <c r="F521" i="12"/>
  <c r="G521" i="12"/>
  <c r="I521" i="12"/>
  <c r="K521" i="12"/>
  <c r="L521" i="12"/>
  <c r="N521" i="12"/>
  <c r="P521" i="12"/>
  <c r="Q521" i="12"/>
  <c r="R521" i="12"/>
  <c r="S521" i="12"/>
  <c r="E522" i="12"/>
  <c r="F522" i="12"/>
  <c r="G522" i="12"/>
  <c r="I522" i="12"/>
  <c r="K522" i="12"/>
  <c r="L522" i="12"/>
  <c r="N522" i="12"/>
  <c r="P522" i="12"/>
  <c r="Q522" i="12"/>
  <c r="R522" i="12"/>
  <c r="S522" i="12"/>
  <c r="E524" i="12"/>
  <c r="F524" i="12"/>
  <c r="G524" i="12"/>
  <c r="I524" i="12"/>
  <c r="K524" i="12"/>
  <c r="L524" i="12"/>
  <c r="N524" i="12"/>
  <c r="E528" i="12"/>
  <c r="F528" i="12"/>
  <c r="G528" i="12"/>
  <c r="H528" i="12"/>
  <c r="I528" i="12"/>
  <c r="J528" i="12"/>
  <c r="K528" i="12"/>
  <c r="L528" i="12"/>
  <c r="M528" i="12"/>
  <c r="N528" i="12"/>
  <c r="O528" i="12"/>
  <c r="P528" i="12"/>
  <c r="Q528" i="12"/>
  <c r="R528" i="12"/>
  <c r="S528" i="12"/>
  <c r="T528" i="12"/>
  <c r="U528" i="12"/>
  <c r="V528" i="12"/>
  <c r="W528" i="12"/>
  <c r="X528" i="12"/>
  <c r="Y528" i="12"/>
  <c r="Z528" i="12"/>
  <c r="AA528" i="12"/>
  <c r="AB528" i="12"/>
  <c r="AC528" i="12"/>
  <c r="AD528" i="12"/>
  <c r="AE528" i="12"/>
  <c r="AF528" i="12"/>
  <c r="A529" i="12"/>
  <c r="I529" i="12"/>
  <c r="J529" i="12"/>
  <c r="K529" i="12"/>
  <c r="L529" i="12"/>
  <c r="M529" i="12"/>
  <c r="N529" i="12"/>
  <c r="O529" i="12"/>
  <c r="P529" i="12"/>
  <c r="Q529" i="12"/>
  <c r="R529" i="12"/>
  <c r="S529" i="12"/>
  <c r="T529" i="12"/>
  <c r="U529" i="12"/>
  <c r="V529" i="12"/>
  <c r="W529" i="12"/>
  <c r="X529" i="12"/>
  <c r="Y529" i="12"/>
  <c r="Z529" i="12"/>
  <c r="AA529" i="12"/>
  <c r="AB529" i="12"/>
  <c r="AC529" i="12"/>
  <c r="AD529" i="12"/>
  <c r="AE529" i="12"/>
  <c r="AF529" i="12"/>
  <c r="A530" i="12"/>
  <c r="I530" i="12"/>
  <c r="J530" i="12"/>
  <c r="K530" i="12"/>
  <c r="L530" i="12"/>
  <c r="M530" i="12"/>
  <c r="N530" i="12"/>
  <c r="O530" i="12"/>
  <c r="P530" i="12"/>
  <c r="Q530" i="12"/>
  <c r="R530" i="12"/>
  <c r="S530" i="12"/>
  <c r="T530" i="12"/>
  <c r="U530" i="12"/>
  <c r="V530" i="12"/>
  <c r="W530" i="12"/>
  <c r="X530" i="12"/>
  <c r="Y530" i="12"/>
  <c r="Z530" i="12"/>
  <c r="AA530" i="12"/>
  <c r="AB530" i="12"/>
  <c r="AC530" i="12"/>
  <c r="AD530" i="12"/>
  <c r="AE530" i="12"/>
  <c r="AF530" i="12"/>
  <c r="A531" i="12"/>
  <c r="I531" i="12"/>
  <c r="J531" i="12"/>
  <c r="K531" i="12"/>
  <c r="L531" i="12"/>
  <c r="M531" i="12"/>
  <c r="N531" i="12"/>
  <c r="O531" i="12"/>
  <c r="P531" i="12"/>
  <c r="Q531" i="12"/>
  <c r="R531" i="12"/>
  <c r="S531" i="12"/>
  <c r="T531" i="12"/>
  <c r="U531" i="12"/>
  <c r="V531" i="12"/>
  <c r="W531" i="12"/>
  <c r="X531" i="12"/>
  <c r="Y531" i="12"/>
  <c r="Z531" i="12"/>
  <c r="AA531" i="12"/>
  <c r="AB531" i="12"/>
  <c r="AC531" i="12"/>
  <c r="AD531" i="12"/>
  <c r="AE531" i="12"/>
  <c r="AF531" i="12"/>
  <c r="A532" i="12"/>
  <c r="I532" i="12"/>
  <c r="J532" i="12"/>
  <c r="K532" i="12"/>
  <c r="L532" i="12"/>
  <c r="M532" i="12"/>
  <c r="N532" i="12"/>
  <c r="O532" i="12"/>
  <c r="P532" i="12"/>
  <c r="Q532" i="12"/>
  <c r="R532" i="12"/>
  <c r="S532" i="12"/>
  <c r="T532" i="12"/>
  <c r="U532" i="12"/>
  <c r="V532" i="12"/>
  <c r="W532" i="12"/>
  <c r="X532" i="12"/>
  <c r="Y532" i="12"/>
  <c r="Z532" i="12"/>
  <c r="AA532" i="12"/>
  <c r="AB532" i="12"/>
  <c r="AC532" i="12"/>
  <c r="AD532" i="12"/>
  <c r="AE532" i="12"/>
  <c r="AF532" i="12"/>
  <c r="A533" i="12"/>
  <c r="I533" i="12"/>
  <c r="J533" i="12"/>
  <c r="K533" i="12"/>
  <c r="L533" i="12"/>
  <c r="M533" i="12"/>
  <c r="N533" i="12"/>
  <c r="O533" i="12"/>
  <c r="P533" i="12"/>
  <c r="Q533" i="12"/>
  <c r="R533" i="12"/>
  <c r="S533" i="12"/>
  <c r="T533" i="12"/>
  <c r="U533" i="12"/>
  <c r="V533" i="12"/>
  <c r="W533" i="12"/>
  <c r="X533" i="12"/>
  <c r="Y533" i="12"/>
  <c r="Z533" i="12"/>
  <c r="AA533" i="12"/>
  <c r="AB533" i="12"/>
  <c r="AC533" i="12"/>
  <c r="AD533" i="12"/>
  <c r="AE533" i="12"/>
  <c r="AF533" i="12"/>
  <c r="A534" i="12"/>
  <c r="I534" i="12"/>
  <c r="J534" i="12"/>
  <c r="K534" i="12"/>
  <c r="L534" i="12"/>
  <c r="M534" i="12"/>
  <c r="N534" i="12"/>
  <c r="O534" i="12"/>
  <c r="P534" i="12"/>
  <c r="Q534" i="12"/>
  <c r="R534" i="12"/>
  <c r="S534" i="12"/>
  <c r="T534" i="12"/>
  <c r="U534" i="12"/>
  <c r="V534" i="12"/>
  <c r="W534" i="12"/>
  <c r="X534" i="12"/>
  <c r="Y534" i="12"/>
  <c r="Z534" i="12"/>
  <c r="AA534" i="12"/>
  <c r="AB534" i="12"/>
  <c r="AC534" i="12"/>
  <c r="AD534" i="12"/>
  <c r="AE534" i="12"/>
  <c r="AF534" i="12"/>
  <c r="A535" i="12"/>
  <c r="I535" i="12"/>
  <c r="J535" i="12"/>
  <c r="K535" i="12"/>
  <c r="L535" i="12"/>
  <c r="M535" i="12"/>
  <c r="N535" i="12"/>
  <c r="O535" i="12"/>
  <c r="P535" i="12"/>
  <c r="Q535" i="12"/>
  <c r="R535" i="12"/>
  <c r="S535" i="12"/>
  <c r="T535" i="12"/>
  <c r="U535" i="12"/>
  <c r="V535" i="12"/>
  <c r="W535" i="12"/>
  <c r="X535" i="12"/>
  <c r="Y535" i="12"/>
  <c r="Z535" i="12"/>
  <c r="AA535" i="12"/>
  <c r="AB535" i="12"/>
  <c r="AC535" i="12"/>
  <c r="AD535" i="12"/>
  <c r="AE535" i="12"/>
  <c r="AF535" i="12"/>
  <c r="E538" i="12"/>
  <c r="F538" i="12"/>
  <c r="G538" i="12"/>
  <c r="H538" i="12"/>
  <c r="I538" i="12"/>
  <c r="J538" i="12"/>
  <c r="K538" i="12"/>
  <c r="L538" i="12"/>
  <c r="M538" i="12"/>
  <c r="N538" i="12"/>
  <c r="O538" i="12"/>
  <c r="P538" i="12"/>
  <c r="Q538" i="12"/>
  <c r="R538" i="12"/>
  <c r="S538" i="12"/>
  <c r="T538" i="12"/>
  <c r="U538" i="12"/>
  <c r="V538" i="12"/>
  <c r="W538" i="12"/>
  <c r="X538" i="12"/>
  <c r="Y538" i="12"/>
  <c r="Z538" i="12"/>
  <c r="AA538" i="12"/>
  <c r="AB538" i="12"/>
  <c r="AC538" i="12"/>
  <c r="AD538" i="12"/>
  <c r="AE538" i="12"/>
  <c r="AF538" i="12"/>
  <c r="E539" i="12"/>
  <c r="F539" i="12"/>
  <c r="G539" i="12"/>
  <c r="H539" i="12"/>
  <c r="H539" i="12" a="1"/>
  <c r="I539" i="12"/>
  <c r="I539" i="12" a="1"/>
  <c r="J539" i="12"/>
  <c r="K539" i="12"/>
  <c r="L539" i="12"/>
  <c r="M539" i="12"/>
  <c r="N539" i="12"/>
  <c r="O539" i="12"/>
  <c r="P539" i="12"/>
  <c r="Q539" i="12"/>
  <c r="R539" i="12"/>
  <c r="S539" i="12"/>
  <c r="T539" i="12"/>
  <c r="U539" i="12"/>
  <c r="V539" i="12"/>
  <c r="W539" i="12"/>
  <c r="X539" i="12"/>
  <c r="Y539" i="12"/>
  <c r="Z539" i="12"/>
  <c r="AA539" i="12"/>
  <c r="AB539" i="12"/>
  <c r="AC539" i="12"/>
  <c r="AD539" i="12"/>
  <c r="AE539" i="12"/>
  <c r="AF539" i="12"/>
  <c r="A540" i="12"/>
  <c r="E540" i="12"/>
  <c r="F540" i="12"/>
  <c r="G540" i="12"/>
  <c r="H540" i="12"/>
  <c r="I540" i="12"/>
  <c r="J540" i="12"/>
  <c r="K540" i="12"/>
  <c r="L540" i="12"/>
  <c r="M540" i="12"/>
  <c r="N540" i="12"/>
  <c r="O540" i="12"/>
  <c r="P540" i="12"/>
  <c r="Q540" i="12"/>
  <c r="R540" i="12"/>
  <c r="S540" i="12"/>
  <c r="T540" i="12"/>
  <c r="U540" i="12"/>
  <c r="V540" i="12"/>
  <c r="W540" i="12"/>
  <c r="X540" i="12"/>
  <c r="Y540" i="12"/>
  <c r="Z540" i="12"/>
  <c r="AA540" i="12"/>
  <c r="AB540" i="12"/>
  <c r="AC540" i="12"/>
  <c r="AD540" i="12"/>
  <c r="AE540" i="12"/>
  <c r="AF540" i="12"/>
  <c r="A541" i="12"/>
  <c r="E541" i="12"/>
  <c r="F541" i="12"/>
  <c r="G541" i="12"/>
  <c r="H541" i="12"/>
  <c r="I541" i="12"/>
  <c r="J541" i="12"/>
  <c r="K541" i="12"/>
  <c r="L541" i="12"/>
  <c r="M541" i="12"/>
  <c r="N541" i="12"/>
  <c r="O541" i="12"/>
  <c r="P541" i="12"/>
  <c r="Q541" i="12"/>
  <c r="R541" i="12"/>
  <c r="S541" i="12"/>
  <c r="T541" i="12"/>
  <c r="U541" i="12"/>
  <c r="V541" i="12"/>
  <c r="W541" i="12"/>
  <c r="X541" i="12"/>
  <c r="Y541" i="12"/>
  <c r="Z541" i="12"/>
  <c r="AA541" i="12"/>
  <c r="AB541" i="12"/>
  <c r="AC541" i="12"/>
  <c r="AD541" i="12"/>
  <c r="AE541" i="12"/>
  <c r="AF541" i="12"/>
  <c r="A542" i="12"/>
  <c r="E542" i="12"/>
  <c r="F542" i="12"/>
  <c r="G542" i="12"/>
  <c r="H542" i="12"/>
  <c r="I542" i="12"/>
  <c r="J542" i="12"/>
  <c r="K542" i="12"/>
  <c r="L542" i="12"/>
  <c r="M542" i="12"/>
  <c r="N542" i="12"/>
  <c r="O542" i="12"/>
  <c r="P542" i="12"/>
  <c r="Q542" i="12"/>
  <c r="R542" i="12"/>
  <c r="S542" i="12"/>
  <c r="T542" i="12"/>
  <c r="U542" i="12"/>
  <c r="V542" i="12"/>
  <c r="W542" i="12"/>
  <c r="X542" i="12"/>
  <c r="Y542" i="12"/>
  <c r="Z542" i="12"/>
  <c r="AA542" i="12"/>
  <c r="AB542" i="12"/>
  <c r="AC542" i="12"/>
  <c r="AD542" i="12"/>
  <c r="AE542" i="12"/>
  <c r="AF542" i="12"/>
  <c r="A543" i="12"/>
  <c r="E543" i="12"/>
  <c r="F543" i="12"/>
  <c r="G543" i="12"/>
  <c r="H543" i="12"/>
  <c r="I543" i="12"/>
  <c r="J543" i="12"/>
  <c r="K543" i="12"/>
  <c r="L543" i="12"/>
  <c r="M543" i="12"/>
  <c r="N543" i="12"/>
  <c r="O543" i="12"/>
  <c r="P543" i="12"/>
  <c r="Q543" i="12"/>
  <c r="R543" i="12"/>
  <c r="S543" i="12"/>
  <c r="T543" i="12"/>
  <c r="U543" i="12"/>
  <c r="V543" i="12"/>
  <c r="W543" i="12"/>
  <c r="X543" i="12"/>
  <c r="Y543" i="12"/>
  <c r="Z543" i="12"/>
  <c r="AA543" i="12"/>
  <c r="AB543" i="12"/>
  <c r="AC543" i="12"/>
  <c r="AD543" i="12"/>
  <c r="AE543" i="12"/>
  <c r="AF543" i="12"/>
  <c r="A544" i="12"/>
  <c r="E544" i="12"/>
  <c r="F544" i="12"/>
  <c r="G544" i="12"/>
  <c r="H544" i="12"/>
  <c r="I544" i="12"/>
  <c r="J544" i="12"/>
  <c r="K544" i="12"/>
  <c r="L544" i="12"/>
  <c r="M544" i="12"/>
  <c r="N544" i="12"/>
  <c r="O544" i="12"/>
  <c r="P544" i="12"/>
  <c r="Q544" i="12"/>
  <c r="R544" i="12"/>
  <c r="S544" i="12"/>
  <c r="T544" i="12"/>
  <c r="U544" i="12"/>
  <c r="V544" i="12"/>
  <c r="W544" i="12"/>
  <c r="X544" i="12"/>
  <c r="Y544" i="12"/>
  <c r="Z544" i="12"/>
  <c r="AA544" i="12"/>
  <c r="AB544" i="12"/>
  <c r="AC544" i="12"/>
  <c r="AD544" i="12"/>
  <c r="AE544" i="12"/>
  <c r="AF544" i="12"/>
  <c r="A545" i="12"/>
  <c r="E545" i="12"/>
  <c r="F545" i="12"/>
  <c r="G545" i="12"/>
  <c r="H545" i="12"/>
  <c r="I545" i="12"/>
  <c r="J545" i="12"/>
  <c r="K545" i="12"/>
  <c r="L545" i="12"/>
  <c r="M545" i="12"/>
  <c r="N545" i="12"/>
  <c r="O545" i="12"/>
  <c r="P545" i="12"/>
  <c r="Q545" i="12"/>
  <c r="R545" i="12"/>
  <c r="S545" i="12"/>
  <c r="T545" i="12"/>
  <c r="U545" i="12"/>
  <c r="V545" i="12"/>
  <c r="W545" i="12"/>
  <c r="X545" i="12"/>
  <c r="Y545" i="12"/>
  <c r="Z545" i="12"/>
  <c r="AA545" i="12"/>
  <c r="AB545" i="12"/>
  <c r="AC545" i="12"/>
  <c r="AD545" i="12"/>
  <c r="AE545" i="12"/>
  <c r="AF545" i="12"/>
  <c r="D546" i="12"/>
  <c r="E546" i="12"/>
  <c r="F546" i="12"/>
  <c r="G546" i="12"/>
  <c r="H546" i="12"/>
  <c r="I546" i="12"/>
  <c r="J546" i="12"/>
  <c r="K546" i="12"/>
  <c r="L546" i="12"/>
  <c r="M546" i="12"/>
  <c r="N546" i="12"/>
  <c r="O546" i="12"/>
  <c r="P546" i="12"/>
  <c r="Q546" i="12"/>
  <c r="R546" i="12"/>
  <c r="S546" i="12"/>
  <c r="T546" i="12"/>
  <c r="U546" i="12"/>
  <c r="V546" i="12"/>
  <c r="W546" i="12"/>
  <c r="X546" i="12"/>
  <c r="Y546" i="12"/>
  <c r="Z546" i="12"/>
  <c r="AA546" i="12"/>
  <c r="AB546" i="12"/>
  <c r="AC546" i="12"/>
  <c r="AD546" i="12"/>
  <c r="AE546" i="12"/>
  <c r="AF546" i="12"/>
  <c r="E548" i="12"/>
  <c r="F548" i="12"/>
  <c r="G548" i="12"/>
  <c r="H548" i="12"/>
  <c r="I548" i="12"/>
  <c r="J548" i="12"/>
  <c r="K548" i="12"/>
  <c r="L548" i="12"/>
  <c r="M548" i="12"/>
  <c r="N548" i="12"/>
  <c r="O548" i="12"/>
  <c r="P548" i="12"/>
  <c r="Q548" i="12"/>
  <c r="R548" i="12"/>
  <c r="S548" i="12"/>
  <c r="T548" i="12"/>
  <c r="U548" i="12"/>
  <c r="V548" i="12"/>
  <c r="W548" i="12"/>
  <c r="X548" i="12"/>
  <c r="Y548" i="12"/>
  <c r="Z548" i="12"/>
  <c r="AA548" i="12"/>
  <c r="AB548" i="12"/>
  <c r="AC548" i="12"/>
  <c r="AD548" i="12"/>
  <c r="AE548" i="12"/>
  <c r="AF548" i="12"/>
  <c r="I553" i="12"/>
  <c r="J553" i="12"/>
  <c r="K553" i="12"/>
  <c r="L553" i="12"/>
  <c r="M553" i="12"/>
  <c r="N553" i="12"/>
  <c r="O553" i="12"/>
  <c r="P553" i="12"/>
  <c r="Q553" i="12"/>
  <c r="R553" i="12"/>
  <c r="S553" i="12"/>
  <c r="T553" i="12"/>
  <c r="U553" i="12"/>
  <c r="V553" i="12"/>
  <c r="W553" i="12"/>
  <c r="X553" i="12"/>
  <c r="Y553" i="12"/>
  <c r="Z553" i="12"/>
  <c r="AA553" i="12"/>
  <c r="AB553" i="12"/>
  <c r="AC553" i="12"/>
  <c r="AD553" i="12"/>
  <c r="AE553" i="12"/>
  <c r="AF553" i="12"/>
  <c r="H554" i="12"/>
  <c r="I554" i="12"/>
  <c r="J554" i="12"/>
  <c r="K554" i="12"/>
  <c r="L554" i="12"/>
  <c r="M554" i="12"/>
  <c r="N554" i="12"/>
  <c r="O554" i="12"/>
  <c r="P554" i="12"/>
  <c r="Q554" i="12"/>
  <c r="R554" i="12"/>
  <c r="S554" i="12"/>
  <c r="T554" i="12"/>
  <c r="U554" i="12"/>
  <c r="V554" i="12"/>
  <c r="W554" i="12"/>
  <c r="X554" i="12"/>
  <c r="Y554" i="12"/>
  <c r="Z554" i="12"/>
  <c r="AA554" i="12"/>
  <c r="AB554" i="12"/>
  <c r="AC554" i="12"/>
  <c r="AD554" i="12"/>
  <c r="AE554" i="12"/>
  <c r="AF554" i="12"/>
  <c r="H555" i="12"/>
  <c r="I555" i="12"/>
  <c r="J555" i="12"/>
  <c r="K555" i="12"/>
  <c r="L555" i="12"/>
  <c r="M555" i="12"/>
  <c r="N555" i="12"/>
  <c r="O555" i="12"/>
  <c r="P555" i="12"/>
  <c r="Q555" i="12"/>
  <c r="R555" i="12"/>
  <c r="S555" i="12"/>
  <c r="T555" i="12"/>
  <c r="U555" i="12"/>
  <c r="V555" i="12"/>
  <c r="W555" i="12"/>
  <c r="X555" i="12"/>
  <c r="Y555" i="12"/>
  <c r="Z555" i="12"/>
  <c r="AA555" i="12"/>
  <c r="AB555" i="12"/>
  <c r="AC555" i="12"/>
  <c r="AD555" i="12"/>
  <c r="AE555" i="12"/>
  <c r="AF555" i="12"/>
  <c r="H556" i="12"/>
  <c r="I556" i="12"/>
  <c r="J556" i="12"/>
  <c r="K556" i="12"/>
  <c r="L556" i="12"/>
  <c r="M556" i="12"/>
  <c r="N556" i="12"/>
  <c r="O556" i="12"/>
  <c r="P556" i="12"/>
  <c r="Q556" i="12"/>
  <c r="R556" i="12"/>
  <c r="S556" i="12"/>
  <c r="T556" i="12"/>
  <c r="U556" i="12"/>
  <c r="V556" i="12"/>
  <c r="W556" i="12"/>
  <c r="X556" i="12"/>
  <c r="Y556" i="12"/>
  <c r="Z556" i="12"/>
  <c r="AA556" i="12"/>
  <c r="AB556" i="12"/>
  <c r="AC556" i="12"/>
  <c r="AD556" i="12"/>
  <c r="AE556" i="12"/>
  <c r="AF556" i="12"/>
  <c r="H557" i="12"/>
  <c r="I557" i="12"/>
  <c r="J557" i="12"/>
  <c r="K557" i="12"/>
  <c r="L557" i="12"/>
  <c r="M557" i="12"/>
  <c r="N557" i="12"/>
  <c r="O557" i="12"/>
  <c r="P557" i="12"/>
  <c r="Q557" i="12"/>
  <c r="R557" i="12"/>
  <c r="S557" i="12"/>
  <c r="T557" i="12"/>
  <c r="U557" i="12"/>
  <c r="V557" i="12"/>
  <c r="W557" i="12"/>
  <c r="X557" i="12"/>
  <c r="Y557" i="12"/>
  <c r="Z557" i="12"/>
  <c r="AA557" i="12"/>
  <c r="AB557" i="12"/>
  <c r="AC557" i="12"/>
  <c r="AD557" i="12"/>
  <c r="AE557" i="12"/>
  <c r="AF557" i="12"/>
  <c r="H559" i="12"/>
  <c r="I559" i="12"/>
  <c r="J559" i="12"/>
  <c r="K559" i="12"/>
  <c r="L559" i="12"/>
  <c r="M559" i="12"/>
  <c r="N559" i="12"/>
  <c r="O559" i="12"/>
  <c r="P559" i="12"/>
  <c r="Q559" i="12"/>
  <c r="R559" i="12"/>
  <c r="S559" i="12"/>
  <c r="T559" i="12"/>
  <c r="U559" i="12"/>
  <c r="V559" i="12"/>
  <c r="W559" i="12"/>
  <c r="X559" i="12"/>
  <c r="Y559" i="12"/>
  <c r="Z559" i="12"/>
  <c r="AA559" i="12"/>
  <c r="AB559" i="12"/>
  <c r="AC559" i="12"/>
  <c r="AD559" i="12"/>
  <c r="AE559" i="12"/>
  <c r="AF559" i="12"/>
  <c r="E562" i="12"/>
  <c r="F562" i="12"/>
  <c r="G562" i="12"/>
  <c r="H562" i="12"/>
  <c r="I562" i="12"/>
  <c r="J562" i="12"/>
  <c r="K562" i="12"/>
  <c r="L562" i="12"/>
  <c r="M562" i="12"/>
  <c r="N562" i="12"/>
  <c r="O562" i="12"/>
  <c r="P562" i="12"/>
  <c r="Q562" i="12"/>
  <c r="R562" i="12"/>
  <c r="S562" i="12"/>
  <c r="T562" i="12"/>
  <c r="U562" i="12"/>
  <c r="V562" i="12"/>
  <c r="W562" i="12"/>
  <c r="X562" i="12"/>
  <c r="Y562" i="12"/>
  <c r="Z562" i="12"/>
  <c r="AA562" i="12"/>
  <c r="AB562" i="12"/>
  <c r="AC562" i="12"/>
  <c r="AD562" i="12"/>
  <c r="AE562" i="12"/>
  <c r="AF562" i="12"/>
  <c r="A564" i="12"/>
  <c r="I564" i="12"/>
  <c r="J564" i="12"/>
  <c r="K564" i="12"/>
  <c r="L564" i="12"/>
  <c r="M564" i="12"/>
  <c r="N564" i="12"/>
  <c r="O564" i="12"/>
  <c r="P564" i="12"/>
  <c r="Q564" i="12"/>
  <c r="R564" i="12"/>
  <c r="S564" i="12"/>
  <c r="T564" i="12"/>
  <c r="U564" i="12"/>
  <c r="V564" i="12"/>
  <c r="W564" i="12"/>
  <c r="X564" i="12"/>
  <c r="Y564" i="12"/>
  <c r="Z564" i="12"/>
  <c r="AA564" i="12"/>
  <c r="AB564" i="12"/>
  <c r="AC564" i="12"/>
  <c r="AD564" i="12"/>
  <c r="AE564" i="12"/>
  <c r="AF564" i="12"/>
  <c r="I568" i="12"/>
  <c r="J568" i="12"/>
  <c r="K568" i="12"/>
  <c r="L568" i="12"/>
  <c r="M568" i="12"/>
  <c r="N568" i="12"/>
  <c r="O568" i="12"/>
  <c r="P568" i="12"/>
  <c r="Q568" i="12"/>
  <c r="R568" i="12"/>
  <c r="S568" i="12"/>
  <c r="T568" i="12"/>
  <c r="U568" i="12"/>
  <c r="V568" i="12"/>
  <c r="W568" i="12"/>
  <c r="X568" i="12"/>
  <c r="Y568" i="12"/>
  <c r="Z568" i="12"/>
  <c r="AA568" i="12"/>
  <c r="AB568" i="12"/>
  <c r="AC568" i="12"/>
  <c r="AD568" i="12"/>
  <c r="AE568" i="12"/>
  <c r="AF568" i="12"/>
  <c r="I569" i="12"/>
  <c r="J569" i="12"/>
  <c r="K569" i="12"/>
  <c r="L569" i="12"/>
  <c r="M569" i="12"/>
  <c r="N569" i="12"/>
  <c r="O569" i="12"/>
  <c r="P569" i="12"/>
  <c r="Q569" i="12"/>
  <c r="R569" i="12"/>
  <c r="S569" i="12"/>
  <c r="T569" i="12"/>
  <c r="U569" i="12"/>
  <c r="V569" i="12"/>
  <c r="W569" i="12"/>
  <c r="X569" i="12"/>
  <c r="Y569" i="12"/>
  <c r="Z569" i="12"/>
  <c r="AA569" i="12"/>
  <c r="AB569" i="12"/>
  <c r="AC569" i="12"/>
  <c r="AD569" i="12"/>
  <c r="AE569" i="12"/>
  <c r="AF569" i="12"/>
  <c r="A572" i="12"/>
  <c r="L572" i="12"/>
  <c r="M572" i="12"/>
  <c r="N572" i="12"/>
  <c r="O572" i="12"/>
  <c r="P572" i="12"/>
  <c r="Q572" i="12"/>
  <c r="R572" i="12"/>
  <c r="S572" i="12"/>
  <c r="T572" i="12"/>
  <c r="U572" i="12"/>
  <c r="V572" i="12"/>
  <c r="W572" i="12"/>
  <c r="X572" i="12"/>
  <c r="Y572" i="12"/>
  <c r="Z572" i="12"/>
  <c r="AA572" i="12"/>
  <c r="AB572" i="12"/>
  <c r="AC572" i="12"/>
  <c r="AD572" i="12"/>
  <c r="AE572" i="12"/>
  <c r="AF572" i="12"/>
  <c r="K573" i="12"/>
  <c r="I576" i="12"/>
  <c r="J576" i="12"/>
  <c r="K576" i="12"/>
  <c r="L576" i="12"/>
  <c r="M576" i="12"/>
  <c r="N576" i="12"/>
  <c r="O576" i="12"/>
  <c r="P576" i="12"/>
  <c r="Q576" i="12"/>
  <c r="R576" i="12"/>
  <c r="S576" i="12"/>
  <c r="T576" i="12"/>
  <c r="U576" i="12"/>
  <c r="V576" i="12"/>
  <c r="W576" i="12"/>
  <c r="X576" i="12"/>
  <c r="Y576" i="12"/>
  <c r="Z576" i="12"/>
  <c r="AA576" i="12"/>
  <c r="AB576" i="12"/>
  <c r="AC576" i="12"/>
  <c r="AD576" i="12"/>
  <c r="AE576" i="12"/>
  <c r="AF576" i="12"/>
  <c r="I577" i="12"/>
  <c r="J577" i="12"/>
  <c r="K577" i="12"/>
  <c r="L577" i="12"/>
  <c r="M577" i="12"/>
  <c r="N577" i="12"/>
  <c r="O577" i="12"/>
  <c r="P577" i="12"/>
  <c r="Q577" i="12"/>
  <c r="R577" i="12"/>
  <c r="S577" i="12"/>
  <c r="T577" i="12"/>
  <c r="U577" i="12"/>
  <c r="V577" i="12"/>
  <c r="W577" i="12"/>
  <c r="X577" i="12"/>
  <c r="Y577" i="12"/>
  <c r="Z577" i="12"/>
  <c r="AA577" i="12"/>
  <c r="AB577" i="12"/>
  <c r="AC577" i="12"/>
  <c r="AD577" i="12"/>
  <c r="AE577" i="12"/>
  <c r="AF577" i="12"/>
  <c r="A579" i="12"/>
  <c r="K580" i="12"/>
  <c r="E582" i="12"/>
  <c r="F582" i="12"/>
  <c r="G582" i="12"/>
  <c r="H582" i="12"/>
  <c r="I582" i="12"/>
  <c r="J582" i="12"/>
  <c r="K582" i="12"/>
  <c r="L582" i="12"/>
  <c r="M582" i="12"/>
  <c r="N582" i="12"/>
  <c r="O582" i="12"/>
  <c r="P582" i="12"/>
  <c r="Q582" i="12"/>
  <c r="R582" i="12"/>
  <c r="S582" i="12"/>
  <c r="T582" i="12"/>
  <c r="U582" i="12"/>
  <c r="V582" i="12"/>
  <c r="W582" i="12"/>
  <c r="X582" i="12"/>
  <c r="Y582" i="12"/>
  <c r="Z582" i="12"/>
  <c r="AA582" i="12"/>
  <c r="AB582" i="12"/>
  <c r="AC582" i="12"/>
  <c r="AD582" i="12"/>
  <c r="AE582" i="12"/>
  <c r="AF582" i="12"/>
  <c r="A588" i="12"/>
  <c r="I588" i="12"/>
  <c r="J588" i="12"/>
  <c r="K588" i="12"/>
  <c r="L588" i="12"/>
  <c r="M588" i="12"/>
  <c r="N588" i="12"/>
  <c r="O588" i="12"/>
  <c r="P588" i="12"/>
  <c r="Q588" i="12"/>
  <c r="R588" i="12"/>
  <c r="S588" i="12"/>
  <c r="T588" i="12"/>
  <c r="U588" i="12"/>
  <c r="V588" i="12"/>
  <c r="W588" i="12"/>
  <c r="X588" i="12"/>
  <c r="Y588" i="12"/>
  <c r="Z588" i="12"/>
  <c r="AA588" i="12"/>
  <c r="AB588" i="12"/>
  <c r="AC588" i="12"/>
  <c r="AD588" i="12"/>
  <c r="AE588" i="12"/>
  <c r="AF588" i="12"/>
  <c r="A589" i="12"/>
  <c r="I589" i="12"/>
  <c r="J589" i="12"/>
  <c r="K589" i="12"/>
  <c r="L589" i="12"/>
  <c r="M589" i="12"/>
  <c r="N589" i="12"/>
  <c r="O589" i="12"/>
  <c r="P589" i="12"/>
  <c r="Q589" i="12"/>
  <c r="R589" i="12"/>
  <c r="S589" i="12"/>
  <c r="T589" i="12"/>
  <c r="U589" i="12"/>
  <c r="V589" i="12"/>
  <c r="W589" i="12"/>
  <c r="X589" i="12"/>
  <c r="Y589" i="12"/>
  <c r="Z589" i="12"/>
  <c r="AA589" i="12"/>
  <c r="AB589" i="12"/>
  <c r="AC589" i="12"/>
  <c r="AD589" i="12"/>
  <c r="AE589" i="12"/>
  <c r="AF589" i="12"/>
  <c r="J590" i="12"/>
  <c r="K590" i="12"/>
  <c r="L590" i="12"/>
  <c r="M590" i="12"/>
  <c r="N590" i="12"/>
  <c r="O590" i="12"/>
  <c r="P590" i="12"/>
  <c r="Q590" i="12"/>
  <c r="R590" i="12"/>
  <c r="S590" i="12"/>
  <c r="T590" i="12"/>
  <c r="U590" i="12"/>
  <c r="V590" i="12"/>
  <c r="W590" i="12"/>
  <c r="X590" i="12"/>
  <c r="Y590" i="12"/>
  <c r="Z590" i="12"/>
  <c r="AA590" i="12"/>
  <c r="AB590" i="12"/>
  <c r="AC590" i="12"/>
  <c r="AD590" i="12"/>
  <c r="AE590" i="12"/>
  <c r="AF590" i="12"/>
  <c r="J594" i="12"/>
  <c r="K594" i="12"/>
  <c r="L594" i="12"/>
  <c r="M594" i="12"/>
  <c r="N594" i="12"/>
  <c r="O594" i="12"/>
  <c r="P594" i="12"/>
  <c r="Q594" i="12"/>
  <c r="R594" i="12"/>
  <c r="S594" i="12"/>
  <c r="T594" i="12"/>
  <c r="U594" i="12"/>
  <c r="V594" i="12"/>
  <c r="W594" i="12"/>
  <c r="X594" i="12"/>
  <c r="Y594" i="12"/>
  <c r="Z594" i="12"/>
  <c r="AA594" i="12"/>
  <c r="AB594" i="12"/>
  <c r="AC594" i="12"/>
  <c r="AD594" i="12"/>
  <c r="AE594" i="12"/>
  <c r="AF594" i="12"/>
  <c r="H598" i="12"/>
  <c r="I598" i="12"/>
  <c r="B599" i="12"/>
  <c r="E599" i="12"/>
  <c r="F599" i="12"/>
  <c r="G599" i="12"/>
  <c r="H599" i="12"/>
  <c r="I599" i="12"/>
  <c r="J599" i="12"/>
  <c r="K599" i="12"/>
  <c r="L599" i="12"/>
  <c r="M599" i="12"/>
  <c r="N599" i="12"/>
  <c r="O599" i="12"/>
  <c r="P599" i="12"/>
  <c r="Q599" i="12"/>
  <c r="R599" i="12"/>
  <c r="S599" i="12"/>
  <c r="T599" i="12"/>
  <c r="U599" i="12"/>
  <c r="V599" i="12"/>
  <c r="W599" i="12"/>
  <c r="X599" i="12"/>
  <c r="Y599" i="12"/>
  <c r="Z599" i="12"/>
  <c r="AA599" i="12"/>
  <c r="AB599" i="12"/>
  <c r="AC599" i="12"/>
  <c r="AD599" i="12"/>
  <c r="AE599" i="12"/>
  <c r="AF599" i="12"/>
  <c r="I601" i="12"/>
  <c r="J601" i="12"/>
  <c r="K601" i="12"/>
  <c r="L601" i="12"/>
  <c r="M601" i="12"/>
  <c r="N601" i="12"/>
  <c r="O601" i="12"/>
  <c r="P601" i="12"/>
  <c r="Q601" i="12"/>
  <c r="R601" i="12"/>
  <c r="S601" i="12"/>
  <c r="T601" i="12"/>
  <c r="U601" i="12"/>
  <c r="V601" i="12"/>
  <c r="W601" i="12"/>
  <c r="X601" i="12"/>
  <c r="Y601" i="12"/>
  <c r="Z601" i="12"/>
  <c r="AA601" i="12"/>
  <c r="AB601" i="12"/>
  <c r="AC601" i="12"/>
  <c r="AD601" i="12"/>
  <c r="AE601" i="12"/>
  <c r="AF601" i="12"/>
  <c r="E602" i="12"/>
  <c r="F602" i="12"/>
  <c r="G602" i="12"/>
  <c r="H602" i="12"/>
  <c r="I602" i="12"/>
  <c r="J602" i="12"/>
  <c r="K602" i="12"/>
  <c r="L602" i="12"/>
  <c r="M602" i="12"/>
  <c r="N602" i="12"/>
  <c r="O602" i="12"/>
  <c r="P602" i="12"/>
  <c r="Q602" i="12"/>
  <c r="R602" i="12"/>
  <c r="S602" i="12"/>
  <c r="T602" i="12"/>
  <c r="U602" i="12"/>
  <c r="V602" i="12"/>
  <c r="W602" i="12"/>
  <c r="X602" i="12"/>
  <c r="Y602" i="12"/>
  <c r="Z602" i="12"/>
  <c r="AA602" i="12"/>
  <c r="AB602" i="12"/>
  <c r="AC602" i="12"/>
  <c r="AD602" i="12"/>
  <c r="AE602" i="12"/>
  <c r="AF602" i="12"/>
  <c r="E603" i="12"/>
  <c r="F603" i="12"/>
  <c r="G603" i="12"/>
  <c r="H603" i="12"/>
  <c r="I603" i="12"/>
  <c r="J603" i="12"/>
  <c r="K603" i="12"/>
  <c r="L603" i="12"/>
  <c r="M603" i="12"/>
  <c r="N603" i="12"/>
  <c r="O603" i="12"/>
  <c r="P603" i="12"/>
  <c r="Q603" i="12"/>
  <c r="R603" i="12"/>
  <c r="S603" i="12"/>
  <c r="T603" i="12"/>
  <c r="U603" i="12"/>
  <c r="V603" i="12"/>
  <c r="W603" i="12"/>
  <c r="X603" i="12"/>
  <c r="Y603" i="12"/>
  <c r="Z603" i="12"/>
  <c r="AA603" i="12"/>
  <c r="AB603" i="12"/>
  <c r="AC603" i="12"/>
  <c r="AD603" i="12"/>
  <c r="AE603" i="12"/>
  <c r="AF603" i="12"/>
  <c r="E609" i="12"/>
  <c r="F609" i="12"/>
  <c r="G609" i="12"/>
  <c r="H609" i="12"/>
  <c r="I609" i="12"/>
  <c r="J609" i="12"/>
  <c r="K609" i="12"/>
  <c r="L609" i="12"/>
  <c r="M609" i="12"/>
  <c r="N609" i="12"/>
  <c r="O609" i="12"/>
  <c r="P609" i="12"/>
  <c r="Q609" i="12"/>
  <c r="R609" i="12"/>
  <c r="S609" i="12"/>
  <c r="T609" i="12"/>
  <c r="U609" i="12"/>
  <c r="V609" i="12"/>
  <c r="W609" i="12"/>
  <c r="X609" i="12"/>
  <c r="Y609" i="12"/>
  <c r="Z609" i="12"/>
  <c r="AA609" i="12"/>
  <c r="AB609" i="12"/>
  <c r="AC609" i="12"/>
  <c r="AD609" i="12"/>
  <c r="AE609" i="12"/>
  <c r="AF609" i="12"/>
  <c r="I614" i="12"/>
  <c r="J614" i="12"/>
  <c r="K614" i="12"/>
  <c r="L614" i="12"/>
  <c r="M614" i="12"/>
  <c r="N614" i="12"/>
  <c r="O614" i="12"/>
  <c r="P614" i="12"/>
  <c r="Q614" i="12"/>
  <c r="R614" i="12"/>
  <c r="S614" i="12"/>
  <c r="T614" i="12"/>
  <c r="U614" i="12"/>
  <c r="V614" i="12"/>
  <c r="W614" i="12"/>
  <c r="X614" i="12"/>
  <c r="Y614" i="12"/>
  <c r="Z614" i="12"/>
  <c r="AA614" i="12"/>
  <c r="AB614" i="12"/>
  <c r="AC614" i="12"/>
  <c r="AD614" i="12"/>
  <c r="AE614" i="12"/>
  <c r="AF614" i="12"/>
  <c r="I615" i="12"/>
  <c r="J615" i="12"/>
  <c r="K615" i="12"/>
  <c r="L615" i="12"/>
  <c r="M615" i="12"/>
  <c r="N615" i="12"/>
  <c r="O615" i="12"/>
  <c r="P615" i="12"/>
  <c r="Q615" i="12"/>
  <c r="R615" i="12"/>
  <c r="S615" i="12"/>
  <c r="T615" i="12"/>
  <c r="U615" i="12"/>
  <c r="V615" i="12"/>
  <c r="W615" i="12"/>
  <c r="X615" i="12"/>
  <c r="Y615" i="12"/>
  <c r="Z615" i="12"/>
  <c r="AA615" i="12"/>
  <c r="AB615" i="12"/>
  <c r="AC615" i="12"/>
  <c r="AD615" i="12"/>
  <c r="AE615" i="12"/>
  <c r="AF615" i="12"/>
  <c r="I618" i="12"/>
  <c r="I619" i="12"/>
  <c r="J619" i="12"/>
  <c r="K619" i="12"/>
  <c r="L619" i="12"/>
  <c r="M619" i="12"/>
  <c r="N619" i="12"/>
  <c r="O619" i="12"/>
  <c r="P619" i="12"/>
  <c r="Q619" i="12"/>
  <c r="R619" i="12"/>
  <c r="S619" i="12"/>
  <c r="T619" i="12"/>
  <c r="U619" i="12"/>
  <c r="V619" i="12"/>
  <c r="W619" i="12"/>
  <c r="X619" i="12"/>
  <c r="Y619" i="12"/>
  <c r="Z619" i="12"/>
  <c r="AA619" i="12"/>
  <c r="AB619" i="12"/>
  <c r="AC619" i="12"/>
  <c r="AD619" i="12"/>
  <c r="AE619" i="12"/>
  <c r="AF619" i="12"/>
  <c r="E625" i="12"/>
  <c r="F625" i="12"/>
  <c r="G625" i="12"/>
  <c r="H625" i="12"/>
  <c r="I625" i="12"/>
  <c r="J625" i="12"/>
  <c r="K625" i="12"/>
  <c r="L625" i="12"/>
  <c r="M625" i="12"/>
  <c r="N625" i="12"/>
  <c r="O625" i="12"/>
  <c r="P625" i="12"/>
  <c r="Q625" i="12"/>
  <c r="R625" i="12"/>
  <c r="S625" i="12"/>
  <c r="T625" i="12"/>
  <c r="U625" i="12"/>
  <c r="V625" i="12"/>
  <c r="W625" i="12"/>
  <c r="X625" i="12"/>
  <c r="Y625" i="12"/>
  <c r="Z625" i="12"/>
  <c r="AA625" i="12"/>
  <c r="AB625" i="12"/>
  <c r="AC625" i="12"/>
  <c r="AD625" i="12"/>
  <c r="AE625" i="12"/>
  <c r="AF625" i="12"/>
  <c r="I628" i="12"/>
  <c r="J628" i="12"/>
  <c r="K628" i="12"/>
  <c r="L628" i="12"/>
  <c r="M628" i="12"/>
  <c r="N628" i="12"/>
  <c r="O628" i="12"/>
  <c r="P628" i="12"/>
  <c r="Q628" i="12"/>
  <c r="R628" i="12"/>
  <c r="S628" i="12"/>
  <c r="T628" i="12"/>
  <c r="U628" i="12"/>
  <c r="V628" i="12"/>
  <c r="W628" i="12"/>
  <c r="X628" i="12"/>
  <c r="Y628" i="12"/>
  <c r="Z628" i="12"/>
  <c r="AA628" i="12"/>
  <c r="AB628" i="12"/>
  <c r="AC628" i="12"/>
  <c r="AD628" i="12"/>
  <c r="AE628" i="12"/>
  <c r="AF628" i="12"/>
  <c r="I629" i="12"/>
  <c r="J629" i="12"/>
  <c r="K629" i="12"/>
  <c r="L629" i="12"/>
  <c r="M629" i="12"/>
  <c r="N629" i="12"/>
  <c r="O629" i="12"/>
  <c r="P629" i="12"/>
  <c r="Q629" i="12"/>
  <c r="R629" i="12"/>
  <c r="S629" i="12"/>
  <c r="T629" i="12"/>
  <c r="U629" i="12"/>
  <c r="V629" i="12"/>
  <c r="W629" i="12"/>
  <c r="X629" i="12"/>
  <c r="Y629" i="12"/>
  <c r="Z629" i="12"/>
  <c r="AA629" i="12"/>
  <c r="AB629" i="12"/>
  <c r="AC629" i="12"/>
  <c r="AD629" i="12"/>
  <c r="AE629" i="12"/>
  <c r="AF629" i="12"/>
  <c r="H634" i="12"/>
  <c r="I634" i="12"/>
  <c r="J634" i="12"/>
  <c r="K634" i="12"/>
  <c r="L634" i="12"/>
  <c r="M634" i="12"/>
  <c r="N634" i="12"/>
  <c r="O634" i="12"/>
  <c r="P634" i="12"/>
  <c r="Q634" i="12"/>
  <c r="R634" i="12"/>
  <c r="S634" i="12"/>
  <c r="T634" i="12"/>
  <c r="U634" i="12"/>
  <c r="V634" i="12"/>
  <c r="W634" i="12"/>
  <c r="X634" i="12"/>
  <c r="Y634" i="12"/>
  <c r="Z634" i="12"/>
  <c r="AA634" i="12"/>
  <c r="AB634" i="12"/>
  <c r="AC634" i="12"/>
  <c r="AD634" i="12"/>
  <c r="AE634" i="12"/>
  <c r="AF634" i="12"/>
  <c r="H636" i="12"/>
  <c r="I636" i="12"/>
  <c r="J636" i="12"/>
  <c r="K636" i="12"/>
  <c r="L636" i="12"/>
  <c r="M636" i="12"/>
  <c r="N636" i="12"/>
  <c r="O636" i="12"/>
  <c r="P636" i="12"/>
  <c r="Q636" i="12"/>
  <c r="R636" i="12"/>
  <c r="S636" i="12"/>
  <c r="T636" i="12"/>
  <c r="U636" i="12"/>
  <c r="V636" i="12"/>
  <c r="W636" i="12"/>
  <c r="X636" i="12"/>
  <c r="Y636" i="12"/>
  <c r="Z636" i="12"/>
  <c r="AA636" i="12"/>
  <c r="AB636" i="12"/>
  <c r="AC636" i="12"/>
  <c r="AD636" i="12"/>
  <c r="AE636" i="12"/>
  <c r="AF636" i="12"/>
  <c r="H637" i="12"/>
  <c r="I637" i="12"/>
  <c r="J637" i="12"/>
  <c r="K637" i="12"/>
  <c r="L637" i="12"/>
  <c r="M637" i="12"/>
  <c r="N637" i="12"/>
  <c r="O637" i="12"/>
  <c r="P637" i="12"/>
  <c r="Q637" i="12"/>
  <c r="R637" i="12"/>
  <c r="S637" i="12"/>
  <c r="T637" i="12"/>
  <c r="U637" i="12"/>
  <c r="V637" i="12"/>
  <c r="W637" i="12"/>
  <c r="X637" i="12"/>
  <c r="Y637" i="12"/>
  <c r="Z637" i="12"/>
  <c r="AA637" i="12"/>
  <c r="AB637" i="12"/>
  <c r="AC637" i="12"/>
  <c r="AD637" i="12"/>
  <c r="AE637" i="12"/>
  <c r="AF637" i="12"/>
  <c r="H638" i="12"/>
  <c r="I638" i="12"/>
  <c r="J638" i="12"/>
  <c r="K638" i="12"/>
  <c r="L638" i="12"/>
  <c r="M638" i="12"/>
  <c r="N638" i="12"/>
  <c r="O638" i="12"/>
  <c r="P638" i="12"/>
  <c r="Q638" i="12"/>
  <c r="R638" i="12"/>
  <c r="S638" i="12"/>
  <c r="T638" i="12"/>
  <c r="U638" i="12"/>
  <c r="V638" i="12"/>
  <c r="W638" i="12"/>
  <c r="X638" i="12"/>
  <c r="Y638" i="12"/>
  <c r="Z638" i="12"/>
  <c r="AA638" i="12"/>
  <c r="AB638" i="12"/>
  <c r="AC638" i="12"/>
  <c r="AD638" i="12"/>
  <c r="AE638" i="12"/>
  <c r="AF638" i="12"/>
  <c r="H639" i="12"/>
  <c r="I639" i="12"/>
  <c r="J639" i="12"/>
  <c r="K639" i="12"/>
  <c r="L639" i="12"/>
  <c r="M639" i="12"/>
  <c r="N639" i="12"/>
  <c r="O639" i="12"/>
  <c r="P639" i="12"/>
  <c r="Q639" i="12"/>
  <c r="R639" i="12"/>
  <c r="S639" i="12"/>
  <c r="T639" i="12"/>
  <c r="U639" i="12"/>
  <c r="V639" i="12"/>
  <c r="W639" i="12"/>
  <c r="X639" i="12"/>
  <c r="Y639" i="12"/>
  <c r="Z639" i="12"/>
  <c r="AA639" i="12"/>
  <c r="AB639" i="12"/>
  <c r="AC639" i="12"/>
  <c r="AD639" i="12"/>
  <c r="AE639" i="12"/>
  <c r="AF639" i="12"/>
  <c r="H640" i="12"/>
  <c r="I640" i="12"/>
  <c r="J640" i="12"/>
  <c r="K640" i="12"/>
  <c r="L640" i="12"/>
  <c r="M640" i="12"/>
  <c r="N640" i="12"/>
  <c r="O640" i="12"/>
  <c r="P640" i="12"/>
  <c r="Q640" i="12"/>
  <c r="R640" i="12"/>
  <c r="S640" i="12"/>
  <c r="T640" i="12"/>
  <c r="U640" i="12"/>
  <c r="V640" i="12"/>
  <c r="W640" i="12"/>
  <c r="X640" i="12"/>
  <c r="Y640" i="12"/>
  <c r="Z640" i="12"/>
  <c r="AA640" i="12"/>
  <c r="AB640" i="12"/>
  <c r="AC640" i="12"/>
  <c r="AD640" i="12"/>
  <c r="AE640" i="12"/>
  <c r="AF640" i="12"/>
  <c r="H641" i="12"/>
  <c r="I641" i="12"/>
  <c r="J641" i="12"/>
  <c r="K641" i="12"/>
  <c r="L641" i="12"/>
  <c r="M641" i="12"/>
  <c r="N641" i="12"/>
  <c r="O641" i="12"/>
  <c r="P641" i="12"/>
  <c r="Q641" i="12"/>
  <c r="R641" i="12"/>
  <c r="S641" i="12"/>
  <c r="T641" i="12"/>
  <c r="U641" i="12"/>
  <c r="V641" i="12"/>
  <c r="W641" i="12"/>
  <c r="X641" i="12"/>
  <c r="Y641" i="12"/>
  <c r="Z641" i="12"/>
  <c r="AA641" i="12"/>
  <c r="AB641" i="12"/>
  <c r="AC641" i="12"/>
  <c r="AD641" i="12"/>
  <c r="AE641" i="12"/>
  <c r="AF641" i="12"/>
  <c r="H643" i="12"/>
  <c r="I643" i="12"/>
  <c r="J643" i="12"/>
  <c r="K643" i="12"/>
  <c r="L643" i="12"/>
  <c r="M643" i="12"/>
  <c r="N643" i="12"/>
  <c r="O643" i="12"/>
  <c r="P643" i="12"/>
  <c r="Q643" i="12"/>
  <c r="R643" i="12"/>
  <c r="S643" i="12"/>
  <c r="T643" i="12"/>
  <c r="U643" i="12"/>
  <c r="V643" i="12"/>
  <c r="W643" i="12"/>
  <c r="X643" i="12"/>
  <c r="Y643" i="12"/>
  <c r="Z643" i="12"/>
  <c r="AA643" i="12"/>
  <c r="AB643" i="12"/>
  <c r="AC643" i="12"/>
  <c r="AD643" i="12"/>
  <c r="AE643" i="12"/>
  <c r="AF643" i="12"/>
  <c r="H645" i="12"/>
  <c r="I645" i="12"/>
  <c r="J645" i="12"/>
  <c r="K645" i="12"/>
  <c r="L645" i="12"/>
  <c r="M645" i="12"/>
  <c r="N645" i="12"/>
  <c r="O645" i="12"/>
  <c r="P645" i="12"/>
  <c r="Q645" i="12"/>
  <c r="R645" i="12"/>
  <c r="S645" i="12"/>
  <c r="T645" i="12"/>
  <c r="U645" i="12"/>
  <c r="V645" i="12"/>
  <c r="W645" i="12"/>
  <c r="X645" i="12"/>
  <c r="Y645" i="12"/>
  <c r="Z645" i="12"/>
  <c r="AA645" i="12"/>
  <c r="AB645" i="12"/>
  <c r="AC645" i="12"/>
  <c r="AD645" i="12"/>
  <c r="AE645" i="12"/>
  <c r="AF645" i="12"/>
  <c r="H646" i="12"/>
  <c r="I646" i="12"/>
  <c r="J646" i="12"/>
  <c r="K646" i="12"/>
  <c r="L646" i="12"/>
  <c r="M646" i="12"/>
  <c r="N646" i="12"/>
  <c r="O646" i="12"/>
  <c r="P646" i="12"/>
  <c r="Q646" i="12"/>
  <c r="R646" i="12"/>
  <c r="S646" i="12"/>
  <c r="T646" i="12"/>
  <c r="U646" i="12"/>
  <c r="V646" i="12"/>
  <c r="W646" i="12"/>
  <c r="X646" i="12"/>
  <c r="Y646" i="12"/>
  <c r="Z646" i="12"/>
  <c r="AA646" i="12"/>
  <c r="AB646" i="12"/>
  <c r="AC646" i="12"/>
  <c r="AD646" i="12"/>
  <c r="AE646" i="12"/>
  <c r="AF646" i="12"/>
  <c r="H647" i="12"/>
  <c r="I647" i="12"/>
  <c r="J647" i="12"/>
  <c r="K647" i="12"/>
  <c r="L647" i="12"/>
  <c r="M647" i="12"/>
  <c r="N647" i="12"/>
  <c r="O647" i="12"/>
  <c r="P647" i="12"/>
  <c r="Q647" i="12"/>
  <c r="R647" i="12"/>
  <c r="S647" i="12"/>
  <c r="T647" i="12"/>
  <c r="U647" i="12"/>
  <c r="V647" i="12"/>
  <c r="W647" i="12"/>
  <c r="X647" i="12"/>
  <c r="Y647" i="12"/>
  <c r="Z647" i="12"/>
  <c r="AA647" i="12"/>
  <c r="AB647" i="12"/>
  <c r="AC647" i="12"/>
  <c r="AD647" i="12"/>
  <c r="AE647" i="12"/>
  <c r="AF647" i="12"/>
  <c r="H648" i="12"/>
  <c r="I648" i="12"/>
  <c r="J648" i="12"/>
  <c r="K648" i="12"/>
  <c r="L648" i="12"/>
  <c r="M648" i="12"/>
  <c r="N648" i="12"/>
  <c r="O648" i="12"/>
  <c r="P648" i="12"/>
  <c r="Q648" i="12"/>
  <c r="R648" i="12"/>
  <c r="S648" i="12"/>
  <c r="T648" i="12"/>
  <c r="U648" i="12"/>
  <c r="V648" i="12"/>
  <c r="W648" i="12"/>
  <c r="X648" i="12"/>
  <c r="Y648" i="12"/>
  <c r="Z648" i="12"/>
  <c r="AA648" i="12"/>
  <c r="AB648" i="12"/>
  <c r="AC648" i="12"/>
  <c r="AD648" i="12"/>
  <c r="AE648" i="12"/>
  <c r="AF648" i="12"/>
  <c r="H650" i="12"/>
  <c r="I650" i="12"/>
  <c r="J650" i="12"/>
  <c r="K650" i="12"/>
  <c r="L650" i="12"/>
  <c r="M650" i="12"/>
  <c r="N650" i="12"/>
  <c r="O650" i="12"/>
  <c r="P650" i="12"/>
  <c r="Q650" i="12"/>
  <c r="R650" i="12"/>
  <c r="S650" i="12"/>
  <c r="T650" i="12"/>
  <c r="U650" i="12"/>
  <c r="V650" i="12"/>
  <c r="W650" i="12"/>
  <c r="X650" i="12"/>
  <c r="Y650" i="12"/>
  <c r="Z650" i="12"/>
  <c r="AA650" i="12"/>
  <c r="AB650" i="12"/>
  <c r="AC650" i="12"/>
  <c r="AD650" i="12"/>
  <c r="AE650" i="12"/>
  <c r="AF650" i="12"/>
  <c r="C652" i="12"/>
  <c r="H652" i="12"/>
  <c r="I652" i="12"/>
  <c r="J652" i="12"/>
  <c r="K652" i="12"/>
  <c r="L652" i="12"/>
  <c r="M652" i="12"/>
  <c r="N652" i="12"/>
  <c r="O652" i="12"/>
  <c r="P652" i="12"/>
  <c r="Q652" i="12"/>
  <c r="R652" i="12"/>
  <c r="S652" i="12"/>
  <c r="T652" i="12"/>
  <c r="U652" i="12"/>
  <c r="V652" i="12"/>
  <c r="W652" i="12"/>
  <c r="X652" i="12"/>
  <c r="Y652" i="12"/>
  <c r="Z652" i="12"/>
  <c r="AA652" i="12"/>
  <c r="AB652" i="12"/>
  <c r="AC652" i="12"/>
  <c r="AD652" i="12"/>
  <c r="AE652" i="12"/>
  <c r="AF652" i="12"/>
  <c r="C653" i="12"/>
  <c r="H653" i="12"/>
  <c r="I653" i="12"/>
  <c r="J653" i="12"/>
  <c r="K653" i="12"/>
  <c r="L653" i="12"/>
  <c r="M653" i="12"/>
  <c r="N653" i="12"/>
  <c r="O653" i="12"/>
  <c r="P653" i="12"/>
  <c r="Q653" i="12"/>
  <c r="R653" i="12"/>
  <c r="S653" i="12"/>
  <c r="T653" i="12"/>
  <c r="U653" i="12"/>
  <c r="V653" i="12"/>
  <c r="W653" i="12"/>
  <c r="X653" i="12"/>
  <c r="Y653" i="12"/>
  <c r="Z653" i="12"/>
  <c r="AA653" i="12"/>
  <c r="AB653" i="12"/>
  <c r="AC653" i="12"/>
  <c r="AD653" i="12"/>
  <c r="AE653" i="12"/>
  <c r="AF653" i="12"/>
  <c r="H654" i="12"/>
  <c r="I654" i="12"/>
  <c r="J654" i="12"/>
  <c r="K654" i="12"/>
  <c r="L654" i="12"/>
  <c r="M654" i="12"/>
  <c r="N654" i="12"/>
  <c r="O654" i="12"/>
  <c r="P654" i="12"/>
  <c r="Q654" i="12"/>
  <c r="R654" i="12"/>
  <c r="S654" i="12"/>
  <c r="T654" i="12"/>
  <c r="U654" i="12"/>
  <c r="V654" i="12"/>
  <c r="W654" i="12"/>
  <c r="X654" i="12"/>
  <c r="Y654" i="12"/>
  <c r="Z654" i="12"/>
  <c r="AA654" i="12"/>
  <c r="AB654" i="12"/>
  <c r="AC654" i="12"/>
  <c r="AD654" i="12"/>
  <c r="AE654" i="12"/>
  <c r="AF654" i="12"/>
  <c r="A657" i="12"/>
  <c r="H657" i="12"/>
  <c r="I657" i="12"/>
  <c r="J657" i="12"/>
  <c r="K657" i="12"/>
  <c r="L657" i="12"/>
  <c r="M657" i="12"/>
  <c r="N657" i="12"/>
  <c r="O657" i="12"/>
  <c r="P657" i="12"/>
  <c r="Q657" i="12"/>
  <c r="R657" i="12"/>
  <c r="S657" i="12"/>
  <c r="T657" i="12"/>
  <c r="U657" i="12"/>
  <c r="V657" i="12"/>
  <c r="W657" i="12"/>
  <c r="X657" i="12"/>
  <c r="Y657" i="12"/>
  <c r="Z657" i="12"/>
  <c r="AA657" i="12"/>
  <c r="AB657" i="12"/>
  <c r="AC657" i="12"/>
  <c r="AD657" i="12"/>
  <c r="AE657" i="12"/>
  <c r="AF657" i="12"/>
  <c r="H658" i="12"/>
  <c r="I658" i="12"/>
  <c r="J658" i="12"/>
  <c r="K658" i="12"/>
  <c r="L658" i="12"/>
  <c r="M658" i="12"/>
  <c r="N658" i="12"/>
  <c r="O658" i="12"/>
  <c r="P658" i="12"/>
  <c r="Q658" i="12"/>
  <c r="R658" i="12"/>
  <c r="S658" i="12"/>
  <c r="T658" i="12"/>
  <c r="U658" i="12"/>
  <c r="V658" i="12"/>
  <c r="W658" i="12"/>
  <c r="X658" i="12"/>
  <c r="Y658" i="12"/>
  <c r="Z658" i="12"/>
  <c r="AA658" i="12"/>
  <c r="AB658" i="12"/>
  <c r="AC658" i="12"/>
  <c r="AD658" i="12"/>
  <c r="AE658" i="12"/>
  <c r="AF658" i="12"/>
  <c r="H660" i="12"/>
  <c r="I660" i="12"/>
  <c r="J660" i="12"/>
  <c r="K660" i="12"/>
  <c r="L660" i="12"/>
  <c r="M660" i="12"/>
  <c r="N660" i="12"/>
  <c r="O660" i="12"/>
  <c r="P660" i="12"/>
  <c r="Q660" i="12"/>
  <c r="R660" i="12"/>
  <c r="S660" i="12"/>
  <c r="T660" i="12"/>
  <c r="U660" i="12"/>
  <c r="V660" i="12"/>
  <c r="W660" i="12"/>
  <c r="X660" i="12"/>
  <c r="Y660" i="12"/>
  <c r="Z660" i="12"/>
  <c r="AA660" i="12"/>
  <c r="AB660" i="12"/>
  <c r="AC660" i="12"/>
  <c r="AD660" i="12"/>
  <c r="AE660" i="12"/>
  <c r="AF660" i="12"/>
  <c r="H662" i="12"/>
  <c r="I662" i="12"/>
  <c r="J662" i="12"/>
  <c r="K662" i="12"/>
  <c r="L662" i="12"/>
  <c r="M662" i="12"/>
  <c r="N662" i="12"/>
  <c r="O662" i="12"/>
  <c r="P662" i="12"/>
  <c r="Q662" i="12"/>
  <c r="R662" i="12"/>
  <c r="S662" i="12"/>
  <c r="T662" i="12"/>
  <c r="U662" i="12"/>
  <c r="V662" i="12"/>
  <c r="W662" i="12"/>
  <c r="X662" i="12"/>
  <c r="Y662" i="12"/>
  <c r="Z662" i="12"/>
  <c r="AA662" i="12"/>
  <c r="AB662" i="12"/>
  <c r="AC662" i="12"/>
  <c r="AD662" i="12"/>
  <c r="AE662" i="12"/>
  <c r="AF662" i="12"/>
  <c r="H663" i="12"/>
  <c r="I663" i="12"/>
  <c r="J663" i="12"/>
  <c r="K663" i="12"/>
  <c r="L663" i="12"/>
  <c r="M663" i="12"/>
  <c r="N663" i="12"/>
  <c r="O663" i="12"/>
  <c r="P663" i="12"/>
  <c r="Q663" i="12"/>
  <c r="R663" i="12"/>
  <c r="S663" i="12"/>
  <c r="T663" i="12"/>
  <c r="U663" i="12"/>
  <c r="V663" i="12"/>
  <c r="W663" i="12"/>
  <c r="X663" i="12"/>
  <c r="Y663" i="12"/>
  <c r="Z663" i="12"/>
  <c r="AA663" i="12"/>
  <c r="AB663" i="12"/>
  <c r="AC663" i="12"/>
  <c r="AD663" i="12"/>
  <c r="AE663" i="12"/>
  <c r="AF663" i="12"/>
  <c r="H664" i="12"/>
  <c r="I664" i="12"/>
  <c r="J664" i="12"/>
  <c r="K664" i="12"/>
  <c r="L664" i="12"/>
  <c r="M664" i="12"/>
  <c r="N664" i="12"/>
  <c r="O664" i="12"/>
  <c r="P664" i="12"/>
  <c r="Q664" i="12"/>
  <c r="R664" i="12"/>
  <c r="S664" i="12"/>
  <c r="T664" i="12"/>
  <c r="U664" i="12"/>
  <c r="V664" i="12"/>
  <c r="W664" i="12"/>
  <c r="X664" i="12"/>
  <c r="Y664" i="12"/>
  <c r="Z664" i="12"/>
  <c r="AA664" i="12"/>
  <c r="AB664" i="12"/>
  <c r="AC664" i="12"/>
  <c r="AD664" i="12"/>
  <c r="AE664" i="12"/>
  <c r="AF664" i="12"/>
  <c r="H665" i="12"/>
  <c r="I665" i="12"/>
  <c r="J665" i="12"/>
  <c r="K665" i="12"/>
  <c r="L665" i="12"/>
  <c r="M665" i="12"/>
  <c r="N665" i="12"/>
  <c r="O665" i="12"/>
  <c r="P665" i="12"/>
  <c r="Q665" i="12"/>
  <c r="R665" i="12"/>
  <c r="S665" i="12"/>
  <c r="T665" i="12"/>
  <c r="U665" i="12"/>
  <c r="V665" i="12"/>
  <c r="W665" i="12"/>
  <c r="X665" i="12"/>
  <c r="Y665" i="12"/>
  <c r="Z665" i="12"/>
  <c r="AA665" i="12"/>
  <c r="AB665" i="12"/>
  <c r="AC665" i="12"/>
  <c r="AD665" i="12"/>
  <c r="AE665" i="12"/>
  <c r="AF665" i="12"/>
  <c r="H667" i="12"/>
  <c r="I667" i="12"/>
  <c r="J667" i="12"/>
  <c r="K667" i="12"/>
  <c r="L667" i="12"/>
  <c r="M667" i="12"/>
  <c r="N667" i="12"/>
  <c r="O667" i="12"/>
  <c r="P667" i="12"/>
  <c r="Q667" i="12"/>
  <c r="R667" i="12"/>
  <c r="S667" i="12"/>
  <c r="T667" i="12"/>
  <c r="U667" i="12"/>
  <c r="V667" i="12"/>
  <c r="W667" i="12"/>
  <c r="X667" i="12"/>
  <c r="Y667" i="12"/>
  <c r="Z667" i="12"/>
  <c r="AA667" i="12"/>
  <c r="AB667" i="12"/>
  <c r="AC667" i="12"/>
  <c r="AD667" i="12"/>
  <c r="AE667" i="12"/>
  <c r="AF667" i="12"/>
  <c r="C669" i="12"/>
  <c r="H669" i="12"/>
  <c r="I669" i="12"/>
  <c r="J669" i="12"/>
  <c r="K669" i="12"/>
  <c r="L669" i="12"/>
  <c r="M669" i="12"/>
  <c r="N669" i="12"/>
  <c r="O669" i="12"/>
  <c r="P669" i="12"/>
  <c r="Q669" i="12"/>
  <c r="R669" i="12"/>
  <c r="S669" i="12"/>
  <c r="T669" i="12"/>
  <c r="U669" i="12"/>
  <c r="V669" i="12"/>
  <c r="W669" i="12"/>
  <c r="X669" i="12"/>
  <c r="Y669" i="12"/>
  <c r="Z669" i="12"/>
  <c r="AA669" i="12"/>
  <c r="AB669" i="12"/>
  <c r="AC669" i="12"/>
  <c r="AD669" i="12"/>
  <c r="AE669" i="12"/>
  <c r="AF669" i="12"/>
  <c r="C670" i="12"/>
  <c r="H670" i="12"/>
  <c r="I670" i="12"/>
  <c r="J670" i="12"/>
  <c r="K670" i="12"/>
  <c r="L670" i="12"/>
  <c r="M670" i="12"/>
  <c r="N670" i="12"/>
  <c r="O670" i="12"/>
  <c r="P670" i="12"/>
  <c r="Q670" i="12"/>
  <c r="R670" i="12"/>
  <c r="S670" i="12"/>
  <c r="T670" i="12"/>
  <c r="U670" i="12"/>
  <c r="V670" i="12"/>
  <c r="W670" i="12"/>
  <c r="X670" i="12"/>
  <c r="Y670" i="12"/>
  <c r="Z670" i="12"/>
  <c r="AA670" i="12"/>
  <c r="AB670" i="12"/>
  <c r="AC670" i="12"/>
  <c r="AD670" i="12"/>
  <c r="AE670" i="12"/>
  <c r="AF670" i="12"/>
  <c r="H671" i="12"/>
  <c r="I671" i="12"/>
  <c r="J671" i="12"/>
  <c r="K671" i="12"/>
  <c r="L671" i="12"/>
  <c r="M671" i="12"/>
  <c r="N671" i="12"/>
  <c r="O671" i="12"/>
  <c r="P671" i="12"/>
  <c r="Q671" i="12"/>
  <c r="R671" i="12"/>
  <c r="S671" i="12"/>
  <c r="T671" i="12"/>
  <c r="U671" i="12"/>
  <c r="V671" i="12"/>
  <c r="W671" i="12"/>
  <c r="X671" i="12"/>
  <c r="Y671" i="12"/>
  <c r="Z671" i="12"/>
  <c r="AA671" i="12"/>
  <c r="AB671" i="12"/>
  <c r="AC671" i="12"/>
  <c r="AD671" i="12"/>
  <c r="AE671" i="12"/>
  <c r="AF671" i="12"/>
  <c r="H674" i="12"/>
  <c r="I674" i="12"/>
  <c r="J674" i="12"/>
  <c r="K674" i="12"/>
  <c r="L674" i="12"/>
  <c r="M674" i="12"/>
  <c r="N674" i="12"/>
  <c r="O674" i="12"/>
  <c r="P674" i="12"/>
  <c r="Q674" i="12"/>
  <c r="R674" i="12"/>
  <c r="S674" i="12"/>
  <c r="T674" i="12"/>
  <c r="U674" i="12"/>
  <c r="V674" i="12"/>
  <c r="W674" i="12"/>
  <c r="X674" i="12"/>
  <c r="Y674" i="12"/>
  <c r="Z674" i="12"/>
  <c r="AA674" i="12"/>
  <c r="AB674" i="12"/>
  <c r="AC674" i="12"/>
  <c r="AD674" i="12"/>
  <c r="AE674" i="12"/>
  <c r="AF674" i="12"/>
  <c r="H675" i="12"/>
  <c r="I675" i="12"/>
  <c r="J675" i="12"/>
  <c r="K675" i="12"/>
  <c r="L675" i="12"/>
  <c r="M675" i="12"/>
  <c r="N675" i="12"/>
  <c r="O675" i="12"/>
  <c r="P675" i="12"/>
  <c r="Q675" i="12"/>
  <c r="R675" i="12"/>
  <c r="S675" i="12"/>
  <c r="T675" i="12"/>
  <c r="U675" i="12"/>
  <c r="V675" i="12"/>
  <c r="W675" i="12"/>
  <c r="X675" i="12"/>
  <c r="Y675" i="12"/>
  <c r="Z675" i="12"/>
  <c r="AA675" i="12"/>
  <c r="AB675" i="12"/>
  <c r="AC675" i="12"/>
  <c r="AD675" i="12"/>
  <c r="AE675" i="12"/>
  <c r="AF675" i="12"/>
  <c r="H676" i="12"/>
  <c r="I676" i="12"/>
  <c r="J676" i="12"/>
  <c r="K676" i="12"/>
  <c r="L676" i="12"/>
  <c r="M676" i="12"/>
  <c r="N676" i="12"/>
  <c r="O676" i="12"/>
  <c r="P676" i="12"/>
  <c r="Q676" i="12"/>
  <c r="R676" i="12"/>
  <c r="S676" i="12"/>
  <c r="T676" i="12"/>
  <c r="U676" i="12"/>
  <c r="V676" i="12"/>
  <c r="W676" i="12"/>
  <c r="X676" i="12"/>
  <c r="Y676" i="12"/>
  <c r="Z676" i="12"/>
  <c r="AA676" i="12"/>
  <c r="AB676" i="12"/>
  <c r="AC676" i="12"/>
  <c r="AD676" i="12"/>
  <c r="AE676" i="12"/>
  <c r="AF676" i="12"/>
  <c r="H680" i="12"/>
  <c r="I680" i="12"/>
  <c r="J680" i="12"/>
  <c r="K680" i="12"/>
  <c r="L680" i="12"/>
  <c r="M680" i="12"/>
  <c r="N680" i="12"/>
  <c r="O680" i="12"/>
  <c r="P680" i="12"/>
  <c r="Q680" i="12"/>
  <c r="R680" i="12"/>
  <c r="S680" i="12"/>
  <c r="T680" i="12"/>
  <c r="U680" i="12"/>
  <c r="V680" i="12"/>
  <c r="W680" i="12"/>
  <c r="X680" i="12"/>
  <c r="Y680" i="12"/>
  <c r="Z680" i="12"/>
  <c r="AA680" i="12"/>
  <c r="AB680" i="12"/>
  <c r="AC680" i="12"/>
  <c r="AD680" i="12"/>
  <c r="AE680" i="12"/>
  <c r="AF680" i="12"/>
  <c r="H682" i="12"/>
  <c r="I684" i="12"/>
  <c r="J684" i="12"/>
  <c r="K684" i="12"/>
  <c r="L684" i="12"/>
  <c r="M684" i="12"/>
  <c r="N684" i="12"/>
  <c r="O684" i="12"/>
  <c r="P684" i="12"/>
  <c r="Q684" i="12"/>
  <c r="R684" i="12"/>
  <c r="S684" i="12"/>
  <c r="T684" i="12"/>
  <c r="U684" i="12"/>
  <c r="V684" i="12"/>
  <c r="W684" i="12"/>
  <c r="X684" i="12"/>
  <c r="Y684" i="12"/>
  <c r="Z684" i="12"/>
  <c r="AA684" i="12"/>
  <c r="AB684" i="12"/>
  <c r="AC684" i="12"/>
  <c r="AD684" i="12"/>
  <c r="AE684" i="12"/>
  <c r="AF684" i="12"/>
  <c r="I686" i="12"/>
  <c r="J686" i="12"/>
  <c r="K686" i="12"/>
  <c r="L686" i="12"/>
  <c r="M686" i="12"/>
  <c r="N686" i="12"/>
  <c r="O686" i="12"/>
  <c r="P686" i="12"/>
  <c r="Q686" i="12"/>
  <c r="R686" i="12"/>
  <c r="S686" i="12"/>
  <c r="T686" i="12"/>
  <c r="U686" i="12"/>
  <c r="V686" i="12"/>
  <c r="W686" i="12"/>
  <c r="X686" i="12"/>
  <c r="Y686" i="12"/>
  <c r="Z686" i="12"/>
  <c r="AA686" i="12"/>
  <c r="AB686" i="12"/>
  <c r="AC686" i="12"/>
  <c r="AD686" i="12"/>
  <c r="AE686" i="12"/>
  <c r="AF686" i="12"/>
  <c r="I687" i="12"/>
  <c r="J687" i="12"/>
  <c r="K687" i="12"/>
  <c r="L687" i="12"/>
  <c r="M687" i="12"/>
  <c r="N687" i="12"/>
  <c r="O687" i="12"/>
  <c r="P687" i="12"/>
  <c r="Q687" i="12"/>
  <c r="R687" i="12"/>
  <c r="S687" i="12"/>
  <c r="T687" i="12"/>
  <c r="U687" i="12"/>
  <c r="V687" i="12"/>
  <c r="W687" i="12"/>
  <c r="X687" i="12"/>
  <c r="Y687" i="12"/>
  <c r="Z687" i="12"/>
  <c r="AA687" i="12"/>
  <c r="AB687" i="12"/>
  <c r="AC687" i="12"/>
  <c r="AD687" i="12"/>
  <c r="AE687" i="12"/>
  <c r="AF687" i="12"/>
  <c r="I688" i="12"/>
  <c r="J688" i="12"/>
  <c r="K688" i="12"/>
  <c r="L688" i="12"/>
  <c r="M688" i="12"/>
  <c r="N688" i="12"/>
  <c r="O688" i="12"/>
  <c r="P688" i="12"/>
  <c r="Q688" i="12"/>
  <c r="R688" i="12"/>
  <c r="S688" i="12"/>
  <c r="T688" i="12"/>
  <c r="U688" i="12"/>
  <c r="V688" i="12"/>
  <c r="W688" i="12"/>
  <c r="X688" i="12"/>
  <c r="Y688" i="12"/>
  <c r="Z688" i="12"/>
  <c r="AA688" i="12"/>
  <c r="AB688" i="12"/>
  <c r="AC688" i="12"/>
  <c r="AD688" i="12"/>
  <c r="AE688" i="12"/>
  <c r="AF688" i="12"/>
  <c r="I690" i="12"/>
  <c r="J690" i="12"/>
  <c r="K690" i="12"/>
  <c r="L690" i="12"/>
  <c r="M690" i="12"/>
  <c r="N690" i="12"/>
  <c r="O690" i="12"/>
  <c r="P690" i="12"/>
  <c r="Q690" i="12"/>
  <c r="R690" i="12"/>
  <c r="S690" i="12"/>
  <c r="T690" i="12"/>
  <c r="U690" i="12"/>
  <c r="V690" i="12"/>
  <c r="W690" i="12"/>
  <c r="X690" i="12"/>
  <c r="Y690" i="12"/>
  <c r="Z690" i="12"/>
  <c r="AA690" i="12"/>
  <c r="AB690" i="12"/>
  <c r="AC690" i="12"/>
  <c r="AD690" i="12"/>
  <c r="AE690" i="12"/>
  <c r="AF690" i="12"/>
  <c r="I692" i="12"/>
  <c r="J692" i="12"/>
  <c r="K692" i="12"/>
  <c r="L692" i="12"/>
  <c r="M692" i="12"/>
  <c r="N692" i="12"/>
  <c r="O692" i="12"/>
  <c r="P692" i="12"/>
  <c r="Q692" i="12"/>
  <c r="R692" i="12"/>
  <c r="S692" i="12"/>
  <c r="T692" i="12"/>
  <c r="U692" i="12"/>
  <c r="V692" i="12"/>
  <c r="W692" i="12"/>
  <c r="X692" i="12"/>
  <c r="Y692" i="12"/>
  <c r="Z692" i="12"/>
  <c r="AA692" i="12"/>
  <c r="AB692" i="12"/>
  <c r="AC692" i="12"/>
  <c r="AD692" i="12"/>
  <c r="AE692" i="12"/>
  <c r="AF692" i="12"/>
  <c r="I693" i="12"/>
  <c r="J693" i="12"/>
  <c r="K693" i="12"/>
  <c r="L693" i="12"/>
  <c r="M693" i="12"/>
  <c r="N693" i="12"/>
  <c r="O693" i="12"/>
  <c r="P693" i="12"/>
  <c r="Q693" i="12"/>
  <c r="R693" i="12"/>
  <c r="S693" i="12"/>
  <c r="T693" i="12"/>
  <c r="U693" i="12"/>
  <c r="V693" i="12"/>
  <c r="W693" i="12"/>
  <c r="X693" i="12"/>
  <c r="Y693" i="12"/>
  <c r="Z693" i="12"/>
  <c r="AA693" i="12"/>
  <c r="AB693" i="12"/>
  <c r="AC693" i="12"/>
  <c r="AD693" i="12"/>
  <c r="AE693" i="12"/>
  <c r="AF693" i="12"/>
  <c r="I694" i="12"/>
  <c r="J694" i="12"/>
  <c r="K694" i="12"/>
  <c r="L694" i="12"/>
  <c r="M694" i="12"/>
  <c r="N694" i="12"/>
  <c r="O694" i="12"/>
  <c r="P694" i="12"/>
  <c r="Q694" i="12"/>
  <c r="R694" i="12"/>
  <c r="S694" i="12"/>
  <c r="T694" i="12"/>
  <c r="U694" i="12"/>
  <c r="V694" i="12"/>
  <c r="W694" i="12"/>
  <c r="X694" i="12"/>
  <c r="Y694" i="12"/>
  <c r="Z694" i="12"/>
  <c r="AA694" i="12"/>
  <c r="AB694" i="12"/>
  <c r="AC694" i="12"/>
  <c r="AD694" i="12"/>
  <c r="AE694" i="12"/>
  <c r="AF694" i="12"/>
  <c r="B695" i="12"/>
  <c r="I695" i="12"/>
  <c r="J695" i="12"/>
  <c r="K695" i="12"/>
  <c r="L695" i="12"/>
  <c r="M695" i="12"/>
  <c r="N695" i="12"/>
  <c r="O695" i="12"/>
  <c r="P695" i="12"/>
  <c r="Q695" i="12"/>
  <c r="R695" i="12"/>
  <c r="S695" i="12"/>
  <c r="T695" i="12"/>
  <c r="U695" i="12"/>
  <c r="V695" i="12"/>
  <c r="W695" i="12"/>
  <c r="X695" i="12"/>
  <c r="Y695" i="12"/>
  <c r="Z695" i="12"/>
  <c r="AA695" i="12"/>
  <c r="AB695" i="12"/>
  <c r="AC695" i="12"/>
  <c r="AD695" i="12"/>
  <c r="AE695" i="12"/>
  <c r="AF695" i="12"/>
  <c r="I696" i="12"/>
  <c r="J696" i="12"/>
  <c r="K696" i="12"/>
  <c r="L696" i="12"/>
  <c r="M696" i="12"/>
  <c r="N696" i="12"/>
  <c r="O696" i="12"/>
  <c r="P696" i="12"/>
  <c r="Q696" i="12"/>
  <c r="R696" i="12"/>
  <c r="S696" i="12"/>
  <c r="T696" i="12"/>
  <c r="U696" i="12"/>
  <c r="V696" i="12"/>
  <c r="W696" i="12"/>
  <c r="X696" i="12"/>
  <c r="Y696" i="12"/>
  <c r="Z696" i="12"/>
  <c r="AA696" i="12"/>
  <c r="AB696" i="12"/>
  <c r="AC696" i="12"/>
  <c r="AD696" i="12"/>
  <c r="AE696" i="12"/>
  <c r="AF696" i="12"/>
  <c r="H697" i="12"/>
  <c r="I697" i="12"/>
  <c r="J697" i="12"/>
  <c r="K697" i="12"/>
  <c r="L697" i="12"/>
  <c r="M697" i="12"/>
  <c r="N697" i="12"/>
  <c r="O697" i="12"/>
  <c r="P697" i="12"/>
  <c r="Q697" i="12"/>
  <c r="R697" i="12"/>
  <c r="S697" i="12"/>
  <c r="T697" i="12"/>
  <c r="U697" i="12"/>
  <c r="V697" i="12"/>
  <c r="W697" i="12"/>
  <c r="X697" i="12"/>
  <c r="Y697" i="12"/>
  <c r="Z697" i="12"/>
  <c r="AA697" i="12"/>
  <c r="AB697" i="12"/>
  <c r="AC697" i="12"/>
  <c r="AD697" i="12"/>
  <c r="AE697" i="12"/>
  <c r="AF697" i="12"/>
  <c r="B698" i="12"/>
  <c r="I698" i="12"/>
  <c r="J698" i="12"/>
  <c r="K698" i="12"/>
  <c r="L698" i="12"/>
  <c r="M698" i="12"/>
  <c r="N698" i="12"/>
  <c r="O698" i="12"/>
  <c r="P698" i="12"/>
  <c r="Q698" i="12"/>
  <c r="R698" i="12"/>
  <c r="S698" i="12"/>
  <c r="T698" i="12"/>
  <c r="U698" i="12"/>
  <c r="V698" i="12"/>
  <c r="W698" i="12"/>
  <c r="X698" i="12"/>
  <c r="Y698" i="12"/>
  <c r="Z698" i="12"/>
  <c r="AA698" i="12"/>
  <c r="AB698" i="12"/>
  <c r="AC698" i="12"/>
  <c r="AD698" i="12"/>
  <c r="AE698" i="12"/>
  <c r="AF698" i="12"/>
  <c r="B699" i="12"/>
  <c r="I699" i="12"/>
  <c r="J699" i="12"/>
  <c r="K699" i="12"/>
  <c r="L699" i="12"/>
  <c r="M699" i="12"/>
  <c r="N699" i="12"/>
  <c r="O699" i="12"/>
  <c r="P699" i="12"/>
  <c r="Q699" i="12"/>
  <c r="R699" i="12"/>
  <c r="S699" i="12"/>
  <c r="T699" i="12"/>
  <c r="U699" i="12"/>
  <c r="V699" i="12"/>
  <c r="W699" i="12"/>
  <c r="X699" i="12"/>
  <c r="Y699" i="12"/>
  <c r="Z699" i="12"/>
  <c r="AA699" i="12"/>
  <c r="AB699" i="12"/>
  <c r="AC699" i="12"/>
  <c r="AD699" i="12"/>
  <c r="AE699" i="12"/>
  <c r="AF699" i="12"/>
  <c r="A702" i="12"/>
  <c r="I702" i="12"/>
  <c r="J702" i="12"/>
  <c r="K702" i="12"/>
  <c r="L702" i="12"/>
  <c r="M702" i="12"/>
  <c r="N702" i="12"/>
  <c r="O702" i="12"/>
  <c r="P702" i="12"/>
  <c r="Q702" i="12"/>
  <c r="R702" i="12"/>
  <c r="S702" i="12"/>
  <c r="T702" i="12"/>
  <c r="U702" i="12"/>
  <c r="V702" i="12"/>
  <c r="W702" i="12"/>
  <c r="X702" i="12"/>
  <c r="Y702" i="12"/>
  <c r="Z702" i="12"/>
  <c r="AA702" i="12"/>
  <c r="AB702" i="12"/>
  <c r="AC702" i="12"/>
  <c r="I703" i="12"/>
  <c r="J703" i="12"/>
  <c r="K703" i="12"/>
  <c r="L703" i="12"/>
  <c r="M703" i="12"/>
  <c r="N703" i="12"/>
  <c r="O703" i="12"/>
  <c r="P703" i="12"/>
  <c r="Q703" i="12"/>
  <c r="R703" i="12"/>
  <c r="S703" i="12"/>
  <c r="T703" i="12"/>
  <c r="U703" i="12"/>
  <c r="V703" i="12"/>
  <c r="W703" i="12"/>
  <c r="X703" i="12"/>
  <c r="Y703" i="12"/>
  <c r="Z703" i="12"/>
  <c r="AA703" i="12"/>
  <c r="AB703" i="12"/>
  <c r="AC703" i="12"/>
  <c r="I704" i="12"/>
  <c r="J704" i="12"/>
  <c r="K704" i="12"/>
  <c r="L704" i="12"/>
  <c r="M704" i="12"/>
  <c r="N704" i="12"/>
  <c r="O704" i="12"/>
  <c r="P704" i="12"/>
  <c r="Q704" i="12"/>
  <c r="R704" i="12"/>
  <c r="S704" i="12"/>
  <c r="T704" i="12"/>
  <c r="U704" i="12"/>
  <c r="V704" i="12"/>
  <c r="W704" i="12"/>
  <c r="X704" i="12"/>
  <c r="Y704" i="12"/>
  <c r="Z704" i="12"/>
  <c r="AA704" i="12"/>
  <c r="AB704" i="12"/>
  <c r="AC704" i="12"/>
  <c r="E705" i="12"/>
  <c r="I705" i="12"/>
  <c r="J705" i="12"/>
  <c r="K705" i="12"/>
  <c r="L705" i="12"/>
  <c r="M705" i="12"/>
  <c r="N705" i="12"/>
  <c r="O705" i="12"/>
  <c r="P705" i="12"/>
  <c r="Q705" i="12"/>
  <c r="R705" i="12"/>
  <c r="S705" i="12"/>
  <c r="T705" i="12"/>
  <c r="U705" i="12"/>
  <c r="V705" i="12"/>
  <c r="W705" i="12"/>
  <c r="X705" i="12"/>
  <c r="Y705" i="12"/>
  <c r="Z705" i="12"/>
  <c r="AA705" i="12"/>
  <c r="AB705" i="12"/>
  <c r="AC705" i="12"/>
  <c r="I706" i="12"/>
  <c r="J706" i="12"/>
  <c r="K706" i="12"/>
  <c r="L706" i="12"/>
  <c r="M706" i="12"/>
  <c r="N706" i="12"/>
  <c r="O706" i="12"/>
  <c r="P706" i="12"/>
  <c r="Q706" i="12"/>
  <c r="R706" i="12"/>
  <c r="S706" i="12"/>
  <c r="T706" i="12"/>
  <c r="U706" i="12"/>
  <c r="V706" i="12"/>
  <c r="W706" i="12"/>
  <c r="X706" i="12"/>
  <c r="Y706" i="12"/>
  <c r="Z706" i="12"/>
  <c r="AA706" i="12"/>
  <c r="AB706" i="12"/>
  <c r="AC706" i="12"/>
  <c r="I707" i="12"/>
  <c r="J707" i="12"/>
  <c r="K707" i="12"/>
  <c r="L707" i="12"/>
  <c r="M707" i="12"/>
  <c r="N707" i="12"/>
  <c r="O707" i="12"/>
  <c r="P707" i="12"/>
  <c r="Q707" i="12"/>
  <c r="R707" i="12"/>
  <c r="S707" i="12"/>
  <c r="T707" i="12"/>
  <c r="U707" i="12"/>
  <c r="V707" i="12"/>
  <c r="W707" i="12"/>
  <c r="X707" i="12"/>
  <c r="Y707" i="12"/>
  <c r="Z707" i="12"/>
  <c r="AA707" i="12"/>
  <c r="AB707" i="12"/>
  <c r="AC707" i="12"/>
  <c r="E708" i="12"/>
  <c r="E709" i="12"/>
  <c r="E710" i="12"/>
  <c r="E711" i="12"/>
  <c r="E712" i="12"/>
  <c r="E713" i="12"/>
  <c r="E715" i="12"/>
  <c r="A716" i="12"/>
  <c r="E717" i="12"/>
  <c r="E718" i="12"/>
  <c r="E719" i="12"/>
  <c r="E720" i="12"/>
  <c r="E721" i="12"/>
  <c r="B726" i="12"/>
  <c r="E726" i="12"/>
  <c r="F726" i="12"/>
  <c r="G726" i="12"/>
  <c r="H726" i="12"/>
  <c r="I726" i="12"/>
  <c r="J726" i="12"/>
  <c r="K726" i="12"/>
  <c r="L726" i="12"/>
  <c r="M726" i="12"/>
  <c r="N726" i="12"/>
  <c r="O726" i="12"/>
  <c r="P726" i="12"/>
  <c r="Q726" i="12"/>
  <c r="R726" i="12"/>
  <c r="S726" i="12"/>
  <c r="T726" i="12"/>
  <c r="U726" i="12"/>
  <c r="V726" i="12"/>
  <c r="W726" i="12"/>
  <c r="X726" i="12"/>
  <c r="Y726" i="12"/>
  <c r="Z726" i="12"/>
  <c r="AA726" i="12"/>
  <c r="AB726" i="12"/>
  <c r="AC726" i="12"/>
  <c r="AD726" i="12"/>
  <c r="AE726" i="12"/>
  <c r="AF726" i="12"/>
  <c r="B727" i="12"/>
  <c r="E727" i="12"/>
  <c r="F727" i="12"/>
  <c r="G727" i="12"/>
  <c r="H727" i="12"/>
  <c r="I727" i="12"/>
  <c r="J727" i="12"/>
  <c r="K727" i="12"/>
  <c r="L727" i="12"/>
  <c r="M727" i="12"/>
  <c r="N727" i="12"/>
  <c r="O727" i="12"/>
  <c r="P727" i="12"/>
  <c r="Q727" i="12"/>
  <c r="R727" i="12"/>
  <c r="S727" i="12"/>
  <c r="T727" i="12"/>
  <c r="U727" i="12"/>
  <c r="V727" i="12"/>
  <c r="W727" i="12"/>
  <c r="X727" i="12"/>
  <c r="Y727" i="12"/>
  <c r="Z727" i="12"/>
  <c r="AA727" i="12"/>
  <c r="AB727" i="12"/>
  <c r="AC727" i="12"/>
  <c r="AD727" i="12"/>
  <c r="AE727" i="12"/>
  <c r="AF727" i="12"/>
  <c r="B728" i="12"/>
  <c r="E728" i="12"/>
  <c r="F728" i="12"/>
  <c r="G728" i="12"/>
  <c r="H728" i="12"/>
  <c r="I728" i="12"/>
  <c r="J728" i="12"/>
  <c r="K728" i="12"/>
  <c r="L728" i="12"/>
  <c r="M728" i="12"/>
  <c r="N728" i="12"/>
  <c r="O728" i="12"/>
  <c r="P728" i="12"/>
  <c r="Q728" i="12"/>
  <c r="R728" i="12"/>
  <c r="S728" i="12"/>
  <c r="T728" i="12"/>
  <c r="U728" i="12"/>
  <c r="V728" i="12"/>
  <c r="W728" i="12"/>
  <c r="X728" i="12"/>
  <c r="Y728" i="12"/>
  <c r="Z728" i="12"/>
  <c r="AA728" i="12"/>
  <c r="AB728" i="12"/>
  <c r="AC728" i="12"/>
  <c r="AD728" i="12"/>
  <c r="AE728" i="12"/>
  <c r="AF728" i="12"/>
  <c r="B729" i="12"/>
  <c r="E729" i="12"/>
  <c r="F729" i="12"/>
  <c r="G729" i="12"/>
  <c r="H729" i="12"/>
  <c r="I729" i="12"/>
  <c r="J729" i="12"/>
  <c r="K729" i="12"/>
  <c r="L729" i="12"/>
  <c r="M729" i="12"/>
  <c r="N729" i="12"/>
  <c r="O729" i="12"/>
  <c r="P729" i="12"/>
  <c r="Q729" i="12"/>
  <c r="R729" i="12"/>
  <c r="S729" i="12"/>
  <c r="T729" i="12"/>
  <c r="U729" i="12"/>
  <c r="V729" i="12"/>
  <c r="W729" i="12"/>
  <c r="X729" i="12"/>
  <c r="Y729" i="12"/>
  <c r="Z729" i="12"/>
  <c r="AA729" i="12"/>
  <c r="AB729" i="12"/>
  <c r="AC729" i="12"/>
  <c r="AD729" i="12"/>
  <c r="AE729" i="12"/>
  <c r="AF729" i="12"/>
  <c r="B731" i="12"/>
  <c r="E731" i="12"/>
  <c r="F731" i="12"/>
  <c r="G731" i="12"/>
  <c r="H731" i="12"/>
  <c r="I731" i="12"/>
  <c r="J731" i="12"/>
  <c r="K731" i="12"/>
  <c r="L731" i="12"/>
  <c r="M731" i="12"/>
  <c r="N731" i="12"/>
  <c r="O731" i="12"/>
  <c r="P731" i="12"/>
  <c r="Q731" i="12"/>
  <c r="R731" i="12"/>
  <c r="S731" i="12"/>
  <c r="T731" i="12"/>
  <c r="U731" i="12"/>
  <c r="V731" i="12"/>
  <c r="W731" i="12"/>
  <c r="X731" i="12"/>
  <c r="Y731" i="12"/>
  <c r="Z731" i="12"/>
  <c r="AA731" i="12"/>
  <c r="AB731" i="12"/>
  <c r="AC731" i="12"/>
  <c r="AD731" i="12"/>
  <c r="AE731" i="12"/>
  <c r="AF731" i="12"/>
  <c r="B732" i="12"/>
  <c r="E732" i="12"/>
  <c r="F732" i="12"/>
  <c r="G732" i="12"/>
  <c r="H732" i="12"/>
  <c r="I732" i="12"/>
  <c r="J732" i="12"/>
  <c r="K732" i="12"/>
  <c r="L732" i="12"/>
  <c r="M732" i="12"/>
  <c r="N732" i="12"/>
  <c r="O732" i="12"/>
  <c r="P732" i="12"/>
  <c r="Q732" i="12"/>
  <c r="R732" i="12"/>
  <c r="S732" i="12"/>
  <c r="T732" i="12"/>
  <c r="U732" i="12"/>
  <c r="V732" i="12"/>
  <c r="W732" i="12"/>
  <c r="X732" i="12"/>
  <c r="Y732" i="12"/>
  <c r="Z732" i="12"/>
  <c r="AA732" i="12"/>
  <c r="AB732" i="12"/>
  <c r="AC732" i="12"/>
  <c r="AD732" i="12"/>
  <c r="AE732" i="12"/>
  <c r="AF732" i="12"/>
  <c r="B733" i="12"/>
  <c r="E733" i="12"/>
  <c r="F733" i="12"/>
  <c r="G733" i="12"/>
  <c r="H733" i="12"/>
  <c r="I733" i="12"/>
  <c r="J733" i="12"/>
  <c r="K733" i="12"/>
  <c r="L733" i="12"/>
  <c r="M733" i="12"/>
  <c r="N733" i="12"/>
  <c r="O733" i="12"/>
  <c r="P733" i="12"/>
  <c r="Q733" i="12"/>
  <c r="R733" i="12"/>
  <c r="S733" i="12"/>
  <c r="T733" i="12"/>
  <c r="U733" i="12"/>
  <c r="V733" i="12"/>
  <c r="W733" i="12"/>
  <c r="X733" i="12"/>
  <c r="Y733" i="12"/>
  <c r="Z733" i="12"/>
  <c r="AA733" i="12"/>
  <c r="AB733" i="12"/>
  <c r="AC733" i="12"/>
  <c r="AD733" i="12"/>
  <c r="AE733" i="12"/>
  <c r="AF733" i="12"/>
  <c r="B734" i="12"/>
  <c r="E734" i="12"/>
  <c r="F734" i="12"/>
  <c r="G734" i="12"/>
  <c r="H734" i="12"/>
  <c r="I734" i="12"/>
  <c r="J734" i="12"/>
  <c r="K734" i="12"/>
  <c r="L734" i="12"/>
  <c r="M734" i="12"/>
  <c r="N734" i="12"/>
  <c r="O734" i="12"/>
  <c r="P734" i="12"/>
  <c r="Q734" i="12"/>
  <c r="R734" i="12"/>
  <c r="S734" i="12"/>
  <c r="T734" i="12"/>
  <c r="U734" i="12"/>
  <c r="V734" i="12"/>
  <c r="W734" i="12"/>
  <c r="X734" i="12"/>
  <c r="Y734" i="12"/>
  <c r="Z734" i="12"/>
  <c r="AA734" i="12"/>
  <c r="AB734" i="12"/>
  <c r="AC734" i="12"/>
  <c r="AD734" i="12"/>
  <c r="AE734" i="12"/>
  <c r="AF734" i="12"/>
  <c r="B735" i="12"/>
  <c r="E735" i="12"/>
  <c r="F735" i="12"/>
  <c r="G735" i="12"/>
  <c r="H735" i="12"/>
  <c r="I735" i="12"/>
  <c r="J735" i="12"/>
  <c r="K735" i="12"/>
  <c r="L735" i="12"/>
  <c r="M735" i="12"/>
  <c r="N735" i="12"/>
  <c r="O735" i="12"/>
  <c r="P735" i="12"/>
  <c r="Q735" i="12"/>
  <c r="R735" i="12"/>
  <c r="S735" i="12"/>
  <c r="T735" i="12"/>
  <c r="U735" i="12"/>
  <c r="V735" i="12"/>
  <c r="W735" i="12"/>
  <c r="X735" i="12"/>
  <c r="Y735" i="12"/>
  <c r="Z735" i="12"/>
  <c r="AA735" i="12"/>
  <c r="AB735" i="12"/>
  <c r="AC735" i="12"/>
  <c r="AD735" i="12"/>
  <c r="AE735" i="12"/>
  <c r="AF735" i="12"/>
  <c r="H740" i="12"/>
  <c r="H741" i="12"/>
  <c r="E748" i="12"/>
  <c r="F748" i="12"/>
  <c r="G748" i="12"/>
  <c r="H748" i="12"/>
  <c r="I748" i="12"/>
  <c r="J748" i="12"/>
  <c r="K748" i="12"/>
  <c r="L748" i="12"/>
  <c r="M748" i="12"/>
  <c r="N748" i="12"/>
  <c r="O748" i="12"/>
  <c r="P748" i="12"/>
  <c r="Q748" i="12"/>
  <c r="R748" i="12"/>
  <c r="S748" i="12"/>
  <c r="T748" i="12"/>
  <c r="U748" i="12"/>
  <c r="V748" i="12"/>
  <c r="W748" i="12"/>
  <c r="X748" i="12"/>
  <c r="Y748" i="12"/>
  <c r="Z748" i="12"/>
  <c r="AA748" i="12"/>
  <c r="AB748" i="12"/>
  <c r="AC748" i="12"/>
  <c r="AD748" i="12"/>
  <c r="AE748" i="12"/>
  <c r="AF748" i="12"/>
  <c r="I750" i="12"/>
  <c r="J750" i="12"/>
  <c r="K750" i="12"/>
  <c r="L750" i="12"/>
  <c r="M750" i="12"/>
  <c r="N750" i="12"/>
  <c r="O750" i="12"/>
  <c r="P750" i="12"/>
  <c r="Q750" i="12"/>
  <c r="R750" i="12"/>
  <c r="S750" i="12"/>
  <c r="T750" i="12"/>
  <c r="U750" i="12"/>
  <c r="V750" i="12"/>
  <c r="W750" i="12"/>
  <c r="X750" i="12"/>
  <c r="Y750" i="12"/>
  <c r="Z750" i="12"/>
  <c r="AA750" i="12"/>
  <c r="AB750" i="12"/>
  <c r="AC750" i="12"/>
  <c r="AD750" i="12"/>
  <c r="AE750" i="12"/>
  <c r="AF750" i="12"/>
  <c r="B752" i="12"/>
  <c r="I752" i="12"/>
  <c r="J752" i="12"/>
  <c r="K752" i="12"/>
  <c r="L752" i="12"/>
  <c r="M752" i="12"/>
  <c r="N752" i="12"/>
  <c r="O752" i="12"/>
  <c r="P752" i="12"/>
  <c r="Q752" i="12"/>
  <c r="R752" i="12"/>
  <c r="S752" i="12"/>
  <c r="T752" i="12"/>
  <c r="U752" i="12"/>
  <c r="V752" i="12"/>
  <c r="W752" i="12"/>
  <c r="X752" i="12"/>
  <c r="Y752" i="12"/>
  <c r="Z752" i="12"/>
  <c r="AA752" i="12"/>
  <c r="AB752" i="12"/>
  <c r="AC752" i="12"/>
  <c r="AD752" i="12"/>
  <c r="AE752" i="12"/>
  <c r="AF752" i="12"/>
  <c r="B753" i="12"/>
  <c r="I753" i="12"/>
  <c r="J753" i="12"/>
  <c r="K753" i="12"/>
  <c r="L753" i="12"/>
  <c r="M753" i="12"/>
  <c r="N753" i="12"/>
  <c r="O753" i="12"/>
  <c r="P753" i="12"/>
  <c r="Q753" i="12"/>
  <c r="R753" i="12"/>
  <c r="S753" i="12"/>
  <c r="T753" i="12"/>
  <c r="U753" i="12"/>
  <c r="V753" i="12"/>
  <c r="W753" i="12"/>
  <c r="X753" i="12"/>
  <c r="Y753" i="12"/>
  <c r="Z753" i="12"/>
  <c r="AA753" i="12"/>
  <c r="AB753" i="12"/>
  <c r="AC753" i="12"/>
  <c r="AD753" i="12"/>
  <c r="AE753" i="12"/>
  <c r="AF753" i="12"/>
  <c r="B754" i="12"/>
  <c r="I754" i="12"/>
  <c r="J754" i="12"/>
  <c r="K754" i="12"/>
  <c r="L754" i="12"/>
  <c r="M754" i="12"/>
  <c r="N754" i="12"/>
  <c r="O754" i="12"/>
  <c r="P754" i="12"/>
  <c r="Q754" i="12"/>
  <c r="R754" i="12"/>
  <c r="S754" i="12"/>
  <c r="T754" i="12"/>
  <c r="U754" i="12"/>
  <c r="V754" i="12"/>
  <c r="W754" i="12"/>
  <c r="X754" i="12"/>
  <c r="Y754" i="12"/>
  <c r="Z754" i="12"/>
  <c r="AA754" i="12"/>
  <c r="AB754" i="12"/>
  <c r="AC754" i="12"/>
  <c r="AD754" i="12"/>
  <c r="AE754" i="12"/>
  <c r="AF754" i="12"/>
  <c r="I755" i="12"/>
  <c r="J755" i="12"/>
  <c r="K755" i="12"/>
  <c r="L755" i="12"/>
  <c r="M755" i="12"/>
  <c r="N755" i="12"/>
  <c r="O755" i="12"/>
  <c r="P755" i="12"/>
  <c r="Q755" i="12"/>
  <c r="R755" i="12"/>
  <c r="S755" i="12"/>
  <c r="T755" i="12"/>
  <c r="U755" i="12"/>
  <c r="V755" i="12"/>
  <c r="W755" i="12"/>
  <c r="X755" i="12"/>
  <c r="Y755" i="12"/>
  <c r="Z755" i="12"/>
  <c r="AA755" i="12"/>
  <c r="AB755" i="12"/>
  <c r="AC755" i="12"/>
  <c r="AD755" i="12"/>
  <c r="AE755" i="12"/>
  <c r="AF755" i="12"/>
  <c r="B757" i="12"/>
  <c r="I757" i="12"/>
  <c r="J757" i="12"/>
  <c r="K757" i="12"/>
  <c r="L757" i="12"/>
  <c r="M757" i="12"/>
  <c r="N757" i="12"/>
  <c r="O757" i="12"/>
  <c r="P757" i="12"/>
  <c r="Q757" i="12"/>
  <c r="R757" i="12"/>
  <c r="S757" i="12"/>
  <c r="T757" i="12"/>
  <c r="U757" i="12"/>
  <c r="V757" i="12"/>
  <c r="W757" i="12"/>
  <c r="X757" i="12"/>
  <c r="Y757" i="12"/>
  <c r="Z757" i="12"/>
  <c r="AA757" i="12"/>
  <c r="AB757" i="12"/>
  <c r="AC757" i="12"/>
  <c r="AD757" i="12"/>
  <c r="AE757" i="12"/>
  <c r="AF757" i="12"/>
  <c r="B758" i="12"/>
  <c r="I758" i="12"/>
  <c r="J758" i="12"/>
  <c r="K758" i="12"/>
  <c r="L758" i="12"/>
  <c r="M758" i="12"/>
  <c r="N758" i="12"/>
  <c r="O758" i="12"/>
  <c r="P758" i="12"/>
  <c r="Q758" i="12"/>
  <c r="R758" i="12"/>
  <c r="S758" i="12"/>
  <c r="T758" i="12"/>
  <c r="U758" i="12"/>
  <c r="V758" i="12"/>
  <c r="W758" i="12"/>
  <c r="X758" i="12"/>
  <c r="Y758" i="12"/>
  <c r="Z758" i="12"/>
  <c r="AA758" i="12"/>
  <c r="AB758" i="12"/>
  <c r="AC758" i="12"/>
  <c r="AD758" i="12"/>
  <c r="AE758" i="12"/>
  <c r="AF758" i="12"/>
  <c r="B759" i="12"/>
  <c r="I759" i="12"/>
  <c r="J759" i="12"/>
  <c r="K759" i="12"/>
  <c r="L759" i="12"/>
  <c r="M759" i="12"/>
  <c r="N759" i="12"/>
  <c r="O759" i="12"/>
  <c r="P759" i="12"/>
  <c r="Q759" i="12"/>
  <c r="R759" i="12"/>
  <c r="S759" i="12"/>
  <c r="T759" i="12"/>
  <c r="U759" i="12"/>
  <c r="V759" i="12"/>
  <c r="W759" i="12"/>
  <c r="X759" i="12"/>
  <c r="Y759" i="12"/>
  <c r="Z759" i="12"/>
  <c r="AA759" i="12"/>
  <c r="AB759" i="12"/>
  <c r="AC759" i="12"/>
  <c r="AD759" i="12"/>
  <c r="AE759" i="12"/>
  <c r="AF759" i="12"/>
  <c r="B760" i="12"/>
  <c r="I760" i="12"/>
  <c r="J760" i="12"/>
  <c r="K760" i="12"/>
  <c r="L760" i="12"/>
  <c r="M760" i="12"/>
  <c r="N760" i="12"/>
  <c r="O760" i="12"/>
  <c r="P760" i="12"/>
  <c r="Q760" i="12"/>
  <c r="R760" i="12"/>
  <c r="S760" i="12"/>
  <c r="T760" i="12"/>
  <c r="U760" i="12"/>
  <c r="V760" i="12"/>
  <c r="W760" i="12"/>
  <c r="X760" i="12"/>
  <c r="Y760" i="12"/>
  <c r="Z760" i="12"/>
  <c r="AA760" i="12"/>
  <c r="AB760" i="12"/>
  <c r="AC760" i="12"/>
  <c r="AD760" i="12"/>
  <c r="AE760" i="12"/>
  <c r="AF760" i="12"/>
  <c r="B761" i="12"/>
  <c r="I761" i="12"/>
  <c r="J761" i="12"/>
  <c r="K761" i="12"/>
  <c r="L761" i="12"/>
  <c r="M761" i="12"/>
  <c r="N761" i="12"/>
  <c r="O761" i="12"/>
  <c r="P761" i="12"/>
  <c r="Q761" i="12"/>
  <c r="R761" i="12"/>
  <c r="S761" i="12"/>
  <c r="T761" i="12"/>
  <c r="U761" i="12"/>
  <c r="V761" i="12"/>
  <c r="W761" i="12"/>
  <c r="X761" i="12"/>
  <c r="Y761" i="12"/>
  <c r="Z761" i="12"/>
  <c r="AA761" i="12"/>
  <c r="AB761" i="12"/>
  <c r="AC761" i="12"/>
  <c r="AD761" i="12"/>
  <c r="AE761" i="12"/>
  <c r="AF761" i="12"/>
  <c r="B762" i="12"/>
  <c r="I762" i="12"/>
  <c r="J762" i="12"/>
  <c r="K762" i="12"/>
  <c r="L762" i="12"/>
  <c r="M762" i="12"/>
  <c r="N762" i="12"/>
  <c r="O762" i="12"/>
  <c r="P762" i="12"/>
  <c r="Q762" i="12"/>
  <c r="R762" i="12"/>
  <c r="S762" i="12"/>
  <c r="T762" i="12"/>
  <c r="U762" i="12"/>
  <c r="V762" i="12"/>
  <c r="W762" i="12"/>
  <c r="X762" i="12"/>
  <c r="Y762" i="12"/>
  <c r="Z762" i="12"/>
  <c r="AA762" i="12"/>
  <c r="AB762" i="12"/>
  <c r="AC762" i="12"/>
  <c r="AD762" i="12"/>
  <c r="AE762" i="12"/>
  <c r="AF762" i="12"/>
  <c r="A763" i="12"/>
  <c r="I763" i="12"/>
  <c r="J763" i="12"/>
  <c r="K763" i="12"/>
  <c r="L763" i="12"/>
  <c r="M763" i="12"/>
  <c r="N763" i="12"/>
  <c r="O763" i="12"/>
  <c r="P763" i="12"/>
  <c r="Q763" i="12"/>
  <c r="R763" i="12"/>
  <c r="S763" i="12"/>
  <c r="T763" i="12"/>
  <c r="U763" i="12"/>
  <c r="V763" i="12"/>
  <c r="W763" i="12"/>
  <c r="X763" i="12"/>
  <c r="Y763" i="12"/>
  <c r="Z763" i="12"/>
  <c r="AA763" i="12"/>
  <c r="AB763" i="12"/>
  <c r="AC763" i="12"/>
  <c r="AD763" i="12"/>
  <c r="AE763" i="12"/>
  <c r="AF763" i="12"/>
  <c r="B767" i="12"/>
  <c r="I767" i="12"/>
  <c r="J767" i="12"/>
  <c r="K767" i="12"/>
  <c r="L767" i="12"/>
  <c r="M767" i="12"/>
  <c r="N767" i="12"/>
  <c r="O767" i="12"/>
  <c r="P767" i="12"/>
  <c r="Q767" i="12"/>
  <c r="R767" i="12"/>
  <c r="S767" i="12"/>
  <c r="T767" i="12"/>
  <c r="U767" i="12"/>
  <c r="V767" i="12"/>
  <c r="W767" i="12"/>
  <c r="X767" i="12"/>
  <c r="Y767" i="12"/>
  <c r="Z767" i="12"/>
  <c r="AA767" i="12"/>
  <c r="AB767" i="12"/>
  <c r="AC767" i="12"/>
  <c r="AD767" i="12"/>
  <c r="AE767" i="12"/>
  <c r="AF767" i="12"/>
  <c r="B768" i="12"/>
  <c r="I768" i="12"/>
  <c r="J768" i="12"/>
  <c r="K768" i="12"/>
  <c r="L768" i="12"/>
  <c r="M768" i="12"/>
  <c r="N768" i="12"/>
  <c r="O768" i="12"/>
  <c r="P768" i="12"/>
  <c r="Q768" i="12"/>
  <c r="R768" i="12"/>
  <c r="S768" i="12"/>
  <c r="T768" i="12"/>
  <c r="U768" i="12"/>
  <c r="V768" i="12"/>
  <c r="W768" i="12"/>
  <c r="X768" i="12"/>
  <c r="Y768" i="12"/>
  <c r="Z768" i="12"/>
  <c r="AA768" i="12"/>
  <c r="AB768" i="12"/>
  <c r="AC768" i="12"/>
  <c r="AD768" i="12"/>
  <c r="AE768" i="12"/>
  <c r="AF768" i="12"/>
  <c r="B769" i="12"/>
  <c r="I769" i="12"/>
  <c r="J769" i="12"/>
  <c r="K769" i="12"/>
  <c r="L769" i="12"/>
  <c r="M769" i="12"/>
  <c r="N769" i="12"/>
  <c r="O769" i="12"/>
  <c r="P769" i="12"/>
  <c r="Q769" i="12"/>
  <c r="R769" i="12"/>
  <c r="S769" i="12"/>
  <c r="T769" i="12"/>
  <c r="U769" i="12"/>
  <c r="V769" i="12"/>
  <c r="W769" i="12"/>
  <c r="X769" i="12"/>
  <c r="Y769" i="12"/>
  <c r="Z769" i="12"/>
  <c r="AA769" i="12"/>
  <c r="AB769" i="12"/>
  <c r="AC769" i="12"/>
  <c r="AD769" i="12"/>
  <c r="AE769" i="12"/>
  <c r="AF769" i="12"/>
  <c r="B770" i="12"/>
  <c r="I770" i="12"/>
  <c r="J770" i="12"/>
  <c r="K770" i="12"/>
  <c r="L770" i="12"/>
  <c r="M770" i="12"/>
  <c r="N770" i="12"/>
  <c r="O770" i="12"/>
  <c r="P770" i="12"/>
  <c r="Q770" i="12"/>
  <c r="R770" i="12"/>
  <c r="S770" i="12"/>
  <c r="T770" i="12"/>
  <c r="U770" i="12"/>
  <c r="V770" i="12"/>
  <c r="W770" i="12"/>
  <c r="X770" i="12"/>
  <c r="Y770" i="12"/>
  <c r="Z770" i="12"/>
  <c r="AA770" i="12"/>
  <c r="AB770" i="12"/>
  <c r="AC770" i="12"/>
  <c r="AD770" i="12"/>
  <c r="AE770" i="12"/>
  <c r="AF770" i="12"/>
  <c r="I771" i="12"/>
  <c r="J771" i="12"/>
  <c r="K771" i="12"/>
  <c r="L771" i="12"/>
  <c r="M771" i="12"/>
  <c r="N771" i="12"/>
  <c r="O771" i="12"/>
  <c r="P771" i="12"/>
  <c r="Q771" i="12"/>
  <c r="R771" i="12"/>
  <c r="S771" i="12"/>
  <c r="T771" i="12"/>
  <c r="U771" i="12"/>
  <c r="V771" i="12"/>
  <c r="W771" i="12"/>
  <c r="X771" i="12"/>
  <c r="Y771" i="12"/>
  <c r="Z771" i="12"/>
  <c r="AA771" i="12"/>
  <c r="AB771" i="12"/>
  <c r="AC771" i="12"/>
  <c r="AD771" i="12"/>
  <c r="AE771" i="12"/>
  <c r="AF771" i="12"/>
  <c r="A772" i="12"/>
  <c r="I772" i="12"/>
  <c r="J772" i="12"/>
  <c r="K772" i="12"/>
  <c r="L772" i="12"/>
  <c r="M772" i="12"/>
  <c r="N772" i="12"/>
  <c r="O772" i="12"/>
  <c r="P772" i="12"/>
  <c r="Q772" i="12"/>
  <c r="R772" i="12"/>
  <c r="S772" i="12"/>
  <c r="T772" i="12"/>
  <c r="U772" i="12"/>
  <c r="V772" i="12"/>
  <c r="W772" i="12"/>
  <c r="X772" i="12"/>
  <c r="Y772" i="12"/>
  <c r="Z772" i="12"/>
  <c r="AA772" i="12"/>
  <c r="AB772" i="12"/>
  <c r="AC772" i="12"/>
  <c r="AD772" i="12"/>
  <c r="AE772" i="12"/>
  <c r="AF772" i="12"/>
  <c r="I775" i="12"/>
  <c r="J775" i="12"/>
  <c r="K775" i="12"/>
  <c r="L775" i="12"/>
  <c r="M775" i="12"/>
  <c r="N775" i="12"/>
  <c r="O775" i="12"/>
  <c r="P775" i="12"/>
  <c r="Q775" i="12"/>
  <c r="R775" i="12"/>
  <c r="S775" i="12"/>
  <c r="T775" i="12"/>
  <c r="U775" i="12"/>
  <c r="V775" i="12"/>
  <c r="W775" i="12"/>
  <c r="X775" i="12"/>
  <c r="Y775" i="12"/>
  <c r="Z775" i="12"/>
  <c r="AA775" i="12"/>
  <c r="AB775" i="12"/>
  <c r="AC775" i="12"/>
  <c r="AD775" i="12"/>
  <c r="AE775" i="12"/>
  <c r="AF775" i="12"/>
  <c r="I776" i="12"/>
  <c r="J776" i="12"/>
  <c r="K776" i="12"/>
  <c r="L776" i="12"/>
  <c r="M776" i="12"/>
  <c r="N776" i="12"/>
  <c r="O776" i="12"/>
  <c r="P776" i="12"/>
  <c r="Q776" i="12"/>
  <c r="R776" i="12"/>
  <c r="S776" i="12"/>
  <c r="T776" i="12"/>
  <c r="U776" i="12"/>
  <c r="V776" i="12"/>
  <c r="W776" i="12"/>
  <c r="X776" i="12"/>
  <c r="Y776" i="12"/>
  <c r="Z776" i="12"/>
  <c r="AA776" i="12"/>
  <c r="AB776" i="12"/>
  <c r="AC776" i="12"/>
  <c r="AD776" i="12"/>
  <c r="AE776" i="12"/>
  <c r="AF776" i="12"/>
  <c r="I777" i="12"/>
  <c r="J777" i="12"/>
  <c r="K777" i="12"/>
  <c r="L777" i="12"/>
  <c r="M777" i="12"/>
  <c r="N777" i="12"/>
  <c r="O777" i="12"/>
  <c r="P777" i="12"/>
  <c r="Q777" i="12"/>
  <c r="R777" i="12"/>
  <c r="S777" i="12"/>
  <c r="T777" i="12"/>
  <c r="U777" i="12"/>
  <c r="V777" i="12"/>
  <c r="W777" i="12"/>
  <c r="X777" i="12"/>
  <c r="Y777" i="12"/>
  <c r="Z777" i="12"/>
  <c r="AA777" i="12"/>
  <c r="AB777" i="12"/>
  <c r="AC777" i="12"/>
  <c r="AD777" i="12"/>
  <c r="AE777" i="12"/>
  <c r="AF777" i="12"/>
  <c r="A778" i="12"/>
  <c r="I778" i="12"/>
  <c r="J778" i="12"/>
  <c r="K778" i="12"/>
  <c r="L778" i="12"/>
  <c r="M778" i="12"/>
  <c r="N778" i="12"/>
  <c r="O778" i="12"/>
  <c r="P778" i="12"/>
  <c r="Q778" i="12"/>
  <c r="R778" i="12"/>
  <c r="S778" i="12"/>
  <c r="T778" i="12"/>
  <c r="U778" i="12"/>
  <c r="V778" i="12"/>
  <c r="W778" i="12"/>
  <c r="X778" i="12"/>
  <c r="Y778" i="12"/>
  <c r="Z778" i="12"/>
  <c r="AA778" i="12"/>
  <c r="AB778" i="12"/>
  <c r="AC778" i="12"/>
  <c r="AD778" i="12"/>
  <c r="AE778" i="12"/>
  <c r="AF778" i="12"/>
  <c r="I780" i="12"/>
  <c r="J780" i="12"/>
  <c r="K780" i="12"/>
  <c r="L780" i="12"/>
  <c r="M780" i="12"/>
  <c r="N780" i="12"/>
  <c r="O780" i="12"/>
  <c r="P780" i="12"/>
  <c r="Q780" i="12"/>
  <c r="R780" i="12"/>
  <c r="S780" i="12"/>
  <c r="T780" i="12"/>
  <c r="U780" i="12"/>
  <c r="V780" i="12"/>
  <c r="W780" i="12"/>
  <c r="X780" i="12"/>
  <c r="Y780" i="12"/>
  <c r="Z780" i="12"/>
  <c r="AA780" i="12"/>
  <c r="AB780" i="12"/>
  <c r="AC780" i="12"/>
  <c r="AD780" i="12"/>
  <c r="AE780" i="12"/>
  <c r="AF780" i="12"/>
  <c r="H827" i="12"/>
  <c r="I827" i="12"/>
  <c r="J827" i="12"/>
  <c r="K827" i="12"/>
  <c r="L827" i="12"/>
  <c r="M827" i="12"/>
  <c r="N827" i="12"/>
  <c r="O827" i="12"/>
  <c r="P827" i="12"/>
  <c r="Q827" i="12"/>
  <c r="R827" i="12"/>
  <c r="S827" i="12"/>
  <c r="T827" i="12"/>
  <c r="U827" i="12"/>
  <c r="V827" i="12"/>
  <c r="W827" i="12"/>
  <c r="X827" i="12"/>
  <c r="Y827" i="12"/>
  <c r="Z827" i="12"/>
  <c r="AA827" i="12"/>
  <c r="AB827" i="12"/>
  <c r="AC827" i="12"/>
  <c r="AD827" i="12"/>
  <c r="AE827" i="12"/>
  <c r="AF827" i="12"/>
  <c r="I829" i="12"/>
  <c r="J829" i="12"/>
  <c r="K829" i="12"/>
  <c r="L829" i="12"/>
  <c r="M829" i="12"/>
  <c r="N829" i="12"/>
  <c r="O829" i="12"/>
  <c r="P829" i="12"/>
  <c r="Q829" i="12"/>
  <c r="R829" i="12"/>
  <c r="S829" i="12"/>
  <c r="T829" i="12"/>
  <c r="U829" i="12"/>
  <c r="V829" i="12"/>
  <c r="W829" i="12"/>
  <c r="X829" i="12"/>
  <c r="Y829" i="12"/>
  <c r="Z829" i="12"/>
  <c r="AA829" i="12"/>
  <c r="AB829" i="12"/>
  <c r="AC829" i="12"/>
  <c r="AD829" i="12"/>
  <c r="AE829" i="12"/>
  <c r="AF829" i="12"/>
  <c r="I831" i="12"/>
  <c r="J831" i="12"/>
  <c r="K831" i="12"/>
  <c r="L831" i="12"/>
  <c r="M831" i="12"/>
  <c r="N831" i="12"/>
  <c r="O831" i="12"/>
  <c r="P831" i="12"/>
  <c r="Q831" i="12"/>
  <c r="R831" i="12"/>
  <c r="S831" i="12"/>
  <c r="T831" i="12"/>
  <c r="U831" i="12"/>
  <c r="V831" i="12"/>
  <c r="W831" i="12"/>
  <c r="X831" i="12"/>
  <c r="Y831" i="12"/>
  <c r="Z831" i="12"/>
  <c r="AA831" i="12"/>
  <c r="AB831" i="12"/>
  <c r="AC831" i="12"/>
  <c r="AD831" i="12"/>
  <c r="AE831" i="12"/>
  <c r="AF831" i="12"/>
  <c r="I832" i="12"/>
  <c r="J832" i="12"/>
  <c r="K832" i="12"/>
  <c r="L832" i="12"/>
  <c r="M832" i="12"/>
  <c r="N832" i="12"/>
  <c r="O832" i="12"/>
  <c r="P832" i="12"/>
  <c r="Q832" i="12"/>
  <c r="R832" i="12"/>
  <c r="S832" i="12"/>
  <c r="I833" i="12"/>
  <c r="J833" i="12"/>
  <c r="K833" i="12"/>
  <c r="L833" i="12"/>
  <c r="M833" i="12"/>
  <c r="N833" i="12"/>
  <c r="O833" i="12"/>
  <c r="P833" i="12"/>
  <c r="Q833" i="12"/>
  <c r="R833" i="12"/>
  <c r="S833" i="12"/>
  <c r="I834" i="12"/>
  <c r="J834" i="12"/>
  <c r="K834" i="12"/>
  <c r="L834" i="12"/>
  <c r="M834" i="12"/>
  <c r="N834" i="12"/>
  <c r="O834" i="12"/>
  <c r="P834" i="12"/>
  <c r="Q834" i="12"/>
  <c r="R834" i="12"/>
  <c r="S834" i="12"/>
  <c r="I835" i="12"/>
  <c r="J835" i="12"/>
  <c r="K835" i="12"/>
  <c r="L835" i="12"/>
  <c r="M835" i="12"/>
  <c r="N835" i="12"/>
  <c r="O835" i="12"/>
  <c r="P835" i="12"/>
  <c r="Q835" i="12"/>
  <c r="R835" i="12"/>
  <c r="S835" i="12"/>
  <c r="I840" i="12"/>
  <c r="Q840" i="12"/>
  <c r="E841" i="12"/>
  <c r="G841" i="12"/>
  <c r="T842" i="12"/>
  <c r="U842" i="12"/>
  <c r="V842" i="12"/>
  <c r="W842" i="12"/>
  <c r="X842" i="12"/>
  <c r="Y842" i="12"/>
  <c r="Z842" i="12"/>
  <c r="AA842" i="12"/>
  <c r="AB842" i="12"/>
  <c r="AC842" i="12"/>
  <c r="AD842" i="12"/>
  <c r="AE842" i="12"/>
  <c r="AF842" i="12"/>
  <c r="E843" i="12"/>
  <c r="G843" i="12"/>
  <c r="T843" i="12"/>
  <c r="U843" i="12"/>
  <c r="V843" i="12"/>
  <c r="W843" i="12"/>
  <c r="X843" i="12"/>
  <c r="Y843" i="12"/>
  <c r="Z843" i="12"/>
  <c r="AA843" i="12"/>
  <c r="AB843" i="12"/>
  <c r="AC843" i="12"/>
  <c r="AD843" i="12"/>
  <c r="AE843" i="12"/>
  <c r="AF843" i="12"/>
  <c r="G844" i="12"/>
  <c r="T844" i="12"/>
  <c r="U844" i="12"/>
  <c r="V844" i="12"/>
  <c r="W844" i="12"/>
  <c r="X844" i="12"/>
  <c r="Y844" i="12"/>
  <c r="Z844" i="12"/>
  <c r="AA844" i="12"/>
  <c r="AB844" i="12"/>
  <c r="AC844" i="12"/>
  <c r="AD844" i="12"/>
  <c r="AE844" i="12"/>
  <c r="AF844" i="12"/>
  <c r="I845" i="12"/>
  <c r="T845" i="12"/>
  <c r="U845" i="12"/>
  <c r="V845" i="12"/>
  <c r="W845" i="12"/>
  <c r="X845" i="12"/>
  <c r="Y845" i="12"/>
  <c r="Z845" i="12"/>
  <c r="AA845" i="12"/>
  <c r="AB845" i="12"/>
  <c r="AC845" i="12"/>
  <c r="AD845" i="12"/>
  <c r="AE845" i="12"/>
  <c r="AF845" i="12"/>
  <c r="E846" i="12"/>
  <c r="G846" i="12"/>
  <c r="I846" i="12"/>
  <c r="A848" i="12"/>
  <c r="E849" i="12"/>
  <c r="G849" i="12"/>
  <c r="I849" i="12"/>
  <c r="Q849" i="12"/>
  <c r="E850" i="12"/>
  <c r="G850" i="12"/>
  <c r="I850" i="12"/>
  <c r="Q850" i="12"/>
  <c r="E851" i="12"/>
  <c r="G851" i="12"/>
  <c r="I851" i="12"/>
  <c r="R851" i="12"/>
  <c r="E852" i="12"/>
  <c r="G852" i="12"/>
  <c r="I852" i="12"/>
  <c r="R853" i="12"/>
  <c r="E854" i="12"/>
  <c r="G854" i="12"/>
  <c r="I854" i="12"/>
  <c r="R854" i="12"/>
  <c r="E855" i="12"/>
  <c r="G855" i="12"/>
  <c r="I855" i="12"/>
  <c r="A857" i="12"/>
  <c r="E857" i="12"/>
  <c r="G857" i="12"/>
  <c r="I857" i="12"/>
  <c r="E860" i="12"/>
  <c r="G860" i="12"/>
  <c r="I860" i="12"/>
  <c r="O860" i="12"/>
</calcChain>
</file>

<file path=xl/comments1.xml><?xml version="1.0" encoding="utf-8"?>
<comments xmlns="http://schemas.openxmlformats.org/spreadsheetml/2006/main">
  <authors>
    <author>wcheng</author>
  </authors>
  <commentList>
    <comment ref="O25" authorId="0" shapeId="0">
      <text>
        <r>
          <rPr>
            <b/>
            <sz val="8"/>
            <color indexed="81"/>
            <rFont val="Tahoma"/>
          </rPr>
          <t>wcheng:</t>
        </r>
        <r>
          <rPr>
            <sz val="8"/>
            <color indexed="81"/>
            <rFont val="Tahoma"/>
          </rPr>
          <t xml:space="preserve">
Chevron Nox option ($150) plus Aera VOC and Sox options ($203)</t>
        </r>
      </text>
    </comment>
    <comment ref="P25" authorId="0" shapeId="0">
      <text>
        <r>
          <rPr>
            <b/>
            <sz val="8"/>
            <color indexed="81"/>
            <rFont val="Tahoma"/>
          </rPr>
          <t>wcheng:</t>
        </r>
        <r>
          <rPr>
            <sz val="8"/>
            <color indexed="81"/>
            <rFont val="Tahoma"/>
          </rPr>
          <t xml:space="preserve">
Chevron Nox credits ($3,435) plus commission ($120)</t>
        </r>
      </text>
    </comment>
    <comment ref="Q25" authorId="0" shapeId="0">
      <text>
        <r>
          <rPr>
            <b/>
            <sz val="8"/>
            <color indexed="81"/>
            <rFont val="Tahoma"/>
          </rPr>
          <t>wcheng:</t>
        </r>
        <r>
          <rPr>
            <sz val="8"/>
            <color indexed="81"/>
            <rFont val="Tahoma"/>
          </rPr>
          <t xml:space="preserve">
Occidental option ($698)
plus Aera VOC and Sox credits ($1,823)</t>
        </r>
      </text>
    </comment>
    <comment ref="R25" authorId="0" shapeId="0">
      <text>
        <r>
          <rPr>
            <b/>
            <sz val="8"/>
            <color indexed="81"/>
            <rFont val="Tahoma"/>
          </rPr>
          <t>wcheng:</t>
        </r>
        <r>
          <rPr>
            <sz val="8"/>
            <color indexed="81"/>
            <rFont val="Tahoma"/>
          </rPr>
          <t xml:space="preserve">
Occidental option ($698) plus Aera Nox options ($288) plus Chevron VOC option ($100)
</t>
        </r>
      </text>
    </comment>
    <comment ref="S25" authorId="0" shapeId="0">
      <text>
        <r>
          <rPr>
            <b/>
            <sz val="8"/>
            <color indexed="81"/>
            <rFont val="Tahoma"/>
          </rPr>
          <t>wcheng:</t>
        </r>
        <r>
          <rPr>
            <sz val="8"/>
            <color indexed="81"/>
            <rFont val="Tahoma"/>
          </rPr>
          <t xml:space="preserve">
Chevron VOC credits</t>
        </r>
      </text>
    </comment>
    <comment ref="T25" authorId="0" shapeId="0">
      <text>
        <r>
          <rPr>
            <b/>
            <sz val="8"/>
            <color indexed="81"/>
            <rFont val="Tahoma"/>
          </rPr>
          <t>wcheng:</t>
        </r>
        <r>
          <rPr>
            <sz val="8"/>
            <color indexed="81"/>
            <rFont val="Tahoma"/>
          </rPr>
          <t xml:space="preserve">
Occidental option ($698) plus Aera Nox credits ($2,588)</t>
        </r>
      </text>
    </comment>
    <comment ref="V25" authorId="0" shapeId="0">
      <text>
        <r>
          <rPr>
            <b/>
            <sz val="8"/>
            <color indexed="81"/>
            <rFont val="Tahoma"/>
          </rPr>
          <t>wcheng:</t>
        </r>
        <r>
          <rPr>
            <sz val="8"/>
            <color indexed="81"/>
            <rFont val="Tahoma"/>
          </rPr>
          <t xml:space="preserve">
Occidental credits ($15,897) plus commission ($559)</t>
        </r>
      </text>
    </comment>
  </commentList>
</comments>
</file>

<file path=xl/comments2.xml><?xml version="1.0" encoding="utf-8"?>
<comments xmlns="http://schemas.openxmlformats.org/spreadsheetml/2006/main">
  <authors>
    <author>wcheng</author>
  </authors>
  <commentList>
    <comment ref="L32" authorId="0" shapeId="0">
      <text>
        <r>
          <rPr>
            <b/>
            <sz val="8"/>
            <color indexed="81"/>
            <rFont val="Tahoma"/>
          </rPr>
          <t>wcheng:</t>
        </r>
        <r>
          <rPr>
            <sz val="8"/>
            <color indexed="81"/>
            <rFont val="Tahoma"/>
          </rPr>
          <t xml:space="preserve">
$.06 Mojave charge plus $.022 for lateral</t>
        </r>
      </text>
    </comment>
  </commentList>
</comments>
</file>

<file path=xl/comments3.xml><?xml version="1.0" encoding="utf-8"?>
<comments xmlns="http://schemas.openxmlformats.org/spreadsheetml/2006/main">
  <authors>
    <author>A satisfied Microsoft Office user</author>
  </authors>
  <commentList>
    <comment ref="H40" authorId="0" shapeId="0">
      <text>
        <r>
          <rPr>
            <sz val="8"/>
            <color indexed="81"/>
            <rFont val="Tahoma"/>
          </rPr>
          <t>If life is 2 years or less, do not assume declining balance method.</t>
        </r>
      </text>
    </comment>
  </commentList>
</comments>
</file>

<file path=xl/comments4.xml><?xml version="1.0" encoding="utf-8"?>
<comments xmlns="http://schemas.openxmlformats.org/spreadsheetml/2006/main">
  <authors>
    <author>wcheng</author>
  </authors>
  <commentList>
    <comment ref="O5" authorId="0" shapeId="0">
      <text>
        <r>
          <rPr>
            <b/>
            <sz val="8"/>
            <color indexed="81"/>
            <rFont val="Tahoma"/>
          </rPr>
          <t>wcheng:</t>
        </r>
        <r>
          <rPr>
            <sz val="8"/>
            <color indexed="81"/>
            <rFont val="Tahoma"/>
          </rPr>
          <t xml:space="preserve">
3/00</t>
        </r>
      </text>
    </comment>
  </commentList>
</comments>
</file>

<file path=xl/comments5.xml><?xml version="1.0" encoding="utf-8"?>
<comments xmlns="http://schemas.openxmlformats.org/spreadsheetml/2006/main">
  <authors>
    <author>Dale Furrow</author>
    <author>Julie Lim</author>
  </authors>
  <commentList>
    <comment ref="BU13" authorId="0" shapeId="0">
      <text>
        <r>
          <rPr>
            <b/>
            <sz val="8"/>
            <color indexed="81"/>
            <rFont val="Tahoma"/>
          </rPr>
          <t>Dale Furrow:</t>
        </r>
        <r>
          <rPr>
            <sz val="8"/>
            <color indexed="81"/>
            <rFont val="Tahoma"/>
          </rPr>
          <t xml:space="preserve">
Division by scalar is a result of dividing the take function by outage: corrects the resultant scalar</t>
        </r>
      </text>
    </comment>
    <comment ref="EX14" authorId="1" shapeId="0">
      <text>
        <r>
          <rPr>
            <b/>
            <sz val="8"/>
            <color indexed="81"/>
            <rFont val="Tahoma"/>
          </rPr>
          <t>Julie Lim:</t>
        </r>
        <r>
          <rPr>
            <sz val="8"/>
            <color indexed="81"/>
            <rFont val="Tahoma"/>
          </rPr>
          <t xml:space="preserve">
Hourly Option Only</t>
        </r>
      </text>
    </comment>
    <comment ref="FC14" authorId="1" shapeId="0">
      <text>
        <r>
          <rPr>
            <b/>
            <sz val="8"/>
            <color indexed="81"/>
            <rFont val="Tahoma"/>
          </rPr>
          <t>Julie Lim:</t>
        </r>
        <r>
          <rPr>
            <sz val="8"/>
            <color indexed="81"/>
            <rFont val="Tahoma"/>
          </rPr>
          <t xml:space="preserve">
Hourly Option Only</t>
        </r>
      </text>
    </comment>
    <comment ref="CT15" authorId="0" shapeId="0">
      <text>
        <r>
          <rPr>
            <b/>
            <sz val="8"/>
            <color indexed="81"/>
            <rFont val="Tahoma"/>
          </rPr>
          <t>Dale Furrow:</t>
        </r>
        <r>
          <rPr>
            <sz val="8"/>
            <color indexed="81"/>
            <rFont val="Tahoma"/>
          </rPr>
          <t xml:space="preserve">
Supplemental is an hourly option, not basket
</t>
        </r>
      </text>
    </comment>
    <comment ref="DY16" authorId="0" shapeId="0">
      <text>
        <r>
          <rPr>
            <b/>
            <sz val="8"/>
            <color indexed="81"/>
            <rFont val="Tahoma"/>
          </rPr>
          <t>Dale Furrow:Original Code</t>
        </r>
        <r>
          <rPr>
            <sz val="8"/>
            <color indexed="81"/>
            <rFont val="Tahoma"/>
          </rPr>
          <t xml:space="preserve">
IF(OVolType,IF(AND(CF17&gt;0,CT17&gt;0,DG17&gt;0,CU17&gt;0),newSPRDOPT(CF17,CT17,DA17,0,DG17,CU17,CV17,BT17*365.25,OCallPut,0),0),IF(BS17,(DH17*BH17+DI17*BI17+DJ17*BJ17+DK17*BK17)/BS17,0)) Now Only Hourly Option
</t>
        </r>
      </text>
    </comment>
  </commentList>
</comments>
</file>

<file path=xl/sharedStrings.xml><?xml version="1.0" encoding="utf-8"?>
<sst xmlns="http://schemas.openxmlformats.org/spreadsheetml/2006/main" count="2347" uniqueCount="1273">
  <si>
    <t xml:space="preserve"> 3       Mar</t>
  </si>
  <si>
    <t>Collar Vol Smile</t>
  </si>
  <si>
    <t>Eastern ECAR</t>
  </si>
  <si>
    <t>2B  Eastern ECAR</t>
  </si>
  <si>
    <t>2B</t>
  </si>
  <si>
    <t>12  MICHIGAN-R4</t>
  </si>
  <si>
    <t>Additional Information for Spread Option Pricing</t>
  </si>
  <si>
    <t xml:space="preserve"> 4       Apr</t>
  </si>
  <si>
    <t>Collar Floor Vol Curve</t>
  </si>
  <si>
    <t>Southern Co.</t>
  </si>
  <si>
    <t>3     SERC</t>
  </si>
  <si>
    <t>3</t>
  </si>
  <si>
    <t>14  EAST NY-R1A</t>
  </si>
  <si>
    <t xml:space="preserve"> 5       May</t>
  </si>
  <si>
    <t>Collar Cap Vol Curve</t>
  </si>
  <si>
    <t>FP&amp;L</t>
  </si>
  <si>
    <t>3A  SERC-FLA</t>
  </si>
  <si>
    <t>3A</t>
  </si>
  <si>
    <t>15  EASTERN ECAR-R1A</t>
  </si>
  <si>
    <t>NYMEX Gas Price Adjustments</t>
  </si>
  <si>
    <r>
      <t>Off-Peak Heat Rate</t>
    </r>
    <r>
      <rPr>
        <b/>
        <sz val="8"/>
        <rFont val="Arial"/>
        <family val="2"/>
      </rPr>
      <t xml:space="preserve"> (%OP)</t>
    </r>
  </si>
  <si>
    <t xml:space="preserve"> 6       Jun</t>
  </si>
  <si>
    <t>Gas Price Curve</t>
  </si>
  <si>
    <t>TVA</t>
  </si>
  <si>
    <t>3B  TVA</t>
  </si>
  <si>
    <t>3B</t>
  </si>
  <si>
    <t>OTHER</t>
  </si>
  <si>
    <t>Override</t>
  </si>
  <si>
    <r>
      <t>Wheeling Charge</t>
    </r>
    <r>
      <rPr>
        <b/>
        <sz val="8"/>
        <rFont val="Arial"/>
        <family val="2"/>
      </rPr>
      <t xml:space="preserve"> ($/MWh)</t>
    </r>
  </si>
  <si>
    <t xml:space="preserve"> 7       Jul</t>
  </si>
  <si>
    <t>Gas Vol Curve</t>
  </si>
  <si>
    <t>MAIN</t>
  </si>
  <si>
    <t>4     MAIN</t>
  </si>
  <si>
    <t>4</t>
  </si>
  <si>
    <r>
      <t>O&amp;M Cost</t>
    </r>
    <r>
      <rPr>
        <b/>
        <sz val="8"/>
        <rFont val="Arial"/>
        <family val="2"/>
      </rPr>
      <t xml:space="preserve"> ($/MWh)</t>
    </r>
  </si>
  <si>
    <t xml:space="preserve"> 8       Aug</t>
  </si>
  <si>
    <t>Peak-Off-Peak Corr Over</t>
  </si>
  <si>
    <t>NSP</t>
  </si>
  <si>
    <t>4A  MAPP</t>
  </si>
  <si>
    <t>4A</t>
  </si>
  <si>
    <t>OMICRON Code</t>
  </si>
  <si>
    <t>OMICRON Region</t>
  </si>
  <si>
    <t xml:space="preserve"> 9       Sep</t>
  </si>
  <si>
    <t>Power-Gas Corr Over</t>
  </si>
  <si>
    <t>Southern MAPP</t>
  </si>
  <si>
    <t>4B  Southern MAPP</t>
  </si>
  <si>
    <t>4B</t>
  </si>
  <si>
    <t>NG_OMICRON_1</t>
  </si>
  <si>
    <t>Louisiana - Onshore South</t>
  </si>
  <si>
    <t>10      Oct</t>
  </si>
  <si>
    <t>COMED</t>
  </si>
  <si>
    <t>4C  COMED</t>
  </si>
  <si>
    <t>4C</t>
  </si>
  <si>
    <t>NG_OMICRON_2</t>
  </si>
  <si>
    <t>HSC - East Texas - Katy</t>
  </si>
  <si>
    <t>11      Nov</t>
  </si>
  <si>
    <t>ENTERGY</t>
  </si>
  <si>
    <t>5     SPP</t>
  </si>
  <si>
    <t>5</t>
  </si>
  <si>
    <t>NG_OMICRON_3</t>
  </si>
  <si>
    <t>Oklahoma - Mid Continent</t>
  </si>
  <si>
    <t>12      Dec</t>
  </si>
  <si>
    <t>Associated</t>
  </si>
  <si>
    <t>5A  Associated</t>
  </si>
  <si>
    <t>5A</t>
  </si>
  <si>
    <t>NG_OMICRON_4</t>
  </si>
  <si>
    <t>Permian Basin - San Juan Basin</t>
  </si>
  <si>
    <t>Month Knock-Out Table</t>
  </si>
  <si>
    <t>HL&amp;P</t>
  </si>
  <si>
    <t>6     ERCOT</t>
  </si>
  <si>
    <t>6</t>
  </si>
  <si>
    <t>NG_OMICRON_5</t>
  </si>
  <si>
    <t>Northern Ventura - Northern Demarc</t>
  </si>
  <si>
    <t>Total</t>
  </si>
  <si>
    <t>Palo Verde</t>
  </si>
  <si>
    <t>7     WSCC-S</t>
  </si>
  <si>
    <t>7</t>
  </si>
  <si>
    <t>NG_OMICRON_6</t>
  </si>
  <si>
    <t>Market Area:  Northeast</t>
  </si>
  <si>
    <t>COB</t>
  </si>
  <si>
    <t>8     WSCC-N</t>
  </si>
  <si>
    <t>8</t>
  </si>
  <si>
    <t>NG_OMICRON_7</t>
  </si>
  <si>
    <t>Appalachia</t>
  </si>
  <si>
    <t>Mid Columbia</t>
  </si>
  <si>
    <t>9     Mid Columbia</t>
  </si>
  <si>
    <t>NG_OMICRON_8</t>
  </si>
  <si>
    <t>Rockies</t>
  </si>
  <si>
    <t>(UNDISCOUNTED)</t>
  </si>
  <si>
    <t>15-Day</t>
  </si>
  <si>
    <t>Number Of Various Days</t>
  </si>
  <si>
    <t>MWHs</t>
  </si>
  <si>
    <t>Effective</t>
  </si>
  <si>
    <t>Yrs</t>
  </si>
  <si>
    <t>Power Vols</t>
  </si>
  <si>
    <t>Undiscounted Option Premium</t>
  </si>
  <si>
    <t>Undiscounted Power Delta</t>
  </si>
  <si>
    <t>Delivery</t>
  </si>
  <si>
    <t>Possible</t>
  </si>
  <si>
    <t>Deal</t>
  </si>
  <si>
    <t>Interest</t>
  </si>
  <si>
    <t>Discount</t>
  </si>
  <si>
    <t>Power</t>
  </si>
  <si>
    <t>Between Deal Start And End</t>
  </si>
  <si>
    <t>Taken</t>
  </si>
  <si>
    <t>to</t>
  </si>
  <si>
    <t>Before Vol Smile Adjustment</t>
  </si>
  <si>
    <t>Holiday</t>
  </si>
  <si>
    <t>Starts</t>
  </si>
  <si>
    <t>Ends</t>
  </si>
  <si>
    <t>Rate</t>
  </si>
  <si>
    <t>Factor</t>
  </si>
  <si>
    <t>Corr</t>
  </si>
  <si>
    <t>Week</t>
  </si>
  <si>
    <t>Exp.</t>
  </si>
  <si>
    <t>-Hol</t>
  </si>
  <si>
    <t>Weekday</t>
  </si>
  <si>
    <t>Ordered Saturday Hourly Prices for the First Year</t>
  </si>
  <si>
    <t>Ordered Sunday Hourly Prices for the First Year</t>
  </si>
  <si>
    <t>Peak Sat</t>
  </si>
  <si>
    <t>Peak Sun</t>
  </si>
  <si>
    <t>Peak,Sat</t>
  </si>
  <si>
    <t>Peak,Sun</t>
  </si>
  <si>
    <t>Peak,Week</t>
  </si>
  <si>
    <t>No</t>
  </si>
  <si>
    <t>Discounting</t>
  </si>
  <si>
    <t>Volatilities</t>
  </si>
  <si>
    <t>Availability</t>
  </si>
  <si>
    <t>Spread Option Section</t>
  </si>
  <si>
    <t>1D   East Hub</t>
  </si>
  <si>
    <t>1D</t>
  </si>
  <si>
    <t>1E    West Hub</t>
  </si>
  <si>
    <t>1E</t>
  </si>
  <si>
    <t>1F   Firm LD</t>
  </si>
  <si>
    <t>1F</t>
  </si>
  <si>
    <t>PEAK</t>
  </si>
  <si>
    <t>OFF-PEAK</t>
  </si>
  <si>
    <t>Prudent</t>
  </si>
  <si>
    <t>Capacity</t>
  </si>
  <si>
    <t>Start</t>
  </si>
  <si>
    <t>End</t>
  </si>
  <si>
    <t>($/MWH)</t>
  </si>
  <si>
    <t>Daily Price Profile</t>
  </si>
  <si>
    <t>Jan</t>
  </si>
  <si>
    <t>Feb</t>
  </si>
  <si>
    <t>Mar</t>
  </si>
  <si>
    <t>Apr</t>
  </si>
  <si>
    <t>May</t>
  </si>
  <si>
    <t>Jun</t>
  </si>
  <si>
    <t>Jul</t>
  </si>
  <si>
    <t>Aug</t>
  </si>
  <si>
    <t>Sep</t>
  </si>
  <si>
    <t>Oct</t>
  </si>
  <si>
    <t>Nov</t>
  </si>
  <si>
    <t>Dec</t>
  </si>
  <si>
    <t>HR</t>
  </si>
  <si>
    <t>P/OP</t>
  </si>
  <si>
    <t>Volatility Smile</t>
  </si>
  <si>
    <t>Price Sensitivies</t>
  </si>
  <si>
    <t>SL</t>
  </si>
  <si>
    <t>Fraction:</t>
  </si>
  <si>
    <t>Months:</t>
  </si>
  <si>
    <t>Fiscal Year End:</t>
  </si>
  <si>
    <t>NO</t>
  </si>
  <si>
    <t>Pricing Date</t>
  </si>
  <si>
    <t>Volume Escalator</t>
  </si>
  <si>
    <t>Monthly Power Volume Override</t>
  </si>
  <si>
    <t>Monthly</t>
  </si>
  <si>
    <t>Blended</t>
  </si>
  <si>
    <t>Blue Cells Are Controlled By Option Buttons.</t>
  </si>
  <si>
    <t>Curve Date</t>
  </si>
  <si>
    <t>Option Take</t>
  </si>
  <si>
    <t>Month</t>
  </si>
  <si>
    <t>Regular</t>
  </si>
  <si>
    <t>Diff.Opt.</t>
  </si>
  <si>
    <t>Peak / Off-Peak</t>
  </si>
  <si>
    <t>Hour</t>
  </si>
  <si>
    <t>Mon-Fri</t>
  </si>
  <si>
    <t>Sat</t>
  </si>
  <si>
    <t>Sun</t>
  </si>
  <si>
    <t>Hol</t>
  </si>
  <si>
    <t>Bid</t>
  </si>
  <si>
    <t>Offer</t>
  </si>
  <si>
    <t>Vol</t>
  </si>
  <si>
    <t>Names</t>
  </si>
  <si>
    <t>Week Definition</t>
  </si>
  <si>
    <t>Peak Period</t>
  </si>
  <si>
    <t>Power Region</t>
  </si>
  <si>
    <t>Price Escalator</t>
  </si>
  <si>
    <t>Knock-Out</t>
  </si>
  <si>
    <t>Volume</t>
  </si>
  <si>
    <t>Price</t>
  </si>
  <si>
    <t>Volume Monthly Over</t>
  </si>
  <si>
    <t>Off-Peak Period</t>
  </si>
  <si>
    <t>Basis</t>
  </si>
  <si>
    <t>Hours:</t>
  </si>
  <si>
    <t xml:space="preserve">  Week Definition</t>
  </si>
  <si>
    <t>Diff. Opt. Volume Flag</t>
  </si>
  <si>
    <t>Volume Escalation</t>
  </si>
  <si>
    <t>Popular Hours Used Table</t>
  </si>
  <si>
    <t>Mon-Sun, 7x24</t>
  </si>
  <si>
    <t>Mon-Sat, 6x16</t>
  </si>
  <si>
    <t>6x8+24</t>
  </si>
  <si>
    <t>Mon-Fri, 5x16</t>
  </si>
  <si>
    <t>5x8+2x24</t>
  </si>
  <si>
    <t>Mon-Sun, 7x16</t>
  </si>
  <si>
    <t>Mon-Sun, 7x8</t>
  </si>
  <si>
    <t>Custom</t>
  </si>
  <si>
    <t>Start Date</t>
  </si>
  <si>
    <t>Custom Week</t>
  </si>
  <si>
    <t>Hours Used</t>
  </si>
  <si>
    <t>Price Escalation</t>
  </si>
  <si>
    <t>100-2400</t>
  </si>
  <si>
    <t>End Date</t>
  </si>
  <si>
    <t>Correlations</t>
  </si>
  <si>
    <t>Most Expensive Hours</t>
  </si>
  <si>
    <t>Saturday</t>
  </si>
  <si>
    <t xml:space="preserve"> </t>
  </si>
  <si>
    <t>Term in Years</t>
  </si>
  <si>
    <t>Peak-Off Peak</t>
  </si>
  <si>
    <t>TakeType</t>
  </si>
  <si>
    <t>Sunday</t>
  </si>
  <si>
    <t>Power-Gas</t>
  </si>
  <si>
    <t>Combine Takes</t>
  </si>
  <si>
    <t>Holidays</t>
  </si>
  <si>
    <t>ECT</t>
  </si>
  <si>
    <t>Swap Buy/Sell</t>
  </si>
  <si>
    <t>Swaption Buy/Sell</t>
  </si>
  <si>
    <t>Week Definition Table</t>
  </si>
  <si>
    <t>Included?</t>
  </si>
  <si>
    <t>Regular Period</t>
  </si>
  <si>
    <t>Basis Table</t>
  </si>
  <si>
    <t>Pop Hrs Feed</t>
  </si>
  <si>
    <t>Swaption Call/Put</t>
  </si>
  <si>
    <t>Swaption Price Curve</t>
  </si>
  <si>
    <t>Region</t>
  </si>
  <si>
    <t>#</t>
  </si>
  <si>
    <t>Option Buy/Sell</t>
  </si>
  <si>
    <t>No Basis</t>
  </si>
  <si>
    <t>Option Call/Put</t>
  </si>
  <si>
    <t>1  BUSBAR</t>
  </si>
  <si>
    <t>Monthly Option Exp. Date Adjustment</t>
  </si>
  <si>
    <t>Option Price Curve</t>
  </si>
  <si>
    <t>2  MID COLUMBIA</t>
  </si>
  <si>
    <r>
      <t>Shift Back By</t>
    </r>
    <r>
      <rPr>
        <b/>
        <sz val="9"/>
        <color indexed="8"/>
        <rFont val="Arial"/>
        <family val="2"/>
      </rPr>
      <t xml:space="preserve"> (Business Days)</t>
    </r>
  </si>
  <si>
    <t>Option Vol Curve</t>
  </si>
  <si>
    <t>Region Table</t>
  </si>
  <si>
    <t>3  MIDWAY</t>
  </si>
  <si>
    <t>Option Vol Type</t>
  </si>
  <si>
    <t>Delivery Point</t>
  </si>
  <si>
    <t>4  MEAD</t>
  </si>
  <si>
    <t>Monthly Peak Vol Over</t>
  </si>
  <si>
    <t>Intra-</t>
  </si>
  <si>
    <t>Outages</t>
  </si>
  <si>
    <t>Planned Outages</t>
  </si>
  <si>
    <t>Coal</t>
  </si>
  <si>
    <t>($/mmbtu)</t>
  </si>
  <si>
    <t>Min</t>
  </si>
  <si>
    <t>Sup</t>
  </si>
  <si>
    <t>Min Peak</t>
  </si>
  <si>
    <t>Sup Peak</t>
  </si>
  <si>
    <t>=IF(OVolType,IF(AND(CL17&gt;0,EA17&gt;0,EM17&gt;0,EB17&gt;0),newSPRDOPT(CL17,EA17,EH17,0,EM17,EB17,EC17,BZ17*365.25,OCallPut,1),0),IF(CF17,(ES17*CA17+ET17*CB17+EU17*CC17+EV17*CE17)/CF17,0))</t>
  </si>
  <si>
    <t>=IF(AND(CG17&gt;0,DW17&gt;0,EI17&gt;0,EB17&gt;0),newSPRDOPT(CG17,DW17,ED17,0,EI17,EB17,EC17,BZ17*365.25,OCallPut,2),0)</t>
  </si>
  <si>
    <t>=IF(AND(CH17&gt;0,DX17&gt;0,EJ17&gt;0,EB17&gt;0),newSPRDOPT(CH17,DX17,EE17,0,EJ17,EB17,EC17,BZ17*365.25,OCallPut,2),0)</t>
  </si>
  <si>
    <t>=IF(AND(CI17&gt;0,DY17&gt;0,EK17&gt;0,EB17&gt;0),newSPRDOPT(CI17,DY17,EF17,0,EK17,EB17,EC17,BZ17*365.25,OCallPut,2),0)</t>
  </si>
  <si>
    <t>=IF(AND(CK17&gt;0,DZ17&gt;0,EL17&gt;0,EB17&gt;0),newSPRDOPT(CK17,DZ17,EG17,0,EL17,EB17,EC17,BZ17*365.25,OCallPut,2),0)</t>
  </si>
  <si>
    <t>=IF(OVolType,IF(AND(CL17&gt;0,EA17&gt;0,EM17&gt;0,EB17&gt;0),newSPRDOPT(CL17,EA17,EH17,0,EM17,EB17,EC17,BZ17*365.25,OCallPut,2),0),IF(CF17,(EX17*CA17+EY17*CB17+EZ17*CC17+FA17*CE17)/CF17,0))</t>
  </si>
  <si>
    <t>=IF(AND(CG17&gt;0,DW17&gt;0,EI17&gt;0,EB17&gt;0),newSPRDOPT(CG17,DW17,ED17,0,EI17,EB17,EC17,BZ17*365.25,OCallPut,1),0)</t>
  </si>
  <si>
    <t>Minimum</t>
  </si>
  <si>
    <t>=IF(AND(CH17&gt;0,DX17&gt;0,EJ17&gt;0,EB17&gt;0),newSPRDOPT(CH17,DX17,EE17,0,EJ17,EB17,EC17,BZ17*365.25,OCallPut,1),0)</t>
  </si>
  <si>
    <t>=IF(AND(CI17&gt;0,DY17&gt;0,EK17&gt;0,EB17&gt;0),newSPRDOPT(CI17,DY17,EF17,0,EK17,EB17,EC17,BZ17*365.25,OCallPut,1),0)</t>
  </si>
  <si>
    <t>=IF(AND(CK17&gt;0,DZ17&gt;0,EL17&gt;0,EB17&gt;0),newSPRDOPT(CK17,DZ17,EG17,0,EL17,EB17,EC17,BZ17*365.25,OCallPut,1),0)</t>
  </si>
  <si>
    <t>Supplemental</t>
  </si>
  <si>
    <t>NP-15</t>
  </si>
  <si>
    <t>10   NP-15</t>
  </si>
  <si>
    <t>NG_OMICRON_9</t>
  </si>
  <si>
    <t>Alberta - Sumas</t>
  </si>
  <si>
    <t>SP-15</t>
  </si>
  <si>
    <t>11    SP-15</t>
  </si>
  <si>
    <t>NG_OMICRON_10</t>
  </si>
  <si>
    <t>Sithe Curve (ANR/LA_ONSHO)</t>
  </si>
  <si>
    <t>First Month</t>
  </si>
  <si>
    <t>First Year</t>
  </si>
  <si>
    <t>Calculation Mode:</t>
  </si>
  <si>
    <t>POWER.XLS</t>
  </si>
  <si>
    <t>Int Rates Curve</t>
  </si>
  <si>
    <t>Forward Power Price Curves, Volatilities and Price Profile</t>
  </si>
  <si>
    <t>Model Volatility</t>
  </si>
  <si>
    <t>Please note that as of now, Omicron bid and offer vols are derived from mid using fixed 7% spreads.</t>
  </si>
  <si>
    <t>Smile Table</t>
  </si>
  <si>
    <t>Nymex Price</t>
  </si>
  <si>
    <t>Adjusted</t>
  </si>
  <si>
    <t>Strike-Mid</t>
  </si>
  <si>
    <t>Smile</t>
  </si>
  <si>
    <t>Spreads</t>
  </si>
  <si>
    <t>Change in</t>
  </si>
  <si>
    <t>Mid</t>
  </si>
  <si>
    <t>Tenths of 1c</t>
  </si>
  <si>
    <t>Here, knocking-out of months is not in force. If some months are excluded, this will be taken into account on the "CALC" page. Hours are numbered from the most to the least expensive.</t>
  </si>
  <si>
    <t>Price Rankings For Daily Takes (Initialized When a New Curve Is Fetched)</t>
  </si>
  <si>
    <t>Regular MegaWatts Available For Firm Take On Different Days</t>
  </si>
  <si>
    <t>Effective Scalars</t>
  </si>
  <si>
    <t>MegaWatts Available For Optional Take On Different Days</t>
  </si>
  <si>
    <t>Weekdays</t>
  </si>
  <si>
    <t>Off-</t>
  </si>
  <si>
    <t>for 100% Take</t>
  </si>
  <si>
    <t>Max. MW</t>
  </si>
  <si>
    <t>Month\Ranking</t>
  </si>
  <si>
    <t>Firm</t>
  </si>
  <si>
    <t>Opt</t>
  </si>
  <si>
    <t>Saturdays</t>
  </si>
  <si>
    <t>Ordered Hourly Scalars (Initialized When a New Curve Is Fetched)</t>
  </si>
  <si>
    <t>Sundays</t>
  </si>
  <si>
    <t>Ordered Weekday Hourly Prices for the First Year</t>
  </si>
  <si>
    <t>Lookup</t>
  </si>
  <si>
    <t>First-Year Mid Prices</t>
  </si>
  <si>
    <t>Date</t>
  </si>
  <si>
    <t>Be Careful with Copying Rows, Formulas in the Grey Cells Are "Special".</t>
  </si>
  <si>
    <t>($)</t>
  </si>
  <si>
    <t>First Month of Price Curve:</t>
  </si>
  <si>
    <t>Calendar</t>
  </si>
  <si>
    <t>PJM West</t>
  </si>
  <si>
    <t>Debt Service Reserve</t>
  </si>
  <si>
    <t>ENRON WEST DESK - POWER</t>
  </si>
  <si>
    <t>Project Name</t>
  </si>
  <si>
    <t xml:space="preserve">Peak </t>
  </si>
  <si>
    <t>Peak Only</t>
  </si>
  <si>
    <t>Correlation Overrides</t>
  </si>
  <si>
    <t>Option Vol Smile</t>
  </si>
  <si>
    <t>Con. Edison</t>
  </si>
  <si>
    <t>1      NY East</t>
  </si>
  <si>
    <t>1</t>
  </si>
  <si>
    <t>5  PALO VERDE</t>
  </si>
  <si>
    <t>Option Type</t>
  </si>
  <si>
    <t>Monthly Off-Peak Vol Over</t>
  </si>
  <si>
    <t>Peak-</t>
  </si>
  <si>
    <t>Power-</t>
  </si>
  <si>
    <t>Collar BCSF/SCBF</t>
  </si>
  <si>
    <t>1A   MACC-PJM</t>
  </si>
  <si>
    <t>1A</t>
  </si>
  <si>
    <t>6  FOUR CORNERS</t>
  </si>
  <si>
    <t>Period Feed</t>
  </si>
  <si>
    <t>Daily Peak Vol Over</t>
  </si>
  <si>
    <t>Volatility</t>
  </si>
  <si>
    <t>Off-Peak</t>
  </si>
  <si>
    <t>Collar Specification</t>
  </si>
  <si>
    <t>Card Street</t>
  </si>
  <si>
    <t>1B   NEPOOL</t>
  </si>
  <si>
    <t>1B</t>
  </si>
  <si>
    <t>7  CRAIG</t>
  </si>
  <si>
    <t>24 Hrs</t>
  </si>
  <si>
    <t>Price Curve to Use</t>
  </si>
  <si>
    <t>Daily Off-Peak Vol Over</t>
  </si>
  <si>
    <t>Scalars</t>
  </si>
  <si>
    <t>Correlation</t>
  </si>
  <si>
    <t>Collar Bid-Offer Vol Spread</t>
  </si>
  <si>
    <t>NY West</t>
  </si>
  <si>
    <t>1C   NY West</t>
  </si>
  <si>
    <t>1C</t>
  </si>
  <si>
    <t>8  NW DELV</t>
  </si>
  <si>
    <t>Peak</t>
  </si>
  <si>
    <t>Vol Curve to Use</t>
  </si>
  <si>
    <t xml:space="preserve"> 1       Jan</t>
  </si>
  <si>
    <t>Collar Vol Type</t>
  </si>
  <si>
    <t>ECAR</t>
  </si>
  <si>
    <t>2     ECAR</t>
  </si>
  <si>
    <t>2</t>
  </si>
  <si>
    <t>10  Into EEI-R4</t>
  </si>
  <si>
    <t xml:space="preserve"> Vol Smile</t>
  </si>
  <si>
    <t xml:space="preserve"> 2       Feb</t>
  </si>
  <si>
    <t>Collar Price Curve</t>
  </si>
  <si>
    <t>Into AEP</t>
  </si>
  <si>
    <t>2A  Into AEP</t>
  </si>
  <si>
    <t>2A</t>
  </si>
  <si>
    <t>11  WISCONSIN-R4</t>
  </si>
  <si>
    <t>Hourly Override</t>
  </si>
  <si>
    <t>Hourly Net Capacity (MW)</t>
  </si>
  <si>
    <t>Standard Load Take Model</t>
  </si>
  <si>
    <t>Forced Outages</t>
  </si>
  <si>
    <t>Swap Take</t>
  </si>
  <si>
    <r>
      <t>Incre.Heat Rate (Btu/kWh)</t>
    </r>
    <r>
      <rPr>
        <b/>
        <sz val="8"/>
        <rFont val="Arial"/>
        <family val="2"/>
      </rPr>
      <t xml:space="preserve"> </t>
    </r>
  </si>
  <si>
    <t>Undiscounted Coal Delta</t>
  </si>
  <si>
    <t>Net Contracted Take (MW)</t>
  </si>
  <si>
    <t>(MW)</t>
  </si>
  <si>
    <t>Contracted Power</t>
  </si>
  <si>
    <t>MWHs Bought from Market</t>
  </si>
  <si>
    <t>Excess Power Produced from Plant Sold to Market</t>
  </si>
  <si>
    <t>Power Bought from Market to Fulfill Contract</t>
  </si>
  <si>
    <t xml:space="preserve">Power Produced from Plant to Fulfill Contract </t>
  </si>
  <si>
    <t>Contract</t>
  </si>
  <si>
    <t>Contract Price</t>
  </si>
  <si>
    <t>Minimum Take (% of Total)</t>
  </si>
  <si>
    <t>MWHs Contracted</t>
  </si>
  <si>
    <t>Strike Price</t>
  </si>
  <si>
    <t>Blended Unit</t>
  </si>
  <si>
    <t>Revenues</t>
  </si>
  <si>
    <t>Market Sales</t>
  </si>
  <si>
    <t>Contract Sales</t>
  </si>
  <si>
    <t>Cost</t>
  </si>
  <si>
    <t>Sales</t>
  </si>
  <si>
    <t>Contract Volumes</t>
  </si>
  <si>
    <t>Market Volumes</t>
  </si>
  <si>
    <t>Market Price</t>
  </si>
  <si>
    <t>O&amp;M Price</t>
  </si>
  <si>
    <t>O&amp;M Cost</t>
  </si>
  <si>
    <t>Power Cost</t>
  </si>
  <si>
    <t>Volumes</t>
  </si>
  <si>
    <t>(MWHs)</t>
  </si>
  <si>
    <t>Blended Price</t>
  </si>
  <si>
    <t>(mmbtu)</t>
  </si>
  <si>
    <t>Market Purchases</t>
  </si>
  <si>
    <t>O&amp;M Vol</t>
  </si>
  <si>
    <t>Amortization of Initial + Subsequent Debt</t>
  </si>
  <si>
    <t>Year</t>
  </si>
  <si>
    <t xml:space="preserve">PPMT Amortization of Intial Debt </t>
  </si>
  <si>
    <t>Total CAPEX</t>
  </si>
  <si>
    <t>Debt Financed</t>
  </si>
  <si>
    <t>Equity Placement</t>
  </si>
  <si>
    <t>Debt Placement</t>
  </si>
  <si>
    <t>Interest Rate</t>
  </si>
  <si>
    <t>Years to Amortize</t>
  </si>
  <si>
    <t>Amortization: Debt Associated w/ Subsequent CAPEX</t>
  </si>
  <si>
    <t>Year 1 Amortization</t>
  </si>
  <si>
    <t>Year2 Amortization</t>
  </si>
  <si>
    <t>Year 3 Amortization</t>
  </si>
  <si>
    <t>Year 4 Amortization</t>
  </si>
  <si>
    <t>Year 5 Amortization</t>
  </si>
  <si>
    <t>Year 6 Amortization</t>
  </si>
  <si>
    <t>Total Amortization</t>
  </si>
  <si>
    <t>Sources and Uses: Initial Capital Structure</t>
  </si>
  <si>
    <t>Sources and Uses: Scrubber Purchase</t>
  </si>
  <si>
    <t>Total Flows (Initial</t>
  </si>
  <si>
    <t>Sources:</t>
  </si>
  <si>
    <t>Uses:</t>
  </si>
  <si>
    <t xml:space="preserve"> + Subsequent Financing</t>
  </si>
  <si>
    <t>Purchase Price</t>
  </si>
  <si>
    <t>Total Debt</t>
  </si>
  <si>
    <t>Equity</t>
  </si>
  <si>
    <t>Fees</t>
  </si>
  <si>
    <t>Total Equity</t>
  </si>
  <si>
    <t>Capitalized Interest</t>
  </si>
  <si>
    <t>Total Capital</t>
  </si>
  <si>
    <t>Working Capital</t>
  </si>
  <si>
    <t>Check</t>
  </si>
  <si>
    <t>Proof</t>
  </si>
  <si>
    <t>Subsequent Project Purchase Price/Capital Structure</t>
  </si>
  <si>
    <t>Funding: Purchase Price</t>
  </si>
  <si>
    <t>After-Tax</t>
  </si>
  <si>
    <t>Debt Financed Purchase Price</t>
  </si>
  <si>
    <t>Amortization</t>
  </si>
  <si>
    <t>Const. Payment</t>
  </si>
  <si>
    <t>Placement Fee</t>
  </si>
  <si>
    <t>Grace Period</t>
  </si>
  <si>
    <t>Yes</t>
  </si>
  <si>
    <t>Total Initial Fees</t>
  </si>
  <si>
    <t>Development Cost</t>
  </si>
  <si>
    <t>Transition Cost</t>
  </si>
  <si>
    <t>Initial Working Capital Calculation</t>
  </si>
  <si>
    <t>First Year Revenues</t>
  </si>
  <si>
    <t>First Year Variable Expenses</t>
  </si>
  <si>
    <t>ADJUSTED WORKING CAPITAL INPUT:</t>
  </si>
  <si>
    <t>$</t>
  </si>
  <si>
    <t>Operating Cash Balance  (Days)</t>
  </si>
  <si>
    <t>Accounts Receivable  (Days)</t>
  </si>
  <si>
    <t>Inventories  (x)</t>
  </si>
  <si>
    <t>Other Current Assets  ($)</t>
  </si>
  <si>
    <t>Accounts Payable  (Days)</t>
  </si>
  <si>
    <t>Accrued Expenses  (Days)</t>
  </si>
  <si>
    <t>Other Payables  ($)</t>
  </si>
  <si>
    <t>Total Net Days</t>
  </si>
  <si>
    <t>Total Asset Days</t>
  </si>
  <si>
    <t>Total Liability Days</t>
  </si>
  <si>
    <t>Capital Cost</t>
  </si>
  <si>
    <t xml:space="preserve"> Cap Interest</t>
  </si>
  <si>
    <t xml:space="preserve">Project Development Cost </t>
  </si>
  <si>
    <t>Year 1</t>
  </si>
  <si>
    <t>Loan Rate</t>
  </si>
  <si>
    <t>Year 2</t>
  </si>
  <si>
    <t>Drawdown Fee (Basis Points)</t>
  </si>
  <si>
    <t>Year 3</t>
  </si>
  <si>
    <t>Monthly Rate</t>
  </si>
  <si>
    <t>Year 4</t>
  </si>
  <si>
    <t>Term (Months)</t>
  </si>
  <si>
    <t>Drawdown Schedule</t>
  </si>
  <si>
    <t xml:space="preserve">   0=Straightline, 1=Custom</t>
  </si>
  <si>
    <t>Calculated IDC</t>
  </si>
  <si>
    <t>Percent</t>
  </si>
  <si>
    <t>Cumulative</t>
  </si>
  <si>
    <t>Straight-Line</t>
  </si>
  <si>
    <t>Drawndown</t>
  </si>
  <si>
    <t>Principal</t>
  </si>
  <si>
    <t>Drawdown</t>
  </si>
  <si>
    <t>Scrubber Systems</t>
  </si>
  <si>
    <t>Periodic Overhauls</t>
  </si>
  <si>
    <t>Gross Adjusment Factor</t>
  </si>
  <si>
    <t>Grand Total</t>
  </si>
  <si>
    <t>)</t>
  </si>
  <si>
    <t>Scheduled Capital Expenditures</t>
  </si>
  <si>
    <t>Total Asset</t>
  </si>
  <si>
    <t>Depreciable Assets</t>
  </si>
  <si>
    <t>Book Value</t>
  </si>
  <si>
    <t>Fixed Assets</t>
  </si>
  <si>
    <t>Scrubber</t>
  </si>
  <si>
    <t>Asset 3</t>
  </si>
  <si>
    <t>Asset 4</t>
  </si>
  <si>
    <t>Asset 5</t>
  </si>
  <si>
    <t>Asset 6</t>
  </si>
  <si>
    <t>Asset 7</t>
  </si>
  <si>
    <t>Asset 8</t>
  </si>
  <si>
    <t>Asset 9</t>
  </si>
  <si>
    <t>Asset 10</t>
  </si>
  <si>
    <t xml:space="preserve">   Total Fixed Assets</t>
  </si>
  <si>
    <t>Capitalized Construction Interest/Intangibles</t>
  </si>
  <si>
    <t>Funding 1</t>
  </si>
  <si>
    <t>Rate:</t>
  </si>
  <si>
    <t>Funding 2</t>
  </si>
  <si>
    <t xml:space="preserve">Subtotal  </t>
  </si>
  <si>
    <t>Non-Depreciable Assets (Land)</t>
  </si>
  <si>
    <t>Total Capital Expenditures</t>
  </si>
  <si>
    <t>Oil &amp; Gas Prices</t>
  </si>
  <si>
    <t>Depreciation &amp; Amortization Parameters</t>
  </si>
  <si>
    <t>Oil &amp; Gas Reserve Information</t>
  </si>
  <si>
    <t>Hedging Profits/(Losses)</t>
  </si>
  <si>
    <t>Book Capitalization and Depreciation</t>
  </si>
  <si>
    <t>Tax Depreciation</t>
  </si>
  <si>
    <t>Oil &amp; Gas Reserve Totals</t>
  </si>
  <si>
    <t>Simulated</t>
  </si>
  <si>
    <t>Residual/</t>
  </si>
  <si>
    <t>Depreciation</t>
  </si>
  <si>
    <t>Method</t>
  </si>
  <si>
    <t>DB Decline</t>
  </si>
  <si>
    <t>Desc.</t>
  </si>
  <si>
    <t>Salvage</t>
  </si>
  <si>
    <t>(mm/dd/yy)</t>
  </si>
  <si>
    <t>Life (yrs)</t>
  </si>
  <si>
    <t>(SL/DB)</t>
  </si>
  <si>
    <t>Value</t>
  </si>
  <si>
    <t>Life (yrs.)</t>
  </si>
  <si>
    <t>DB</t>
  </si>
  <si>
    <t xml:space="preserve">Subtotal </t>
  </si>
  <si>
    <t>diff. vs. book:</t>
  </si>
  <si>
    <t>Scheduled Depreciation Expense - Book</t>
  </si>
  <si>
    <t>Total Depreciation Expense</t>
  </si>
  <si>
    <t>Total Amortization of Capitalized Interest</t>
  </si>
  <si>
    <t>Total Book Depreciation/Amortization Expense</t>
  </si>
  <si>
    <t>chk:</t>
  </si>
  <si>
    <t>Scheduled Depreciation Expense - Tax</t>
  </si>
  <si>
    <t>Total Tax Depreciation/Amortization Expense</t>
  </si>
  <si>
    <t>Fixed Asset Summary</t>
  </si>
  <si>
    <t>Capitalized Costs</t>
  </si>
  <si>
    <t>Land</t>
  </si>
  <si>
    <t>Depreciation and  Amortization Expense - Book</t>
  </si>
  <si>
    <t>Depreciation Expense - Pre-Transaction Assets</t>
  </si>
  <si>
    <t>Add:  Book Depreciation Expense - Transaction Assets</t>
  </si>
  <si>
    <t xml:space="preserve">    Total Depreciation Expense - Book</t>
  </si>
  <si>
    <t>Amortization of Capitalized Costs - Book</t>
  </si>
  <si>
    <t>Depreciation and  Amortization Expense - Tax</t>
  </si>
  <si>
    <t xml:space="preserve">    Net Depreciation Expense - Tax</t>
  </si>
  <si>
    <t>Amortization of Capitalized Costs - Tax</t>
  </si>
  <si>
    <t>MACROECONOMIC DATA</t>
  </si>
  <si>
    <t>Escalation Factors - Dollars</t>
  </si>
  <si>
    <t>(1)</t>
  </si>
  <si>
    <t>Input Scenario</t>
  </si>
  <si>
    <t xml:space="preserve">Inflation Rate </t>
  </si>
  <si>
    <t>Cumulative index equivalent</t>
  </si>
  <si>
    <t>Other Currency Information</t>
  </si>
  <si>
    <t>Second currency name:</t>
  </si>
  <si>
    <t>Reis</t>
  </si>
  <si>
    <t>Distribution</t>
  </si>
  <si>
    <t>Normal</t>
  </si>
  <si>
    <t>Output Pricing</t>
  </si>
  <si>
    <t>Escalation Scenario (1 Flat, 2 esc)</t>
  </si>
  <si>
    <t>Beginning Price</t>
  </si>
  <si>
    <t>Input Price</t>
  </si>
  <si>
    <t>Adustments</t>
  </si>
  <si>
    <t xml:space="preserve">    Total Price</t>
  </si>
  <si>
    <t xml:space="preserve">    Price in USD</t>
  </si>
  <si>
    <t>Output Sales</t>
  </si>
  <si>
    <t>Total Output 1 Revenue</t>
  </si>
  <si>
    <t>Total Output 2 Revenue</t>
  </si>
  <si>
    <t xml:space="preserve">    Total Sales Revenue</t>
  </si>
  <si>
    <t>Cost of Sales</t>
  </si>
  <si>
    <t>Costs vary with</t>
  </si>
  <si>
    <t>MWH</t>
  </si>
  <si>
    <t>Totals in USD</t>
  </si>
  <si>
    <t>Total Variable Production Costs</t>
  </si>
  <si>
    <t>Fixed Cost</t>
  </si>
  <si>
    <t>Amount</t>
  </si>
  <si>
    <t>Total Fixed Production Costs</t>
  </si>
  <si>
    <t>Total Costs of Sales</t>
  </si>
  <si>
    <t>General &amp; Admin</t>
  </si>
  <si>
    <t>Total Variable Operating Expenses</t>
  </si>
  <si>
    <t>Total Fixed Operating Expenses</t>
  </si>
  <si>
    <t>Total Operating Expenses</t>
  </si>
  <si>
    <t>SUMMARY INFORMATION</t>
  </si>
  <si>
    <t xml:space="preserve">    Total</t>
  </si>
  <si>
    <t>Cost of Revenues</t>
  </si>
  <si>
    <t>Other Costs of Sales</t>
  </si>
  <si>
    <t xml:space="preserve">    Total Cost of Revenues</t>
  </si>
  <si>
    <t>Gross Margin</t>
  </si>
  <si>
    <t>EBDIT</t>
  </si>
  <si>
    <t>Data to Financing Section</t>
  </si>
  <si>
    <t>Revenues (excluding deferred PP revenue)</t>
  </si>
  <si>
    <t>Cash Expenses</t>
  </si>
  <si>
    <t>Capital Expenditures - Total</t>
  </si>
  <si>
    <t>Capital Expenditures - Land</t>
  </si>
  <si>
    <t>Depreciation Expense - Book</t>
  </si>
  <si>
    <t>Depreciation Expense - Tax</t>
  </si>
  <si>
    <t>Amortization of Intangibles - Book</t>
  </si>
  <si>
    <t>Amortization of Intangibles - Tax</t>
  </si>
  <si>
    <t>Data from Financing Section</t>
  </si>
  <si>
    <t>Fraction of year</t>
  </si>
  <si>
    <t>Units</t>
  </si>
  <si>
    <t xml:space="preserve">SCENARIO:    </t>
  </si>
  <si>
    <t>Base Case</t>
  </si>
  <si>
    <t>($ in</t>
  </si>
  <si>
    <t>Thousands</t>
  </si>
  <si>
    <t>INCOME STATEMENT:</t>
  </si>
  <si>
    <t>Total Cost of Revenues</t>
  </si>
  <si>
    <t>Gross Profits</t>
  </si>
  <si>
    <t>Depreciation and Depletion</t>
  </si>
  <si>
    <t xml:space="preserve">    Subtotal - Depreciation, Depletion, Amortization</t>
  </si>
  <si>
    <t>EBIT</t>
  </si>
  <si>
    <t>Other Income:</t>
  </si>
  <si>
    <t>Interest Income</t>
  </si>
  <si>
    <t>Total Other Income</t>
  </si>
  <si>
    <t>Interest Expense:</t>
  </si>
  <si>
    <t>Deficit Revolver</t>
  </si>
  <si>
    <t>Total Interest Expense</t>
  </si>
  <si>
    <t>Income b/f Taxes and Gains</t>
  </si>
  <si>
    <t>Gain on Sale of Assets</t>
  </si>
  <si>
    <t>Gross Receipts Tax</t>
  </si>
  <si>
    <t>Income b/f Income Taxes</t>
  </si>
  <si>
    <t>Income Taxes</t>
  </si>
  <si>
    <t>Net Income</t>
  </si>
  <si>
    <t>Legal Reserve Requirement</t>
  </si>
  <si>
    <t>Net Income Available to Common</t>
  </si>
  <si>
    <t>Common Dividends</t>
  </si>
  <si>
    <t>SOURCES AND USES:</t>
  </si>
  <si>
    <t>SOURCES:</t>
  </si>
  <si>
    <t>Depreciation &amp; Amortization</t>
  </si>
  <si>
    <t>Deferred Income Taxes</t>
  </si>
  <si>
    <t>Non-Cash Interest and Dividends</t>
  </si>
  <si>
    <t>Net Proceeds from Sale of Assets</t>
  </si>
  <si>
    <t>Total Sources</t>
  </si>
  <si>
    <t>USES:</t>
  </si>
  <si>
    <t>Change in Adjusted W/C</t>
  </si>
  <si>
    <t>Decrease in</t>
  </si>
  <si>
    <t>Dividends/Treasury Stock Acquisition/Preferred Stock Redemption</t>
  </si>
  <si>
    <t>Total Uses</t>
  </si>
  <si>
    <t>EXCESS/(DEFICIT)</t>
  </si>
  <si>
    <t>FINANCED BY:</t>
  </si>
  <si>
    <t>Total Scheduled Financing</t>
  </si>
  <si>
    <t>Increase/(Decrease) in Deficit Revolver</t>
  </si>
  <si>
    <t>Decrease/(Increase) in Excess Cash</t>
  </si>
  <si>
    <t>Total Financing</t>
  </si>
  <si>
    <t>AVAILABLE CASH:</t>
  </si>
  <si>
    <t>Beginning Cash</t>
  </si>
  <si>
    <t>Operating Increase/(Decrease)</t>
  </si>
  <si>
    <t>Excess Increase/(Decrease)</t>
  </si>
  <si>
    <t>Ending Cash</t>
  </si>
  <si>
    <t>BALANCE SHEET:</t>
  </si>
  <si>
    <t>Total Intangibles</t>
  </si>
  <si>
    <t>Short Term Debt</t>
  </si>
  <si>
    <t>CAPITALIZATION:</t>
  </si>
  <si>
    <t>Deficit Revolver:</t>
  </si>
  <si>
    <t>Beginning Balance</t>
  </si>
  <si>
    <t>(Addition)</t>
  </si>
  <si>
    <t>Repayment</t>
  </si>
  <si>
    <t>Ending Balance</t>
  </si>
  <si>
    <t xml:space="preserve">    Interest Rate</t>
  </si>
  <si>
    <t>Excess Cash Flow Recapture</t>
  </si>
  <si>
    <t>TRANSACTION ASSUMPTIONS:</t>
  </si>
  <si>
    <t>Transaction Date:</t>
  </si>
  <si>
    <t>Transaction Date Adjustment:</t>
  </si>
  <si>
    <t>Pre Transaction Revenues</t>
  </si>
  <si>
    <t>and Expenses, and</t>
  </si>
  <si>
    <t>Post Transaction Revenues</t>
  </si>
  <si>
    <t>and Expenses in fiscal</t>
  </si>
  <si>
    <t>Transaction Funds Flow</t>
  </si>
  <si>
    <t>Subsequent Fundings</t>
  </si>
  <si>
    <t>Transaction</t>
  </si>
  <si>
    <t>Totals</t>
  </si>
  <si>
    <t>Purchase Term Loan</t>
  </si>
  <si>
    <t>Scrubber Term Loan</t>
  </si>
  <si>
    <t>Common Stock</t>
  </si>
  <si>
    <t>Cash on Hand</t>
  </si>
  <si>
    <t>Sources</t>
  </si>
  <si>
    <t>Capital Exp.:</t>
  </si>
  <si>
    <t>PP&amp;E</t>
  </si>
  <si>
    <t>Dividend/Distribution</t>
  </si>
  <si>
    <t>Treasury Stock Acquisition</t>
  </si>
  <si>
    <t>Transaction Fees</t>
  </si>
  <si>
    <t>Excess Cash/Other Funding</t>
  </si>
  <si>
    <t>Uses</t>
  </si>
  <si>
    <t>Proof:</t>
  </si>
  <si>
    <t>TRANSACTION FEES:</t>
  </si>
  <si>
    <t>Tax Life</t>
  </si>
  <si>
    <t>Accounting</t>
  </si>
  <si>
    <t>%</t>
  </si>
  <si>
    <t>(Yrs)</t>
  </si>
  <si>
    <t>Treatment</t>
  </si>
  <si>
    <t>Transaction Advisory Fee</t>
  </si>
  <si>
    <t>NA</t>
  </si>
  <si>
    <t>Expensed:</t>
  </si>
  <si>
    <t>Other Fees and Expenses</t>
  </si>
  <si>
    <t>Capitalized:</t>
  </si>
  <si>
    <t>Upfront Placement Fees:</t>
  </si>
  <si>
    <t>Amortization:</t>
  </si>
  <si>
    <t>*(As % of Commitment)</t>
  </si>
  <si>
    <t>HISTORICAL AND OPENING BALANCE SHEETS:</t>
  </si>
  <si>
    <t>ASSETS:</t>
  </si>
  <si>
    <t>Add</t>
  </si>
  <si>
    <t>Subtract</t>
  </si>
  <si>
    <t>Operating Cash</t>
  </si>
  <si>
    <t>Cash and Marketable Securities</t>
  </si>
  <si>
    <t>Accounts Receivable</t>
  </si>
  <si>
    <t>Inventories</t>
  </si>
  <si>
    <t>Other Current Assets</t>
  </si>
  <si>
    <t>Total Current Assets</t>
  </si>
  <si>
    <t>Intangibles</t>
  </si>
  <si>
    <t>Gross PP&amp;E</t>
  </si>
  <si>
    <t>Accumulated Depreciation</t>
  </si>
  <si>
    <t>Net PP&amp;E</t>
  </si>
  <si>
    <t>Other Assets</t>
  </si>
  <si>
    <t>Total Assets</t>
  </si>
  <si>
    <t>LIABILITIES &amp; EQUITY:</t>
  </si>
  <si>
    <t>Accounts Payable</t>
  </si>
  <si>
    <t>Long-term</t>
  </si>
  <si>
    <t>Accrued Expenses</t>
  </si>
  <si>
    <t>Capitalization</t>
  </si>
  <si>
    <t>Other Payables</t>
  </si>
  <si>
    <t>Current Maturities</t>
  </si>
  <si>
    <t>Total Current Liabilities</t>
  </si>
  <si>
    <t>Deferred Taxes</t>
  </si>
  <si>
    <t>Other Liabilities</t>
  </si>
  <si>
    <t>Total Long-term Liabilities</t>
  </si>
  <si>
    <t>Total Liabilities</t>
  </si>
  <si>
    <t>Paid in Capital</t>
  </si>
  <si>
    <t>Treasury Stock</t>
  </si>
  <si>
    <t>Retained Earnings</t>
  </si>
  <si>
    <t>Preferred and Common Dividends</t>
  </si>
  <si>
    <t>Total Stockholders' Equity</t>
  </si>
  <si>
    <t>Total Liabilities &amp; Equity</t>
  </si>
  <si>
    <t>ADJ. WORKING CAPITAL ANALYSIS</t>
  </si>
  <si>
    <t>Operating Cash Balance</t>
  </si>
  <si>
    <t xml:space="preserve">Adjusted W/C Balance: </t>
  </si>
  <si>
    <t>Increase/(Decrease) in Other Liabilities</t>
  </si>
  <si>
    <t>Total Scheduled Debt Service</t>
  </si>
  <si>
    <t>Required Reserve</t>
  </si>
  <si>
    <t>Starting Reserve</t>
  </si>
  <si>
    <t>Reserve Addition</t>
  </si>
  <si>
    <t>Ending Reserve</t>
  </si>
  <si>
    <t>Increase/(Decrease) in Other Assets (DS Reserve)</t>
  </si>
  <si>
    <t>SCHEDULED DEBT AND STOCK</t>
  </si>
  <si>
    <t xml:space="preserve">    REPAYMENT AND ADDITIONS:</t>
  </si>
  <si>
    <t>(Scheduled Additions)</t>
  </si>
  <si>
    <t>Interest Deferral: (YES or NO)</t>
  </si>
  <si>
    <t>Interest Deferral Tax Deductible: (YES or NO)</t>
  </si>
  <si>
    <t>YES</t>
  </si>
  <si>
    <t>Interest Rate Deferred</t>
  </si>
  <si>
    <t>Amount Deferred (Accrued Semi-annually)</t>
  </si>
  <si>
    <t>Excess Cash Flow Recapture:</t>
  </si>
  <si>
    <t>Amount Deferred (Accrued Semi-annually)-Avg Balance</t>
  </si>
  <si>
    <t>Treasury Stock Purchases</t>
  </si>
  <si>
    <t>(Issues)</t>
  </si>
  <si>
    <t>INTEREST RATES, COUPON RATES AND</t>
  </si>
  <si>
    <t>DIVIDEND YIELDS:</t>
  </si>
  <si>
    <t>Hist Common Div'ds</t>
  </si>
  <si>
    <t>Dividend Payout Ratio</t>
  </si>
  <si>
    <t>Interest Earned on Cash Balances?</t>
  </si>
  <si>
    <t>Hist Int Income/Int on Cash Balances</t>
  </si>
  <si>
    <t>HISTORICAL AND PROFORMA NON-OPERATING ASSUMPTIONS:</t>
  </si>
  <si>
    <t>FYE:</t>
  </si>
  <si>
    <t>Amortization   -  Transaction Fees</t>
  </si>
  <si>
    <t xml:space="preserve">    Total Amortization Expense</t>
  </si>
  <si>
    <t>Other Income (excluding interest income)</t>
  </si>
  <si>
    <t>ASSET SALES</t>
  </si>
  <si>
    <t>Gross Sale Price</t>
  </si>
  <si>
    <t>Gross Book Value of Assets Sold</t>
  </si>
  <si>
    <t>Accumulated Depreciation - Book</t>
  </si>
  <si>
    <t>Net Book Value of Assets Sold</t>
  </si>
  <si>
    <t>Pretax Gain/(Loss) - Book</t>
  </si>
  <si>
    <t>Change in Book Depreciation  Expense Associated with Assets Sold</t>
  </si>
  <si>
    <t>Net Tax Value - Regular Tax*</t>
  </si>
  <si>
    <t>Pretax Gain/(Loss) - Tax</t>
  </si>
  <si>
    <t>Change in Tax Depreciation Expense Associated with Assets Sold</t>
  </si>
  <si>
    <t>*Default to Book Gain/(Loss)</t>
  </si>
  <si>
    <t>TAX ASSUMPTIONS:</t>
  </si>
  <si>
    <t xml:space="preserve">    $</t>
  </si>
  <si>
    <t xml:space="preserve">    %</t>
  </si>
  <si>
    <t>Historical Book Taxes</t>
  </si>
  <si>
    <t>Federal Income Tax Rate</t>
  </si>
  <si>
    <t>State Income Tax Rate</t>
  </si>
  <si>
    <t>Gross Receipt Tax</t>
  </si>
  <si>
    <t>INCOME TAX CALCULATION:</t>
  </si>
  <si>
    <t>REGULAR IRS TAXES:</t>
  </si>
  <si>
    <t>Income before Taxes</t>
  </si>
  <si>
    <t>Add Back:</t>
  </si>
  <si>
    <t>Book Depreciation</t>
  </si>
  <si>
    <t>Book Loss/(Gain) on Asset Sales</t>
  </si>
  <si>
    <t xml:space="preserve">Deduct: </t>
  </si>
  <si>
    <t>Tax Depreciation (Regular)</t>
  </si>
  <si>
    <t>Tax Loss/(Gain) on Asset Sales (Regular)</t>
  </si>
  <si>
    <t>Taxable Income before NOL</t>
  </si>
  <si>
    <t>Beginning NOL Balance</t>
  </si>
  <si>
    <t>Less: NOL Expired</t>
  </si>
  <si>
    <t>NOL Applicable</t>
  </si>
  <si>
    <t>NOL (Addition)</t>
  </si>
  <si>
    <t>NOL Used</t>
  </si>
  <si>
    <t>Ending NOL Balance</t>
  </si>
  <si>
    <t>Taxable Income After NOL</t>
  </si>
  <si>
    <t>State Taxes @</t>
  </si>
  <si>
    <t>Federal Taxes @</t>
  </si>
  <si>
    <t>Regular Taxes before AMT Tax Credit</t>
  </si>
  <si>
    <t>BOOK TAXES:</t>
  </si>
  <si>
    <t xml:space="preserve">Taxable Book Income before NOL </t>
  </si>
  <si>
    <t>Taxable Book Income After NOL</t>
  </si>
  <si>
    <t>Book Taxes</t>
  </si>
  <si>
    <t>Cash Taxes Paid (greater of AMT Taxes or Regular Taxes)</t>
  </si>
  <si>
    <t>DISCOUNTED CASHFLOW VALUATION ANALYSIS:</t>
  </si>
  <si>
    <t>OPERATING CASH FLOWS:</t>
  </si>
  <si>
    <t>Initial Equity Investment</t>
  </si>
  <si>
    <t>Plus:</t>
  </si>
  <si>
    <t>Amortization &amp; Depreciation</t>
  </si>
  <si>
    <t>Less:</t>
  </si>
  <si>
    <t>Increase/(Decrease) in Adjusted W/C</t>
  </si>
  <si>
    <t>(Decrease)/Increase in Other Assets/Liabilities</t>
  </si>
  <si>
    <t>Operating Cash Flows</t>
  </si>
  <si>
    <t>Capital Expenditures</t>
  </si>
  <si>
    <t>Debt Principal Repayment</t>
  </si>
  <si>
    <t>Disbursements from Debt</t>
  </si>
  <si>
    <t>Net Cash Flow Available to Equity</t>
  </si>
  <si>
    <t>Valuation</t>
  </si>
  <si>
    <t>Annuity</t>
  </si>
  <si>
    <t>W/Terminal Value</t>
  </si>
  <si>
    <t>IBIT + DD&amp;A</t>
  </si>
  <si>
    <t>Interest Expense</t>
  </si>
  <si>
    <t>Discount Rate</t>
  </si>
  <si>
    <t>Debt Repayment</t>
  </si>
  <si>
    <t>(Pre-Tax) Debt Coverage Ratio</t>
  </si>
  <si>
    <t>Terminal Value:</t>
  </si>
  <si>
    <t>Running IRR</t>
  </si>
  <si>
    <t>Total Sale Price</t>
  </si>
  <si>
    <t>Book Value for Tax Purposes</t>
  </si>
  <si>
    <t>Net After Tax Proceeds</t>
  </si>
  <si>
    <t>W/C Balance</t>
  </si>
  <si>
    <t>DS Reserve</t>
  </si>
  <si>
    <t>Current and Long-Term Portions of Debt</t>
  </si>
  <si>
    <t>Discounted Operating Cash Flows</t>
  </si>
  <si>
    <t>Discounted Terminal Value</t>
  </si>
  <si>
    <t>Investments (Excess Cash)</t>
  </si>
  <si>
    <t>Firm Value Today</t>
  </si>
  <si>
    <t>IRR</t>
  </si>
  <si>
    <t>Data from Operating Section</t>
  </si>
  <si>
    <t>Data to Operating Section</t>
  </si>
  <si>
    <t>Fraction of current year</t>
  </si>
  <si>
    <t>Unit</t>
  </si>
  <si>
    <t>FASB CASH FLOW ANALYSIS</t>
  </si>
  <si>
    <t>Cash Flow From Operating Activities:</t>
  </si>
  <si>
    <t>Losses/(Gains)</t>
  </si>
  <si>
    <t>Add/</t>
  </si>
  <si>
    <t>(Subtract)</t>
  </si>
  <si>
    <t>Change in:</t>
  </si>
  <si>
    <t>Cash Flow From Investing Activities:</t>
  </si>
  <si>
    <t>Cash Flow From Financing Activities:</t>
  </si>
  <si>
    <t>Dividends Paid</t>
  </si>
  <si>
    <t>Scheduled Debt and Preferred Stock Reductions</t>
  </si>
  <si>
    <t>Proceeds of Debt &amp; Stock Issues</t>
  </si>
  <si>
    <t>Net Increase/(Decrease) in Cash and Cash Equivalents</t>
  </si>
  <si>
    <t>Cash Flow From Operations After Tax (Unlevered Cash Flow)</t>
  </si>
  <si>
    <t>Perpetuity</t>
  </si>
  <si>
    <t>Adj EBDIT</t>
  </si>
  <si>
    <t>VALUATION VARIABLES:</t>
  </si>
  <si>
    <t>RESIDUAL VALUE:</t>
  </si>
  <si>
    <t>Growth</t>
  </si>
  <si>
    <t>Multiple</t>
  </si>
  <si>
    <t>Term (Horizon)</t>
  </si>
  <si>
    <t>Adjusted EBDIT</t>
  </si>
  <si>
    <t>Investments (Excess Cash) Outstanding at Value Date</t>
  </si>
  <si>
    <t xml:space="preserve">Operating Profit After Tax </t>
  </si>
  <si>
    <t>Debt Outstanding at Value Date</t>
  </si>
  <si>
    <t>Number of Shares Outstanding at Value Date (000)</t>
  </si>
  <si>
    <t>Discount Rate (ATWACOC)</t>
  </si>
  <si>
    <t>Perpetuity Growth Rate</t>
  </si>
  <si>
    <t>EBDIT Multiple</t>
  </si>
  <si>
    <t>EBIT Multiple</t>
  </si>
  <si>
    <t>Corporate Residual Value</t>
  </si>
  <si>
    <t>DISCOUNT RATE:</t>
  </si>
  <si>
    <t>Tax Rate</t>
  </si>
  <si>
    <t>Target Debt/Equity</t>
  </si>
  <si>
    <t>Target Debt/Capitalization</t>
  </si>
  <si>
    <t>Cost of Equity (unlevered)</t>
  </si>
  <si>
    <t>Cost of Equity (levered)</t>
  </si>
  <si>
    <t>Weighted Avg Cost of Debt</t>
  </si>
  <si>
    <t>Weighted Avg After Tax Cost of Debt</t>
  </si>
  <si>
    <t>Debt Outstanding</t>
  </si>
  <si>
    <t>A-T Weighted Average Cost of Capital (ATWACOC)</t>
  </si>
  <si>
    <t>Equity Value</t>
  </si>
  <si>
    <t>COST OF EQUITY (UNLEVERED):</t>
  </si>
  <si>
    <t>Risk-Free Rate</t>
  </si>
  <si>
    <t>30-Year Treasury Bond</t>
  </si>
  <si>
    <t>Beta</t>
  </si>
  <si>
    <t>Company Specific (Unlevered)</t>
  </si>
  <si>
    <t>Market Risk Premium</t>
  </si>
  <si>
    <t>Equity Value per Share</t>
  </si>
  <si>
    <t>Cost of Equity</t>
  </si>
  <si>
    <r>
      <t xml:space="preserve">Amortization   -  Intangibles </t>
    </r>
    <r>
      <rPr>
        <i/>
        <sz val="8"/>
        <rFont val="Arial"/>
      </rPr>
      <t>(from operating sheet)</t>
    </r>
  </si>
  <si>
    <t>Contract Rev</t>
  </si>
  <si>
    <t>Market Revs</t>
  </si>
  <si>
    <t>MMBTU</t>
  </si>
  <si>
    <t>Market Cost</t>
  </si>
  <si>
    <t>O&amp;M</t>
  </si>
  <si>
    <t>Purchased Power</t>
  </si>
  <si>
    <t>Heat Rate/ Strike</t>
  </si>
  <si>
    <t>Coal Vol Adjustments</t>
  </si>
  <si>
    <t>"Minimum Operation" Take</t>
  </si>
  <si>
    <t>"Minimum Operation" MWHs Sold</t>
  </si>
  <si>
    <t>"Supplemental Operation" Take</t>
  </si>
  <si>
    <t>"Supplemental Operation" MWHs Sold</t>
  </si>
  <si>
    <t xml:space="preserve">"Supplemental Operation" MWHs Sold </t>
  </si>
  <si>
    <t>Operation</t>
  </si>
  <si>
    <t>Minimum Operation Option Value</t>
  </si>
  <si>
    <t>Minimum Operation Intrinsic Value</t>
  </si>
  <si>
    <t>Supplemental Operation Option Value</t>
  </si>
  <si>
    <t>Supplemental Operation Intrinsic Value</t>
  </si>
  <si>
    <t>Minimum Operation Hourly Volume Override</t>
  </si>
  <si>
    <t>Supplemental Operation Volume Override</t>
  </si>
  <si>
    <t>Market Purchase</t>
  </si>
  <si>
    <t>Peak-Sun</t>
  </si>
  <si>
    <t>Interest During Construction Calculations</t>
  </si>
  <si>
    <t>Contract Conditions</t>
  </si>
  <si>
    <t>Option Pricing</t>
  </si>
  <si>
    <t>ByProducts</t>
  </si>
  <si>
    <t>Curve Adder</t>
  </si>
  <si>
    <t>Transmission Losses</t>
  </si>
  <si>
    <t>Contract Months</t>
  </si>
  <si>
    <t>Increase/(Decrease) in Adjusted W/C (ex. OpCash)</t>
  </si>
  <si>
    <t>Operation Characteristics</t>
  </si>
  <si>
    <t>Start Date/Curves</t>
  </si>
  <si>
    <t>Plant Operating Costs</t>
  </si>
  <si>
    <t>Contracted Net</t>
  </si>
  <si>
    <t>Hourly Capacity</t>
  </si>
  <si>
    <t>All Hours</t>
  </si>
  <si>
    <t xml:space="preserve">                  "Supplemental Operation" Market Price Curve</t>
  </si>
  <si>
    <t xml:space="preserve">                      "Minimum Operation" Market Price Curve</t>
  </si>
  <si>
    <t>Variable O$M ($/MWh)</t>
  </si>
  <si>
    <t>Pastoria Energy Facility</t>
  </si>
  <si>
    <t>ENRON POWER MARKETING, INC.</t>
  </si>
  <si>
    <t>Assumptions</t>
  </si>
  <si>
    <t>Project Scenario</t>
  </si>
  <si>
    <t>PLANT SUMMARY:</t>
  </si>
  <si>
    <t>CAPITAL COST ($000):</t>
  </si>
  <si>
    <t>$/kW</t>
  </si>
  <si>
    <t>All Costs</t>
  </si>
  <si>
    <t>"Dry Hole"</t>
  </si>
  <si>
    <t xml:space="preserve">EPC Turnkey </t>
  </si>
  <si>
    <t>Site Prep / Balance of Construction:</t>
  </si>
  <si>
    <t xml:space="preserve">   Spare Parts/Shop Tools</t>
  </si>
  <si>
    <t xml:space="preserve">   Black Start Capability</t>
  </si>
  <si>
    <t xml:space="preserve">   Fuel Gas Line</t>
  </si>
  <si>
    <t xml:space="preserve">   Fuel Gas Compressor</t>
  </si>
  <si>
    <t xml:space="preserve">   SCR</t>
  </si>
  <si>
    <t>Tejon Spark Spread Sharing</t>
  </si>
  <si>
    <t xml:space="preserve">   Inlet Air Cooling</t>
  </si>
  <si>
    <t xml:space="preserve">   Intake and Water Discharge Structure</t>
  </si>
  <si>
    <t>Soft Costs:</t>
  </si>
  <si>
    <t>PROJECT TIMING:</t>
  </si>
  <si>
    <t xml:space="preserve">   Development Fee</t>
  </si>
  <si>
    <t xml:space="preserve">   Tejon Payment (Signing of Land Lease Option)</t>
  </si>
  <si>
    <t xml:space="preserve">   Tejon Monthly Payments </t>
  </si>
  <si>
    <t>TAXES:</t>
  </si>
  <si>
    <t>Federal Corporate Income Tax Rate</t>
  </si>
  <si>
    <t>State Corporate Income Tax Rate</t>
  </si>
  <si>
    <t xml:space="preserve">   Lenders' Legal Fee</t>
  </si>
  <si>
    <t xml:space="preserve">   Project Management during Construction</t>
  </si>
  <si>
    <t xml:space="preserve">   Startup and Acceptance</t>
  </si>
  <si>
    <t>ESCALATION:</t>
  </si>
  <si>
    <t xml:space="preserve">   Insurance and Perf. Bond</t>
  </si>
  <si>
    <t xml:space="preserve">   Miscellaneous</t>
  </si>
  <si>
    <t xml:space="preserve">   Contingency @</t>
  </si>
  <si>
    <t xml:space="preserve">Total </t>
  </si>
  <si>
    <t>PROJECT EXPENSES - $000</t>
  </si>
  <si>
    <t>O&amp;M Expenses</t>
  </si>
  <si>
    <t>$/MWh</t>
  </si>
  <si>
    <t xml:space="preserve">   Total Development Costs</t>
  </si>
  <si>
    <t xml:space="preserve">   Outside Services</t>
  </si>
  <si>
    <t>IDC Calculations (See IDC Worksheet)</t>
  </si>
  <si>
    <t xml:space="preserve">Term </t>
  </si>
  <si>
    <t xml:space="preserve">   Sewer</t>
  </si>
  <si>
    <t>Drawdown Schedule (0=SL,1=Custom)</t>
  </si>
  <si>
    <t>Drawdown Fee</t>
  </si>
  <si>
    <t>Basis Points</t>
  </si>
  <si>
    <t xml:space="preserve">   Property Tax</t>
  </si>
  <si>
    <t>Total IDC</t>
  </si>
  <si>
    <t xml:space="preserve">   Lease Expense</t>
  </si>
  <si>
    <t xml:space="preserve">   Insurance</t>
  </si>
  <si>
    <t>Total Capital Cost</t>
  </si>
  <si>
    <t xml:space="preserve">   General &amp; Administrative</t>
  </si>
  <si>
    <t>FINANCING:</t>
  </si>
  <si>
    <t xml:space="preserve">   Direct Labor- O&amp;M</t>
  </si>
  <si>
    <t xml:space="preserve">   % Equity</t>
  </si>
  <si>
    <t xml:space="preserve">   % Debt</t>
  </si>
  <si>
    <t xml:space="preserve">   Maintenance Reserve</t>
  </si>
  <si>
    <t>Senior Secured Debt:</t>
  </si>
  <si>
    <t xml:space="preserve">   SCR / Co-Catalyst</t>
  </si>
  <si>
    <t xml:space="preserve">   Project Management Fee</t>
  </si>
  <si>
    <t xml:space="preserve">   Agency Fee</t>
  </si>
  <si>
    <t xml:space="preserve">   Interest Rate on Term Loan</t>
  </si>
  <si>
    <t xml:space="preserve">   O/M Management Fee</t>
  </si>
  <si>
    <t xml:space="preserve">   Debt Term (Yrs) </t>
  </si>
  <si>
    <t xml:space="preserve">Annual Inflation </t>
  </si>
  <si>
    <t>Net Output (MW)</t>
  </si>
  <si>
    <t>Heat Rate (btu/kWh)</t>
  </si>
  <si>
    <t>Fuel Usage (MMBtu/hour)</t>
  </si>
  <si>
    <t>Baseload</t>
  </si>
  <si>
    <t>Option</t>
  </si>
  <si>
    <t>Proforma End Date</t>
  </si>
  <si>
    <t xml:space="preserve">   Lender's Placement Fee</t>
  </si>
  <si>
    <t>Gas Costs</t>
  </si>
  <si>
    <t>Non-Fuel Variable Costs ($/MWh):</t>
  </si>
  <si>
    <t xml:space="preserve">   Water</t>
  </si>
  <si>
    <t>Total Non-Fuel Variable Costs</t>
  </si>
  <si>
    <t>Fixed G&amp;A Costs:</t>
  </si>
  <si>
    <t>Total Fixed G&amp;A Costs</t>
  </si>
  <si>
    <t>Other Expenses:</t>
  </si>
  <si>
    <t>MWh</t>
  </si>
  <si>
    <t>Gas Price</t>
  </si>
  <si>
    <t>Spark Spread</t>
  </si>
  <si>
    <t xml:space="preserve">   Capacity</t>
  </si>
  <si>
    <t xml:space="preserve">   Heat Rate</t>
  </si>
  <si>
    <t xml:space="preserve">  % Sharing</t>
  </si>
  <si>
    <t xml:space="preserve">Tejon Spark Spread </t>
  </si>
  <si>
    <t>Expenses</t>
  </si>
  <si>
    <t>Subsequent Capital Expenditures</t>
  </si>
  <si>
    <t xml:space="preserve">   Reserve (% of Annual Debt Service)</t>
  </si>
  <si>
    <t>Permit/</t>
  </si>
  <si>
    <t>Sign Land</t>
  </si>
  <si>
    <t>Financial</t>
  </si>
  <si>
    <t>Commercial</t>
  </si>
  <si>
    <t>Sign</t>
  </si>
  <si>
    <t>Lease</t>
  </si>
  <si>
    <t>Close</t>
  </si>
  <si>
    <t>Operations</t>
  </si>
  <si>
    <t>LOI</t>
  </si>
  <si>
    <t>Total Dry Hole</t>
  </si>
  <si>
    <t>EPC Turnkey</t>
  </si>
  <si>
    <t>Internal Costs</t>
  </si>
  <si>
    <t>Tejon Payment (Signing of Land Lease Option)</t>
  </si>
  <si>
    <t xml:space="preserve">Tejon Payment (AFC Filing) </t>
  </si>
  <si>
    <t>Tejon Monthly Payments</t>
  </si>
  <si>
    <t>Lender's Legal Fees</t>
  </si>
  <si>
    <t>Engineering</t>
  </si>
  <si>
    <t>Miscellaneous</t>
  </si>
  <si>
    <t>Contingency</t>
  </si>
  <si>
    <t>Total Dry Hole Cost at Financial Close</t>
  </si>
  <si>
    <t>Net Equity Cash Flows</t>
  </si>
  <si>
    <t>Cumulative Equity Cash Flows</t>
  </si>
  <si>
    <t>NPV</t>
  </si>
  <si>
    <t>NPV of Monthly Payments</t>
  </si>
  <si>
    <t>NPV of Payment at Signing of Land Lease Option</t>
  </si>
  <si>
    <t>NPV of Payment at AFC Filing</t>
  </si>
  <si>
    <t>NPV of Payments</t>
  </si>
  <si>
    <t>Total Payment</t>
  </si>
  <si>
    <t>NPV of Makeup Payment at Financial Close</t>
  </si>
  <si>
    <t>FV of Makeup Payment at Financial Close</t>
  </si>
  <si>
    <t>File</t>
  </si>
  <si>
    <t>AFC</t>
  </si>
  <si>
    <t>Pre-Financial Closing Legal Fees</t>
  </si>
  <si>
    <t>Financial Closing Legal Fees</t>
  </si>
  <si>
    <t xml:space="preserve">   Internal Development Costs</t>
  </si>
  <si>
    <t xml:space="preserve">   Pre-Financial Closing Legal Fees</t>
  </si>
  <si>
    <t xml:space="preserve">   Financial Closing Legal Fees</t>
  </si>
  <si>
    <t xml:space="preserve">   Engineering</t>
  </si>
  <si>
    <t xml:space="preserve">   Title Insurance</t>
  </si>
  <si>
    <t>Gas Curves</t>
  </si>
  <si>
    <t>REGION 11</t>
  </si>
  <si>
    <t>SP15</t>
  </si>
  <si>
    <t>NYMEX</t>
  </si>
  <si>
    <t>Omicron Volatility</t>
  </si>
  <si>
    <t>Gas</t>
  </si>
  <si>
    <t>Gas Price ($/MWh)</t>
  </si>
  <si>
    <t>Gas Cost</t>
  </si>
  <si>
    <t>CURVES:</t>
  </si>
  <si>
    <t>Heat Rate Degradation</t>
  </si>
  <si>
    <t>Gas (mmbtu)</t>
  </si>
  <si>
    <t>Gas  Price</t>
  </si>
  <si>
    <t>Total Market</t>
  </si>
  <si>
    <t>Annualized Cash Flow Summary</t>
  </si>
  <si>
    <t>Total Min Op</t>
  </si>
  <si>
    <t>Total Supp Op</t>
  </si>
  <si>
    <t>Air District Filing Fee</t>
  </si>
  <si>
    <t xml:space="preserve">   Air District Filing Fee</t>
  </si>
  <si>
    <t>(1=Bid, 2=Mid, 3=Offer, 4=Henwood Reference)</t>
  </si>
  <si>
    <t xml:space="preserve">   Tejon Makewhole Payment</t>
  </si>
  <si>
    <t xml:space="preserve">   Fixed Water Costs</t>
  </si>
  <si>
    <t>Development Costs at Risk:</t>
  </si>
  <si>
    <t>Closing Costs:</t>
  </si>
  <si>
    <t>Total Closing Costs</t>
  </si>
  <si>
    <t>Total Development Costs at Risk</t>
  </si>
  <si>
    <t>Total Quarterly Cash Flow</t>
  </si>
  <si>
    <t>Cumulative Quarterly Cash Flows</t>
  </si>
  <si>
    <t>Environmental Offsets Costs:</t>
  </si>
  <si>
    <t>RETURNS:</t>
  </si>
  <si>
    <t>Senior Debt Placement Fee</t>
  </si>
  <si>
    <t>Equity NPV</t>
  </si>
  <si>
    <t>Total Environmental Offsets Costs:</t>
  </si>
  <si>
    <t>Total Cost at Financial Close</t>
  </si>
  <si>
    <t>Tejon Makeup Payment</t>
  </si>
  <si>
    <t>Air Pollution Offset Costs:</t>
  </si>
  <si>
    <t>Air Pollution Offsets</t>
  </si>
  <si>
    <t>Project Returns</t>
  </si>
  <si>
    <t>Equity Investor</t>
  </si>
  <si>
    <t>Equity Investor Cash Flows</t>
  </si>
  <si>
    <t>Developer (ECT)</t>
  </si>
  <si>
    <t>Development Cash Flows</t>
  </si>
  <si>
    <t>Promote</t>
  </si>
  <si>
    <t>Development Fee</t>
  </si>
  <si>
    <t>Closing Costs Not Spent</t>
  </si>
  <si>
    <t>Sale of Air Pollution Offsets</t>
  </si>
  <si>
    <t xml:space="preserve">   Air Pollution Offsets</t>
  </si>
  <si>
    <t>ECT as Developer and Equity Investor</t>
  </si>
  <si>
    <t>Development Costs</t>
  </si>
  <si>
    <t>Development Cost Reimbursement</t>
  </si>
  <si>
    <t>Equity Investment Cash Flows</t>
  </si>
  <si>
    <t>Tejon Ranchcorp</t>
  </si>
  <si>
    <t>Fixed Rent Payment</t>
  </si>
  <si>
    <t>Spark Spread Payment</t>
  </si>
  <si>
    <t>Pre-Operational Payments</t>
  </si>
  <si>
    <t>Post-Operational Payments</t>
  </si>
  <si>
    <t>Inflation</t>
  </si>
  <si>
    <t>Base Year</t>
  </si>
  <si>
    <t>Inflated</t>
  </si>
  <si>
    <t>San Juan</t>
  </si>
  <si>
    <t>Interstate</t>
  </si>
  <si>
    <t>Delivered</t>
  </si>
  <si>
    <t>Transport</t>
  </si>
  <si>
    <t>Heat Rate</t>
  </si>
  <si>
    <t>24 Hour</t>
  </si>
  <si>
    <t>Henwood Reference Curves</t>
  </si>
  <si>
    <t>Tejon Ranchcorp (as of 3/31/99)</t>
  </si>
  <si>
    <t>Power Curve Adder ($/MWh)</t>
  </si>
  <si>
    <t>Patch/Thompson</t>
  </si>
  <si>
    <t xml:space="preserve">   Patch/Thompson</t>
  </si>
  <si>
    <t>Minimum Option Time Value</t>
  </si>
  <si>
    <t>Supplemental Operation Time Value</t>
  </si>
  <si>
    <t>Option Time Value</t>
  </si>
  <si>
    <t>Time Value</t>
  </si>
  <si>
    <t>Term Debt</t>
  </si>
  <si>
    <t>Debt Coverage Ratios</t>
  </si>
  <si>
    <t>Maximum</t>
  </si>
  <si>
    <t>Average</t>
  </si>
  <si>
    <t>Cumulative Total during Development</t>
  </si>
  <si>
    <t>Mon Friday16 hrs</t>
  </si>
  <si>
    <t>No difference</t>
  </si>
  <si>
    <t>in West</t>
  </si>
  <si>
    <t xml:space="preserve">.75 Weekday Peak              7 days/week  </t>
  </si>
  <si>
    <t>Why are we including a Peak Saturday? The prices will be identical to the</t>
  </si>
  <si>
    <t>Peak weekday.</t>
  </si>
  <si>
    <t>We have three curves, essentially - Peak weekly, Peak Sunday and Off-Peak</t>
  </si>
  <si>
    <t>Where do the gas volatilities come from?</t>
  </si>
  <si>
    <t>Where do these volatilities come from?</t>
  </si>
  <si>
    <t>THESE ARE ALL VARIABLE COSTS</t>
  </si>
  <si>
    <t>THESE ARE PROPERLY ESCALATED BY INFLATION</t>
  </si>
  <si>
    <t>SPARK SPREAD ROYALTY CALCULATED ON CALC SHEET, NOT GROWN BY INFLATION</t>
  </si>
  <si>
    <t>Here is where the discounting of future cash flows takes place</t>
  </si>
  <si>
    <t>The discount rate in this cell is linked to the assumption tab at Cell L29 (Required return for equity investor).</t>
  </si>
  <si>
    <t xml:space="preserve">Different rates </t>
  </si>
  <si>
    <t>Price Curve</t>
  </si>
  <si>
    <t>Gas Curve</t>
  </si>
  <si>
    <t>Henwood</t>
  </si>
  <si>
    <t>WHAT IS THE POWER CURVE ADDER?</t>
  </si>
  <si>
    <t xml:space="preserve">Henwood </t>
  </si>
  <si>
    <t>Why the lowest rates for the Henwood pair?</t>
  </si>
  <si>
    <t>Year 2021 cash flows plus a terminal value equal to 3 times 2021 EBDIT</t>
  </si>
  <si>
    <t>XNPV(Assumptions!L34,Returns!D18:V18,Returns!D3:V3)</t>
  </si>
  <si>
    <t>Is the 150 a Baseload Requirement?</t>
  </si>
  <si>
    <t>Pop in Variable O&amp;M curve here</t>
  </si>
  <si>
    <t>The baseload requirement should be included in this section, at market prices</t>
  </si>
  <si>
    <t>There should be a minimum number of baseload hours happening here.</t>
  </si>
  <si>
    <t>Are these prices</t>
  </si>
  <si>
    <t>Covered over the entire volume.</t>
  </si>
  <si>
    <t>Tie volume to intrinsic</t>
  </si>
  <si>
    <t>This is where the in the money is used.</t>
  </si>
  <si>
    <t>This is the column for which the spark spread volumes should be used.</t>
  </si>
  <si>
    <t>Tejon Weekday Peak Spark Spread Calculations</t>
  </si>
  <si>
    <t>Tejon Saturday Peak Spark Spread Calculations</t>
  </si>
  <si>
    <t>Tejon Sunday Peak Spark Spread Calculations</t>
  </si>
  <si>
    <t>Tejon Off-Peak Spark Spread Calculations</t>
  </si>
  <si>
    <t xml:space="preserve">  Average or Hourly Calculation</t>
  </si>
  <si>
    <t>Hourly</t>
  </si>
  <si>
    <t xml:space="preserve">   Gas Adder</t>
  </si>
  <si>
    <t xml:space="preserve">   Reserve Funded from Initial Financing</t>
  </si>
  <si>
    <t>Output</t>
  </si>
  <si>
    <t>Effective Tax Rate</t>
  </si>
  <si>
    <t xml:space="preserve">   Principal Payment in First Year</t>
  </si>
  <si>
    <t>Weather-related Capacity Adjustment</t>
  </si>
  <si>
    <t>Weather-related Heat Rate Adjustment</t>
  </si>
  <si>
    <t>Total Fuel &amp; Variable Cost</t>
  </si>
  <si>
    <t>Min Volumes</t>
  </si>
  <si>
    <t>Supp Volumes</t>
  </si>
  <si>
    <t>Tejon 12/31/1999 Payment</t>
  </si>
  <si>
    <t>Tejon Payment (Data Adequacy and Water)</t>
  </si>
  <si>
    <t xml:space="preserve">   Air Cooling/Property</t>
  </si>
  <si>
    <t>Tejon 12/99 Payment</t>
  </si>
  <si>
    <t>NPV of Payment at 12/31/99</t>
  </si>
  <si>
    <t>MACRS</t>
  </si>
  <si>
    <t>Contract Signing with Tejon</t>
  </si>
  <si>
    <t>AFC Filing Date</t>
  </si>
  <si>
    <t>Receipt of AFC/Financial Close</t>
  </si>
  <si>
    <t xml:space="preserve">   Consumables</t>
  </si>
  <si>
    <t xml:space="preserve">   Interconnect to Grid</t>
  </si>
  <si>
    <t xml:space="preserve">   Owner's Engineer</t>
  </si>
  <si>
    <t xml:space="preserve">   Fuel Management/SC Services</t>
  </si>
  <si>
    <t>Equity Infusion Date/Commercial Operations</t>
  </si>
  <si>
    <t>Monthly Volatilities</t>
  </si>
  <si>
    <t>Intra-Month Volatilties</t>
  </si>
  <si>
    <t>OffPeak</t>
  </si>
  <si>
    <t>Group</t>
  </si>
  <si>
    <t>Code</t>
  </si>
  <si>
    <t>SoCal</t>
  </si>
  <si>
    <t>Topock</t>
  </si>
  <si>
    <t xml:space="preserve">   Tejon 12/31/99 Payment</t>
  </si>
  <si>
    <t xml:space="preserve">   Tejon Payment (Data Adequacy, Water)</t>
  </si>
  <si>
    <t xml:space="preserve">Average Price </t>
  </si>
  <si>
    <t>Load Factor</t>
  </si>
  <si>
    <t>Summary Statistics (1st Full Year)</t>
  </si>
  <si>
    <t>Total Consumption (MMBtu)</t>
  </si>
  <si>
    <t>Total Sales (MWh)</t>
  </si>
  <si>
    <t>Average Price</t>
  </si>
  <si>
    <t>G&amp;A</t>
  </si>
  <si>
    <t xml:space="preserve">Tax </t>
  </si>
  <si>
    <t>NPV @ Comm. Oper.</t>
  </si>
  <si>
    <t>Start Year</t>
  </si>
  <si>
    <t>End Year</t>
  </si>
  <si>
    <t>$/kW-year</t>
  </si>
  <si>
    <t xml:space="preserve">   Zero Discharge/Well Injection</t>
  </si>
  <si>
    <t>Developer (as of Financial Closing Date)</t>
  </si>
  <si>
    <t>Equity Investor (as of Commercial Operations)</t>
  </si>
  <si>
    <t>Manual</t>
  </si>
  <si>
    <t>Tejon Ranchcorp Pre-Operational Payments</t>
  </si>
  <si>
    <t>NPV12 @ 4/30/99</t>
  </si>
  <si>
    <t>Tejon Ranchcorp Post-Operational Payments</t>
  </si>
  <si>
    <t>Injection Wells Payment</t>
  </si>
  <si>
    <t>NPV of Pre-Operational Payments</t>
  </si>
  <si>
    <t>NPV of Post-Operational Payments</t>
  </si>
  <si>
    <t>Total Tejon NPV</t>
  </si>
  <si>
    <t xml:space="preserve">   Transmission Queue Position</t>
  </si>
  <si>
    <t>Tolling Option Revenues</t>
  </si>
  <si>
    <t>RMR REVENUES:</t>
  </si>
  <si>
    <t>TOLLING OPTION REVENUES:</t>
  </si>
  <si>
    <t>Tolling Option</t>
  </si>
  <si>
    <t>$/kW-month</t>
  </si>
  <si>
    <t>Tolling</t>
  </si>
  <si>
    <t xml:space="preserve">   Sales Tax</t>
  </si>
  <si>
    <t>Environmental Permitting-Woody Clyde</t>
  </si>
  <si>
    <t>Environmental Permitting-Patch</t>
  </si>
  <si>
    <t xml:space="preserve">   Environmental Permitting - Woody Clyde</t>
  </si>
  <si>
    <t xml:space="preserve">   Environmental Permitting - Patch</t>
  </si>
  <si>
    <t xml:space="preserve">   CBO/Engineer/Consultant</t>
  </si>
  <si>
    <t>Gas Transport</t>
  </si>
  <si>
    <t>Fuel Losses</t>
  </si>
  <si>
    <t>Mojave</t>
  </si>
  <si>
    <t xml:space="preserve">   Transmission System Mitigation</t>
  </si>
  <si>
    <t>Transmission Queue Position</t>
  </si>
  <si>
    <t>to 3/31/00</t>
  </si>
  <si>
    <t xml:space="preserve">   Spread (years 1-4)</t>
  </si>
  <si>
    <t xml:space="preserve">   Spread (years 5-8)</t>
  </si>
  <si>
    <t xml:space="preserve">   Spread (years 9-12)</t>
  </si>
  <si>
    <t xml:space="preserve">   Spread (years 13-15)</t>
  </si>
  <si>
    <t>Remaining Principal</t>
  </si>
  <si>
    <t xml:space="preserve">   Advance Water Payments</t>
  </si>
  <si>
    <t>Advance Water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</si>
</sst>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_);[Red]\-0_)"/>
    <numFmt numFmtId="165" formatCode="General_)"/>
    <numFmt numFmtId="166" formatCode="dd\-mmm\-yy_)"/>
    <numFmt numFmtId="167" formatCode="0.00_)"/>
    <numFmt numFmtId="168" formatCode="0_)"/>
    <numFmt numFmtId="172" formatCode="&quot;$&quot;#,##0.0000_);\(&quot;$&quot;#,##0.0000\)"/>
    <numFmt numFmtId="174" formatCode="hh:mm\ AM/PM_)"/>
    <numFmt numFmtId="175" formatCode="mmm\-yy_)"/>
    <numFmt numFmtId="176" formatCode="#,##0.0000_);\(#,##0.0000\)"/>
    <numFmt numFmtId="177" formatCode="0.000_)"/>
    <numFmt numFmtId="178" formatCode="0.0_)"/>
    <numFmt numFmtId="179" formatCode="mm/dd/yy_)"/>
    <numFmt numFmtId="180" formatCode="0.000000_)"/>
    <numFmt numFmtId="182" formatCode="_(* #,##0_);_(* \(#,##0\);_(* &quot;-&quot;??_);_(@_)"/>
    <numFmt numFmtId="183" formatCode="0.0%"/>
    <numFmt numFmtId="184" formatCode="#0"/>
    <numFmt numFmtId="186" formatCode="0_);\(0\)"/>
    <numFmt numFmtId="187" formatCode="dd\-mmm\-yy_);[Red]dd\-mmm\-yy_)"/>
    <numFmt numFmtId="189" formatCode="&quot;$&quot;#,##0"/>
    <numFmt numFmtId="192" formatCode="0.0000"/>
    <numFmt numFmtId="193" formatCode="0.000"/>
    <numFmt numFmtId="194" formatCode="dd\-mmm\-yy"/>
    <numFmt numFmtId="196" formatCode="#,##0.0_);\(#,##0.0\)"/>
    <numFmt numFmtId="197" formatCode="#,##0.000"/>
    <numFmt numFmtId="198" formatCode="#,##0.0"/>
    <numFmt numFmtId="213" formatCode="_(* #,##0.00_);_(* \(#,##0.00\);_(* &quot;-&quot;_);_(@_)"/>
    <numFmt numFmtId="214" formatCode="_(* #,##0.000_);_(* \(#,##0.000\);_(* &quot;-&quot;_);_(@_)"/>
    <numFmt numFmtId="218" formatCode="m/d"/>
    <numFmt numFmtId="221" formatCode="mm/dd/yy"/>
    <numFmt numFmtId="223" formatCode="#,##0.000_);\(#,##0.000\)"/>
    <numFmt numFmtId="226" formatCode="0.000_);[Red]\-0.000_)"/>
    <numFmt numFmtId="237" formatCode="0.000%"/>
    <numFmt numFmtId="242" formatCode=";;;"/>
    <numFmt numFmtId="247" formatCode="#,##0.0_);[Red]\(#,##0.0\)"/>
    <numFmt numFmtId="254" formatCode="mmm\-dd"/>
    <numFmt numFmtId="263" formatCode="yyyy"/>
    <numFmt numFmtId="264" formatCode="0_);[Red]\(0\)"/>
    <numFmt numFmtId="265" formatCode="0;[Red]0"/>
    <numFmt numFmtId="266" formatCode="0.0_);\(0.0\)"/>
    <numFmt numFmtId="267" formatCode="mmmm\-yy"/>
    <numFmt numFmtId="295" formatCode="0.00_);[Red]\(0.00\)"/>
    <numFmt numFmtId="312" formatCode="_-&quot;$&quot;* #,##0_-;\-&quot;$&quot;* #,##0_-;_-&quot;$&quot;* &quot;-&quot;_-;_-@_-"/>
    <numFmt numFmtId="313" formatCode="_-* #,##0_-;\-* #,##0_-;_-* &quot;-&quot;_-;_-@_-"/>
    <numFmt numFmtId="314" formatCode="_-&quot;$&quot;* #,##0.00_-;\-&quot;$&quot;* #,##0.00_-;_-&quot;$&quot;* &quot;-&quot;??_-;_-@_-"/>
    <numFmt numFmtId="315" formatCode="_-* #,##0.00_-;\-* #,##0.00_-;_-* &quot;-&quot;??_-;_-@_-"/>
    <numFmt numFmtId="355" formatCode="_ * #,##0_ ;_ * \-#,##0_ ;_ * &quot;-&quot;_ ;_ @_ "/>
    <numFmt numFmtId="356" formatCode="_ * #,##0.00_ ;_ * \-#,##0.00_ ;_ * &quot;-&quot;??_ ;_ @_ "/>
    <numFmt numFmtId="357" formatCode="_ &quot;CHF&quot;\ * #,##0.00_ ;_ &quot;CHF&quot;\ * \-#,##0.00_ ;_ &quot;CHF&quot;\ * &quot;-&quot;??_ ;_ @_ "/>
    <numFmt numFmtId="358" formatCode="_-* #,##0\ _D_M_-;\-* #,##0\ _D_M_-;_-* &quot;-&quot;\ _D_M_-;_-@_-"/>
    <numFmt numFmtId="359" formatCode="_-* #,##0.00\ _D_M_-;\-* #,##0.00\ _D_M_-;_-* &quot;-&quot;??\ _D_M_-;_-@_-"/>
    <numFmt numFmtId="360" formatCode="_-* #,##0\ &quot;DM&quot;_-;\-* #,##0\ &quot;DM&quot;_-;_-* &quot;-&quot;\ &quot;DM&quot;_-;_-@_-"/>
  </numFmts>
  <fonts count="100">
    <font>
      <sz val="10"/>
      <name val="Arial"/>
    </font>
    <font>
      <b/>
      <sz val="10"/>
      <name val="Arial"/>
    </font>
    <font>
      <sz val="10"/>
      <name val="Arial"/>
    </font>
    <font>
      <sz val="10"/>
      <color indexed="12"/>
      <name val="Courier"/>
    </font>
    <font>
      <sz val="10"/>
      <color indexed="12"/>
      <name val="Arial"/>
      <family val="2"/>
    </font>
    <font>
      <sz val="10"/>
      <name val="Arial"/>
      <family val="2"/>
    </font>
    <font>
      <b/>
      <sz val="10"/>
      <color indexed="16"/>
      <name val="Arial"/>
      <family val="2"/>
    </font>
    <font>
      <b/>
      <sz val="10"/>
      <color indexed="8"/>
      <name val="Arial"/>
    </font>
    <font>
      <sz val="10"/>
      <color indexed="8"/>
      <name val="Arial"/>
    </font>
    <font>
      <b/>
      <sz val="10"/>
      <color indexed="12"/>
      <name val="Arial"/>
      <family val="2"/>
    </font>
    <font>
      <sz val="10"/>
      <color indexed="8"/>
      <name val="Arial"/>
      <family val="2"/>
    </font>
    <font>
      <sz val="10"/>
      <color indexed="8"/>
      <name val="Courier"/>
      <family val="3"/>
    </font>
    <font>
      <sz val="18"/>
      <color indexed="12"/>
      <name val="Arial"/>
    </font>
    <font>
      <b/>
      <sz val="10"/>
      <color indexed="8"/>
      <name val="Arial"/>
      <family val="2"/>
    </font>
    <font>
      <b/>
      <sz val="8"/>
      <name val="Arial"/>
      <family val="2"/>
    </font>
    <font>
      <sz val="8"/>
      <name val="Arial"/>
      <family val="2"/>
    </font>
    <font>
      <b/>
      <sz val="12"/>
      <color indexed="10"/>
      <name val="Arial"/>
      <family val="2"/>
    </font>
    <font>
      <b/>
      <sz val="10"/>
      <color indexed="8"/>
      <name val="Courier"/>
    </font>
    <font>
      <b/>
      <sz val="9"/>
      <name val="Arial"/>
      <family val="2"/>
    </font>
    <font>
      <b/>
      <sz val="12"/>
      <name val="Arial"/>
    </font>
    <font>
      <b/>
      <sz val="14"/>
      <name val="Arial"/>
    </font>
    <font>
      <b/>
      <sz val="10"/>
      <name val="Arial"/>
      <family val="2"/>
    </font>
    <font>
      <b/>
      <sz val="9"/>
      <color indexed="8"/>
      <name val="Arial"/>
      <family val="2"/>
    </font>
    <font>
      <b/>
      <sz val="11"/>
      <color indexed="10"/>
      <name val="Arial"/>
      <family val="2"/>
    </font>
    <font>
      <b/>
      <sz val="11"/>
      <name val="Arial"/>
      <family val="2"/>
    </font>
    <font>
      <b/>
      <sz val="12"/>
      <color indexed="47"/>
      <name val="Arial"/>
      <family val="2"/>
    </font>
    <font>
      <b/>
      <sz val="8"/>
      <color indexed="8"/>
      <name val="Arial"/>
      <family val="2"/>
    </font>
    <font>
      <b/>
      <sz val="10"/>
      <color indexed="10"/>
      <name val="Arial"/>
      <family val="2"/>
    </font>
    <font>
      <sz val="10"/>
      <color indexed="8"/>
      <name val="Courier"/>
    </font>
    <font>
      <sz val="9"/>
      <name val="Arial"/>
      <family val="2"/>
    </font>
    <font>
      <sz val="8"/>
      <name val="Tahoma"/>
      <family val="2"/>
    </font>
    <font>
      <sz val="12"/>
      <color indexed="8"/>
      <name val="Arial MT"/>
    </font>
    <font>
      <sz val="8"/>
      <color indexed="81"/>
      <name val="Tahoma"/>
    </font>
    <font>
      <b/>
      <u/>
      <sz val="11"/>
      <color indexed="37"/>
      <name val="Arial"/>
      <family val="2"/>
    </font>
    <font>
      <sz val="8"/>
      <name val="Arial"/>
    </font>
    <font>
      <sz val="8"/>
      <name val="Arial"/>
    </font>
    <font>
      <sz val="10"/>
      <name val="Courier"/>
    </font>
    <font>
      <sz val="8"/>
      <name val="Tms Rmn"/>
    </font>
    <font>
      <sz val="8"/>
      <color indexed="12"/>
      <name val="Arial"/>
      <family val="2"/>
    </font>
    <font>
      <b/>
      <sz val="10"/>
      <name val="Times New Roman"/>
      <family val="1"/>
    </font>
    <font>
      <sz val="10"/>
      <name val="Times New Roman"/>
      <family val="1"/>
    </font>
    <font>
      <sz val="8"/>
      <name val="Times New Roman"/>
      <family val="1"/>
    </font>
    <font>
      <i/>
      <sz val="10"/>
      <name val="Times New Roman"/>
      <family val="1"/>
    </font>
    <font>
      <sz val="8"/>
      <color indexed="56"/>
      <name val="Times New Roman"/>
      <family val="1"/>
    </font>
    <font>
      <i/>
      <sz val="8"/>
      <name val="Times New Roman"/>
      <family val="1"/>
    </font>
    <font>
      <sz val="10"/>
      <name val="MS Sans Serif"/>
    </font>
    <font>
      <b/>
      <sz val="8"/>
      <color indexed="12"/>
      <name val="Arial"/>
      <family val="2"/>
    </font>
    <font>
      <b/>
      <sz val="8"/>
      <color indexed="81"/>
      <name val="Tahoma"/>
    </font>
    <font>
      <sz val="12"/>
      <name val="Helv"/>
    </font>
    <font>
      <b/>
      <sz val="14"/>
      <name val="Arial"/>
      <family val="2"/>
    </font>
    <font>
      <i/>
      <sz val="8"/>
      <name val="Arial"/>
      <family val="2"/>
    </font>
    <font>
      <b/>
      <sz val="8"/>
      <color indexed="56"/>
      <name val="Arial"/>
      <family val="2"/>
    </font>
    <font>
      <b/>
      <i/>
      <sz val="8"/>
      <name val="Arial"/>
      <family val="2"/>
    </font>
    <font>
      <sz val="8"/>
      <color indexed="8"/>
      <name val="Arial"/>
      <family val="2"/>
    </font>
    <font>
      <b/>
      <sz val="8"/>
      <color indexed="12"/>
      <name val="Arial"/>
    </font>
    <font>
      <i/>
      <sz val="8"/>
      <color indexed="10"/>
      <name val="Arial"/>
      <family val="2"/>
    </font>
    <font>
      <b/>
      <i/>
      <sz val="8"/>
      <color indexed="10"/>
      <name val="Arial"/>
      <family val="2"/>
    </font>
    <font>
      <b/>
      <sz val="8"/>
      <color indexed="8"/>
      <name val="Arial"/>
    </font>
    <font>
      <sz val="8"/>
      <color indexed="8"/>
      <name val="Arial"/>
    </font>
    <font>
      <b/>
      <u/>
      <sz val="8"/>
      <name val="Arial"/>
      <family val="2"/>
    </font>
    <font>
      <i/>
      <sz val="8"/>
      <name val="Arial"/>
    </font>
    <font>
      <sz val="8"/>
      <color indexed="56"/>
      <name val="Arial"/>
      <family val="2"/>
    </font>
    <font>
      <b/>
      <sz val="8"/>
      <name val="Arial"/>
    </font>
    <font>
      <sz val="8"/>
      <color indexed="8"/>
      <name val="Arial MT"/>
    </font>
    <font>
      <b/>
      <sz val="8"/>
      <color indexed="8"/>
      <name val="Arial MT"/>
    </font>
    <font>
      <b/>
      <i/>
      <sz val="8"/>
      <color indexed="8"/>
      <name val="P-TIMES"/>
    </font>
    <font>
      <b/>
      <sz val="8"/>
      <color indexed="8"/>
      <name val="P-TIMES"/>
    </font>
    <font>
      <b/>
      <i/>
      <sz val="8"/>
      <name val="P-TIMES"/>
    </font>
    <font>
      <b/>
      <sz val="8"/>
      <name val="P-TIMES"/>
    </font>
    <font>
      <b/>
      <sz val="8"/>
      <color indexed="56"/>
      <name val="Arial"/>
    </font>
    <font>
      <sz val="8"/>
      <color indexed="8"/>
      <name val="P-TIMES"/>
    </font>
    <font>
      <i/>
      <sz val="10"/>
      <name val="Arial"/>
      <family val="2"/>
    </font>
    <font>
      <sz val="8"/>
      <color indexed="9"/>
      <name val="Arial"/>
    </font>
    <font>
      <sz val="8"/>
      <color indexed="9"/>
      <name val="Arial"/>
    </font>
    <font>
      <sz val="7"/>
      <name val="Arial"/>
    </font>
    <font>
      <u/>
      <sz val="8"/>
      <name val="Arial"/>
      <family val="2"/>
    </font>
    <font>
      <u/>
      <sz val="8"/>
      <color indexed="12"/>
      <name val="Arial"/>
      <family val="2"/>
    </font>
    <font>
      <sz val="8"/>
      <color indexed="10"/>
      <name val="Arial"/>
      <family val="2"/>
    </font>
    <font>
      <sz val="8"/>
      <color indexed="12"/>
      <name val="Arial"/>
    </font>
    <font>
      <b/>
      <sz val="8"/>
      <color indexed="10"/>
      <name val="Arial"/>
      <family val="2"/>
    </font>
    <font>
      <i/>
      <sz val="7.5"/>
      <color indexed="12"/>
      <name val="Arial"/>
      <family val="2"/>
    </font>
    <font>
      <i/>
      <u/>
      <sz val="8"/>
      <name val="Arial"/>
      <family val="2"/>
    </font>
    <font>
      <sz val="8"/>
      <color indexed="9"/>
      <name val="Arial"/>
      <family val="2"/>
    </font>
    <font>
      <b/>
      <i/>
      <sz val="8"/>
      <name val="Arial"/>
    </font>
    <font>
      <sz val="10"/>
      <color indexed="56"/>
      <name val="Arial"/>
      <family val="2"/>
    </font>
    <font>
      <sz val="10"/>
      <color indexed="9"/>
      <name val="Arial"/>
      <family val="2"/>
    </font>
    <font>
      <b/>
      <sz val="14"/>
      <color indexed="9"/>
      <name val="Arial"/>
      <family val="2"/>
    </font>
    <font>
      <sz val="11"/>
      <name val="Arial"/>
    </font>
    <font>
      <i/>
      <sz val="8"/>
      <color indexed="9"/>
      <name val="Arial"/>
      <family val="2"/>
    </font>
    <font>
      <b/>
      <sz val="12"/>
      <color indexed="9"/>
      <name val="Arial"/>
      <family val="2"/>
    </font>
    <font>
      <b/>
      <sz val="10"/>
      <color indexed="9"/>
      <name val="Arial"/>
      <family val="2"/>
    </font>
    <font>
      <b/>
      <sz val="8"/>
      <color indexed="10"/>
      <name val="Arial"/>
    </font>
    <font>
      <b/>
      <sz val="16"/>
      <color indexed="8"/>
      <name val="Arial"/>
      <family val="2"/>
    </font>
    <font>
      <u/>
      <sz val="8"/>
      <color indexed="8"/>
      <name val="Arial"/>
      <family val="2"/>
    </font>
    <font>
      <b/>
      <u/>
      <sz val="8"/>
      <color indexed="8"/>
      <name val="Arial"/>
      <family val="2"/>
    </font>
    <font>
      <sz val="8"/>
      <color indexed="17"/>
      <name val="Arial"/>
      <family val="2"/>
    </font>
    <font>
      <b/>
      <sz val="8"/>
      <color indexed="12"/>
      <name val="Times New Roman"/>
      <family val="1"/>
    </font>
    <font>
      <sz val="10"/>
      <color indexed="10"/>
      <name val="Arial"/>
      <family val="2"/>
    </font>
    <font>
      <sz val="8"/>
      <name val="MS Sans Serif"/>
      <family val="2"/>
    </font>
    <font>
      <sz val="8"/>
      <name val="Tahoma"/>
      <family val="2"/>
    </font>
  </fonts>
  <fills count="19">
    <fill>
      <patternFill patternType="none"/>
    </fill>
    <fill>
      <patternFill patternType="gray125"/>
    </fill>
    <fill>
      <patternFill patternType="solid">
        <fgColor indexed="15"/>
        <bgColor indexed="64"/>
      </patternFill>
    </fill>
    <fill>
      <patternFill patternType="solid">
        <fgColor indexed="58"/>
        <bgColor indexed="64"/>
      </patternFill>
    </fill>
    <fill>
      <patternFill patternType="solid">
        <fgColor indexed="43"/>
        <bgColor indexed="64"/>
      </patternFill>
    </fill>
    <fill>
      <patternFill patternType="solid">
        <fgColor indexed="22"/>
        <bgColor indexed="64"/>
      </patternFill>
    </fill>
    <fill>
      <patternFill patternType="solid">
        <fgColor indexed="14"/>
        <bgColor indexed="64"/>
      </patternFill>
    </fill>
    <fill>
      <patternFill patternType="solid">
        <fgColor indexed="11"/>
        <bgColor indexed="64"/>
      </patternFill>
    </fill>
    <fill>
      <patternFill patternType="solid">
        <fgColor indexed="9"/>
        <bgColor indexed="64"/>
      </patternFill>
    </fill>
    <fill>
      <patternFill patternType="solid">
        <fgColor indexed="17"/>
        <bgColor indexed="64"/>
      </patternFill>
    </fill>
    <fill>
      <patternFill patternType="solid">
        <fgColor indexed="35"/>
        <bgColor indexed="64"/>
      </patternFill>
    </fill>
    <fill>
      <patternFill patternType="solid">
        <fgColor indexed="13"/>
      </patternFill>
    </fill>
    <fill>
      <patternFill patternType="lightGray">
        <fgColor indexed="13"/>
      </patternFill>
    </fill>
    <fill>
      <patternFill patternType="solid">
        <fgColor indexed="13"/>
        <bgColor indexed="64"/>
      </patternFill>
    </fill>
    <fill>
      <patternFill patternType="solid">
        <fgColor indexed="22"/>
      </patternFill>
    </fill>
    <fill>
      <patternFill patternType="solid">
        <fgColor indexed="29"/>
        <bgColor indexed="64"/>
      </patternFill>
    </fill>
    <fill>
      <patternFill patternType="solid">
        <fgColor indexed="10"/>
        <bgColor indexed="64"/>
      </patternFill>
    </fill>
    <fill>
      <patternFill patternType="solid">
        <fgColor indexed="50"/>
        <bgColor indexed="64"/>
      </patternFill>
    </fill>
    <fill>
      <patternFill patternType="solid">
        <fgColor indexed="47"/>
        <bgColor indexed="64"/>
      </patternFill>
    </fill>
  </fills>
  <borders count="156">
    <border>
      <left/>
      <right/>
      <top/>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double">
        <color indexed="8"/>
      </left>
      <right style="double">
        <color indexed="64"/>
      </right>
      <top style="double">
        <color indexed="8"/>
      </top>
      <bottom style="double">
        <color indexed="64"/>
      </bottom>
      <diagonal/>
    </border>
    <border>
      <left style="double">
        <color indexed="64"/>
      </left>
      <right style="double">
        <color indexed="64"/>
      </right>
      <top style="double">
        <color indexed="8"/>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double">
        <color indexed="8"/>
      </left>
      <right style="double">
        <color indexed="8"/>
      </right>
      <top style="double">
        <color indexed="8"/>
      </top>
      <bottom style="double">
        <color indexed="8"/>
      </bottom>
      <diagonal/>
    </border>
    <border>
      <left style="medium">
        <color indexed="64"/>
      </left>
      <right/>
      <top style="thin">
        <color indexed="64"/>
      </top>
      <bottom style="double">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medium">
        <color indexed="64"/>
      </left>
      <right style="thin">
        <color indexed="8"/>
      </right>
      <top style="medium">
        <color indexed="64"/>
      </top>
      <bottom/>
      <diagonal/>
    </border>
    <border>
      <left style="thin">
        <color indexed="8"/>
      </left>
      <right style="thin">
        <color indexed="8"/>
      </right>
      <top style="medium">
        <color indexed="64"/>
      </top>
      <bottom/>
      <diagonal/>
    </border>
    <border>
      <left style="thin">
        <color indexed="8"/>
      </left>
      <right/>
      <top style="medium">
        <color indexed="64"/>
      </top>
      <bottom/>
      <diagonal/>
    </border>
    <border>
      <left style="thin">
        <color indexed="8"/>
      </left>
      <right style="thin">
        <color indexed="8"/>
      </right>
      <top style="thin">
        <color indexed="8"/>
      </top>
      <bottom/>
      <diagonal/>
    </border>
    <border>
      <left style="medium">
        <color indexed="64"/>
      </left>
      <right style="thin">
        <color indexed="8"/>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bottom style="thin">
        <color indexed="8"/>
      </bottom>
      <diagonal/>
    </border>
    <border>
      <left/>
      <right style="medium">
        <color indexed="64"/>
      </right>
      <top/>
      <bottom style="thin">
        <color indexed="8"/>
      </bottom>
      <diagonal/>
    </border>
    <border>
      <left style="thin">
        <color indexed="64"/>
      </left>
      <right style="thin">
        <color indexed="64"/>
      </right>
      <top style="thin">
        <color indexed="8"/>
      </top>
      <bottom/>
      <diagonal/>
    </border>
    <border>
      <left/>
      <right style="medium">
        <color indexed="64"/>
      </right>
      <top style="thin">
        <color indexed="8"/>
      </top>
      <bottom/>
      <diagonal/>
    </border>
    <border>
      <left style="medium">
        <color indexed="64"/>
      </left>
      <right style="thin">
        <color indexed="64"/>
      </right>
      <top/>
      <bottom/>
      <diagonal/>
    </border>
    <border>
      <left style="thin">
        <color indexed="8"/>
      </left>
      <right style="thin">
        <color indexed="8"/>
      </right>
      <top/>
      <bottom/>
      <diagonal/>
    </border>
    <border>
      <left style="thin">
        <color indexed="8"/>
      </left>
      <right/>
      <top/>
      <bottom style="medium">
        <color indexed="64"/>
      </bottom>
      <diagonal/>
    </border>
    <border>
      <left style="double">
        <color indexed="8"/>
      </left>
      <right style="double">
        <color indexed="8"/>
      </right>
      <top style="double">
        <color indexed="8"/>
      </top>
      <bottom style="double">
        <color indexed="64"/>
      </bottom>
      <diagonal/>
    </border>
    <border>
      <left/>
      <right/>
      <top style="thick">
        <color indexed="64"/>
      </top>
      <bottom/>
      <diagonal/>
    </border>
    <border>
      <left/>
      <right/>
      <top/>
      <bottom style="thick">
        <color indexed="64"/>
      </bottom>
      <diagonal/>
    </border>
    <border>
      <left/>
      <right style="thin">
        <color indexed="64"/>
      </right>
      <top/>
      <bottom style="thin">
        <color indexed="64"/>
      </bottom>
      <diagonal/>
    </border>
    <border>
      <left style="thin">
        <color indexed="64"/>
      </left>
      <right/>
      <top/>
      <bottom style="thin">
        <color indexed="8"/>
      </bottom>
      <diagonal/>
    </border>
    <border>
      <left/>
      <right style="thin">
        <color indexed="64"/>
      </right>
      <top style="thin">
        <color indexed="8"/>
      </top>
      <bottom/>
      <diagonal/>
    </border>
    <border>
      <left/>
      <right style="thin">
        <color indexed="8"/>
      </right>
      <top/>
      <bottom/>
      <diagonal/>
    </border>
    <border>
      <left/>
      <right/>
      <top style="thin">
        <color indexed="8"/>
      </top>
      <bottom style="double">
        <color indexed="8"/>
      </bottom>
      <diagonal/>
    </border>
    <border>
      <left/>
      <right style="thin">
        <color indexed="8"/>
      </right>
      <top style="thin">
        <color indexed="8"/>
      </top>
      <bottom style="double">
        <color indexed="8"/>
      </bottom>
      <diagonal/>
    </border>
    <border>
      <left/>
      <right style="double">
        <color indexed="64"/>
      </right>
      <top style="double">
        <color indexed="64"/>
      </top>
      <bottom style="double">
        <color indexed="8"/>
      </bottom>
      <diagonal/>
    </border>
    <border>
      <left/>
      <right style="thin">
        <color indexed="64"/>
      </right>
      <top style="thin">
        <color indexed="8"/>
      </top>
      <bottom style="double">
        <color indexed="8"/>
      </bottom>
      <diagonal/>
    </border>
    <border>
      <left style="thin">
        <color indexed="64"/>
      </left>
      <right/>
      <top style="thin">
        <color indexed="8"/>
      </top>
      <bottom/>
      <diagonal/>
    </border>
    <border>
      <left style="double">
        <color indexed="64"/>
      </left>
      <right style="double">
        <color indexed="64"/>
      </right>
      <top style="double">
        <color indexed="64"/>
      </top>
      <bottom style="double">
        <color indexed="8"/>
      </bottom>
      <diagonal/>
    </border>
    <border>
      <left style="double">
        <color indexed="64"/>
      </left>
      <right style="double">
        <color indexed="64"/>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style="double">
        <color indexed="64"/>
      </right>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n">
        <color indexed="8"/>
      </left>
      <right style="thin">
        <color indexed="8"/>
      </right>
      <top style="thin">
        <color indexed="8"/>
      </top>
      <bottom style="thin">
        <color indexed="8"/>
      </bottom>
      <diagonal/>
    </border>
    <border>
      <left style="double">
        <color indexed="8"/>
      </left>
      <right/>
      <top style="double">
        <color indexed="8"/>
      </top>
      <bottom/>
      <diagonal/>
    </border>
    <border>
      <left/>
      <right style="double">
        <color indexed="8"/>
      </right>
      <top style="double">
        <color indexed="8"/>
      </top>
      <bottom/>
      <diagonal/>
    </border>
    <border>
      <left style="double">
        <color indexed="8"/>
      </left>
      <right/>
      <top/>
      <bottom style="double">
        <color indexed="8"/>
      </bottom>
      <diagonal/>
    </border>
    <border>
      <left/>
      <right style="double">
        <color indexed="8"/>
      </right>
      <top/>
      <bottom style="double">
        <color indexed="8"/>
      </bottom>
      <diagonal/>
    </border>
    <border>
      <left style="double">
        <color indexed="8"/>
      </left>
      <right style="double">
        <color indexed="8"/>
      </right>
      <top style="thin">
        <color indexed="64"/>
      </top>
      <bottom style="double">
        <color indexed="8"/>
      </bottom>
      <diagonal/>
    </border>
    <border>
      <left/>
      <right style="double">
        <color indexed="64"/>
      </right>
      <top style="thin">
        <color indexed="64"/>
      </top>
      <bottom style="double">
        <color indexed="8"/>
      </bottom>
      <diagonal/>
    </border>
    <border>
      <left/>
      <right style="thin">
        <color indexed="64"/>
      </right>
      <top style="thin">
        <color indexed="64"/>
      </top>
      <bottom style="double">
        <color indexed="8"/>
      </bottom>
      <diagonal/>
    </border>
    <border>
      <left style="thin">
        <color indexed="64"/>
      </left>
      <right/>
      <top style="thin">
        <color indexed="8"/>
      </top>
      <bottom style="double">
        <color indexed="8"/>
      </bottom>
      <diagonal/>
    </border>
    <border>
      <left style="double">
        <color indexed="8"/>
      </left>
      <right style="double">
        <color indexed="8"/>
      </right>
      <top style="double">
        <color indexed="8"/>
      </top>
      <bottom/>
      <diagonal/>
    </border>
    <border>
      <left style="double">
        <color indexed="8"/>
      </left>
      <right style="double">
        <color indexed="8"/>
      </right>
      <top/>
      <bottom style="double">
        <color indexed="8"/>
      </bottom>
      <diagonal/>
    </border>
    <border>
      <left/>
      <right style="double">
        <color indexed="8"/>
      </right>
      <top style="double">
        <color indexed="64"/>
      </top>
      <bottom style="double">
        <color indexed="8"/>
      </bottom>
      <diagonal/>
    </border>
    <border>
      <left style="thin">
        <color indexed="64"/>
      </left>
      <right/>
      <top style="double">
        <color indexed="8"/>
      </top>
      <bottom/>
      <diagonal/>
    </border>
    <border>
      <left style="double">
        <color indexed="8"/>
      </left>
      <right/>
      <top style="double">
        <color indexed="8"/>
      </top>
      <bottom style="double">
        <color indexed="8"/>
      </bottom>
      <diagonal/>
    </border>
    <border>
      <left style="thin">
        <color indexed="64"/>
      </left>
      <right style="double">
        <color indexed="64"/>
      </right>
      <top style="double">
        <color indexed="64"/>
      </top>
      <bottom style="double">
        <color indexed="8"/>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double">
        <color indexed="8"/>
      </bottom>
      <diagonal/>
    </border>
    <border>
      <left style="thin">
        <color indexed="64"/>
      </left>
      <right/>
      <top/>
      <bottom style="double">
        <color indexed="8"/>
      </bottom>
      <diagonal/>
    </border>
    <border>
      <left style="dotted">
        <color indexed="64"/>
      </left>
      <right style="thin">
        <color indexed="64"/>
      </right>
      <top style="thin">
        <color indexed="64"/>
      </top>
      <bottom/>
      <diagonal/>
    </border>
    <border>
      <left style="dotted">
        <color indexed="64"/>
      </left>
      <right style="thin">
        <color indexed="64"/>
      </right>
      <top/>
      <bottom/>
      <diagonal/>
    </border>
    <border>
      <left style="dotted">
        <color indexed="64"/>
      </left>
      <right/>
      <top/>
      <bottom style="medium">
        <color indexed="64"/>
      </bottom>
      <diagonal/>
    </border>
    <border>
      <left style="dotted">
        <color indexed="64"/>
      </left>
      <right/>
      <top style="medium">
        <color indexed="64"/>
      </top>
      <bottom/>
      <diagonal/>
    </border>
    <border>
      <left style="dotted">
        <color indexed="64"/>
      </left>
      <right/>
      <top/>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style="thin">
        <color indexed="8"/>
      </left>
      <right/>
      <top/>
      <bottom style="thin">
        <color indexed="64"/>
      </bottom>
      <diagonal/>
    </border>
    <border>
      <left style="thin">
        <color indexed="8"/>
      </left>
      <right style="thin">
        <color indexed="8"/>
      </right>
      <top/>
      <bottom style="thin">
        <color indexed="64"/>
      </bottom>
      <diagonal/>
    </border>
    <border>
      <left style="double">
        <color indexed="8"/>
      </left>
      <right style="double">
        <color indexed="64"/>
      </right>
      <top style="double">
        <color indexed="8"/>
      </top>
      <bottom style="double">
        <color indexed="8"/>
      </bottom>
      <diagonal/>
    </border>
    <border>
      <left style="double">
        <color indexed="64"/>
      </left>
      <right style="double">
        <color indexed="64"/>
      </right>
      <top style="double">
        <color indexed="8"/>
      </top>
      <bottom style="double">
        <color indexed="8"/>
      </bottom>
      <diagonal/>
    </border>
    <border>
      <left style="double">
        <color indexed="64"/>
      </left>
      <right style="medium">
        <color indexed="64"/>
      </right>
      <top style="double">
        <color indexed="8"/>
      </top>
      <bottom style="double">
        <color indexed="8"/>
      </bottom>
      <diagonal/>
    </border>
    <border>
      <left/>
      <right style="thin">
        <color indexed="64"/>
      </right>
      <top style="medium">
        <color indexed="64"/>
      </top>
      <bottom style="thin">
        <color indexed="64"/>
      </bottom>
      <diagonal/>
    </border>
    <border>
      <left style="medium">
        <color indexed="8"/>
      </left>
      <right/>
      <top/>
      <bottom style="medium">
        <color indexed="8"/>
      </bottom>
      <diagonal/>
    </border>
    <border>
      <left/>
      <right/>
      <top/>
      <bottom style="medium">
        <color indexed="8"/>
      </bottom>
      <diagonal/>
    </border>
    <border>
      <left style="thin">
        <color indexed="64"/>
      </left>
      <right/>
      <top style="thin">
        <color indexed="64"/>
      </top>
      <bottom style="medium">
        <color indexed="8"/>
      </bottom>
      <diagonal/>
    </border>
  </borders>
  <cellStyleXfs count="27">
    <xf numFmtId="0" fontId="0" fillId="0" borderId="0"/>
    <xf numFmtId="43" fontId="2" fillId="0" borderId="0" applyFont="0" applyFill="0" applyBorder="0" applyAlignment="0" applyProtection="0"/>
    <xf numFmtId="43" fontId="2" fillId="0" borderId="0" applyFont="0" applyFill="0" applyBorder="0" applyAlignment="0" applyProtection="0"/>
    <xf numFmtId="40" fontId="2" fillId="0" borderId="0" applyFont="0" applyFill="0" applyBorder="0" applyAlignment="0" applyProtection="0"/>
    <xf numFmtId="8" fontId="2" fillId="0" borderId="0" applyFont="0" applyFill="0" applyBorder="0" applyAlignment="0" applyProtection="0"/>
    <xf numFmtId="44" fontId="2" fillId="0" borderId="0" applyFont="0" applyFill="0" applyBorder="0" applyAlignment="0" applyProtection="0"/>
    <xf numFmtId="313" fontId="2" fillId="0" borderId="0" applyFont="0" applyFill="0" applyBorder="0" applyAlignment="0" applyProtection="0"/>
    <xf numFmtId="315" fontId="2" fillId="0" borderId="0" applyFont="0" applyFill="0" applyBorder="0" applyAlignment="0" applyProtection="0"/>
    <xf numFmtId="0" fontId="33" fillId="0" borderId="0" applyNumberFormat="0" applyFill="0" applyBorder="0" applyAlignment="0" applyProtection="0"/>
    <xf numFmtId="0" fontId="4" fillId="0" borderId="1" applyNumberFormat="0" applyFill="0" applyAlignment="0" applyProtection="0"/>
    <xf numFmtId="0" fontId="31" fillId="0" borderId="0"/>
    <xf numFmtId="0" fontId="31" fillId="0" borderId="0"/>
    <xf numFmtId="0" fontId="2" fillId="0" borderId="0"/>
    <xf numFmtId="3" fontId="34" fillId="0" borderId="0" applyFont="0" applyAlignment="0">
      <alignment horizontal="center"/>
    </xf>
    <xf numFmtId="0" fontId="2" fillId="0" borderId="0"/>
    <xf numFmtId="37" fontId="35" fillId="0" borderId="0"/>
    <xf numFmtId="0" fontId="31" fillId="0" borderId="0"/>
    <xf numFmtId="0" fontId="15" fillId="0" borderId="0"/>
    <xf numFmtId="168" fontId="34" fillId="0" borderId="0" applyNumberFormat="0" applyFont="0" applyAlignment="0">
      <alignment horizontal="center"/>
    </xf>
    <xf numFmtId="9" fontId="2" fillId="0" borderId="0" applyFont="0" applyFill="0" applyBorder="0" applyAlignment="0" applyProtection="0"/>
    <xf numFmtId="0" fontId="2" fillId="3" borderId="0"/>
    <xf numFmtId="37" fontId="15" fillId="4" borderId="0" applyNumberFormat="0" applyBorder="0" applyAlignment="0" applyProtection="0"/>
    <xf numFmtId="37" fontId="34" fillId="0" borderId="0"/>
    <xf numFmtId="37" fontId="34" fillId="5" borderId="0" applyNumberFormat="0" applyBorder="0" applyAlignment="0" applyProtection="0"/>
    <xf numFmtId="3" fontId="38" fillId="0" borderId="1" applyProtection="0"/>
    <xf numFmtId="0" fontId="2" fillId="0" borderId="0" applyFont="0" applyFill="0" applyBorder="0" applyAlignment="0" applyProtection="0"/>
    <xf numFmtId="0" fontId="2" fillId="0" borderId="0" applyFont="0" applyFill="0" applyBorder="0" applyAlignment="0" applyProtection="0"/>
  </cellStyleXfs>
  <cellXfs count="1887">
    <xf numFmtId="0" fontId="0" fillId="0" borderId="0" xfId="0"/>
    <xf numFmtId="0" fontId="3" fillId="0" borderId="0" xfId="0" applyFont="1" applyProtection="1">
      <protection locked="0"/>
    </xf>
    <xf numFmtId="10" fontId="0" fillId="0" borderId="0" xfId="0" applyNumberFormat="1" applyProtection="1"/>
    <xf numFmtId="164" fontId="0" fillId="0" borderId="0" xfId="0" applyNumberFormat="1" applyProtection="1"/>
    <xf numFmtId="175" fontId="0" fillId="0" borderId="0" xfId="0" applyNumberFormat="1" applyProtection="1"/>
    <xf numFmtId="0" fontId="0" fillId="0" borderId="0" xfId="0" applyFill="1"/>
    <xf numFmtId="0" fontId="8" fillId="0" borderId="2" xfId="0" applyFont="1" applyFill="1" applyBorder="1" applyAlignment="1" applyProtection="1">
      <alignment horizontal="left"/>
    </xf>
    <xf numFmtId="166" fontId="0" fillId="0" borderId="0" xfId="0" applyNumberFormat="1" applyBorder="1" applyProtection="1"/>
    <xf numFmtId="164" fontId="3" fillId="0" borderId="0" xfId="0" applyNumberFormat="1" applyFont="1" applyProtection="1"/>
    <xf numFmtId="0" fontId="0" fillId="0" borderId="0" xfId="0" applyProtection="1"/>
    <xf numFmtId="0" fontId="3" fillId="0" borderId="0" xfId="0" applyFont="1" applyProtection="1"/>
    <xf numFmtId="0" fontId="3" fillId="0" borderId="0" xfId="0" applyFont="1" applyBorder="1" applyProtection="1"/>
    <xf numFmtId="0" fontId="0" fillId="0" borderId="0" xfId="0" applyBorder="1" applyProtection="1"/>
    <xf numFmtId="0" fontId="0" fillId="0" borderId="0" xfId="0" applyBorder="1" applyAlignment="1" applyProtection="1">
      <alignment horizontal="left"/>
    </xf>
    <xf numFmtId="0" fontId="8" fillId="0" borderId="0" xfId="0" applyFont="1" applyFill="1" applyBorder="1"/>
    <xf numFmtId="0" fontId="0" fillId="0" borderId="0" xfId="0" applyBorder="1"/>
    <xf numFmtId="37" fontId="12" fillId="0" borderId="0" xfId="0" applyNumberFormat="1" applyFont="1" applyFill="1" applyBorder="1" applyProtection="1"/>
    <xf numFmtId="175" fontId="0" fillId="0" borderId="0" xfId="0" applyNumberFormat="1" applyAlignment="1" applyProtection="1">
      <alignment horizontal="center"/>
    </xf>
    <xf numFmtId="0" fontId="0" fillId="0" borderId="0" xfId="0" applyFill="1" applyAlignment="1">
      <alignment horizontal="left"/>
    </xf>
    <xf numFmtId="0" fontId="3" fillId="0" borderId="0" xfId="0" applyFont="1" applyFill="1" applyProtection="1">
      <protection locked="0"/>
    </xf>
    <xf numFmtId="0" fontId="0" fillId="0" borderId="0" xfId="0" applyFill="1" applyBorder="1" applyAlignment="1">
      <alignment horizontal="left"/>
    </xf>
    <xf numFmtId="0" fontId="3" fillId="0" borderId="0" xfId="0" applyFont="1" applyFill="1" applyBorder="1" applyProtection="1">
      <protection locked="0"/>
    </xf>
    <xf numFmtId="0" fontId="0" fillId="0" borderId="0" xfId="0" applyFill="1" applyBorder="1" applyProtection="1">
      <protection locked="0"/>
    </xf>
    <xf numFmtId="0" fontId="0" fillId="0" borderId="0" xfId="0" applyAlignment="1" applyProtection="1">
      <alignment horizontal="center"/>
    </xf>
    <xf numFmtId="179" fontId="0" fillId="0" borderId="0" xfId="0" applyNumberFormat="1" applyProtection="1"/>
    <xf numFmtId="39" fontId="3" fillId="0" borderId="0" xfId="0" applyNumberFormat="1" applyFont="1" applyAlignment="1" applyProtection="1">
      <alignment horizontal="center"/>
      <protection locked="0"/>
    </xf>
    <xf numFmtId="187" fontId="3" fillId="0" borderId="0" xfId="0" applyNumberFormat="1" applyFont="1" applyAlignment="1" applyProtection="1">
      <alignment horizontal="center"/>
      <protection locked="0"/>
    </xf>
    <xf numFmtId="39" fontId="0" fillId="0" borderId="0" xfId="0" applyNumberFormat="1" applyProtection="1"/>
    <xf numFmtId="176" fontId="3" fillId="0" borderId="0" xfId="0" applyNumberFormat="1" applyFont="1" applyProtection="1">
      <protection locked="0"/>
    </xf>
    <xf numFmtId="0" fontId="0" fillId="0" borderId="0" xfId="0" applyFill="1" applyBorder="1"/>
    <xf numFmtId="0" fontId="0" fillId="0" borderId="2" xfId="0" applyFill="1" applyBorder="1" applyAlignment="1">
      <alignment horizontal="right"/>
    </xf>
    <xf numFmtId="0" fontId="1" fillId="0" borderId="3" xfId="0" applyFont="1" applyFill="1" applyBorder="1"/>
    <xf numFmtId="0" fontId="0" fillId="0" borderId="4" xfId="0" applyFill="1" applyBorder="1"/>
    <xf numFmtId="0" fontId="0" fillId="0" borderId="5" xfId="0" applyFill="1" applyBorder="1"/>
    <xf numFmtId="0" fontId="0" fillId="0" borderId="6" xfId="0" applyFill="1" applyBorder="1" applyAlignment="1">
      <alignment horizontal="right"/>
    </xf>
    <xf numFmtId="164" fontId="3" fillId="0" borderId="0" xfId="0" applyNumberFormat="1" applyFont="1" applyFill="1" applyProtection="1">
      <protection locked="0"/>
    </xf>
    <xf numFmtId="0" fontId="3" fillId="0" borderId="0" xfId="0" applyFont="1" applyFill="1" applyAlignment="1" applyProtection="1">
      <alignment horizontal="left"/>
      <protection locked="0"/>
    </xf>
    <xf numFmtId="0" fontId="0" fillId="0" borderId="0" xfId="0" applyFill="1" applyAlignment="1">
      <alignment horizontal="center"/>
    </xf>
    <xf numFmtId="5" fontId="0" fillId="0" borderId="0" xfId="0" applyNumberFormat="1" applyFill="1" applyProtection="1"/>
    <xf numFmtId="5" fontId="0" fillId="0" borderId="0" xfId="0" applyNumberFormat="1" applyFill="1" applyAlignment="1" applyProtection="1">
      <alignment horizontal="left"/>
    </xf>
    <xf numFmtId="10" fontId="0" fillId="0" borderId="0" xfId="0" applyNumberFormat="1" applyFill="1" applyProtection="1"/>
    <xf numFmtId="0" fontId="0" fillId="0" borderId="7" xfId="0" applyFill="1" applyBorder="1"/>
    <xf numFmtId="0" fontId="0" fillId="0" borderId="8" xfId="0" applyFill="1" applyBorder="1"/>
    <xf numFmtId="0" fontId="0" fillId="0" borderId="8" xfId="0" applyFill="1" applyBorder="1" applyAlignment="1">
      <alignment horizontal="right"/>
    </xf>
    <xf numFmtId="0" fontId="0" fillId="0" borderId="9" xfId="0" applyFill="1" applyBorder="1" applyAlignment="1">
      <alignment horizontal="right"/>
    </xf>
    <xf numFmtId="0" fontId="0" fillId="0" borderId="10" xfId="0" applyFill="1" applyBorder="1" applyAlignment="1">
      <alignment horizontal="center"/>
    </xf>
    <xf numFmtId="0" fontId="0" fillId="0" borderId="9" xfId="0" applyFill="1" applyBorder="1" applyAlignment="1">
      <alignment horizontal="center"/>
    </xf>
    <xf numFmtId="0" fontId="8" fillId="0" borderId="4" xfId="0" applyFont="1" applyFill="1" applyBorder="1" applyAlignment="1" applyProtection="1">
      <alignment horizontal="left"/>
    </xf>
    <xf numFmtId="0" fontId="8" fillId="0" borderId="7" xfId="0" applyFont="1" applyFill="1" applyBorder="1" applyAlignment="1" applyProtection="1">
      <alignment horizontal="center"/>
    </xf>
    <xf numFmtId="0" fontId="8" fillId="0" borderId="5" xfId="0" applyFont="1" applyFill="1" applyBorder="1" applyAlignment="1" applyProtection="1">
      <alignment horizontal="left"/>
    </xf>
    <xf numFmtId="0" fontId="8" fillId="0" borderId="6" xfId="0" applyFont="1" applyFill="1" applyBorder="1" applyAlignment="1" applyProtection="1">
      <alignment horizontal="left"/>
    </xf>
    <xf numFmtId="0" fontId="8" fillId="0" borderId="8" xfId="0" applyFont="1" applyFill="1" applyBorder="1" applyAlignment="1" applyProtection="1">
      <alignment horizontal="center"/>
    </xf>
    <xf numFmtId="0" fontId="8" fillId="0" borderId="3" xfId="0" applyFont="1" applyFill="1" applyBorder="1" applyAlignment="1" applyProtection="1">
      <alignment horizontal="center"/>
    </xf>
    <xf numFmtId="0" fontId="8" fillId="0" borderId="10" xfId="0" applyFont="1" applyFill="1" applyBorder="1" applyAlignment="1" applyProtection="1">
      <alignment horizontal="center"/>
    </xf>
    <xf numFmtId="0" fontId="8" fillId="0" borderId="7" xfId="0" applyFont="1" applyFill="1" applyBorder="1" applyAlignment="1" applyProtection="1">
      <alignment horizontal="center"/>
      <protection locked="0"/>
    </xf>
    <xf numFmtId="0" fontId="8" fillId="0" borderId="4" xfId="0" applyFont="1" applyFill="1" applyBorder="1" applyAlignment="1" applyProtection="1">
      <alignment horizontal="left"/>
      <protection locked="0"/>
    </xf>
    <xf numFmtId="0" fontId="8" fillId="0" borderId="5" xfId="0" applyFont="1" applyFill="1" applyBorder="1" applyAlignment="1" applyProtection="1">
      <alignment horizontal="left"/>
      <protection locked="0"/>
    </xf>
    <xf numFmtId="0" fontId="8" fillId="0" borderId="3" xfId="0" applyFont="1" applyFill="1" applyBorder="1" applyAlignment="1" applyProtection="1">
      <alignment horizontal="center"/>
      <protection locked="0"/>
    </xf>
    <xf numFmtId="0" fontId="7" fillId="7" borderId="11" xfId="0" applyFont="1" applyFill="1" applyBorder="1" applyAlignment="1">
      <alignment horizontal="center"/>
    </xf>
    <xf numFmtId="0" fontId="7" fillId="0" borderId="9" xfId="0" applyFont="1" applyFill="1" applyBorder="1" applyAlignment="1" applyProtection="1">
      <alignment horizontal="center"/>
      <protection locked="0"/>
    </xf>
    <xf numFmtId="0" fontId="0" fillId="2" borderId="12" xfId="0" applyFill="1" applyBorder="1"/>
    <xf numFmtId="0" fontId="0" fillId="2" borderId="2" xfId="0" applyFill="1" applyBorder="1"/>
    <xf numFmtId="0" fontId="0" fillId="2" borderId="7" xfId="0" applyFill="1" applyBorder="1"/>
    <xf numFmtId="0" fontId="0" fillId="2" borderId="6" xfId="0" applyFill="1" applyBorder="1"/>
    <xf numFmtId="0" fontId="0" fillId="2" borderId="8" xfId="0" applyFill="1" applyBorder="1"/>
    <xf numFmtId="0" fontId="10" fillId="2" borderId="11" xfId="0" applyFont="1" applyFill="1" applyBorder="1" applyProtection="1">
      <protection locked="0"/>
    </xf>
    <xf numFmtId="0" fontId="8" fillId="2" borderId="13" xfId="0" applyFont="1" applyFill="1" applyBorder="1" applyProtection="1">
      <protection locked="0"/>
    </xf>
    <xf numFmtId="0" fontId="7" fillId="7" borderId="14" xfId="0" applyFont="1" applyFill="1" applyBorder="1" applyAlignment="1">
      <alignment horizontal="center"/>
    </xf>
    <xf numFmtId="0" fontId="1" fillId="5" borderId="2" xfId="0" applyFont="1" applyFill="1" applyBorder="1" applyProtection="1"/>
    <xf numFmtId="0" fontId="1" fillId="5" borderId="4" xfId="0" applyFont="1" applyFill="1" applyBorder="1"/>
    <xf numFmtId="0" fontId="1" fillId="5" borderId="4" xfId="0" applyFont="1" applyFill="1" applyBorder="1" applyProtection="1"/>
    <xf numFmtId="0" fontId="1" fillId="5" borderId="5" xfId="0" applyFont="1" applyFill="1" applyBorder="1"/>
    <xf numFmtId="0" fontId="1" fillId="5" borderId="4" xfId="0" applyFont="1" applyFill="1" applyBorder="1" applyAlignment="1">
      <alignment horizontal="right"/>
    </xf>
    <xf numFmtId="0" fontId="1" fillId="5" borderId="5" xfId="0" applyFont="1" applyFill="1" applyBorder="1" applyAlignment="1">
      <alignment horizontal="right"/>
    </xf>
    <xf numFmtId="0" fontId="7" fillId="5" borderId="15" xfId="0" applyFont="1" applyFill="1" applyBorder="1" applyAlignment="1" applyProtection="1">
      <alignment horizontal="right"/>
    </xf>
    <xf numFmtId="0" fontId="7" fillId="5" borderId="3" xfId="0" applyFont="1" applyFill="1" applyBorder="1" applyAlignment="1" applyProtection="1">
      <alignment horizontal="right"/>
    </xf>
    <xf numFmtId="0" fontId="7" fillId="5" borderId="4" xfId="0" applyFont="1" applyFill="1" applyBorder="1" applyAlignment="1" applyProtection="1">
      <alignment horizontal="right"/>
    </xf>
    <xf numFmtId="0" fontId="2" fillId="0" borderId="3" xfId="0" applyFont="1" applyFill="1" applyBorder="1" applyAlignment="1">
      <alignment horizontal="right"/>
    </xf>
    <xf numFmtId="0" fontId="2" fillId="0" borderId="5" xfId="0" applyFont="1" applyFill="1" applyBorder="1" applyAlignment="1">
      <alignment horizontal="right"/>
    </xf>
    <xf numFmtId="0" fontId="0" fillId="0" borderId="5" xfId="0" applyBorder="1"/>
    <xf numFmtId="0" fontId="1" fillId="0" borderId="14" xfId="0" applyFont="1" applyBorder="1" applyAlignment="1">
      <alignment horizontal="center"/>
    </xf>
    <xf numFmtId="0" fontId="2" fillId="0" borderId="16" xfId="0" applyFont="1" applyFill="1" applyBorder="1" applyAlignment="1">
      <alignment horizontal="center"/>
    </xf>
    <xf numFmtId="0" fontId="7" fillId="5" borderId="5" xfId="0" applyFont="1" applyFill="1" applyBorder="1" applyAlignment="1" applyProtection="1">
      <alignment horizontal="right"/>
    </xf>
    <xf numFmtId="164" fontId="7" fillId="5" borderId="3" xfId="0" applyNumberFormat="1" applyFont="1" applyFill="1" applyBorder="1" applyAlignment="1" applyProtection="1">
      <alignment horizontal="right"/>
    </xf>
    <xf numFmtId="164" fontId="7" fillId="5" borderId="4" xfId="0" applyNumberFormat="1" applyFont="1" applyFill="1" applyBorder="1" applyAlignment="1" applyProtection="1">
      <alignment horizontal="right"/>
    </xf>
    <xf numFmtId="164" fontId="7" fillId="0" borderId="7" xfId="0" applyNumberFormat="1" applyFont="1" applyFill="1" applyBorder="1" applyProtection="1">
      <protection locked="0"/>
    </xf>
    <xf numFmtId="0" fontId="7" fillId="5" borderId="17" xfId="0" applyFont="1" applyFill="1" applyBorder="1" applyAlignment="1" applyProtection="1">
      <alignment horizontal="left"/>
    </xf>
    <xf numFmtId="0" fontId="7" fillId="5" borderId="18" xfId="0" applyFont="1" applyFill="1" applyBorder="1" applyAlignment="1" applyProtection="1">
      <alignment horizontal="left"/>
    </xf>
    <xf numFmtId="0" fontId="1" fillId="5" borderId="3" xfId="0" applyFont="1" applyFill="1" applyBorder="1" applyAlignment="1">
      <alignment horizontal="right"/>
    </xf>
    <xf numFmtId="183" fontId="1" fillId="0" borderId="9" xfId="0" applyNumberFormat="1" applyFont="1" applyBorder="1"/>
    <xf numFmtId="9" fontId="7" fillId="0" borderId="9" xfId="19" applyNumberFormat="1" applyFont="1" applyFill="1" applyBorder="1" applyProtection="1">
      <protection locked="0"/>
    </xf>
    <xf numFmtId="0" fontId="1" fillId="5" borderId="6" xfId="0" applyFont="1" applyFill="1" applyBorder="1" applyProtection="1"/>
    <xf numFmtId="17" fontId="0" fillId="0" borderId="0" xfId="0" applyNumberFormat="1"/>
    <xf numFmtId="0" fontId="1" fillId="0" borderId="0" xfId="0" applyFont="1" applyBorder="1"/>
    <xf numFmtId="2" fontId="0" fillId="0" borderId="0" xfId="0" applyNumberFormat="1"/>
    <xf numFmtId="0" fontId="0" fillId="0" borderId="0" xfId="0" quotePrefix="1"/>
    <xf numFmtId="1" fontId="0" fillId="0" borderId="0" xfId="0" applyNumberFormat="1"/>
    <xf numFmtId="0" fontId="0" fillId="0" borderId="19" xfId="0" applyBorder="1" applyAlignment="1">
      <alignment horizontal="center"/>
    </xf>
    <xf numFmtId="0" fontId="7" fillId="0" borderId="14" xfId="0" applyFont="1" applyFill="1" applyBorder="1"/>
    <xf numFmtId="0" fontId="0" fillId="0" borderId="4" xfId="0" applyBorder="1"/>
    <xf numFmtId="0" fontId="8" fillId="0" borderId="0" xfId="0" applyFont="1" applyFill="1" applyBorder="1" applyProtection="1">
      <protection locked="0"/>
    </xf>
    <xf numFmtId="0" fontId="8" fillId="0" borderId="0" xfId="0" applyFont="1" applyFill="1" applyBorder="1" applyAlignment="1" applyProtection="1">
      <alignment horizontal="left"/>
    </xf>
    <xf numFmtId="184" fontId="8" fillId="0" borderId="0" xfId="1" applyNumberFormat="1" applyFont="1" applyFill="1" applyBorder="1"/>
    <xf numFmtId="14" fontId="8" fillId="0" borderId="0" xfId="0" applyNumberFormat="1" applyFont="1" applyFill="1" applyBorder="1"/>
    <xf numFmtId="0" fontId="5" fillId="0" borderId="0" xfId="0" applyFont="1" applyFill="1" applyBorder="1"/>
    <xf numFmtId="0" fontId="5" fillId="0" borderId="0" xfId="0" applyFont="1" applyFill="1" applyBorder="1" applyProtection="1">
      <protection locked="0"/>
    </xf>
    <xf numFmtId="0" fontId="11" fillId="0" borderId="0" xfId="0" applyFont="1" applyFill="1" applyBorder="1" applyProtection="1">
      <protection locked="0"/>
    </xf>
    <xf numFmtId="0" fontId="8" fillId="0" borderId="0" xfId="0" applyFont="1" applyFill="1" applyBorder="1" applyAlignment="1">
      <alignment horizontal="center"/>
    </xf>
    <xf numFmtId="0" fontId="8" fillId="0" borderId="0" xfId="0" applyFont="1" applyFill="1" applyBorder="1" applyAlignment="1">
      <alignment horizontal="left"/>
    </xf>
    <xf numFmtId="0" fontId="8" fillId="0" borderId="0" xfId="0" applyFont="1" applyFill="1" applyBorder="1" applyAlignment="1" applyProtection="1">
      <alignment horizontal="center"/>
    </xf>
    <xf numFmtId="0" fontId="8" fillId="0" borderId="0" xfId="0" applyFont="1" applyFill="1" applyBorder="1" applyAlignment="1" applyProtection="1">
      <alignment horizontal="center"/>
      <protection locked="0"/>
    </xf>
    <xf numFmtId="0" fontId="8" fillId="0" borderId="0" xfId="0" applyFont="1" applyFill="1" applyBorder="1" applyAlignment="1" applyProtection="1">
      <alignment horizontal="left"/>
      <protection locked="0"/>
    </xf>
    <xf numFmtId="0" fontId="1" fillId="0" borderId="0" xfId="0" applyFont="1"/>
    <xf numFmtId="0" fontId="1" fillId="0" borderId="0" xfId="0" applyFont="1" applyFill="1" applyBorder="1"/>
    <xf numFmtId="0" fontId="1" fillId="5" borderId="2" xfId="0" applyFont="1" applyFill="1" applyBorder="1" applyAlignment="1">
      <alignment horizontal="center"/>
    </xf>
    <xf numFmtId="0" fontId="1" fillId="5" borderId="2" xfId="0" applyFont="1" applyFill="1" applyBorder="1" applyAlignment="1" applyProtection="1">
      <alignment horizontal="center"/>
    </xf>
    <xf numFmtId="0" fontId="1" fillId="0" borderId="20" xfId="0" applyFont="1" applyBorder="1" applyAlignment="1">
      <alignment horizontal="centerContinuous"/>
    </xf>
    <xf numFmtId="0" fontId="0" fillId="0" borderId="21" xfId="0" applyBorder="1" applyAlignment="1">
      <alignment horizontal="centerContinuous"/>
    </xf>
    <xf numFmtId="0" fontId="5" fillId="0" borderId="21" xfId="0" applyFont="1" applyFill="1" applyBorder="1" applyAlignment="1" applyProtection="1">
      <alignment horizontal="centerContinuous"/>
    </xf>
    <xf numFmtId="0" fontId="0" fillId="0" borderId="19" xfId="0" applyBorder="1" applyAlignment="1">
      <alignment horizontal="centerContinuous"/>
    </xf>
    <xf numFmtId="0" fontId="1" fillId="5" borderId="4" xfId="0" applyFont="1" applyFill="1" applyBorder="1" applyAlignment="1">
      <alignment horizontal="center"/>
    </xf>
    <xf numFmtId="0" fontId="1" fillId="5" borderId="7" xfId="0" applyFont="1" applyFill="1" applyBorder="1" applyAlignment="1" applyProtection="1">
      <alignment horizontal="center"/>
    </xf>
    <xf numFmtId="0" fontId="14" fillId="0" borderId="0" xfId="0" applyFont="1" applyFill="1" applyBorder="1" applyAlignment="1">
      <alignment horizontal="center"/>
    </xf>
    <xf numFmtId="20" fontId="15" fillId="0" borderId="0" xfId="0" applyNumberFormat="1" applyFont="1" applyFill="1" applyBorder="1"/>
    <xf numFmtId="0" fontId="1" fillId="5" borderId="22" xfId="0" applyFont="1" applyFill="1" applyBorder="1" applyAlignment="1">
      <alignment horizontal="center"/>
    </xf>
    <xf numFmtId="0" fontId="1" fillId="5" borderId="3" xfId="0" applyFont="1" applyFill="1" applyBorder="1" applyAlignment="1" applyProtection="1">
      <alignment horizontal="right"/>
    </xf>
    <xf numFmtId="0" fontId="0" fillId="5" borderId="14" xfId="0" applyFill="1" applyBorder="1"/>
    <xf numFmtId="0" fontId="0" fillId="5" borderId="23" xfId="0" applyFill="1" applyBorder="1"/>
    <xf numFmtId="0" fontId="1" fillId="5" borderId="7" xfId="0" applyFont="1" applyFill="1" applyBorder="1" applyAlignment="1">
      <alignment horizontal="right"/>
    </xf>
    <xf numFmtId="0" fontId="1" fillId="5" borderId="8" xfId="0" applyFont="1" applyFill="1" applyBorder="1" applyAlignment="1">
      <alignment horizontal="right"/>
    </xf>
    <xf numFmtId="0" fontId="0" fillId="0" borderId="19" xfId="0" applyBorder="1"/>
    <xf numFmtId="0" fontId="0" fillId="8" borderId="17" xfId="0" applyFill="1" applyBorder="1"/>
    <xf numFmtId="0" fontId="0" fillId="8" borderId="18" xfId="0" applyFill="1" applyBorder="1"/>
    <xf numFmtId="0" fontId="5" fillId="8" borderId="24" xfId="0" applyFont="1" applyFill="1" applyBorder="1" applyProtection="1"/>
    <xf numFmtId="9" fontId="7" fillId="8" borderId="25" xfId="19" applyNumberFormat="1" applyFont="1" applyFill="1" applyBorder="1" applyProtection="1">
      <protection locked="0"/>
    </xf>
    <xf numFmtId="0" fontId="0" fillId="8" borderId="23" xfId="0" applyFill="1" applyBorder="1"/>
    <xf numFmtId="0" fontId="0" fillId="0" borderId="7" xfId="0" applyBorder="1"/>
    <xf numFmtId="0" fontId="1" fillId="0" borderId="10" xfId="0" applyFont="1" applyFill="1" applyBorder="1" applyAlignment="1">
      <alignment horizontal="center"/>
    </xf>
    <xf numFmtId="0" fontId="0" fillId="0" borderId="7" xfId="0" applyBorder="1" applyAlignment="1">
      <alignment horizontal="right"/>
    </xf>
    <xf numFmtId="0" fontId="0" fillId="0" borderId="7" xfId="0" quotePrefix="1" applyBorder="1" applyAlignment="1">
      <alignment horizontal="right"/>
    </xf>
    <xf numFmtId="0" fontId="0" fillId="0" borderId="0" xfId="0" applyFill="1" applyBorder="1" applyAlignment="1">
      <alignment horizontal="right"/>
    </xf>
    <xf numFmtId="0" fontId="0" fillId="0" borderId="26" xfId="0" applyFill="1" applyBorder="1" applyAlignment="1">
      <alignment horizontal="center"/>
    </xf>
    <xf numFmtId="0" fontId="0" fillId="0" borderId="27" xfId="0" applyFill="1" applyBorder="1" applyAlignment="1">
      <alignment horizontal="center"/>
    </xf>
    <xf numFmtId="0" fontId="1" fillId="0" borderId="9" xfId="0" applyFont="1" applyBorder="1" applyAlignment="1">
      <alignment horizontal="center"/>
    </xf>
    <xf numFmtId="0" fontId="0" fillId="0" borderId="28" xfId="0" applyFill="1" applyBorder="1" applyAlignment="1">
      <alignment horizontal="center"/>
    </xf>
    <xf numFmtId="0" fontId="0" fillId="0" borderId="21" xfId="0" applyBorder="1"/>
    <xf numFmtId="1" fontId="1" fillId="0" borderId="20" xfId="0" applyNumberFormat="1" applyFont="1" applyBorder="1" applyAlignment="1">
      <alignment horizontal="centerContinuous"/>
    </xf>
    <xf numFmtId="1" fontId="0" fillId="0" borderId="19" xfId="0" applyNumberFormat="1" applyBorder="1" applyAlignment="1">
      <alignment horizontal="centerContinuous"/>
    </xf>
    <xf numFmtId="0" fontId="0" fillId="0" borderId="29" xfId="0" applyBorder="1"/>
    <xf numFmtId="0" fontId="1" fillId="0" borderId="30" xfId="0" applyFont="1" applyBorder="1" applyAlignment="1">
      <alignment horizontal="centerContinuous"/>
    </xf>
    <xf numFmtId="0" fontId="0" fillId="0" borderId="31" xfId="0" applyBorder="1" applyAlignment="1">
      <alignment horizontal="centerContinuous"/>
    </xf>
    <xf numFmtId="192" fontId="0" fillId="0" borderId="19" xfId="0" applyNumberFormat="1" applyBorder="1"/>
    <xf numFmtId="192" fontId="0" fillId="0" borderId="25" xfId="0" applyNumberFormat="1" applyBorder="1"/>
    <xf numFmtId="2" fontId="0" fillId="0" borderId="24" xfId="0" applyNumberFormat="1" applyBorder="1"/>
    <xf numFmtId="2" fontId="0" fillId="0" borderId="0" xfId="0" applyNumberFormat="1" applyBorder="1"/>
    <xf numFmtId="2" fontId="0" fillId="0" borderId="25" xfId="0" applyNumberFormat="1" applyBorder="1"/>
    <xf numFmtId="2" fontId="0" fillId="0" borderId="32" xfId="0" applyNumberFormat="1" applyBorder="1"/>
    <xf numFmtId="0" fontId="1" fillId="0" borderId="24" xfId="0" applyFont="1" applyBorder="1" applyAlignment="1">
      <alignment horizontal="centerContinuous"/>
    </xf>
    <xf numFmtId="0" fontId="0" fillId="0" borderId="21" xfId="0" quotePrefix="1" applyBorder="1"/>
    <xf numFmtId="0" fontId="0" fillId="0" borderId="0" xfId="0" quotePrefix="1" applyBorder="1"/>
    <xf numFmtId="0" fontId="18" fillId="5" borderId="3" xfId="0" applyFont="1" applyFill="1" applyBorder="1" applyAlignment="1" applyProtection="1">
      <alignment horizontal="right"/>
    </xf>
    <xf numFmtId="0" fontId="0" fillId="0" borderId="0" xfId="0" applyAlignment="1"/>
    <xf numFmtId="0" fontId="1" fillId="0" borderId="19" xfId="0" applyFont="1" applyBorder="1" applyAlignment="1">
      <alignment horizontal="centerContinuous"/>
    </xf>
    <xf numFmtId="0" fontId="1" fillId="0" borderId="0" xfId="0" applyFont="1" applyFill="1"/>
    <xf numFmtId="0" fontId="1" fillId="0" borderId="0" xfId="0" applyFont="1" applyFill="1" applyBorder="1" applyAlignment="1"/>
    <xf numFmtId="0" fontId="1" fillId="5" borderId="14" xfId="0" applyFont="1" applyFill="1" applyBorder="1" applyAlignment="1">
      <alignment horizontal="centerContinuous"/>
    </xf>
    <xf numFmtId="0" fontId="0" fillId="5" borderId="23" xfId="0" applyFill="1" applyBorder="1" applyAlignment="1">
      <alignment horizontal="centerContinuous"/>
    </xf>
    <xf numFmtId="183" fontId="1" fillId="0" borderId="9" xfId="0" applyNumberFormat="1" applyFont="1" applyFill="1" applyBorder="1"/>
    <xf numFmtId="0" fontId="4" fillId="8" borderId="33" xfId="0" applyFont="1" applyFill="1" applyBorder="1" applyProtection="1"/>
    <xf numFmtId="0" fontId="4" fillId="8" borderId="34" xfId="0" applyFont="1" applyFill="1" applyBorder="1" applyProtection="1"/>
    <xf numFmtId="0" fontId="1" fillId="0" borderId="25" xfId="0" applyFont="1" applyBorder="1" applyAlignment="1">
      <alignment horizontal="centerContinuous"/>
    </xf>
    <xf numFmtId="0" fontId="1" fillId="0" borderId="0" xfId="0" applyFont="1" applyFill="1" applyBorder="1" applyAlignment="1">
      <alignment horizontal="center"/>
    </xf>
    <xf numFmtId="9" fontId="0" fillId="0" borderId="0" xfId="0" applyNumberFormat="1"/>
    <xf numFmtId="9" fontId="0" fillId="0" borderId="0" xfId="19" applyNumberFormat="1" applyFont="1" applyBorder="1"/>
    <xf numFmtId="9" fontId="0" fillId="0" borderId="32" xfId="19" applyNumberFormat="1" applyFont="1" applyBorder="1"/>
    <xf numFmtId="9" fontId="0" fillId="0" borderId="25" xfId="19" quotePrefix="1" applyNumberFormat="1" applyFont="1" applyBorder="1"/>
    <xf numFmtId="0" fontId="0" fillId="0" borderId="35" xfId="0" applyBorder="1" applyAlignment="1">
      <alignment horizontal="centerContinuous"/>
    </xf>
    <xf numFmtId="17" fontId="0" fillId="0" borderId="24" xfId="0" applyNumberFormat="1" applyBorder="1"/>
    <xf numFmtId="17" fontId="0" fillId="0" borderId="17" xfId="0" applyNumberFormat="1" applyBorder="1"/>
    <xf numFmtId="0" fontId="2" fillId="0" borderId="0" xfId="0" applyFont="1" applyBorder="1" applyAlignment="1">
      <alignment horizontal="center"/>
    </xf>
    <xf numFmtId="41" fontId="0" fillId="0" borderId="0" xfId="0" quotePrefix="1" applyNumberFormat="1" applyBorder="1"/>
    <xf numFmtId="0" fontId="2" fillId="0" borderId="32" xfId="0" applyFont="1" applyBorder="1" applyAlignment="1">
      <alignment horizontal="center"/>
    </xf>
    <xf numFmtId="1" fontId="2" fillId="0" borderId="36" xfId="0" applyNumberFormat="1" applyFont="1" applyBorder="1" applyAlignment="1">
      <alignment horizontal="center"/>
    </xf>
    <xf numFmtId="1" fontId="2" fillId="0" borderId="37" xfId="0" applyNumberFormat="1"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0" borderId="40" xfId="0" applyFont="1" applyBorder="1" applyAlignment="1">
      <alignment horizontal="center"/>
    </xf>
    <xf numFmtId="0" fontId="2" fillId="0" borderId="24" xfId="0" applyFont="1" applyBorder="1" applyAlignment="1">
      <alignment horizontal="centerContinuous"/>
    </xf>
    <xf numFmtId="0" fontId="2" fillId="0" borderId="0" xfId="0" applyFont="1" applyBorder="1" applyAlignment="1">
      <alignment horizontal="centerContinuous"/>
    </xf>
    <xf numFmtId="0" fontId="2" fillId="0" borderId="25" xfId="0" applyFont="1" applyBorder="1" applyAlignment="1">
      <alignment horizontal="centerContinuous"/>
    </xf>
    <xf numFmtId="0" fontId="2" fillId="0" borderId="20" xfId="0" applyFont="1" applyBorder="1" applyAlignment="1">
      <alignment horizontal="centerContinuous"/>
    </xf>
    <xf numFmtId="0" fontId="2" fillId="0" borderId="19" xfId="0" applyFont="1" applyBorder="1" applyAlignment="1">
      <alignment horizontal="centerContinuous"/>
    </xf>
    <xf numFmtId="0" fontId="2" fillId="0" borderId="24" xfId="0" applyFont="1" applyBorder="1" applyAlignment="1">
      <alignment horizontal="center"/>
    </xf>
    <xf numFmtId="0" fontId="2" fillId="0" borderId="25" xfId="0" applyFont="1" applyBorder="1" applyAlignment="1">
      <alignment horizontal="center"/>
    </xf>
    <xf numFmtId="1" fontId="2" fillId="0" borderId="24" xfId="0" applyNumberFormat="1" applyFont="1" applyBorder="1" applyAlignment="1">
      <alignment horizontal="center"/>
    </xf>
    <xf numFmtId="1" fontId="2" fillId="0" borderId="25" xfId="0" applyNumberFormat="1" applyFont="1" applyBorder="1" applyAlignment="1">
      <alignment horizontal="center"/>
    </xf>
    <xf numFmtId="0" fontId="2" fillId="0" borderId="41" xfId="0" applyFont="1" applyBorder="1" applyAlignment="1">
      <alignment horizontal="centerContinuous"/>
    </xf>
    <xf numFmtId="0" fontId="2" fillId="0" borderId="42" xfId="0" applyFont="1" applyBorder="1" applyAlignment="1">
      <alignment horizontal="centerContinuous"/>
    </xf>
    <xf numFmtId="0" fontId="2" fillId="0" borderId="43" xfId="0" applyFont="1" applyBorder="1" applyAlignment="1">
      <alignment horizontal="centerContinuous"/>
    </xf>
    <xf numFmtId="0" fontId="2" fillId="0" borderId="32" xfId="0" applyFont="1" applyBorder="1" applyAlignment="1">
      <alignment horizontal="centerContinuous"/>
    </xf>
    <xf numFmtId="0" fontId="2" fillId="0" borderId="44" xfId="0" applyFont="1" applyBorder="1" applyAlignment="1">
      <alignment horizontal="centerContinuous"/>
    </xf>
    <xf numFmtId="9" fontId="2" fillId="0" borderId="0" xfId="0" applyNumberFormat="1" applyFont="1" applyBorder="1" applyAlignment="1">
      <alignment horizontal="centerContinuous"/>
    </xf>
    <xf numFmtId="9" fontId="2" fillId="0" borderId="32" xfId="0" applyNumberFormat="1" applyFont="1" applyBorder="1" applyAlignment="1">
      <alignment horizontal="centerContinuous"/>
    </xf>
    <xf numFmtId="9" fontId="2" fillId="0" borderId="44" xfId="0" applyNumberFormat="1" applyFont="1" applyBorder="1" applyAlignment="1">
      <alignment horizontal="centerContinuous"/>
    </xf>
    <xf numFmtId="9" fontId="2" fillId="0" borderId="25" xfId="0" applyNumberFormat="1" applyFont="1" applyBorder="1" applyAlignment="1">
      <alignment horizontal="centerContinuous"/>
    </xf>
    <xf numFmtId="0" fontId="2" fillId="0" borderId="29" xfId="0" applyFont="1" applyBorder="1" applyAlignment="1">
      <alignment horizontal="center"/>
    </xf>
    <xf numFmtId="0" fontId="2" fillId="0" borderId="45" xfId="0" applyFont="1" applyBorder="1" applyAlignment="1">
      <alignment horizontal="center"/>
    </xf>
    <xf numFmtId="9" fontId="2" fillId="0" borderId="29" xfId="0" applyNumberFormat="1" applyFont="1" applyBorder="1" applyAlignment="1">
      <alignment horizontal="center"/>
    </xf>
    <xf numFmtId="9" fontId="2" fillId="0" borderId="46" xfId="0" applyNumberFormat="1" applyFont="1" applyBorder="1" applyAlignment="1">
      <alignment horizontal="center"/>
    </xf>
    <xf numFmtId="9" fontId="2" fillId="0" borderId="45" xfId="0" applyNumberFormat="1" applyFont="1" applyBorder="1" applyAlignment="1">
      <alignment horizontal="center"/>
    </xf>
    <xf numFmtId="9" fontId="2" fillId="0" borderId="18" xfId="0" applyNumberFormat="1" applyFont="1" applyBorder="1" applyAlignment="1">
      <alignment horizontal="center"/>
    </xf>
    <xf numFmtId="49" fontId="2" fillId="0" borderId="29" xfId="0" applyNumberFormat="1" applyFont="1" applyBorder="1" applyAlignment="1">
      <alignment horizontal="center"/>
    </xf>
    <xf numFmtId="49" fontId="2" fillId="0" borderId="17" xfId="0" applyNumberFormat="1" applyFont="1" applyBorder="1" applyAlignment="1">
      <alignment horizontal="center"/>
    </xf>
    <xf numFmtId="9" fontId="2" fillId="0" borderId="38" xfId="0" applyNumberFormat="1" applyFont="1" applyBorder="1" applyAlignment="1">
      <alignment horizontal="centerContinuous"/>
    </xf>
    <xf numFmtId="9" fontId="2" fillId="0" borderId="39" xfId="0" applyNumberFormat="1" applyFont="1" applyBorder="1" applyAlignment="1">
      <alignment horizontal="centerContinuous"/>
    </xf>
    <xf numFmtId="9" fontId="2" fillId="0" borderId="40" xfId="0" applyNumberFormat="1" applyFont="1" applyBorder="1" applyAlignment="1">
      <alignment horizontal="centerContinuous"/>
    </xf>
    <xf numFmtId="43" fontId="0" fillId="0" borderId="0" xfId="0" quotePrefix="1" applyNumberFormat="1" applyBorder="1"/>
    <xf numFmtId="0" fontId="2" fillId="0" borderId="44" xfId="0" applyFont="1" applyBorder="1" applyAlignment="1">
      <alignment horizontal="center"/>
    </xf>
    <xf numFmtId="43" fontId="0" fillId="0" borderId="44" xfId="0" quotePrefix="1" applyNumberFormat="1" applyBorder="1"/>
    <xf numFmtId="9" fontId="0" fillId="0" borderId="0" xfId="0" applyNumberFormat="1" applyBorder="1"/>
    <xf numFmtId="0" fontId="1" fillId="0" borderId="19" xfId="0" applyFont="1" applyFill="1" applyBorder="1" applyAlignment="1">
      <alignment horizontal="center"/>
    </xf>
    <xf numFmtId="0" fontId="1" fillId="0" borderId="0" xfId="0" applyFont="1" applyFill="1" applyAlignment="1"/>
    <xf numFmtId="3" fontId="1" fillId="0" borderId="0" xfId="0" applyNumberFormat="1" applyFont="1" applyFill="1"/>
    <xf numFmtId="0" fontId="1" fillId="0" borderId="20" xfId="0" applyFont="1" applyFill="1" applyBorder="1" applyAlignment="1">
      <alignment horizontal="centerContinuous"/>
    </xf>
    <xf numFmtId="0" fontId="1" fillId="0" borderId="21" xfId="0" applyFont="1" applyFill="1" applyBorder="1" applyAlignment="1">
      <alignment horizontal="centerContinuous"/>
    </xf>
    <xf numFmtId="0" fontId="1" fillId="0" borderId="19" xfId="0" applyFont="1" applyFill="1" applyBorder="1" applyAlignment="1">
      <alignment horizontal="centerContinuous"/>
    </xf>
    <xf numFmtId="0" fontId="1" fillId="0" borderId="20" xfId="0" applyFont="1" applyFill="1" applyBorder="1" applyAlignment="1"/>
    <xf numFmtId="0" fontId="1" fillId="0" borderId="21" xfId="0" applyFont="1" applyFill="1" applyBorder="1" applyAlignment="1"/>
    <xf numFmtId="0" fontId="1" fillId="0" borderId="19" xfId="0" applyFont="1" applyFill="1" applyBorder="1" applyAlignment="1"/>
    <xf numFmtId="0" fontId="1" fillId="0" borderId="24" xfId="0" applyFont="1" applyFill="1" applyBorder="1" applyAlignment="1"/>
    <xf numFmtId="0" fontId="1" fillId="0" borderId="25" xfId="0" applyFont="1" applyFill="1" applyBorder="1" applyAlignment="1"/>
    <xf numFmtId="49" fontId="1" fillId="0" borderId="0" xfId="0" applyNumberFormat="1" applyFont="1" applyFill="1" applyBorder="1" applyAlignment="1">
      <alignment horizontal="center"/>
    </xf>
    <xf numFmtId="0" fontId="1" fillId="0" borderId="4" xfId="0" applyFont="1" applyFill="1" applyBorder="1" applyAlignment="1"/>
    <xf numFmtId="0" fontId="1" fillId="0" borderId="2" xfId="0" applyFont="1" applyFill="1" applyBorder="1" applyAlignment="1"/>
    <xf numFmtId="0" fontId="1" fillId="0" borderId="7" xfId="0" applyFont="1" applyFill="1" applyBorder="1" applyAlignment="1"/>
    <xf numFmtId="0" fontId="1" fillId="0" borderId="3" xfId="0" quotePrefix="1" applyFont="1" applyFill="1" applyBorder="1" applyAlignment="1"/>
    <xf numFmtId="0" fontId="1" fillId="0" borderId="10" xfId="0" applyFont="1" applyFill="1" applyBorder="1" applyAlignment="1"/>
    <xf numFmtId="0" fontId="1" fillId="0" borderId="9" xfId="0" applyFont="1" applyFill="1" applyBorder="1" applyAlignment="1"/>
    <xf numFmtId="4" fontId="1" fillId="0" borderId="28" xfId="0" applyNumberFormat="1" applyFont="1" applyFill="1" applyBorder="1"/>
    <xf numFmtId="4" fontId="1" fillId="0" borderId="26" xfId="0" applyNumberFormat="1" applyFont="1" applyFill="1" applyBorder="1"/>
    <xf numFmtId="0" fontId="1" fillId="0" borderId="17" xfId="0" applyFont="1" applyFill="1" applyBorder="1" applyAlignment="1"/>
    <xf numFmtId="0" fontId="1" fillId="0" borderId="5" xfId="0" applyFont="1" applyFill="1" applyBorder="1" applyAlignment="1"/>
    <xf numFmtId="0" fontId="1" fillId="0" borderId="6" xfId="0" applyFont="1" applyFill="1" applyBorder="1" applyAlignment="1"/>
    <xf numFmtId="0" fontId="1" fillId="0" borderId="8" xfId="0" applyFont="1" applyFill="1" applyBorder="1" applyAlignment="1"/>
    <xf numFmtId="4" fontId="1" fillId="0" borderId="27" xfId="0" applyNumberFormat="1" applyFont="1" applyFill="1" applyBorder="1"/>
    <xf numFmtId="193" fontId="1" fillId="0" borderId="4" xfId="0" applyNumberFormat="1" applyFont="1" applyFill="1" applyBorder="1" applyAlignment="1"/>
    <xf numFmtId="193" fontId="1" fillId="0" borderId="2" xfId="0" applyNumberFormat="1" applyFont="1" applyFill="1" applyBorder="1" applyAlignment="1"/>
    <xf numFmtId="193" fontId="1" fillId="0" borderId="7" xfId="0" applyNumberFormat="1" applyFont="1" applyFill="1" applyBorder="1" applyAlignment="1"/>
    <xf numFmtId="193" fontId="1" fillId="0" borderId="5" xfId="0" applyNumberFormat="1" applyFont="1" applyFill="1" applyBorder="1" applyAlignment="1"/>
    <xf numFmtId="193" fontId="1" fillId="0" borderId="6" xfId="0" applyNumberFormat="1" applyFont="1" applyFill="1" applyBorder="1" applyAlignment="1"/>
    <xf numFmtId="193" fontId="1" fillId="0" borderId="8" xfId="0" applyNumberFormat="1" applyFont="1" applyFill="1" applyBorder="1" applyAlignment="1"/>
    <xf numFmtId="0" fontId="20" fillId="0" borderId="20" xfId="0" applyFont="1" applyFill="1" applyBorder="1" applyAlignment="1">
      <alignment horizontal="centerContinuous"/>
    </xf>
    <xf numFmtId="0" fontId="20" fillId="0" borderId="21" xfId="0" applyFont="1" applyFill="1" applyBorder="1" applyAlignment="1">
      <alignment horizontal="centerContinuous"/>
    </xf>
    <xf numFmtId="0" fontId="20" fillId="0" borderId="19" xfId="0" applyFont="1" applyFill="1" applyBorder="1" applyAlignment="1">
      <alignment horizontal="centerContinuous"/>
    </xf>
    <xf numFmtId="0" fontId="20" fillId="0" borderId="14" xfId="0" applyFont="1" applyFill="1" applyBorder="1" applyAlignment="1">
      <alignment horizontal="centerContinuous"/>
    </xf>
    <xf numFmtId="0" fontId="20" fillId="0" borderId="47" xfId="0" applyFont="1" applyFill="1" applyBorder="1" applyAlignment="1">
      <alignment horizontal="centerContinuous"/>
    </xf>
    <xf numFmtId="0" fontId="20" fillId="0" borderId="23" xfId="0" applyFont="1" applyFill="1" applyBorder="1" applyAlignment="1">
      <alignment horizontal="centerContinuous"/>
    </xf>
    <xf numFmtId="0" fontId="1" fillId="0" borderId="20" xfId="0" applyFont="1" applyFill="1" applyBorder="1"/>
    <xf numFmtId="0" fontId="19" fillId="0" borderId="11" xfId="0" applyFont="1" applyFill="1" applyBorder="1" applyAlignment="1">
      <alignment horizontal="center"/>
    </xf>
    <xf numFmtId="3" fontId="0" fillId="0" borderId="0" xfId="0" quotePrefix="1" applyNumberFormat="1" applyBorder="1"/>
    <xf numFmtId="3" fontId="0" fillId="0" borderId="20" xfId="0" quotePrefix="1" applyNumberFormat="1" applyBorder="1"/>
    <xf numFmtId="3" fontId="0" fillId="0" borderId="24" xfId="0" quotePrefix="1" applyNumberFormat="1" applyBorder="1"/>
    <xf numFmtId="3" fontId="0" fillId="0" borderId="24" xfId="0" applyNumberFormat="1" applyBorder="1"/>
    <xf numFmtId="3" fontId="0" fillId="0" borderId="44" xfId="0" quotePrefix="1" applyNumberFormat="1" applyBorder="1"/>
    <xf numFmtId="43" fontId="0" fillId="0" borderId="24" xfId="0" quotePrefix="1" applyNumberFormat="1" applyBorder="1"/>
    <xf numFmtId="0" fontId="0" fillId="0" borderId="3" xfId="0" applyBorder="1" applyAlignment="1" applyProtection="1">
      <alignment horizontal="center"/>
    </xf>
    <xf numFmtId="0" fontId="0" fillId="0" borderId="9" xfId="0" applyBorder="1" applyAlignment="1" applyProtection="1">
      <alignment horizontal="center"/>
    </xf>
    <xf numFmtId="8" fontId="0" fillId="0" borderId="4" xfId="0" applyNumberFormat="1" applyBorder="1" applyProtection="1"/>
    <xf numFmtId="10" fontId="3" fillId="0" borderId="7" xfId="0" applyNumberFormat="1" applyFont="1" applyBorder="1" applyProtection="1"/>
    <xf numFmtId="7" fontId="0" fillId="0" borderId="4" xfId="0" applyNumberFormat="1" applyBorder="1" applyProtection="1"/>
    <xf numFmtId="7" fontId="0" fillId="0" borderId="5" xfId="0" applyNumberFormat="1" applyBorder="1" applyProtection="1"/>
    <xf numFmtId="10" fontId="3" fillId="0" borderId="8" xfId="0" applyNumberFormat="1" applyFont="1" applyBorder="1" applyProtection="1"/>
    <xf numFmtId="164" fontId="3" fillId="0" borderId="0" xfId="0" applyNumberFormat="1" applyFont="1" applyBorder="1" applyProtection="1"/>
    <xf numFmtId="164" fontId="11" fillId="0" borderId="0" xfId="0" applyNumberFormat="1" applyFont="1" applyBorder="1" applyProtection="1"/>
    <xf numFmtId="0" fontId="11" fillId="0" borderId="0" xfId="0" applyFont="1" applyBorder="1" applyProtection="1"/>
    <xf numFmtId="193" fontId="3" fillId="0" borderId="0" xfId="0" applyNumberFormat="1" applyFont="1" applyBorder="1" applyProtection="1"/>
    <xf numFmtId="0" fontId="0" fillId="8" borderId="19" xfId="0" applyFill="1" applyBorder="1" applyAlignment="1">
      <alignment horizontal="centerContinuous"/>
    </xf>
    <xf numFmtId="0" fontId="5" fillId="0" borderId="26" xfId="0" applyFont="1" applyFill="1" applyBorder="1" applyAlignment="1">
      <alignment horizontal="left"/>
    </xf>
    <xf numFmtId="0" fontId="5" fillId="0" borderId="27" xfId="0" applyFont="1" applyFill="1" applyBorder="1" applyAlignment="1">
      <alignment horizontal="left"/>
    </xf>
    <xf numFmtId="0" fontId="21" fillId="0" borderId="28" xfId="0" applyFont="1" applyFill="1" applyBorder="1" applyAlignment="1">
      <alignment horizontal="center"/>
    </xf>
    <xf numFmtId="0" fontId="5" fillId="0" borderId="26" xfId="0" applyFont="1" applyFill="1" applyBorder="1"/>
    <xf numFmtId="0" fontId="5" fillId="0" borderId="27" xfId="0" applyFont="1" applyFill="1" applyBorder="1"/>
    <xf numFmtId="0" fontId="1" fillId="0" borderId="14" xfId="0" applyFont="1" applyBorder="1" applyAlignment="1">
      <alignment horizontal="centerContinuous"/>
    </xf>
    <xf numFmtId="0" fontId="0" fillId="0" borderId="23" xfId="0" applyBorder="1" applyAlignment="1">
      <alignment horizontal="centerContinuous"/>
    </xf>
    <xf numFmtId="0" fontId="22" fillId="5" borderId="3" xfId="0" applyFont="1" applyFill="1" applyBorder="1" applyAlignment="1" applyProtection="1">
      <alignment horizontal="right"/>
    </xf>
    <xf numFmtId="14" fontId="3" fillId="0" borderId="0" xfId="0" applyNumberFormat="1" applyFont="1" applyBorder="1" applyProtection="1"/>
    <xf numFmtId="37" fontId="3" fillId="0" borderId="0" xfId="0" applyNumberFormat="1" applyFont="1" applyBorder="1" applyProtection="1"/>
    <xf numFmtId="218" fontId="3" fillId="0" borderId="0" xfId="0" applyNumberFormat="1" applyFont="1" applyBorder="1" applyProtection="1"/>
    <xf numFmtId="0" fontId="2" fillId="0" borderId="48" xfId="0" applyFont="1" applyBorder="1" applyAlignment="1">
      <alignment horizontal="center"/>
    </xf>
    <xf numFmtId="0" fontId="2" fillId="0" borderId="14" xfId="0" applyFont="1" applyFill="1" applyBorder="1" applyAlignment="1">
      <alignment horizontal="centerContinuous"/>
    </xf>
    <xf numFmtId="2" fontId="1" fillId="0" borderId="4" xfId="0" applyNumberFormat="1" applyFont="1" applyFill="1" applyBorder="1" applyAlignment="1"/>
    <xf numFmtId="2" fontId="1" fillId="0" borderId="2" xfId="0" applyNumberFormat="1" applyFont="1" applyFill="1" applyBorder="1" applyAlignment="1"/>
    <xf numFmtId="2" fontId="1" fillId="0" borderId="7" xfId="0" applyNumberFormat="1" applyFont="1" applyFill="1" applyBorder="1" applyAlignment="1"/>
    <xf numFmtId="2" fontId="1" fillId="0" borderId="5" xfId="0" applyNumberFormat="1" applyFont="1" applyFill="1" applyBorder="1" applyAlignment="1"/>
    <xf numFmtId="2" fontId="1" fillId="0" borderId="6" xfId="0" applyNumberFormat="1" applyFont="1" applyFill="1" applyBorder="1" applyAlignment="1"/>
    <xf numFmtId="2" fontId="1" fillId="0" borderId="8" xfId="0" applyNumberFormat="1" applyFont="1" applyFill="1" applyBorder="1" applyAlignment="1"/>
    <xf numFmtId="0" fontId="0" fillId="0" borderId="3" xfId="0" applyFill="1" applyBorder="1"/>
    <xf numFmtId="0" fontId="0" fillId="0" borderId="9" xfId="0" applyFill="1" applyBorder="1"/>
    <xf numFmtId="3" fontId="1" fillId="0" borderId="47" xfId="0" applyNumberFormat="1" applyFont="1" applyFill="1" applyBorder="1" applyAlignment="1">
      <alignment horizontal="centerContinuous"/>
    </xf>
    <xf numFmtId="3" fontId="1" fillId="0" borderId="20" xfId="0" applyNumberFormat="1" applyFont="1" applyFill="1" applyBorder="1" applyAlignment="1">
      <alignment horizontal="center"/>
    </xf>
    <xf numFmtId="3" fontId="1" fillId="0" borderId="17" xfId="0" applyNumberFormat="1" applyFont="1" applyFill="1" applyBorder="1" applyAlignment="1">
      <alignment horizontal="center"/>
    </xf>
    <xf numFmtId="49" fontId="1" fillId="0" borderId="18" xfId="0" applyNumberFormat="1" applyFont="1" applyFill="1" applyBorder="1" applyAlignment="1">
      <alignment horizontal="center"/>
    </xf>
    <xf numFmtId="3" fontId="1" fillId="0" borderId="28" xfId="0" applyNumberFormat="1" applyFont="1" applyFill="1" applyBorder="1" applyAlignment="1">
      <alignment horizontal="center"/>
    </xf>
    <xf numFmtId="3" fontId="1" fillId="0" borderId="27" xfId="0" applyNumberFormat="1" applyFont="1" applyFill="1" applyBorder="1" applyAlignment="1">
      <alignment horizontal="center"/>
    </xf>
    <xf numFmtId="1" fontId="1" fillId="0" borderId="26" xfId="0" applyNumberFormat="1" applyFont="1" applyFill="1" applyBorder="1"/>
    <xf numFmtId="1" fontId="1" fillId="0" borderId="27" xfId="0" applyNumberFormat="1" applyFont="1" applyFill="1" applyBorder="1"/>
    <xf numFmtId="1" fontId="1" fillId="0" borderId="24" xfId="0" applyNumberFormat="1" applyFont="1" applyFill="1" applyBorder="1"/>
    <xf numFmtId="1" fontId="1" fillId="0" borderId="25" xfId="0" applyNumberFormat="1" applyFont="1" applyFill="1" applyBorder="1"/>
    <xf numFmtId="1" fontId="1" fillId="0" borderId="17" xfId="0" applyNumberFormat="1" applyFont="1" applyFill="1" applyBorder="1"/>
    <xf numFmtId="1" fontId="1" fillId="0" borderId="18" xfId="0" applyNumberFormat="1" applyFont="1" applyFill="1" applyBorder="1"/>
    <xf numFmtId="0" fontId="1" fillId="0" borderId="28" xfId="0" applyFont="1" applyFill="1" applyBorder="1" applyAlignment="1"/>
    <xf numFmtId="0" fontId="1" fillId="0" borderId="26" xfId="0" applyFont="1" applyFill="1" applyBorder="1" applyAlignment="1"/>
    <xf numFmtId="0" fontId="1" fillId="0" borderId="27" xfId="0" applyFont="1" applyFill="1" applyBorder="1" applyAlignment="1"/>
    <xf numFmtId="0" fontId="2" fillId="0" borderId="19" xfId="0" applyFont="1" applyFill="1" applyBorder="1" applyAlignment="1">
      <alignment horizontal="centerContinuous"/>
    </xf>
    <xf numFmtId="0" fontId="2" fillId="0" borderId="11" xfId="0" applyFont="1" applyFill="1" applyBorder="1" applyAlignment="1">
      <alignment horizontal="center"/>
    </xf>
    <xf numFmtId="0" fontId="0" fillId="8" borderId="23" xfId="0" applyFill="1" applyBorder="1" applyAlignment="1">
      <alignment horizontal="centerContinuous"/>
    </xf>
    <xf numFmtId="0" fontId="2" fillId="0" borderId="49" xfId="0" applyFont="1" applyBorder="1" applyAlignment="1">
      <alignment horizontal="center"/>
    </xf>
    <xf numFmtId="0" fontId="1" fillId="0" borderId="3" xfId="0" applyFont="1" applyFill="1" applyBorder="1" applyAlignment="1"/>
    <xf numFmtId="3" fontId="1" fillId="0" borderId="9" xfId="0" applyNumberFormat="1" applyFont="1" applyFill="1" applyBorder="1"/>
    <xf numFmtId="3" fontId="1" fillId="0" borderId="7" xfId="0" applyNumberFormat="1" applyFont="1" applyFill="1" applyBorder="1"/>
    <xf numFmtId="3" fontId="1" fillId="0" borderId="8" xfId="0" applyNumberFormat="1" applyFont="1" applyFill="1" applyBorder="1"/>
    <xf numFmtId="0" fontId="2" fillId="0" borderId="50" xfId="0" applyFont="1" applyBorder="1" applyAlignment="1">
      <alignment horizontal="center"/>
    </xf>
    <xf numFmtId="0" fontId="22" fillId="5" borderId="4" xfId="0" applyFont="1" applyFill="1" applyBorder="1" applyAlignment="1" applyProtection="1">
      <alignment horizontal="right"/>
    </xf>
    <xf numFmtId="10" fontId="1" fillId="0" borderId="7" xfId="0" applyNumberFormat="1" applyFont="1" applyBorder="1"/>
    <xf numFmtId="17" fontId="0" fillId="2" borderId="11" xfId="0" applyNumberFormat="1" applyFill="1" applyBorder="1" applyProtection="1"/>
    <xf numFmtId="17" fontId="0" fillId="0" borderId="0" xfId="0" applyNumberFormat="1" applyBorder="1" applyProtection="1"/>
    <xf numFmtId="0" fontId="1" fillId="0" borderId="27" xfId="0" applyFont="1" applyFill="1" applyBorder="1" applyAlignment="1">
      <alignment horizontal="center"/>
    </xf>
    <xf numFmtId="0" fontId="1" fillId="0" borderId="24" xfId="0" applyFont="1" applyFill="1" applyBorder="1" applyAlignment="1">
      <alignment horizontal="centerContinuous"/>
    </xf>
    <xf numFmtId="0" fontId="1" fillId="0" borderId="25" xfId="0" applyFont="1" applyFill="1" applyBorder="1" applyAlignment="1">
      <alignment horizontal="centerContinuous"/>
    </xf>
    <xf numFmtId="0" fontId="1" fillId="0" borderId="11" xfId="0" applyFont="1" applyFill="1" applyBorder="1" applyAlignment="1">
      <alignment horizontal="center"/>
    </xf>
    <xf numFmtId="193" fontId="1" fillId="0" borderId="26" xfId="0" applyNumberFormat="1" applyFont="1" applyFill="1" applyBorder="1"/>
    <xf numFmtId="193" fontId="1" fillId="0" borderId="27" xfId="0" applyNumberFormat="1" applyFont="1" applyFill="1" applyBorder="1"/>
    <xf numFmtId="0" fontId="1" fillId="0" borderId="28" xfId="0" applyFont="1" applyFill="1" applyBorder="1"/>
    <xf numFmtId="193" fontId="1" fillId="0" borderId="24" xfId="0" applyNumberFormat="1" applyFont="1" applyFill="1" applyBorder="1"/>
    <xf numFmtId="193" fontId="1" fillId="0" borderId="17" xfId="0" applyNumberFormat="1" applyFont="1" applyFill="1" applyBorder="1"/>
    <xf numFmtId="193" fontId="1" fillId="0" borderId="28" xfId="0" applyNumberFormat="1" applyFont="1" applyFill="1" applyBorder="1"/>
    <xf numFmtId="0" fontId="0" fillId="0" borderId="0" xfId="0" applyBorder="1" applyAlignment="1">
      <alignment horizontal="center"/>
    </xf>
    <xf numFmtId="3" fontId="0" fillId="0" borderId="0" xfId="0" applyNumberFormat="1" applyBorder="1"/>
    <xf numFmtId="1" fontId="7" fillId="0" borderId="13" xfId="1" applyNumberFormat="1" applyFont="1" applyFill="1" applyBorder="1" applyProtection="1">
      <protection locked="0"/>
    </xf>
    <xf numFmtId="221" fontId="1" fillId="0" borderId="0" xfId="0" applyNumberFormat="1" applyFont="1" applyFill="1" applyBorder="1"/>
    <xf numFmtId="0" fontId="7" fillId="5" borderId="14" xfId="0" applyFont="1" applyFill="1" applyBorder="1" applyAlignment="1" applyProtection="1">
      <alignment horizontal="left"/>
    </xf>
    <xf numFmtId="0" fontId="0" fillId="5" borderId="4" xfId="0" applyFill="1" applyBorder="1"/>
    <xf numFmtId="1" fontId="1" fillId="0" borderId="7" xfId="0" applyNumberFormat="1" applyFont="1" applyBorder="1"/>
    <xf numFmtId="0" fontId="1" fillId="5" borderId="49" xfId="0" applyFont="1" applyFill="1" applyBorder="1" applyAlignment="1">
      <alignment horizontal="center"/>
    </xf>
    <xf numFmtId="0" fontId="1" fillId="5" borderId="51" xfId="0" applyFont="1" applyFill="1" applyBorder="1" applyAlignment="1">
      <alignment horizontal="center"/>
    </xf>
    <xf numFmtId="0" fontId="0" fillId="8" borderId="21" xfId="0" applyFill="1" applyBorder="1" applyAlignment="1">
      <alignment horizontal="centerContinuous"/>
    </xf>
    <xf numFmtId="0" fontId="1" fillId="5" borderId="52" xfId="0" applyFont="1" applyFill="1" applyBorder="1" applyAlignment="1">
      <alignment horizontal="center"/>
    </xf>
    <xf numFmtId="0" fontId="2" fillId="0" borderId="17" xfId="0" applyFont="1" applyFill="1" applyBorder="1"/>
    <xf numFmtId="0" fontId="0" fillId="0" borderId="11" xfId="0" applyBorder="1"/>
    <xf numFmtId="0" fontId="0" fillId="0" borderId="24" xfId="0" applyBorder="1"/>
    <xf numFmtId="0" fontId="18" fillId="5" borderId="53" xfId="0" applyFont="1" applyFill="1" applyBorder="1" applyAlignment="1">
      <alignment horizontal="center"/>
    </xf>
    <xf numFmtId="0" fontId="18" fillId="5" borderId="54" xfId="0" applyFont="1" applyFill="1" applyBorder="1" applyAlignment="1">
      <alignment horizontal="center"/>
    </xf>
    <xf numFmtId="0" fontId="2" fillId="0" borderId="20" xfId="0" applyFont="1" applyFill="1" applyBorder="1" applyAlignment="1">
      <alignment horizontal="center"/>
    </xf>
    <xf numFmtId="0" fontId="2" fillId="0" borderId="17" xfId="0" applyFont="1" applyFill="1" applyBorder="1" applyAlignment="1">
      <alignment horizontal="center"/>
    </xf>
    <xf numFmtId="221" fontId="1" fillId="0" borderId="28" xfId="0" applyNumberFormat="1" applyFont="1" applyFill="1" applyBorder="1" applyAlignment="1"/>
    <xf numFmtId="221" fontId="1" fillId="0" borderId="26" xfId="0" applyNumberFormat="1" applyFont="1" applyFill="1" applyBorder="1" applyAlignment="1"/>
    <xf numFmtId="221" fontId="1" fillId="0" borderId="27" xfId="0" applyNumberFormat="1" applyFont="1" applyFill="1" applyBorder="1" applyAlignment="1"/>
    <xf numFmtId="0" fontId="1" fillId="0" borderId="15" xfId="0" applyFont="1" applyFill="1" applyBorder="1" applyAlignment="1">
      <alignment horizontal="center"/>
    </xf>
    <xf numFmtId="0" fontId="8" fillId="0" borderId="54" xfId="0" applyFont="1" applyFill="1" applyBorder="1" applyAlignment="1" applyProtection="1">
      <alignment horizontal="left"/>
    </xf>
    <xf numFmtId="0" fontId="8" fillId="0" borderId="49" xfId="0" applyFont="1" applyFill="1" applyBorder="1" applyAlignment="1" applyProtection="1">
      <alignment horizontal="left"/>
    </xf>
    <xf numFmtId="0" fontId="8" fillId="0" borderId="52" xfId="0" applyFont="1" applyFill="1" applyBorder="1" applyAlignment="1" applyProtection="1">
      <alignment horizontal="center"/>
    </xf>
    <xf numFmtId="0" fontId="1" fillId="0" borderId="28" xfId="0" applyFont="1" applyBorder="1" applyAlignment="1" applyProtection="1">
      <alignment horizontal="center"/>
    </xf>
    <xf numFmtId="0" fontId="7" fillId="0" borderId="14" xfId="0" applyFont="1" applyFill="1" applyBorder="1" applyAlignment="1">
      <alignment horizontal="centerContinuous"/>
    </xf>
    <xf numFmtId="0" fontId="8" fillId="0" borderId="8" xfId="0" applyFont="1" applyFill="1" applyBorder="1" applyAlignment="1" applyProtection="1">
      <alignment horizontal="center"/>
      <protection locked="0"/>
    </xf>
    <xf numFmtId="0" fontId="23" fillId="0" borderId="0" xfId="0" applyFont="1"/>
    <xf numFmtId="0" fontId="4" fillId="9" borderId="0" xfId="0" applyFont="1" applyFill="1" applyProtection="1">
      <protection locked="0"/>
    </xf>
    <xf numFmtId="164" fontId="4" fillId="9" borderId="0" xfId="0" applyNumberFormat="1" applyFont="1" applyFill="1" applyBorder="1" applyProtection="1"/>
    <xf numFmtId="164" fontId="4" fillId="9" borderId="0" xfId="0" applyNumberFormat="1" applyFont="1" applyFill="1" applyProtection="1"/>
    <xf numFmtId="0" fontId="4" fillId="9" borderId="0" xfId="0" applyFont="1" applyFill="1" applyBorder="1" applyProtection="1">
      <protection locked="0"/>
    </xf>
    <xf numFmtId="7" fontId="16" fillId="9" borderId="0" xfId="0" applyNumberFormat="1" applyFont="1" applyFill="1" applyBorder="1" applyAlignment="1" applyProtection="1">
      <alignment horizontal="left"/>
    </xf>
    <xf numFmtId="0" fontId="0" fillId="9" borderId="0" xfId="0" applyFill="1"/>
    <xf numFmtId="0" fontId="4" fillId="9" borderId="0" xfId="0" applyFont="1" applyFill="1" applyProtection="1"/>
    <xf numFmtId="0" fontId="5" fillId="9" borderId="0" xfId="0" applyFont="1" applyFill="1" applyProtection="1"/>
    <xf numFmtId="164" fontId="7" fillId="9" borderId="0" xfId="0" applyNumberFormat="1" applyFont="1" applyFill="1" applyProtection="1"/>
    <xf numFmtId="0" fontId="6" fillId="9" borderId="0" xfId="0" applyFont="1" applyFill="1" applyAlignment="1">
      <alignment horizontal="right"/>
    </xf>
    <xf numFmtId="0" fontId="7" fillId="9" borderId="0" xfId="0" applyFont="1" applyFill="1" applyBorder="1" applyAlignment="1" applyProtection="1">
      <alignment horizontal="right"/>
    </xf>
    <xf numFmtId="0" fontId="5" fillId="9" borderId="0" xfId="0" applyFont="1" applyFill="1" applyBorder="1" applyProtection="1"/>
    <xf numFmtId="7" fontId="25" fillId="9" borderId="0" xfId="0" applyNumberFormat="1" applyFont="1" applyFill="1" applyBorder="1" applyAlignment="1" applyProtection="1">
      <alignment horizontal="left"/>
    </xf>
    <xf numFmtId="226" fontId="7" fillId="9" borderId="0" xfId="0" applyNumberFormat="1" applyFont="1" applyFill="1" applyProtection="1"/>
    <xf numFmtId="164" fontId="7" fillId="9" borderId="0" xfId="0" applyNumberFormat="1" applyFont="1" applyFill="1" applyBorder="1" applyProtection="1"/>
    <xf numFmtId="7" fontId="22" fillId="9" borderId="0" xfId="0" applyNumberFormat="1" applyFont="1" applyFill="1" applyBorder="1" applyAlignment="1" applyProtection="1">
      <alignment horizontal="centerContinuous"/>
    </xf>
    <xf numFmtId="0" fontId="0" fillId="9" borderId="0" xfId="0" applyFill="1" applyBorder="1"/>
    <xf numFmtId="0" fontId="24" fillId="5" borderId="14" xfId="0" applyFont="1" applyFill="1" applyBorder="1" applyAlignment="1">
      <alignment horizontal="centerContinuous"/>
    </xf>
    <xf numFmtId="0" fontId="1" fillId="5" borderId="23" xfId="0" applyFont="1" applyFill="1" applyBorder="1" applyAlignment="1">
      <alignment horizontal="centerContinuous"/>
    </xf>
    <xf numFmtId="0" fontId="0" fillId="0" borderId="13" xfId="0" applyBorder="1"/>
    <xf numFmtId="0" fontId="1" fillId="8" borderId="14" xfId="0" applyFont="1" applyFill="1" applyBorder="1"/>
    <xf numFmtId="0" fontId="21" fillId="5" borderId="4" xfId="0" applyFont="1" applyFill="1" applyBorder="1" applyAlignment="1">
      <alignment horizontal="right"/>
    </xf>
    <xf numFmtId="0" fontId="5" fillId="0" borderId="55" xfId="0" applyFont="1" applyBorder="1" applyProtection="1">
      <protection locked="0"/>
    </xf>
    <xf numFmtId="0" fontId="0" fillId="0" borderId="56" xfId="0" applyBorder="1"/>
    <xf numFmtId="0" fontId="0" fillId="0" borderId="56" xfId="0" applyFill="1" applyBorder="1"/>
    <xf numFmtId="0" fontId="1" fillId="0" borderId="47" xfId="0" applyFont="1" applyFill="1" applyBorder="1" applyAlignment="1">
      <alignment horizontal="centerContinuous"/>
    </xf>
    <xf numFmtId="221" fontId="5" fillId="0" borderId="4" xfId="0" applyNumberFormat="1" applyFont="1" applyBorder="1" applyProtection="1">
      <protection locked="0"/>
    </xf>
    <xf numFmtId="20" fontId="15" fillId="0" borderId="57" xfId="0" applyNumberFormat="1" applyFont="1" applyFill="1" applyBorder="1"/>
    <xf numFmtId="221" fontId="5" fillId="0" borderId="5" xfId="0" applyNumberFormat="1" applyFont="1" applyBorder="1" applyProtection="1">
      <protection locked="0"/>
    </xf>
    <xf numFmtId="0" fontId="5" fillId="0" borderId="58" xfId="0" applyFont="1" applyBorder="1" applyProtection="1">
      <protection locked="0"/>
    </xf>
    <xf numFmtId="0" fontId="0" fillId="0" borderId="59" xfId="0" applyBorder="1"/>
    <xf numFmtId="0" fontId="0" fillId="0" borderId="59" xfId="0" applyFill="1" applyBorder="1"/>
    <xf numFmtId="20" fontId="15" fillId="0" borderId="60" xfId="0" applyNumberFormat="1" applyFont="1" applyFill="1" applyBorder="1"/>
    <xf numFmtId="0" fontId="1" fillId="0" borderId="55" xfId="0" applyFont="1" applyBorder="1" applyAlignment="1" applyProtection="1">
      <alignment horizontal="centerContinuous"/>
    </xf>
    <xf numFmtId="0" fontId="1" fillId="0" borderId="56" xfId="0" applyFont="1" applyBorder="1" applyAlignment="1" applyProtection="1">
      <alignment horizontal="centerContinuous"/>
    </xf>
    <xf numFmtId="0" fontId="1" fillId="0" borderId="21" xfId="0" applyFont="1" applyBorder="1" applyAlignment="1">
      <alignment horizontal="centerContinuous"/>
    </xf>
    <xf numFmtId="0" fontId="1" fillId="0" borderId="33" xfId="0" applyFont="1" applyBorder="1" applyAlignment="1" applyProtection="1">
      <alignment horizontal="centerContinuous"/>
    </xf>
    <xf numFmtId="0" fontId="1" fillId="0" borderId="57" xfId="0" applyFont="1" applyBorder="1" applyAlignment="1" applyProtection="1">
      <alignment horizontal="centerContinuous"/>
    </xf>
    <xf numFmtId="0" fontId="1" fillId="0" borderId="5" xfId="0" applyFont="1" applyBorder="1" applyAlignment="1" applyProtection="1">
      <alignment horizontal="center"/>
    </xf>
    <xf numFmtId="0" fontId="1" fillId="0" borderId="6" xfId="0" applyFont="1" applyBorder="1" applyAlignment="1" applyProtection="1">
      <alignment horizontal="center"/>
    </xf>
    <xf numFmtId="0" fontId="1" fillId="0" borderId="8" xfId="0" applyFont="1" applyBorder="1" applyAlignment="1" applyProtection="1">
      <alignment horizontal="center"/>
    </xf>
    <xf numFmtId="0" fontId="1" fillId="0" borderId="26" xfId="0" applyFont="1" applyBorder="1" applyAlignment="1" applyProtection="1">
      <alignment horizontal="center"/>
    </xf>
    <xf numFmtId="0" fontId="3" fillId="0" borderId="27" xfId="0" applyFont="1" applyBorder="1" applyProtection="1"/>
    <xf numFmtId="0" fontId="1" fillId="0" borderId="2" xfId="0" applyFont="1" applyBorder="1" applyAlignment="1">
      <alignment horizontal="center"/>
    </xf>
    <xf numFmtId="10" fontId="1" fillId="0" borderId="2" xfId="0" applyNumberFormat="1" applyFont="1" applyBorder="1" applyAlignment="1">
      <alignment horizontal="center"/>
    </xf>
    <xf numFmtId="0" fontId="1" fillId="0" borderId="30" xfId="0" applyFont="1" applyBorder="1" applyAlignment="1" applyProtection="1">
      <alignment horizontal="centerContinuous"/>
    </xf>
    <xf numFmtId="0" fontId="1" fillId="0" borderId="31" xfId="0" applyFont="1" applyBorder="1" applyAlignment="1" applyProtection="1">
      <alignment horizontal="centerContinuous"/>
    </xf>
    <xf numFmtId="0" fontId="1" fillId="0" borderId="35" xfId="0" applyFont="1" applyBorder="1" applyAlignment="1" applyProtection="1">
      <alignment horizontal="centerContinuous"/>
    </xf>
    <xf numFmtId="10" fontId="1" fillId="0" borderId="7" xfId="0" applyNumberFormat="1" applyFont="1" applyBorder="1" applyAlignment="1">
      <alignment horizontal="center"/>
    </xf>
    <xf numFmtId="17" fontId="0" fillId="2" borderId="11" xfId="0" applyNumberFormat="1" applyFill="1" applyBorder="1"/>
    <xf numFmtId="193" fontId="0" fillId="0" borderId="0" xfId="0" applyNumberFormat="1"/>
    <xf numFmtId="10" fontId="0" fillId="0" borderId="0" xfId="0" applyNumberFormat="1"/>
    <xf numFmtId="1" fontId="21" fillId="2" borderId="11" xfId="0" applyNumberFormat="1" applyFont="1" applyFill="1" applyBorder="1" applyAlignment="1"/>
    <xf numFmtId="0" fontId="0" fillId="0" borderId="3" xfId="0" applyBorder="1"/>
    <xf numFmtId="0" fontId="15" fillId="0" borderId="4" xfId="0" applyFont="1" applyBorder="1"/>
    <xf numFmtId="0" fontId="0" fillId="2" borderId="7" xfId="0" applyFill="1" applyBorder="1" applyAlignment="1">
      <alignment horizontal="center"/>
    </xf>
    <xf numFmtId="0" fontId="1" fillId="7" borderId="13" xfId="0" applyFont="1" applyFill="1" applyBorder="1" applyAlignment="1">
      <alignment horizontal="center"/>
    </xf>
    <xf numFmtId="2" fontId="0" fillId="5" borderId="0" xfId="0" applyNumberFormat="1" applyFill="1" applyBorder="1"/>
    <xf numFmtId="2" fontId="0" fillId="5" borderId="32" xfId="0" applyNumberFormat="1" applyFill="1" applyBorder="1"/>
    <xf numFmtId="10" fontId="1" fillId="0" borderId="9" xfId="0" applyNumberFormat="1" applyFont="1" applyBorder="1"/>
    <xf numFmtId="0" fontId="1" fillId="0" borderId="14" xfId="0" applyFont="1" applyBorder="1"/>
    <xf numFmtId="0" fontId="27" fillId="0" borderId="0" xfId="0" applyFont="1"/>
    <xf numFmtId="0" fontId="2" fillId="0" borderId="47" xfId="0" applyFont="1" applyBorder="1"/>
    <xf numFmtId="17" fontId="2" fillId="0" borderId="13" xfId="0" applyNumberFormat="1" applyFont="1" applyBorder="1" applyAlignment="1">
      <alignment horizontal="center"/>
    </xf>
    <xf numFmtId="0" fontId="7" fillId="5" borderId="20" xfId="0" applyFont="1" applyFill="1" applyBorder="1" applyAlignment="1" applyProtection="1">
      <alignment horizontal="right"/>
    </xf>
    <xf numFmtId="0" fontId="7" fillId="8" borderId="17" xfId="0" applyFont="1" applyFill="1" applyBorder="1" applyAlignment="1" applyProtection="1">
      <alignment horizontal="left"/>
    </xf>
    <xf numFmtId="221" fontId="7" fillId="5" borderId="9" xfId="0" applyNumberFormat="1" applyFont="1" applyFill="1" applyBorder="1" applyAlignment="1" applyProtection="1">
      <alignment horizontal="right"/>
      <protection locked="0"/>
    </xf>
    <xf numFmtId="1" fontId="0" fillId="0" borderId="0" xfId="0" applyNumberFormat="1" applyBorder="1" applyProtection="1"/>
    <xf numFmtId="1" fontId="0" fillId="5" borderId="0" xfId="0" applyNumberFormat="1" applyFill="1" applyBorder="1" applyProtection="1"/>
    <xf numFmtId="0" fontId="17" fillId="0" borderId="28" xfId="0" applyFont="1" applyBorder="1" applyAlignment="1" applyProtection="1">
      <alignment horizontal="center"/>
    </xf>
    <xf numFmtId="0" fontId="17" fillId="0" borderId="26" xfId="0" applyFont="1" applyBorder="1" applyAlignment="1" applyProtection="1">
      <alignment horizontal="center"/>
    </xf>
    <xf numFmtId="0" fontId="7" fillId="0" borderId="27" xfId="0" applyFont="1" applyBorder="1" applyAlignment="1" applyProtection="1">
      <alignment horizontal="center"/>
    </xf>
    <xf numFmtId="0" fontId="2" fillId="0" borderId="55" xfId="0" applyFont="1" applyBorder="1" applyAlignment="1">
      <alignment horizontal="centerContinuous"/>
    </xf>
    <xf numFmtId="0" fontId="2" fillId="0" borderId="56" xfId="0" applyFont="1" applyBorder="1" applyAlignment="1">
      <alignment horizontal="centerContinuous"/>
    </xf>
    <xf numFmtId="0" fontId="2" fillId="0" borderId="61" xfId="0" applyFont="1" applyBorder="1" applyAlignment="1">
      <alignment horizontal="centerContinuous"/>
    </xf>
    <xf numFmtId="43" fontId="0" fillId="0" borderId="32" xfId="0" quotePrefix="1" applyNumberFormat="1" applyBorder="1"/>
    <xf numFmtId="0" fontId="14" fillId="0" borderId="47" xfId="0" applyFont="1" applyBorder="1" applyAlignment="1">
      <alignment horizontal="centerContinuous"/>
    </xf>
    <xf numFmtId="0" fontId="0" fillId="2" borderId="2" xfId="0" applyFill="1" applyBorder="1" applyAlignment="1">
      <alignment horizontal="center"/>
    </xf>
    <xf numFmtId="0" fontId="0" fillId="2" borderId="10" xfId="0" applyFill="1" applyBorder="1" applyAlignment="1">
      <alignment horizontal="center"/>
    </xf>
    <xf numFmtId="0" fontId="0" fillId="0" borderId="9" xfId="0" applyBorder="1"/>
    <xf numFmtId="193" fontId="0" fillId="0" borderId="0" xfId="0" quotePrefix="1" applyNumberFormat="1" applyBorder="1" applyProtection="1"/>
    <xf numFmtId="0" fontId="28" fillId="0" borderId="28" xfId="0" applyFont="1" applyBorder="1" applyAlignment="1" applyProtection="1">
      <alignment horizontal="center"/>
    </xf>
    <xf numFmtId="0" fontId="28" fillId="0" borderId="26" xfId="0" applyFont="1" applyBorder="1" applyAlignment="1" applyProtection="1">
      <alignment horizontal="center"/>
    </xf>
    <xf numFmtId="0" fontId="8" fillId="0" borderId="27" xfId="0" applyFont="1" applyBorder="1" applyAlignment="1" applyProtection="1">
      <alignment horizontal="center"/>
    </xf>
    <xf numFmtId="10" fontId="0" fillId="0" borderId="0" xfId="0" quotePrefix="1" applyNumberFormat="1"/>
    <xf numFmtId="0" fontId="0" fillId="0" borderId="2" xfId="0" applyFill="1" applyBorder="1" applyAlignment="1">
      <alignment horizontal="center"/>
    </xf>
    <xf numFmtId="3" fontId="1" fillId="0" borderId="2" xfId="0" applyNumberFormat="1" applyFont="1" applyFill="1" applyBorder="1"/>
    <xf numFmtId="3" fontId="1" fillId="0" borderId="10" xfId="0" applyNumberFormat="1" applyFont="1" applyFill="1" applyBorder="1"/>
    <xf numFmtId="3" fontId="1" fillId="0" borderId="6" xfId="0" applyNumberFormat="1" applyFont="1" applyFill="1" applyBorder="1"/>
    <xf numFmtId="0" fontId="1" fillId="0" borderId="62" xfId="0" applyFont="1" applyFill="1" applyBorder="1" applyAlignment="1">
      <alignment horizontal="center"/>
    </xf>
    <xf numFmtId="3" fontId="1" fillId="0" borderId="21" xfId="0" applyNumberFormat="1" applyFont="1" applyFill="1" applyBorder="1" applyAlignment="1">
      <alignment horizontal="centerContinuous"/>
    </xf>
    <xf numFmtId="3" fontId="1" fillId="0" borderId="19" xfId="0" applyNumberFormat="1" applyFont="1" applyFill="1" applyBorder="1" applyAlignment="1">
      <alignment horizontal="centerContinuous"/>
    </xf>
    <xf numFmtId="0" fontId="1" fillId="0" borderId="63" xfId="0" applyFont="1" applyBorder="1" applyAlignment="1">
      <alignment horizontal="center"/>
    </xf>
    <xf numFmtId="0" fontId="1" fillId="0" borderId="6" xfId="0" applyFont="1" applyBorder="1" applyAlignment="1">
      <alignment horizontal="center"/>
    </xf>
    <xf numFmtId="3" fontId="1" fillId="0" borderId="8" xfId="0" applyNumberFormat="1" applyFont="1" applyFill="1" applyBorder="1" applyAlignment="1">
      <alignment horizontal="center"/>
    </xf>
    <xf numFmtId="7" fontId="25" fillId="9" borderId="0" xfId="0" applyNumberFormat="1" applyFont="1" applyFill="1" applyBorder="1" applyAlignment="1" applyProtection="1">
      <alignment horizontal="centerContinuous"/>
    </xf>
    <xf numFmtId="0" fontId="0" fillId="9" borderId="0" xfId="0" applyFill="1" applyAlignment="1">
      <alignment horizontal="centerContinuous"/>
    </xf>
    <xf numFmtId="0" fontId="13" fillId="5" borderId="14" xfId="0" applyFont="1" applyFill="1" applyBorder="1" applyAlignment="1" applyProtection="1">
      <alignment horizontal="right"/>
    </xf>
    <xf numFmtId="0" fontId="13" fillId="5" borderId="47" xfId="0" applyFont="1" applyFill="1" applyBorder="1" applyAlignment="1" applyProtection="1">
      <alignment horizontal="right"/>
    </xf>
    <xf numFmtId="49" fontId="1" fillId="5" borderId="4" xfId="0" applyNumberFormat="1" applyFont="1" applyFill="1" applyBorder="1" applyAlignment="1">
      <alignment horizontal="left"/>
    </xf>
    <xf numFmtId="49" fontId="1" fillId="5" borderId="5" xfId="0" applyNumberFormat="1" applyFont="1" applyFill="1" applyBorder="1" applyAlignment="1">
      <alignment horizontal="left"/>
    </xf>
    <xf numFmtId="0" fontId="21" fillId="8" borderId="20" xfId="0" applyFont="1" applyFill="1" applyBorder="1" applyAlignment="1">
      <alignment horizontal="centerContinuous"/>
    </xf>
    <xf numFmtId="0" fontId="0" fillId="5" borderId="47" xfId="0" applyFill="1" applyBorder="1"/>
    <xf numFmtId="0" fontId="18" fillId="5" borderId="28" xfId="0" applyFont="1" applyFill="1" applyBorder="1" applyAlignment="1">
      <alignment horizontal="center"/>
    </xf>
    <xf numFmtId="0" fontId="18" fillId="5" borderId="26" xfId="0" applyFont="1" applyFill="1" applyBorder="1" applyAlignment="1">
      <alignment horizontal="center"/>
    </xf>
    <xf numFmtId="0" fontId="21" fillId="8" borderId="14" xfId="0" applyFont="1" applyFill="1" applyBorder="1" applyAlignment="1">
      <alignment horizontal="centerContinuous"/>
    </xf>
    <xf numFmtId="0" fontId="29" fillId="0" borderId="4" xfId="0" applyFont="1" applyBorder="1"/>
    <xf numFmtId="0" fontId="29" fillId="0" borderId="5" xfId="0" applyFont="1" applyBorder="1"/>
    <xf numFmtId="0" fontId="0" fillId="0" borderId="8" xfId="0" applyBorder="1"/>
    <xf numFmtId="2" fontId="0" fillId="0" borderId="44" xfId="0" applyNumberFormat="1" applyBorder="1"/>
    <xf numFmtId="0" fontId="0" fillId="0" borderId="2" xfId="0" applyBorder="1" applyAlignment="1">
      <alignment horizontal="center"/>
    </xf>
    <xf numFmtId="0" fontId="0" fillId="10" borderId="2" xfId="0" applyFill="1" applyBorder="1" applyAlignment="1">
      <alignment horizontal="center"/>
    </xf>
    <xf numFmtId="0" fontId="0" fillId="10" borderId="6" xfId="0" applyFill="1" applyBorder="1" applyAlignment="1">
      <alignment horizontal="center"/>
    </xf>
    <xf numFmtId="17" fontId="0" fillId="5" borderId="24" xfId="0" applyNumberFormat="1" applyFill="1" applyBorder="1"/>
    <xf numFmtId="10" fontId="0" fillId="0" borderId="0" xfId="0" applyNumberFormat="1" applyBorder="1"/>
    <xf numFmtId="9" fontId="7" fillId="0" borderId="64" xfId="0" applyNumberFormat="1" applyFont="1" applyFill="1" applyBorder="1"/>
    <xf numFmtId="9" fontId="7" fillId="0" borderId="12" xfId="0" applyNumberFormat="1" applyFont="1" applyFill="1" applyBorder="1"/>
    <xf numFmtId="1" fontId="13" fillId="8" borderId="2" xfId="0" applyNumberFormat="1" applyFont="1" applyFill="1" applyBorder="1"/>
    <xf numFmtId="1" fontId="13" fillId="8" borderId="7" xfId="0" applyNumberFormat="1" applyFont="1" applyFill="1" applyBorder="1"/>
    <xf numFmtId="1" fontId="13" fillId="8" borderId="2" xfId="0" applyNumberFormat="1" applyFont="1" applyFill="1" applyBorder="1" applyProtection="1"/>
    <xf numFmtId="1" fontId="13" fillId="8" borderId="7" xfId="0" applyNumberFormat="1" applyFont="1" applyFill="1" applyBorder="1" applyProtection="1"/>
    <xf numFmtId="1" fontId="13" fillId="8" borderId="6" xfId="0" applyNumberFormat="1" applyFont="1" applyFill="1" applyBorder="1"/>
    <xf numFmtId="1" fontId="13" fillId="8" borderId="8" xfId="0" applyNumberFormat="1" applyFont="1" applyFill="1" applyBorder="1"/>
    <xf numFmtId="0" fontId="2" fillId="0" borderId="2" xfId="0" applyFont="1" applyBorder="1" applyAlignment="1">
      <alignment horizontal="centerContinuous"/>
    </xf>
    <xf numFmtId="0" fontId="2" fillId="0" borderId="57" xfId="0" applyFont="1" applyBorder="1" applyAlignment="1">
      <alignment horizontal="centerContinuous"/>
    </xf>
    <xf numFmtId="193" fontId="0" fillId="0" borderId="0" xfId="0" applyNumberFormat="1" applyAlignment="1"/>
    <xf numFmtId="0" fontId="21" fillId="5" borderId="28" xfId="0" applyFont="1" applyFill="1" applyBorder="1" applyAlignment="1">
      <alignment horizontal="center"/>
    </xf>
    <xf numFmtId="0" fontId="18" fillId="5" borderId="27" xfId="0" applyFont="1" applyFill="1" applyBorder="1" applyAlignment="1">
      <alignment horizontal="center"/>
    </xf>
    <xf numFmtId="0" fontId="21" fillId="5" borderId="26" xfId="0" applyFont="1" applyFill="1" applyBorder="1" applyAlignment="1">
      <alignment horizontal="center"/>
    </xf>
    <xf numFmtId="0" fontId="21" fillId="5" borderId="27" xfId="0" applyFont="1" applyFill="1" applyBorder="1" applyAlignment="1">
      <alignment horizontal="center"/>
    </xf>
    <xf numFmtId="193" fontId="7" fillId="0" borderId="16" xfId="0" applyNumberFormat="1" applyFont="1" applyFill="1" applyBorder="1"/>
    <xf numFmtId="193" fontId="7" fillId="0" borderId="64" xfId="0" applyNumberFormat="1" applyFont="1" applyFill="1" applyBorder="1"/>
    <xf numFmtId="193" fontId="7" fillId="0" borderId="12" xfId="0" applyNumberFormat="1" applyFont="1" applyFill="1" applyBorder="1"/>
    <xf numFmtId="221" fontId="5" fillId="0" borderId="0" xfId="0" applyNumberFormat="1" applyFont="1" applyBorder="1" applyProtection="1">
      <protection locked="0"/>
    </xf>
    <xf numFmtId="0" fontId="5" fillId="0" borderId="0" xfId="0" applyFont="1" applyBorder="1" applyProtection="1">
      <protection locked="0"/>
    </xf>
    <xf numFmtId="167" fontId="0" fillId="0" borderId="0" xfId="0" applyNumberFormat="1" applyProtection="1"/>
    <xf numFmtId="2" fontId="0" fillId="5" borderId="44" xfId="0" applyNumberFormat="1" applyFill="1" applyBorder="1"/>
    <xf numFmtId="9" fontId="0" fillId="0" borderId="31" xfId="0" applyNumberFormat="1" applyBorder="1" applyAlignment="1">
      <alignment horizontal="centerContinuous"/>
    </xf>
    <xf numFmtId="9" fontId="0" fillId="0" borderId="35" xfId="0" applyNumberFormat="1" applyBorder="1" applyAlignment="1">
      <alignment horizontal="centerContinuous"/>
    </xf>
    <xf numFmtId="0" fontId="2" fillId="0" borderId="21" xfId="0" applyFont="1" applyBorder="1" applyAlignment="1">
      <alignment horizontal="centerContinuous"/>
    </xf>
    <xf numFmtId="0" fontId="2" fillId="0" borderId="2" xfId="0" applyFont="1" applyBorder="1" applyAlignment="1">
      <alignment horizontal="center"/>
    </xf>
    <xf numFmtId="0" fontId="2" fillId="0" borderId="7" xfId="0" applyFont="1" applyBorder="1" applyAlignment="1">
      <alignment horizontal="center"/>
    </xf>
    <xf numFmtId="3" fontId="2" fillId="0" borderId="6" xfId="0" applyNumberFormat="1" applyFont="1" applyBorder="1" applyAlignment="1">
      <alignment horizontal="right"/>
    </xf>
    <xf numFmtId="3" fontId="2" fillId="0" borderId="8" xfId="0" applyNumberFormat="1" applyFont="1" applyBorder="1" applyAlignment="1">
      <alignment horizontal="right"/>
    </xf>
    <xf numFmtId="3" fontId="0" fillId="0" borderId="44" xfId="0" applyNumberFormat="1" applyBorder="1"/>
    <xf numFmtId="3" fontId="0" fillId="0" borderId="50" xfId="0" quotePrefix="1" applyNumberFormat="1" applyBorder="1"/>
    <xf numFmtId="3" fontId="0" fillId="0" borderId="50" xfId="0" applyNumberFormat="1" applyBorder="1"/>
    <xf numFmtId="2" fontId="0" fillId="0" borderId="24" xfId="0" quotePrefix="1" applyNumberFormat="1" applyBorder="1"/>
    <xf numFmtId="2" fontId="0" fillId="0" borderId="44" xfId="0" quotePrefix="1" applyNumberFormat="1" applyBorder="1"/>
    <xf numFmtId="2" fontId="0" fillId="0" borderId="50" xfId="0" quotePrefix="1" applyNumberFormat="1" applyBorder="1"/>
    <xf numFmtId="2" fontId="0" fillId="0" borderId="50" xfId="0" applyNumberFormat="1" applyBorder="1"/>
    <xf numFmtId="0" fontId="2" fillId="0" borderId="4" xfId="0" applyFont="1" applyBorder="1" applyAlignment="1">
      <alignment horizontal="center"/>
    </xf>
    <xf numFmtId="3" fontId="2" fillId="0" borderId="5" xfId="0" applyNumberFormat="1" applyFont="1" applyBorder="1" applyAlignment="1">
      <alignment horizontal="right"/>
    </xf>
    <xf numFmtId="3" fontId="0" fillId="0" borderId="65" xfId="0" quotePrefix="1" applyNumberFormat="1" applyBorder="1"/>
    <xf numFmtId="2" fontId="0" fillId="0" borderId="65" xfId="0" quotePrefix="1" applyNumberFormat="1" applyBorder="1"/>
    <xf numFmtId="2" fontId="0" fillId="0" borderId="19" xfId="19" quotePrefix="1" applyNumberFormat="1" applyFont="1" applyBorder="1"/>
    <xf numFmtId="2" fontId="0" fillId="0" borderId="25" xfId="19" quotePrefix="1" applyNumberFormat="1" applyFont="1" applyBorder="1"/>
    <xf numFmtId="9" fontId="2" fillId="0" borderId="37" xfId="0" applyNumberFormat="1" applyFont="1" applyBorder="1" applyAlignment="1">
      <alignment horizontal="centerContinuous"/>
    </xf>
    <xf numFmtId="0" fontId="2" fillId="0" borderId="61" xfId="0" applyFont="1" applyBorder="1" applyAlignment="1">
      <alignment horizontal="center"/>
    </xf>
    <xf numFmtId="3" fontId="2" fillId="0" borderId="66" xfId="0" applyNumberFormat="1" applyFont="1" applyBorder="1" applyAlignment="1">
      <alignment horizontal="right"/>
    </xf>
    <xf numFmtId="49" fontId="2" fillId="0" borderId="18" xfId="0" applyNumberFormat="1" applyFont="1" applyBorder="1" applyAlignment="1">
      <alignment horizontal="center"/>
    </xf>
    <xf numFmtId="0" fontId="0" fillId="0" borderId="0" xfId="0" quotePrefix="1" applyAlignment="1"/>
    <xf numFmtId="0" fontId="21" fillId="0" borderId="47" xfId="0" applyFont="1" applyBorder="1" applyAlignment="1">
      <alignment horizontal="centerContinuous"/>
    </xf>
    <xf numFmtId="0" fontId="21" fillId="0" borderId="23" xfId="0" applyFont="1" applyBorder="1" applyAlignment="1">
      <alignment horizontal="centerContinuous"/>
    </xf>
    <xf numFmtId="182" fontId="0" fillId="0" borderId="0" xfId="0" applyNumberFormat="1"/>
    <xf numFmtId="41" fontId="0" fillId="0" borderId="0" xfId="0" applyNumberFormat="1" applyBorder="1"/>
    <xf numFmtId="37" fontId="34" fillId="0" borderId="0" xfId="15" applyFont="1" applyAlignment="1">
      <alignment horizontal="right"/>
    </xf>
    <xf numFmtId="10" fontId="34" fillId="0" borderId="49" xfId="15" applyNumberFormat="1" applyFont="1" applyBorder="1" applyProtection="1"/>
    <xf numFmtId="37" fontId="34" fillId="0" borderId="2" xfId="15" applyFont="1" applyBorder="1"/>
    <xf numFmtId="10" fontId="34" fillId="0" borderId="0" xfId="15" applyNumberFormat="1" applyFont="1" applyAlignment="1" applyProtection="1">
      <alignment horizontal="right"/>
    </xf>
    <xf numFmtId="37" fontId="0" fillId="0" borderId="0" xfId="0" applyNumberFormat="1" applyBorder="1"/>
    <xf numFmtId="0" fontId="2" fillId="0" borderId="38" xfId="0" applyFont="1" applyBorder="1" applyAlignment="1">
      <alignment horizontal="centerContinuous"/>
    </xf>
    <xf numFmtId="0" fontId="2" fillId="0" borderId="39" xfId="0" applyFont="1" applyBorder="1" applyAlignment="1">
      <alignment horizontal="centerContinuous"/>
    </xf>
    <xf numFmtId="0" fontId="2" fillId="0" borderId="38" xfId="0" applyFont="1" applyBorder="1" applyAlignment="1">
      <alignment horizontal="left"/>
    </xf>
    <xf numFmtId="9" fontId="1" fillId="0" borderId="31" xfId="0" applyNumberFormat="1" applyFont="1" applyBorder="1" applyAlignment="1">
      <alignment horizontal="centerContinuous"/>
    </xf>
    <xf numFmtId="0" fontId="2" fillId="0" borderId="37" xfId="0" applyFont="1" applyBorder="1" applyAlignment="1">
      <alignment horizontal="centerContinuous"/>
    </xf>
    <xf numFmtId="2" fontId="0" fillId="5" borderId="25" xfId="0" applyNumberFormat="1" applyFill="1" applyBorder="1"/>
    <xf numFmtId="0" fontId="2" fillId="0" borderId="40" xfId="0" applyFont="1" applyBorder="1" applyAlignment="1">
      <alignment horizontal="centerContinuous"/>
    </xf>
    <xf numFmtId="41" fontId="0" fillId="0" borderId="29" xfId="0" applyNumberFormat="1" applyBorder="1"/>
    <xf numFmtId="9" fontId="0" fillId="0" borderId="0" xfId="19" applyFont="1" applyProtection="1"/>
    <xf numFmtId="213" fontId="0" fillId="0" borderId="0" xfId="0" applyNumberFormat="1" applyBorder="1"/>
    <xf numFmtId="213" fontId="0" fillId="0" borderId="29" xfId="0" applyNumberFormat="1" applyBorder="1"/>
    <xf numFmtId="0" fontId="40" fillId="0" borderId="0" xfId="0" applyFont="1"/>
    <xf numFmtId="0" fontId="40" fillId="0" borderId="0" xfId="0" applyFont="1" applyBorder="1"/>
    <xf numFmtId="0" fontId="41" fillId="0" borderId="0" xfId="0" applyFont="1"/>
    <xf numFmtId="0" fontId="2" fillId="0" borderId="33" xfId="0" applyFont="1" applyBorder="1" applyAlignment="1">
      <alignment horizontal="centerContinuous"/>
    </xf>
    <xf numFmtId="0" fontId="0" fillId="0" borderId="30" xfId="0" applyBorder="1" applyAlignment="1">
      <alignment horizontal="centerContinuous"/>
    </xf>
    <xf numFmtId="0" fontId="41" fillId="0" borderId="0" xfId="0" applyFont="1" applyFill="1"/>
    <xf numFmtId="0" fontId="43" fillId="0" borderId="0" xfId="0" applyFont="1" applyFill="1" applyBorder="1"/>
    <xf numFmtId="182" fontId="0" fillId="0" borderId="0" xfId="0" quotePrefix="1" applyNumberFormat="1" applyBorder="1"/>
    <xf numFmtId="41" fontId="0" fillId="0" borderId="25" xfId="0" quotePrefix="1" applyNumberFormat="1" applyBorder="1"/>
    <xf numFmtId="0" fontId="2" fillId="0" borderId="46" xfId="0" applyFont="1" applyBorder="1" applyAlignment="1">
      <alignment horizontal="center"/>
    </xf>
    <xf numFmtId="9" fontId="2" fillId="0" borderId="21" xfId="0" applyNumberFormat="1" applyFont="1" applyBorder="1" applyAlignment="1">
      <alignment horizontal="center"/>
    </xf>
    <xf numFmtId="9" fontId="2" fillId="0" borderId="0" xfId="0" applyNumberFormat="1" applyFont="1" applyBorder="1" applyAlignment="1">
      <alignment horizontal="center"/>
    </xf>
    <xf numFmtId="0" fontId="0" fillId="0" borderId="20" xfId="0" quotePrefix="1" applyBorder="1"/>
    <xf numFmtId="2" fontId="0" fillId="0" borderId="67" xfId="0" quotePrefix="1" applyNumberFormat="1" applyBorder="1"/>
    <xf numFmtId="182" fontId="0" fillId="0" borderId="32" xfId="0" quotePrefix="1" applyNumberFormat="1" applyBorder="1"/>
    <xf numFmtId="41" fontId="0" fillId="0" borderId="19" xfId="0" applyNumberFormat="1" applyBorder="1"/>
    <xf numFmtId="41" fontId="0" fillId="0" borderId="21" xfId="0" applyNumberFormat="1" applyBorder="1"/>
    <xf numFmtId="37" fontId="0" fillId="0" borderId="0" xfId="0" applyNumberFormat="1"/>
    <xf numFmtId="43" fontId="0" fillId="0" borderId="0" xfId="0" applyNumberFormat="1" applyBorder="1"/>
    <xf numFmtId="43" fontId="0" fillId="0" borderId="67" xfId="0" quotePrefix="1" applyNumberFormat="1" applyBorder="1"/>
    <xf numFmtId="9" fontId="0" fillId="0" borderId="21" xfId="0" applyNumberFormat="1" applyBorder="1"/>
    <xf numFmtId="9" fontId="0" fillId="0" borderId="19" xfId="0" applyNumberFormat="1" applyBorder="1"/>
    <xf numFmtId="9" fontId="0" fillId="0" borderId="25" xfId="0" applyNumberFormat="1" applyBorder="1"/>
    <xf numFmtId="2" fontId="0" fillId="0" borderId="29" xfId="0" applyNumberFormat="1" applyBorder="1"/>
    <xf numFmtId="43" fontId="0" fillId="0" borderId="25" xfId="0" quotePrefix="1" applyNumberFormat="1" applyBorder="1"/>
    <xf numFmtId="9" fontId="0" fillId="0" borderId="20" xfId="0" quotePrefix="1" applyNumberFormat="1" applyBorder="1"/>
    <xf numFmtId="9" fontId="0" fillId="0" borderId="24" xfId="0" quotePrefix="1" applyNumberFormat="1" applyBorder="1"/>
    <xf numFmtId="10" fontId="0" fillId="0" borderId="32" xfId="0" applyNumberFormat="1" applyBorder="1"/>
    <xf numFmtId="10" fontId="0" fillId="0" borderId="48" xfId="0" applyNumberFormat="1" applyBorder="1"/>
    <xf numFmtId="3" fontId="2" fillId="0" borderId="18" xfId="0" applyNumberFormat="1" applyFont="1" applyBorder="1" applyAlignment="1">
      <alignment horizontal="center"/>
    </xf>
    <xf numFmtId="3" fontId="0" fillId="0" borderId="19" xfId="0" quotePrefix="1" applyNumberFormat="1" applyBorder="1"/>
    <xf numFmtId="3" fontId="0" fillId="0" borderId="25" xfId="0" quotePrefix="1" applyNumberFormat="1" applyBorder="1"/>
    <xf numFmtId="3" fontId="2" fillId="0" borderId="29" xfId="0" applyNumberFormat="1" applyFont="1" applyBorder="1" applyAlignment="1">
      <alignment horizontal="center"/>
    </xf>
    <xf numFmtId="0" fontId="2" fillId="0" borderId="17" xfId="0" applyFont="1" applyBorder="1" applyAlignment="1"/>
    <xf numFmtId="182" fontId="0" fillId="0" borderId="44" xfId="0" quotePrefix="1" applyNumberFormat="1" applyBorder="1"/>
    <xf numFmtId="2" fontId="0" fillId="5" borderId="21" xfId="0" applyNumberFormat="1" applyFill="1" applyBorder="1"/>
    <xf numFmtId="2" fontId="0" fillId="5" borderId="68" xfId="0" applyNumberFormat="1" applyFill="1" applyBorder="1"/>
    <xf numFmtId="2" fontId="0" fillId="5" borderId="67" xfId="0" applyNumberFormat="1" applyFill="1" applyBorder="1"/>
    <xf numFmtId="2" fontId="0" fillId="5" borderId="19" xfId="0" applyNumberFormat="1" applyFill="1" applyBorder="1"/>
    <xf numFmtId="0" fontId="0" fillId="0" borderId="28" xfId="0" applyBorder="1" applyAlignment="1">
      <alignment horizontal="center"/>
    </xf>
    <xf numFmtId="0" fontId="0" fillId="0" borderId="26" xfId="0" applyBorder="1" applyAlignment="1">
      <alignment horizontal="center"/>
    </xf>
    <xf numFmtId="0" fontId="2" fillId="0" borderId="26" xfId="0" applyFont="1" applyBorder="1" applyAlignment="1">
      <alignment horizontal="center"/>
    </xf>
    <xf numFmtId="0" fontId="2" fillId="0" borderId="51" xfId="0" applyFont="1" applyBorder="1" applyAlignment="1">
      <alignment horizontal="center"/>
    </xf>
    <xf numFmtId="49" fontId="2" fillId="0" borderId="26" xfId="0" applyNumberFormat="1" applyFont="1" applyBorder="1" applyAlignment="1">
      <alignment horizontal="center"/>
    </xf>
    <xf numFmtId="0" fontId="21" fillId="5" borderId="2" xfId="0" applyFont="1" applyFill="1" applyBorder="1" applyAlignment="1">
      <alignment horizontal="center"/>
    </xf>
    <xf numFmtId="0" fontId="5" fillId="5" borderId="4" xfId="0" applyFont="1" applyFill="1" applyBorder="1"/>
    <xf numFmtId="0" fontId="21" fillId="5" borderId="7" xfId="0" applyFont="1" applyFill="1" applyBorder="1" applyAlignment="1">
      <alignment horizontal="center"/>
    </xf>
    <xf numFmtId="0" fontId="39" fillId="5" borderId="4" xfId="0" applyFont="1" applyFill="1" applyBorder="1"/>
    <xf numFmtId="7" fontId="21" fillId="8" borderId="7" xfId="0" applyNumberFormat="1" applyFont="1" applyFill="1" applyBorder="1"/>
    <xf numFmtId="0" fontId="26" fillId="5" borderId="4" xfId="0" applyFont="1" applyFill="1" applyBorder="1" applyAlignment="1" applyProtection="1">
      <alignment horizontal="right"/>
    </xf>
    <xf numFmtId="0" fontId="1" fillId="5" borderId="3" xfId="0" applyFont="1" applyFill="1" applyBorder="1" applyAlignment="1">
      <alignment horizontal="centerContinuous"/>
    </xf>
    <xf numFmtId="0" fontId="0" fillId="5" borderId="9" xfId="0" applyFill="1" applyBorder="1" applyAlignment="1">
      <alignment horizontal="centerContinuous"/>
    </xf>
    <xf numFmtId="9" fontId="7" fillId="8" borderId="7" xfId="0" applyNumberFormat="1" applyFont="1" applyFill="1" applyBorder="1" applyProtection="1"/>
    <xf numFmtId="0" fontId="22" fillId="5" borderId="5" xfId="0" applyFont="1" applyFill="1" applyBorder="1" applyAlignment="1" applyProtection="1">
      <alignment horizontal="right"/>
    </xf>
    <xf numFmtId="9" fontId="7" fillId="8" borderId="8" xfId="0" applyNumberFormat="1" applyFont="1" applyFill="1" applyBorder="1" applyProtection="1"/>
    <xf numFmtId="0" fontId="46" fillId="5" borderId="14" xfId="0" quotePrefix="1" applyFont="1" applyFill="1" applyBorder="1" applyAlignment="1">
      <alignment horizontal="centerContinuous"/>
    </xf>
    <xf numFmtId="0" fontId="24" fillId="5" borderId="3" xfId="0" applyFont="1" applyFill="1" applyBorder="1" applyAlignment="1">
      <alignment horizontal="centerContinuous"/>
    </xf>
    <xf numFmtId="0" fontId="1" fillId="5" borderId="9" xfId="0" applyFont="1" applyFill="1" applyBorder="1" applyAlignment="1">
      <alignment horizontal="centerContinuous"/>
    </xf>
    <xf numFmtId="4" fontId="1" fillId="0" borderId="7" xfId="0" applyNumberFormat="1" applyFont="1" applyBorder="1"/>
    <xf numFmtId="9" fontId="0" fillId="0" borderId="28" xfId="19" quotePrefix="1" applyNumberFormat="1" applyFont="1" applyBorder="1"/>
    <xf numFmtId="9" fontId="0" fillId="0" borderId="26" xfId="19" quotePrefix="1" applyNumberFormat="1" applyFont="1" applyBorder="1"/>
    <xf numFmtId="194" fontId="0" fillId="0" borderId="21" xfId="0" quotePrefix="1" applyNumberFormat="1" applyBorder="1"/>
    <xf numFmtId="194" fontId="0" fillId="0" borderId="0" xfId="0" quotePrefix="1" applyNumberFormat="1" applyBorder="1"/>
    <xf numFmtId="194" fontId="0" fillId="0" borderId="29" xfId="0" quotePrefix="1" applyNumberFormat="1" applyBorder="1"/>
    <xf numFmtId="194" fontId="0" fillId="0" borderId="28" xfId="0" applyNumberFormat="1" applyBorder="1"/>
    <xf numFmtId="194" fontId="0" fillId="0" borderId="26" xfId="0" applyNumberFormat="1" applyBorder="1"/>
    <xf numFmtId="194" fontId="0" fillId="0" borderId="67" xfId="0" applyNumberFormat="1" applyBorder="1"/>
    <xf numFmtId="194" fontId="0" fillId="0" borderId="44" xfId="0" applyNumberFormat="1" applyBorder="1"/>
    <xf numFmtId="194" fontId="0" fillId="0" borderId="45" xfId="0" applyNumberFormat="1" applyBorder="1"/>
    <xf numFmtId="3" fontId="2" fillId="0" borderId="5" xfId="0" applyNumberFormat="1" applyFont="1" applyBorder="1" applyAlignment="1">
      <alignment horizontal="center"/>
    </xf>
    <xf numFmtId="9" fontId="9" fillId="0" borderId="7" xfId="19" applyFont="1" applyBorder="1"/>
    <xf numFmtId="0" fontId="7" fillId="8" borderId="4" xfId="0" applyFont="1" applyFill="1" applyBorder="1" applyAlignment="1" applyProtection="1">
      <alignment horizontal="right"/>
    </xf>
    <xf numFmtId="0" fontId="7" fillId="8" borderId="5" xfId="0" applyFont="1" applyFill="1" applyBorder="1" applyAlignment="1" applyProtection="1">
      <alignment horizontal="right"/>
    </xf>
    <xf numFmtId="0" fontId="2" fillId="0" borderId="53" xfId="0" applyFont="1" applyBorder="1" applyAlignment="1">
      <alignment horizontal="center"/>
    </xf>
    <xf numFmtId="41" fontId="0" fillId="0" borderId="44" xfId="0" applyNumberFormat="1" applyBorder="1"/>
    <xf numFmtId="41" fontId="0" fillId="0" borderId="32" xfId="0" applyNumberFormat="1" applyBorder="1"/>
    <xf numFmtId="37" fontId="0" fillId="0" borderId="44" xfId="0" applyNumberFormat="1" applyBorder="1"/>
    <xf numFmtId="37" fontId="0" fillId="0" borderId="32" xfId="0" applyNumberFormat="1" applyBorder="1"/>
    <xf numFmtId="41" fontId="0" fillId="0" borderId="25" xfId="0" applyNumberFormat="1" applyBorder="1"/>
    <xf numFmtId="41" fontId="0" fillId="0" borderId="45" xfId="0" applyNumberFormat="1" applyBorder="1"/>
    <xf numFmtId="41" fontId="0" fillId="0" borderId="46" xfId="0" applyNumberFormat="1" applyBorder="1"/>
    <xf numFmtId="41" fontId="0" fillId="0" borderId="18" xfId="0" applyNumberFormat="1" applyBorder="1"/>
    <xf numFmtId="37" fontId="21" fillId="0" borderId="7" xfId="0" applyNumberFormat="1" applyFont="1" applyBorder="1"/>
    <xf numFmtId="37" fontId="21" fillId="0" borderId="7" xfId="0" applyNumberFormat="1" applyFont="1" applyBorder="1" applyAlignment="1">
      <alignment horizontal="right"/>
    </xf>
    <xf numFmtId="37" fontId="21" fillId="0" borderId="8" xfId="0" applyNumberFormat="1" applyFont="1" applyBorder="1" applyAlignment="1">
      <alignment horizontal="right"/>
    </xf>
    <xf numFmtId="39" fontId="0" fillId="0" borderId="0" xfId="0" applyNumberFormat="1" applyBorder="1"/>
    <xf numFmtId="213" fontId="0" fillId="0" borderId="21" xfId="0" applyNumberFormat="1" applyBorder="1"/>
    <xf numFmtId="214" fontId="0" fillId="0" borderId="21" xfId="0" applyNumberFormat="1" applyBorder="1"/>
    <xf numFmtId="0" fontId="2" fillId="0" borderId="52" xfId="0" applyFont="1" applyBorder="1" applyAlignment="1">
      <alignment horizontal="center"/>
    </xf>
    <xf numFmtId="3" fontId="2" fillId="0" borderId="69" xfId="0" applyNumberFormat="1" applyFont="1" applyBorder="1" applyAlignment="1">
      <alignment horizontal="center"/>
    </xf>
    <xf numFmtId="3" fontId="2" fillId="0" borderId="70" xfId="0" applyNumberFormat="1" applyFont="1" applyBorder="1" applyAlignment="1">
      <alignment horizontal="center"/>
    </xf>
    <xf numFmtId="214" fontId="0" fillId="0" borderId="0" xfId="0" applyNumberFormat="1" applyBorder="1"/>
    <xf numFmtId="41" fontId="0" fillId="0" borderId="20" xfId="0" applyNumberFormat="1" applyBorder="1"/>
    <xf numFmtId="41" fontId="0" fillId="0" borderId="24" xfId="0" applyNumberFormat="1" applyBorder="1"/>
    <xf numFmtId="41" fontId="0" fillId="0" borderId="17" xfId="0" applyNumberFormat="1" applyBorder="1"/>
    <xf numFmtId="3" fontId="2" fillId="0" borderId="48" xfId="0" applyNumberFormat="1" applyFont="1" applyBorder="1" applyAlignment="1">
      <alignment horizontal="center"/>
    </xf>
    <xf numFmtId="41" fontId="0" fillId="0" borderId="68" xfId="0" applyNumberFormat="1" applyBorder="1"/>
    <xf numFmtId="3" fontId="2" fillId="0" borderId="45" xfId="0" applyNumberFormat="1" applyFont="1" applyBorder="1" applyAlignment="1">
      <alignment horizontal="center"/>
    </xf>
    <xf numFmtId="0" fontId="2" fillId="0" borderId="71" xfId="0" applyFont="1" applyBorder="1" applyAlignment="1">
      <alignment horizontal="center"/>
    </xf>
    <xf numFmtId="3" fontId="2" fillId="0" borderId="58" xfId="0" applyNumberFormat="1" applyFont="1" applyBorder="1" applyAlignment="1">
      <alignment horizontal="right"/>
    </xf>
    <xf numFmtId="0" fontId="2" fillId="0" borderId="37" xfId="0" applyFont="1" applyBorder="1" applyAlignment="1">
      <alignment horizontal="center"/>
    </xf>
    <xf numFmtId="37" fontId="0" fillId="0" borderId="25" xfId="0" applyNumberFormat="1" applyBorder="1"/>
    <xf numFmtId="43" fontId="0" fillId="0" borderId="20" xfId="0" quotePrefix="1" applyNumberFormat="1" applyBorder="1"/>
    <xf numFmtId="43" fontId="0" fillId="0" borderId="21" xfId="0" quotePrefix="1" applyNumberFormat="1" applyBorder="1"/>
    <xf numFmtId="10" fontId="0" fillId="0" borderId="72" xfId="0" applyNumberFormat="1" applyBorder="1"/>
    <xf numFmtId="10" fontId="0" fillId="0" borderId="21" xfId="0" applyNumberFormat="1" applyBorder="1"/>
    <xf numFmtId="10" fontId="0" fillId="0" borderId="68" xfId="0" applyNumberFormat="1" applyBorder="1"/>
    <xf numFmtId="43" fontId="0" fillId="0" borderId="68" xfId="0" quotePrefix="1" applyNumberFormat="1" applyBorder="1"/>
    <xf numFmtId="41" fontId="0" fillId="0" borderId="21" xfId="0" quotePrefix="1" applyNumberFormat="1" applyBorder="1"/>
    <xf numFmtId="182" fontId="0" fillId="0" borderId="67" xfId="0" quotePrefix="1" applyNumberFormat="1" applyBorder="1"/>
    <xf numFmtId="182" fontId="0" fillId="0" borderId="21" xfId="0" quotePrefix="1" applyNumberFormat="1" applyBorder="1"/>
    <xf numFmtId="182" fontId="0" fillId="0" borderId="68" xfId="0" quotePrefix="1" applyNumberFormat="1" applyBorder="1"/>
    <xf numFmtId="41" fontId="0" fillId="0" borderId="19" xfId="0" quotePrefix="1" applyNumberFormat="1" applyBorder="1"/>
    <xf numFmtId="41" fontId="0" fillId="0" borderId="25" xfId="0" applyNumberFormat="1" applyBorder="1" applyAlignment="1">
      <alignment horizontal="center"/>
    </xf>
    <xf numFmtId="3" fontId="2" fillId="0" borderId="17" xfId="0" applyNumberFormat="1" applyFont="1" applyBorder="1" applyAlignment="1">
      <alignment horizontal="center"/>
    </xf>
    <xf numFmtId="41" fontId="21" fillId="0" borderId="47" xfId="0" applyNumberFormat="1" applyFont="1" applyBorder="1" applyAlignment="1">
      <alignment horizontal="center"/>
    </xf>
    <xf numFmtId="41" fontId="21" fillId="0" borderId="23" xfId="0" applyNumberFormat="1" applyFont="1" applyBorder="1" applyAlignment="1">
      <alignment horizontal="center"/>
    </xf>
    <xf numFmtId="3" fontId="49" fillId="0" borderId="24" xfId="13" applyFont="1" applyBorder="1" applyAlignment="1"/>
    <xf numFmtId="3" fontId="34" fillId="0" borderId="0" xfId="13" applyAlignment="1"/>
    <xf numFmtId="3" fontId="50" fillId="0" borderId="0" xfId="13" applyFont="1" applyAlignment="1"/>
    <xf numFmtId="14" fontId="34" fillId="11" borderId="73" xfId="15" applyNumberFormat="1" applyFont="1" applyFill="1" applyBorder="1" applyAlignment="1" applyProtection="1">
      <alignment horizontal="right"/>
    </xf>
    <xf numFmtId="15" fontId="34" fillId="11" borderId="74" xfId="15" applyNumberFormat="1" applyFont="1" applyFill="1" applyBorder="1" applyAlignment="1" applyProtection="1">
      <alignment horizontal="right"/>
    </xf>
    <xf numFmtId="265" fontId="34" fillId="11" borderId="74" xfId="15" applyNumberFormat="1" applyFont="1" applyFill="1" applyBorder="1" applyAlignment="1" applyProtection="1">
      <alignment horizontal="right"/>
    </xf>
    <xf numFmtId="3" fontId="34" fillId="0" borderId="0" xfId="13" applyFill="1" applyAlignment="1"/>
    <xf numFmtId="265" fontId="34" fillId="0" borderId="0" xfId="15" applyNumberFormat="1" applyFont="1" applyFill="1" applyBorder="1" applyAlignment="1" applyProtection="1">
      <alignment horizontal="right"/>
    </xf>
    <xf numFmtId="41" fontId="34" fillId="0" borderId="0" xfId="13" applyNumberFormat="1" applyBorder="1" applyAlignment="1"/>
    <xf numFmtId="3" fontId="14" fillId="0" borderId="0" xfId="13" applyFont="1" applyAlignment="1"/>
    <xf numFmtId="9" fontId="15" fillId="0" borderId="0" xfId="13" applyNumberFormat="1" applyFont="1" applyAlignment="1"/>
    <xf numFmtId="9" fontId="51" fillId="0" borderId="0" xfId="13" applyNumberFormat="1" applyFont="1" applyAlignment="1"/>
    <xf numFmtId="9" fontId="14" fillId="0" borderId="0" xfId="13" applyNumberFormat="1" applyFont="1" applyAlignment="1"/>
    <xf numFmtId="3" fontId="15" fillId="0" borderId="0" xfId="13" applyFont="1" applyAlignment="1"/>
    <xf numFmtId="10" fontId="38" fillId="0" borderId="0" xfId="13" applyNumberFormat="1" applyFont="1" applyAlignment="1"/>
    <xf numFmtId="10" fontId="15" fillId="0" borderId="0" xfId="13" applyNumberFormat="1" applyFont="1" applyAlignment="1"/>
    <xf numFmtId="3" fontId="38" fillId="0" borderId="0" xfId="13" applyFont="1" applyAlignment="1"/>
    <xf numFmtId="3" fontId="52" fillId="0" borderId="0" xfId="13" applyFont="1" applyAlignment="1"/>
    <xf numFmtId="37" fontId="15" fillId="0" borderId="0" xfId="13" applyNumberFormat="1" applyFont="1" applyAlignment="1">
      <alignment horizontal="right"/>
    </xf>
    <xf numFmtId="41" fontId="34" fillId="0" borderId="56" xfId="13" applyNumberFormat="1" applyBorder="1" applyAlignment="1"/>
    <xf numFmtId="3" fontId="49" fillId="0" borderId="20" xfId="13" applyFont="1" applyBorder="1" applyAlignment="1"/>
    <xf numFmtId="37" fontId="15" fillId="0" borderId="21" xfId="15" applyFont="1" applyBorder="1"/>
    <xf numFmtId="3" fontId="34" fillId="0" borderId="21" xfId="13" applyBorder="1" applyAlignment="1"/>
    <xf numFmtId="3" fontId="34" fillId="0" borderId="19" xfId="13" applyBorder="1" applyAlignment="1"/>
    <xf numFmtId="3" fontId="14" fillId="0" borderId="20" xfId="13" applyFont="1" applyBorder="1" applyAlignment="1"/>
    <xf numFmtId="0" fontId="26" fillId="5" borderId="24" xfId="10" applyFont="1" applyFill="1" applyBorder="1"/>
    <xf numFmtId="0" fontId="53" fillId="5" borderId="0" xfId="10" applyFont="1" applyFill="1" applyBorder="1"/>
    <xf numFmtId="0" fontId="26" fillId="5" borderId="0" xfId="10" applyFont="1" applyFill="1" applyBorder="1"/>
    <xf numFmtId="3" fontId="34" fillId="0" borderId="0" xfId="13" applyBorder="1" applyAlignment="1"/>
    <xf numFmtId="0" fontId="26" fillId="5" borderId="0" xfId="10" applyFont="1" applyFill="1" applyBorder="1" applyAlignment="1">
      <alignment horizontal="left"/>
    </xf>
    <xf numFmtId="3" fontId="34" fillId="5" borderId="0" xfId="13" applyFill="1" applyBorder="1" applyAlignment="1"/>
    <xf numFmtId="3" fontId="34" fillId="5" borderId="25" xfId="13" applyFill="1" applyBorder="1" applyAlignment="1"/>
    <xf numFmtId="3" fontId="14" fillId="0" borderId="24" xfId="13" applyFont="1" applyBorder="1" applyAlignment="1"/>
    <xf numFmtId="3" fontId="34" fillId="0" borderId="25" xfId="13" applyBorder="1" applyAlignment="1"/>
    <xf numFmtId="0" fontId="53" fillId="5" borderId="24" xfId="10" applyFont="1" applyFill="1" applyBorder="1"/>
    <xf numFmtId="189" fontId="14" fillId="5" borderId="0" xfId="19" applyNumberFormat="1" applyFont="1" applyFill="1" applyBorder="1" applyAlignment="1">
      <alignment horizontal="right"/>
    </xf>
    <xf numFmtId="0" fontId="53" fillId="5" borderId="0" xfId="10" applyFont="1" applyFill="1" applyBorder="1" applyAlignment="1">
      <alignment horizontal="left"/>
    </xf>
    <xf numFmtId="10" fontId="54" fillId="5" borderId="0" xfId="10" applyNumberFormat="1" applyFont="1" applyFill="1" applyBorder="1" applyAlignment="1" applyProtection="1">
      <alignment horizontal="center"/>
      <protection locked="0"/>
    </xf>
    <xf numFmtId="189" fontId="14" fillId="5" borderId="25" xfId="19" applyNumberFormat="1" applyFont="1" applyFill="1" applyBorder="1" applyAlignment="1">
      <alignment horizontal="right"/>
    </xf>
    <xf numFmtId="3" fontId="34" fillId="0" borderId="24" xfId="13" applyBorder="1" applyAlignment="1"/>
    <xf numFmtId="3" fontId="34" fillId="0" borderId="0" xfId="13" applyNumberFormat="1" applyBorder="1" applyAlignment="1"/>
    <xf numFmtId="9" fontId="34" fillId="0" borderId="25" xfId="13" applyNumberFormat="1" applyBorder="1" applyAlignment="1"/>
    <xf numFmtId="0" fontId="55" fillId="5" borderId="24" xfId="10" applyFont="1" applyFill="1" applyBorder="1"/>
    <xf numFmtId="189" fontId="56" fillId="5" borderId="75" xfId="19" applyNumberFormat="1" applyFont="1" applyFill="1" applyBorder="1" applyAlignment="1">
      <alignment horizontal="right"/>
    </xf>
    <xf numFmtId="189" fontId="51" fillId="5" borderId="25" xfId="19" applyNumberFormat="1" applyFont="1" applyFill="1" applyBorder="1" applyAlignment="1">
      <alignment horizontal="right"/>
    </xf>
    <xf numFmtId="3" fontId="34" fillId="0" borderId="75" xfId="13" applyBorder="1" applyAlignment="1"/>
    <xf numFmtId="3" fontId="34" fillId="0" borderId="17" xfId="13" applyBorder="1" applyAlignment="1"/>
    <xf numFmtId="198" fontId="34" fillId="0" borderId="29" xfId="13" applyNumberFormat="1" applyBorder="1" applyAlignment="1"/>
    <xf numFmtId="3" fontId="34" fillId="0" borderId="18" xfId="13" applyBorder="1" applyAlignment="1"/>
    <xf numFmtId="0" fontId="55" fillId="5" borderId="0" xfId="10" applyFont="1" applyFill="1" applyBorder="1"/>
    <xf numFmtId="189" fontId="56" fillId="5" borderId="76" xfId="19" applyNumberFormat="1" applyFont="1" applyFill="1" applyBorder="1" applyAlignment="1">
      <alignment horizontal="right"/>
    </xf>
    <xf numFmtId="3" fontId="34" fillId="0" borderId="29" xfId="13" applyBorder="1" applyAlignment="1"/>
    <xf numFmtId="3" fontId="50" fillId="0" borderId="29" xfId="13" applyFont="1" applyBorder="1" applyAlignment="1"/>
    <xf numFmtId="3" fontId="50" fillId="0" borderId="18" xfId="13" applyFont="1" applyBorder="1" applyAlignment="1"/>
    <xf numFmtId="0" fontId="57" fillId="5" borderId="20" xfId="10" applyFont="1" applyFill="1" applyBorder="1"/>
    <xf numFmtId="0" fontId="58" fillId="5" borderId="21" xfId="10" applyFont="1" applyFill="1" applyBorder="1" applyAlignment="1">
      <alignment horizontal="right"/>
    </xf>
    <xf numFmtId="0" fontId="57" fillId="5" borderId="19" xfId="10" applyFont="1" applyFill="1" applyBorder="1"/>
    <xf numFmtId="3" fontId="34" fillId="5" borderId="24" xfId="13" applyFill="1" applyBorder="1" applyAlignment="1"/>
    <xf numFmtId="3" fontId="59" fillId="5" borderId="24" xfId="13" applyFont="1" applyFill="1" applyBorder="1" applyAlignment="1"/>
    <xf numFmtId="3" fontId="14" fillId="5" borderId="25" xfId="13" applyFont="1" applyFill="1" applyBorder="1" applyAlignment="1">
      <alignment horizontal="center"/>
    </xf>
    <xf numFmtId="3" fontId="46" fillId="5" borderId="11" xfId="19" applyNumberFormat="1" applyFont="1" applyFill="1" applyBorder="1" applyAlignment="1">
      <alignment horizontal="right"/>
    </xf>
    <xf numFmtId="9" fontId="46" fillId="5" borderId="11" xfId="19" applyNumberFormat="1" applyFont="1" applyFill="1" applyBorder="1" applyAlignment="1">
      <alignment horizontal="right"/>
    </xf>
    <xf numFmtId="189" fontId="51" fillId="5" borderId="11" xfId="19" applyNumberFormat="1" applyFont="1" applyFill="1" applyBorder="1" applyAlignment="1">
      <alignment horizontal="right"/>
    </xf>
    <xf numFmtId="0" fontId="53" fillId="5" borderId="24" xfId="10" applyFont="1" applyFill="1" applyBorder="1" applyAlignment="1">
      <alignment horizontal="left"/>
    </xf>
    <xf numFmtId="10" fontId="46" fillId="5" borderId="11" xfId="19" applyNumberFormat="1" applyFont="1" applyFill="1" applyBorder="1" applyAlignment="1">
      <alignment horizontal="right"/>
    </xf>
    <xf numFmtId="0" fontId="53" fillId="5" borderId="17" xfId="10" applyFont="1" applyFill="1" applyBorder="1" applyAlignment="1">
      <alignment horizontal="left"/>
    </xf>
    <xf numFmtId="10" fontId="54" fillId="5" borderId="29" xfId="10" applyNumberFormat="1" applyFont="1" applyFill="1" applyBorder="1" applyAlignment="1" applyProtection="1">
      <alignment horizontal="center"/>
      <protection locked="0"/>
    </xf>
    <xf numFmtId="6" fontId="46" fillId="5" borderId="11" xfId="19" applyNumberFormat="1" applyFont="1" applyFill="1" applyBorder="1" applyAlignment="1">
      <alignment horizontal="right"/>
    </xf>
    <xf numFmtId="3" fontId="59" fillId="5" borderId="20" xfId="13" applyFont="1" applyFill="1" applyBorder="1" applyAlignment="1"/>
    <xf numFmtId="3" fontId="34" fillId="5" borderId="21" xfId="13" applyFill="1" applyBorder="1" applyAlignment="1"/>
    <xf numFmtId="3" fontId="14" fillId="5" borderId="19" xfId="13" applyFont="1" applyFill="1" applyBorder="1" applyAlignment="1">
      <alignment horizontal="center"/>
    </xf>
    <xf numFmtId="3" fontId="26" fillId="5" borderId="25" xfId="10" applyNumberFormat="1" applyFont="1" applyFill="1" applyBorder="1"/>
    <xf numFmtId="3" fontId="51" fillId="5" borderId="25" xfId="19" applyNumberFormat="1" applyFont="1" applyFill="1" applyBorder="1" applyAlignment="1">
      <alignment horizontal="right"/>
    </xf>
    <xf numFmtId="0" fontId="26" fillId="5" borderId="17" xfId="10" applyFont="1" applyFill="1" applyBorder="1"/>
    <xf numFmtId="0" fontId="53" fillId="5" borderId="29" xfId="10" applyFont="1" applyFill="1" applyBorder="1"/>
    <xf numFmtId="3" fontId="61" fillId="0" borderId="0" xfId="13" applyFont="1" applyBorder="1" applyAlignment="1"/>
    <xf numFmtId="37" fontId="62" fillId="0" borderId="24" xfId="15" quotePrefix="1" applyFont="1" applyBorder="1" applyAlignment="1">
      <alignment horizontal="left"/>
    </xf>
    <xf numFmtId="37" fontId="34" fillId="0" borderId="0" xfId="15" applyFont="1" applyBorder="1"/>
    <xf numFmtId="168" fontId="34" fillId="0" borderId="0" xfId="15" applyNumberFormat="1" applyFont="1" applyBorder="1" applyProtection="1"/>
    <xf numFmtId="14" fontId="34" fillId="0" borderId="77" xfId="15" applyNumberFormat="1" applyFont="1" applyBorder="1" applyAlignment="1" applyProtection="1">
      <alignment horizontal="right"/>
    </xf>
    <xf numFmtId="8" fontId="34" fillId="0" borderId="77" xfId="15" applyNumberFormat="1" applyFont="1" applyBorder="1" applyAlignment="1" applyProtection="1">
      <alignment horizontal="center"/>
    </xf>
    <xf numFmtId="37" fontId="34" fillId="0" borderId="24" xfId="13" applyNumberFormat="1" applyFont="1" applyBorder="1" applyAlignment="1"/>
    <xf numFmtId="3" fontId="34" fillId="0" borderId="0" xfId="13" applyFont="1" applyBorder="1" applyAlignment="1"/>
    <xf numFmtId="196" fontId="38" fillId="0" borderId="0" xfId="13" applyNumberFormat="1" applyFont="1" applyBorder="1" applyAlignment="1"/>
    <xf numFmtId="6" fontId="34" fillId="0" borderId="0" xfId="13" applyNumberFormat="1" applyFont="1" applyBorder="1" applyAlignment="1"/>
    <xf numFmtId="6" fontId="38" fillId="0" borderId="0" xfId="4" applyNumberFormat="1" applyFont="1" applyBorder="1"/>
    <xf numFmtId="9" fontId="34" fillId="0" borderId="0" xfId="13" applyNumberFormat="1" applyFont="1" applyBorder="1" applyAlignment="1"/>
    <xf numFmtId="8" fontId="34" fillId="0" borderId="0" xfId="13" applyNumberFormat="1" applyFont="1" applyBorder="1" applyAlignment="1"/>
    <xf numFmtId="196" fontId="34" fillId="0" borderId="0" xfId="13" applyNumberFormat="1" applyFont="1" applyBorder="1" applyAlignment="1"/>
    <xf numFmtId="3" fontId="50" fillId="0" borderId="78" xfId="13" applyFont="1" applyBorder="1" applyAlignment="1"/>
    <xf numFmtId="3" fontId="50" fillId="0" borderId="75" xfId="13" applyFont="1" applyBorder="1" applyAlignment="1"/>
    <xf numFmtId="9" fontId="34" fillId="0" borderId="0" xfId="13" applyNumberFormat="1" applyBorder="1" applyAlignment="1"/>
    <xf numFmtId="9" fontId="34" fillId="0" borderId="29" xfId="13" applyNumberFormat="1" applyBorder="1" applyAlignment="1"/>
    <xf numFmtId="0" fontId="63" fillId="0" borderId="0" xfId="16" applyFont="1"/>
    <xf numFmtId="0" fontId="66" fillId="0" borderId="79" xfId="16" applyFont="1" applyBorder="1"/>
    <xf numFmtId="0" fontId="63" fillId="0" borderId="80" xfId="16" applyFont="1" applyBorder="1"/>
    <xf numFmtId="5" fontId="68" fillId="0" borderId="81" xfId="16" applyNumberFormat="1" applyFont="1" applyBorder="1"/>
    <xf numFmtId="6" fontId="68" fillId="0" borderId="2" xfId="5" applyNumberFormat="1" applyFont="1" applyBorder="1"/>
    <xf numFmtId="0" fontId="66" fillId="0" borderId="82" xfId="16" applyFont="1" applyBorder="1"/>
    <xf numFmtId="0" fontId="70" fillId="0" borderId="0" xfId="16" applyFont="1"/>
    <xf numFmtId="0" fontId="70" fillId="0" borderId="83" xfId="16" applyFont="1" applyBorder="1"/>
    <xf numFmtId="0" fontId="63" fillId="0" borderId="84" xfId="16" applyFont="1" applyBorder="1"/>
    <xf numFmtId="0" fontId="66" fillId="0" borderId="85" xfId="16" applyFont="1" applyBorder="1"/>
    <xf numFmtId="0" fontId="66" fillId="0" borderId="86" xfId="16" applyFont="1" applyBorder="1"/>
    <xf numFmtId="0" fontId="63" fillId="0" borderId="87" xfId="16" applyFont="1" applyBorder="1"/>
    <xf numFmtId="5" fontId="66" fillId="0" borderId="88" xfId="16" applyNumberFormat="1" applyFont="1" applyBorder="1"/>
    <xf numFmtId="0" fontId="66" fillId="0" borderId="89" xfId="16" applyFont="1" applyBorder="1"/>
    <xf numFmtId="0" fontId="66" fillId="0" borderId="90" xfId="16" applyFont="1" applyBorder="1"/>
    <xf numFmtId="0" fontId="66" fillId="0" borderId="91" xfId="16" applyFont="1" applyBorder="1"/>
    <xf numFmtId="0" fontId="66" fillId="0" borderId="72" xfId="16" applyFont="1" applyBorder="1"/>
    <xf numFmtId="0" fontId="66" fillId="0" borderId="19" xfId="16" applyFont="1" applyBorder="1"/>
    <xf numFmtId="0" fontId="66" fillId="0" borderId="92" xfId="16" applyFont="1" applyBorder="1"/>
    <xf numFmtId="0" fontId="66" fillId="0" borderId="93" xfId="16" applyFont="1" applyBorder="1"/>
    <xf numFmtId="0" fontId="66" fillId="0" borderId="94" xfId="16" applyFont="1" applyBorder="1"/>
    <xf numFmtId="0" fontId="66" fillId="0" borderId="83" xfId="16" applyFont="1" applyBorder="1"/>
    <xf numFmtId="0" fontId="66" fillId="0" borderId="95" xfId="16" applyFont="1" applyBorder="1"/>
    <xf numFmtId="0" fontId="66" fillId="0" borderId="96" xfId="16" applyFont="1" applyBorder="1"/>
    <xf numFmtId="183" fontId="70" fillId="0" borderId="24" xfId="16" applyNumberFormat="1" applyFont="1" applyBorder="1"/>
    <xf numFmtId="0" fontId="70" fillId="0" borderId="92" xfId="16" applyFont="1" applyBorder="1"/>
    <xf numFmtId="0" fontId="70" fillId="0" borderId="79" xfId="16" applyFont="1" applyBorder="1"/>
    <xf numFmtId="0" fontId="70" fillId="0" borderId="97" xfId="16" applyFont="1" applyBorder="1"/>
    <xf numFmtId="0" fontId="70" fillId="0" borderId="98" xfId="16" applyFont="1" applyBorder="1"/>
    <xf numFmtId="183" fontId="70" fillId="0" borderId="92" xfId="16" applyNumberFormat="1" applyFont="1" applyBorder="1"/>
    <xf numFmtId="183" fontId="70" fillId="0" borderId="99" xfId="16" applyNumberFormat="1" applyFont="1" applyBorder="1"/>
    <xf numFmtId="0" fontId="70" fillId="0" borderId="0" xfId="16" applyFont="1" applyBorder="1"/>
    <xf numFmtId="5" fontId="70" fillId="0" borderId="82" xfId="16" applyNumberFormat="1" applyFont="1" applyBorder="1"/>
    <xf numFmtId="5" fontId="70" fillId="0" borderId="48" xfId="16" applyNumberFormat="1" applyFont="1" applyBorder="1"/>
    <xf numFmtId="5" fontId="70" fillId="0" borderId="25" xfId="16" applyNumberFormat="1" applyFont="1" applyBorder="1"/>
    <xf numFmtId="183" fontId="70" fillId="0" borderId="100" xfId="16" applyNumberFormat="1" applyFont="1" applyBorder="1"/>
    <xf numFmtId="0" fontId="70" fillId="0" borderId="44" xfId="16" applyFont="1" applyBorder="1"/>
    <xf numFmtId="183" fontId="70" fillId="0" borderId="17" xfId="16" applyNumberFormat="1" applyFont="1" applyBorder="1"/>
    <xf numFmtId="0" fontId="70" fillId="0" borderId="45" xfId="16" applyFont="1" applyBorder="1"/>
    <xf numFmtId="5" fontId="70" fillId="0" borderId="101" xfId="16" applyNumberFormat="1" applyFont="1" applyBorder="1"/>
    <xf numFmtId="5" fontId="70" fillId="0" borderId="69" xfId="16" applyNumberFormat="1" applyFont="1" applyBorder="1"/>
    <xf numFmtId="5" fontId="70" fillId="0" borderId="18" xfId="16" applyNumberFormat="1" applyFont="1" applyBorder="1"/>
    <xf numFmtId="0" fontId="2" fillId="0" borderId="0" xfId="12"/>
    <xf numFmtId="0" fontId="21" fillId="0" borderId="0" xfId="12" applyFont="1"/>
    <xf numFmtId="182" fontId="2" fillId="0" borderId="0" xfId="2" applyNumberFormat="1"/>
    <xf numFmtId="182" fontId="21" fillId="0" borderId="0" xfId="2" applyNumberFormat="1" applyFont="1"/>
    <xf numFmtId="3" fontId="21" fillId="0" borderId="0" xfId="13" applyFont="1" applyBorder="1" applyAlignment="1"/>
    <xf numFmtId="0" fontId="21" fillId="0" borderId="0" xfId="12" applyFont="1" applyBorder="1"/>
    <xf numFmtId="3" fontId="34" fillId="0" borderId="0" xfId="13" applyBorder="1" applyAlignment="1">
      <alignment horizontal="left"/>
    </xf>
    <xf numFmtId="3" fontId="34" fillId="0" borderId="0" xfId="13" applyNumberFormat="1" applyBorder="1" applyAlignment="1">
      <alignment horizontal="right"/>
    </xf>
    <xf numFmtId="3" fontId="34" fillId="0" borderId="0" xfId="13" applyBorder="1" applyAlignment="1">
      <alignment horizontal="right"/>
    </xf>
    <xf numFmtId="3" fontId="34" fillId="0" borderId="56" xfId="13" applyNumberFormat="1" applyBorder="1" applyAlignment="1">
      <alignment horizontal="right"/>
    </xf>
    <xf numFmtId="4" fontId="9" fillId="0" borderId="0" xfId="13" applyNumberFormat="1" applyFont="1" applyBorder="1" applyAlignment="1">
      <alignment horizontal="right"/>
    </xf>
    <xf numFmtId="4" fontId="21" fillId="0" borderId="0" xfId="13" applyNumberFormat="1" applyFont="1" applyBorder="1" applyAlignment="1">
      <alignment horizontal="right"/>
    </xf>
    <xf numFmtId="3" fontId="21" fillId="0" borderId="75" xfId="13" applyNumberFormat="1" applyFont="1" applyBorder="1" applyAlignment="1">
      <alignment horizontal="right"/>
    </xf>
    <xf numFmtId="3" fontId="21" fillId="0" borderId="0" xfId="13" applyNumberFormat="1" applyFont="1" applyBorder="1" applyAlignment="1">
      <alignment horizontal="right"/>
    </xf>
    <xf numFmtId="3" fontId="21" fillId="0" borderId="0" xfId="13" applyFont="1" applyBorder="1" applyAlignment="1">
      <alignment horizontal="right"/>
    </xf>
    <xf numFmtId="0" fontId="2" fillId="0" borderId="0" xfId="12" applyBorder="1"/>
    <xf numFmtId="182" fontId="34" fillId="0" borderId="0" xfId="13" applyNumberFormat="1" applyBorder="1" applyAlignment="1"/>
    <xf numFmtId="37" fontId="72" fillId="0" borderId="0" xfId="15" applyFont="1"/>
    <xf numFmtId="3" fontId="72" fillId="0" borderId="0" xfId="13" applyFont="1" applyAlignment="1"/>
    <xf numFmtId="37" fontId="34" fillId="0" borderId="0" xfId="15" applyFont="1"/>
    <xf numFmtId="37" fontId="34" fillId="0" borderId="0" xfId="18" applyNumberFormat="1" applyAlignment="1"/>
    <xf numFmtId="0" fontId="34" fillId="0" borderId="0" xfId="18" applyNumberFormat="1" applyAlignment="1"/>
    <xf numFmtId="37" fontId="73" fillId="0" borderId="0" xfId="15" applyFont="1"/>
    <xf numFmtId="37" fontId="74" fillId="0" borderId="0" xfId="15" applyFont="1" applyAlignment="1"/>
    <xf numFmtId="15" fontId="34" fillId="0" borderId="0" xfId="15" applyNumberFormat="1" applyFont="1" applyAlignment="1">
      <alignment horizontal="left"/>
    </xf>
    <xf numFmtId="18" fontId="34" fillId="0" borderId="0" xfId="15" applyNumberFormat="1" applyFont="1"/>
    <xf numFmtId="0" fontId="15" fillId="0" borderId="0" xfId="18" applyNumberFormat="1" applyFont="1" applyAlignment="1">
      <alignment horizontal="right"/>
    </xf>
    <xf numFmtId="223" fontId="34" fillId="0" borderId="0" xfId="15" applyNumberFormat="1" applyFont="1" applyAlignment="1"/>
    <xf numFmtId="263" fontId="34" fillId="12" borderId="102" xfId="15" applyNumberFormat="1" applyFont="1" applyFill="1" applyBorder="1" applyAlignment="1" applyProtection="1">
      <alignment horizontal="center"/>
    </xf>
    <xf numFmtId="14" fontId="34" fillId="12" borderId="102" xfId="15" applyNumberFormat="1" applyFont="1" applyFill="1" applyBorder="1" applyAlignment="1" applyProtection="1">
      <alignment horizontal="center"/>
    </xf>
    <xf numFmtId="14" fontId="34" fillId="11" borderId="73" xfId="15" applyNumberFormat="1" applyFont="1" applyFill="1" applyBorder="1" applyAlignment="1" applyProtection="1">
      <alignment horizontal="center"/>
    </xf>
    <xf numFmtId="265" fontId="34" fillId="11" borderId="74" xfId="15" applyNumberFormat="1" applyFont="1" applyFill="1" applyBorder="1" applyAlignment="1" applyProtection="1">
      <alignment horizontal="center"/>
    </xf>
    <xf numFmtId="0" fontId="62" fillId="0" borderId="0" xfId="18" applyNumberFormat="1" applyFont="1" applyAlignment="1"/>
    <xf numFmtId="18" fontId="34" fillId="0" borderId="0" xfId="18" applyNumberFormat="1" applyAlignment="1"/>
    <xf numFmtId="37" fontId="62" fillId="0" borderId="0" xfId="18" applyNumberFormat="1" applyFont="1" applyAlignment="1"/>
    <xf numFmtId="0" fontId="60" fillId="0" borderId="0" xfId="18" applyNumberFormat="1" applyFont="1" applyAlignment="1">
      <alignment horizontal="right"/>
    </xf>
    <xf numFmtId="37" fontId="34" fillId="0" borderId="0" xfId="18" applyNumberFormat="1" applyFont="1" applyAlignment="1">
      <alignment horizontal="right"/>
    </xf>
    <xf numFmtId="37" fontId="34" fillId="0" borderId="0" xfId="18" applyNumberFormat="1" applyFont="1" applyAlignment="1">
      <alignment horizontal="center"/>
    </xf>
    <xf numFmtId="37" fontId="34" fillId="0" borderId="0" xfId="18" quotePrefix="1" applyNumberFormat="1" applyAlignment="1">
      <alignment horizontal="left"/>
    </xf>
    <xf numFmtId="0" fontId="34" fillId="0" borderId="0" xfId="18" applyNumberFormat="1" applyAlignment="1">
      <alignment horizontal="right"/>
    </xf>
    <xf numFmtId="0" fontId="34" fillId="0" borderId="103" xfId="18" applyNumberFormat="1" applyBorder="1" applyAlignment="1"/>
    <xf numFmtId="0" fontId="59" fillId="0" borderId="0" xfId="17" quotePrefix="1" applyFont="1" applyBorder="1" applyAlignment="1">
      <alignment horizontal="left"/>
    </xf>
    <xf numFmtId="0" fontId="15" fillId="0" borderId="0" xfId="17" applyBorder="1"/>
    <xf numFmtId="14" fontId="34" fillId="0" borderId="77" xfId="15" applyNumberFormat="1" applyFont="1" applyFill="1" applyBorder="1" applyAlignment="1" applyProtection="1">
      <alignment horizontal="center"/>
    </xf>
    <xf numFmtId="1" fontId="34" fillId="0" borderId="77" xfId="15" applyNumberFormat="1" applyFont="1" applyFill="1" applyBorder="1" applyAlignment="1" applyProtection="1">
      <alignment horizontal="center"/>
    </xf>
    <xf numFmtId="0" fontId="62" fillId="0" borderId="0" xfId="17" quotePrefix="1" applyFont="1" applyBorder="1" applyAlignment="1">
      <alignment horizontal="left"/>
    </xf>
    <xf numFmtId="0" fontId="75" fillId="0" borderId="0" xfId="17" applyFont="1" applyBorder="1"/>
    <xf numFmtId="0" fontId="38" fillId="0" borderId="0" xfId="17" applyFont="1" applyBorder="1" applyAlignment="1">
      <alignment horizontal="left"/>
    </xf>
    <xf numFmtId="3" fontId="15" fillId="0" borderId="0" xfId="17" applyNumberFormat="1" applyBorder="1"/>
    <xf numFmtId="3" fontId="34" fillId="0" borderId="0" xfId="18" applyNumberFormat="1" applyAlignment="1"/>
    <xf numFmtId="3" fontId="38" fillId="0" borderId="0" xfId="17" applyNumberFormat="1" applyFont="1" applyBorder="1"/>
    <xf numFmtId="0" fontId="38" fillId="0" borderId="0" xfId="17" quotePrefix="1" applyFont="1" applyBorder="1" applyAlignment="1">
      <alignment horizontal="left"/>
    </xf>
    <xf numFmtId="3" fontId="15" fillId="0" borderId="0" xfId="17" applyNumberFormat="1" applyFont="1" applyBorder="1"/>
    <xf numFmtId="3" fontId="75" fillId="0" borderId="0" xfId="17" applyNumberFormat="1" applyFont="1" applyBorder="1"/>
    <xf numFmtId="3" fontId="76" fillId="0" borderId="0" xfId="17" applyNumberFormat="1" applyFont="1" applyBorder="1"/>
    <xf numFmtId="0" fontId="15" fillId="0" borderId="0" xfId="17" applyBorder="1" applyAlignment="1">
      <alignment horizontal="right"/>
    </xf>
    <xf numFmtId="3" fontId="38" fillId="0" borderId="0" xfId="18" applyNumberFormat="1" applyFont="1" applyAlignment="1"/>
    <xf numFmtId="0" fontId="15" fillId="0" borderId="0" xfId="17" quotePrefix="1" applyBorder="1" applyAlignment="1">
      <alignment horizontal="right"/>
    </xf>
    <xf numFmtId="0" fontId="62" fillId="0" borderId="0" xfId="17" quotePrefix="1" applyFont="1" applyAlignment="1">
      <alignment horizontal="left"/>
    </xf>
    <xf numFmtId="0" fontId="34" fillId="0" borderId="0" xfId="18" quotePrefix="1" applyNumberFormat="1" applyAlignment="1">
      <alignment horizontal="right"/>
    </xf>
    <xf numFmtId="10" fontId="38" fillId="0" borderId="2" xfId="17" quotePrefix="1" applyNumberFormat="1" applyFont="1" applyBorder="1" applyAlignment="1">
      <alignment horizontal="right"/>
    </xf>
    <xf numFmtId="0" fontId="38" fillId="0" borderId="0" xfId="18" quotePrefix="1" applyNumberFormat="1" applyFont="1" applyAlignment="1">
      <alignment horizontal="left"/>
    </xf>
    <xf numFmtId="0" fontId="15" fillId="0" borderId="0" xfId="17"/>
    <xf numFmtId="0" fontId="14" fillId="0" borderId="0" xfId="17" quotePrefix="1" applyFont="1" applyBorder="1" applyAlignment="1">
      <alignment horizontal="left"/>
    </xf>
    <xf numFmtId="0" fontId="14" fillId="0" borderId="0" xfId="17" applyFont="1" applyBorder="1"/>
    <xf numFmtId="0" fontId="14" fillId="0" borderId="104" xfId="17" applyFont="1" applyBorder="1"/>
    <xf numFmtId="0" fontId="15" fillId="0" borderId="104" xfId="17" quotePrefix="1" applyBorder="1" applyAlignment="1">
      <alignment horizontal="right"/>
    </xf>
    <xf numFmtId="0" fontId="15" fillId="0" borderId="104" xfId="17" applyBorder="1"/>
    <xf numFmtId="3" fontId="15" fillId="0" borderId="104" xfId="17" applyNumberFormat="1" applyBorder="1"/>
    <xf numFmtId="0" fontId="59" fillId="0" borderId="0" xfId="18" quotePrefix="1" applyNumberFormat="1" applyFont="1" applyAlignment="1">
      <alignment horizontal="left"/>
    </xf>
    <xf numFmtId="0" fontId="34" fillId="0" borderId="0" xfId="18" quotePrefix="1" applyNumberFormat="1" applyAlignment="1">
      <alignment horizontal="left"/>
    </xf>
    <xf numFmtId="0" fontId="59" fillId="0" borderId="40" xfId="18" applyNumberFormat="1" applyFont="1" applyBorder="1" applyAlignment="1">
      <alignment horizontal="centerContinuous"/>
    </xf>
    <xf numFmtId="0" fontId="34" fillId="0" borderId="38" xfId="18" applyNumberFormat="1" applyBorder="1" applyAlignment="1">
      <alignment horizontal="centerContinuous"/>
    </xf>
    <xf numFmtId="0" fontId="59" fillId="0" borderId="38" xfId="18" applyNumberFormat="1" applyFont="1" applyBorder="1" applyAlignment="1">
      <alignment horizontal="centerContinuous"/>
    </xf>
    <xf numFmtId="0" fontId="59" fillId="0" borderId="39" xfId="18" applyNumberFormat="1" applyFont="1" applyBorder="1" applyAlignment="1">
      <alignment horizontal="centerContinuous"/>
    </xf>
    <xf numFmtId="0" fontId="34" fillId="0" borderId="39" xfId="18" applyNumberFormat="1" applyBorder="1" applyAlignment="1">
      <alignment horizontal="centerContinuous"/>
    </xf>
    <xf numFmtId="0" fontId="34" fillId="0" borderId="44" xfId="18" applyNumberFormat="1" applyBorder="1" applyAlignment="1"/>
    <xf numFmtId="0" fontId="34" fillId="0" borderId="32" xfId="18" applyNumberFormat="1" applyBorder="1" applyAlignment="1"/>
    <xf numFmtId="0" fontId="15" fillId="0" borderId="44" xfId="18" applyNumberFormat="1" applyFont="1" applyBorder="1" applyAlignment="1"/>
    <xf numFmtId="0" fontId="34" fillId="0" borderId="0" xfId="18" applyNumberFormat="1" applyBorder="1" applyAlignment="1">
      <alignment horizontal="right"/>
    </xf>
    <xf numFmtId="0" fontId="34" fillId="0" borderId="0" xfId="18" quotePrefix="1" applyNumberFormat="1" applyBorder="1" applyAlignment="1">
      <alignment horizontal="left"/>
    </xf>
    <xf numFmtId="0" fontId="34" fillId="0" borderId="0" xfId="18" applyNumberFormat="1" applyBorder="1" applyAlignment="1"/>
    <xf numFmtId="0" fontId="34" fillId="0" borderId="0" xfId="18" applyNumberFormat="1" applyBorder="1" applyAlignment="1">
      <alignment horizontal="center"/>
    </xf>
    <xf numFmtId="0" fontId="75" fillId="0" borderId="44" xfId="18" applyNumberFormat="1" applyFont="1" applyBorder="1" applyAlignment="1"/>
    <xf numFmtId="0" fontId="75" fillId="0" borderId="0" xfId="18" applyNumberFormat="1" applyFont="1" applyBorder="1" applyAlignment="1">
      <alignment horizontal="right"/>
    </xf>
    <xf numFmtId="0" fontId="75" fillId="0" borderId="0" xfId="18" quotePrefix="1" applyNumberFormat="1" applyFont="1" applyBorder="1" applyAlignment="1">
      <alignment horizontal="right"/>
    </xf>
    <xf numFmtId="0" fontId="75" fillId="0" borderId="0" xfId="18" quotePrefix="1" applyNumberFormat="1" applyFont="1" applyBorder="1" applyAlignment="1">
      <alignment horizontal="center"/>
    </xf>
    <xf numFmtId="0" fontId="75" fillId="0" borderId="32" xfId="18" applyNumberFormat="1" applyFont="1" applyBorder="1" applyAlignment="1">
      <alignment horizontal="center"/>
    </xf>
    <xf numFmtId="0" fontId="15" fillId="0" borderId="44" xfId="18" quotePrefix="1" applyNumberFormat="1" applyFont="1" applyBorder="1" applyAlignment="1">
      <alignment horizontal="left"/>
    </xf>
    <xf numFmtId="3" fontId="15" fillId="0" borderId="0" xfId="18" applyNumberFormat="1" applyFont="1" applyBorder="1" applyAlignment="1"/>
    <xf numFmtId="3" fontId="38" fillId="0" borderId="0" xfId="18" applyNumberFormat="1" applyFont="1" applyBorder="1" applyAlignment="1"/>
    <xf numFmtId="17" fontId="38" fillId="0" borderId="0" xfId="18" applyNumberFormat="1" applyFont="1" applyBorder="1" applyAlignment="1"/>
    <xf numFmtId="0" fontId="38" fillId="0" borderId="0" xfId="18" applyNumberFormat="1" applyFont="1" applyBorder="1" applyAlignment="1"/>
    <xf numFmtId="0" fontId="38" fillId="0" borderId="0" xfId="18" applyNumberFormat="1" applyFont="1" applyBorder="1" applyAlignment="1">
      <alignment horizontal="right"/>
    </xf>
    <xf numFmtId="9" fontId="38" fillId="0" borderId="32" xfId="18" applyNumberFormat="1" applyFont="1" applyBorder="1" applyAlignment="1"/>
    <xf numFmtId="0" fontId="53" fillId="0" borderId="44" xfId="18" quotePrefix="1" applyNumberFormat="1" applyFont="1" applyBorder="1" applyAlignment="1">
      <alignment horizontal="left"/>
    </xf>
    <xf numFmtId="3" fontId="76" fillId="0" borderId="0" xfId="18" applyNumberFormat="1" applyFont="1" applyBorder="1" applyAlignment="1"/>
    <xf numFmtId="0" fontId="34" fillId="0" borderId="44" xfId="18" quotePrefix="1" applyNumberFormat="1" applyBorder="1" applyAlignment="1">
      <alignment horizontal="right"/>
    </xf>
    <xf numFmtId="0" fontId="77" fillId="0" borderId="0" xfId="18" applyNumberFormat="1" applyFont="1" applyAlignment="1"/>
    <xf numFmtId="0" fontId="34" fillId="0" borderId="0" xfId="18" applyNumberFormat="1" applyBorder="1" applyAlignment="1">
      <alignment horizontal="centerContinuous"/>
    </xf>
    <xf numFmtId="3" fontId="34" fillId="0" borderId="0" xfId="18" applyNumberFormat="1" applyBorder="1" applyAlignment="1"/>
    <xf numFmtId="3" fontId="34" fillId="0" borderId="32" xfId="18" applyNumberFormat="1" applyBorder="1" applyAlignment="1"/>
    <xf numFmtId="0" fontId="62" fillId="0" borderId="0" xfId="18" quotePrefix="1" applyNumberFormat="1" applyFont="1" applyAlignment="1">
      <alignment horizontal="left"/>
    </xf>
    <xf numFmtId="0" fontId="34" fillId="0" borderId="71" xfId="18" applyNumberFormat="1" applyBorder="1" applyAlignment="1"/>
    <xf numFmtId="0" fontId="34" fillId="0" borderId="41" xfId="18" applyNumberFormat="1" applyBorder="1" applyAlignment="1"/>
    <xf numFmtId="0" fontId="34" fillId="0" borderId="105" xfId="18" applyNumberFormat="1" applyBorder="1" applyAlignment="1"/>
    <xf numFmtId="0" fontId="34" fillId="0" borderId="41" xfId="18" quotePrefix="1" applyNumberFormat="1" applyBorder="1" applyAlignment="1">
      <alignment horizontal="right"/>
    </xf>
    <xf numFmtId="3" fontId="34" fillId="0" borderId="41" xfId="18" applyNumberFormat="1" applyBorder="1" applyAlignment="1"/>
    <xf numFmtId="8" fontId="34" fillId="0" borderId="0" xfId="18" applyNumberFormat="1" applyBorder="1" applyAlignment="1"/>
    <xf numFmtId="3" fontId="53" fillId="0" borderId="0" xfId="18" quotePrefix="1" applyNumberFormat="1" applyFont="1" applyAlignment="1">
      <alignment horizontal="right"/>
    </xf>
    <xf numFmtId="3" fontId="34" fillId="0" borderId="38" xfId="18" applyNumberFormat="1" applyBorder="1" applyAlignment="1"/>
    <xf numFmtId="3" fontId="53" fillId="0" borderId="38" xfId="18" quotePrefix="1" applyNumberFormat="1" applyFont="1" applyBorder="1" applyAlignment="1">
      <alignment horizontal="right"/>
    </xf>
    <xf numFmtId="0" fontId="34" fillId="0" borderId="0" xfId="18" applyNumberFormat="1" applyFont="1" applyAlignment="1"/>
    <xf numFmtId="0" fontId="62" fillId="0" borderId="104" xfId="18" quotePrefix="1" applyNumberFormat="1" applyFont="1" applyBorder="1" applyAlignment="1">
      <alignment horizontal="left"/>
    </xf>
    <xf numFmtId="0" fontId="34" fillId="0" borderId="104" xfId="18" applyNumberFormat="1" applyBorder="1" applyAlignment="1"/>
    <xf numFmtId="3" fontId="34" fillId="0" borderId="104" xfId="18" applyNumberFormat="1" applyBorder="1" applyAlignment="1"/>
    <xf numFmtId="0" fontId="62" fillId="0" borderId="0" xfId="18" applyNumberFormat="1" applyFont="1" applyAlignment="1">
      <alignment horizontal="left"/>
    </xf>
    <xf numFmtId="3" fontId="15" fillId="0" borderId="0" xfId="18" applyNumberFormat="1" applyFont="1" applyAlignment="1"/>
    <xf numFmtId="37" fontId="62" fillId="0" borderId="0" xfId="15" applyFont="1" applyAlignment="1">
      <alignment horizontal="left"/>
    </xf>
    <xf numFmtId="0" fontId="38" fillId="0" borderId="38" xfId="18" applyNumberFormat="1" applyFont="1" applyBorder="1" applyAlignment="1"/>
    <xf numFmtId="0" fontId="38" fillId="0" borderId="0" xfId="18" applyNumberFormat="1" applyFont="1" applyAlignment="1"/>
    <xf numFmtId="0" fontId="15" fillId="0" borderId="38" xfId="18" applyNumberFormat="1" applyFont="1" applyBorder="1" applyAlignment="1"/>
    <xf numFmtId="0" fontId="15" fillId="0" borderId="0" xfId="18" applyNumberFormat="1" applyFont="1" applyBorder="1" applyAlignment="1"/>
    <xf numFmtId="0" fontId="34" fillId="0" borderId="104" xfId="18" quotePrefix="1" applyNumberFormat="1" applyBorder="1" applyAlignment="1">
      <alignment horizontal="left"/>
    </xf>
    <xf numFmtId="0" fontId="15" fillId="0" borderId="104" xfId="18" applyNumberFormat="1" applyFont="1" applyBorder="1" applyAlignment="1"/>
    <xf numFmtId="0" fontId="14" fillId="0" borderId="0" xfId="18" applyNumberFormat="1" applyFont="1" applyAlignment="1"/>
    <xf numFmtId="0" fontId="15" fillId="0" borderId="0" xfId="18" applyNumberFormat="1" applyFont="1" applyAlignment="1"/>
    <xf numFmtId="0" fontId="62" fillId="0" borderId="0" xfId="18" quotePrefix="1" applyNumberFormat="1" applyFont="1" applyAlignment="1">
      <alignment horizontal="right"/>
    </xf>
    <xf numFmtId="0" fontId="34" fillId="0" borderId="0" xfId="18" applyNumberFormat="1" applyFont="1" applyAlignment="1">
      <alignment horizontal="left"/>
    </xf>
    <xf numFmtId="10" fontId="38" fillId="0" borderId="2" xfId="24" applyNumberFormat="1" applyBorder="1"/>
    <xf numFmtId="193" fontId="34" fillId="0" borderId="0" xfId="18" applyNumberFormat="1" applyAlignment="1"/>
    <xf numFmtId="0" fontId="34" fillId="0" borderId="41" xfId="18" quotePrefix="1" applyNumberFormat="1" applyBorder="1" applyAlignment="1">
      <alignment horizontal="left"/>
    </xf>
    <xf numFmtId="0" fontId="15" fillId="0" borderId="41" xfId="18" applyNumberFormat="1" applyFont="1" applyBorder="1" applyAlignment="1"/>
    <xf numFmtId="0" fontId="34" fillId="0" borderId="38" xfId="18" applyNumberFormat="1" applyBorder="1" applyAlignment="1"/>
    <xf numFmtId="0" fontId="15" fillId="0" borderId="38" xfId="17" applyBorder="1"/>
    <xf numFmtId="0" fontId="59" fillId="0" borderId="0" xfId="17" applyFont="1" applyBorder="1" applyAlignment="1">
      <alignment horizontal="left"/>
    </xf>
    <xf numFmtId="0" fontId="15" fillId="0" borderId="0" xfId="17" quotePrefix="1" applyBorder="1" applyAlignment="1">
      <alignment horizontal="left"/>
    </xf>
    <xf numFmtId="0" fontId="38" fillId="0" borderId="2" xfId="17" applyFont="1" applyBorder="1" applyAlignment="1">
      <alignment horizontal="right"/>
    </xf>
    <xf numFmtId="0" fontId="62" fillId="0" borderId="0" xfId="17" applyFont="1" applyBorder="1" applyAlignment="1">
      <alignment horizontal="left"/>
    </xf>
    <xf numFmtId="0" fontId="38" fillId="0" borderId="0" xfId="17" quotePrefix="1" applyFont="1" applyBorder="1" applyAlignment="1">
      <alignment horizontal="right"/>
    </xf>
    <xf numFmtId="10" fontId="15" fillId="0" borderId="0" xfId="17" applyNumberFormat="1" applyBorder="1"/>
    <xf numFmtId="0" fontId="62" fillId="0" borderId="0" xfId="17" quotePrefix="1" applyFont="1" applyAlignment="1">
      <alignment horizontal="right"/>
    </xf>
    <xf numFmtId="0" fontId="15" fillId="0" borderId="0" xfId="17" applyFont="1" applyAlignment="1">
      <alignment horizontal="left"/>
    </xf>
    <xf numFmtId="0" fontId="15" fillId="0" borderId="0" xfId="17" applyAlignment="1">
      <alignment horizontal="right"/>
    </xf>
    <xf numFmtId="0" fontId="38" fillId="0" borderId="2" xfId="17" applyFont="1" applyBorder="1"/>
    <xf numFmtId="172" fontId="15" fillId="0" borderId="0" xfId="17" applyNumberFormat="1" applyBorder="1"/>
    <xf numFmtId="0" fontId="15" fillId="0" borderId="0" xfId="17" quotePrefix="1" applyAlignment="1">
      <alignment horizontal="left"/>
    </xf>
    <xf numFmtId="37" fontId="15" fillId="0" borderId="0" xfId="17" applyNumberFormat="1"/>
    <xf numFmtId="193" fontId="15" fillId="0" borderId="0" xfId="17" applyNumberFormat="1"/>
    <xf numFmtId="0" fontId="38" fillId="0" borderId="2" xfId="18" applyNumberFormat="1" applyFont="1" applyBorder="1" applyAlignment="1"/>
    <xf numFmtId="168" fontId="34" fillId="0" borderId="0" xfId="15" applyNumberFormat="1" applyFont="1" applyFill="1" applyBorder="1" applyAlignment="1" applyProtection="1">
      <alignment horizontal="center"/>
    </xf>
    <xf numFmtId="0" fontId="15" fillId="0" borderId="0" xfId="17" quotePrefix="1" applyFont="1" applyAlignment="1">
      <alignment horizontal="left"/>
    </xf>
    <xf numFmtId="3" fontId="38" fillId="0" borderId="2" xfId="24" applyBorder="1"/>
    <xf numFmtId="197" fontId="38" fillId="0" borderId="2" xfId="24" applyNumberFormat="1" applyBorder="1"/>
    <xf numFmtId="193" fontId="15" fillId="0" borderId="2" xfId="24" applyNumberFormat="1" applyFont="1" applyBorder="1"/>
    <xf numFmtId="193" fontId="38" fillId="0" borderId="0" xfId="18" applyNumberFormat="1" applyFont="1" applyAlignment="1"/>
    <xf numFmtId="193" fontId="38" fillId="0" borderId="2" xfId="24" applyNumberFormat="1" applyBorder="1"/>
    <xf numFmtId="193" fontId="34" fillId="0" borderId="0" xfId="18" quotePrefix="1" applyNumberFormat="1" applyAlignment="1">
      <alignment horizontal="left"/>
    </xf>
    <xf numFmtId="0" fontId="59" fillId="0" borderId="0" xfId="18" quotePrefix="1" applyNumberFormat="1" applyFont="1" applyBorder="1" applyAlignment="1">
      <alignment horizontal="left"/>
    </xf>
    <xf numFmtId="193" fontId="34" fillId="0" borderId="0" xfId="18" quotePrefix="1" applyNumberFormat="1" applyBorder="1" applyAlignment="1">
      <alignment horizontal="left"/>
    </xf>
    <xf numFmtId="0" fontId="59" fillId="0" borderId="0" xfId="18" applyNumberFormat="1" applyFont="1" applyBorder="1" applyAlignment="1"/>
    <xf numFmtId="0" fontId="62" fillId="0" borderId="0" xfId="18" applyNumberFormat="1" applyFont="1" applyBorder="1" applyAlignment="1"/>
    <xf numFmtId="0" fontId="34" fillId="0" borderId="0" xfId="18" applyNumberFormat="1" applyBorder="1" applyAlignment="1">
      <alignment horizontal="left"/>
    </xf>
    <xf numFmtId="1" fontId="34" fillId="0" borderId="38" xfId="18" applyNumberFormat="1" applyBorder="1" applyAlignment="1"/>
    <xf numFmtId="3" fontId="34" fillId="0" borderId="41" xfId="13" applyBorder="1" applyAlignment="1"/>
    <xf numFmtId="0" fontId="34" fillId="0" borderId="41" xfId="18" applyNumberFormat="1" applyBorder="1" applyAlignment="1">
      <alignment horizontal="left"/>
    </xf>
    <xf numFmtId="193" fontId="34" fillId="0" borderId="41" xfId="18" quotePrefix="1" applyNumberFormat="1" applyBorder="1" applyAlignment="1">
      <alignment horizontal="left"/>
    </xf>
    <xf numFmtId="1" fontId="34" fillId="0" borderId="41" xfId="18" applyNumberFormat="1" applyBorder="1" applyAlignment="1"/>
    <xf numFmtId="1" fontId="34" fillId="0" borderId="0" xfId="18" applyNumberFormat="1" applyBorder="1" applyAlignment="1"/>
    <xf numFmtId="0" fontId="38" fillId="0" borderId="51" xfId="18" applyNumberFormat="1" applyFont="1" applyBorder="1" applyAlignment="1"/>
    <xf numFmtId="0" fontId="62" fillId="0" borderId="0" xfId="18" quotePrefix="1" applyNumberFormat="1" applyFont="1" applyBorder="1" applyAlignment="1">
      <alignment horizontal="left"/>
    </xf>
    <xf numFmtId="0" fontId="59" fillId="0" borderId="0" xfId="18" applyNumberFormat="1" applyFont="1" applyAlignment="1">
      <alignment horizontal="left"/>
    </xf>
    <xf numFmtId="37" fontId="38" fillId="0" borderId="0" xfId="15" applyFont="1" applyBorder="1"/>
    <xf numFmtId="38" fontId="78" fillId="0" borderId="0" xfId="3" applyNumberFormat="1" applyFont="1" applyAlignment="1" applyProtection="1">
      <alignment horizontal="right"/>
    </xf>
    <xf numFmtId="38" fontId="38" fillId="0" borderId="0" xfId="3" applyNumberFormat="1" applyFont="1" applyAlignment="1" applyProtection="1">
      <alignment horizontal="right"/>
    </xf>
    <xf numFmtId="37" fontId="62" fillId="0" borderId="0" xfId="15" applyFont="1"/>
    <xf numFmtId="38" fontId="38" fillId="0" borderId="0" xfId="3" applyNumberFormat="1" applyFont="1"/>
    <xf numFmtId="38" fontId="34" fillId="0" borderId="0" xfId="3" applyNumberFormat="1" applyFont="1"/>
    <xf numFmtId="38" fontId="15" fillId="0" borderId="0" xfId="3" applyNumberFormat="1" applyFont="1"/>
    <xf numFmtId="38" fontId="38" fillId="0" borderId="2" xfId="3" applyNumberFormat="1" applyFont="1" applyBorder="1" applyAlignment="1">
      <alignment horizontal="center"/>
    </xf>
    <xf numFmtId="38" fontId="38" fillId="0" borderId="0" xfId="3" applyNumberFormat="1" applyFont="1" applyFill="1"/>
    <xf numFmtId="0" fontId="15" fillId="0" borderId="0" xfId="17" applyBorder="1" applyAlignment="1">
      <alignment horizontal="left"/>
    </xf>
    <xf numFmtId="8" fontId="38" fillId="0" borderId="2" xfId="4" applyNumberFormat="1" applyFont="1" applyBorder="1"/>
    <xf numFmtId="3" fontId="15" fillId="0" borderId="0" xfId="17" applyNumberFormat="1"/>
    <xf numFmtId="37" fontId="62" fillId="0" borderId="0" xfId="15" quotePrefix="1" applyFont="1" applyAlignment="1">
      <alignment horizontal="left"/>
    </xf>
    <xf numFmtId="6" fontId="38" fillId="0" borderId="2" xfId="4" applyNumberFormat="1" applyFont="1" applyBorder="1"/>
    <xf numFmtId="37" fontId="34" fillId="0" borderId="103" xfId="15" applyFont="1" applyBorder="1"/>
    <xf numFmtId="37" fontId="59" fillId="0" borderId="0" xfId="15" applyFont="1"/>
    <xf numFmtId="1" fontId="34" fillId="0" borderId="0" xfId="18" applyNumberFormat="1" applyAlignment="1"/>
    <xf numFmtId="37" fontId="34" fillId="0" borderId="0" xfId="18" applyNumberFormat="1" applyBorder="1" applyAlignment="1"/>
    <xf numFmtId="0" fontId="79" fillId="0" borderId="0" xfId="18" quotePrefix="1" applyNumberFormat="1" applyFont="1" applyAlignment="1">
      <alignment horizontal="left"/>
    </xf>
    <xf numFmtId="0" fontId="34" fillId="0" borderId="0" xfId="18" applyNumberFormat="1" applyAlignment="1">
      <alignment horizontal="left"/>
    </xf>
    <xf numFmtId="0" fontId="34" fillId="0" borderId="38" xfId="18" quotePrefix="1" applyNumberFormat="1" applyBorder="1" applyAlignment="1">
      <alignment horizontal="left"/>
    </xf>
    <xf numFmtId="37" fontId="34" fillId="0" borderId="0" xfId="15" quotePrefix="1" applyFont="1" applyAlignment="1">
      <alignment horizontal="left"/>
    </xf>
    <xf numFmtId="10" fontId="34" fillId="0" borderId="0" xfId="18" applyNumberFormat="1" applyAlignment="1"/>
    <xf numFmtId="37" fontId="34" fillId="0" borderId="0" xfId="15" quotePrefix="1" applyFont="1" applyBorder="1" applyAlignment="1">
      <alignment horizontal="right"/>
    </xf>
    <xf numFmtId="0" fontId="46" fillId="0" borderId="0" xfId="14" applyFont="1"/>
    <xf numFmtId="37" fontId="35" fillId="0" borderId="0" xfId="15"/>
    <xf numFmtId="37" fontId="78" fillId="0" borderId="0" xfId="15" applyFont="1" applyProtection="1">
      <protection locked="0"/>
    </xf>
    <xf numFmtId="174" fontId="34" fillId="0" borderId="0" xfId="15" applyNumberFormat="1" applyFont="1" applyProtection="1"/>
    <xf numFmtId="179" fontId="34" fillId="0" borderId="0" xfId="15" applyNumberFormat="1" applyFont="1" applyProtection="1"/>
    <xf numFmtId="0" fontId="80" fillId="0" borderId="0" xfId="14" applyFont="1" applyAlignment="1">
      <alignment horizontal="center"/>
    </xf>
    <xf numFmtId="165" fontId="34" fillId="0" borderId="0" xfId="15" applyNumberFormat="1" applyFont="1" applyAlignment="1" applyProtection="1">
      <alignment horizontal="center"/>
    </xf>
    <xf numFmtId="37" fontId="34" fillId="0" borderId="0" xfId="15" quotePrefix="1" applyFont="1" applyAlignment="1">
      <alignment horizontal="right"/>
    </xf>
    <xf numFmtId="3" fontId="34" fillId="0" borderId="0" xfId="13" applyFont="1" applyAlignment="1">
      <alignment horizontal="center"/>
    </xf>
    <xf numFmtId="3" fontId="34" fillId="0" borderId="0" xfId="13" applyFont="1" applyAlignment="1"/>
    <xf numFmtId="263" fontId="34" fillId="0" borderId="77" xfId="15" applyNumberFormat="1" applyFont="1" applyFill="1" applyBorder="1" applyAlignment="1" applyProtection="1">
      <alignment horizontal="center"/>
    </xf>
    <xf numFmtId="168" fontId="34" fillId="0" borderId="0" xfId="15" applyNumberFormat="1" applyFont="1" applyProtection="1"/>
    <xf numFmtId="37" fontId="34" fillId="0" borderId="0" xfId="13" applyNumberFormat="1" applyAlignment="1"/>
    <xf numFmtId="3" fontId="34" fillId="0" borderId="32" xfId="13" applyBorder="1" applyAlignment="1"/>
    <xf numFmtId="37" fontId="34" fillId="0" borderId="0" xfId="15" applyFont="1" applyAlignment="1">
      <alignment horizontal="left"/>
    </xf>
    <xf numFmtId="37" fontId="78" fillId="0" borderId="0" xfId="15" applyNumberFormat="1" applyFont="1" applyProtection="1">
      <protection locked="0"/>
    </xf>
    <xf numFmtId="37" fontId="34" fillId="0" borderId="0" xfId="15" applyNumberFormat="1" applyFont="1" applyProtection="1"/>
    <xf numFmtId="37" fontId="34" fillId="0" borderId="32" xfId="13" applyNumberFormat="1" applyBorder="1" applyAlignment="1"/>
    <xf numFmtId="37" fontId="34" fillId="0" borderId="41" xfId="15" applyNumberFormat="1" applyFont="1" applyBorder="1" applyProtection="1"/>
    <xf numFmtId="3" fontId="34" fillId="0" borderId="41" xfId="15" applyNumberFormat="1" applyFont="1" applyBorder="1" applyProtection="1"/>
    <xf numFmtId="37" fontId="34" fillId="0" borderId="71" xfId="15" applyNumberFormat="1" applyFont="1" applyBorder="1" applyProtection="1"/>
    <xf numFmtId="37" fontId="60" fillId="0" borderId="0" xfId="15" applyFont="1" applyAlignment="1">
      <alignment horizontal="left"/>
    </xf>
    <xf numFmtId="37" fontId="34" fillId="0" borderId="0" xfId="15" applyNumberFormat="1" applyFont="1" applyBorder="1" applyProtection="1"/>
    <xf numFmtId="37" fontId="34" fillId="0" borderId="44" xfId="15" applyNumberFormat="1" applyFont="1" applyBorder="1" applyProtection="1"/>
    <xf numFmtId="37" fontId="34" fillId="0" borderId="106" xfId="15" applyNumberFormat="1" applyFont="1" applyBorder="1" applyProtection="1"/>
    <xf numFmtId="37" fontId="34" fillId="0" borderId="80" xfId="15" applyNumberFormat="1" applyFont="1" applyBorder="1" applyProtection="1"/>
    <xf numFmtId="37" fontId="34" fillId="0" borderId="107" xfId="15" applyNumberFormat="1" applyFont="1" applyBorder="1" applyProtection="1"/>
    <xf numFmtId="37" fontId="34" fillId="0" borderId="32" xfId="15" applyNumberFormat="1" applyFont="1" applyBorder="1" applyProtection="1"/>
    <xf numFmtId="37" fontId="34" fillId="0" borderId="38" xfId="15" applyFont="1" applyBorder="1"/>
    <xf numFmtId="37" fontId="34" fillId="0" borderId="39" xfId="15" applyFont="1" applyBorder="1"/>
    <xf numFmtId="37" fontId="34" fillId="0" borderId="32" xfId="15" applyFont="1" applyBorder="1"/>
    <xf numFmtId="37" fontId="34" fillId="0" borderId="108" xfId="15" applyNumberFormat="1" applyFont="1" applyBorder="1" applyProtection="1"/>
    <xf numFmtId="37" fontId="34" fillId="0" borderId="108" xfId="15" applyFont="1" applyBorder="1"/>
    <xf numFmtId="37" fontId="34" fillId="0" borderId="80" xfId="15" applyFont="1" applyBorder="1"/>
    <xf numFmtId="37" fontId="34" fillId="0" borderId="81" xfId="15" applyFont="1" applyBorder="1"/>
    <xf numFmtId="10" fontId="34" fillId="0" borderId="0" xfId="15" applyNumberFormat="1" applyFont="1" applyProtection="1"/>
    <xf numFmtId="37" fontId="78" fillId="0" borderId="108" xfId="15" applyNumberFormat="1" applyFont="1" applyBorder="1" applyProtection="1">
      <protection locked="0"/>
    </xf>
    <xf numFmtId="37" fontId="34" fillId="0" borderId="81" xfId="15" applyNumberFormat="1" applyFont="1" applyBorder="1" applyProtection="1"/>
    <xf numFmtId="37" fontId="34" fillId="0" borderId="107" xfId="15" applyFont="1" applyBorder="1"/>
    <xf numFmtId="37" fontId="34" fillId="0" borderId="109" xfId="15" applyNumberFormat="1" applyFont="1" applyBorder="1" applyProtection="1"/>
    <xf numFmtId="37" fontId="34" fillId="0" borderId="110" xfId="15" applyNumberFormat="1" applyFont="1" applyBorder="1" applyProtection="1"/>
    <xf numFmtId="9" fontId="34" fillId="0" borderId="0" xfId="15" applyNumberFormat="1" applyFont="1" applyProtection="1"/>
    <xf numFmtId="37" fontId="34" fillId="0" borderId="109" xfId="15" applyFont="1" applyBorder="1"/>
    <xf numFmtId="183" fontId="34" fillId="0" borderId="0" xfId="15" applyNumberFormat="1" applyFont="1" applyProtection="1"/>
    <xf numFmtId="37" fontId="38" fillId="0" borderId="0" xfId="15" applyNumberFormat="1" applyFont="1" applyProtection="1"/>
    <xf numFmtId="37" fontId="34" fillId="13" borderId="0" xfId="15" applyNumberFormat="1" applyFont="1" applyFill="1" applyProtection="1"/>
    <xf numFmtId="196" fontId="34" fillId="0" borderId="0" xfId="15" applyNumberFormat="1" applyFont="1" applyProtection="1"/>
    <xf numFmtId="37" fontId="15" fillId="0" borderId="0" xfId="15" applyFont="1"/>
    <xf numFmtId="37" fontId="35" fillId="0" borderId="0" xfId="15" applyFont="1"/>
    <xf numFmtId="221" fontId="34" fillId="0" borderId="77" xfId="15" applyNumberFormat="1" applyFont="1" applyFill="1" applyBorder="1" applyAlignment="1" applyProtection="1">
      <alignment horizontal="center"/>
    </xf>
    <xf numFmtId="221" fontId="34" fillId="0" borderId="111" xfId="15" applyNumberFormat="1" applyFont="1" applyFill="1" applyBorder="1" applyAlignment="1" applyProtection="1">
      <alignment horizontal="center"/>
    </xf>
    <xf numFmtId="37" fontId="60" fillId="0" borderId="0" xfId="15" applyFont="1"/>
    <xf numFmtId="37" fontId="34" fillId="0" borderId="38" xfId="15" applyNumberFormat="1" applyFont="1" applyBorder="1" applyProtection="1"/>
    <xf numFmtId="37" fontId="34" fillId="0" borderId="39" xfId="15" applyNumberFormat="1" applyFont="1" applyBorder="1" applyProtection="1"/>
    <xf numFmtId="37" fontId="34" fillId="0" borderId="112" xfId="15" applyNumberFormat="1" applyFont="1" applyBorder="1" applyProtection="1"/>
    <xf numFmtId="37" fontId="34" fillId="0" borderId="105" xfId="15" applyNumberFormat="1" applyFont="1" applyBorder="1" applyProtection="1"/>
    <xf numFmtId="37" fontId="34" fillId="0" borderId="0" xfId="15" applyNumberFormat="1" applyFont="1" applyFill="1" applyProtection="1"/>
    <xf numFmtId="37" fontId="34" fillId="0" borderId="44" xfId="15" applyFont="1" applyBorder="1"/>
    <xf numFmtId="37" fontId="34" fillId="0" borderId="113" xfId="15" applyNumberFormat="1" applyFont="1" applyBorder="1" applyProtection="1"/>
    <xf numFmtId="14" fontId="34" fillId="0" borderId="111" xfId="15" applyNumberFormat="1" applyFont="1" applyFill="1" applyBorder="1" applyAlignment="1" applyProtection="1">
      <alignment horizontal="center"/>
    </xf>
    <xf numFmtId="263" fontId="34" fillId="0" borderId="111" xfId="15" applyNumberFormat="1" applyFont="1" applyFill="1" applyBorder="1" applyAlignment="1" applyProtection="1">
      <alignment horizontal="center"/>
    </xf>
    <xf numFmtId="10" fontId="34" fillId="0" borderId="0" xfId="19" applyNumberFormat="1" applyFont="1"/>
    <xf numFmtId="14" fontId="34" fillId="0" borderId="0" xfId="15" applyNumberFormat="1" applyFont="1"/>
    <xf numFmtId="14" fontId="34" fillId="0" borderId="0" xfId="14" applyNumberFormat="1" applyFont="1"/>
    <xf numFmtId="37" fontId="34" fillId="0" borderId="103" xfId="15" applyFont="1" applyBorder="1" applyAlignment="1">
      <alignment horizontal="left"/>
    </xf>
    <xf numFmtId="3" fontId="34" fillId="0" borderId="103" xfId="13" applyBorder="1" applyAlignment="1"/>
    <xf numFmtId="168" fontId="34" fillId="0" borderId="103" xfId="15" applyNumberFormat="1" applyFont="1" applyBorder="1" applyProtection="1"/>
    <xf numFmtId="3" fontId="34" fillId="0" borderId="0" xfId="13" quotePrefix="1" applyAlignment="1">
      <alignment horizontal="center"/>
    </xf>
    <xf numFmtId="3" fontId="75" fillId="0" borderId="0" xfId="13" quotePrefix="1" applyFont="1" applyAlignment="1">
      <alignment horizontal="center"/>
    </xf>
    <xf numFmtId="37" fontId="34" fillId="0" borderId="0" xfId="15" quotePrefix="1" applyFont="1" applyAlignment="1">
      <alignment horizontal="center"/>
    </xf>
    <xf numFmtId="37" fontId="81" fillId="0" borderId="0" xfId="15" applyFont="1" applyAlignment="1">
      <alignment horizontal="left"/>
    </xf>
    <xf numFmtId="14" fontId="34" fillId="0" borderId="114" xfId="15" applyNumberFormat="1" applyFont="1" applyFill="1" applyBorder="1" applyAlignment="1" applyProtection="1">
      <alignment horizontal="center"/>
    </xf>
    <xf numFmtId="37" fontId="38" fillId="0" borderId="0" xfId="15" applyFont="1" applyAlignment="1">
      <alignment horizontal="left"/>
    </xf>
    <xf numFmtId="37" fontId="15" fillId="0" borderId="0" xfId="15" applyNumberFormat="1" applyFont="1" applyProtection="1">
      <protection locked="0"/>
    </xf>
    <xf numFmtId="38" fontId="15" fillId="0" borderId="0" xfId="3" applyNumberFormat="1" applyFont="1" applyBorder="1"/>
    <xf numFmtId="38" fontId="78" fillId="0" borderId="0" xfId="3" applyNumberFormat="1" applyFont="1" applyBorder="1"/>
    <xf numFmtId="10" fontId="34" fillId="0" borderId="38" xfId="15" applyNumberFormat="1" applyFont="1" applyBorder="1" applyProtection="1"/>
    <xf numFmtId="3" fontId="34" fillId="0" borderId="38" xfId="13" applyBorder="1" applyAlignment="1"/>
    <xf numFmtId="37" fontId="34" fillId="0" borderId="0" xfId="15" applyFont="1" applyAlignment="1">
      <alignment horizontal="center"/>
    </xf>
    <xf numFmtId="38" fontId="78" fillId="0" borderId="40" xfId="3" applyNumberFormat="1" applyFont="1" applyBorder="1"/>
    <xf numFmtId="37" fontId="15" fillId="0" borderId="48" xfId="15" applyFont="1" applyBorder="1"/>
    <xf numFmtId="38" fontId="78" fillId="0" borderId="44" xfId="3" applyNumberFormat="1" applyFont="1" applyBorder="1"/>
    <xf numFmtId="37" fontId="38" fillId="0" borderId="51" xfId="15" applyFont="1" applyBorder="1"/>
    <xf numFmtId="38" fontId="78" fillId="0" borderId="71" xfId="3" applyNumberFormat="1" applyFont="1" applyBorder="1"/>
    <xf numFmtId="37" fontId="34" fillId="0" borderId="41" xfId="15" applyFont="1" applyBorder="1"/>
    <xf numFmtId="37" fontId="34" fillId="0" borderId="105" xfId="15" applyFont="1" applyBorder="1"/>
    <xf numFmtId="38" fontId="78" fillId="0" borderId="0" xfId="3" applyNumberFormat="1" applyFont="1"/>
    <xf numFmtId="38" fontId="15" fillId="0" borderId="0" xfId="3" quotePrefix="1" applyNumberFormat="1" applyFont="1" applyBorder="1" applyAlignment="1">
      <alignment horizontal="right"/>
    </xf>
    <xf numFmtId="37" fontId="38" fillId="0" borderId="0" xfId="15" quotePrefix="1" applyFont="1" applyAlignment="1">
      <alignment horizontal="left"/>
    </xf>
    <xf numFmtId="37" fontId="60" fillId="0" borderId="0" xfId="15" applyFont="1" applyAlignment="1">
      <alignment horizontal="right"/>
    </xf>
    <xf numFmtId="37" fontId="34" fillId="0" borderId="115" xfId="15" applyFont="1" applyBorder="1" applyAlignment="1">
      <alignment horizontal="center"/>
    </xf>
    <xf numFmtId="37" fontId="34" fillId="0" borderId="116" xfId="15" applyFont="1" applyBorder="1" applyAlignment="1">
      <alignment horizontal="centerContinuous"/>
    </xf>
    <xf numFmtId="37" fontId="34" fillId="0" borderId="117" xfId="15" applyFont="1" applyBorder="1" applyAlignment="1">
      <alignment horizontal="centerContinuous"/>
    </xf>
    <xf numFmtId="37" fontId="34" fillId="0" borderId="1" xfId="15" applyFont="1" applyBorder="1" applyAlignment="1">
      <alignment horizontal="center"/>
    </xf>
    <xf numFmtId="37" fontId="34" fillId="0" borderId="118" xfId="15" applyFont="1" applyBorder="1" applyAlignment="1">
      <alignment horizontal="center"/>
    </xf>
    <xf numFmtId="37" fontId="34" fillId="0" borderId="119" xfId="15" applyFont="1" applyBorder="1" applyAlignment="1">
      <alignment horizontal="centerContinuous"/>
    </xf>
    <xf numFmtId="168" fontId="34" fillId="0" borderId="120" xfId="15" applyNumberFormat="1" applyFont="1" applyBorder="1" applyAlignment="1" applyProtection="1">
      <alignment horizontal="centerContinuous"/>
    </xf>
    <xf numFmtId="14" fontId="34" fillId="14" borderId="111" xfId="15" applyNumberFormat="1" applyFont="1" applyFill="1" applyBorder="1" applyAlignment="1" applyProtection="1">
      <alignment horizontal="center"/>
    </xf>
    <xf numFmtId="263" fontId="34" fillId="14" borderId="111" xfId="15" applyNumberFormat="1" applyFont="1" applyFill="1" applyBorder="1" applyAlignment="1" applyProtection="1">
      <alignment horizontal="center"/>
    </xf>
    <xf numFmtId="37" fontId="34" fillId="0" borderId="121" xfId="15" applyFont="1" applyBorder="1"/>
    <xf numFmtId="237" fontId="78" fillId="0" borderId="0" xfId="15" applyNumberFormat="1" applyFont="1" applyProtection="1">
      <protection locked="0"/>
    </xf>
    <xf numFmtId="168" fontId="38" fillId="0" borderId="0" xfId="15" applyNumberFormat="1" applyFont="1" applyProtection="1"/>
    <xf numFmtId="37" fontId="34" fillId="13" borderId="0" xfId="15" applyFont="1" applyFill="1"/>
    <xf numFmtId="37" fontId="38" fillId="0" borderId="0" xfId="15" applyFont="1"/>
    <xf numFmtId="263" fontId="34" fillId="0" borderId="77" xfId="15" applyNumberFormat="1" applyFont="1" applyBorder="1" applyAlignment="1" applyProtection="1">
      <alignment horizontal="center"/>
    </xf>
    <xf numFmtId="179" fontId="34" fillId="0" borderId="77" xfId="15" applyNumberFormat="1" applyFont="1" applyBorder="1" applyAlignment="1" applyProtection="1">
      <alignment horizontal="center"/>
    </xf>
    <xf numFmtId="37" fontId="34" fillId="0" borderId="77" xfId="15" applyFont="1" applyBorder="1" applyAlignment="1">
      <alignment horizontal="center"/>
    </xf>
    <xf numFmtId="3" fontId="34" fillId="0" borderId="116" xfId="13" applyBorder="1" applyAlignment="1">
      <alignment horizontal="centerContinuous"/>
    </xf>
    <xf numFmtId="3" fontId="34" fillId="0" borderId="117" xfId="13" applyBorder="1" applyAlignment="1">
      <alignment horizontal="centerContinuous"/>
    </xf>
    <xf numFmtId="37" fontId="78" fillId="13" borderId="0" xfId="15" applyNumberFormat="1" applyFont="1" applyFill="1" applyProtection="1">
      <protection locked="0"/>
    </xf>
    <xf numFmtId="3" fontId="34" fillId="0" borderId="119" xfId="13" applyBorder="1" applyAlignment="1">
      <alignment horizontal="centerContinuous"/>
    </xf>
    <xf numFmtId="3" fontId="34" fillId="0" borderId="120" xfId="13" applyBorder="1" applyAlignment="1">
      <alignment horizontal="centerContinuous"/>
    </xf>
    <xf numFmtId="37" fontId="78" fillId="0" borderId="0" xfId="15" applyNumberFormat="1" applyFont="1" applyBorder="1" applyAlignment="1" applyProtection="1">
      <alignment horizontal="right"/>
    </xf>
    <xf numFmtId="3" fontId="34" fillId="0" borderId="0" xfId="13" applyAlignment="1">
      <alignment horizontal="centerContinuous"/>
    </xf>
    <xf numFmtId="37" fontId="58" fillId="0" borderId="0" xfId="15" applyNumberFormat="1" applyFont="1" applyProtection="1">
      <protection locked="0"/>
    </xf>
    <xf numFmtId="37" fontId="58" fillId="0" borderId="0" xfId="15" applyNumberFormat="1" applyFont="1" applyProtection="1"/>
    <xf numFmtId="37" fontId="34" fillId="0" borderId="122" xfId="15" applyNumberFormat="1" applyFont="1" applyBorder="1" applyAlignment="1" applyProtection="1">
      <alignment horizontal="centerContinuous"/>
    </xf>
    <xf numFmtId="37" fontId="34" fillId="0" borderId="123" xfId="15" applyNumberFormat="1" applyFont="1" applyBorder="1" applyAlignment="1" applyProtection="1">
      <alignment horizontal="centerContinuous"/>
    </xf>
    <xf numFmtId="37" fontId="34" fillId="0" borderId="124" xfId="15" applyNumberFormat="1" applyFont="1" applyBorder="1" applyAlignment="1" applyProtection="1">
      <alignment horizontal="centerContinuous"/>
    </xf>
    <xf numFmtId="37" fontId="34" fillId="0" borderId="125" xfId="15" applyNumberFormat="1" applyFont="1" applyBorder="1" applyAlignment="1" applyProtection="1">
      <alignment horizontal="centerContinuous"/>
    </xf>
    <xf numFmtId="37" fontId="78" fillId="0" borderId="0" xfId="15" applyFont="1"/>
    <xf numFmtId="37" fontId="53" fillId="0" borderId="0" xfId="15" applyNumberFormat="1" applyFont="1" applyProtection="1">
      <protection locked="0"/>
    </xf>
    <xf numFmtId="37" fontId="53" fillId="0" borderId="0" xfId="15" applyFont="1" applyProtection="1">
      <protection locked="0"/>
    </xf>
    <xf numFmtId="10" fontId="34" fillId="0" borderId="75" xfId="15" applyNumberFormat="1" applyFont="1" applyBorder="1" applyProtection="1"/>
    <xf numFmtId="37" fontId="35" fillId="0" borderId="103" xfId="15" applyBorder="1"/>
    <xf numFmtId="10" fontId="34" fillId="0" borderId="103" xfId="15" applyNumberFormat="1" applyFont="1" applyBorder="1" applyProtection="1"/>
    <xf numFmtId="14" fontId="34" fillId="0" borderId="77" xfId="15" applyNumberFormat="1" applyFont="1" applyBorder="1" applyAlignment="1" applyProtection="1">
      <alignment horizontal="center"/>
    </xf>
    <xf numFmtId="37" fontId="34" fillId="0" borderId="0" xfId="13" applyNumberFormat="1" applyFont="1" applyAlignment="1"/>
    <xf numFmtId="196" fontId="34" fillId="0" borderId="0" xfId="13" applyNumberFormat="1" applyFont="1" applyAlignment="1"/>
    <xf numFmtId="196" fontId="38" fillId="0" borderId="0" xfId="13" applyNumberFormat="1" applyFont="1" applyAlignment="1"/>
    <xf numFmtId="196" fontId="78" fillId="0" borderId="0" xfId="13" applyNumberFormat="1" applyFont="1" applyAlignment="1"/>
    <xf numFmtId="6" fontId="38" fillId="0" borderId="0" xfId="4" applyNumberFormat="1" applyFont="1"/>
    <xf numFmtId="6" fontId="78" fillId="0" borderId="0" xfId="4" applyNumberFormat="1" applyFont="1"/>
    <xf numFmtId="37" fontId="62" fillId="0" borderId="40" xfId="15" applyFont="1" applyBorder="1" applyAlignment="1">
      <alignment horizontal="left"/>
    </xf>
    <xf numFmtId="263" fontId="34" fillId="0" borderId="126" xfId="15" applyNumberFormat="1" applyFont="1" applyBorder="1" applyAlignment="1" applyProtection="1">
      <alignment horizontal="center"/>
    </xf>
    <xf numFmtId="14" fontId="34" fillId="0" borderId="126" xfId="15" applyNumberFormat="1" applyFont="1" applyBorder="1" applyAlignment="1" applyProtection="1">
      <alignment horizontal="center"/>
    </xf>
    <xf numFmtId="14" fontId="34" fillId="14" borderId="127" xfId="15" applyNumberFormat="1" applyFont="1" applyFill="1" applyBorder="1" applyAlignment="1" applyProtection="1">
      <alignment horizontal="center"/>
    </xf>
    <xf numFmtId="263" fontId="34" fillId="14" borderId="127" xfId="15" applyNumberFormat="1" applyFont="1" applyFill="1" applyBorder="1" applyAlignment="1" applyProtection="1">
      <alignment horizontal="center"/>
    </xf>
    <xf numFmtId="263" fontId="34" fillId="14" borderId="128" xfId="15" applyNumberFormat="1" applyFont="1" applyFill="1" applyBorder="1" applyAlignment="1" applyProtection="1">
      <alignment horizontal="center"/>
    </xf>
    <xf numFmtId="37" fontId="34" fillId="0" borderId="44" xfId="15" applyFont="1" applyBorder="1" applyAlignment="1">
      <alignment horizontal="left"/>
    </xf>
    <xf numFmtId="37" fontId="15" fillId="0" borderId="0" xfId="15" applyNumberFormat="1" applyFont="1" applyBorder="1" applyProtection="1"/>
    <xf numFmtId="37" fontId="15" fillId="0" borderId="44" xfId="15" applyNumberFormat="1" applyFont="1" applyBorder="1" applyProtection="1"/>
    <xf numFmtId="37" fontId="15" fillId="0" borderId="32" xfId="15" applyNumberFormat="1" applyFont="1" applyBorder="1" applyProtection="1"/>
    <xf numFmtId="37" fontId="78" fillId="0" borderId="0" xfId="15" applyNumberFormat="1" applyFont="1" applyBorder="1" applyProtection="1">
      <protection locked="0"/>
    </xf>
    <xf numFmtId="242" fontId="34" fillId="0" borderId="0" xfId="15" applyNumberFormat="1" applyFont="1" applyBorder="1" applyProtection="1"/>
    <xf numFmtId="37" fontId="34" fillId="0" borderId="129" xfId="15" applyNumberFormat="1" applyFont="1" applyBorder="1" applyProtection="1"/>
    <xf numFmtId="37" fontId="34" fillId="0" borderId="71" xfId="15" applyFont="1" applyBorder="1" applyAlignment="1">
      <alignment horizontal="left"/>
    </xf>
    <xf numFmtId="37" fontId="34" fillId="0" borderId="40" xfId="15" applyFont="1" applyBorder="1" applyAlignment="1">
      <alignment horizontal="left"/>
    </xf>
    <xf numFmtId="37" fontId="78" fillId="0" borderId="38" xfId="15" applyFont="1" applyBorder="1" applyProtection="1">
      <protection locked="0"/>
    </xf>
    <xf numFmtId="37" fontId="78" fillId="0" borderId="39" xfId="15" applyFont="1" applyBorder="1" applyProtection="1">
      <protection locked="0"/>
    </xf>
    <xf numFmtId="37" fontId="78" fillId="0" borderId="0" xfId="15" applyFont="1" applyBorder="1" applyProtection="1">
      <protection locked="0"/>
    </xf>
    <xf numFmtId="37" fontId="78" fillId="0" borderId="32" xfId="15" applyFont="1" applyBorder="1" applyProtection="1">
      <protection locked="0"/>
    </xf>
    <xf numFmtId="37" fontId="15" fillId="0" borderId="0" xfId="15" applyFont="1" applyBorder="1" applyProtection="1">
      <protection locked="0"/>
    </xf>
    <xf numFmtId="37" fontId="78" fillId="13" borderId="0" xfId="15" applyFont="1" applyFill="1" applyBorder="1" applyProtection="1">
      <protection locked="0"/>
    </xf>
    <xf numFmtId="37" fontId="34" fillId="13" borderId="0" xfId="15" applyFont="1" applyFill="1" applyBorder="1"/>
    <xf numFmtId="37" fontId="15" fillId="0" borderId="0" xfId="15" applyFont="1" applyFill="1" applyBorder="1" applyProtection="1">
      <protection locked="0"/>
    </xf>
    <xf numFmtId="168" fontId="78" fillId="0" borderId="0" xfId="15" applyNumberFormat="1" applyFont="1" applyProtection="1">
      <protection locked="0"/>
    </xf>
    <xf numFmtId="168" fontId="78" fillId="0" borderId="0" xfId="15" applyNumberFormat="1" applyFont="1" applyAlignment="1" applyProtection="1">
      <alignment horizontal="right"/>
      <protection locked="0"/>
    </xf>
    <xf numFmtId="10" fontId="78" fillId="0" borderId="0" xfId="15" applyNumberFormat="1" applyFont="1" applyProtection="1">
      <protection locked="0"/>
    </xf>
    <xf numFmtId="10" fontId="38" fillId="0" borderId="0" xfId="15" applyNumberFormat="1" applyFont="1" applyProtection="1">
      <protection locked="0"/>
    </xf>
    <xf numFmtId="37" fontId="34" fillId="0" borderId="103" xfId="15" applyNumberFormat="1" applyFont="1" applyBorder="1" applyProtection="1"/>
    <xf numFmtId="263" fontId="34" fillId="0" borderId="130" xfId="15" applyNumberFormat="1" applyFont="1" applyBorder="1" applyAlignment="1" applyProtection="1">
      <alignment horizontal="center"/>
    </xf>
    <xf numFmtId="14" fontId="34" fillId="0" borderId="130" xfId="15" applyNumberFormat="1" applyFont="1" applyBorder="1" applyAlignment="1" applyProtection="1">
      <alignment horizontal="center"/>
    </xf>
    <xf numFmtId="14" fontId="34" fillId="14" borderId="117" xfId="15" applyNumberFormat="1" applyFont="1" applyFill="1" applyBorder="1" applyAlignment="1" applyProtection="1">
      <alignment horizontal="center"/>
    </xf>
    <xf numFmtId="263" fontId="34" fillId="14" borderId="117" xfId="15" applyNumberFormat="1" applyFont="1" applyFill="1" applyBorder="1" applyAlignment="1" applyProtection="1">
      <alignment horizontal="center"/>
    </xf>
    <xf numFmtId="37" fontId="34" fillId="0" borderId="131" xfId="15" applyFont="1" applyBorder="1" applyAlignment="1">
      <alignment horizontal="center"/>
    </xf>
    <xf numFmtId="37" fontId="34" fillId="0" borderId="118" xfId="15" applyFont="1" applyFill="1" applyBorder="1" applyAlignment="1">
      <alignment horizontal="center"/>
    </xf>
    <xf numFmtId="37" fontId="34" fillId="14" borderId="118" xfId="15" applyFont="1" applyFill="1" applyBorder="1" applyAlignment="1">
      <alignment horizontal="center"/>
    </xf>
    <xf numFmtId="37" fontId="34" fillId="14" borderId="120" xfId="15" applyFont="1" applyFill="1" applyBorder="1" applyAlignment="1">
      <alignment horizontal="center"/>
    </xf>
    <xf numFmtId="37" fontId="34" fillId="0" borderId="0" xfId="15" applyFont="1" applyBorder="1" applyAlignment="1">
      <alignment horizontal="center"/>
    </xf>
    <xf numFmtId="37" fontId="34" fillId="0" borderId="0" xfId="15" applyFont="1" applyFill="1" applyBorder="1" applyAlignment="1">
      <alignment horizontal="center"/>
    </xf>
    <xf numFmtId="37" fontId="15" fillId="0" borderId="0" xfId="15" applyFont="1" applyFill="1"/>
    <xf numFmtId="37" fontId="59" fillId="0" borderId="0" xfId="15" applyFont="1" applyAlignment="1">
      <alignment horizontal="left"/>
    </xf>
    <xf numFmtId="37" fontId="78" fillId="0" borderId="0" xfId="15" applyNumberFormat="1" applyFont="1" applyAlignment="1" applyProtection="1">
      <alignment horizontal="right"/>
      <protection locked="0"/>
    </xf>
    <xf numFmtId="3" fontId="34" fillId="0" borderId="115" xfId="13" applyFont="1" applyBorder="1" applyAlignment="1">
      <alignment horizontal="center"/>
    </xf>
    <xf numFmtId="3" fontId="34" fillId="14" borderId="115" xfId="13" applyFont="1" applyFill="1" applyBorder="1" applyAlignment="1">
      <alignment horizontal="center"/>
    </xf>
    <xf numFmtId="254" fontId="34" fillId="0" borderId="0" xfId="15" applyNumberFormat="1" applyFont="1" applyProtection="1"/>
    <xf numFmtId="14" fontId="34" fillId="14" borderId="118" xfId="13" applyNumberFormat="1" applyFont="1" applyFill="1" applyBorder="1" applyAlignment="1">
      <alignment horizontal="center"/>
    </xf>
    <xf numFmtId="263" fontId="34" fillId="14" borderId="77" xfId="15" applyNumberFormat="1" applyFont="1" applyFill="1" applyBorder="1" applyAlignment="1" applyProtection="1">
      <alignment horizontal="center"/>
    </xf>
    <xf numFmtId="37" fontId="15" fillId="0" borderId="75" xfId="15" applyNumberFormat="1" applyFont="1" applyBorder="1" applyProtection="1">
      <protection locked="0"/>
    </xf>
    <xf numFmtId="37" fontId="14" fillId="0" borderId="0" xfId="15" quotePrefix="1" applyFont="1" applyAlignment="1">
      <alignment horizontal="left"/>
    </xf>
    <xf numFmtId="263" fontId="34" fillId="0" borderId="132" xfId="15" applyNumberFormat="1" applyFont="1" applyFill="1" applyBorder="1" applyAlignment="1" applyProtection="1">
      <alignment horizontal="center"/>
    </xf>
    <xf numFmtId="3" fontId="34" fillId="0" borderId="0" xfId="13" applyFont="1" applyAlignment="1">
      <alignment horizontal="left"/>
    </xf>
    <xf numFmtId="37" fontId="34" fillId="0" borderId="104" xfId="15" applyFont="1" applyBorder="1" applyAlignment="1">
      <alignment horizontal="left"/>
    </xf>
    <xf numFmtId="37" fontId="34" fillId="0" borderId="104" xfId="15" applyFont="1" applyBorder="1"/>
    <xf numFmtId="3" fontId="34" fillId="0" borderId="104" xfId="13" applyBorder="1" applyAlignment="1"/>
    <xf numFmtId="37" fontId="34" fillId="0" borderId="104" xfId="15" applyFont="1" applyBorder="1" applyAlignment="1">
      <alignment horizontal="right"/>
    </xf>
    <xf numFmtId="37" fontId="78" fillId="0" borderId="104" xfId="15" applyFont="1" applyBorder="1" applyProtection="1">
      <protection locked="0"/>
    </xf>
    <xf numFmtId="37" fontId="78" fillId="0" borderId="104" xfId="15" applyNumberFormat="1" applyFont="1" applyBorder="1" applyProtection="1">
      <protection locked="0"/>
    </xf>
    <xf numFmtId="37" fontId="62" fillId="0" borderId="0" xfId="15" applyFont="1" applyAlignment="1"/>
    <xf numFmtId="37" fontId="60" fillId="0" borderId="0" xfId="15" applyFont="1" applyAlignment="1"/>
    <xf numFmtId="37" fontId="34" fillId="0" borderId="133" xfId="15" applyNumberFormat="1" applyFont="1" applyBorder="1" applyProtection="1"/>
    <xf numFmtId="37" fontId="34" fillId="0" borderId="0" xfId="15" applyFont="1" applyAlignment="1"/>
    <xf numFmtId="38" fontId="34" fillId="0" borderId="0" xfId="15" applyNumberFormat="1" applyFont="1" applyBorder="1" applyProtection="1"/>
    <xf numFmtId="38" fontId="34" fillId="0" borderId="44" xfId="15" applyNumberFormat="1" applyFont="1" applyBorder="1" applyProtection="1"/>
    <xf numFmtId="38" fontId="34" fillId="0" borderId="0" xfId="15" applyNumberFormat="1" applyFont="1" applyProtection="1"/>
    <xf numFmtId="37" fontId="15" fillId="0" borderId="0" xfId="15" applyFont="1" applyAlignment="1"/>
    <xf numFmtId="38" fontId="34" fillId="0" borderId="0" xfId="15" applyNumberFormat="1" applyFont="1" applyBorder="1"/>
    <xf numFmtId="38" fontId="34" fillId="0" borderId="44" xfId="15" applyNumberFormat="1" applyFont="1" applyBorder="1"/>
    <xf numFmtId="38" fontId="34" fillId="0" borderId="0" xfId="15" applyNumberFormat="1" applyFont="1"/>
    <xf numFmtId="38" fontId="34" fillId="0" borderId="80" xfId="15" applyNumberFormat="1" applyFont="1" applyBorder="1" applyProtection="1"/>
    <xf numFmtId="38" fontId="34" fillId="0" borderId="113" xfId="15" applyNumberFormat="1" applyFont="1" applyBorder="1" applyProtection="1"/>
    <xf numFmtId="38" fontId="34" fillId="0" borderId="0" xfId="13" applyNumberFormat="1" applyFont="1" applyBorder="1" applyAlignment="1"/>
    <xf numFmtId="38" fontId="34" fillId="0" borderId="44" xfId="13" applyNumberFormat="1" applyFont="1" applyBorder="1" applyAlignment="1"/>
    <xf numFmtId="38" fontId="34" fillId="0" borderId="0" xfId="13" applyNumberFormat="1" applyFont="1" applyAlignment="1"/>
    <xf numFmtId="38" fontId="34" fillId="0" borderId="41" xfId="13" applyNumberFormat="1" applyFont="1" applyBorder="1" applyAlignment="1"/>
    <xf numFmtId="38" fontId="38" fillId="0" borderId="71" xfId="13" applyNumberFormat="1" applyFont="1" applyBorder="1" applyAlignment="1"/>
    <xf numFmtId="38" fontId="38" fillId="0" borderId="41" xfId="13" applyNumberFormat="1" applyFont="1" applyBorder="1" applyAlignment="1"/>
    <xf numFmtId="38" fontId="34" fillId="0" borderId="80" xfId="13" applyNumberFormat="1" applyFont="1" applyBorder="1" applyAlignment="1"/>
    <xf numFmtId="38" fontId="34" fillId="0" borderId="113" xfId="13" applyNumberFormat="1" applyFont="1" applyBorder="1" applyAlignment="1"/>
    <xf numFmtId="37" fontId="34" fillId="0" borderId="0" xfId="15" applyFont="1" applyBorder="1" applyAlignment="1"/>
    <xf numFmtId="38" fontId="34" fillId="0" borderId="109" xfId="15" applyNumberFormat="1" applyFont="1" applyBorder="1"/>
    <xf numFmtId="38" fontId="34" fillId="0" borderId="129" xfId="15" applyNumberFormat="1" applyFont="1" applyBorder="1"/>
    <xf numFmtId="38" fontId="34" fillId="0" borderId="0" xfId="13" applyNumberFormat="1" applyAlignment="1"/>
    <xf numFmtId="38" fontId="34" fillId="0" borderId="44" xfId="13" applyNumberFormat="1" applyBorder="1" applyAlignment="1"/>
    <xf numFmtId="38" fontId="34" fillId="0" borderId="32" xfId="15" applyNumberFormat="1" applyFont="1" applyBorder="1"/>
    <xf numFmtId="38" fontId="34" fillId="0" borderId="112" xfId="15" applyNumberFormat="1" applyFont="1" applyBorder="1"/>
    <xf numFmtId="38" fontId="34" fillId="0" borderId="109" xfId="15" applyNumberFormat="1" applyFont="1" applyBorder="1" applyProtection="1"/>
    <xf numFmtId="38" fontId="34" fillId="0" borderId="112" xfId="15" applyNumberFormat="1" applyFont="1" applyBorder="1" applyProtection="1"/>
    <xf numFmtId="37" fontId="35" fillId="0" borderId="104" xfId="15" applyBorder="1"/>
    <xf numFmtId="14" fontId="34" fillId="0" borderId="134" xfId="15" applyNumberFormat="1" applyFont="1" applyFill="1" applyBorder="1" applyAlignment="1" applyProtection="1">
      <alignment horizontal="center"/>
    </xf>
    <xf numFmtId="263" fontId="34" fillId="0" borderId="135" xfId="15" applyNumberFormat="1" applyFont="1" applyFill="1" applyBorder="1" applyAlignment="1" applyProtection="1">
      <alignment horizontal="center"/>
    </xf>
    <xf numFmtId="3" fontId="34" fillId="0" borderId="133" xfId="13" applyBorder="1" applyAlignment="1"/>
    <xf numFmtId="38" fontId="61" fillId="0" borderId="44" xfId="15" applyNumberFormat="1" applyFont="1" applyBorder="1" applyProtection="1"/>
    <xf numFmtId="38" fontId="61" fillId="0" borderId="0" xfId="15" applyNumberFormat="1" applyFont="1" applyBorder="1" applyProtection="1"/>
    <xf numFmtId="37" fontId="34" fillId="0" borderId="55" xfId="15" applyFont="1" applyBorder="1"/>
    <xf numFmtId="37" fontId="34" fillId="0" borderId="56" xfId="15" applyFont="1" applyBorder="1"/>
    <xf numFmtId="37" fontId="52" fillId="0" borderId="0" xfId="15" applyFont="1" applyAlignment="1">
      <alignment horizontal="left"/>
    </xf>
    <xf numFmtId="37" fontId="34" fillId="5" borderId="75" xfId="15" applyFont="1" applyFill="1" applyBorder="1"/>
    <xf numFmtId="37" fontId="34" fillId="0" borderId="136" xfId="15" applyFont="1" applyBorder="1"/>
    <xf numFmtId="37" fontId="34" fillId="0" borderId="75" xfId="15" applyFont="1" applyBorder="1"/>
    <xf numFmtId="37" fontId="34" fillId="0" borderId="20" xfId="15" applyFont="1" applyBorder="1" applyAlignment="1">
      <alignment horizontal="left"/>
    </xf>
    <xf numFmtId="37" fontId="34" fillId="0" borderId="21" xfId="15" applyFont="1" applyBorder="1"/>
    <xf numFmtId="37" fontId="34" fillId="0" borderId="21" xfId="15" applyFont="1" applyFill="1" applyBorder="1" applyAlignment="1">
      <alignment horizontal="center"/>
    </xf>
    <xf numFmtId="0" fontId="34" fillId="0" borderId="19" xfId="18" applyNumberFormat="1" applyBorder="1" applyAlignment="1"/>
    <xf numFmtId="37" fontId="60" fillId="0" borderId="24" xfId="15" applyFont="1" applyBorder="1" applyAlignment="1">
      <alignment horizontal="left"/>
    </xf>
    <xf numFmtId="0" fontId="34" fillId="0" borderId="25" xfId="18" applyNumberFormat="1" applyBorder="1" applyAlignment="1"/>
    <xf numFmtId="263" fontId="14" fillId="0" borderId="0" xfId="13" applyNumberFormat="1" applyFont="1" applyBorder="1" applyAlignment="1">
      <alignment horizontal="right"/>
    </xf>
    <xf numFmtId="37" fontId="34" fillId="0" borderId="24" xfId="15" applyFont="1" applyBorder="1" applyAlignment="1">
      <alignment horizontal="left"/>
    </xf>
    <xf numFmtId="0" fontId="34" fillId="0" borderId="0" xfId="18" applyNumberFormat="1" applyFont="1" applyBorder="1" applyAlignment="1">
      <alignment horizontal="left" indent="2"/>
    </xf>
    <xf numFmtId="0" fontId="34" fillId="0" borderId="24" xfId="18" applyNumberFormat="1" applyBorder="1" applyAlignment="1"/>
    <xf numFmtId="3" fontId="34" fillId="0" borderId="0" xfId="13" applyBorder="1" applyAlignment="1">
      <alignment horizontal="left" indent="2"/>
    </xf>
    <xf numFmtId="247" fontId="34" fillId="0" borderId="0" xfId="13" applyNumberFormat="1" applyBorder="1" applyAlignment="1"/>
    <xf numFmtId="37" fontId="52" fillId="0" borderId="24" xfId="15" applyFont="1" applyBorder="1" applyAlignment="1">
      <alignment horizontal="left"/>
    </xf>
    <xf numFmtId="38" fontId="38" fillId="0" borderId="0" xfId="15" applyNumberFormat="1" applyFont="1" applyBorder="1" applyProtection="1"/>
    <xf numFmtId="9" fontId="34" fillId="0" borderId="0" xfId="19" applyNumberFormat="1" applyFont="1" applyBorder="1"/>
    <xf numFmtId="0" fontId="34" fillId="0" borderId="55" xfId="18" applyNumberFormat="1" applyFont="1" applyBorder="1" applyAlignment="1"/>
    <xf numFmtId="0" fontId="34" fillId="0" borderId="56" xfId="18" applyNumberFormat="1" applyBorder="1" applyAlignment="1"/>
    <xf numFmtId="6" fontId="34" fillId="0" borderId="0" xfId="13" applyNumberFormat="1" applyBorder="1" applyAlignment="1"/>
    <xf numFmtId="0" fontId="34" fillId="0" borderId="36" xfId="18" applyNumberFormat="1" applyFont="1" applyBorder="1" applyAlignment="1"/>
    <xf numFmtId="37" fontId="34" fillId="0" borderId="39" xfId="18" applyNumberFormat="1" applyBorder="1" applyAlignment="1"/>
    <xf numFmtId="0" fontId="14" fillId="0" borderId="24" xfId="18" applyNumberFormat="1" applyFont="1" applyBorder="1" applyAlignment="1"/>
    <xf numFmtId="38" fontId="14" fillId="0" borderId="32" xfId="15" applyNumberFormat="1" applyFont="1" applyBorder="1" applyProtection="1"/>
    <xf numFmtId="38" fontId="34" fillId="0" borderId="0" xfId="15" applyNumberFormat="1" applyFont="1" applyFill="1" applyBorder="1" applyAlignment="1" applyProtection="1">
      <alignment horizontal="right"/>
    </xf>
    <xf numFmtId="37" fontId="14" fillId="0" borderId="24" xfId="15" applyFont="1" applyBorder="1" applyAlignment="1">
      <alignment horizontal="left"/>
    </xf>
    <xf numFmtId="37" fontId="14" fillId="0" borderId="0" xfId="15" applyFont="1" applyBorder="1"/>
    <xf numFmtId="38" fontId="34" fillId="0" borderId="0" xfId="13" applyNumberFormat="1" applyBorder="1" applyAlignment="1"/>
    <xf numFmtId="38" fontId="34" fillId="0" borderId="32" xfId="13" applyNumberFormat="1" applyBorder="1" applyAlignment="1"/>
    <xf numFmtId="37" fontId="34" fillId="0" borderId="43" xfId="15" applyFont="1" applyBorder="1" applyAlignment="1">
      <alignment horizontal="left"/>
    </xf>
    <xf numFmtId="3" fontId="34" fillId="0" borderId="137" xfId="15" applyNumberFormat="1" applyFont="1" applyBorder="1"/>
    <xf numFmtId="37" fontId="50" fillId="0" borderId="24" xfId="15" applyFont="1" applyBorder="1" applyAlignment="1">
      <alignment horizontal="left"/>
    </xf>
    <xf numFmtId="37" fontId="14" fillId="0" borderId="80" xfId="15" applyFont="1" applyBorder="1"/>
    <xf numFmtId="37" fontId="14" fillId="0" borderId="17" xfId="15" applyFont="1" applyBorder="1" applyAlignment="1">
      <alignment horizontal="left"/>
    </xf>
    <xf numFmtId="37" fontId="34" fillId="0" borderId="29" xfId="15" applyFont="1" applyBorder="1"/>
    <xf numFmtId="0" fontId="34" fillId="0" borderId="18" xfId="18" applyNumberFormat="1" applyBorder="1" applyAlignment="1"/>
    <xf numFmtId="3" fontId="34" fillId="15" borderId="103" xfId="13" applyFill="1" applyBorder="1" applyAlignment="1"/>
    <xf numFmtId="37" fontId="34" fillId="15" borderId="103" xfId="15" applyFont="1" applyFill="1" applyBorder="1"/>
    <xf numFmtId="3" fontId="79" fillId="15" borderId="0" xfId="13" applyFont="1" applyFill="1" applyAlignment="1"/>
    <xf numFmtId="3" fontId="34" fillId="15" borderId="0" xfId="13" applyFill="1" applyAlignment="1"/>
    <xf numFmtId="37" fontId="34" fillId="15" borderId="0" xfId="15" applyFont="1" applyFill="1"/>
    <xf numFmtId="38" fontId="34" fillId="15" borderId="0" xfId="3" applyNumberFormat="1" applyFont="1" applyFill="1"/>
    <xf numFmtId="38" fontId="34" fillId="15" borderId="0" xfId="13" applyNumberFormat="1" applyFill="1" applyAlignment="1"/>
    <xf numFmtId="37" fontId="34" fillId="15" borderId="104" xfId="15" applyFont="1" applyFill="1" applyBorder="1"/>
    <xf numFmtId="3" fontId="34" fillId="15" borderId="104" xfId="13" applyFill="1" applyBorder="1" applyAlignment="1"/>
    <xf numFmtId="3" fontId="79" fillId="15" borderId="0" xfId="13" quotePrefix="1" applyFont="1" applyFill="1" applyAlignment="1">
      <alignment horizontal="left"/>
    </xf>
    <xf numFmtId="10" fontId="34" fillId="15" borderId="0" xfId="13" applyNumberFormat="1" applyFill="1" applyAlignment="1"/>
    <xf numFmtId="3" fontId="34" fillId="15" borderId="0" xfId="13" quotePrefix="1" applyFill="1" applyAlignment="1">
      <alignment horizontal="left"/>
    </xf>
    <xf numFmtId="37" fontId="34" fillId="15" borderId="0" xfId="15" quotePrefix="1" applyFont="1" applyFill="1" applyBorder="1" applyAlignment="1">
      <alignment horizontal="right"/>
    </xf>
    <xf numFmtId="37" fontId="34" fillId="15" borderId="0" xfId="13" applyNumberFormat="1" applyFill="1" applyAlignment="1"/>
    <xf numFmtId="196" fontId="34" fillId="15" borderId="0" xfId="13" applyNumberFormat="1" applyFill="1" applyAlignment="1"/>
    <xf numFmtId="3" fontId="34" fillId="15" borderId="0" xfId="13" applyFill="1" applyAlignment="1">
      <alignment horizontal="left"/>
    </xf>
    <xf numFmtId="37" fontId="34" fillId="0" borderId="0" xfId="15" applyFont="1" applyFill="1" applyBorder="1"/>
    <xf numFmtId="37" fontId="83" fillId="0" borderId="0" xfId="15" applyFont="1" applyAlignment="1">
      <alignment horizontal="left"/>
    </xf>
    <xf numFmtId="37" fontId="60" fillId="0" borderId="0" xfId="15" quotePrefix="1" applyFont="1" applyAlignment="1">
      <alignment horizontal="left"/>
    </xf>
    <xf numFmtId="37" fontId="34" fillId="0" borderId="113" xfId="15" applyFont="1" applyBorder="1"/>
    <xf numFmtId="37" fontId="83" fillId="0" borderId="0" xfId="15" applyFont="1"/>
    <xf numFmtId="37" fontId="34" fillId="0" borderId="138" xfId="15" applyFont="1" applyBorder="1"/>
    <xf numFmtId="37" fontId="34" fillId="0" borderId="139" xfId="15" applyFont="1" applyBorder="1"/>
    <xf numFmtId="14" fontId="34" fillId="0" borderId="0" xfId="18" applyNumberFormat="1" applyAlignment="1"/>
    <xf numFmtId="37" fontId="82" fillId="0" borderId="0" xfId="15" applyFont="1"/>
    <xf numFmtId="37" fontId="34" fillId="0" borderId="112" xfId="15" applyFont="1" applyBorder="1"/>
    <xf numFmtId="37" fontId="34" fillId="0" borderId="130" xfId="15" applyFont="1" applyFill="1" applyBorder="1" applyAlignment="1">
      <alignment horizontal="center"/>
    </xf>
    <xf numFmtId="37" fontId="34" fillId="0" borderId="131" xfId="15" applyFont="1" applyFill="1" applyBorder="1" applyAlignment="1">
      <alignment horizontal="center"/>
    </xf>
    <xf numFmtId="178" fontId="78" fillId="0" borderId="0" xfId="15" applyNumberFormat="1" applyFont="1" applyProtection="1">
      <protection locked="0"/>
    </xf>
    <xf numFmtId="178" fontId="34" fillId="0" borderId="0" xfId="15" applyNumberFormat="1" applyFont="1" applyProtection="1"/>
    <xf numFmtId="10" fontId="34" fillId="0" borderId="109" xfId="15" applyNumberFormat="1" applyFont="1" applyBorder="1" applyProtection="1"/>
    <xf numFmtId="167" fontId="78" fillId="0" borderId="0" xfId="15" applyNumberFormat="1" applyFont="1" applyProtection="1">
      <protection locked="0"/>
    </xf>
    <xf numFmtId="7" fontId="34" fillId="0" borderId="138" xfId="15" applyNumberFormat="1" applyFont="1" applyBorder="1" applyProtection="1"/>
    <xf numFmtId="0" fontId="51" fillId="0" borderId="0" xfId="18" applyNumberFormat="1" applyFont="1" applyAlignment="1">
      <alignment horizontal="left"/>
    </xf>
    <xf numFmtId="3" fontId="38" fillId="0" borderId="0" xfId="3" applyNumberFormat="1" applyFont="1" applyFill="1"/>
    <xf numFmtId="4" fontId="34" fillId="0" borderId="0" xfId="15" applyNumberFormat="1" applyFont="1" applyProtection="1"/>
    <xf numFmtId="3" fontId="0" fillId="0" borderId="56" xfId="0" applyNumberFormat="1" applyFill="1" applyBorder="1" applyAlignment="1">
      <alignment horizontal="center"/>
    </xf>
    <xf numFmtId="0" fontId="0" fillId="0" borderId="105" xfId="0"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xf numFmtId="0" fontId="0" fillId="0" borderId="25"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2" fillId="0" borderId="41" xfId="0" applyFont="1" applyBorder="1" applyAlignment="1">
      <alignment horizontal="center"/>
    </xf>
    <xf numFmtId="0" fontId="2" fillId="0" borderId="105" xfId="0" applyFont="1" applyBorder="1" applyAlignment="1">
      <alignment horizontal="center"/>
    </xf>
    <xf numFmtId="0" fontId="0" fillId="0" borderId="41" xfId="0" applyBorder="1" applyAlignment="1">
      <alignment horizontal="center"/>
    </xf>
    <xf numFmtId="41" fontId="0" fillId="0" borderId="56" xfId="0" applyNumberFormat="1" applyBorder="1" applyAlignment="1">
      <alignment horizontal="center"/>
    </xf>
    <xf numFmtId="41" fontId="0" fillId="0" borderId="57" xfId="0" applyNumberForma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0" fillId="0" borderId="57" xfId="0" applyBorder="1" applyAlignment="1">
      <alignment horizontal="center"/>
    </xf>
    <xf numFmtId="0" fontId="1" fillId="0" borderId="42" xfId="0" applyFont="1" applyBorder="1" applyAlignment="1">
      <alignment horizontal="center"/>
    </xf>
    <xf numFmtId="0" fontId="1" fillId="0" borderId="21" xfId="0" applyFont="1" applyBorder="1" applyAlignment="1">
      <alignment horizontal="center"/>
    </xf>
    <xf numFmtId="0" fontId="1" fillId="0" borderId="19" xfId="0" applyFont="1" applyBorder="1" applyAlignment="1">
      <alignment horizontal="center"/>
    </xf>
    <xf numFmtId="0" fontId="0" fillId="0" borderId="21" xfId="0" applyBorder="1" applyAlignment="1">
      <alignment horizontal="center"/>
    </xf>
    <xf numFmtId="41" fontId="0" fillId="0" borderId="61" xfId="0" applyNumberFormat="1" applyBorder="1" applyAlignment="1">
      <alignment horizontal="center"/>
    </xf>
    <xf numFmtId="1" fontId="2" fillId="4" borderId="25" xfId="0" applyNumberFormat="1" applyFont="1" applyFill="1" applyBorder="1" applyAlignment="1">
      <alignment horizontal="center"/>
    </xf>
    <xf numFmtId="0" fontId="2" fillId="0" borderId="56" xfId="0" applyFont="1" applyBorder="1" applyAlignment="1">
      <alignment horizontal="center"/>
    </xf>
    <xf numFmtId="0" fontId="2" fillId="0" borderId="57" xfId="0" applyFont="1" applyBorder="1" applyAlignment="1">
      <alignment horizontal="center"/>
    </xf>
    <xf numFmtId="0" fontId="1" fillId="0" borderId="25" xfId="0" applyFont="1" applyBorder="1" applyAlignment="1">
      <alignment horizontal="center"/>
    </xf>
    <xf numFmtId="0" fontId="0" fillId="0" borderId="0" xfId="0" applyBorder="1" applyAlignment="1"/>
    <xf numFmtId="41" fontId="0" fillId="0" borderId="0" xfId="0" applyNumberFormat="1" applyBorder="1" applyAlignment="1"/>
    <xf numFmtId="0" fontId="2" fillId="0" borderId="24" xfId="0" applyFont="1" applyBorder="1" applyAlignment="1"/>
    <xf numFmtId="0" fontId="2" fillId="0" borderId="32" xfId="0" applyFont="1" applyBorder="1" applyAlignment="1"/>
    <xf numFmtId="0" fontId="2" fillId="0" borderId="0" xfId="0" applyFont="1" applyBorder="1" applyAlignment="1"/>
    <xf numFmtId="0" fontId="2" fillId="0" borderId="44" xfId="0" applyFont="1" applyBorder="1" applyAlignment="1"/>
    <xf numFmtId="0" fontId="2" fillId="0" borderId="50" xfId="0" applyFont="1" applyBorder="1" applyAlignment="1"/>
    <xf numFmtId="0" fontId="2" fillId="0" borderId="0" xfId="0" applyFont="1" applyAlignment="1"/>
    <xf numFmtId="41" fontId="0" fillId="0" borderId="24" xfId="0" applyNumberFormat="1" applyBorder="1" applyAlignment="1"/>
    <xf numFmtId="0" fontId="2" fillId="0" borderId="46" xfId="0" applyFont="1" applyBorder="1" applyAlignment="1"/>
    <xf numFmtId="194" fontId="2" fillId="0" borderId="49" xfId="0" applyNumberFormat="1" applyFont="1" applyBorder="1" applyAlignment="1"/>
    <xf numFmtId="0" fontId="2" fillId="0" borderId="45" xfId="0" applyFont="1" applyBorder="1" applyAlignment="1"/>
    <xf numFmtId="0" fontId="2" fillId="0" borderId="70" xfId="0" applyFont="1" applyBorder="1" applyAlignment="1"/>
    <xf numFmtId="0" fontId="2" fillId="0" borderId="29" xfId="0" applyFont="1" applyBorder="1" applyAlignment="1"/>
    <xf numFmtId="0" fontId="2" fillId="0" borderId="69" xfId="0" applyFont="1" applyBorder="1" applyAlignment="1"/>
    <xf numFmtId="3" fontId="2" fillId="0" borderId="45" xfId="0" applyNumberFormat="1" applyFont="1" applyBorder="1" applyAlignment="1"/>
    <xf numFmtId="3" fontId="2" fillId="0" borderId="29" xfId="0" applyNumberFormat="1" applyFont="1" applyBorder="1" applyAlignment="1"/>
    <xf numFmtId="3" fontId="2" fillId="0" borderId="46" xfId="0" applyNumberFormat="1" applyFont="1" applyBorder="1" applyAlignment="1"/>
    <xf numFmtId="3" fontId="2" fillId="0" borderId="59" xfId="0" applyNumberFormat="1" applyFont="1" applyBorder="1" applyAlignment="1"/>
    <xf numFmtId="3" fontId="2" fillId="0" borderId="58" xfId="0" applyNumberFormat="1" applyFont="1" applyBorder="1" applyAlignment="1"/>
    <xf numFmtId="3" fontId="2" fillId="0" borderId="6" xfId="0" applyNumberFormat="1" applyFont="1" applyBorder="1" applyAlignment="1"/>
    <xf numFmtId="0" fontId="2" fillId="0" borderId="40" xfId="0" applyFont="1" applyBorder="1" applyAlignment="1">
      <alignment horizontal="left" indent="3"/>
    </xf>
    <xf numFmtId="0" fontId="0" fillId="0" borderId="20" xfId="0" applyBorder="1" applyAlignment="1">
      <alignment horizontal="left" indent="4"/>
    </xf>
    <xf numFmtId="0" fontId="0" fillId="0" borderId="24" xfId="0" applyBorder="1" applyAlignment="1">
      <alignment horizontal="left" indent="1"/>
    </xf>
    <xf numFmtId="0" fontId="0" fillId="0" borderId="55" xfId="0" applyBorder="1" applyAlignment="1">
      <alignment horizontal="left" indent="4"/>
    </xf>
    <xf numFmtId="0" fontId="21" fillId="0" borderId="30" xfId="0" applyFont="1" applyBorder="1" applyAlignment="1">
      <alignment horizontal="left" indent="15"/>
    </xf>
    <xf numFmtId="0" fontId="2" fillId="0" borderId="43" xfId="0" applyFont="1" applyBorder="1" applyAlignment="1">
      <alignment horizontal="left" indent="15"/>
    </xf>
    <xf numFmtId="0" fontId="0" fillId="0" borderId="33" xfId="0" applyBorder="1" applyAlignment="1">
      <alignment horizontal="left" indent="5"/>
    </xf>
    <xf numFmtId="10" fontId="84" fillId="0" borderId="20" xfId="0" applyNumberFormat="1" applyFont="1" applyBorder="1"/>
    <xf numFmtId="10" fontId="84" fillId="0" borderId="24" xfId="0" applyNumberFormat="1" applyFont="1" applyBorder="1"/>
    <xf numFmtId="1" fontId="2" fillId="4" borderId="24" xfId="0" applyNumberFormat="1" applyFont="1" applyFill="1" applyBorder="1" applyAlignment="1">
      <alignment horizontal="left"/>
    </xf>
    <xf numFmtId="0" fontId="1" fillId="0" borderId="20" xfId="0" applyFont="1" applyBorder="1" applyAlignment="1">
      <alignment horizontal="left" indent="2"/>
    </xf>
    <xf numFmtId="0" fontId="1" fillId="0" borderId="24" xfId="0" applyFont="1" applyBorder="1" applyAlignment="1">
      <alignment horizontal="left" indent="2"/>
    </xf>
    <xf numFmtId="0" fontId="1" fillId="0" borderId="24" xfId="0" applyFont="1" applyBorder="1" applyAlignment="1">
      <alignment horizontal="left" indent="3"/>
    </xf>
    <xf numFmtId="0" fontId="1" fillId="0" borderId="24" xfId="0" applyFont="1" applyBorder="1" applyAlignment="1">
      <alignment horizontal="left" indent="4"/>
    </xf>
    <xf numFmtId="0" fontId="1" fillId="0" borderId="43" xfId="0" applyFont="1" applyBorder="1" applyAlignment="1">
      <alignment horizontal="left" indent="3"/>
    </xf>
    <xf numFmtId="0" fontId="1" fillId="0" borderId="43" xfId="0" applyFont="1" applyBorder="1" applyAlignment="1">
      <alignment horizontal="left" indent="4"/>
    </xf>
    <xf numFmtId="1" fontId="21" fillId="16" borderId="2" xfId="0" applyNumberFormat="1" applyFont="1" applyFill="1" applyBorder="1" applyProtection="1"/>
    <xf numFmtId="1" fontId="1" fillId="16" borderId="2" xfId="0" applyNumberFormat="1" applyFont="1" applyFill="1" applyBorder="1" applyProtection="1"/>
    <xf numFmtId="0" fontId="1" fillId="5" borderId="9" xfId="0" applyFont="1" applyFill="1" applyBorder="1" applyAlignment="1">
      <alignment horizontal="center"/>
    </xf>
    <xf numFmtId="0" fontId="85" fillId="0" borderId="46" xfId="0" applyFont="1" applyBorder="1" applyAlignment="1"/>
    <xf numFmtId="0" fontId="21" fillId="0" borderId="30" xfId="0" applyFont="1" applyBorder="1" applyAlignment="1">
      <alignment horizontal="left" indent="13"/>
    </xf>
    <xf numFmtId="0" fontId="0" fillId="0" borderId="41" xfId="0" applyBorder="1" applyAlignment="1">
      <alignment horizontal="left" indent="5"/>
    </xf>
    <xf numFmtId="0" fontId="0" fillId="0" borderId="71" xfId="0" applyBorder="1" applyAlignment="1">
      <alignment horizontal="left" indent="5"/>
    </xf>
    <xf numFmtId="0" fontId="0" fillId="0" borderId="71" xfId="0" applyBorder="1" applyAlignment="1">
      <alignment horizontal="left" indent="10"/>
    </xf>
    <xf numFmtId="41" fontId="0" fillId="0" borderId="33" xfId="0" applyNumberFormat="1" applyBorder="1" applyAlignment="1">
      <alignment horizontal="left" indent="7"/>
    </xf>
    <xf numFmtId="41" fontId="0" fillId="0" borderId="55" xfId="0" applyNumberFormat="1" applyBorder="1" applyAlignment="1">
      <alignment horizontal="left" indent="5"/>
    </xf>
    <xf numFmtId="0" fontId="2" fillId="0" borderId="140" xfId="0" applyFont="1" applyBorder="1" applyAlignment="1">
      <alignment horizontal="center"/>
    </xf>
    <xf numFmtId="0" fontId="2" fillId="0" borderId="141" xfId="0" applyFont="1" applyBorder="1" applyAlignment="1">
      <alignment horizontal="center"/>
    </xf>
    <xf numFmtId="0" fontId="2" fillId="0" borderId="142" xfId="0" applyFont="1" applyBorder="1" applyAlignment="1"/>
    <xf numFmtId="43" fontId="0" fillId="0" borderId="143" xfId="0" quotePrefix="1" applyNumberFormat="1" applyBorder="1"/>
    <xf numFmtId="43" fontId="0" fillId="0" borderId="144" xfId="0" quotePrefix="1" applyNumberFormat="1" applyBorder="1"/>
    <xf numFmtId="0" fontId="21" fillId="0" borderId="31" xfId="0" applyFont="1" applyBorder="1" applyAlignment="1">
      <alignment horizontal="left" indent="13"/>
    </xf>
    <xf numFmtId="41" fontId="21" fillId="0" borderId="30" xfId="0" applyNumberFormat="1" applyFont="1" applyBorder="1" applyAlignment="1">
      <alignment horizontal="left" indent="9"/>
    </xf>
    <xf numFmtId="0" fontId="64" fillId="0" borderId="145" xfId="16" applyFont="1" applyBorder="1"/>
    <xf numFmtId="0" fontId="65" fillId="0" borderId="146" xfId="16" applyFont="1" applyBorder="1"/>
    <xf numFmtId="0" fontId="65" fillId="0" borderId="146" xfId="16" applyFont="1" applyBorder="1" applyAlignment="1">
      <alignment horizontal="center"/>
    </xf>
    <xf numFmtId="0" fontId="65" fillId="0" borderId="38" xfId="16" applyFont="1" applyBorder="1" applyAlignment="1">
      <alignment horizontal="center"/>
    </xf>
    <xf numFmtId="0" fontId="65" fillId="0" borderId="38" xfId="16" applyFont="1" applyBorder="1"/>
    <xf numFmtId="0" fontId="66" fillId="0" borderId="38" xfId="16" applyFont="1" applyBorder="1" applyAlignment="1">
      <alignment horizontal="center"/>
    </xf>
    <xf numFmtId="0" fontId="66" fillId="0" borderId="39" xfId="16" applyFont="1" applyBorder="1" applyAlignment="1">
      <alignment horizontal="center"/>
    </xf>
    <xf numFmtId="0" fontId="63" fillId="0" borderId="44" xfId="16" applyFont="1" applyBorder="1"/>
    <xf numFmtId="0" fontId="65" fillId="0" borderId="0" xfId="16" applyFont="1" applyBorder="1"/>
    <xf numFmtId="0" fontId="63" fillId="0" borderId="0" xfId="16" applyFont="1" applyBorder="1"/>
    <xf numFmtId="0" fontId="65" fillId="0" borderId="0" xfId="16" applyFont="1" applyBorder="1" applyAlignment="1">
      <alignment horizontal="center"/>
    </xf>
    <xf numFmtId="0" fontId="67" fillId="0" borderId="0" xfId="16" applyFont="1" applyBorder="1" applyAlignment="1">
      <alignment horizontal="center"/>
    </xf>
    <xf numFmtId="0" fontId="68" fillId="0" borderId="0" xfId="16" applyFont="1" applyBorder="1" applyAlignment="1">
      <alignment horizontal="center"/>
    </xf>
    <xf numFmtId="9" fontId="69" fillId="0" borderId="0" xfId="19" applyFont="1" applyBorder="1" applyAlignment="1">
      <alignment horizontal="center"/>
    </xf>
    <xf numFmtId="9" fontId="69" fillId="0" borderId="32" xfId="19" applyFont="1" applyBorder="1" applyAlignment="1">
      <alignment horizontal="center"/>
    </xf>
    <xf numFmtId="0" fontId="66" fillId="0" borderId="0" xfId="16" applyFont="1" applyBorder="1"/>
    <xf numFmtId="0" fontId="68" fillId="0" borderId="0" xfId="16" applyFont="1" applyBorder="1" applyAlignment="1">
      <alignment horizontal="right"/>
    </xf>
    <xf numFmtId="6" fontId="68" fillId="0" borderId="0" xfId="16" applyNumberFormat="1" applyFont="1" applyBorder="1"/>
    <xf numFmtId="6" fontId="68" fillId="13" borderId="0" xfId="16" applyNumberFormat="1" applyFont="1" applyFill="1" applyBorder="1"/>
    <xf numFmtId="0" fontId="70" fillId="0" borderId="32" xfId="16" applyFont="1" applyBorder="1"/>
    <xf numFmtId="0" fontId="70" fillId="0" borderId="0" xfId="16" applyFont="1" applyBorder="1" applyAlignment="1">
      <alignment horizontal="right"/>
    </xf>
    <xf numFmtId="6" fontId="70" fillId="0" borderId="32" xfId="5" applyNumberFormat="1" applyFont="1" applyBorder="1"/>
    <xf numFmtId="6" fontId="66" fillId="0" borderId="32" xfId="16" applyNumberFormat="1" applyFont="1" applyBorder="1"/>
    <xf numFmtId="5" fontId="70" fillId="0" borderId="0" xfId="16" applyNumberFormat="1" applyFont="1" applyBorder="1"/>
    <xf numFmtId="3" fontId="65" fillId="0" borderId="32" xfId="16" applyNumberFormat="1" applyFont="1" applyBorder="1" applyAlignment="1">
      <alignment horizontal="right"/>
    </xf>
    <xf numFmtId="14" fontId="70" fillId="0" borderId="32" xfId="16" applyNumberFormat="1" applyFont="1" applyBorder="1"/>
    <xf numFmtId="183" fontId="70" fillId="0" borderId="0" xfId="16" applyNumberFormat="1" applyFont="1" applyBorder="1"/>
    <xf numFmtId="5" fontId="63" fillId="0" borderId="0" xfId="16" applyNumberFormat="1" applyFont="1" applyBorder="1"/>
    <xf numFmtId="0" fontId="63" fillId="0" borderId="71" xfId="16" applyFont="1" applyBorder="1"/>
    <xf numFmtId="183" fontId="70" fillId="0" borderId="43" xfId="16" applyNumberFormat="1" applyFont="1" applyBorder="1"/>
    <xf numFmtId="0" fontId="70" fillId="0" borderId="71" xfId="16" applyFont="1" applyBorder="1"/>
    <xf numFmtId="5" fontId="70" fillId="0" borderId="147" xfId="16" applyNumberFormat="1" applyFont="1" applyBorder="1"/>
    <xf numFmtId="5" fontId="70" fillId="0" borderId="51" xfId="16" applyNumberFormat="1" applyFont="1" applyBorder="1"/>
    <xf numFmtId="5" fontId="70" fillId="0" borderId="42" xfId="16" applyNumberFormat="1" applyFont="1" applyBorder="1"/>
    <xf numFmtId="0" fontId="63" fillId="0" borderId="41" xfId="16" applyFont="1" applyBorder="1"/>
    <xf numFmtId="183" fontId="70" fillId="0" borderId="148" xfId="16" applyNumberFormat="1" applyFont="1" applyBorder="1"/>
    <xf numFmtId="0" fontId="70" fillId="0" borderId="41" xfId="16" applyFont="1" applyBorder="1"/>
    <xf numFmtId="0" fontId="70" fillId="0" borderId="105" xfId="16" applyFont="1" applyBorder="1"/>
    <xf numFmtId="41" fontId="21" fillId="0" borderId="28" xfId="0" applyNumberFormat="1" applyFont="1" applyBorder="1" applyAlignment="1">
      <alignment horizontal="center"/>
    </xf>
    <xf numFmtId="3" fontId="2" fillId="0" borderId="26" xfId="0" applyNumberFormat="1" applyFont="1" applyBorder="1" applyAlignment="1">
      <alignment horizontal="center"/>
    </xf>
    <xf numFmtId="1" fontId="0" fillId="0" borderId="26" xfId="0" applyNumberFormat="1" applyBorder="1"/>
    <xf numFmtId="37" fontId="34" fillId="13" borderId="0" xfId="15" applyNumberFormat="1" applyFont="1" applyFill="1" applyBorder="1" applyProtection="1"/>
    <xf numFmtId="37" fontId="15" fillId="13" borderId="0" xfId="15" applyNumberFormat="1" applyFont="1" applyFill="1" applyBorder="1" applyProtection="1"/>
    <xf numFmtId="37" fontId="34" fillId="13" borderId="41" xfId="15" applyFont="1" applyFill="1" applyBorder="1"/>
    <xf numFmtId="38" fontId="51" fillId="0" borderId="61" xfId="18" applyNumberFormat="1" applyFont="1" applyBorder="1" applyAlignment="1"/>
    <xf numFmtId="0" fontId="1" fillId="5" borderId="3" xfId="0" applyFont="1" applyFill="1" applyBorder="1" applyAlignment="1">
      <alignment horizontal="left" indent="4"/>
    </xf>
    <xf numFmtId="43" fontId="34" fillId="0" borderId="0" xfId="1" applyFont="1" applyBorder="1"/>
    <xf numFmtId="3" fontId="50" fillId="0" borderId="0" xfId="13" applyFont="1" applyBorder="1" applyAlignment="1"/>
    <xf numFmtId="3" fontId="50" fillId="0" borderId="25" xfId="13" applyFont="1" applyBorder="1" applyAlignment="1"/>
    <xf numFmtId="0" fontId="40" fillId="0" borderId="0" xfId="0" applyFont="1" applyFill="1"/>
    <xf numFmtId="0" fontId="42" fillId="0" borderId="0" xfId="0" applyFont="1" applyFill="1"/>
    <xf numFmtId="0" fontId="41" fillId="0" borderId="0" xfId="0" applyFont="1" applyFill="1" applyBorder="1" applyAlignment="1">
      <alignment horizontal="left" indent="1"/>
    </xf>
    <xf numFmtId="0" fontId="41" fillId="0" borderId="0" xfId="0" applyFont="1" applyFill="1" applyBorder="1"/>
    <xf numFmtId="0" fontId="44" fillId="0" borderId="0" xfId="0" applyFont="1" applyFill="1" applyBorder="1"/>
    <xf numFmtId="0" fontId="1" fillId="0" borderId="0" xfId="0" applyFont="1" applyFill="1" applyBorder="1" applyAlignment="1">
      <alignment horizontal="right"/>
    </xf>
    <xf numFmtId="189" fontId="56" fillId="5" borderId="0" xfId="19" applyNumberFormat="1" applyFont="1" applyFill="1" applyBorder="1" applyAlignment="1">
      <alignment horizontal="right"/>
    </xf>
    <xf numFmtId="189" fontId="56" fillId="5" borderId="25" xfId="19" applyNumberFormat="1" applyFont="1" applyFill="1" applyBorder="1" applyAlignment="1">
      <alignment horizontal="right"/>
    </xf>
    <xf numFmtId="3" fontId="26" fillId="5" borderId="18" xfId="10" applyNumberFormat="1" applyFont="1" applyFill="1" applyBorder="1"/>
    <xf numFmtId="0" fontId="2" fillId="0" borderId="25" xfId="12" applyBorder="1"/>
    <xf numFmtId="182" fontId="34" fillId="0" borderId="25" xfId="13" applyNumberFormat="1" applyBorder="1" applyAlignment="1"/>
    <xf numFmtId="3" fontId="21" fillId="0" borderId="24" xfId="13" applyFont="1" applyBorder="1" applyAlignment="1"/>
    <xf numFmtId="0" fontId="21" fillId="0" borderId="25" xfId="12" applyFont="1" applyBorder="1"/>
    <xf numFmtId="3" fontId="71" fillId="0" borderId="24" xfId="13" applyFont="1" applyBorder="1" applyAlignment="1">
      <alignment horizontal="left"/>
    </xf>
    <xf numFmtId="3" fontId="34" fillId="0" borderId="25" xfId="13" applyBorder="1" applyAlignment="1">
      <alignment horizontal="left"/>
    </xf>
    <xf numFmtId="3" fontId="34" fillId="0" borderId="24" xfId="13" applyBorder="1" applyAlignment="1">
      <alignment horizontal="left"/>
    </xf>
    <xf numFmtId="3" fontId="2" fillId="0" borderId="0" xfId="12" applyNumberFormat="1" applyBorder="1"/>
    <xf numFmtId="3" fontId="34" fillId="0" borderId="24" xfId="13" applyBorder="1" applyAlignment="1">
      <alignment horizontal="right"/>
    </xf>
    <xf numFmtId="3" fontId="34" fillId="0" borderId="57" xfId="13" applyNumberFormat="1" applyBorder="1" applyAlignment="1">
      <alignment horizontal="right"/>
    </xf>
    <xf numFmtId="4" fontId="21" fillId="0" borderId="25" xfId="13" applyNumberFormat="1" applyFont="1" applyBorder="1" applyAlignment="1">
      <alignment horizontal="right"/>
    </xf>
    <xf numFmtId="3" fontId="21" fillId="0" borderId="76" xfId="13" applyNumberFormat="1" applyFont="1" applyBorder="1" applyAlignment="1">
      <alignment horizontal="right"/>
    </xf>
    <xf numFmtId="3" fontId="21" fillId="0" borderId="17" xfId="13" applyFont="1" applyBorder="1" applyAlignment="1"/>
    <xf numFmtId="0" fontId="2" fillId="0" borderId="29" xfId="12" applyBorder="1"/>
    <xf numFmtId="3" fontId="21" fillId="0" borderId="29" xfId="13" applyNumberFormat="1" applyFont="1" applyBorder="1" applyAlignment="1">
      <alignment horizontal="right"/>
    </xf>
    <xf numFmtId="3" fontId="21" fillId="0" borderId="18" xfId="13" applyNumberFormat="1" applyFont="1" applyBorder="1" applyAlignment="1">
      <alignment horizontal="right"/>
    </xf>
    <xf numFmtId="3" fontId="61" fillId="0" borderId="0" xfId="13" applyFont="1" applyAlignment="1"/>
    <xf numFmtId="3" fontId="38" fillId="0" borderId="0" xfId="17" applyNumberFormat="1" applyFont="1" applyFill="1" applyBorder="1"/>
    <xf numFmtId="226" fontId="86" fillId="9" borderId="0" xfId="0" applyNumberFormat="1" applyFont="1" applyFill="1" applyProtection="1"/>
    <xf numFmtId="4" fontId="84" fillId="0" borderId="0" xfId="0" applyNumberFormat="1" applyFont="1"/>
    <xf numFmtId="10" fontId="84" fillId="0" borderId="0" xfId="0" applyNumberFormat="1" applyFont="1"/>
    <xf numFmtId="1" fontId="0" fillId="0" borderId="0" xfId="0" applyNumberFormat="1" applyAlignment="1">
      <alignment horizontal="right"/>
    </xf>
    <xf numFmtId="10" fontId="15" fillId="0" borderId="0" xfId="15" applyNumberFormat="1" applyFont="1" applyProtection="1">
      <protection locked="0"/>
    </xf>
    <xf numFmtId="3" fontId="15" fillId="0" borderId="0" xfId="13" applyFont="1" applyBorder="1" applyAlignment="1"/>
    <xf numFmtId="0" fontId="1" fillId="5" borderId="3" xfId="0" applyFont="1" applyFill="1" applyBorder="1" applyAlignment="1">
      <alignment horizontal="left"/>
    </xf>
    <xf numFmtId="37" fontId="50" fillId="0" borderId="0" xfId="15" applyFont="1" applyAlignment="1">
      <alignment horizontal="left"/>
    </xf>
    <xf numFmtId="37" fontId="50" fillId="0" borderId="0" xfId="15" applyFont="1"/>
    <xf numFmtId="37" fontId="88" fillId="0" borderId="0" xfId="15" applyFont="1" applyBorder="1"/>
    <xf numFmtId="37" fontId="50" fillId="0" borderId="0" xfId="15" applyFont="1" applyBorder="1"/>
    <xf numFmtId="0" fontId="50" fillId="0" borderId="0" xfId="18" applyNumberFormat="1" applyFont="1" applyAlignment="1"/>
    <xf numFmtId="37" fontId="50" fillId="0" borderId="0" xfId="18" applyNumberFormat="1" applyFont="1" applyAlignment="1"/>
    <xf numFmtId="41" fontId="0" fillId="0" borderId="0" xfId="0" applyNumberFormat="1"/>
    <xf numFmtId="4" fontId="0" fillId="0" borderId="0" xfId="0" applyNumberFormat="1" applyBorder="1" applyAlignment="1"/>
    <xf numFmtId="7" fontId="89" fillId="16" borderId="0" xfId="0" applyNumberFormat="1" applyFont="1" applyFill="1" applyBorder="1" applyAlignment="1" applyProtection="1">
      <alignment horizontal="left"/>
    </xf>
    <xf numFmtId="0" fontId="0" fillId="16" borderId="0" xfId="0" applyFill="1"/>
    <xf numFmtId="226" fontId="90" fillId="16" borderId="0" xfId="0" applyNumberFormat="1" applyFont="1" applyFill="1" applyProtection="1"/>
    <xf numFmtId="0" fontId="90" fillId="16" borderId="0" xfId="0" applyFont="1" applyFill="1" applyBorder="1" applyAlignment="1" applyProtection="1">
      <alignment horizontal="right"/>
    </xf>
    <xf numFmtId="0" fontId="85" fillId="16" borderId="0" xfId="0" applyFont="1" applyFill="1"/>
    <xf numFmtId="3" fontId="2" fillId="0" borderId="46" xfId="0" applyNumberFormat="1" applyFont="1" applyBorder="1" applyAlignment="1">
      <alignment horizontal="center"/>
    </xf>
    <xf numFmtId="3" fontId="0" fillId="0" borderId="56" xfId="0" applyNumberFormat="1" applyFill="1" applyBorder="1" applyAlignment="1">
      <alignment horizontal="left" indent="6"/>
    </xf>
    <xf numFmtId="3" fontId="2" fillId="0" borderId="50" xfId="0" applyNumberFormat="1" applyFont="1" applyBorder="1" applyAlignment="1">
      <alignment horizontal="center"/>
    </xf>
    <xf numFmtId="0" fontId="2" fillId="0" borderId="21" xfId="0" applyFont="1" applyBorder="1" applyAlignment="1"/>
    <xf numFmtId="3" fontId="5" fillId="0" borderId="54" xfId="0" applyNumberFormat="1" applyFont="1" applyBorder="1" applyAlignment="1">
      <alignment horizontal="center"/>
    </xf>
    <xf numFmtId="3" fontId="5" fillId="0" borderId="99" xfId="0" applyNumberFormat="1" applyFont="1" applyBorder="1" applyAlignment="1">
      <alignment horizontal="center"/>
    </xf>
    <xf numFmtId="0" fontId="5" fillId="0" borderId="63" xfId="0" applyFont="1" applyBorder="1" applyAlignment="1">
      <alignment horizontal="center"/>
    </xf>
    <xf numFmtId="41" fontId="0" fillId="0" borderId="31" xfId="0" applyNumberFormat="1" applyBorder="1" applyAlignment="1">
      <alignment horizontal="center"/>
    </xf>
    <xf numFmtId="41" fontId="0" fillId="0" borderId="39" xfId="0" applyNumberFormat="1" applyBorder="1" applyAlignment="1"/>
    <xf numFmtId="41" fontId="0" fillId="0" borderId="33" xfId="0" applyNumberFormat="1" applyBorder="1" applyAlignment="1">
      <alignment horizontal="left" indent="15"/>
    </xf>
    <xf numFmtId="3" fontId="2" fillId="0" borderId="66" xfId="0" applyNumberFormat="1" applyFont="1" applyBorder="1" applyAlignment="1">
      <alignment horizontal="center"/>
    </xf>
    <xf numFmtId="41" fontId="0" fillId="0" borderId="20" xfId="0" quotePrefix="1" applyNumberFormat="1" applyBorder="1"/>
    <xf numFmtId="41" fontId="0" fillId="0" borderId="24" xfId="0" quotePrefix="1" applyNumberFormat="1" applyBorder="1"/>
    <xf numFmtId="0" fontId="2" fillId="0" borderId="55" xfId="0" applyFont="1" applyBorder="1" applyAlignment="1">
      <alignment horizontal="left" indent="3"/>
    </xf>
    <xf numFmtId="0" fontId="0" fillId="0" borderId="55" xfId="0" applyBorder="1" applyAlignment="1"/>
    <xf numFmtId="182" fontId="0" fillId="0" borderId="24" xfId="1" applyNumberFormat="1" applyFont="1" applyBorder="1"/>
    <xf numFmtId="3" fontId="77" fillId="0" borderId="0" xfId="13" applyNumberFormat="1" applyFont="1" applyBorder="1" applyAlignment="1">
      <alignment horizontal="right"/>
    </xf>
    <xf numFmtId="0" fontId="0" fillId="0" borderId="0" xfId="0" applyAlignment="1">
      <alignment horizontal="center"/>
    </xf>
    <xf numFmtId="189" fontId="91" fillId="5" borderId="25" xfId="19" applyNumberFormat="1" applyFont="1" applyFill="1" applyBorder="1" applyAlignment="1">
      <alignment horizontal="right"/>
    </xf>
    <xf numFmtId="189" fontId="57" fillId="5" borderId="25" xfId="19" applyNumberFormat="1" applyFont="1" applyFill="1" applyBorder="1" applyAlignment="1">
      <alignment horizontal="right"/>
    </xf>
    <xf numFmtId="38" fontId="34" fillId="0" borderId="49" xfId="3" applyNumberFormat="1" applyFont="1" applyBorder="1"/>
    <xf numFmtId="0" fontId="92" fillId="0" borderId="0" xfId="10" applyFont="1"/>
    <xf numFmtId="0" fontId="53" fillId="0" borderId="0" xfId="10" applyFont="1"/>
    <xf numFmtId="192" fontId="53" fillId="0" borderId="0" xfId="10" applyNumberFormat="1" applyFont="1"/>
    <xf numFmtId="0" fontId="26" fillId="0" borderId="0" xfId="10" applyFont="1"/>
    <xf numFmtId="0" fontId="46" fillId="0" borderId="0" xfId="10" applyFont="1" applyProtection="1">
      <protection locked="0"/>
    </xf>
    <xf numFmtId="0" fontId="57" fillId="0" borderId="0" xfId="10" applyFont="1" applyBorder="1"/>
    <xf numFmtId="0" fontId="53" fillId="0" borderId="0" xfId="10" applyFont="1" applyBorder="1"/>
    <xf numFmtId="0" fontId="26" fillId="0" borderId="20" xfId="10" applyFont="1" applyBorder="1"/>
    <xf numFmtId="0" fontId="53" fillId="0" borderId="21" xfId="10" applyFont="1" applyBorder="1"/>
    <xf numFmtId="0" fontId="53" fillId="0" borderId="19" xfId="10" applyFont="1" applyBorder="1"/>
    <xf numFmtId="0" fontId="53" fillId="0" borderId="21" xfId="10" quotePrefix="1" applyFont="1" applyBorder="1" applyAlignment="1">
      <alignment horizontal="center"/>
    </xf>
    <xf numFmtId="0" fontId="26" fillId="0" borderId="19" xfId="10" applyFont="1" applyBorder="1" applyAlignment="1">
      <alignment horizontal="center"/>
    </xf>
    <xf numFmtId="37" fontId="46" fillId="13" borderId="2" xfId="10" applyNumberFormat="1" applyFont="1" applyFill="1" applyBorder="1" applyProtection="1">
      <protection locked="0"/>
    </xf>
    <xf numFmtId="0" fontId="53" fillId="0" borderId="24" xfId="10" applyFont="1" applyBorder="1"/>
    <xf numFmtId="5" fontId="14" fillId="0" borderId="2" xfId="11" applyNumberFormat="1" applyFont="1" applyFill="1" applyBorder="1"/>
    <xf numFmtId="5" fontId="46" fillId="13" borderId="7" xfId="10" applyNumberFormat="1" applyFont="1" applyFill="1" applyBorder="1"/>
    <xf numFmtId="0" fontId="94" fillId="0" borderId="24" xfId="10" applyFont="1" applyBorder="1"/>
    <xf numFmtId="0" fontId="53" fillId="0" borderId="25" xfId="10" applyFont="1" applyBorder="1"/>
    <xf numFmtId="0" fontId="0" fillId="0" borderId="25" xfId="0" applyBorder="1"/>
    <xf numFmtId="0" fontId="26" fillId="0" borderId="24" xfId="10" applyFont="1" applyBorder="1"/>
    <xf numFmtId="0" fontId="53" fillId="0" borderId="0" xfId="10" applyFont="1" applyBorder="1" applyAlignment="1">
      <alignment horizontal="center"/>
    </xf>
    <xf numFmtId="0" fontId="62" fillId="0" borderId="24" xfId="0" applyFont="1" applyBorder="1"/>
    <xf numFmtId="37" fontId="46" fillId="13" borderId="7" xfId="10" applyNumberFormat="1" applyFont="1" applyFill="1" applyBorder="1" applyProtection="1">
      <protection locked="0"/>
    </xf>
    <xf numFmtId="37" fontId="46" fillId="13" borderId="57" xfId="10" applyNumberFormat="1" applyFont="1" applyFill="1" applyBorder="1" applyProtection="1">
      <protection locked="0"/>
    </xf>
    <xf numFmtId="0" fontId="53" fillId="0" borderId="0" xfId="10" applyFont="1" applyFill="1" applyBorder="1"/>
    <xf numFmtId="10" fontId="53" fillId="0" borderId="0" xfId="10" applyNumberFormat="1" applyFont="1"/>
    <xf numFmtId="37" fontId="53" fillId="0" borderId="0" xfId="10" applyNumberFormat="1" applyFont="1"/>
    <xf numFmtId="0" fontId="53" fillId="0" borderId="17" xfId="10" applyFont="1" applyBorder="1"/>
    <xf numFmtId="0" fontId="53" fillId="0" borderId="29" xfId="10" applyFont="1" applyBorder="1" applyAlignment="1">
      <alignment horizontal="center"/>
    </xf>
    <xf numFmtId="0" fontId="53" fillId="0" borderId="19" xfId="10" applyFont="1" applyBorder="1" applyAlignment="1">
      <alignment horizontal="center"/>
    </xf>
    <xf numFmtId="0" fontId="58" fillId="0" borderId="24" xfId="10" applyFont="1" applyBorder="1"/>
    <xf numFmtId="0" fontId="14" fillId="0" borderId="0" xfId="0" applyFont="1" applyBorder="1" applyAlignment="1">
      <alignment horizontal="center"/>
    </xf>
    <xf numFmtId="0" fontId="53" fillId="0" borderId="29" xfId="10" applyFont="1" applyBorder="1"/>
    <xf numFmtId="0" fontId="93" fillId="0" borderId="21" xfId="10" applyFont="1" applyBorder="1" applyAlignment="1">
      <alignment horizontal="center"/>
    </xf>
    <xf numFmtId="0" fontId="93" fillId="0" borderId="19" xfId="10" applyFont="1" applyBorder="1" applyAlignment="1">
      <alignment horizontal="center"/>
    </xf>
    <xf numFmtId="183" fontId="54" fillId="13" borderId="7" xfId="10" applyNumberFormat="1" applyFont="1" applyFill="1" applyBorder="1" applyAlignment="1" applyProtection="1">
      <alignment horizontal="center"/>
      <protection locked="0"/>
    </xf>
    <xf numFmtId="0" fontId="26" fillId="0" borderId="0" xfId="10" applyFont="1" applyBorder="1"/>
    <xf numFmtId="5" fontId="26" fillId="0" borderId="0" xfId="10" applyNumberFormat="1" applyFont="1" applyBorder="1"/>
    <xf numFmtId="10" fontId="46" fillId="13" borderId="2" xfId="10" applyNumberFormat="1" applyFont="1" applyFill="1" applyBorder="1" applyAlignment="1" applyProtection="1">
      <alignment horizontal="center"/>
      <protection locked="0"/>
    </xf>
    <xf numFmtId="37" fontId="14" fillId="0" borderId="7" xfId="10" applyNumberFormat="1" applyFont="1" applyFill="1" applyBorder="1"/>
    <xf numFmtId="183" fontId="46" fillId="13" borderId="2" xfId="10" applyNumberFormat="1" applyFont="1" applyFill="1" applyBorder="1" applyAlignment="1" applyProtection="1">
      <alignment horizontal="center"/>
      <protection locked="0"/>
    </xf>
    <xf numFmtId="0" fontId="94" fillId="0" borderId="24" xfId="11" applyFont="1" applyBorder="1" applyAlignment="1">
      <alignment horizontal="left"/>
    </xf>
    <xf numFmtId="38" fontId="54" fillId="0" borderId="0" xfId="1" applyNumberFormat="1" applyFont="1" applyFill="1" applyBorder="1"/>
    <xf numFmtId="0" fontId="94" fillId="0" borderId="0" xfId="10" applyFont="1" applyBorder="1"/>
    <xf numFmtId="0" fontId="26" fillId="0" borderId="17" xfId="10" applyFont="1" applyBorder="1"/>
    <xf numFmtId="183" fontId="26" fillId="0" borderId="0" xfId="10" applyNumberFormat="1" applyFont="1" applyBorder="1"/>
    <xf numFmtId="10" fontId="54" fillId="13" borderId="2" xfId="10" applyNumberFormat="1" applyFont="1" applyFill="1" applyBorder="1" applyAlignment="1" applyProtection="1">
      <alignment horizontal="center"/>
      <protection locked="0"/>
    </xf>
    <xf numFmtId="37" fontId="54" fillId="13" borderId="7" xfId="10" applyNumberFormat="1" applyFont="1" applyFill="1" applyBorder="1" applyAlignment="1" applyProtection="1">
      <alignment horizontal="center"/>
      <protection locked="0"/>
    </xf>
    <xf numFmtId="37" fontId="46" fillId="13" borderId="7" xfId="10" applyNumberFormat="1" applyFont="1" applyFill="1" applyBorder="1" applyAlignment="1">
      <alignment horizontal="center"/>
    </xf>
    <xf numFmtId="266" fontId="46" fillId="13" borderId="2" xfId="10" applyNumberFormat="1" applyFont="1" applyFill="1" applyBorder="1" applyAlignment="1" applyProtection="1">
      <alignment horizontal="center"/>
      <protection locked="0"/>
    </xf>
    <xf numFmtId="183" fontId="54" fillId="13" borderId="2" xfId="10" applyNumberFormat="1" applyFont="1" applyFill="1" applyBorder="1" applyProtection="1">
      <protection locked="0"/>
    </xf>
    <xf numFmtId="5" fontId="53" fillId="0" borderId="19" xfId="10" applyNumberFormat="1" applyFont="1" applyBorder="1"/>
    <xf numFmtId="5" fontId="26" fillId="0" borderId="0" xfId="10" applyNumberFormat="1" applyFont="1" applyProtection="1">
      <protection locked="0"/>
    </xf>
    <xf numFmtId="183" fontId="54" fillId="13" borderId="2" xfId="10" applyNumberFormat="1" applyFont="1" applyFill="1" applyBorder="1" applyAlignment="1" applyProtection="1">
      <alignment horizontal="center"/>
      <protection locked="0"/>
    </xf>
    <xf numFmtId="10" fontId="54" fillId="13" borderId="7" xfId="10" applyNumberFormat="1" applyFont="1" applyFill="1" applyBorder="1" applyAlignment="1" applyProtection="1">
      <alignment horizontal="center"/>
      <protection locked="0"/>
    </xf>
    <xf numFmtId="10" fontId="26" fillId="0" borderId="7" xfId="10" applyNumberFormat="1" applyFont="1" applyFill="1" applyBorder="1" applyAlignment="1" applyProtection="1">
      <alignment horizontal="center"/>
      <protection locked="0"/>
    </xf>
    <xf numFmtId="5" fontId="57" fillId="0" borderId="0" xfId="10" applyNumberFormat="1" applyFont="1" applyBorder="1"/>
    <xf numFmtId="0" fontId="53" fillId="0" borderId="0" xfId="10" applyFont="1" applyAlignment="1">
      <alignment horizontal="center"/>
    </xf>
    <xf numFmtId="40" fontId="93" fillId="0" borderId="0" xfId="1" applyNumberFormat="1" applyFont="1" applyFill="1" applyBorder="1"/>
    <xf numFmtId="183" fontId="53" fillId="0" borderId="0" xfId="10" applyNumberFormat="1" applyFont="1" applyBorder="1"/>
    <xf numFmtId="0" fontId="53" fillId="0" borderId="0" xfId="10" applyFont="1" applyAlignment="1">
      <alignment horizontal="right"/>
    </xf>
    <xf numFmtId="8" fontId="53" fillId="0" borderId="0" xfId="10" applyNumberFormat="1" applyFont="1"/>
    <xf numFmtId="5" fontId="53" fillId="0" borderId="0" xfId="10" applyNumberFormat="1" applyFont="1"/>
    <xf numFmtId="0" fontId="14" fillId="0" borderId="0" xfId="0" applyFont="1"/>
    <xf numFmtId="40" fontId="53" fillId="0" borderId="0" xfId="1" applyNumberFormat="1" applyFont="1" applyFill="1" applyBorder="1"/>
    <xf numFmtId="223" fontId="0" fillId="0" borderId="0" xfId="0" applyNumberFormat="1"/>
    <xf numFmtId="0" fontId="62" fillId="0" borderId="0" xfId="0" quotePrefix="1" applyFont="1"/>
    <xf numFmtId="183" fontId="95" fillId="0" borderId="0" xfId="15" applyNumberFormat="1" applyFont="1" applyProtection="1">
      <protection locked="0"/>
    </xf>
    <xf numFmtId="1" fontId="21" fillId="0" borderId="9" xfId="1" applyNumberFormat="1" applyFont="1" applyFill="1" applyBorder="1" applyProtection="1">
      <protection locked="0"/>
    </xf>
    <xf numFmtId="183" fontId="21" fillId="8" borderId="7" xfId="19" applyNumberFormat="1" applyFont="1" applyFill="1" applyBorder="1"/>
    <xf numFmtId="14" fontId="46" fillId="13" borderId="7" xfId="10" applyNumberFormat="1" applyFont="1" applyFill="1" applyBorder="1" applyAlignment="1">
      <alignment horizontal="center"/>
    </xf>
    <xf numFmtId="14" fontId="95" fillId="0" borderId="0" xfId="14" applyNumberFormat="1" applyFont="1"/>
    <xf numFmtId="0" fontId="94" fillId="0" borderId="0" xfId="10" quotePrefix="1" applyFont="1" applyBorder="1" applyAlignment="1">
      <alignment horizontal="right"/>
    </xf>
    <xf numFmtId="8" fontId="53" fillId="0" borderId="0" xfId="1" applyNumberFormat="1" applyFont="1" applyFill="1" applyBorder="1"/>
    <xf numFmtId="8" fontId="26" fillId="0" borderId="0" xfId="1" applyNumberFormat="1" applyFont="1" applyFill="1" applyBorder="1"/>
    <xf numFmtId="0" fontId="15" fillId="0" borderId="24" xfId="0" applyFont="1" applyBorder="1"/>
    <xf numFmtId="0" fontId="15" fillId="0" borderId="25" xfId="0" applyFont="1" applyBorder="1"/>
    <xf numFmtId="10" fontId="68" fillId="0" borderId="108" xfId="16" applyNumberFormat="1" applyFont="1" applyBorder="1"/>
    <xf numFmtId="3" fontId="68" fillId="0" borderId="108" xfId="16" applyNumberFormat="1" applyFont="1" applyBorder="1"/>
    <xf numFmtId="237" fontId="68" fillId="0" borderId="108" xfId="16" applyNumberFormat="1" applyFont="1" applyBorder="1"/>
    <xf numFmtId="37" fontId="68" fillId="0" borderId="108" xfId="16" applyNumberFormat="1" applyFont="1" applyBorder="1"/>
    <xf numFmtId="37" fontId="68" fillId="0" borderId="32" xfId="16" applyNumberFormat="1" applyFont="1" applyFill="1" applyBorder="1"/>
    <xf numFmtId="3" fontId="2" fillId="0" borderId="25" xfId="0" applyNumberFormat="1" applyFont="1" applyBorder="1" applyAlignment="1">
      <alignment horizontal="center"/>
    </xf>
    <xf numFmtId="10" fontId="54" fillId="13" borderId="7" xfId="10" applyNumberFormat="1" applyFont="1" applyFill="1" applyBorder="1" applyAlignment="1" applyProtection="1">
      <alignment horizontal="right"/>
      <protection locked="0"/>
    </xf>
    <xf numFmtId="41" fontId="0" fillId="0" borderId="55" xfId="0" applyNumberFormat="1" applyBorder="1" applyAlignment="1">
      <alignment horizontal="left" indent="8"/>
    </xf>
    <xf numFmtId="4" fontId="0" fillId="0" borderId="70" xfId="0" applyNumberFormat="1" applyBorder="1" applyAlignment="1">
      <alignment horizontal="center"/>
    </xf>
    <xf numFmtId="4" fontId="0" fillId="0" borderId="22" xfId="0" applyNumberFormat="1" applyBorder="1" applyAlignment="1">
      <alignment horizontal="center"/>
    </xf>
    <xf numFmtId="6" fontId="95" fillId="0" borderId="2" xfId="4" applyNumberFormat="1" applyFont="1" applyBorder="1"/>
    <xf numFmtId="8" fontId="46" fillId="13" borderId="7" xfId="1" applyNumberFormat="1" applyFont="1" applyFill="1" applyBorder="1" applyAlignment="1">
      <alignment horizontal="center"/>
    </xf>
    <xf numFmtId="37" fontId="54" fillId="13" borderId="7" xfId="11" applyNumberFormat="1" applyFont="1" applyFill="1" applyBorder="1"/>
    <xf numFmtId="37" fontId="14" fillId="0" borderId="7" xfId="11" applyNumberFormat="1" applyFont="1" applyFill="1" applyBorder="1"/>
    <xf numFmtId="5" fontId="54" fillId="13" borderId="7" xfId="11" applyNumberFormat="1" applyFont="1" applyFill="1" applyBorder="1"/>
    <xf numFmtId="0" fontId="14" fillId="0" borderId="25" xfId="0" applyFont="1" applyBorder="1" applyAlignment="1">
      <alignment horizontal="center"/>
    </xf>
    <xf numFmtId="183" fontId="96" fillId="8" borderId="2" xfId="19" applyNumberFormat="1" applyFont="1" applyFill="1" applyBorder="1"/>
    <xf numFmtId="183" fontId="96" fillId="8" borderId="7" xfId="19" applyNumberFormat="1" applyFont="1" applyFill="1" applyBorder="1"/>
    <xf numFmtId="1" fontId="0" fillId="0" borderId="27" xfId="0" applyNumberFormat="1" applyBorder="1"/>
    <xf numFmtId="0" fontId="14" fillId="0" borderId="0" xfId="0" applyFont="1" applyAlignment="1">
      <alignment horizontal="center"/>
    </xf>
    <xf numFmtId="221" fontId="26" fillId="13" borderId="1" xfId="11" applyNumberFormat="1" applyFont="1" applyFill="1" applyBorder="1" applyAlignment="1">
      <alignment horizontal="center"/>
    </xf>
    <xf numFmtId="42" fontId="14" fillId="0" borderId="25" xfId="0" applyNumberFormat="1" applyFont="1" applyBorder="1"/>
    <xf numFmtId="42" fontId="38" fillId="0" borderId="0" xfId="0" applyNumberFormat="1" applyFont="1"/>
    <xf numFmtId="42" fontId="15" fillId="0" borderId="0" xfId="0" applyNumberFormat="1" applyFont="1"/>
    <xf numFmtId="42" fontId="14" fillId="0" borderId="42" xfId="0" applyNumberFormat="1" applyFont="1" applyBorder="1"/>
    <xf numFmtId="42" fontId="14" fillId="0" borderId="0" xfId="0" applyNumberFormat="1" applyFont="1" applyBorder="1"/>
    <xf numFmtId="42" fontId="14" fillId="0" borderId="0" xfId="0" applyNumberFormat="1" applyFont="1"/>
    <xf numFmtId="0" fontId="75" fillId="0" borderId="0" xfId="0" applyFont="1"/>
    <xf numFmtId="0" fontId="15" fillId="0" borderId="0" xfId="0" applyFont="1"/>
    <xf numFmtId="221" fontId="53" fillId="13" borderId="1" xfId="11" applyNumberFormat="1" applyFont="1" applyFill="1" applyBorder="1" applyAlignment="1">
      <alignment horizontal="center"/>
    </xf>
    <xf numFmtId="221" fontId="15" fillId="0" borderId="0" xfId="0" applyNumberFormat="1" applyFont="1"/>
    <xf numFmtId="0" fontId="15" fillId="0" borderId="41" xfId="0" applyFont="1" applyBorder="1"/>
    <xf numFmtId="42" fontId="15" fillId="0" borderId="41" xfId="0" applyNumberFormat="1" applyFont="1" applyBorder="1"/>
    <xf numFmtId="189" fontId="14" fillId="0" borderId="0" xfId="0" applyNumberFormat="1" applyFont="1"/>
    <xf numFmtId="6" fontId="15" fillId="0" borderId="0" xfId="0" applyNumberFormat="1" applyFont="1"/>
    <xf numFmtId="6" fontId="75" fillId="0" borderId="0" xfId="0" applyNumberFormat="1" applyFont="1"/>
    <xf numFmtId="37" fontId="14" fillId="13" borderId="7" xfId="10" applyNumberFormat="1" applyFont="1" applyFill="1" applyBorder="1" applyProtection="1">
      <protection locked="0"/>
    </xf>
    <xf numFmtId="0" fontId="1" fillId="0" borderId="61" xfId="0" applyFont="1" applyBorder="1" applyAlignment="1" applyProtection="1">
      <alignment horizontal="centerContinuous"/>
    </xf>
    <xf numFmtId="3" fontId="0" fillId="0" borderId="0" xfId="0" applyNumberFormat="1" applyAlignment="1"/>
    <xf numFmtId="3" fontId="1" fillId="5" borderId="7" xfId="1" applyNumberFormat="1" applyFont="1" applyFill="1" applyBorder="1" applyProtection="1">
      <protection locked="0"/>
    </xf>
    <xf numFmtId="221" fontId="1" fillId="0" borderId="7" xfId="0" applyNumberFormat="1" applyFont="1" applyFill="1" applyBorder="1" applyAlignment="1" applyProtection="1">
      <alignment horizontal="right"/>
      <protection locked="0"/>
    </xf>
    <xf numFmtId="4" fontId="1" fillId="5" borderId="8" xfId="1" applyNumberFormat="1" applyFont="1" applyFill="1" applyBorder="1" applyProtection="1">
      <protection locked="0"/>
    </xf>
    <xf numFmtId="0" fontId="62" fillId="0" borderId="20" xfId="0" applyFont="1" applyBorder="1"/>
    <xf numFmtId="0" fontId="34" fillId="0" borderId="21" xfId="0" applyFont="1" applyBorder="1"/>
    <xf numFmtId="0" fontId="34" fillId="0" borderId="19" xfId="0" applyFont="1" applyBorder="1"/>
    <xf numFmtId="0" fontId="34" fillId="0" borderId="24" xfId="0" applyFont="1" applyBorder="1"/>
    <xf numFmtId="0" fontId="34" fillId="0" borderId="25" xfId="0" applyFont="1" applyBorder="1"/>
    <xf numFmtId="0" fontId="34" fillId="0" borderId="0" xfId="0" applyFont="1"/>
    <xf numFmtId="37" fontId="54" fillId="13" borderId="2" xfId="10" applyNumberFormat="1" applyFont="1" applyFill="1" applyBorder="1" applyAlignment="1" applyProtection="1">
      <alignment horizontal="center"/>
      <protection locked="0"/>
    </xf>
    <xf numFmtId="0" fontId="34" fillId="0" borderId="0" xfId="0" applyFont="1" applyBorder="1" applyAlignment="1">
      <alignment horizontal="center"/>
    </xf>
    <xf numFmtId="193" fontId="2" fillId="0" borderId="0" xfId="0" applyNumberFormat="1" applyFont="1" applyBorder="1" applyProtection="1"/>
    <xf numFmtId="10" fontId="14" fillId="0" borderId="29" xfId="15" applyNumberFormat="1" applyFont="1" applyBorder="1"/>
    <xf numFmtId="41" fontId="21" fillId="0" borderId="30" xfId="0" applyNumberFormat="1" applyFont="1" applyBorder="1" applyAlignment="1">
      <alignment horizontal="center"/>
    </xf>
    <xf numFmtId="0" fontId="2" fillId="0" borderId="41" xfId="0" applyFont="1" applyFill="1" applyBorder="1" applyAlignment="1">
      <alignment horizontal="center"/>
    </xf>
    <xf numFmtId="0" fontId="2" fillId="0" borderId="38" xfId="0" applyFont="1" applyFill="1" applyBorder="1" applyAlignment="1">
      <alignment horizontal="center"/>
    </xf>
    <xf numFmtId="0" fontId="2" fillId="0" borderId="0" xfId="0" applyFont="1" applyFill="1" applyBorder="1" applyAlignment="1">
      <alignment horizontal="center"/>
    </xf>
    <xf numFmtId="0" fontId="2" fillId="0" borderId="29" xfId="0" applyFont="1" applyFill="1" applyBorder="1" applyAlignment="1"/>
    <xf numFmtId="43" fontId="0" fillId="0" borderId="21" xfId="0" quotePrefix="1" applyNumberFormat="1" applyFill="1" applyBorder="1"/>
    <xf numFmtId="43" fontId="0" fillId="0" borderId="0" xfId="0" quotePrefix="1" applyNumberFormat="1" applyFill="1" applyBorder="1"/>
    <xf numFmtId="0" fontId="0" fillId="17" borderId="0" xfId="0" applyFill="1"/>
    <xf numFmtId="3" fontId="2" fillId="0" borderId="63" xfId="0" applyNumberFormat="1" applyFont="1" applyBorder="1" applyAlignment="1">
      <alignment horizontal="center"/>
    </xf>
    <xf numFmtId="41" fontId="0" fillId="0" borderId="0" xfId="0" applyNumberFormat="1" applyAlignment="1"/>
    <xf numFmtId="41" fontId="21" fillId="0" borderId="14" xfId="0" applyNumberFormat="1" applyFont="1" applyBorder="1" applyAlignment="1">
      <alignment horizontal="left"/>
    </xf>
    <xf numFmtId="0" fontId="21" fillId="0" borderId="0" xfId="0" applyFont="1"/>
    <xf numFmtId="0" fontId="21" fillId="0" borderId="35" xfId="0" applyFont="1" applyBorder="1"/>
    <xf numFmtId="41" fontId="0" fillId="0" borderId="40" xfId="0" applyNumberFormat="1" applyBorder="1" applyAlignment="1"/>
    <xf numFmtId="41" fontId="0" fillId="0" borderId="67" xfId="0" applyNumberFormat="1" applyBorder="1"/>
    <xf numFmtId="0" fontId="1" fillId="0" borderId="30" xfId="0" applyFont="1" applyBorder="1" applyAlignment="1">
      <alignment horizontal="center"/>
    </xf>
    <xf numFmtId="0" fontId="1" fillId="0" borderId="31" xfId="0" applyFont="1" applyBorder="1" applyAlignment="1">
      <alignment horizontal="center"/>
    </xf>
    <xf numFmtId="0" fontId="1" fillId="0" borderId="31" xfId="0" applyFont="1" applyFill="1" applyBorder="1" applyAlignment="1">
      <alignment horizontal="center"/>
    </xf>
    <xf numFmtId="41" fontId="1" fillId="0" borderId="21" xfId="0" applyNumberFormat="1" applyFont="1" applyBorder="1" applyAlignment="1">
      <alignment horizontal="center"/>
    </xf>
    <xf numFmtId="37" fontId="54" fillId="13" borderId="7" xfId="10" applyNumberFormat="1" applyFont="1" applyFill="1" applyBorder="1" applyProtection="1">
      <protection locked="0"/>
    </xf>
    <xf numFmtId="3" fontId="77" fillId="0" borderId="25" xfId="13" applyNumberFormat="1" applyFont="1" applyBorder="1" applyAlignment="1">
      <alignment horizontal="right"/>
    </xf>
    <xf numFmtId="3" fontId="77" fillId="0" borderId="42" xfId="13" applyNumberFormat="1" applyFont="1" applyBorder="1" applyAlignment="1">
      <alignment horizontal="right"/>
    </xf>
    <xf numFmtId="14" fontId="34" fillId="11" borderId="149" xfId="15" applyNumberFormat="1" applyFont="1" applyFill="1" applyBorder="1" applyAlignment="1" applyProtection="1">
      <alignment horizontal="right"/>
    </xf>
    <xf numFmtId="265" fontId="34" fillId="11" borderId="150" xfId="15" applyNumberFormat="1" applyFont="1" applyFill="1" applyBorder="1" applyAlignment="1" applyProtection="1">
      <alignment horizontal="right"/>
    </xf>
    <xf numFmtId="265" fontId="34" fillId="11" borderId="151" xfId="15" applyNumberFormat="1" applyFont="1" applyFill="1" applyBorder="1" applyAlignment="1" applyProtection="1">
      <alignment horizontal="right"/>
    </xf>
    <xf numFmtId="38" fontId="0" fillId="0" borderId="25" xfId="0" applyNumberFormat="1" applyBorder="1" applyAlignment="1"/>
    <xf numFmtId="267" fontId="34" fillId="0" borderId="0" xfId="15" applyNumberFormat="1" applyFont="1" applyAlignment="1" applyProtection="1">
      <alignment horizontal="left"/>
    </xf>
    <xf numFmtId="37" fontId="77" fillId="0" borderId="0" xfId="15" applyNumberFormat="1" applyFont="1" applyProtection="1"/>
    <xf numFmtId="42" fontId="14" fillId="0" borderId="23" xfId="0" applyNumberFormat="1" applyFont="1" applyBorder="1"/>
    <xf numFmtId="44" fontId="15" fillId="0" borderId="0" xfId="0" applyNumberFormat="1" applyFont="1"/>
    <xf numFmtId="0" fontId="15" fillId="0" borderId="0" xfId="0" applyFont="1" applyBorder="1"/>
    <xf numFmtId="42" fontId="15" fillId="0" borderId="0" xfId="0" applyNumberFormat="1" applyFont="1" applyBorder="1"/>
    <xf numFmtId="0" fontId="14" fillId="0" borderId="0" xfId="0" applyFont="1" applyBorder="1"/>
    <xf numFmtId="0" fontId="14" fillId="18" borderId="20" xfId="0" applyFont="1" applyFill="1" applyBorder="1"/>
    <xf numFmtId="0" fontId="15" fillId="18" borderId="19" xfId="0" applyFont="1" applyFill="1" applyBorder="1"/>
    <xf numFmtId="0" fontId="15" fillId="18" borderId="24" xfId="0" applyFont="1" applyFill="1" applyBorder="1"/>
    <xf numFmtId="0" fontId="15" fillId="18" borderId="0" xfId="0" applyFont="1" applyFill="1" applyBorder="1"/>
    <xf numFmtId="0" fontId="15" fillId="18" borderId="17" xfId="0" applyFont="1" applyFill="1" applyBorder="1"/>
    <xf numFmtId="6" fontId="14" fillId="18" borderId="7" xfId="0" applyNumberFormat="1" applyFont="1" applyFill="1" applyBorder="1"/>
    <xf numFmtId="0" fontId="14" fillId="18" borderId="24" xfId="0" applyFont="1" applyFill="1" applyBorder="1"/>
    <xf numFmtId="0" fontId="14" fillId="0" borderId="14" xfId="0" applyFont="1" applyBorder="1"/>
    <xf numFmtId="0" fontId="14" fillId="18" borderId="21" xfId="0" applyFont="1" applyFill="1" applyBorder="1"/>
    <xf numFmtId="0" fontId="14" fillId="18" borderId="0" xfId="0" applyFont="1" applyFill="1" applyBorder="1"/>
    <xf numFmtId="10" fontId="14" fillId="0" borderId="25" xfId="0" applyNumberFormat="1" applyFont="1" applyBorder="1"/>
    <xf numFmtId="6" fontId="34" fillId="0" borderId="38" xfId="18" applyNumberFormat="1" applyBorder="1" applyAlignment="1"/>
    <xf numFmtId="8" fontId="15" fillId="0" borderId="2" xfId="24" applyNumberFormat="1" applyFont="1" applyBorder="1"/>
    <xf numFmtId="8" fontId="38" fillId="0" borderId="2" xfId="24" applyNumberFormat="1" applyBorder="1"/>
    <xf numFmtId="8" fontId="34" fillId="0" borderId="0" xfId="18" applyNumberFormat="1" applyAlignment="1"/>
    <xf numFmtId="8" fontId="38" fillId="0" borderId="0" xfId="3" applyNumberFormat="1" applyFont="1" applyFill="1"/>
    <xf numFmtId="6" fontId="34" fillId="0" borderId="0" xfId="18" applyNumberFormat="1" applyAlignment="1"/>
    <xf numFmtId="6" fontId="34" fillId="0" borderId="0" xfId="18" applyNumberFormat="1" applyBorder="1" applyAlignment="1"/>
    <xf numFmtId="6" fontId="34" fillId="0" borderId="0" xfId="18" applyNumberFormat="1" applyAlignment="1">
      <alignment horizontal="right"/>
    </xf>
    <xf numFmtId="6" fontId="34" fillId="0" borderId="41" xfId="18" applyNumberFormat="1" applyBorder="1" applyAlignment="1">
      <alignment horizontal="right"/>
    </xf>
    <xf numFmtId="6" fontId="34" fillId="0" borderId="38" xfId="3" applyNumberFormat="1" applyFont="1" applyBorder="1"/>
    <xf numFmtId="6" fontId="34" fillId="0" borderId="0" xfId="18" applyNumberFormat="1" applyBorder="1" applyAlignment="1">
      <alignment horizontal="right"/>
    </xf>
    <xf numFmtId="6" fontId="34" fillId="0" borderId="38" xfId="18" applyNumberFormat="1" applyBorder="1" applyAlignment="1">
      <alignment horizontal="right"/>
    </xf>
    <xf numFmtId="6" fontId="38" fillId="0" borderId="0" xfId="3" applyNumberFormat="1" applyFont="1" applyFill="1"/>
    <xf numFmtId="6" fontId="15" fillId="0" borderId="0" xfId="17" applyNumberFormat="1"/>
    <xf numFmtId="6" fontId="15" fillId="0" borderId="0" xfId="17" applyNumberFormat="1" applyBorder="1"/>
    <xf numFmtId="6" fontId="15" fillId="0" borderId="38" xfId="17" applyNumberFormat="1" applyBorder="1"/>
    <xf numFmtId="6" fontId="34" fillId="0" borderId="0" xfId="3" applyNumberFormat="1" applyFont="1"/>
    <xf numFmtId="6" fontId="15" fillId="0" borderId="0" xfId="17" applyNumberFormat="1" applyFont="1" applyBorder="1"/>
    <xf numFmtId="6" fontId="34" fillId="0" borderId="38" xfId="3" applyNumberFormat="1" applyFont="1" applyBorder="1" applyAlignment="1"/>
    <xf numFmtId="6" fontId="38" fillId="0" borderId="38" xfId="3" applyNumberFormat="1" applyFont="1" applyBorder="1"/>
    <xf numFmtId="6" fontId="77" fillId="0" borderId="0" xfId="17" applyNumberFormat="1" applyFont="1" applyBorder="1"/>
    <xf numFmtId="6" fontId="15" fillId="0" borderId="0" xfId="17" applyNumberFormat="1" applyBorder="1" applyAlignment="1">
      <alignment horizontal="right"/>
    </xf>
    <xf numFmtId="6" fontId="38" fillId="0" borderId="38" xfId="3" applyNumberFormat="1" applyFont="1" applyBorder="1" applyAlignment="1"/>
    <xf numFmtId="6" fontId="38" fillId="0" borderId="38" xfId="3" quotePrefix="1" applyNumberFormat="1" applyFont="1" applyBorder="1" applyAlignment="1"/>
    <xf numFmtId="6" fontId="14" fillId="0" borderId="38" xfId="18" applyNumberFormat="1" applyFont="1" applyBorder="1" applyAlignment="1"/>
    <xf numFmtId="6" fontId="14" fillId="0" borderId="0" xfId="0" applyNumberFormat="1" applyFont="1"/>
    <xf numFmtId="0" fontId="59" fillId="0" borderId="0" xfId="0" applyFont="1"/>
    <xf numFmtId="0" fontId="14" fillId="0" borderId="20" xfId="0" applyFont="1" applyBorder="1"/>
    <xf numFmtId="10" fontId="14" fillId="0" borderId="19" xfId="0" applyNumberFormat="1" applyFont="1" applyBorder="1"/>
    <xf numFmtId="0" fontId="14" fillId="0" borderId="17" xfId="0" applyFont="1" applyBorder="1"/>
    <xf numFmtId="6" fontId="14" fillId="0" borderId="18" xfId="0" applyNumberFormat="1" applyFont="1" applyBorder="1"/>
    <xf numFmtId="0" fontId="59" fillId="0" borderId="0" xfId="0" applyFont="1" applyAlignment="1">
      <alignment horizontal="center"/>
    </xf>
    <xf numFmtId="6" fontId="14" fillId="0" borderId="41" xfId="0" applyNumberFormat="1" applyFont="1" applyBorder="1"/>
    <xf numFmtId="0" fontId="94" fillId="18" borderId="24" xfId="10" applyFont="1" applyFill="1" applyBorder="1"/>
    <xf numFmtId="0" fontId="53" fillId="18" borderId="0" xfId="10" applyFont="1" applyFill="1" applyBorder="1"/>
    <xf numFmtId="0" fontId="53" fillId="18" borderId="25" xfId="10" applyFont="1" applyFill="1" applyBorder="1"/>
    <xf numFmtId="0" fontId="15" fillId="18" borderId="25" xfId="0" applyFont="1" applyFill="1" applyBorder="1"/>
    <xf numFmtId="0" fontId="59" fillId="18" borderId="24" xfId="0" applyFont="1" applyFill="1" applyBorder="1"/>
    <xf numFmtId="0" fontId="14" fillId="18" borderId="0" xfId="0" applyFont="1" applyFill="1" applyBorder="1" applyAlignment="1">
      <alignment horizontal="right"/>
    </xf>
    <xf numFmtId="0" fontId="14" fillId="18" borderId="29" xfId="0" applyFont="1" applyFill="1" applyBorder="1" applyAlignment="1">
      <alignment horizontal="right"/>
    </xf>
    <xf numFmtId="6" fontId="14" fillId="18" borderId="8" xfId="0" applyNumberFormat="1" applyFont="1" applyFill="1" applyBorder="1"/>
    <xf numFmtId="0" fontId="0" fillId="18" borderId="0" xfId="0" applyFill="1" applyBorder="1"/>
    <xf numFmtId="0" fontId="0" fillId="0" borderId="0" xfId="0" applyAlignment="1">
      <alignment horizontal="right"/>
    </xf>
    <xf numFmtId="0" fontId="0" fillId="18" borderId="24" xfId="0" applyFill="1" applyBorder="1"/>
    <xf numFmtId="37" fontId="0" fillId="18" borderId="24" xfId="0" applyNumberFormat="1" applyFill="1" applyBorder="1"/>
    <xf numFmtId="0" fontId="0" fillId="18" borderId="25" xfId="0" applyFill="1" applyBorder="1"/>
    <xf numFmtId="6" fontId="14" fillId="18" borderId="25" xfId="0" applyNumberFormat="1" applyFont="1" applyFill="1" applyBorder="1"/>
    <xf numFmtId="186" fontId="0" fillId="0" borderId="0" xfId="0" applyNumberFormat="1" applyAlignment="1">
      <alignment horizontal="center"/>
    </xf>
    <xf numFmtId="264" fontId="0" fillId="0" borderId="0" xfId="0" applyNumberFormat="1" applyAlignment="1">
      <alignment horizontal="center"/>
    </xf>
    <xf numFmtId="8" fontId="0" fillId="0" borderId="0" xfId="0" applyNumberFormat="1" applyAlignment="1">
      <alignment horizontal="center"/>
    </xf>
    <xf numFmtId="39" fontId="0" fillId="0" borderId="0" xfId="0" applyNumberFormat="1"/>
    <xf numFmtId="4" fontId="0" fillId="0" borderId="0" xfId="0" applyNumberFormat="1" applyBorder="1"/>
    <xf numFmtId="10" fontId="4" fillId="0" borderId="0" xfId="0" applyNumberFormat="1" applyFont="1"/>
    <xf numFmtId="1" fontId="4" fillId="0" borderId="0" xfId="0" applyNumberFormat="1" applyFont="1"/>
    <xf numFmtId="0" fontId="97" fillId="0" borderId="0" xfId="0" applyFont="1"/>
    <xf numFmtId="39" fontId="97" fillId="0" borderId="0" xfId="0" applyNumberFormat="1" applyFont="1"/>
    <xf numFmtId="8" fontId="0" fillId="0" borderId="0" xfId="0" applyNumberFormat="1"/>
    <xf numFmtId="0" fontId="1" fillId="0" borderId="152" xfId="0" applyFont="1" applyBorder="1" applyAlignment="1">
      <alignment horizontal="center"/>
    </xf>
    <xf numFmtId="10" fontId="97" fillId="0" borderId="0" xfId="0" applyNumberFormat="1" applyFont="1"/>
    <xf numFmtId="221" fontId="0" fillId="0" borderId="0" xfId="0" applyNumberFormat="1" applyAlignment="1">
      <alignment horizontal="center"/>
    </xf>
    <xf numFmtId="0" fontId="46" fillId="13" borderId="2" xfId="0" applyFont="1" applyFill="1" applyBorder="1" applyAlignment="1">
      <alignment horizontal="center"/>
    </xf>
    <xf numFmtId="41" fontId="0" fillId="0" borderId="0" xfId="0" applyNumberFormat="1" applyBorder="1" applyAlignment="1">
      <alignment horizontal="center"/>
    </xf>
    <xf numFmtId="6" fontId="15" fillId="0" borderId="38" xfId="18" applyNumberFormat="1" applyFont="1" applyBorder="1" applyAlignment="1"/>
    <xf numFmtId="0" fontId="53" fillId="18" borderId="24" xfId="10" applyFont="1" applyFill="1" applyBorder="1"/>
    <xf numFmtId="0" fontId="26" fillId="18" borderId="24" xfId="10" applyFont="1" applyFill="1" applyBorder="1"/>
    <xf numFmtId="295" fontId="26" fillId="18" borderId="7" xfId="10" applyNumberFormat="1" applyFont="1" applyFill="1" applyBorder="1"/>
    <xf numFmtId="0" fontId="26" fillId="18" borderId="0" xfId="10" applyFont="1" applyFill="1" applyBorder="1"/>
    <xf numFmtId="10" fontId="14" fillId="0" borderId="19" xfId="0" applyNumberFormat="1" applyFont="1" applyBorder="1" applyAlignment="1">
      <alignment horizontal="right"/>
    </xf>
    <xf numFmtId="10" fontId="14" fillId="18" borderId="7" xfId="0" applyNumberFormat="1" applyFont="1" applyFill="1" applyBorder="1" applyAlignment="1">
      <alignment horizontal="right"/>
    </xf>
    <xf numFmtId="0" fontId="46" fillId="13" borderId="8" xfId="10" applyFont="1" applyFill="1" applyBorder="1" applyAlignment="1">
      <alignment horizontal="center"/>
    </xf>
    <xf numFmtId="177" fontId="34" fillId="0" borderId="0" xfId="15" applyNumberFormat="1" applyFont="1" applyFill="1" applyBorder="1" applyAlignment="1" applyProtection="1">
      <alignment horizontal="center"/>
    </xf>
    <xf numFmtId="42" fontId="0" fillId="0" borderId="0" xfId="0" applyNumberFormat="1"/>
    <xf numFmtId="10" fontId="14" fillId="18" borderId="16" xfId="0" applyNumberFormat="1" applyFont="1" applyFill="1" applyBorder="1"/>
    <xf numFmtId="6" fontId="14" fillId="18" borderId="12" xfId="0" applyNumberFormat="1" applyFont="1" applyFill="1" applyBorder="1"/>
    <xf numFmtId="8" fontId="77" fillId="0" borderId="0" xfId="3" applyNumberFormat="1" applyFont="1" applyFill="1"/>
    <xf numFmtId="6" fontId="38" fillId="0" borderId="0" xfId="3" applyNumberFormat="1" applyFont="1"/>
    <xf numFmtId="6" fontId="38" fillId="0" borderId="0" xfId="17" applyNumberFormat="1" applyFont="1"/>
    <xf numFmtId="37" fontId="34" fillId="16" borderId="0" xfId="15" applyFont="1" applyFill="1"/>
    <xf numFmtId="37" fontId="34" fillId="16" borderId="0" xfId="15" applyFont="1" applyFill="1" applyBorder="1"/>
    <xf numFmtId="9" fontId="46" fillId="13" borderId="55" xfId="0" applyNumberFormat="1" applyFont="1" applyFill="1" applyBorder="1" applyAlignment="1">
      <alignment horizontal="center"/>
    </xf>
    <xf numFmtId="0" fontId="61" fillId="0" borderId="0" xfId="0" applyFont="1" applyFill="1"/>
    <xf numFmtId="0" fontId="61" fillId="0" borderId="0" xfId="0" applyFont="1"/>
    <xf numFmtId="3" fontId="15" fillId="0" borderId="0" xfId="0" applyNumberFormat="1" applyFont="1"/>
    <xf numFmtId="10" fontId="54" fillId="13" borderId="8" xfId="10" applyNumberFormat="1" applyFont="1" applyFill="1" applyBorder="1" applyAlignment="1" applyProtection="1">
      <alignment horizontal="right"/>
      <protection locked="0"/>
    </xf>
    <xf numFmtId="8" fontId="46" fillId="13" borderId="7" xfId="1" applyNumberFormat="1" applyFont="1" applyFill="1" applyBorder="1" applyAlignment="1">
      <alignment horizontal="right"/>
    </xf>
    <xf numFmtId="8" fontId="46" fillId="13" borderId="7" xfId="10" applyNumberFormat="1" applyFont="1" applyFill="1" applyBorder="1" applyAlignment="1">
      <alignment horizontal="center"/>
    </xf>
    <xf numFmtId="0" fontId="53" fillId="0" borderId="153" xfId="10" applyFont="1" applyBorder="1"/>
    <xf numFmtId="0" fontId="53" fillId="0" borderId="154" xfId="10" applyFont="1" applyBorder="1"/>
    <xf numFmtId="8" fontId="46" fillId="13" borderId="52" xfId="1" applyNumberFormat="1" applyFont="1" applyFill="1" applyBorder="1" applyAlignment="1">
      <alignment horizontal="center"/>
    </xf>
    <xf numFmtId="8" fontId="14" fillId="0" borderId="11" xfId="1" applyNumberFormat="1" applyFont="1" applyFill="1" applyBorder="1" applyAlignment="1">
      <alignment horizontal="center"/>
    </xf>
    <xf numFmtId="183" fontId="26" fillId="0" borderId="2" xfId="10" applyNumberFormat="1" applyFont="1" applyBorder="1" applyAlignment="1">
      <alignment horizontal="center"/>
    </xf>
    <xf numFmtId="37" fontId="14" fillId="0" borderId="7" xfId="10" applyNumberFormat="1" applyFont="1" applyFill="1" applyBorder="1" applyProtection="1">
      <protection locked="0"/>
    </xf>
    <xf numFmtId="37" fontId="14" fillId="0" borderId="52" xfId="10" applyNumberFormat="1" applyFont="1" applyFill="1" applyBorder="1" applyProtection="1">
      <protection locked="0"/>
    </xf>
    <xf numFmtId="9" fontId="46" fillId="13" borderId="2" xfId="0" applyNumberFormat="1" applyFont="1" applyFill="1" applyBorder="1" applyAlignment="1">
      <alignment horizontal="center"/>
    </xf>
    <xf numFmtId="10" fontId="15" fillId="0" borderId="2" xfId="24" applyNumberFormat="1" applyFont="1" applyBorder="1"/>
    <xf numFmtId="0" fontId="46" fillId="13" borderId="7" xfId="10" applyFont="1" applyFill="1" applyBorder="1" applyAlignment="1">
      <alignment horizontal="center"/>
    </xf>
    <xf numFmtId="5" fontId="14" fillId="0" borderId="58" xfId="11" applyNumberFormat="1" applyFont="1" applyFill="1" applyBorder="1" applyAlignment="1">
      <alignment horizontal="center"/>
    </xf>
    <xf numFmtId="5" fontId="26" fillId="0" borderId="11" xfId="10" applyNumberFormat="1" applyFont="1" applyBorder="1"/>
    <xf numFmtId="5" fontId="14" fillId="0" borderId="155" xfId="11" applyNumberFormat="1" applyFont="1" applyFill="1" applyBorder="1" applyAlignment="1">
      <alignment horizontal="center"/>
    </xf>
    <xf numFmtId="5" fontId="57" fillId="0" borderId="11" xfId="10" applyNumberFormat="1" applyFont="1" applyBorder="1"/>
    <xf numFmtId="5" fontId="26" fillId="0" borderId="7" xfId="10" applyNumberFormat="1" applyFont="1" applyBorder="1"/>
    <xf numFmtId="0" fontId="15" fillId="0" borderId="17" xfId="0" applyFont="1" applyBorder="1"/>
    <xf numFmtId="37" fontId="62" fillId="0" borderId="6" xfId="10" applyNumberFormat="1" applyFont="1" applyFill="1" applyBorder="1" applyProtection="1">
      <protection locked="0"/>
    </xf>
    <xf numFmtId="37" fontId="62" fillId="0" borderId="60" xfId="10" applyNumberFormat="1" applyFont="1" applyFill="1" applyBorder="1" applyProtection="1">
      <protection locked="0"/>
    </xf>
    <xf numFmtId="183" fontId="54" fillId="13" borderId="8" xfId="10" applyNumberFormat="1" applyFont="1" applyFill="1" applyBorder="1" applyAlignment="1" applyProtection="1">
      <alignment horizontal="center"/>
      <protection locked="0"/>
    </xf>
    <xf numFmtId="183" fontId="54" fillId="13" borderId="52" xfId="10" applyNumberFormat="1" applyFont="1" applyFill="1" applyBorder="1" applyAlignment="1" applyProtection="1">
      <alignment horizontal="center"/>
      <protection locked="0"/>
    </xf>
    <xf numFmtId="10" fontId="26" fillId="0" borderId="11" xfId="10" applyNumberFormat="1" applyFont="1" applyBorder="1" applyAlignment="1" applyProtection="1">
      <alignment horizontal="center"/>
      <protection locked="0"/>
    </xf>
    <xf numFmtId="0" fontId="0" fillId="0" borderId="47" xfId="0" applyBorder="1"/>
    <xf numFmtId="14" fontId="46" fillId="13" borderId="8" xfId="10" applyNumberFormat="1" applyFont="1" applyFill="1" applyBorder="1" applyAlignment="1">
      <alignment horizontal="center"/>
    </xf>
    <xf numFmtId="0" fontId="75" fillId="0" borderId="24" xfId="0" applyFont="1" applyBorder="1"/>
    <xf numFmtId="37" fontId="54" fillId="13" borderId="52" xfId="11" applyNumberFormat="1" applyFont="1" applyFill="1" applyBorder="1"/>
    <xf numFmtId="0" fontId="21" fillId="9" borderId="0" xfId="0" applyFont="1" applyFill="1"/>
    <xf numFmtId="182" fontId="0" fillId="0" borderId="0" xfId="1" applyNumberFormat="1" applyFont="1" applyBorder="1"/>
    <xf numFmtId="0" fontId="2" fillId="0" borderId="54" xfId="0" applyFont="1" applyBorder="1" applyAlignment="1">
      <alignment horizontal="center"/>
    </xf>
    <xf numFmtId="5" fontId="0" fillId="0" borderId="0" xfId="0" applyNumberFormat="1" applyBorder="1"/>
    <xf numFmtId="37" fontId="53" fillId="0" borderId="0" xfId="10" applyNumberFormat="1" applyFont="1" applyBorder="1" applyAlignment="1">
      <alignment horizontal="center"/>
    </xf>
    <xf numFmtId="0" fontId="14" fillId="0" borderId="47" xfId="0" applyFont="1" applyBorder="1"/>
    <xf numFmtId="0" fontId="14" fillId="0" borderId="25" xfId="0" applyFont="1" applyBorder="1"/>
    <xf numFmtId="2" fontId="0" fillId="0" borderId="72" xfId="0" applyNumberFormat="1" applyBorder="1"/>
    <xf numFmtId="37" fontId="46" fillId="13" borderId="2" xfId="10" applyNumberFormat="1" applyFont="1" applyFill="1" applyBorder="1" applyAlignment="1" applyProtection="1">
      <alignment horizontal="center"/>
      <protection locked="0"/>
    </xf>
    <xf numFmtId="42" fontId="14" fillId="0" borderId="25" xfId="0" applyNumberFormat="1" applyFont="1" applyFill="1" applyBorder="1"/>
    <xf numFmtId="42" fontId="15" fillId="0" borderId="0" xfId="0" applyNumberFormat="1" applyFont="1" applyFill="1" applyBorder="1"/>
    <xf numFmtId="14" fontId="8" fillId="0" borderId="0" xfId="0" applyNumberFormat="1" applyFont="1" applyFill="1" applyBorder="1" applyProtection="1"/>
    <xf numFmtId="43" fontId="10" fillId="0" borderId="0" xfId="0" applyNumberFormat="1" applyFont="1" applyFill="1" applyBorder="1"/>
    <xf numFmtId="0" fontId="10" fillId="0" borderId="0" xfId="0" applyFont="1" applyFill="1" applyBorder="1" applyAlignment="1">
      <alignment horizontal="center"/>
    </xf>
    <xf numFmtId="43" fontId="10" fillId="0" borderId="0" xfId="1" applyFont="1" applyFill="1" applyBorder="1" applyAlignment="1">
      <alignment horizontal="center"/>
    </xf>
    <xf numFmtId="38" fontId="0" fillId="0" borderId="70" xfId="0" applyNumberFormat="1" applyBorder="1" applyAlignment="1"/>
    <xf numFmtId="14" fontId="0" fillId="0" borderId="0" xfId="0" applyNumberFormat="1" applyFill="1" applyBorder="1"/>
    <xf numFmtId="2" fontId="0" fillId="0" borderId="0" xfId="0" applyNumberFormat="1" applyFill="1" applyBorder="1"/>
    <xf numFmtId="237" fontId="34" fillId="0" borderId="0" xfId="18" applyNumberFormat="1" applyAlignment="1"/>
    <xf numFmtId="3" fontId="34" fillId="0" borderId="0" xfId="18" applyNumberFormat="1" applyFont="1" applyBorder="1" applyAlignment="1"/>
    <xf numFmtId="14" fontId="46" fillId="13" borderId="22" xfId="10" applyNumberFormat="1" applyFont="1" applyFill="1" applyBorder="1" applyAlignment="1">
      <alignment horizontal="center"/>
    </xf>
    <xf numFmtId="10" fontId="15" fillId="0" borderId="2" xfId="15" applyNumberFormat="1" applyFont="1" applyFill="1" applyBorder="1" applyProtection="1"/>
    <xf numFmtId="5" fontId="14" fillId="0" borderId="2" xfId="11" applyNumberFormat="1" applyFont="1" applyFill="1" applyBorder="1" applyAlignment="1">
      <alignment horizontal="center"/>
    </xf>
    <xf numFmtId="0" fontId="3" fillId="0" borderId="0" xfId="0" applyFont="1" applyFill="1" applyProtection="1"/>
    <xf numFmtId="43" fontId="10" fillId="0" borderId="0" xfId="1" applyFont="1" applyFill="1" applyBorder="1" applyAlignment="1" applyProtection="1">
      <alignment horizontal="centerContinuous"/>
      <protection locked="0"/>
    </xf>
    <xf numFmtId="0" fontId="10" fillId="0" borderId="0" xfId="0" applyFont="1" applyFill="1" applyBorder="1" applyAlignment="1">
      <alignment horizontal="centerContinuous"/>
    </xf>
    <xf numFmtId="2" fontId="8" fillId="0" borderId="0" xfId="0" applyNumberFormat="1" applyFont="1" applyFill="1" applyBorder="1"/>
    <xf numFmtId="43" fontId="8" fillId="0" borderId="0" xfId="0" applyNumberFormat="1" applyFont="1" applyFill="1" applyBorder="1"/>
    <xf numFmtId="0" fontId="0" fillId="0" borderId="0" xfId="0" applyFill="1" applyProtection="1"/>
    <xf numFmtId="0" fontId="15" fillId="0" borderId="0" xfId="0" applyFont="1" applyFill="1"/>
    <xf numFmtId="42" fontId="38" fillId="0" borderId="0" xfId="0" applyNumberFormat="1" applyFont="1" applyFill="1"/>
    <xf numFmtId="221" fontId="26" fillId="13" borderId="115" xfId="11" applyNumberFormat="1" applyFont="1" applyFill="1" applyBorder="1" applyAlignment="1">
      <alignment horizontal="center"/>
    </xf>
    <xf numFmtId="221" fontId="26" fillId="13" borderId="118" xfId="11" applyNumberFormat="1" applyFont="1" applyFill="1" applyBorder="1" applyAlignment="1">
      <alignment horizontal="center"/>
    </xf>
    <xf numFmtId="42" fontId="14" fillId="0" borderId="41" xfId="0" applyNumberFormat="1" applyFont="1" applyBorder="1"/>
    <xf numFmtId="0" fontId="14" fillId="0" borderId="28" xfId="0" applyFont="1" applyBorder="1" applyAlignment="1">
      <alignment horizontal="center"/>
    </xf>
    <xf numFmtId="0" fontId="0" fillId="0" borderId="26" xfId="0" applyBorder="1"/>
    <xf numFmtId="37" fontId="46" fillId="13" borderId="64" xfId="10" applyNumberFormat="1" applyFont="1" applyFill="1" applyBorder="1" applyProtection="1">
      <protection locked="0"/>
    </xf>
    <xf numFmtId="37" fontId="46" fillId="13" borderId="64" xfId="10" applyNumberFormat="1" applyFont="1" applyFill="1" applyBorder="1"/>
    <xf numFmtId="42" fontId="14" fillId="13" borderId="64" xfId="10" applyNumberFormat="1" applyFont="1" applyFill="1" applyBorder="1"/>
    <xf numFmtId="37" fontId="14" fillId="13" borderId="64" xfId="10" applyNumberFormat="1" applyFont="1" applyFill="1" applyBorder="1" applyProtection="1">
      <protection locked="0"/>
    </xf>
    <xf numFmtId="37" fontId="14" fillId="13" borderId="64" xfId="10" applyNumberFormat="1" applyFont="1" applyFill="1" applyBorder="1"/>
    <xf numFmtId="42" fontId="26" fillId="0" borderId="11" xfId="10" applyNumberFormat="1" applyFont="1" applyBorder="1"/>
    <xf numFmtId="7" fontId="26" fillId="0" borderId="20" xfId="10" applyNumberFormat="1" applyFont="1" applyBorder="1"/>
    <xf numFmtId="7" fontId="53" fillId="0" borderId="21" xfId="10" applyNumberFormat="1" applyFont="1" applyBorder="1"/>
    <xf numFmtId="41" fontId="53" fillId="0" borderId="7" xfId="10" applyNumberFormat="1" applyFont="1" applyBorder="1"/>
    <xf numFmtId="10" fontId="53" fillId="0" borderId="7" xfId="10" applyNumberFormat="1" applyFont="1" applyBorder="1"/>
    <xf numFmtId="8" fontId="53" fillId="0" borderId="7" xfId="10" applyNumberFormat="1" applyFont="1" applyBorder="1"/>
    <xf numFmtId="5" fontId="53" fillId="0" borderId="24" xfId="10" applyNumberFormat="1" applyFont="1" applyBorder="1"/>
    <xf numFmtId="6" fontId="53" fillId="0" borderId="7" xfId="10" applyNumberFormat="1" applyFont="1" applyBorder="1"/>
    <xf numFmtId="37" fontId="53" fillId="0" borderId="52" xfId="10" applyNumberFormat="1" applyFont="1" applyBorder="1"/>
    <xf numFmtId="6" fontId="53" fillId="0" borderId="22" xfId="10" applyNumberFormat="1" applyFont="1" applyBorder="1"/>
    <xf numFmtId="6" fontId="26" fillId="0" borderId="11" xfId="10" applyNumberFormat="1" applyFont="1" applyBorder="1"/>
    <xf numFmtId="8" fontId="46" fillId="13" borderId="8" xfId="10" applyNumberFormat="1" applyFont="1" applyFill="1" applyBorder="1" applyAlignment="1">
      <alignment horizontal="center"/>
    </xf>
    <xf numFmtId="186" fontId="54" fillId="13" borderId="7" xfId="10" applyNumberFormat="1" applyFont="1" applyFill="1" applyBorder="1" applyAlignment="1" applyProtection="1">
      <alignment horizontal="center"/>
      <protection locked="0"/>
    </xf>
    <xf numFmtId="186" fontId="46" fillId="13" borderId="7" xfId="10" applyNumberFormat="1" applyFont="1" applyFill="1" applyBorder="1" applyAlignment="1">
      <alignment horizontal="center"/>
    </xf>
    <xf numFmtId="0" fontId="0" fillId="0" borderId="41" xfId="0" applyBorder="1"/>
    <xf numFmtId="14" fontId="85" fillId="0" borderId="0" xfId="0" applyNumberFormat="1" applyFont="1"/>
    <xf numFmtId="0" fontId="85" fillId="0" borderId="0" xfId="0" applyFont="1"/>
    <xf numFmtId="0" fontId="85" fillId="0" borderId="41" xfId="0" applyFont="1" applyBorder="1"/>
    <xf numFmtId="0" fontId="14" fillId="0" borderId="41" xfId="0" applyFont="1" applyBorder="1"/>
    <xf numFmtId="41" fontId="0" fillId="0" borderId="36" xfId="0" applyNumberFormat="1" applyBorder="1" applyAlignment="1">
      <alignment horizontal="center"/>
    </xf>
    <xf numFmtId="41" fontId="0" fillId="0" borderId="38" xfId="0" applyNumberFormat="1" applyBorder="1" applyAlignment="1">
      <alignment horizontal="center"/>
    </xf>
    <xf numFmtId="41" fontId="0" fillId="0" borderId="37" xfId="0" applyNumberFormat="1" applyBorder="1" applyAlignment="1">
      <alignment horizontal="center"/>
    </xf>
    <xf numFmtId="3" fontId="2" fillId="0" borderId="24" xfId="0" applyNumberFormat="1" applyFont="1" applyBorder="1" applyAlignment="1">
      <alignment horizontal="center"/>
    </xf>
    <xf numFmtId="41" fontId="21" fillId="0" borderId="0" xfId="0" applyNumberFormat="1" applyFont="1" applyBorder="1" applyAlignment="1">
      <alignment horizontal="center"/>
    </xf>
    <xf numFmtId="41" fontId="0" fillId="0" borderId="24" xfId="0" applyNumberFormat="1" applyBorder="1" applyAlignment="1">
      <alignment horizontal="center"/>
    </xf>
    <xf numFmtId="0" fontId="14" fillId="0" borderId="0" xfId="18" applyNumberFormat="1" applyFont="1" applyBorder="1" applyAlignment="1"/>
    <xf numFmtId="6" fontId="15" fillId="0" borderId="41" xfId="18" applyNumberFormat="1" applyFont="1" applyBorder="1" applyAlignment="1"/>
    <xf numFmtId="0" fontId="15" fillId="0" borderId="21" xfId="0" applyFont="1" applyBorder="1"/>
    <xf numFmtId="0" fontId="15" fillId="0" borderId="19" xfId="0" applyFont="1" applyBorder="1"/>
    <xf numFmtId="0" fontId="46" fillId="13" borderId="7" xfId="0" applyFont="1" applyFill="1" applyBorder="1" applyAlignment="1">
      <alignment horizontal="center"/>
    </xf>
    <xf numFmtId="14" fontId="46" fillId="13" borderId="7" xfId="0" applyNumberFormat="1" applyFont="1" applyFill="1" applyBorder="1" applyAlignment="1">
      <alignment horizontal="center"/>
    </xf>
    <xf numFmtId="8" fontId="46" fillId="13" borderId="2" xfId="10" applyNumberFormat="1" applyFont="1" applyFill="1" applyBorder="1" applyAlignment="1">
      <alignment horizontal="center"/>
    </xf>
    <xf numFmtId="10" fontId="54" fillId="13" borderId="6" xfId="10" applyNumberFormat="1" applyFont="1" applyFill="1" applyBorder="1" applyAlignment="1" applyProtection="1">
      <alignment horizontal="center"/>
      <protection locked="0"/>
    </xf>
    <xf numFmtId="0" fontId="53" fillId="0" borderId="18" xfId="10" applyFont="1" applyBorder="1"/>
    <xf numFmtId="14" fontId="97" fillId="0" borderId="0" xfId="0" applyNumberFormat="1" applyFont="1" applyFill="1" applyBorder="1" applyProtection="1"/>
    <xf numFmtId="0" fontId="97" fillId="0" borderId="0" xfId="0" applyFont="1" applyProtection="1"/>
    <xf numFmtId="43" fontId="97" fillId="0" borderId="0" xfId="0" applyNumberFormat="1" applyFont="1" applyProtection="1"/>
    <xf numFmtId="2" fontId="97" fillId="0" borderId="0" xfId="0" applyNumberFormat="1" applyFont="1" applyFill="1" applyBorder="1"/>
    <xf numFmtId="0" fontId="97" fillId="0" borderId="0" xfId="0" applyFont="1" applyFill="1" applyBorder="1"/>
    <xf numFmtId="43" fontId="97" fillId="0" borderId="0" xfId="0" applyNumberFormat="1" applyFont="1" applyFill="1" applyBorder="1"/>
    <xf numFmtId="17" fontId="97" fillId="0" borderId="0" xfId="0" applyNumberFormat="1" applyFont="1" applyBorder="1" applyProtection="1"/>
    <xf numFmtId="221" fontId="97" fillId="0" borderId="0" xfId="0" applyNumberFormat="1" applyFont="1" applyAlignment="1">
      <alignment horizontal="center"/>
    </xf>
    <xf numFmtId="8" fontId="97" fillId="0" borderId="0" xfId="0" applyNumberFormat="1" applyFont="1"/>
    <xf numFmtId="17" fontId="0" fillId="0" borderId="0" xfId="0" applyNumberFormat="1" applyBorder="1"/>
    <xf numFmtId="10" fontId="84" fillId="0" borderId="0" xfId="0" applyNumberFormat="1" applyFont="1" applyBorder="1"/>
    <xf numFmtId="9" fontId="0" fillId="0" borderId="0" xfId="19" quotePrefix="1" applyNumberFormat="1" applyFont="1" applyBorder="1"/>
    <xf numFmtId="2" fontId="0" fillId="0" borderId="0" xfId="19" quotePrefix="1" applyNumberFormat="1" applyFont="1" applyBorder="1"/>
    <xf numFmtId="9" fontId="0" fillId="0" borderId="0" xfId="0" quotePrefix="1" applyNumberFormat="1" applyBorder="1"/>
    <xf numFmtId="194" fontId="0" fillId="0" borderId="25" xfId="0" applyNumberFormat="1" applyBorder="1"/>
    <xf numFmtId="42" fontId="38" fillId="0" borderId="43" xfId="0" applyNumberFormat="1" applyFont="1" applyBorder="1"/>
    <xf numFmtId="42" fontId="38" fillId="0" borderId="41" xfId="0" applyNumberFormat="1" applyFont="1" applyBorder="1"/>
    <xf numFmtId="0" fontId="53" fillId="0" borderId="2" xfId="10" applyFont="1" applyBorder="1" applyAlignment="1">
      <alignment horizontal="center"/>
    </xf>
    <xf numFmtId="189" fontId="34" fillId="0" borderId="0" xfId="13" applyNumberFormat="1" applyBorder="1" applyAlignment="1"/>
    <xf numFmtId="14" fontId="34" fillId="14" borderId="149" xfId="15" applyNumberFormat="1" applyFont="1" applyFill="1" applyBorder="1" applyAlignment="1" applyProtection="1">
      <alignment horizontal="center"/>
    </xf>
    <xf numFmtId="0" fontId="21" fillId="8" borderId="30" xfId="0" applyFont="1" applyFill="1" applyBorder="1" applyAlignment="1">
      <alignment horizontal="center"/>
    </xf>
    <xf numFmtId="0" fontId="21" fillId="8" borderId="31" xfId="0" applyFont="1" applyFill="1" applyBorder="1" applyAlignment="1">
      <alignment horizontal="center"/>
    </xf>
    <xf numFmtId="0" fontId="21" fillId="8" borderId="35" xfId="0" applyFont="1" applyFill="1" applyBorder="1" applyAlignment="1">
      <alignment horizontal="center"/>
    </xf>
    <xf numFmtId="0" fontId="0" fillId="0" borderId="33"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0" fillId="0" borderId="55" xfId="0" applyBorder="1" applyAlignment="1">
      <alignment horizontal="center"/>
    </xf>
    <xf numFmtId="0" fontId="0" fillId="0" borderId="57" xfId="0" applyBorder="1" applyAlignment="1">
      <alignment horizontal="center"/>
    </xf>
    <xf numFmtId="41" fontId="21" fillId="0" borderId="30" xfId="0" applyNumberFormat="1" applyFon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2" fillId="0" borderId="55" xfId="0" applyFont="1" applyBorder="1" applyAlignment="1">
      <alignment horizontal="center"/>
    </xf>
    <xf numFmtId="0" fontId="2" fillId="0" borderId="56" xfId="0" applyFont="1" applyBorder="1" applyAlignment="1">
      <alignment horizontal="center"/>
    </xf>
    <xf numFmtId="0" fontId="2" fillId="0" borderId="61" xfId="0" applyFont="1" applyBorder="1" applyAlignment="1">
      <alignment horizontal="center"/>
    </xf>
    <xf numFmtId="0" fontId="21" fillId="0" borderId="30" xfId="0" applyFont="1"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cellXfs>
  <cellStyles count="27">
    <cellStyle name="Comma" xfId="1" builtinId="3"/>
    <cellStyle name="Comma_Cap X 11-12" xfId="2"/>
    <cellStyle name="Comma_CENTCF1G" xfId="3"/>
    <cellStyle name="Currency_CENTCF1G" xfId="4"/>
    <cellStyle name="Currency_Curve_Backin5" xfId="5"/>
    <cellStyle name="Dezimal [0]_Compiling Utility Macros" xfId="6"/>
    <cellStyle name="Dezimal_Compiling Utility Macros" xfId="7"/>
    <cellStyle name="HEADER" xfId="8"/>
    <cellStyle name="HIGHLIGHT" xfId="9"/>
    <cellStyle name="Normal" xfId="0" builtinId="0"/>
    <cellStyle name="Normal_A" xfId="10"/>
    <cellStyle name="Normal_B" xfId="11"/>
    <cellStyle name="Normal_Cap X 11-12" xfId="12"/>
    <cellStyle name="Normal_CENTCF1G" xfId="13"/>
    <cellStyle name="Normal_CFMACROS.XLM" xfId="14"/>
    <cellStyle name="Normal_CFMODEL.XLS" xfId="15"/>
    <cellStyle name="Normal_H" xfId="16"/>
    <cellStyle name="Normal_IPP" xfId="17"/>
    <cellStyle name="Normal_Template" xfId="18"/>
    <cellStyle name="Percent" xfId="19" builtinId="5"/>
    <cellStyle name="Standard_Anpassen der Amortisation" xfId="20"/>
    <cellStyle name="Unprot" xfId="21"/>
    <cellStyle name="Unprot$" xfId="22"/>
    <cellStyle name="Unprot_USINF_97" xfId="23"/>
    <cellStyle name="Unprotect" xfId="24"/>
    <cellStyle name="Währung [0]_Compiling Utility Macros" xfId="25"/>
    <cellStyle name="Währung_Compiling Utility Macros" xfId="26"/>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dialogsheet" Target="dialogsheets/sheet1.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dialogsheet" Target="dialogsheets/sheet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dialogsheet" Target="dialogsheets/sheet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dialogsheet" Target="dialogsheets/sheet2.xml"/><Relationship Id="rId22" Type="http://schemas.openxmlformats.org/officeDocument/2006/relationships/calcChain" Target="calcChain.xml"/></Relationships>
</file>

<file path=xl/ctrlProps/ctrlProp1.xml><?xml version="1.0" encoding="utf-8"?>
<formControlPr xmlns="http://schemas.microsoft.com/office/spreadsheetml/2009/9/main" objectType="Drop" dropLines="30" dropStyle="combo" dx="22" fmlaLink="$AU$21" fmlaRange="AT23:AT48" sel="25" val="0"/>
</file>

<file path=xl/ctrlProps/ctrlProp2.xml><?xml version="1.0" encoding="utf-8"?>
<formControlPr xmlns="http://schemas.microsoft.com/office/spreadsheetml/2009/9/main" objectType="Drop" dropLines="15" dropStyle="combo" dx="22" fmlaLink="$AX$16" fmlaRange="$AW$18:$AW$32" sel="1" val="0"/>
</file>

<file path=xl/ctrlProps/ctrlProp3.xml><?xml version="1.0" encoding="utf-8"?>
<formControlPr xmlns="http://schemas.microsoft.com/office/spreadsheetml/2009/9/main" objectType="CheckBox" checked="Checked" fmlaLink="$AT$16" lockText="1"/>
</file>

<file path=xl/ctrlProps/ctrlProp4.xml><?xml version="1.0" encoding="utf-8"?>
<formControlPr xmlns="http://schemas.microsoft.com/office/spreadsheetml/2009/9/main" objectType="CheckBox" checked="Checked" fmlaLink="$AT$17" lockText="1"/>
</file>

<file path=xl/ctrlProps/ctrlProp5.xml><?xml version="1.0" encoding="utf-8"?>
<formControlPr xmlns="http://schemas.microsoft.com/office/spreadsheetml/2009/9/main" objectType="CheckBox" checked="Checked" fmlaLink="$AT$18" lockText="1"/>
</file>

<file path=xl/ctrlProps/ctrlProp6.xml><?xml version="1.0" encoding="utf-8"?>
<formControlPr xmlns="http://schemas.microsoft.com/office/spreadsheetml/2009/9/main" objectType="CheckBox" checked="Checked" fmlaLink="$AT$19" lockText="1"/>
</file>

<file path=xl/ctrlProps/ctrlProp7.xml><?xml version="1.0" encoding="utf-8"?>
<formControlPr xmlns="http://schemas.microsoft.com/office/spreadsheetml/2009/9/main" objectType="Drop" dropLines="4" dropStyle="combo" dx="22" fmlaLink="$AU$16" fmlaRange="$AZ$25:$AZ$28" sel="4" val="0"/>
</file>

<file path=xl/ctrlProps/ctrlProp8.xml><?xml version="1.0" encoding="utf-8"?>
<formControlPr xmlns="http://schemas.microsoft.com/office/spreadsheetml/2009/9/main" objectType="Drop" dropLines="4" dropStyle="combo" dx="22" fmlaLink="$AU$17" fmlaRange="$AZ$25:$AZ$28" sel="4" val="0"/>
</file>

<file path=xl/ctrlProps/ctrlProp9.xml><?xml version="1.0" encoding="utf-8"?>
<formControlPr xmlns="http://schemas.microsoft.com/office/spreadsheetml/2009/9/main" objectType="Drop" dropLines="4" dropStyle="combo" dx="22" fmlaLink="$AU$18" fmlaRange="$AZ$25:$AZ$28" sel="4" val="0"/>
</file>

<file path=xl/ctrlProps/ctrlProp10.xml><?xml version="1.0" encoding="utf-8"?>
<formControlPr xmlns="http://schemas.microsoft.com/office/spreadsheetml/2009/9/main" objectType="Drop" dropLines="4" dropStyle="combo" dx="22" fmlaLink="$AU$19" fmlaRange="$AZ$25:$AZ$28" sel="4" val="0"/>
</file>

<file path=xl/ctrlProps/ctrlProp11.xml><?xml version="1.0" encoding="utf-8"?>
<formControlPr xmlns="http://schemas.microsoft.com/office/spreadsheetml/2009/9/main" objectType="Drop" dropStyle="combo" dx="22" fmlaLink="$AS$7" fmlaRange="$AZ$16:$AZ$23" sel="8" val="0"/>
</file>

<file path=xl/ctrlProps/ctrlProp12.xml><?xml version="1.0" encoding="utf-8"?>
<formControlPr xmlns="http://schemas.microsoft.com/office/spreadsheetml/2009/9/main" objectType="CheckBox" fmlaLink="$AP$7" lockText="1"/>
</file>

<file path=xl/ctrlProps/ctrlProp13.xml><?xml version="1.0" encoding="utf-8"?>
<formControlPr xmlns="http://schemas.microsoft.com/office/spreadsheetml/2009/9/main" objectType="Radio" checked="Checked" firstButton="1" fmlaLink="$AP$9"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AP$12"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CheckBox" fmlaLink="$AP$13" lockText="1"/>
</file>

<file path=xl/ctrlProps/ctrlProp21.xml><?xml version="1.0" encoding="utf-8"?>
<formControlPr xmlns="http://schemas.microsoft.com/office/spreadsheetml/2009/9/main" objectType="Radio" checked="Checked" firstButton="1" fmlaLink="$AP$10" lockText="1"/>
</file>

<file path=xl/ctrlProps/ctrlProp22.xml><?xml version="1.0" encoding="utf-8"?>
<formControlPr xmlns="http://schemas.microsoft.com/office/spreadsheetml/2009/9/main" objectType="GBox" noThreeD="1"/>
</file>

<file path=xl/ctrlProps/ctrlProp23.xml><?xml version="1.0" encoding="utf-8"?>
<formControlPr xmlns="http://schemas.microsoft.com/office/spreadsheetml/2009/9/main" objectType="GBox" noThreeD="1"/>
</file>

<file path=xl/ctrlProps/ctrlProp24.xml><?xml version="1.0" encoding="utf-8"?>
<formControlPr xmlns="http://schemas.microsoft.com/office/spreadsheetml/2009/9/main" objectType="GBox"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GBox" noThreeD="1"/>
</file>

<file path=xl/ctrlProps/ctrlProp27.xml><?xml version="1.0" encoding="utf-8"?>
<formControlPr xmlns="http://schemas.microsoft.com/office/spreadsheetml/2009/9/main" objectType="GBox" noThreeD="1"/>
</file>

<file path=xl/ctrlProps/ctrlProp28.xml><?xml version="1.0" encoding="utf-8"?>
<formControlPr xmlns="http://schemas.microsoft.com/office/spreadsheetml/2009/9/main" objectType="Radio" checked="Checked" firstButton="1" fmlaLink="$AQ$18" lockText="1"/>
</file>

<file path=xl/ctrlProps/ctrlProp29.xml><?xml version="1.0" encoding="utf-8"?>
<formControlPr xmlns="http://schemas.microsoft.com/office/spreadsheetml/2009/9/main" objectType="Radio" lockText="1"/>
</file>

<file path=xl/ctrlProps/ctrlProp30.xml><?xml version="1.0" encoding="utf-8"?>
<formControlPr xmlns="http://schemas.microsoft.com/office/spreadsheetml/2009/9/main" objectType="Radio" checked="Checked" firstButton="1" fmlaLink="$AQ$19" lockText="1"/>
</file>

<file path=xl/ctrlProps/ctrlProp31.xml><?xml version="1.0" encoding="utf-8"?>
<formControlPr xmlns="http://schemas.microsoft.com/office/spreadsheetml/2009/9/main" objectType="Radio" lockText="1"/>
</file>

<file path=xl/ctrlProps/ctrlProp32.xml><?xml version="1.0" encoding="utf-8"?>
<formControlPr xmlns="http://schemas.microsoft.com/office/spreadsheetml/2009/9/main" objectType="Radio" firstButton="1" fmlaLink="$AQ$20" lockText="1"/>
</file>

<file path=xl/ctrlProps/ctrlProp33.xml><?xml version="1.0" encoding="utf-8"?>
<formControlPr xmlns="http://schemas.microsoft.com/office/spreadsheetml/2009/9/main" objectType="Radio" checked="Checked" lockText="1"/>
</file>

<file path=xl/ctrlProps/ctrlProp34.xml><?xml version="1.0" encoding="utf-8"?>
<formControlPr xmlns="http://schemas.microsoft.com/office/spreadsheetml/2009/9/main" objectType="Radio" firstButton="1" fmlaLink="$AQ$21" lockText="1"/>
</file>

<file path=xl/ctrlProps/ctrlProp35.xml><?xml version="1.0" encoding="utf-8"?>
<formControlPr xmlns="http://schemas.microsoft.com/office/spreadsheetml/2009/9/main" objectType="Radio" checked="Checked" lockText="1"/>
</file>

<file path=xl/ctrlProps/ctrlProp36.xml><?xml version="1.0" encoding="utf-8"?>
<formControlPr xmlns="http://schemas.microsoft.com/office/spreadsheetml/2009/9/main" objectType="Radio" firstButton="1" fmlaLink="$AQ$22" lockText="1"/>
</file>

<file path=xl/ctrlProps/ctrlProp37.xml><?xml version="1.0" encoding="utf-8"?>
<formControlPr xmlns="http://schemas.microsoft.com/office/spreadsheetml/2009/9/main" objectType="Radio" lockText="1"/>
</file>

<file path=xl/ctrlProps/ctrlProp38.xml><?xml version="1.0" encoding="utf-8"?>
<formControlPr xmlns="http://schemas.microsoft.com/office/spreadsheetml/2009/9/main" objectType="Radio" checked="Checked" firstButton="1" fmlaLink="$AQ$23" lockText="1"/>
</file>

<file path=xl/ctrlProps/ctrlProp39.xml><?xml version="1.0" encoding="utf-8"?>
<formControlPr xmlns="http://schemas.microsoft.com/office/spreadsheetml/2009/9/main" objectType="Radio" lockText="1"/>
</file>

<file path=xl/ctrlProps/ctrlProp40.xml><?xml version="1.0" encoding="utf-8"?>
<formControlPr xmlns="http://schemas.microsoft.com/office/spreadsheetml/2009/9/main" objectType="Radio" lockText="1"/>
</file>

<file path=xl/ctrlProps/ctrlProp41.xml><?xml version="1.0" encoding="utf-8"?>
<formControlPr xmlns="http://schemas.microsoft.com/office/spreadsheetml/2009/9/main" objectType="Radio" lockText="1"/>
</file>

<file path=xl/ctrlProps/ctrlProp42.xml><?xml version="1.0" encoding="utf-8"?>
<formControlPr xmlns="http://schemas.microsoft.com/office/spreadsheetml/2009/9/main" objectType="CheckBox" checked="Checked" fmlaLink="$AP$40" lockText="1"/>
</file>

<file path=xl/ctrlProps/ctrlProp43.xml><?xml version="1.0" encoding="utf-8"?>
<formControlPr xmlns="http://schemas.microsoft.com/office/spreadsheetml/2009/9/main" objectType="CheckBox" checked="Checked" fmlaLink="$AP$41" lockText="1"/>
</file>

<file path=xl/ctrlProps/ctrlProp44.xml><?xml version="1.0" encoding="utf-8"?>
<formControlPr xmlns="http://schemas.microsoft.com/office/spreadsheetml/2009/9/main" objectType="CheckBox" checked="Checked" fmlaLink="$AP$42" lockText="1"/>
</file>

<file path=xl/ctrlProps/ctrlProp45.xml><?xml version="1.0" encoding="utf-8"?>
<formControlPr xmlns="http://schemas.microsoft.com/office/spreadsheetml/2009/9/main" objectType="CheckBox" checked="Checked" fmlaLink="$AP$43" lockText="1"/>
</file>

<file path=xl/ctrlProps/ctrlProp46.xml><?xml version="1.0" encoding="utf-8"?>
<formControlPr xmlns="http://schemas.microsoft.com/office/spreadsheetml/2009/9/main" objectType="CheckBox" checked="Checked" fmlaLink="$AP$44" lockText="1"/>
</file>

<file path=xl/ctrlProps/ctrlProp47.xml><?xml version="1.0" encoding="utf-8"?>
<formControlPr xmlns="http://schemas.microsoft.com/office/spreadsheetml/2009/9/main" objectType="CheckBox" checked="Checked" fmlaLink="$AP$45" lockText="1"/>
</file>

<file path=xl/ctrlProps/ctrlProp48.xml><?xml version="1.0" encoding="utf-8"?>
<formControlPr xmlns="http://schemas.microsoft.com/office/spreadsheetml/2009/9/main" objectType="CheckBox" checked="Checked" fmlaLink="$AP$46" lockText="1"/>
</file>

<file path=xl/ctrlProps/ctrlProp49.xml><?xml version="1.0" encoding="utf-8"?>
<formControlPr xmlns="http://schemas.microsoft.com/office/spreadsheetml/2009/9/main" objectType="CheckBox" checked="Checked" fmlaLink="$AP$47" lockText="1"/>
</file>

<file path=xl/ctrlProps/ctrlProp50.xml><?xml version="1.0" encoding="utf-8"?>
<formControlPr xmlns="http://schemas.microsoft.com/office/spreadsheetml/2009/9/main" objectType="CheckBox" checked="Checked" fmlaLink="$AP$48" lockText="1"/>
</file>

<file path=xl/ctrlProps/ctrlProp51.xml><?xml version="1.0" encoding="utf-8"?>
<formControlPr xmlns="http://schemas.microsoft.com/office/spreadsheetml/2009/9/main" objectType="CheckBox" checked="Checked" fmlaLink="$AP$49" lockText="1"/>
</file>

<file path=xl/ctrlProps/ctrlProp52.xml><?xml version="1.0" encoding="utf-8"?>
<formControlPr xmlns="http://schemas.microsoft.com/office/spreadsheetml/2009/9/main" objectType="CheckBox" checked="Checked" fmlaLink="$AP$50" lockText="1"/>
</file>

<file path=xl/ctrlProps/ctrlProp53.xml><?xml version="1.0" encoding="utf-8"?>
<formControlPr xmlns="http://schemas.microsoft.com/office/spreadsheetml/2009/9/main" objectType="CheckBox" checked="Checked" fmlaLink="$AP$51" lockText="1"/>
</file>

<file path=xl/ctrlProps/ctrlProp54.xml><?xml version="1.0" encoding="utf-8"?>
<formControlPr xmlns="http://schemas.microsoft.com/office/spreadsheetml/2009/9/main" objectType="Radio" checked="Checked" lockText="1"/>
</file>

<file path=xl/ctrlProps/ctrlProp55.xml><?xml version="1.0" encoding="utf-8"?>
<formControlPr xmlns="http://schemas.microsoft.com/office/spreadsheetml/2009/9/main" objectType="CheckBox" checked="Checked" fmlaLink="$AP$8" lockText="1"/>
</file>

<file path=xl/ctrlProps/ctrlProp56.xml><?xml version="1.0" encoding="utf-8"?>
<formControlPr xmlns="http://schemas.microsoft.com/office/spreadsheetml/2009/9/main" objectType="Radio" checked="Checked" lockText="1"/>
</file>

<file path=xl/ctrlProps/ctrlProp57.xml><?xml version="1.0" encoding="utf-8"?>
<formControlPr xmlns="http://schemas.microsoft.com/office/spreadsheetml/2009/9/main" objectType="GBox" noThreeD="1"/>
</file>

<file path=xl/ctrlProps/ctrlProp58.xml><?xml version="1.0" encoding="utf-8"?>
<formControlPr xmlns="http://schemas.microsoft.com/office/spreadsheetml/2009/9/main" objectType="Radio" firstButton="1" fmlaLink="$AQ$32" lockText="1"/>
</file>

<file path=xl/ctrlProps/ctrlProp59.xml><?xml version="1.0" encoding="utf-8"?>
<formControlPr xmlns="http://schemas.microsoft.com/office/spreadsheetml/2009/9/main" objectType="Radio" checked="Checked" lockText="1"/>
</file>

<file path=xl/ctrlProps/ctrlProp60.xml><?xml version="1.0" encoding="utf-8"?>
<formControlPr xmlns="http://schemas.microsoft.com/office/spreadsheetml/2009/9/main" objectType="GBox" noThreeD="1"/>
</file>

<file path=xl/ctrlProps/ctrlProp61.xml><?xml version="1.0" encoding="utf-8"?>
<formControlPr xmlns="http://schemas.microsoft.com/office/spreadsheetml/2009/9/main" objectType="Radio" firstButton="1" fmlaLink="$AQ$33" lockText="1"/>
</file>

<file path=xl/ctrlProps/ctrlProp62.xml><?xml version="1.0" encoding="utf-8"?>
<formControlPr xmlns="http://schemas.microsoft.com/office/spreadsheetml/2009/9/main" objectType="Radio" checked="Checked" lockText="1"/>
</file>

<file path=xl/ctrlProps/ctrlProp63.xml><?xml version="1.0" encoding="utf-8"?>
<formControlPr xmlns="http://schemas.microsoft.com/office/spreadsheetml/2009/9/main" objectType="GBox" noThreeD="1"/>
</file>

<file path=xl/ctrlProps/ctrlProp64.xml><?xml version="1.0" encoding="utf-8"?>
<formControlPr xmlns="http://schemas.microsoft.com/office/spreadsheetml/2009/9/main" objectType="Radio" checked="Checked" firstButton="1" fmlaLink="$AQ$11"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GBox" noThreeD="1"/>
</file>

<file path=xl/ctrlProps/ctrlProp67.xml><?xml version="1.0" encoding="utf-8"?>
<formControlPr xmlns="http://schemas.microsoft.com/office/spreadsheetml/2009/9/main" objectType="CheckBox" fmlaLink="$AP$35" lockText="1"/>
</file>

<file path=xl/ctrlProps/ctrlProp68.xml><?xml version="1.0" encoding="utf-8"?>
<formControlPr xmlns="http://schemas.microsoft.com/office/spreadsheetml/2009/9/main" objectType="CheckBox" fmlaLink="$AP$34"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dialogsheets/_rels/sheet1.xml.rels><?xml version="1.0" encoding="UTF-8" standalone="yes"?>
<Relationships xmlns="http://schemas.openxmlformats.org/package/2006/relationships"><Relationship Id="rId1" Type="http://schemas.openxmlformats.org/officeDocument/2006/relationships/vmlDrawing" Target="../drawings/vmlDrawing7.vml"/></Relationships>
</file>

<file path=xl/dialogsheets/_rels/sheet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dialogsheets/_rels/sheet3.xml.rels><?xml version="1.0" encoding="UTF-8" standalone="yes"?>
<Relationships xmlns="http://schemas.openxmlformats.org/package/2006/relationships"><Relationship Id="rId1" Type="http://schemas.openxmlformats.org/officeDocument/2006/relationships/vmlDrawing" Target="../drawings/vmlDrawing9.vml"/></Relationships>
</file>

<file path=xl/dialogsheets/_rels/sheet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dialogsheets/sheet1.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2.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25" customHeight="1"/>
  <sheetProtection sheet="1"/>
  <printOptions gridLinesSet="0"/>
  <pageMargins left="0.75" right="0.75" top="1" bottom="1" header="0.5" footer="0.5"/>
  <pageSetup orientation="portrait" horizontalDpi="4294967292" r:id="rId1"/>
  <headerFooter alignWithMargins="0">
    <oddHeader>&amp;A</oddHeader>
    <oddFooter>Page &amp;P</oddFooter>
  </headerFooter>
  <legacyDrawing r:id="rId2"/>
</dialogsheet>
</file>

<file path=xl/dialogsheets/sheet3.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4.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25" customHeight="1"/>
  <sheetProtection sheet="1"/>
  <printOptions gridLinesSet="0"/>
  <pageMargins left="0.75" right="0.75" top="1" bottom="1" header="0.5" footer="0.5"/>
  <pageSetup orientation="landscape" horizontalDpi="4294967293" r:id="rId1"/>
  <headerFooter alignWithMargins="0">
    <oddHeader>&amp;A</oddHeader>
    <oddFooter>Page &amp;P</oddFooter>
  </headerFooter>
  <legacyDrawing r:id="rId2"/>
</dialogsheet>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7</xdr:row>
          <xdr:rowOff>0</xdr:rowOff>
        </xdr:from>
        <xdr:to>
          <xdr:col>2</xdr:col>
          <xdr:colOff>1219200</xdr:colOff>
          <xdr:row>8</xdr:row>
          <xdr:rowOff>0</xdr:rowOff>
        </xdr:to>
        <xdr:sp macro="" textlink="">
          <xdr:nvSpPr>
            <xdr:cNvPr id="1025" name="Drop Down 1" hidden="1">
              <a:extLst>
                <a:ext uri="{63B3BB69-23CF-44E3-9099-C40C66FF867C}">
                  <a14:compatExt spid="_x0000_s1025"/>
                </a:ext>
                <a:ext uri="{FF2B5EF4-FFF2-40B4-BE49-F238E27FC236}">
                  <a16:creationId xmlns:a16="http://schemas.microsoft.com/office/drawing/2014/main" id="{A19A3277-E9D8-B379-023D-E079A38F57F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8</xdr:row>
          <xdr:rowOff>0</xdr:rowOff>
        </xdr:from>
        <xdr:to>
          <xdr:col>2</xdr:col>
          <xdr:colOff>1209675</xdr:colOff>
          <xdr:row>8</xdr:row>
          <xdr:rowOff>238125</xdr:rowOff>
        </xdr:to>
        <xdr:sp macro="" textlink="">
          <xdr:nvSpPr>
            <xdr:cNvPr id="1065" name="Drop Down 41" hidden="1">
              <a:extLst>
                <a:ext uri="{63B3BB69-23CF-44E3-9099-C40C66FF867C}">
                  <a14:compatExt spid="_x0000_s1065"/>
                </a:ext>
                <a:ext uri="{FF2B5EF4-FFF2-40B4-BE49-F238E27FC236}">
                  <a16:creationId xmlns:a16="http://schemas.microsoft.com/office/drawing/2014/main" id="{C71309C5-23CF-3DE9-6AAB-761F1728F476}"/>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10</xdr:row>
          <xdr:rowOff>9525</xdr:rowOff>
        </xdr:from>
        <xdr:to>
          <xdr:col>7</xdr:col>
          <xdr:colOff>866775</xdr:colOff>
          <xdr:row>11</xdr:row>
          <xdr:rowOff>0</xdr:rowOff>
        </xdr:to>
        <xdr:sp macro="" textlink="">
          <xdr:nvSpPr>
            <xdr:cNvPr id="1070" name="Check Box 46" hidden="1">
              <a:extLst>
                <a:ext uri="{63B3BB69-23CF-44E3-9099-C40C66FF867C}">
                  <a14:compatExt spid="_x0000_s1070"/>
                </a:ext>
                <a:ext uri="{FF2B5EF4-FFF2-40B4-BE49-F238E27FC236}">
                  <a16:creationId xmlns:a16="http://schemas.microsoft.com/office/drawing/2014/main" id="{E0357359-B86E-0FB7-7B48-46B76A7392B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 - Fri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11</xdr:row>
          <xdr:rowOff>9525</xdr:rowOff>
        </xdr:from>
        <xdr:to>
          <xdr:col>7</xdr:col>
          <xdr:colOff>838200</xdr:colOff>
          <xdr:row>12</xdr:row>
          <xdr:rowOff>0</xdr:rowOff>
        </xdr:to>
        <xdr:sp macro="" textlink="">
          <xdr:nvSpPr>
            <xdr:cNvPr id="1071" name="Check Box 47" hidden="1">
              <a:extLst>
                <a:ext uri="{63B3BB69-23CF-44E3-9099-C40C66FF867C}">
                  <a14:compatExt spid="_x0000_s1071"/>
                </a:ext>
                <a:ext uri="{FF2B5EF4-FFF2-40B4-BE49-F238E27FC236}">
                  <a16:creationId xmlns:a16="http://schemas.microsoft.com/office/drawing/2014/main" id="{17D0EC72-F87C-5D4D-297C-8C1D223FB50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Saturday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12</xdr:row>
          <xdr:rowOff>9525</xdr:rowOff>
        </xdr:from>
        <xdr:to>
          <xdr:col>7</xdr:col>
          <xdr:colOff>838200</xdr:colOff>
          <xdr:row>12</xdr:row>
          <xdr:rowOff>219075</xdr:rowOff>
        </xdr:to>
        <xdr:sp macro="" textlink="">
          <xdr:nvSpPr>
            <xdr:cNvPr id="1072" name="Check Box 48" hidden="1">
              <a:extLst>
                <a:ext uri="{63B3BB69-23CF-44E3-9099-C40C66FF867C}">
                  <a14:compatExt spid="_x0000_s1072"/>
                </a:ext>
                <a:ext uri="{FF2B5EF4-FFF2-40B4-BE49-F238E27FC236}">
                  <a16:creationId xmlns:a16="http://schemas.microsoft.com/office/drawing/2014/main" id="{076A1CC0-6914-D705-7795-08B9BCE20A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Sunday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13</xdr:row>
          <xdr:rowOff>0</xdr:rowOff>
        </xdr:from>
        <xdr:to>
          <xdr:col>7</xdr:col>
          <xdr:colOff>838200</xdr:colOff>
          <xdr:row>13</xdr:row>
          <xdr:rowOff>228600</xdr:rowOff>
        </xdr:to>
        <xdr:sp macro="" textlink="">
          <xdr:nvSpPr>
            <xdr:cNvPr id="1073" name="Check Box 49" hidden="1">
              <a:extLst>
                <a:ext uri="{63B3BB69-23CF-44E3-9099-C40C66FF867C}">
                  <a14:compatExt spid="_x0000_s1073"/>
                </a:ext>
                <a:ext uri="{FF2B5EF4-FFF2-40B4-BE49-F238E27FC236}">
                  <a16:creationId xmlns:a16="http://schemas.microsoft.com/office/drawing/2014/main" id="{CA126903-F137-D16C-93B7-F6DB5207102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Holidays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10</xdr:row>
          <xdr:rowOff>9525</xdr:rowOff>
        </xdr:from>
        <xdr:to>
          <xdr:col>8</xdr:col>
          <xdr:colOff>866775</xdr:colOff>
          <xdr:row>11</xdr:row>
          <xdr:rowOff>0</xdr:rowOff>
        </xdr:to>
        <xdr:sp macro="" textlink="">
          <xdr:nvSpPr>
            <xdr:cNvPr id="1074" name="Drop Down 50" hidden="1">
              <a:extLst>
                <a:ext uri="{63B3BB69-23CF-44E3-9099-C40C66FF867C}">
                  <a14:compatExt spid="_x0000_s1074"/>
                </a:ext>
                <a:ext uri="{FF2B5EF4-FFF2-40B4-BE49-F238E27FC236}">
                  <a16:creationId xmlns:a16="http://schemas.microsoft.com/office/drawing/2014/main" id="{2267DAD1-D3F1-28E5-DD1A-534F7E0FAF7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11</xdr:row>
          <xdr:rowOff>0</xdr:rowOff>
        </xdr:from>
        <xdr:to>
          <xdr:col>8</xdr:col>
          <xdr:colOff>866775</xdr:colOff>
          <xdr:row>12</xdr:row>
          <xdr:rowOff>0</xdr:rowOff>
        </xdr:to>
        <xdr:sp macro="" textlink="">
          <xdr:nvSpPr>
            <xdr:cNvPr id="1075" name="Drop Down 51" hidden="1">
              <a:extLst>
                <a:ext uri="{63B3BB69-23CF-44E3-9099-C40C66FF867C}">
                  <a14:compatExt spid="_x0000_s1075"/>
                </a:ext>
                <a:ext uri="{FF2B5EF4-FFF2-40B4-BE49-F238E27FC236}">
                  <a16:creationId xmlns:a16="http://schemas.microsoft.com/office/drawing/2014/main" id="{6280ED80-F08B-44AC-BB77-B0EB3C0A2951}"/>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12</xdr:row>
          <xdr:rowOff>0</xdr:rowOff>
        </xdr:from>
        <xdr:to>
          <xdr:col>8</xdr:col>
          <xdr:colOff>866775</xdr:colOff>
          <xdr:row>13</xdr:row>
          <xdr:rowOff>0</xdr:rowOff>
        </xdr:to>
        <xdr:sp macro="" textlink="">
          <xdr:nvSpPr>
            <xdr:cNvPr id="1076" name="Drop Down 52" hidden="1">
              <a:extLst>
                <a:ext uri="{63B3BB69-23CF-44E3-9099-C40C66FF867C}">
                  <a14:compatExt spid="_x0000_s1076"/>
                </a:ext>
                <a:ext uri="{FF2B5EF4-FFF2-40B4-BE49-F238E27FC236}">
                  <a16:creationId xmlns:a16="http://schemas.microsoft.com/office/drawing/2014/main" id="{8695230A-A718-4BBB-4467-927C569A676E}"/>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13</xdr:row>
          <xdr:rowOff>9525</xdr:rowOff>
        </xdr:from>
        <xdr:to>
          <xdr:col>8</xdr:col>
          <xdr:colOff>866775</xdr:colOff>
          <xdr:row>13</xdr:row>
          <xdr:rowOff>228600</xdr:rowOff>
        </xdr:to>
        <xdr:sp macro="" textlink="">
          <xdr:nvSpPr>
            <xdr:cNvPr id="1077" name="Drop Down 53" hidden="1">
              <a:extLst>
                <a:ext uri="{63B3BB69-23CF-44E3-9099-C40C66FF867C}">
                  <a14:compatExt spid="_x0000_s1077"/>
                </a:ext>
                <a:ext uri="{FF2B5EF4-FFF2-40B4-BE49-F238E27FC236}">
                  <a16:creationId xmlns:a16="http://schemas.microsoft.com/office/drawing/2014/main" id="{831F0AC5-56EC-0936-1BF6-3B8ADF2970AA}"/>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1238250</xdr:colOff>
          <xdr:row>8</xdr:row>
          <xdr:rowOff>0</xdr:rowOff>
        </xdr:from>
        <xdr:to>
          <xdr:col>8</xdr:col>
          <xdr:colOff>866775</xdr:colOff>
          <xdr:row>8</xdr:row>
          <xdr:rowOff>228600</xdr:rowOff>
        </xdr:to>
        <xdr:sp macro="" textlink="">
          <xdr:nvSpPr>
            <xdr:cNvPr id="1087" name="Drop Down 63" hidden="1">
              <a:extLst>
                <a:ext uri="{63B3BB69-23CF-44E3-9099-C40C66FF867C}">
                  <a14:compatExt spid="_x0000_s1087"/>
                </a:ext>
                <a:ext uri="{FF2B5EF4-FFF2-40B4-BE49-F238E27FC236}">
                  <a16:creationId xmlns:a16="http://schemas.microsoft.com/office/drawing/2014/main" id="{BB2CEC36-E2D2-0A2C-5071-D6418A3802DF}"/>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xdr:row>
          <xdr:rowOff>0</xdr:rowOff>
        </xdr:from>
        <xdr:to>
          <xdr:col>8</xdr:col>
          <xdr:colOff>85725</xdr:colOff>
          <xdr:row>7</xdr:row>
          <xdr:rowOff>228600</xdr:rowOff>
        </xdr:to>
        <xdr:sp macro="" textlink="">
          <xdr:nvSpPr>
            <xdr:cNvPr id="1090" name="Check Box 66" hidden="1">
              <a:extLst>
                <a:ext uri="{63B3BB69-23CF-44E3-9099-C40C66FF867C}">
                  <a14:compatExt spid="_x0000_s1090"/>
                </a:ext>
                <a:ext uri="{FF2B5EF4-FFF2-40B4-BE49-F238E27FC236}">
                  <a16:creationId xmlns:a16="http://schemas.microsoft.com/office/drawing/2014/main" id="{5CD7FDF2-BB97-4F6C-6BBB-AED793C6743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 Volume 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381000</xdr:colOff>
          <xdr:row>5</xdr:row>
          <xdr:rowOff>0</xdr:rowOff>
        </xdr:from>
        <xdr:to>
          <xdr:col>10</xdr:col>
          <xdr:colOff>1209675</xdr:colOff>
          <xdr:row>5</xdr:row>
          <xdr:rowOff>200025</xdr:rowOff>
        </xdr:to>
        <xdr:sp macro="" textlink="">
          <xdr:nvSpPr>
            <xdr:cNvPr id="1092" name="Option Button 68" hidden="1">
              <a:extLst>
                <a:ext uri="{63B3BB69-23CF-44E3-9099-C40C66FF867C}">
                  <a14:compatExt spid="_x0000_s1092"/>
                </a:ext>
                <a:ext uri="{FF2B5EF4-FFF2-40B4-BE49-F238E27FC236}">
                  <a16:creationId xmlns:a16="http://schemas.microsoft.com/office/drawing/2014/main" id="{1A811A24-6EBC-AFC5-38A2-6667EC9ED1C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1323975</xdr:colOff>
          <xdr:row>5</xdr:row>
          <xdr:rowOff>0</xdr:rowOff>
        </xdr:from>
        <xdr:to>
          <xdr:col>11</xdr:col>
          <xdr:colOff>447675</xdr:colOff>
          <xdr:row>5</xdr:row>
          <xdr:rowOff>200025</xdr:rowOff>
        </xdr:to>
        <xdr:sp macro="" textlink="">
          <xdr:nvSpPr>
            <xdr:cNvPr id="1093" name="Option Button 69" hidden="1">
              <a:extLst>
                <a:ext uri="{63B3BB69-23CF-44E3-9099-C40C66FF867C}">
                  <a14:compatExt spid="_x0000_s1093"/>
                </a:ext>
                <a:ext uri="{FF2B5EF4-FFF2-40B4-BE49-F238E27FC236}">
                  <a16:creationId xmlns:a16="http://schemas.microsoft.com/office/drawing/2014/main" id="{76475D7D-06B7-BCC9-1E71-1CE5E4531F1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4</xdr:row>
          <xdr:rowOff>190500</xdr:rowOff>
        </xdr:from>
        <xdr:to>
          <xdr:col>12</xdr:col>
          <xdr:colOff>257175</xdr:colOff>
          <xdr:row>6</xdr:row>
          <xdr:rowOff>0</xdr:rowOff>
        </xdr:to>
        <xdr:sp macro="" textlink="">
          <xdr:nvSpPr>
            <xdr:cNvPr id="1096" name="Group Box 72" hidden="1">
              <a:extLst>
                <a:ext uri="{63B3BB69-23CF-44E3-9099-C40C66FF867C}">
                  <a14:compatExt spid="_x0000_s1096"/>
                </a:ext>
                <a:ext uri="{FF2B5EF4-FFF2-40B4-BE49-F238E27FC236}">
                  <a16:creationId xmlns:a16="http://schemas.microsoft.com/office/drawing/2014/main" id="{3EEF1E64-A342-4FB9-AEB1-AC0BF914C2B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6</xdr:row>
          <xdr:rowOff>38100</xdr:rowOff>
        </xdr:from>
        <xdr:to>
          <xdr:col>4</xdr:col>
          <xdr:colOff>714375</xdr:colOff>
          <xdr:row>6</xdr:row>
          <xdr:rowOff>238125</xdr:rowOff>
        </xdr:to>
        <xdr:sp macro="" textlink="">
          <xdr:nvSpPr>
            <xdr:cNvPr id="1100" name="Option Button 76" hidden="1">
              <a:extLst>
                <a:ext uri="{63B3BB69-23CF-44E3-9099-C40C66FF867C}">
                  <a14:compatExt spid="_x0000_s1100"/>
                </a:ext>
                <a:ext uri="{FF2B5EF4-FFF2-40B4-BE49-F238E27FC236}">
                  <a16:creationId xmlns:a16="http://schemas.microsoft.com/office/drawing/2014/main" id="{49FAE1A1-1CBE-1B18-2CAE-7BF512C3356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Annual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704850</xdr:colOff>
          <xdr:row>6</xdr:row>
          <xdr:rowOff>38100</xdr:rowOff>
        </xdr:from>
        <xdr:to>
          <xdr:col>4</xdr:col>
          <xdr:colOff>1476375</xdr:colOff>
          <xdr:row>6</xdr:row>
          <xdr:rowOff>238125</xdr:rowOff>
        </xdr:to>
        <xdr:sp macro="" textlink="">
          <xdr:nvSpPr>
            <xdr:cNvPr id="1101" name="Option Button 77" hidden="1">
              <a:extLst>
                <a:ext uri="{63B3BB69-23CF-44E3-9099-C40C66FF867C}">
                  <a14:compatExt spid="_x0000_s1101"/>
                </a:ext>
                <a:ext uri="{FF2B5EF4-FFF2-40B4-BE49-F238E27FC236}">
                  <a16:creationId xmlns:a16="http://schemas.microsoft.com/office/drawing/2014/main" id="{237D32A1-B3D9-D0E8-1945-6E9C4BEB51B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1438275</xdr:colOff>
          <xdr:row>6</xdr:row>
          <xdr:rowOff>38100</xdr:rowOff>
        </xdr:from>
        <xdr:to>
          <xdr:col>5</xdr:col>
          <xdr:colOff>219075</xdr:colOff>
          <xdr:row>6</xdr:row>
          <xdr:rowOff>238125</xdr:rowOff>
        </xdr:to>
        <xdr:sp macro="" textlink="">
          <xdr:nvSpPr>
            <xdr:cNvPr id="1102" name="Option Button 78" hidden="1">
              <a:extLst>
                <a:ext uri="{63B3BB69-23CF-44E3-9099-C40C66FF867C}">
                  <a14:compatExt spid="_x0000_s1102"/>
                </a:ext>
                <a:ext uri="{FF2B5EF4-FFF2-40B4-BE49-F238E27FC236}">
                  <a16:creationId xmlns:a16="http://schemas.microsoft.com/office/drawing/2014/main" id="{89AACC3F-06CC-D1F7-9D03-5C9F2149B75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4</xdr:row>
          <xdr:rowOff>180975</xdr:rowOff>
        </xdr:from>
        <xdr:to>
          <xdr:col>5</xdr:col>
          <xdr:colOff>981075</xdr:colOff>
          <xdr:row>7</xdr:row>
          <xdr:rowOff>0</xdr:rowOff>
        </xdr:to>
        <xdr:sp macro="" textlink="">
          <xdr:nvSpPr>
            <xdr:cNvPr id="1103" name="Group Box 79" hidden="1">
              <a:extLst>
                <a:ext uri="{63B3BB69-23CF-44E3-9099-C40C66FF867C}">
                  <a14:compatExt spid="_x0000_s1103"/>
                </a:ext>
                <a:ext uri="{FF2B5EF4-FFF2-40B4-BE49-F238E27FC236}">
                  <a16:creationId xmlns:a16="http://schemas.microsoft.com/office/drawing/2014/main" id="{EA124778-2558-C4D0-0D32-387F0358849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8</xdr:row>
          <xdr:rowOff>38100</xdr:rowOff>
        </xdr:from>
        <xdr:to>
          <xdr:col>5</xdr:col>
          <xdr:colOff>485775</xdr:colOff>
          <xdr:row>8</xdr:row>
          <xdr:rowOff>238125</xdr:rowOff>
        </xdr:to>
        <xdr:sp macro="" textlink="">
          <xdr:nvSpPr>
            <xdr:cNvPr id="1104" name="Check Box 80" hidden="1">
              <a:extLst>
                <a:ext uri="{63B3BB69-23CF-44E3-9099-C40C66FF867C}">
                  <a14:compatExt spid="_x0000_s1104"/>
                </a:ext>
                <a:ext uri="{FF2B5EF4-FFF2-40B4-BE49-F238E27FC236}">
                  <a16:creationId xmlns:a16="http://schemas.microsoft.com/office/drawing/2014/main" id="{FCC0FF2B-D65D-BBA7-387F-530A10205FE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Combine Swap and Option Takes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390525</xdr:colOff>
          <xdr:row>7</xdr:row>
          <xdr:rowOff>9525</xdr:rowOff>
        </xdr:from>
        <xdr:to>
          <xdr:col>10</xdr:col>
          <xdr:colOff>1266825</xdr:colOff>
          <xdr:row>7</xdr:row>
          <xdr:rowOff>219075</xdr:rowOff>
        </xdr:to>
        <xdr:sp macro="" textlink="">
          <xdr:nvSpPr>
            <xdr:cNvPr id="1106" name="Option Button 82" hidden="1">
              <a:extLst>
                <a:ext uri="{63B3BB69-23CF-44E3-9099-C40C66FF867C}">
                  <a14:compatExt spid="_x0000_s1106"/>
                </a:ext>
                <a:ext uri="{FF2B5EF4-FFF2-40B4-BE49-F238E27FC236}">
                  <a16:creationId xmlns:a16="http://schemas.microsoft.com/office/drawing/2014/main" id="{88972C3C-C382-F914-A14E-654278CBE77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7</xdr:row>
          <xdr:rowOff>0</xdr:rowOff>
        </xdr:from>
        <xdr:to>
          <xdr:col>12</xdr:col>
          <xdr:colOff>257175</xdr:colOff>
          <xdr:row>8</xdr:row>
          <xdr:rowOff>0</xdr:rowOff>
        </xdr:to>
        <xdr:sp macro="" textlink="">
          <xdr:nvSpPr>
            <xdr:cNvPr id="1107" name="Group Box 83" hidden="1">
              <a:extLst>
                <a:ext uri="{63B3BB69-23CF-44E3-9099-C40C66FF867C}">
                  <a14:compatExt spid="_x0000_s1107"/>
                </a:ext>
                <a:ext uri="{FF2B5EF4-FFF2-40B4-BE49-F238E27FC236}">
                  <a16:creationId xmlns:a16="http://schemas.microsoft.com/office/drawing/2014/main" id="{85156C3F-17FD-FA88-0126-F3F723A1B86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1228725</xdr:colOff>
          <xdr:row>16</xdr:row>
          <xdr:rowOff>38100</xdr:rowOff>
        </xdr:to>
        <xdr:sp macro="" textlink="">
          <xdr:nvSpPr>
            <xdr:cNvPr id="1123" name="Group Box 99" hidden="1">
              <a:extLst>
                <a:ext uri="{63B3BB69-23CF-44E3-9099-C40C66FF867C}">
                  <a14:compatExt spid="_x0000_s1123"/>
                </a:ext>
                <a:ext uri="{FF2B5EF4-FFF2-40B4-BE49-F238E27FC236}">
                  <a16:creationId xmlns:a16="http://schemas.microsoft.com/office/drawing/2014/main" id="{9D7B5E32-49A4-E87B-745B-059A447D65D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0</xdr:colOff>
          <xdr:row>17</xdr:row>
          <xdr:rowOff>9525</xdr:rowOff>
        </xdr:to>
        <xdr:sp macro="" textlink="">
          <xdr:nvSpPr>
            <xdr:cNvPr id="1124" name="Group Box 100" hidden="1">
              <a:extLst>
                <a:ext uri="{63B3BB69-23CF-44E3-9099-C40C66FF867C}">
                  <a14:compatExt spid="_x0000_s1124"/>
                </a:ext>
                <a:ext uri="{FF2B5EF4-FFF2-40B4-BE49-F238E27FC236}">
                  <a16:creationId xmlns:a16="http://schemas.microsoft.com/office/drawing/2014/main" id="{A07DAE9D-3EC6-2C5A-4749-7380CF60268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9525</xdr:rowOff>
        </xdr:to>
        <xdr:sp macro="" textlink="">
          <xdr:nvSpPr>
            <xdr:cNvPr id="1125" name="Group Box 101" hidden="1">
              <a:extLst>
                <a:ext uri="{63B3BB69-23CF-44E3-9099-C40C66FF867C}">
                  <a14:compatExt spid="_x0000_s1125"/>
                </a:ext>
                <a:ext uri="{FF2B5EF4-FFF2-40B4-BE49-F238E27FC236}">
                  <a16:creationId xmlns:a16="http://schemas.microsoft.com/office/drawing/2014/main" id="{E449706E-3F07-EC23-EDB8-02594F9E1CE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0</xdr:colOff>
          <xdr:row>19</xdr:row>
          <xdr:rowOff>238125</xdr:rowOff>
        </xdr:to>
        <xdr:sp macro="" textlink="">
          <xdr:nvSpPr>
            <xdr:cNvPr id="1126" name="Group Box 102" hidden="1">
              <a:extLst>
                <a:ext uri="{63B3BB69-23CF-44E3-9099-C40C66FF867C}">
                  <a14:compatExt spid="_x0000_s1126"/>
                </a:ext>
                <a:ext uri="{FF2B5EF4-FFF2-40B4-BE49-F238E27FC236}">
                  <a16:creationId xmlns:a16="http://schemas.microsoft.com/office/drawing/2014/main" id="{27007B8A-3EB1-4C1D-5468-7B56A2CA392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xdr:row>
          <xdr:rowOff>0</xdr:rowOff>
        </xdr:from>
        <xdr:to>
          <xdr:col>2</xdr:col>
          <xdr:colOff>1228725</xdr:colOff>
          <xdr:row>18</xdr:row>
          <xdr:rowOff>38100</xdr:rowOff>
        </xdr:to>
        <xdr:sp macro="" textlink="">
          <xdr:nvSpPr>
            <xdr:cNvPr id="1127" name="Group Box 103" hidden="1">
              <a:extLst>
                <a:ext uri="{63B3BB69-23CF-44E3-9099-C40C66FF867C}">
                  <a14:compatExt spid="_x0000_s1127"/>
                </a:ext>
                <a:ext uri="{FF2B5EF4-FFF2-40B4-BE49-F238E27FC236}">
                  <a16:creationId xmlns:a16="http://schemas.microsoft.com/office/drawing/2014/main" id="{D5B92450-F1B5-0C95-9372-B27829067FC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15</xdr:row>
          <xdr:rowOff>9525</xdr:rowOff>
        </xdr:from>
        <xdr:to>
          <xdr:col>2</xdr:col>
          <xdr:colOff>619125</xdr:colOff>
          <xdr:row>16</xdr:row>
          <xdr:rowOff>9525</xdr:rowOff>
        </xdr:to>
        <xdr:sp macro="" textlink="">
          <xdr:nvSpPr>
            <xdr:cNvPr id="1129" name="Option Button 105" hidden="1">
              <a:extLst>
                <a:ext uri="{63B3BB69-23CF-44E3-9099-C40C66FF867C}">
                  <a14:compatExt spid="_x0000_s1129"/>
                </a:ext>
                <a:ext uri="{FF2B5EF4-FFF2-40B4-BE49-F238E27FC236}">
                  <a16:creationId xmlns:a16="http://schemas.microsoft.com/office/drawing/2014/main" id="{FFE4D5BD-650A-76EB-95B4-8DD49BA0EA7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704850</xdr:colOff>
          <xdr:row>15</xdr:row>
          <xdr:rowOff>28575</xdr:rowOff>
        </xdr:from>
        <xdr:to>
          <xdr:col>2</xdr:col>
          <xdr:colOff>1209675</xdr:colOff>
          <xdr:row>16</xdr:row>
          <xdr:rowOff>9525</xdr:rowOff>
        </xdr:to>
        <xdr:sp macro="" textlink="">
          <xdr:nvSpPr>
            <xdr:cNvPr id="1130" name="Option Button 106" hidden="1">
              <a:extLst>
                <a:ext uri="{63B3BB69-23CF-44E3-9099-C40C66FF867C}">
                  <a14:compatExt spid="_x0000_s1130"/>
                </a:ext>
                <a:ext uri="{FF2B5EF4-FFF2-40B4-BE49-F238E27FC236}">
                  <a16:creationId xmlns:a16="http://schemas.microsoft.com/office/drawing/2014/main" id="{568C390B-C49E-71AF-38CC-A3D500F99A6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16</xdr:row>
          <xdr:rowOff>9525</xdr:rowOff>
        </xdr:from>
        <xdr:to>
          <xdr:col>2</xdr:col>
          <xdr:colOff>647700</xdr:colOff>
          <xdr:row>17</xdr:row>
          <xdr:rowOff>0</xdr:rowOff>
        </xdr:to>
        <xdr:sp macro="" textlink="">
          <xdr:nvSpPr>
            <xdr:cNvPr id="1131" name="Option Button 107" hidden="1">
              <a:extLst>
                <a:ext uri="{63B3BB69-23CF-44E3-9099-C40C66FF867C}">
                  <a14:compatExt spid="_x0000_s1131"/>
                </a:ext>
                <a:ext uri="{FF2B5EF4-FFF2-40B4-BE49-F238E27FC236}">
                  <a16:creationId xmlns:a16="http://schemas.microsoft.com/office/drawing/2014/main" id="{1D1931A4-CE03-E03E-49D8-B2AFB4864A4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695325</xdr:colOff>
          <xdr:row>16</xdr:row>
          <xdr:rowOff>9525</xdr:rowOff>
        </xdr:from>
        <xdr:to>
          <xdr:col>2</xdr:col>
          <xdr:colOff>1190625</xdr:colOff>
          <xdr:row>17</xdr:row>
          <xdr:rowOff>0</xdr:rowOff>
        </xdr:to>
        <xdr:sp macro="" textlink="">
          <xdr:nvSpPr>
            <xdr:cNvPr id="1132" name="Option Button 108" hidden="1">
              <a:extLst>
                <a:ext uri="{63B3BB69-23CF-44E3-9099-C40C66FF867C}">
                  <a14:compatExt spid="_x0000_s1132"/>
                </a:ext>
                <a:ext uri="{FF2B5EF4-FFF2-40B4-BE49-F238E27FC236}">
                  <a16:creationId xmlns:a16="http://schemas.microsoft.com/office/drawing/2014/main" id="{D7E4FAB8-8B5B-E007-9D97-CE675D12E4D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18</xdr:row>
          <xdr:rowOff>28575</xdr:rowOff>
        </xdr:from>
        <xdr:to>
          <xdr:col>2</xdr:col>
          <xdr:colOff>771525</xdr:colOff>
          <xdr:row>19</xdr:row>
          <xdr:rowOff>0</xdr:rowOff>
        </xdr:to>
        <xdr:sp macro="" textlink="">
          <xdr:nvSpPr>
            <xdr:cNvPr id="1133" name="Option Button 109" hidden="1">
              <a:extLst>
                <a:ext uri="{63B3BB69-23CF-44E3-9099-C40C66FF867C}">
                  <a14:compatExt spid="_x0000_s1133"/>
                </a:ext>
                <a:ext uri="{FF2B5EF4-FFF2-40B4-BE49-F238E27FC236}">
                  <a16:creationId xmlns:a16="http://schemas.microsoft.com/office/drawing/2014/main" id="{C6C45544-58FB-EFD5-B3F0-FB9D490EDD2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18</xdr:row>
          <xdr:rowOff>28575</xdr:rowOff>
        </xdr:from>
        <xdr:to>
          <xdr:col>2</xdr:col>
          <xdr:colOff>1209675</xdr:colOff>
          <xdr:row>19</xdr:row>
          <xdr:rowOff>0</xdr:rowOff>
        </xdr:to>
        <xdr:sp macro="" textlink="">
          <xdr:nvSpPr>
            <xdr:cNvPr id="1134" name="Option Button 110" hidden="1">
              <a:extLst>
                <a:ext uri="{63B3BB69-23CF-44E3-9099-C40C66FF867C}">
                  <a14:compatExt spid="_x0000_s1134"/>
                </a:ext>
                <a:ext uri="{FF2B5EF4-FFF2-40B4-BE49-F238E27FC236}">
                  <a16:creationId xmlns:a16="http://schemas.microsoft.com/office/drawing/2014/main" id="{1E8C48EC-B72F-BEA1-0EE5-8856883C334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19</xdr:row>
          <xdr:rowOff>9525</xdr:rowOff>
        </xdr:from>
        <xdr:to>
          <xdr:col>2</xdr:col>
          <xdr:colOff>762000</xdr:colOff>
          <xdr:row>19</xdr:row>
          <xdr:rowOff>219075</xdr:rowOff>
        </xdr:to>
        <xdr:sp macro="" textlink="">
          <xdr:nvSpPr>
            <xdr:cNvPr id="1136" name="Option Button 112" hidden="1">
              <a:extLst>
                <a:ext uri="{63B3BB69-23CF-44E3-9099-C40C66FF867C}">
                  <a14:compatExt spid="_x0000_s1136"/>
                </a:ext>
                <a:ext uri="{FF2B5EF4-FFF2-40B4-BE49-F238E27FC236}">
                  <a16:creationId xmlns:a16="http://schemas.microsoft.com/office/drawing/2014/main" id="{F540BDD0-0836-9D99-F002-E24B16C67E8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19</xdr:row>
          <xdr:rowOff>0</xdr:rowOff>
        </xdr:from>
        <xdr:to>
          <xdr:col>2</xdr:col>
          <xdr:colOff>1190625</xdr:colOff>
          <xdr:row>19</xdr:row>
          <xdr:rowOff>228600</xdr:rowOff>
        </xdr:to>
        <xdr:sp macro="" textlink="">
          <xdr:nvSpPr>
            <xdr:cNvPr id="1137" name="Option Button 113" hidden="1">
              <a:extLst>
                <a:ext uri="{63B3BB69-23CF-44E3-9099-C40C66FF867C}">
                  <a14:compatExt spid="_x0000_s1137"/>
                </a:ext>
                <a:ext uri="{FF2B5EF4-FFF2-40B4-BE49-F238E27FC236}">
                  <a16:creationId xmlns:a16="http://schemas.microsoft.com/office/drawing/2014/main" id="{B1C47D09-95F7-C1BC-9C00-629587FDBAD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17</xdr:row>
          <xdr:rowOff>9525</xdr:rowOff>
        </xdr:from>
        <xdr:to>
          <xdr:col>1</xdr:col>
          <xdr:colOff>847725</xdr:colOff>
          <xdr:row>17</xdr:row>
          <xdr:rowOff>219075</xdr:rowOff>
        </xdr:to>
        <xdr:sp macro="" textlink="">
          <xdr:nvSpPr>
            <xdr:cNvPr id="1139" name="Option Button 115" hidden="1">
              <a:extLst>
                <a:ext uri="{63B3BB69-23CF-44E3-9099-C40C66FF867C}">
                  <a14:compatExt spid="_x0000_s1139"/>
                </a:ext>
                <a:ext uri="{FF2B5EF4-FFF2-40B4-BE49-F238E27FC236}">
                  <a16:creationId xmlns:a16="http://schemas.microsoft.com/office/drawing/2014/main" id="{9F49CBA6-4382-2438-1410-6E295445ABDC}"/>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1123950</xdr:colOff>
          <xdr:row>17</xdr:row>
          <xdr:rowOff>9525</xdr:rowOff>
        </xdr:from>
        <xdr:to>
          <xdr:col>2</xdr:col>
          <xdr:colOff>295275</xdr:colOff>
          <xdr:row>17</xdr:row>
          <xdr:rowOff>219075</xdr:rowOff>
        </xdr:to>
        <xdr:sp macro="" textlink="">
          <xdr:nvSpPr>
            <xdr:cNvPr id="1140" name="Option Button 116" hidden="1">
              <a:extLst>
                <a:ext uri="{63B3BB69-23CF-44E3-9099-C40C66FF867C}">
                  <a14:compatExt spid="_x0000_s1140"/>
                </a:ext>
                <a:ext uri="{FF2B5EF4-FFF2-40B4-BE49-F238E27FC236}">
                  <a16:creationId xmlns:a16="http://schemas.microsoft.com/office/drawing/2014/main" id="{1EB73B8E-C32E-D9AF-FDCC-765B4F385F8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809625</xdr:colOff>
          <xdr:row>20</xdr:row>
          <xdr:rowOff>28575</xdr:rowOff>
        </xdr:from>
        <xdr:to>
          <xdr:col>1</xdr:col>
          <xdr:colOff>1343025</xdr:colOff>
          <xdr:row>20</xdr:row>
          <xdr:rowOff>228600</xdr:rowOff>
        </xdr:to>
        <xdr:sp macro="" textlink="">
          <xdr:nvSpPr>
            <xdr:cNvPr id="1141" name="Option Button 117" hidden="1">
              <a:extLst>
                <a:ext uri="{63B3BB69-23CF-44E3-9099-C40C66FF867C}">
                  <a14:compatExt spid="_x0000_s1141"/>
                </a:ext>
                <a:ext uri="{FF2B5EF4-FFF2-40B4-BE49-F238E27FC236}">
                  <a16:creationId xmlns:a16="http://schemas.microsoft.com/office/drawing/2014/main" id="{BB2416A0-EB4D-02E9-9FE9-F593C6965E4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1333500</xdr:colOff>
          <xdr:row>7</xdr:row>
          <xdr:rowOff>28575</xdr:rowOff>
        </xdr:from>
        <xdr:to>
          <xdr:col>11</xdr:col>
          <xdr:colOff>447675</xdr:colOff>
          <xdr:row>7</xdr:row>
          <xdr:rowOff>228600</xdr:rowOff>
        </xdr:to>
        <xdr:sp macro="" textlink="">
          <xdr:nvSpPr>
            <xdr:cNvPr id="1145" name="Option Button 121" hidden="1">
              <a:extLst>
                <a:ext uri="{63B3BB69-23CF-44E3-9099-C40C66FF867C}">
                  <a14:compatExt spid="_x0000_s1145"/>
                </a:ext>
                <a:ext uri="{FF2B5EF4-FFF2-40B4-BE49-F238E27FC236}">
                  <a16:creationId xmlns:a16="http://schemas.microsoft.com/office/drawing/2014/main" id="{47594CC9-29E4-AAA7-0115-70FE51C47D9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20</xdr:row>
          <xdr:rowOff>28575</xdr:rowOff>
        </xdr:from>
        <xdr:to>
          <xdr:col>2</xdr:col>
          <xdr:colOff>561975</xdr:colOff>
          <xdr:row>20</xdr:row>
          <xdr:rowOff>228600</xdr:rowOff>
        </xdr:to>
        <xdr:sp macro="" textlink="">
          <xdr:nvSpPr>
            <xdr:cNvPr id="1147" name="Option Button 123" hidden="1">
              <a:extLst>
                <a:ext uri="{63B3BB69-23CF-44E3-9099-C40C66FF867C}">
                  <a14:compatExt spid="_x0000_s1147"/>
                </a:ext>
                <a:ext uri="{FF2B5EF4-FFF2-40B4-BE49-F238E27FC236}">
                  <a16:creationId xmlns:a16="http://schemas.microsoft.com/office/drawing/2014/main" id="{35DFA3DB-5D7F-79CC-9561-AD08983B4EC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609600</xdr:colOff>
          <xdr:row>20</xdr:row>
          <xdr:rowOff>28575</xdr:rowOff>
        </xdr:from>
        <xdr:to>
          <xdr:col>2</xdr:col>
          <xdr:colOff>1190625</xdr:colOff>
          <xdr:row>20</xdr:row>
          <xdr:rowOff>228600</xdr:rowOff>
        </xdr:to>
        <xdr:sp macro="" textlink="">
          <xdr:nvSpPr>
            <xdr:cNvPr id="1148" name="Option Button 124" hidden="1">
              <a:extLst>
                <a:ext uri="{63B3BB69-23CF-44E3-9099-C40C66FF867C}">
                  <a14:compatExt spid="_x0000_s1148"/>
                </a:ext>
                <a:ext uri="{FF2B5EF4-FFF2-40B4-BE49-F238E27FC236}">
                  <a16:creationId xmlns:a16="http://schemas.microsoft.com/office/drawing/2014/main" id="{84220B5D-BB6C-BAA8-B91E-5D6BDF3D9AB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xdr:twoCellAnchor>
    <xdr:from>
      <xdr:col>19</xdr:col>
      <xdr:colOff>0</xdr:colOff>
      <xdr:row>4</xdr:row>
      <xdr:rowOff>28575</xdr:rowOff>
    </xdr:from>
    <xdr:to>
      <xdr:col>25</xdr:col>
      <xdr:colOff>0</xdr:colOff>
      <xdr:row>30</xdr:row>
      <xdr:rowOff>28575</xdr:rowOff>
    </xdr:to>
    <xdr:sp macro="" textlink="">
      <xdr:nvSpPr>
        <xdr:cNvPr id="1247" name="Rectangle 223">
          <a:extLst>
            <a:ext uri="{FF2B5EF4-FFF2-40B4-BE49-F238E27FC236}">
              <a16:creationId xmlns:a16="http://schemas.microsoft.com/office/drawing/2014/main" id="{1E8CB3E3-3FF1-C546-7EFA-7879507EA97B}"/>
            </a:ext>
          </a:extLst>
        </xdr:cNvPr>
        <xdr:cNvSpPr>
          <a:spLocks noChangeArrowheads="1"/>
        </xdr:cNvSpPr>
      </xdr:nvSpPr>
      <xdr:spPr bwMode="auto">
        <a:xfrm>
          <a:off x="15478125" y="762000"/>
          <a:ext cx="3829050" cy="62198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14</xdr:col>
          <xdr:colOff>0</xdr:colOff>
          <xdr:row>7</xdr:row>
          <xdr:rowOff>9525</xdr:rowOff>
        </xdr:from>
        <xdr:to>
          <xdr:col>15</xdr:col>
          <xdr:colOff>38100</xdr:colOff>
          <xdr:row>7</xdr:row>
          <xdr:rowOff>219075</xdr:rowOff>
        </xdr:to>
        <xdr:sp macro="" textlink="">
          <xdr:nvSpPr>
            <xdr:cNvPr id="1286" name="Check Box 262" hidden="1">
              <a:extLst>
                <a:ext uri="{63B3BB69-23CF-44E3-9099-C40C66FF867C}">
                  <a14:compatExt spid="_x0000_s1286"/>
                </a:ext>
                <a:ext uri="{FF2B5EF4-FFF2-40B4-BE49-F238E27FC236}">
                  <a16:creationId xmlns:a16="http://schemas.microsoft.com/office/drawing/2014/main" id="{386DA9D3-10B9-CE7B-44BB-278E6D44234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 Jan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8</xdr:row>
          <xdr:rowOff>9525</xdr:rowOff>
        </xdr:from>
        <xdr:to>
          <xdr:col>15</xdr:col>
          <xdr:colOff>28575</xdr:colOff>
          <xdr:row>8</xdr:row>
          <xdr:rowOff>219075</xdr:rowOff>
        </xdr:to>
        <xdr:sp macro="" textlink="">
          <xdr:nvSpPr>
            <xdr:cNvPr id="1298" name="Check Box 274" hidden="1">
              <a:extLst>
                <a:ext uri="{63B3BB69-23CF-44E3-9099-C40C66FF867C}">
                  <a14:compatExt spid="_x0000_s1298"/>
                </a:ext>
                <a:ext uri="{FF2B5EF4-FFF2-40B4-BE49-F238E27FC236}">
                  <a16:creationId xmlns:a16="http://schemas.microsoft.com/office/drawing/2014/main" id="{8105EC56-94A6-5651-F011-8F5A8032685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2 Feb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xdr:row>
          <xdr:rowOff>9525</xdr:rowOff>
        </xdr:from>
        <xdr:to>
          <xdr:col>15</xdr:col>
          <xdr:colOff>38100</xdr:colOff>
          <xdr:row>9</xdr:row>
          <xdr:rowOff>219075</xdr:rowOff>
        </xdr:to>
        <xdr:sp macro="" textlink="">
          <xdr:nvSpPr>
            <xdr:cNvPr id="1299" name="Check Box 275" hidden="1">
              <a:extLst>
                <a:ext uri="{63B3BB69-23CF-44E3-9099-C40C66FF867C}">
                  <a14:compatExt spid="_x0000_s1299"/>
                </a:ext>
                <a:ext uri="{FF2B5EF4-FFF2-40B4-BE49-F238E27FC236}">
                  <a16:creationId xmlns:a16="http://schemas.microsoft.com/office/drawing/2014/main" id="{C35AB1F5-9361-B306-DFA6-1CFD3952243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 Mar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10</xdr:row>
          <xdr:rowOff>9525</xdr:rowOff>
        </xdr:from>
        <xdr:to>
          <xdr:col>15</xdr:col>
          <xdr:colOff>28575</xdr:colOff>
          <xdr:row>10</xdr:row>
          <xdr:rowOff>219075</xdr:rowOff>
        </xdr:to>
        <xdr:sp macro="" textlink="">
          <xdr:nvSpPr>
            <xdr:cNvPr id="1300" name="Check Box 276" hidden="1">
              <a:extLst>
                <a:ext uri="{63B3BB69-23CF-44E3-9099-C40C66FF867C}">
                  <a14:compatExt spid="_x0000_s1300"/>
                </a:ext>
                <a:ext uri="{FF2B5EF4-FFF2-40B4-BE49-F238E27FC236}">
                  <a16:creationId xmlns:a16="http://schemas.microsoft.com/office/drawing/2014/main" id="{5410035E-C87C-3837-3F5A-59290114132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4 Apr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11</xdr:row>
          <xdr:rowOff>9525</xdr:rowOff>
        </xdr:from>
        <xdr:to>
          <xdr:col>15</xdr:col>
          <xdr:colOff>38100</xdr:colOff>
          <xdr:row>12</xdr:row>
          <xdr:rowOff>0</xdr:rowOff>
        </xdr:to>
        <xdr:sp macro="" textlink="">
          <xdr:nvSpPr>
            <xdr:cNvPr id="1301" name="Check Box 277" hidden="1">
              <a:extLst>
                <a:ext uri="{63B3BB69-23CF-44E3-9099-C40C66FF867C}">
                  <a14:compatExt spid="_x0000_s1301"/>
                </a:ext>
                <a:ext uri="{FF2B5EF4-FFF2-40B4-BE49-F238E27FC236}">
                  <a16:creationId xmlns:a16="http://schemas.microsoft.com/office/drawing/2014/main" id="{278FBA5E-2432-4177-B2A1-E3972BC2A40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 May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12</xdr:row>
          <xdr:rowOff>9525</xdr:rowOff>
        </xdr:from>
        <xdr:to>
          <xdr:col>15</xdr:col>
          <xdr:colOff>38100</xdr:colOff>
          <xdr:row>12</xdr:row>
          <xdr:rowOff>219075</xdr:rowOff>
        </xdr:to>
        <xdr:sp macro="" textlink="">
          <xdr:nvSpPr>
            <xdr:cNvPr id="1302" name="Check Box 278" hidden="1">
              <a:extLst>
                <a:ext uri="{63B3BB69-23CF-44E3-9099-C40C66FF867C}">
                  <a14:compatExt spid="_x0000_s1302"/>
                </a:ext>
                <a:ext uri="{FF2B5EF4-FFF2-40B4-BE49-F238E27FC236}">
                  <a16:creationId xmlns:a16="http://schemas.microsoft.com/office/drawing/2014/main" id="{365472FD-025F-6689-B63D-2C6F5CEBBED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6 Jun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13</xdr:row>
          <xdr:rowOff>9525</xdr:rowOff>
        </xdr:from>
        <xdr:to>
          <xdr:col>15</xdr:col>
          <xdr:colOff>38100</xdr:colOff>
          <xdr:row>13</xdr:row>
          <xdr:rowOff>219075</xdr:rowOff>
        </xdr:to>
        <xdr:sp macro="" textlink="">
          <xdr:nvSpPr>
            <xdr:cNvPr id="1303" name="Check Box 279" hidden="1">
              <a:extLst>
                <a:ext uri="{63B3BB69-23CF-44E3-9099-C40C66FF867C}">
                  <a14:compatExt spid="_x0000_s1303"/>
                </a:ext>
                <a:ext uri="{FF2B5EF4-FFF2-40B4-BE49-F238E27FC236}">
                  <a16:creationId xmlns:a16="http://schemas.microsoft.com/office/drawing/2014/main" id="{A4FE4D10-57DB-A26B-67F2-374CAFEEDEF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7 Jul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14</xdr:row>
          <xdr:rowOff>9525</xdr:rowOff>
        </xdr:from>
        <xdr:to>
          <xdr:col>15</xdr:col>
          <xdr:colOff>38100</xdr:colOff>
          <xdr:row>15</xdr:row>
          <xdr:rowOff>9525</xdr:rowOff>
        </xdr:to>
        <xdr:sp macro="" textlink="">
          <xdr:nvSpPr>
            <xdr:cNvPr id="1304" name="Check Box 280" hidden="1">
              <a:extLst>
                <a:ext uri="{63B3BB69-23CF-44E3-9099-C40C66FF867C}">
                  <a14:compatExt spid="_x0000_s1304"/>
                </a:ext>
                <a:ext uri="{FF2B5EF4-FFF2-40B4-BE49-F238E27FC236}">
                  <a16:creationId xmlns:a16="http://schemas.microsoft.com/office/drawing/2014/main" id="{4F0CC752-021A-008F-E558-8DF3AC5D1DBA}"/>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8 Aug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15</xdr:row>
          <xdr:rowOff>9525</xdr:rowOff>
        </xdr:from>
        <xdr:to>
          <xdr:col>15</xdr:col>
          <xdr:colOff>38100</xdr:colOff>
          <xdr:row>16</xdr:row>
          <xdr:rowOff>9525</xdr:rowOff>
        </xdr:to>
        <xdr:sp macro="" textlink="">
          <xdr:nvSpPr>
            <xdr:cNvPr id="1305" name="Check Box 281" hidden="1">
              <a:extLst>
                <a:ext uri="{63B3BB69-23CF-44E3-9099-C40C66FF867C}">
                  <a14:compatExt spid="_x0000_s1305"/>
                </a:ext>
                <a:ext uri="{FF2B5EF4-FFF2-40B4-BE49-F238E27FC236}">
                  <a16:creationId xmlns:a16="http://schemas.microsoft.com/office/drawing/2014/main" id="{7D8B6106-45E2-1BB5-B82A-953820E4E88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9 Sep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9525</xdr:rowOff>
        </xdr:from>
        <xdr:to>
          <xdr:col>15</xdr:col>
          <xdr:colOff>38100</xdr:colOff>
          <xdr:row>17</xdr:row>
          <xdr:rowOff>0</xdr:rowOff>
        </xdr:to>
        <xdr:sp macro="" textlink="">
          <xdr:nvSpPr>
            <xdr:cNvPr id="1306" name="Check Box 282" hidden="1">
              <a:extLst>
                <a:ext uri="{63B3BB69-23CF-44E3-9099-C40C66FF867C}">
                  <a14:compatExt spid="_x0000_s1306"/>
                </a:ext>
                <a:ext uri="{FF2B5EF4-FFF2-40B4-BE49-F238E27FC236}">
                  <a16:creationId xmlns:a16="http://schemas.microsoft.com/office/drawing/2014/main" id="{F45B6DCE-525A-AE87-DE19-85CCFC5C051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 Oct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247650</xdr:rowOff>
        </xdr:from>
        <xdr:to>
          <xdr:col>15</xdr:col>
          <xdr:colOff>38100</xdr:colOff>
          <xdr:row>17</xdr:row>
          <xdr:rowOff>219075</xdr:rowOff>
        </xdr:to>
        <xdr:sp macro="" textlink="">
          <xdr:nvSpPr>
            <xdr:cNvPr id="1307" name="Check Box 283" hidden="1">
              <a:extLst>
                <a:ext uri="{63B3BB69-23CF-44E3-9099-C40C66FF867C}">
                  <a14:compatExt spid="_x0000_s1307"/>
                </a:ext>
                <a:ext uri="{FF2B5EF4-FFF2-40B4-BE49-F238E27FC236}">
                  <a16:creationId xmlns:a16="http://schemas.microsoft.com/office/drawing/2014/main" id="{45363E84-B4DE-E6C4-07AF-533DCEDD019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11 Nov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18</xdr:row>
          <xdr:rowOff>9525</xdr:rowOff>
        </xdr:from>
        <xdr:to>
          <xdr:col>15</xdr:col>
          <xdr:colOff>38100</xdr:colOff>
          <xdr:row>19</xdr:row>
          <xdr:rowOff>0</xdr:rowOff>
        </xdr:to>
        <xdr:sp macro="" textlink="">
          <xdr:nvSpPr>
            <xdr:cNvPr id="1308" name="Check Box 284" hidden="1">
              <a:extLst>
                <a:ext uri="{63B3BB69-23CF-44E3-9099-C40C66FF867C}">
                  <a14:compatExt spid="_x0000_s1308"/>
                </a:ext>
                <a:ext uri="{FF2B5EF4-FFF2-40B4-BE49-F238E27FC236}">
                  <a16:creationId xmlns:a16="http://schemas.microsoft.com/office/drawing/2014/main" id="{C9A242CA-FC60-0EF2-CD66-8461526D1EB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12 Dec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6</xdr:row>
          <xdr:rowOff>9525</xdr:rowOff>
        </xdr:from>
        <xdr:to>
          <xdr:col>5</xdr:col>
          <xdr:colOff>695325</xdr:colOff>
          <xdr:row>6</xdr:row>
          <xdr:rowOff>228600</xdr:rowOff>
        </xdr:to>
        <xdr:sp macro="" textlink="">
          <xdr:nvSpPr>
            <xdr:cNvPr id="1344" name="Option Button 320" hidden="1">
              <a:extLst>
                <a:ext uri="{63B3BB69-23CF-44E3-9099-C40C66FF867C}">
                  <a14:compatExt spid="_x0000_s1344"/>
                </a:ext>
                <a:ext uri="{FF2B5EF4-FFF2-40B4-BE49-F238E27FC236}">
                  <a16:creationId xmlns:a16="http://schemas.microsoft.com/office/drawing/2014/main" id="{51E1B6EE-1B2D-9B09-AB5F-492EB86C9E6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xdr:row>
          <xdr:rowOff>0</xdr:rowOff>
        </xdr:from>
        <xdr:to>
          <xdr:col>7</xdr:col>
          <xdr:colOff>1666875</xdr:colOff>
          <xdr:row>6</xdr:row>
          <xdr:rowOff>200025</xdr:rowOff>
        </xdr:to>
        <xdr:sp macro="" textlink="">
          <xdr:nvSpPr>
            <xdr:cNvPr id="1348" name="Check Box 324" hidden="1">
              <a:extLst>
                <a:ext uri="{63B3BB69-23CF-44E3-9099-C40C66FF867C}">
                  <a14:compatExt spid="_x0000_s1348"/>
                </a:ext>
                <a:ext uri="{FF2B5EF4-FFF2-40B4-BE49-F238E27FC236}">
                  <a16:creationId xmlns:a16="http://schemas.microsoft.com/office/drawing/2014/main" id="{C049579B-009C-041B-C5FD-FCC7D9C2E0DB}"/>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Diff. Opt. Volume (MW)</a:t>
              </a:r>
            </a:p>
          </xdr:txBody>
        </xdr:sp>
        <xdr:clientData/>
      </xdr:twoCellAnchor>
    </mc:Choice>
    <mc:Fallback/>
  </mc:AlternateContent>
  <xdr:twoCellAnchor>
    <xdr:from>
      <xdr:col>19</xdr:col>
      <xdr:colOff>0</xdr:colOff>
      <xdr:row>31</xdr:row>
      <xdr:rowOff>0</xdr:rowOff>
    </xdr:from>
    <xdr:to>
      <xdr:col>25</xdr:col>
      <xdr:colOff>0</xdr:colOff>
      <xdr:row>57</xdr:row>
      <xdr:rowOff>0</xdr:rowOff>
    </xdr:to>
    <xdr:sp macro="" textlink="">
      <xdr:nvSpPr>
        <xdr:cNvPr id="1354" name="Rectangle 330">
          <a:extLst>
            <a:ext uri="{FF2B5EF4-FFF2-40B4-BE49-F238E27FC236}">
              <a16:creationId xmlns:a16="http://schemas.microsoft.com/office/drawing/2014/main" id="{A57843DA-7A43-0677-DAAF-D4562D50297A}"/>
            </a:ext>
          </a:extLst>
        </xdr:cNvPr>
        <xdr:cNvSpPr>
          <a:spLocks noChangeArrowheads="1"/>
        </xdr:cNvSpPr>
      </xdr:nvSpPr>
      <xdr:spPr bwMode="auto">
        <a:xfrm>
          <a:off x="15478125" y="7200900"/>
          <a:ext cx="3829050" cy="63912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390525</xdr:colOff>
          <xdr:row>17</xdr:row>
          <xdr:rowOff>9525</xdr:rowOff>
        </xdr:from>
        <xdr:to>
          <xdr:col>2</xdr:col>
          <xdr:colOff>1104900</xdr:colOff>
          <xdr:row>17</xdr:row>
          <xdr:rowOff>219075</xdr:rowOff>
        </xdr:to>
        <xdr:sp macro="" textlink="">
          <xdr:nvSpPr>
            <xdr:cNvPr id="1371" name="Option Button 347" hidden="1">
              <a:extLst>
                <a:ext uri="{63B3BB69-23CF-44E3-9099-C40C66FF867C}">
                  <a14:compatExt spid="_x0000_s1371"/>
                </a:ext>
                <a:ext uri="{FF2B5EF4-FFF2-40B4-BE49-F238E27FC236}">
                  <a16:creationId xmlns:a16="http://schemas.microsoft.com/office/drawing/2014/main" id="{3DA6A98C-B546-94A7-506F-5DDD62F9B51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3</xdr:col>
          <xdr:colOff>0</xdr:colOff>
          <xdr:row>27</xdr:row>
          <xdr:rowOff>28575</xdr:rowOff>
        </xdr:to>
        <xdr:sp macro="" textlink="">
          <xdr:nvSpPr>
            <xdr:cNvPr id="1375" name="Group Box 351" hidden="1">
              <a:extLst>
                <a:ext uri="{63B3BB69-23CF-44E3-9099-C40C66FF867C}">
                  <a14:compatExt spid="_x0000_s1375"/>
                </a:ext>
                <a:ext uri="{FF2B5EF4-FFF2-40B4-BE49-F238E27FC236}">
                  <a16:creationId xmlns:a16="http://schemas.microsoft.com/office/drawing/2014/main" id="{3FA7D82D-9B71-79BA-12FF-C58CB99AC3E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28575</xdr:rowOff>
        </xdr:from>
        <xdr:to>
          <xdr:col>2</xdr:col>
          <xdr:colOff>762000</xdr:colOff>
          <xdr:row>26</xdr:row>
          <xdr:rowOff>228600</xdr:rowOff>
        </xdr:to>
        <xdr:sp macro="" textlink="">
          <xdr:nvSpPr>
            <xdr:cNvPr id="1376" name="Option Button 352" hidden="1">
              <a:extLst>
                <a:ext uri="{63B3BB69-23CF-44E3-9099-C40C66FF867C}">
                  <a14:compatExt spid="_x0000_s1376"/>
                </a:ext>
                <a:ext uri="{FF2B5EF4-FFF2-40B4-BE49-F238E27FC236}">
                  <a16:creationId xmlns:a16="http://schemas.microsoft.com/office/drawing/2014/main" id="{FA56E80B-0B89-019B-0690-4437BE8A74CF}"/>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742950</xdr:colOff>
          <xdr:row>26</xdr:row>
          <xdr:rowOff>28575</xdr:rowOff>
        </xdr:from>
        <xdr:to>
          <xdr:col>2</xdr:col>
          <xdr:colOff>1181100</xdr:colOff>
          <xdr:row>26</xdr:row>
          <xdr:rowOff>228600</xdr:rowOff>
        </xdr:to>
        <xdr:sp macro="" textlink="">
          <xdr:nvSpPr>
            <xdr:cNvPr id="1377" name="Option Button 353" hidden="1">
              <a:extLst>
                <a:ext uri="{63B3BB69-23CF-44E3-9099-C40C66FF867C}">
                  <a14:compatExt spid="_x0000_s1377"/>
                </a:ext>
                <a:ext uri="{FF2B5EF4-FFF2-40B4-BE49-F238E27FC236}">
                  <a16:creationId xmlns:a16="http://schemas.microsoft.com/office/drawing/2014/main" id="{5B901D54-AABD-AFB7-11C5-F76AE9234B6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1171575</xdr:colOff>
          <xdr:row>28</xdr:row>
          <xdr:rowOff>28575</xdr:rowOff>
        </xdr:from>
        <xdr:to>
          <xdr:col>3</xdr:col>
          <xdr:colOff>47625</xdr:colOff>
          <xdr:row>29</xdr:row>
          <xdr:rowOff>9525</xdr:rowOff>
        </xdr:to>
        <xdr:sp macro="" textlink="">
          <xdr:nvSpPr>
            <xdr:cNvPr id="1378" name="Group Box 354" hidden="1">
              <a:extLst>
                <a:ext uri="{63B3BB69-23CF-44E3-9099-C40C66FF867C}">
                  <a14:compatExt spid="_x0000_s1378"/>
                </a:ext>
                <a:ext uri="{FF2B5EF4-FFF2-40B4-BE49-F238E27FC236}">
                  <a16:creationId xmlns:a16="http://schemas.microsoft.com/office/drawing/2014/main" id="{60EB2B58-5978-4F59-D210-CECF0F32D5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1314450</xdr:colOff>
          <xdr:row>28</xdr:row>
          <xdr:rowOff>28575</xdr:rowOff>
        </xdr:from>
        <xdr:to>
          <xdr:col>2</xdr:col>
          <xdr:colOff>638175</xdr:colOff>
          <xdr:row>28</xdr:row>
          <xdr:rowOff>228600</xdr:rowOff>
        </xdr:to>
        <xdr:sp macro="" textlink="">
          <xdr:nvSpPr>
            <xdr:cNvPr id="1379" name="Option Button 355" hidden="1">
              <a:extLst>
                <a:ext uri="{63B3BB69-23CF-44E3-9099-C40C66FF867C}">
                  <a14:compatExt spid="_x0000_s1379"/>
                </a:ext>
                <a:ext uri="{FF2B5EF4-FFF2-40B4-BE49-F238E27FC236}">
                  <a16:creationId xmlns:a16="http://schemas.microsoft.com/office/drawing/2014/main" id="{DABF4C62-7FCD-EBFA-D7C1-AD45E029721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371475</xdr:colOff>
          <xdr:row>28</xdr:row>
          <xdr:rowOff>28575</xdr:rowOff>
        </xdr:from>
        <xdr:to>
          <xdr:col>2</xdr:col>
          <xdr:colOff>847725</xdr:colOff>
          <xdr:row>28</xdr:row>
          <xdr:rowOff>228600</xdr:rowOff>
        </xdr:to>
        <xdr:sp macro="" textlink="">
          <xdr:nvSpPr>
            <xdr:cNvPr id="1380" name="Option Button 356" hidden="1">
              <a:extLst>
                <a:ext uri="{63B3BB69-23CF-44E3-9099-C40C66FF867C}">
                  <a14:compatExt spid="_x0000_s1380"/>
                </a:ext>
                <a:ext uri="{FF2B5EF4-FFF2-40B4-BE49-F238E27FC236}">
                  <a16:creationId xmlns:a16="http://schemas.microsoft.com/office/drawing/2014/main" id="{6CBDF629-C4EB-E5C0-CC55-48195E1AE6AD}"/>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790575</xdr:colOff>
          <xdr:row>20</xdr:row>
          <xdr:rowOff>0</xdr:rowOff>
        </xdr:from>
        <xdr:to>
          <xdr:col>2</xdr:col>
          <xdr:colOff>1228725</xdr:colOff>
          <xdr:row>21</xdr:row>
          <xdr:rowOff>0</xdr:rowOff>
        </xdr:to>
        <xdr:sp macro="" textlink="">
          <xdr:nvSpPr>
            <xdr:cNvPr id="1407" name="Group Box 383" hidden="1">
              <a:extLst>
                <a:ext uri="{63B3BB69-23CF-44E3-9099-C40C66FF867C}">
                  <a14:compatExt spid="_x0000_s1407"/>
                </a:ext>
                <a:ext uri="{FF2B5EF4-FFF2-40B4-BE49-F238E27FC236}">
                  <a16:creationId xmlns:a16="http://schemas.microsoft.com/office/drawing/2014/main" id="{B877E472-9178-5DE9-93F6-DA697DE26D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514350</xdr:colOff>
          <xdr:row>7</xdr:row>
          <xdr:rowOff>28575</xdr:rowOff>
        </xdr:from>
        <xdr:to>
          <xdr:col>4</xdr:col>
          <xdr:colOff>1571625</xdr:colOff>
          <xdr:row>7</xdr:row>
          <xdr:rowOff>228600</xdr:rowOff>
        </xdr:to>
        <xdr:sp macro="" textlink="">
          <xdr:nvSpPr>
            <xdr:cNvPr id="1409" name="Option Button 385" hidden="1">
              <a:extLst>
                <a:ext uri="{63B3BB69-23CF-44E3-9099-C40C66FF867C}">
                  <a14:compatExt spid="_x0000_s1409"/>
                </a:ext>
                <a:ext uri="{FF2B5EF4-FFF2-40B4-BE49-F238E27FC236}">
                  <a16:creationId xmlns:a16="http://schemas.microsoft.com/office/drawing/2014/main" id="{A98F6443-2AD4-4A2F-C559-01FA10056AF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1533525</xdr:colOff>
          <xdr:row>7</xdr:row>
          <xdr:rowOff>9525</xdr:rowOff>
        </xdr:from>
        <xdr:to>
          <xdr:col>5</xdr:col>
          <xdr:colOff>762000</xdr:colOff>
          <xdr:row>7</xdr:row>
          <xdr:rowOff>238125</xdr:rowOff>
        </xdr:to>
        <xdr:sp macro="" textlink="">
          <xdr:nvSpPr>
            <xdr:cNvPr id="1410" name="Option Button 386" hidden="1">
              <a:extLst>
                <a:ext uri="{63B3BB69-23CF-44E3-9099-C40C66FF867C}">
                  <a14:compatExt spid="_x0000_s1410"/>
                </a:ext>
                <a:ext uri="{FF2B5EF4-FFF2-40B4-BE49-F238E27FC236}">
                  <a16:creationId xmlns:a16="http://schemas.microsoft.com/office/drawing/2014/main" id="{4ECF9F2A-E6A0-87A7-6DB9-E5D621D847E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Least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7</xdr:row>
          <xdr:rowOff>0</xdr:rowOff>
        </xdr:from>
        <xdr:to>
          <xdr:col>5</xdr:col>
          <xdr:colOff>990600</xdr:colOff>
          <xdr:row>8</xdr:row>
          <xdr:rowOff>0</xdr:rowOff>
        </xdr:to>
        <xdr:sp macro="" textlink="">
          <xdr:nvSpPr>
            <xdr:cNvPr id="1411" name="Group Box 387" hidden="1">
              <a:extLst>
                <a:ext uri="{63B3BB69-23CF-44E3-9099-C40C66FF867C}">
                  <a14:compatExt spid="_x0000_s1411"/>
                </a:ext>
                <a:ext uri="{FF2B5EF4-FFF2-40B4-BE49-F238E27FC236}">
                  <a16:creationId xmlns:a16="http://schemas.microsoft.com/office/drawing/2014/main" id="{CEDF214F-9CCC-0E4A-BC18-C8CD20B0A8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32</xdr:row>
          <xdr:rowOff>28575</xdr:rowOff>
        </xdr:from>
        <xdr:to>
          <xdr:col>1</xdr:col>
          <xdr:colOff>714375</xdr:colOff>
          <xdr:row>32</xdr:row>
          <xdr:rowOff>228600</xdr:rowOff>
        </xdr:to>
        <xdr:sp macro="" textlink="">
          <xdr:nvSpPr>
            <xdr:cNvPr id="1414" name="Check Box 390" hidden="1">
              <a:extLst>
                <a:ext uri="{63B3BB69-23CF-44E3-9099-C40C66FF867C}">
                  <a14:compatExt spid="_x0000_s1414"/>
                </a:ext>
                <a:ext uri="{FF2B5EF4-FFF2-40B4-BE49-F238E27FC236}">
                  <a16:creationId xmlns:a16="http://schemas.microsoft.com/office/drawing/2014/main" id="{D5B234D7-8C49-2773-E7E4-62A65AD9CFDE}"/>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28575</xdr:rowOff>
        </xdr:from>
        <xdr:to>
          <xdr:col>1</xdr:col>
          <xdr:colOff>714375</xdr:colOff>
          <xdr:row>31</xdr:row>
          <xdr:rowOff>228600</xdr:rowOff>
        </xdr:to>
        <xdr:sp macro="" textlink="">
          <xdr:nvSpPr>
            <xdr:cNvPr id="1415" name="Check Box 391" hidden="1">
              <a:extLst>
                <a:ext uri="{63B3BB69-23CF-44E3-9099-C40C66FF867C}">
                  <a14:compatExt spid="_x0000_s1415"/>
                </a:ext>
                <a:ext uri="{FF2B5EF4-FFF2-40B4-BE49-F238E27FC236}">
                  <a16:creationId xmlns:a16="http://schemas.microsoft.com/office/drawing/2014/main" id="{61E31D2A-9406-3920-68E5-906BF5D022D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xdr:twoCellAnchor>
    <xdr:from>
      <xdr:col>14</xdr:col>
      <xdr:colOff>0</xdr:colOff>
      <xdr:row>20</xdr:row>
      <xdr:rowOff>0</xdr:rowOff>
    </xdr:from>
    <xdr:to>
      <xdr:col>18</xdr:col>
      <xdr:colOff>0</xdr:colOff>
      <xdr:row>21</xdr:row>
      <xdr:rowOff>0</xdr:rowOff>
    </xdr:to>
    <xdr:sp macro="" textlink="">
      <xdr:nvSpPr>
        <xdr:cNvPr id="1418" name="Rectangle 394">
          <a:extLst>
            <a:ext uri="{FF2B5EF4-FFF2-40B4-BE49-F238E27FC236}">
              <a16:creationId xmlns:a16="http://schemas.microsoft.com/office/drawing/2014/main" id="{E1AE7EA1-4CBD-404D-F193-1D31B4DF34EE}"/>
            </a:ext>
          </a:extLst>
        </xdr:cNvPr>
        <xdr:cNvSpPr>
          <a:spLocks noChangeArrowheads="1"/>
        </xdr:cNvSpPr>
      </xdr:nvSpPr>
      <xdr:spPr bwMode="auto">
        <a:xfrm>
          <a:off x="12392025" y="4505325"/>
          <a:ext cx="2952750" cy="2476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3</xdr:row>
      <xdr:rowOff>142875</xdr:rowOff>
    </xdr:from>
    <xdr:to>
      <xdr:col>6</xdr:col>
      <xdr:colOff>47625</xdr:colOff>
      <xdr:row>9</xdr:row>
      <xdr:rowOff>19050</xdr:rowOff>
    </xdr:to>
    <xdr:sp macro="" textlink="">
      <xdr:nvSpPr>
        <xdr:cNvPr id="28334" name="Text Box 1710">
          <a:extLst>
            <a:ext uri="{FF2B5EF4-FFF2-40B4-BE49-F238E27FC236}">
              <a16:creationId xmlns:a16="http://schemas.microsoft.com/office/drawing/2014/main" id="{DB0D44F9-8032-6702-0389-78855D535FF2}"/>
            </a:ext>
          </a:extLst>
        </xdr:cNvPr>
        <xdr:cNvSpPr txBox="1">
          <a:spLocks noChangeArrowheads="1"/>
        </xdr:cNvSpPr>
      </xdr:nvSpPr>
      <xdr:spPr bwMode="auto">
        <a:xfrm>
          <a:off x="2847975" y="704850"/>
          <a:ext cx="3095625" cy="1285875"/>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xdr:col>
      <xdr:colOff>66675</xdr:colOff>
      <xdr:row>3</xdr:row>
      <xdr:rowOff>9525</xdr:rowOff>
    </xdr:from>
    <xdr:to>
      <xdr:col>12</xdr:col>
      <xdr:colOff>295275</xdr:colOff>
      <xdr:row>8</xdr:row>
      <xdr:rowOff>95250</xdr:rowOff>
    </xdr:to>
    <xdr:sp macro="" textlink="">
      <xdr:nvSpPr>
        <xdr:cNvPr id="28335" name="Text Box 1711">
          <a:extLst>
            <a:ext uri="{FF2B5EF4-FFF2-40B4-BE49-F238E27FC236}">
              <a16:creationId xmlns:a16="http://schemas.microsoft.com/office/drawing/2014/main" id="{73DBE2D1-9D36-F9E7-E831-EB5F01A4B66C}"/>
            </a:ext>
          </a:extLst>
        </xdr:cNvPr>
        <xdr:cNvSpPr txBox="1">
          <a:spLocks noChangeArrowheads="1"/>
        </xdr:cNvSpPr>
      </xdr:nvSpPr>
      <xdr:spPr bwMode="auto">
        <a:xfrm>
          <a:off x="8753475" y="571500"/>
          <a:ext cx="2571750" cy="118110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xdr:col>
      <xdr:colOff>447675</xdr:colOff>
      <xdr:row>3</xdr:row>
      <xdr:rowOff>161925</xdr:rowOff>
    </xdr:from>
    <xdr:to>
      <xdr:col>18</xdr:col>
      <xdr:colOff>28575</xdr:colOff>
      <xdr:row>38</xdr:row>
      <xdr:rowOff>0</xdr:rowOff>
    </xdr:to>
    <xdr:sp macro="" textlink="">
      <xdr:nvSpPr>
        <xdr:cNvPr id="28339" name="Text Box 1715">
          <a:extLst>
            <a:ext uri="{FF2B5EF4-FFF2-40B4-BE49-F238E27FC236}">
              <a16:creationId xmlns:a16="http://schemas.microsoft.com/office/drawing/2014/main" id="{88200ECF-BFED-4F6E-676B-58ED9967485F}"/>
            </a:ext>
          </a:extLst>
        </xdr:cNvPr>
        <xdr:cNvSpPr txBox="1">
          <a:spLocks noChangeArrowheads="1"/>
        </xdr:cNvSpPr>
      </xdr:nvSpPr>
      <xdr:spPr bwMode="auto">
        <a:xfrm>
          <a:off x="12353925" y="723900"/>
          <a:ext cx="3019425" cy="8315325"/>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638175</xdr:colOff>
      <xdr:row>0</xdr:row>
      <xdr:rowOff>0</xdr:rowOff>
    </xdr:from>
    <xdr:to>
      <xdr:col>2</xdr:col>
      <xdr:colOff>638175</xdr:colOff>
      <xdr:row>0</xdr:row>
      <xdr:rowOff>0</xdr:rowOff>
    </xdr:to>
    <xdr:sp macro="" textlink="">
      <xdr:nvSpPr>
        <xdr:cNvPr id="29718" name="Text Box 22">
          <a:extLst>
            <a:ext uri="{FF2B5EF4-FFF2-40B4-BE49-F238E27FC236}">
              <a16:creationId xmlns:a16="http://schemas.microsoft.com/office/drawing/2014/main" id="{E897AA19-A199-CC0D-0E08-12EB5732691E}"/>
            </a:ext>
          </a:extLst>
        </xdr:cNvPr>
        <xdr:cNvSpPr txBox="1">
          <a:spLocks noChangeArrowheads="1"/>
        </xdr:cNvSpPr>
      </xdr:nvSpPr>
      <xdr:spPr bwMode="auto">
        <a:xfrm>
          <a:off x="2209800" y="0"/>
          <a:ext cx="638175"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From Calc</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3</xdr:col>
      <xdr:colOff>9525</xdr:colOff>
      <xdr:row>0</xdr:row>
      <xdr:rowOff>0</xdr:rowOff>
    </xdr:from>
    <xdr:to>
      <xdr:col>4</xdr:col>
      <xdr:colOff>9525</xdr:colOff>
      <xdr:row>0</xdr:row>
      <xdr:rowOff>0</xdr:rowOff>
    </xdr:to>
    <xdr:sp macro="" textlink="">
      <xdr:nvSpPr>
        <xdr:cNvPr id="29719" name="Text Box 23">
          <a:extLst>
            <a:ext uri="{FF2B5EF4-FFF2-40B4-BE49-F238E27FC236}">
              <a16:creationId xmlns:a16="http://schemas.microsoft.com/office/drawing/2014/main" id="{9F1737D3-035C-6497-704C-828CC114A0E2}"/>
            </a:ext>
          </a:extLst>
        </xdr:cNvPr>
        <xdr:cNvSpPr txBox="1">
          <a:spLocks noChangeArrowheads="1"/>
        </xdr:cNvSpPr>
      </xdr:nvSpPr>
      <xdr:spPr bwMode="auto">
        <a:xfrm>
          <a:off x="3028950" y="0"/>
          <a:ext cx="6286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Curves</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0</xdr:col>
      <xdr:colOff>1209675</xdr:colOff>
      <xdr:row>58</xdr:row>
      <xdr:rowOff>47625</xdr:rowOff>
    </xdr:from>
    <xdr:to>
      <xdr:col>1</xdr:col>
      <xdr:colOff>561975</xdr:colOff>
      <xdr:row>59</xdr:row>
      <xdr:rowOff>133350</xdr:rowOff>
    </xdr:to>
    <xdr:sp macro="" textlink="">
      <xdr:nvSpPr>
        <xdr:cNvPr id="29746" name="Text Box 50">
          <a:extLst>
            <a:ext uri="{FF2B5EF4-FFF2-40B4-BE49-F238E27FC236}">
              <a16:creationId xmlns:a16="http://schemas.microsoft.com/office/drawing/2014/main" id="{D700012F-A2E3-885F-2684-C99787D4077B}"/>
            </a:ext>
          </a:extLst>
        </xdr:cNvPr>
        <xdr:cNvSpPr txBox="1">
          <a:spLocks noChangeArrowheads="1"/>
        </xdr:cNvSpPr>
      </xdr:nvSpPr>
      <xdr:spPr bwMode="auto">
        <a:xfrm>
          <a:off x="1209675" y="9305925"/>
          <a:ext cx="942975" cy="2286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28575</xdr:colOff>
      <xdr:row>4</xdr:row>
      <xdr:rowOff>104775</xdr:rowOff>
    </xdr:from>
    <xdr:to>
      <xdr:col>0</xdr:col>
      <xdr:colOff>971550</xdr:colOff>
      <xdr:row>5</xdr:row>
      <xdr:rowOff>152400</xdr:rowOff>
    </xdr:to>
    <xdr:sp macro="" textlink="">
      <xdr:nvSpPr>
        <xdr:cNvPr id="29747" name="Text Box 51">
          <a:extLst>
            <a:ext uri="{FF2B5EF4-FFF2-40B4-BE49-F238E27FC236}">
              <a16:creationId xmlns:a16="http://schemas.microsoft.com/office/drawing/2014/main" id="{951F8BA5-3F8E-3A59-7CCB-89ED471C70EB}"/>
            </a:ext>
          </a:extLst>
        </xdr:cNvPr>
        <xdr:cNvSpPr txBox="1">
          <a:spLocks noChangeArrowheads="1"/>
        </xdr:cNvSpPr>
      </xdr:nvSpPr>
      <xdr:spPr bwMode="auto">
        <a:xfrm>
          <a:off x="28575" y="828675"/>
          <a:ext cx="942975" cy="219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47625</xdr:colOff>
      <xdr:row>0</xdr:row>
      <xdr:rowOff>0</xdr:rowOff>
    </xdr:from>
    <xdr:to>
      <xdr:col>0</xdr:col>
      <xdr:colOff>990600</xdr:colOff>
      <xdr:row>0</xdr:row>
      <xdr:rowOff>0</xdr:rowOff>
    </xdr:to>
    <xdr:sp macro="" textlink="">
      <xdr:nvSpPr>
        <xdr:cNvPr id="29752" name="Text Box 56">
          <a:extLst>
            <a:ext uri="{FF2B5EF4-FFF2-40B4-BE49-F238E27FC236}">
              <a16:creationId xmlns:a16="http://schemas.microsoft.com/office/drawing/2014/main" id="{105A14F9-5488-2822-3952-36D09A025F72}"/>
            </a:ext>
          </a:extLst>
        </xdr:cNvPr>
        <xdr:cNvSpPr txBox="1">
          <a:spLocks noChangeArrowheads="1"/>
        </xdr:cNvSpPr>
      </xdr:nvSpPr>
      <xdr:spPr bwMode="auto">
        <a:xfrm>
          <a:off x="47625" y="0"/>
          <a:ext cx="942975"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428625</xdr:colOff>
          <xdr:row>37</xdr:row>
          <xdr:rowOff>19050</xdr:rowOff>
        </xdr:from>
        <xdr:to>
          <xdr:col>15</xdr:col>
          <xdr:colOff>123825</xdr:colOff>
          <xdr:row>39</xdr:row>
          <xdr:rowOff>38100</xdr:rowOff>
        </xdr:to>
        <xdr:sp macro="" textlink="">
          <xdr:nvSpPr>
            <xdr:cNvPr id="45073" name="Button 17" hidden="1">
              <a:extLst>
                <a:ext uri="{63B3BB69-23CF-44E3-9099-C40C66FF867C}">
                  <a14:compatExt spid="_x0000_s45073"/>
                </a:ext>
                <a:ext uri="{FF2B5EF4-FFF2-40B4-BE49-F238E27FC236}">
                  <a16:creationId xmlns:a16="http://schemas.microsoft.com/office/drawing/2014/main" id="{6455633A-3A0F-19B4-72EE-A0A351741182}"/>
                </a:ext>
              </a:extLst>
            </xdr:cNvPr>
            <xdr:cNvSpPr/>
          </xdr:nvSpPr>
          <xdr:spPr bwMode="auto">
            <a:xfrm>
              <a:off x="0" y="0"/>
              <a:ext cx="0" cy="0"/>
            </a:xfrm>
            <a:prstGeom prst="rect">
              <a:avLst/>
            </a:prstGeom>
            <a:noFill/>
            <a:ln w="9525">
              <a:miter lim="800000"/>
              <a:headEnd/>
              <a:tailEnd/>
            </a:ln>
            <a:effectLst/>
            <a:extLst>
              <a:ext uri="{AF507438-7753-43E0-B8FC-AC1667EBCBE1}">
                <a14:hiddenEffects>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OPTIMIZE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409575</xdr:colOff>
      <xdr:row>622</xdr:row>
      <xdr:rowOff>0</xdr:rowOff>
    </xdr:from>
    <xdr:to>
      <xdr:col>4</xdr:col>
      <xdr:colOff>466725</xdr:colOff>
      <xdr:row>622</xdr:row>
      <xdr:rowOff>0</xdr:rowOff>
    </xdr:to>
    <xdr:sp macro="" textlink="">
      <xdr:nvSpPr>
        <xdr:cNvPr id="30721" name="Text 40">
          <a:extLst>
            <a:ext uri="{FF2B5EF4-FFF2-40B4-BE49-F238E27FC236}">
              <a16:creationId xmlns:a16="http://schemas.microsoft.com/office/drawing/2014/main" id="{A23721D9-76AC-5A58-84BE-1F61470E7F9E}"/>
            </a:ext>
          </a:extLst>
        </xdr:cNvPr>
        <xdr:cNvSpPr txBox="1">
          <a:spLocks noChangeArrowheads="1"/>
        </xdr:cNvSpPr>
      </xdr:nvSpPr>
      <xdr:spPr bwMode="auto">
        <a:xfrm>
          <a:off x="1257300" y="80371950"/>
          <a:ext cx="219075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50" b="0" i="0" u="none" strike="noStrike" baseline="0">
              <a:solidFill>
                <a:srgbClr val="000000"/>
              </a:solidFill>
              <a:latin typeface="Arial"/>
              <a:cs typeface="Arial"/>
            </a:rPr>
            <a:t>[used in IDC Calc {see TAX ITEMS}]</a:t>
          </a:r>
        </a:p>
        <a:p>
          <a:pPr algn="ctr" rtl="0">
            <a:defRPr sz="1000"/>
          </a:pPr>
          <a:endParaRPr lang="en-US" sz="750" b="0" i="0" u="none" strike="noStrike" baseline="0">
            <a:solidFill>
              <a:srgbClr val="000000"/>
            </a:solidFill>
            <a:latin typeface="Arial"/>
            <a:cs typeface="Arial"/>
          </a:endParaRPr>
        </a:p>
        <a:p>
          <a:pPr algn="ctr" rtl="0">
            <a:defRPr sz="1000"/>
          </a:pPr>
          <a:endParaRPr lang="en-US" sz="750" b="0" i="0" u="none" strike="noStrike" baseline="0">
            <a:solidFill>
              <a:srgbClr val="000000"/>
            </a:solidFill>
            <a:latin typeface="Arial"/>
            <a:cs typeface="Arial"/>
          </a:endParaRPr>
        </a:p>
      </xdr:txBody>
    </xdr:sp>
    <xdr:clientData/>
  </xdr:twoCellAnchor>
  <xdr:twoCellAnchor>
    <xdr:from>
      <xdr:col>15</xdr:col>
      <xdr:colOff>209550</xdr:colOff>
      <xdr:row>486</xdr:row>
      <xdr:rowOff>76200</xdr:rowOff>
    </xdr:from>
    <xdr:to>
      <xdr:col>16</xdr:col>
      <xdr:colOff>409575</xdr:colOff>
      <xdr:row>491</xdr:row>
      <xdr:rowOff>0</xdr:rowOff>
    </xdr:to>
    <xdr:sp macro="" textlink="">
      <xdr:nvSpPr>
        <xdr:cNvPr id="30722" name="Text 48">
          <a:extLst>
            <a:ext uri="{FF2B5EF4-FFF2-40B4-BE49-F238E27FC236}">
              <a16:creationId xmlns:a16="http://schemas.microsoft.com/office/drawing/2014/main" id="{3CBC7233-97E0-C6A7-B98F-E9A88DD968D2}"/>
            </a:ext>
          </a:extLst>
        </xdr:cNvPr>
        <xdr:cNvSpPr txBox="1">
          <a:spLocks noChangeArrowheads="1"/>
        </xdr:cNvSpPr>
      </xdr:nvSpPr>
      <xdr:spPr bwMode="auto">
        <a:xfrm>
          <a:off x="10753725" y="60598050"/>
          <a:ext cx="971550" cy="6381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*Not to exceed total cash balances.</a:t>
          </a:r>
        </a:p>
        <a:p>
          <a:pPr algn="ctr" rtl="0">
            <a:defRPr sz="1000"/>
          </a:pPr>
          <a:r>
            <a:rPr lang="en-US" sz="800" b="0" i="0" u="none" strike="noStrike" baseline="0">
              <a:solidFill>
                <a:srgbClr val="000000"/>
              </a:solidFill>
              <a:latin typeface="Arial"/>
              <a:cs typeface="Arial"/>
            </a:rPr>
            <a:t>Default value equal to $0.</a:t>
          </a:r>
        </a:p>
      </xdr:txBody>
    </xdr:sp>
    <xdr:clientData/>
  </xdr:twoCellAnchor>
  <mc:AlternateContent xmlns:mc="http://schemas.openxmlformats.org/markup-compatibility/2006">
    <mc:Choice xmlns:a14="http://schemas.microsoft.com/office/drawing/2010/main" Requires="a14">
      <xdr:twoCellAnchor>
        <xdr:from>
          <xdr:col>1</xdr:col>
          <xdr:colOff>838200</xdr:colOff>
          <xdr:row>0</xdr:row>
          <xdr:rowOff>0</xdr:rowOff>
        </xdr:from>
        <xdr:to>
          <xdr:col>2</xdr:col>
          <xdr:colOff>838200</xdr:colOff>
          <xdr:row>2</xdr:row>
          <xdr:rowOff>9525</xdr:rowOff>
        </xdr:to>
        <xdr:sp macro="" textlink="">
          <xdr:nvSpPr>
            <xdr:cNvPr id="30723" name="Button 3" hidden="1">
              <a:extLst>
                <a:ext uri="{63B3BB69-23CF-44E3-9099-C40C66FF867C}">
                  <a14:compatExt spid="_x0000_s30723"/>
                </a:ext>
                <a:ext uri="{FF2B5EF4-FFF2-40B4-BE49-F238E27FC236}">
                  <a16:creationId xmlns:a16="http://schemas.microsoft.com/office/drawing/2014/main" id="{39990596-7511-6207-22BC-AB41EC5001FA}"/>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7432" rIns="27432" bIns="27432" anchor="ctr" upright="1"/>
            <a:lstStyle/>
            <a:p>
              <a:pPr algn="ctr" rtl="0">
                <a:defRPr sz="1000"/>
              </a:pPr>
              <a:r>
                <a:rPr lang="en-US" sz="1100" b="1" i="0" u="none" strike="noStrike" baseline="0">
                  <a:solidFill>
                    <a:srgbClr val="FF0000"/>
                  </a:solidFill>
                  <a:latin typeface="Arial"/>
                  <a:cs typeface="Arial"/>
                </a:rPr>
                <a:t>Optimize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9525</xdr:rowOff>
        </xdr:from>
        <xdr:to>
          <xdr:col>1</xdr:col>
          <xdr:colOff>0</xdr:colOff>
          <xdr:row>1</xdr:row>
          <xdr:rowOff>9525</xdr:rowOff>
        </xdr:to>
        <xdr:sp macro="" textlink="">
          <xdr:nvSpPr>
            <xdr:cNvPr id="30725" name="Button 5" hidden="1">
              <a:extLst>
                <a:ext uri="{63B3BB69-23CF-44E3-9099-C40C66FF867C}">
                  <a14:compatExt spid="_x0000_s30725"/>
                </a:ext>
                <a:ext uri="{FF2B5EF4-FFF2-40B4-BE49-F238E27FC236}">
                  <a16:creationId xmlns:a16="http://schemas.microsoft.com/office/drawing/2014/main" id="{A57A6102-0C51-A67F-EB4F-A41FDEB1F95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Inputs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0</xdr:row>
          <xdr:rowOff>9525</xdr:rowOff>
        </xdr:from>
        <xdr:to>
          <xdr:col>1</xdr:col>
          <xdr:colOff>838200</xdr:colOff>
          <xdr:row>1</xdr:row>
          <xdr:rowOff>9525</xdr:rowOff>
        </xdr:to>
        <xdr:sp macro="" textlink="">
          <xdr:nvSpPr>
            <xdr:cNvPr id="30726" name="Button 6" hidden="1">
              <a:extLst>
                <a:ext uri="{63B3BB69-23CF-44E3-9099-C40C66FF867C}">
                  <a14:compatExt spid="_x0000_s30726"/>
                </a:ext>
                <a:ext uri="{FF2B5EF4-FFF2-40B4-BE49-F238E27FC236}">
                  <a16:creationId xmlns:a16="http://schemas.microsoft.com/office/drawing/2014/main" id="{DE08BA38-975D-54FF-51F3-A9B24CCFE8D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0" anchor="t" upright="1"/>
            <a:lstStyle/>
            <a:p>
              <a:pPr algn="ctr" rtl="0">
                <a:defRPr sz="1000"/>
              </a:pPr>
              <a:r>
                <a:rPr lang="en-US" sz="800" b="1" i="0" u="none" strike="noStrike" baseline="0">
                  <a:solidFill>
                    <a:srgbClr val="000000"/>
                  </a:solidFill>
                  <a:latin typeface="Arial"/>
                  <a:cs typeface="Arial"/>
                </a:rPr>
                <a:t>Go To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9525</xdr:rowOff>
        </xdr:from>
        <xdr:to>
          <xdr:col>1</xdr:col>
          <xdr:colOff>0</xdr:colOff>
          <xdr:row>2</xdr:row>
          <xdr:rowOff>19050</xdr:rowOff>
        </xdr:to>
        <xdr:sp macro="" textlink="">
          <xdr:nvSpPr>
            <xdr:cNvPr id="30727" name="Button 7" hidden="1">
              <a:extLst>
                <a:ext uri="{63B3BB69-23CF-44E3-9099-C40C66FF867C}">
                  <a14:compatExt spid="_x0000_s30727"/>
                </a:ext>
                <a:ext uri="{FF2B5EF4-FFF2-40B4-BE49-F238E27FC236}">
                  <a16:creationId xmlns:a16="http://schemas.microsoft.com/office/drawing/2014/main" id="{05F936B9-3EA2-3506-A7ED-1E02EFF8C8E2}"/>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xdr:row>
          <xdr:rowOff>9525</xdr:rowOff>
        </xdr:from>
        <xdr:to>
          <xdr:col>1</xdr:col>
          <xdr:colOff>838200</xdr:colOff>
          <xdr:row>2</xdr:row>
          <xdr:rowOff>19050</xdr:rowOff>
        </xdr:to>
        <xdr:sp macro="" textlink="">
          <xdr:nvSpPr>
            <xdr:cNvPr id="30728" name="Button 8" hidden="1">
              <a:extLst>
                <a:ext uri="{63B3BB69-23CF-44E3-9099-C40C66FF867C}">
                  <a14:compatExt spid="_x0000_s30728"/>
                </a:ext>
                <a:ext uri="{FF2B5EF4-FFF2-40B4-BE49-F238E27FC236}">
                  <a16:creationId xmlns:a16="http://schemas.microsoft.com/office/drawing/2014/main" id="{D3ED80E9-DDE3-3B01-29E9-BB8E83C8908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19050</xdr:rowOff>
        </xdr:from>
        <xdr:to>
          <xdr:col>1</xdr:col>
          <xdr:colOff>0</xdr:colOff>
          <xdr:row>3</xdr:row>
          <xdr:rowOff>0</xdr:rowOff>
        </xdr:to>
        <xdr:sp macro="" textlink="">
          <xdr:nvSpPr>
            <xdr:cNvPr id="30729" name="Button 9" hidden="1">
              <a:extLst>
                <a:ext uri="{63B3BB69-23CF-44E3-9099-C40C66FF867C}">
                  <a14:compatExt spid="_x0000_s30729"/>
                </a:ext>
                <a:ext uri="{FF2B5EF4-FFF2-40B4-BE49-F238E27FC236}">
                  <a16:creationId xmlns:a16="http://schemas.microsoft.com/office/drawing/2014/main" id="{270BEDC2-1CA2-A0DD-5EBE-1B6C2C6F879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Clear #REF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9525</xdr:rowOff>
        </xdr:from>
        <xdr:to>
          <xdr:col>4</xdr:col>
          <xdr:colOff>285750</xdr:colOff>
          <xdr:row>1</xdr:row>
          <xdr:rowOff>19050</xdr:rowOff>
        </xdr:to>
        <xdr:sp macro="" textlink="">
          <xdr:nvSpPr>
            <xdr:cNvPr id="30885" name="Button 165" hidden="1">
              <a:extLst>
                <a:ext uri="{63B3BB69-23CF-44E3-9099-C40C66FF867C}">
                  <a14:compatExt spid="_x0000_s30885"/>
                </a:ext>
                <a:ext uri="{FF2B5EF4-FFF2-40B4-BE49-F238E27FC236}">
                  <a16:creationId xmlns:a16="http://schemas.microsoft.com/office/drawing/2014/main" id="{E6C27E53-4CF1-7437-22A0-20146AD13D60}"/>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Print Rev/Exp</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222</xdr:col>
      <xdr:colOff>66675</xdr:colOff>
      <xdr:row>10</xdr:row>
      <xdr:rowOff>85725</xdr:rowOff>
    </xdr:from>
    <xdr:to>
      <xdr:col>223</xdr:col>
      <xdr:colOff>381000</xdr:colOff>
      <xdr:row>11</xdr:row>
      <xdr:rowOff>104775</xdr:rowOff>
    </xdr:to>
    <xdr:sp macro="" textlink="">
      <xdr:nvSpPr>
        <xdr:cNvPr id="36915" name="Text Box 13363">
          <a:extLst>
            <a:ext uri="{FF2B5EF4-FFF2-40B4-BE49-F238E27FC236}">
              <a16:creationId xmlns:a16="http://schemas.microsoft.com/office/drawing/2014/main" id="{8D156110-7168-B975-3E3D-2BEB0BDB785D}"/>
            </a:ext>
          </a:extLst>
        </xdr:cNvPr>
        <xdr:cNvSpPr txBox="1">
          <a:spLocks noChangeArrowheads="1"/>
        </xdr:cNvSpPr>
      </xdr:nvSpPr>
      <xdr:spPr bwMode="auto">
        <a:xfrm>
          <a:off x="135188325" y="1724025"/>
          <a:ext cx="1076325" cy="1905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ower2\pricing\Pwr_str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Mcp-su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S"/>
      <sheetName val="MAIN"/>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15"/>
      <sheetName val="SP15"/>
      <sheetName val="COB"/>
      <sheetName val="COLORADO"/>
      <sheetName val="NORTHWEST"/>
      <sheetName val="PALOVERDE"/>
      <sheetName val="S Nevada"/>
      <sheetName val="OffsetLookup"/>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1.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5" Type="http://schemas.openxmlformats.org/officeDocument/2006/relationships/ctrlProp" Target="../ctrlProps/ctrlProp2.xml"/><Relationship Id="rId61" Type="http://schemas.openxmlformats.org/officeDocument/2006/relationships/ctrlProp" Target="../ctrlProps/ctrlProp58.xml"/><Relationship Id="rId19" Type="http://schemas.openxmlformats.org/officeDocument/2006/relationships/ctrlProp" Target="../ctrlProps/ctrlProp1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8" Type="http://schemas.openxmlformats.org/officeDocument/2006/relationships/ctrlProp" Target="../ctrlProps/ctrlProp5.xml"/><Relationship Id="rId51" Type="http://schemas.openxmlformats.org/officeDocument/2006/relationships/ctrlProp" Target="../ctrlProps/ctrlProp48.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openxmlformats.org/officeDocument/2006/relationships/comments" Target="../comments2.xml"/><Relationship Id="rId4" Type="http://schemas.openxmlformats.org/officeDocument/2006/relationships/ctrlProp" Target="../ctrlProps/ctrlProp69.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74.xml"/><Relationship Id="rId3" Type="http://schemas.openxmlformats.org/officeDocument/2006/relationships/vmlDrawing" Target="../drawings/vmlDrawing4.vml"/><Relationship Id="rId7" Type="http://schemas.openxmlformats.org/officeDocument/2006/relationships/ctrlProp" Target="../ctrlProps/ctrlProp73.xml"/><Relationship Id="rId2" Type="http://schemas.openxmlformats.org/officeDocument/2006/relationships/drawing" Target="../drawings/drawing4.xml"/><Relationship Id="rId1" Type="http://schemas.openxmlformats.org/officeDocument/2006/relationships/printerSettings" Target="../printerSettings/printerSettings8.bin"/><Relationship Id="rId6" Type="http://schemas.openxmlformats.org/officeDocument/2006/relationships/ctrlProp" Target="../ctrlProps/ctrlProp72.xml"/><Relationship Id="rId11" Type="http://schemas.openxmlformats.org/officeDocument/2006/relationships/comments" Target="../comments3.xml"/><Relationship Id="rId5" Type="http://schemas.openxmlformats.org/officeDocument/2006/relationships/ctrlProp" Target="../ctrlProps/ctrlProp71.xml"/><Relationship Id="rId10" Type="http://schemas.openxmlformats.org/officeDocument/2006/relationships/ctrlProp" Target="../ctrlProps/ctrlProp76.xml"/><Relationship Id="rId4" Type="http://schemas.openxmlformats.org/officeDocument/2006/relationships/ctrlProp" Target="../ctrlProps/ctrlProp70.xml"/><Relationship Id="rId9" Type="http://schemas.openxmlformats.org/officeDocument/2006/relationships/ctrlProp" Target="../ctrlProps/ctrlProp7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F354"/>
  <sheetViews>
    <sheetView topLeftCell="Y26" zoomScale="75" zoomScaleNormal="75" zoomScaleSheetLayoutView="50" workbookViewId="0">
      <selection activeCell="AB54" sqref="AB54"/>
    </sheetView>
  </sheetViews>
  <sheetFormatPr defaultRowHeight="12.75"/>
  <cols>
    <col min="1" max="1" width="1.28515625" style="5" customWidth="1"/>
    <col min="2" max="2" width="21.5703125" style="5" customWidth="1"/>
    <col min="3" max="3" width="18.5703125" style="5" customWidth="1"/>
    <col min="4" max="4" width="1.28515625" style="5" customWidth="1"/>
    <col min="5" max="5" width="27.42578125" style="5" customWidth="1"/>
    <col min="6" max="6" width="18.28515625" style="5" customWidth="1"/>
    <col min="7" max="7" width="1.28515625" style="5" customWidth="1"/>
    <col min="8" max="8" width="26" style="5" customWidth="1"/>
    <col min="9" max="9" width="14.5703125" style="5" customWidth="1"/>
    <col min="10" max="10" width="1.28515625" style="5" customWidth="1"/>
    <col min="11" max="11" width="23" style="5" customWidth="1"/>
    <col min="12" max="12" width="10.85546875" style="5" customWidth="1"/>
    <col min="13" max="13" width="13.140625" style="5" customWidth="1"/>
    <col min="14" max="14" width="7.28515625" style="5" customWidth="1"/>
    <col min="15" max="15" width="10.28515625" style="5" customWidth="1"/>
    <col min="16" max="16" width="10.85546875" style="5" customWidth="1"/>
    <col min="17" max="18" width="11.5703125" style="5" customWidth="1"/>
    <col min="19" max="19" width="2" style="5" customWidth="1"/>
    <col min="20" max="20" width="16" style="5" customWidth="1"/>
    <col min="21" max="25" width="8.28515625" style="5" customWidth="1"/>
    <col min="26" max="26" width="4.140625" style="5" customWidth="1"/>
    <col min="27" max="40" width="8.28515625" style="5" customWidth="1"/>
    <col min="41" max="41" width="20.85546875" style="5" customWidth="1"/>
    <col min="42" max="42" width="7.140625" style="5" customWidth="1"/>
    <col min="43" max="43" width="2.28515625" customWidth="1"/>
    <col min="44" max="44" width="3.5703125" customWidth="1"/>
    <col min="45" max="45" width="27" style="5" customWidth="1"/>
    <col min="46" max="46" width="23.5703125" style="5" customWidth="1"/>
    <col min="47" max="47" width="14.5703125" style="5" customWidth="1"/>
    <col min="48" max="48" width="14.140625" style="5" customWidth="1"/>
    <col min="49" max="49" width="22.85546875" style="5" customWidth="1"/>
    <col min="50" max="50" width="14.140625" style="5" customWidth="1"/>
    <col min="51" max="51" width="15.28515625" style="5" customWidth="1"/>
    <col min="52" max="52" width="14.85546875" style="5" customWidth="1"/>
    <col min="53" max="53" width="9.140625" style="5"/>
    <col min="54" max="54" width="6.7109375" style="5" customWidth="1"/>
    <col min="55" max="55" width="13.85546875" style="5" customWidth="1"/>
    <col min="56" max="56" width="9.42578125" style="5" customWidth="1"/>
    <col min="57" max="57" width="9.140625" style="5"/>
    <col min="58" max="58" width="13.140625" style="5" customWidth="1"/>
    <col min="59" max="63" width="9.140625" style="5"/>
    <col min="64" max="64" width="12.7109375" style="5" customWidth="1"/>
    <col min="65" max="65" width="9.140625" style="5"/>
    <col min="66" max="66" width="11.5703125" style="5" customWidth="1"/>
    <col min="67" max="16384" width="9.140625" style="5"/>
  </cols>
  <sheetData>
    <row r="1" spans="1:84" ht="15.75">
      <c r="A1" s="378"/>
      <c r="B1" s="377" t="s">
        <v>323</v>
      </c>
      <c r="C1" s="377"/>
      <c r="D1" s="378"/>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row>
    <row r="2" spans="1:84" ht="15.75">
      <c r="A2" s="378"/>
      <c r="B2" s="377" t="s">
        <v>324</v>
      </c>
      <c r="C2" s="377" t="s">
        <v>377</v>
      </c>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c r="AM2" s="378"/>
      <c r="AN2" s="378"/>
    </row>
    <row r="3" spans="1:8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t="s">
        <v>217</v>
      </c>
      <c r="AC3" s="378" t="s">
        <v>217</v>
      </c>
      <c r="AD3" s="378"/>
      <c r="AE3" s="378"/>
      <c r="AF3" s="378"/>
      <c r="AG3" s="378"/>
      <c r="AH3" s="378"/>
      <c r="AI3" s="378"/>
      <c r="AJ3" s="378"/>
      <c r="AK3" s="378"/>
      <c r="AL3" s="378"/>
      <c r="AM3" s="378"/>
      <c r="AN3" s="378"/>
    </row>
    <row r="4" spans="1:84" ht="13.5" customHeight="1" thickBot="1">
      <c r="A4" s="365"/>
      <c r="B4" s="1465" t="s">
        <v>939</v>
      </c>
      <c r="C4" s="1466"/>
      <c r="D4" s="367"/>
      <c r="E4" s="370"/>
      <c r="F4" s="370"/>
      <c r="G4" s="367"/>
      <c r="H4" s="1465" t="s">
        <v>938</v>
      </c>
      <c r="I4" s="1466"/>
      <c r="J4" s="371"/>
      <c r="K4" s="370"/>
      <c r="L4" s="370"/>
      <c r="M4" s="370"/>
      <c r="N4" s="369"/>
      <c r="O4" s="372"/>
      <c r="P4" s="370"/>
      <c r="Q4" s="370"/>
      <c r="R4" s="370"/>
      <c r="S4" s="370"/>
      <c r="T4" s="370"/>
      <c r="U4" s="370"/>
      <c r="V4" s="370"/>
      <c r="W4" s="370"/>
      <c r="X4" s="370"/>
      <c r="Y4" s="370"/>
      <c r="Z4" s="370"/>
      <c r="AA4" s="370"/>
      <c r="AB4" s="370"/>
      <c r="AC4" s="370"/>
      <c r="AD4" s="370"/>
      <c r="AE4" s="370"/>
      <c r="AF4" s="370"/>
      <c r="AG4" s="370"/>
      <c r="AH4" s="370"/>
      <c r="AI4" s="370"/>
      <c r="AJ4" s="370"/>
      <c r="AK4" s="370"/>
      <c r="AL4" s="370"/>
      <c r="AM4" s="370"/>
      <c r="AN4" s="370"/>
      <c r="AO4"/>
      <c r="AP4"/>
      <c r="AS4"/>
      <c r="AT4"/>
      <c r="AU4"/>
      <c r="AV4"/>
      <c r="AW4"/>
      <c r="AX4"/>
      <c r="AY4"/>
      <c r="AZ4"/>
      <c r="BA4"/>
      <c r="BD4" s="18"/>
      <c r="BE4" s="19"/>
      <c r="BG4" s="19"/>
      <c r="BH4" s="19"/>
      <c r="BI4" s="19"/>
      <c r="BJ4" s="19" t="str">
        <f>IF(OR(C307=1,C308=1),+"Daily and Monthly Pricing Matrices are to the RIGHT "&amp;REPT(CHAR(26),5),"")</f>
        <v/>
      </c>
      <c r="BK4" s="19"/>
      <c r="BL4" s="19"/>
      <c r="BM4" s="19"/>
      <c r="BN4" s="19"/>
      <c r="BO4" s="35"/>
      <c r="BR4" s="36"/>
      <c r="BX4" s="36"/>
      <c r="BY4" s="19"/>
    </row>
    <row r="5" spans="1:84" ht="15.75" customHeight="1" thickBot="1">
      <c r="A5" s="366"/>
      <c r="B5" s="378"/>
      <c r="C5" s="378"/>
      <c r="D5" s="373"/>
      <c r="E5" s="160" t="s">
        <v>379</v>
      </c>
      <c r="F5" s="90">
        <v>1</v>
      </c>
      <c r="G5" s="367"/>
      <c r="H5" s="75" t="s">
        <v>376</v>
      </c>
      <c r="I5" s="1559">
        <f>Assumptions!$C$9</f>
        <v>750</v>
      </c>
      <c r="J5" s="371"/>
      <c r="K5" s="88" t="s">
        <v>165</v>
      </c>
      <c r="L5" s="167">
        <v>0</v>
      </c>
      <c r="M5" s="378"/>
      <c r="N5" s="369"/>
      <c r="O5" s="466" t="s">
        <v>166</v>
      </c>
      <c r="P5" s="345"/>
      <c r="Q5" s="276"/>
      <c r="R5" s="370"/>
      <c r="S5" s="370"/>
      <c r="T5" s="116" t="s">
        <v>926</v>
      </c>
      <c r="U5" s="117"/>
      <c r="V5" s="118"/>
      <c r="W5" s="117"/>
      <c r="X5" s="117"/>
      <c r="Y5" s="119"/>
      <c r="Z5" s="370"/>
      <c r="AA5" s="1870" t="s">
        <v>254</v>
      </c>
      <c r="AB5" s="1871"/>
      <c r="AC5" s="1871"/>
      <c r="AD5" s="1871"/>
      <c r="AE5" s="1871"/>
      <c r="AF5" s="1871"/>
      <c r="AG5" s="1871"/>
      <c r="AH5" s="1871"/>
      <c r="AI5" s="1871"/>
      <c r="AJ5" s="1871"/>
      <c r="AK5" s="1871"/>
      <c r="AL5" s="1871"/>
      <c r="AM5" s="1872"/>
      <c r="AN5" s="378"/>
      <c r="AO5" s="112" t="s">
        <v>169</v>
      </c>
      <c r="AP5"/>
      <c r="BB5"/>
      <c r="BC5"/>
      <c r="BD5" s="35"/>
      <c r="BE5" s="35"/>
      <c r="BF5" s="35"/>
      <c r="BG5" s="35"/>
      <c r="BH5" s="35"/>
      <c r="BI5" s="35"/>
      <c r="BJ5" s="35"/>
      <c r="BK5" s="35"/>
      <c r="BL5" s="35"/>
      <c r="BM5" s="35"/>
      <c r="BN5" s="35"/>
      <c r="BO5" s="35"/>
    </row>
    <row r="6" spans="1:84" ht="17.25" customHeight="1" thickBot="1">
      <c r="A6" s="367"/>
      <c r="B6" s="83" t="s">
        <v>164</v>
      </c>
      <c r="C6" s="431">
        <f>CurveDate+1</f>
        <v>36630</v>
      </c>
      <c r="D6" s="373"/>
      <c r="E6" s="125" t="s">
        <v>171</v>
      </c>
      <c r="F6" s="90">
        <v>1</v>
      </c>
      <c r="G6" s="367"/>
      <c r="H6" s="596" t="s">
        <v>391</v>
      </c>
      <c r="I6" s="1560">
        <f>Assumptions!B9/Assumptions!C9</f>
        <v>0.2</v>
      </c>
      <c r="J6" s="371"/>
      <c r="K6" s="131"/>
      <c r="L6" s="132"/>
      <c r="M6" s="378"/>
      <c r="N6" s="369"/>
      <c r="O6" s="351" t="s">
        <v>172</v>
      </c>
      <c r="P6" s="343" t="s">
        <v>173</v>
      </c>
      <c r="Q6" s="346" t="s">
        <v>174</v>
      </c>
      <c r="R6" s="370"/>
      <c r="S6" s="370"/>
      <c r="T6" s="120" t="s">
        <v>175</v>
      </c>
      <c r="U6" s="114" t="s">
        <v>176</v>
      </c>
      <c r="V6" s="114" t="s">
        <v>177</v>
      </c>
      <c r="W6" s="115" t="s">
        <v>178</v>
      </c>
      <c r="X6" s="115" t="s">
        <v>179</v>
      </c>
      <c r="Y6" s="121" t="s">
        <v>180</v>
      </c>
      <c r="Z6" s="370"/>
      <c r="AA6" s="592" t="s">
        <v>217</v>
      </c>
      <c r="AB6" s="591" t="s">
        <v>143</v>
      </c>
      <c r="AC6" s="591" t="s">
        <v>144</v>
      </c>
      <c r="AD6" s="591" t="s">
        <v>145</v>
      </c>
      <c r="AE6" s="591" t="s">
        <v>146</v>
      </c>
      <c r="AF6" s="591" t="s">
        <v>147</v>
      </c>
      <c r="AG6" s="591" t="s">
        <v>148</v>
      </c>
      <c r="AH6" s="591" t="s">
        <v>149</v>
      </c>
      <c r="AI6" s="591" t="s">
        <v>150</v>
      </c>
      <c r="AJ6" s="591" t="s">
        <v>151</v>
      </c>
      <c r="AK6" s="591" t="s">
        <v>152</v>
      </c>
      <c r="AL6" s="591" t="s">
        <v>153</v>
      </c>
      <c r="AM6" s="593" t="s">
        <v>154</v>
      </c>
      <c r="AN6" s="378"/>
      <c r="AO6" s="282" t="s">
        <v>184</v>
      </c>
      <c r="AP6" s="441"/>
      <c r="AQ6" s="283"/>
      <c r="AS6" s="81" t="s">
        <v>185</v>
      </c>
      <c r="AT6" s="77" t="s">
        <v>186</v>
      </c>
      <c r="AU6" s="44" t="str">
        <f>CONCATENATE(PeakStart,"-",PeakEnd)</f>
        <v>700-2200</v>
      </c>
      <c r="AV6"/>
      <c r="AW6"/>
      <c r="AX6"/>
      <c r="AZ6"/>
      <c r="BA6"/>
      <c r="BB6"/>
      <c r="BC6"/>
      <c r="BD6" s="19"/>
      <c r="BE6" s="19"/>
      <c r="BF6" s="19"/>
      <c r="BG6" s="19"/>
      <c r="BH6" s="19"/>
      <c r="BI6" s="19"/>
      <c r="BJ6" s="19"/>
      <c r="BK6" s="19"/>
      <c r="BL6" s="19"/>
      <c r="BM6" s="19"/>
      <c r="BN6" s="19"/>
      <c r="BO6" s="19"/>
    </row>
    <row r="7" spans="1:84" ht="20.25" customHeight="1" thickBot="1">
      <c r="A7" s="367"/>
      <c r="B7" s="84" t="s">
        <v>170</v>
      </c>
      <c r="C7" s="431">
        <f>'Curve Paste'!D9</f>
        <v>36629</v>
      </c>
      <c r="D7" s="373"/>
      <c r="E7" s="133"/>
      <c r="F7" s="134"/>
      <c r="G7" s="367"/>
      <c r="H7" s="341"/>
      <c r="I7" s="342">
        <v>0</v>
      </c>
      <c r="J7" s="371"/>
      <c r="K7" s="88" t="s">
        <v>188</v>
      </c>
      <c r="L7" s="89">
        <v>0</v>
      </c>
      <c r="M7" s="378"/>
      <c r="N7" s="369"/>
      <c r="O7" s="350" t="s">
        <v>189</v>
      </c>
      <c r="P7" s="344" t="s">
        <v>190</v>
      </c>
      <c r="Q7" s="124" t="s">
        <v>190</v>
      </c>
      <c r="R7" s="370"/>
      <c r="S7" s="370"/>
      <c r="T7" s="72" t="str">
        <f t="shared" ref="T7:T30" si="0">IF(OR(U7&lt;PeakStart,U7&gt;PeakEnd),"Off-Peak","Peak")</f>
        <v>Off-Peak</v>
      </c>
      <c r="U7" s="68">
        <v>100</v>
      </c>
      <c r="V7" s="1357">
        <f>Assumptions!$B$9</f>
        <v>150</v>
      </c>
      <c r="W7" s="1357">
        <f>Assumptions!$B$9</f>
        <v>150</v>
      </c>
      <c r="X7" s="1357">
        <f>Assumptions!$B$9</f>
        <v>150</v>
      </c>
      <c r="Y7" s="1357">
        <f>Assumptions!$B$9</f>
        <v>150</v>
      </c>
      <c r="Z7" s="370"/>
      <c r="AA7" s="69">
        <f>YEAR(BegDate)</f>
        <v>2003</v>
      </c>
      <c r="AB7" s="1584">
        <v>0</v>
      </c>
      <c r="AC7" s="1584">
        <v>0</v>
      </c>
      <c r="AD7" s="1584">
        <v>0</v>
      </c>
      <c r="AE7" s="1584">
        <v>0</v>
      </c>
      <c r="AF7" s="1584">
        <v>0</v>
      </c>
      <c r="AG7" s="1584">
        <v>0</v>
      </c>
      <c r="AH7" s="1584">
        <v>0</v>
      </c>
      <c r="AI7" s="1584">
        <v>0</v>
      </c>
      <c r="AJ7" s="1584">
        <v>0</v>
      </c>
      <c r="AK7" s="1584">
        <v>0</v>
      </c>
      <c r="AL7" s="1584">
        <v>0</v>
      </c>
      <c r="AM7" s="1585">
        <v>0</v>
      </c>
      <c r="AN7" s="378"/>
      <c r="AO7" s="418" t="s">
        <v>192</v>
      </c>
      <c r="AP7" s="443" t="b">
        <v>0</v>
      </c>
      <c r="AQ7" s="444"/>
      <c r="AS7" s="60">
        <v>8</v>
      </c>
      <c r="AT7" s="78" t="s">
        <v>193</v>
      </c>
      <c r="AU7" s="43" t="str">
        <f>CONCATENATE(PeakEnd+100,"-",PeakStart-100)</f>
        <v>2300-600</v>
      </c>
      <c r="AV7"/>
      <c r="AW7"/>
      <c r="AX7"/>
      <c r="AZ7"/>
      <c r="BA7"/>
      <c r="BB7"/>
      <c r="BC7"/>
      <c r="BD7" s="18"/>
      <c r="BE7"/>
      <c r="BG7" s="19"/>
      <c r="BH7" s="18"/>
      <c r="BK7" s="19"/>
      <c r="BL7" s="18"/>
      <c r="BO7" s="19"/>
      <c r="BS7" s="37"/>
      <c r="BT7" s="37"/>
      <c r="BZ7" s="37"/>
      <c r="CA7" s="37"/>
    </row>
    <row r="8" spans="1:84" ht="19.5" customHeight="1" thickBot="1">
      <c r="A8" s="367"/>
      <c r="B8" s="76" t="s">
        <v>187</v>
      </c>
      <c r="C8" s="85"/>
      <c r="D8" s="373"/>
      <c r="E8" s="385" t="s">
        <v>195</v>
      </c>
      <c r="F8" s="135"/>
      <c r="G8" s="367"/>
      <c r="H8" s="86"/>
      <c r="I8" s="87"/>
      <c r="J8" s="371"/>
      <c r="K8" s="131"/>
      <c r="L8" s="132"/>
      <c r="M8" s="378"/>
      <c r="N8" s="369"/>
      <c r="O8" s="69"/>
      <c r="P8" s="482">
        <v>0</v>
      </c>
      <c r="Q8" s="483">
        <v>0</v>
      </c>
      <c r="R8" s="370"/>
      <c r="S8" s="370"/>
      <c r="T8" s="72" t="str">
        <f t="shared" si="0"/>
        <v>Off-Peak</v>
      </c>
      <c r="U8" s="68">
        <v>200</v>
      </c>
      <c r="V8" s="1357">
        <f>Assumptions!$B$9</f>
        <v>150</v>
      </c>
      <c r="W8" s="1357">
        <f>Assumptions!$B$9</f>
        <v>150</v>
      </c>
      <c r="X8" s="1357">
        <f>Assumptions!$B$9</f>
        <v>150</v>
      </c>
      <c r="Y8" s="1357">
        <f>Assumptions!$B$9</f>
        <v>150</v>
      </c>
      <c r="Z8" s="370"/>
      <c r="AA8" s="594">
        <f t="shared" ref="AA8:AA26" si="1">AA7+1</f>
        <v>2004</v>
      </c>
      <c r="AB8" s="1584">
        <v>0</v>
      </c>
      <c r="AC8" s="1584">
        <v>0</v>
      </c>
      <c r="AD8" s="1584">
        <v>0</v>
      </c>
      <c r="AE8" s="1584">
        <v>0.1</v>
      </c>
      <c r="AF8" s="1584">
        <v>0</v>
      </c>
      <c r="AG8" s="1584">
        <v>0</v>
      </c>
      <c r="AH8" s="1584">
        <v>0</v>
      </c>
      <c r="AI8" s="1584">
        <v>0</v>
      </c>
      <c r="AJ8" s="1584">
        <v>0</v>
      </c>
      <c r="AK8" s="1584">
        <v>0</v>
      </c>
      <c r="AL8" s="1584">
        <v>0</v>
      </c>
      <c r="AM8" s="1585">
        <v>0</v>
      </c>
      <c r="AN8" s="378"/>
      <c r="AO8" s="99" t="s">
        <v>197</v>
      </c>
      <c r="AP8" s="442" t="b">
        <v>1</v>
      </c>
      <c r="AQ8" s="136"/>
      <c r="AZ8"/>
      <c r="BA8"/>
      <c r="BB8"/>
      <c r="BC8"/>
      <c r="BD8" s="19"/>
      <c r="BE8" s="19"/>
      <c r="BF8" s="19"/>
      <c r="BG8" s="19"/>
      <c r="BH8" s="19"/>
      <c r="BI8" s="19"/>
      <c r="BJ8" s="19"/>
      <c r="BK8" s="19"/>
      <c r="BL8" s="19"/>
      <c r="BM8" s="19"/>
      <c r="BN8" s="19"/>
      <c r="BO8" s="19"/>
      <c r="BS8" s="37"/>
      <c r="BT8" s="37"/>
      <c r="BX8" s="37"/>
      <c r="BY8" s="37"/>
      <c r="BZ8" s="37"/>
      <c r="CA8" s="37"/>
      <c r="CB8" s="37"/>
      <c r="CC8" s="18"/>
      <c r="CE8" s="18"/>
      <c r="CF8" s="18"/>
    </row>
    <row r="9" spans="1:84" ht="24.75" customHeight="1" thickBot="1">
      <c r="A9" s="365"/>
      <c r="B9" s="84" t="s">
        <v>194</v>
      </c>
      <c r="C9" s="41"/>
      <c r="D9" s="373"/>
      <c r="E9" s="126"/>
      <c r="F9" s="127"/>
      <c r="G9" s="367"/>
      <c r="H9" s="340" t="s">
        <v>196</v>
      </c>
      <c r="I9" s="127"/>
      <c r="J9" s="371"/>
      <c r="K9" s="369"/>
      <c r="L9" s="369"/>
      <c r="M9" s="378"/>
      <c r="N9" s="369"/>
      <c r="O9" s="69"/>
      <c r="P9" s="482">
        <v>0</v>
      </c>
      <c r="Q9" s="483">
        <v>0</v>
      </c>
      <c r="R9" s="370"/>
      <c r="S9" s="370"/>
      <c r="T9" s="72" t="str">
        <f t="shared" si="0"/>
        <v>Off-Peak</v>
      </c>
      <c r="U9" s="68">
        <v>300</v>
      </c>
      <c r="V9" s="1357">
        <f>Assumptions!$B$9</f>
        <v>150</v>
      </c>
      <c r="W9" s="1357">
        <f>Assumptions!$B$9</f>
        <v>150</v>
      </c>
      <c r="X9" s="1357">
        <f>Assumptions!$B$9</f>
        <v>150</v>
      </c>
      <c r="Y9" s="1357">
        <f>Assumptions!$B$9</f>
        <v>150</v>
      </c>
      <c r="Z9" s="370"/>
      <c r="AA9" s="69">
        <f t="shared" si="1"/>
        <v>2005</v>
      </c>
      <c r="AB9" s="1584">
        <v>0</v>
      </c>
      <c r="AC9" s="1584">
        <v>0</v>
      </c>
      <c r="AD9" s="1584">
        <v>0</v>
      </c>
      <c r="AE9" s="1584">
        <v>0.1</v>
      </c>
      <c r="AF9" s="1584">
        <v>0</v>
      </c>
      <c r="AG9" s="1584">
        <v>0</v>
      </c>
      <c r="AH9" s="1584">
        <v>0</v>
      </c>
      <c r="AI9" s="1584">
        <v>0</v>
      </c>
      <c r="AJ9" s="1584">
        <v>0</v>
      </c>
      <c r="AK9" s="1584">
        <v>0</v>
      </c>
      <c r="AL9" s="1584">
        <v>0</v>
      </c>
      <c r="AM9" s="1585">
        <v>0</v>
      </c>
      <c r="AN9" s="378"/>
      <c r="AO9" s="99" t="s">
        <v>198</v>
      </c>
      <c r="AP9" s="442">
        <v>1</v>
      </c>
      <c r="AQ9" s="136"/>
      <c r="AS9" s="31" t="s">
        <v>199</v>
      </c>
      <c r="AT9" s="137" t="s">
        <v>200</v>
      </c>
      <c r="AU9" s="137" t="s">
        <v>201</v>
      </c>
      <c r="AV9" s="137" t="s">
        <v>202</v>
      </c>
      <c r="AW9" s="137" t="s">
        <v>203</v>
      </c>
      <c r="AX9" s="137" t="s">
        <v>204</v>
      </c>
      <c r="AY9" s="137" t="s">
        <v>205</v>
      </c>
      <c r="AZ9" s="137" t="s">
        <v>206</v>
      </c>
      <c r="BA9" s="143" t="s">
        <v>207</v>
      </c>
      <c r="BB9"/>
      <c r="BC9"/>
      <c r="BG9" s="19"/>
      <c r="BH9" s="18"/>
      <c r="BI9" s="19"/>
      <c r="BK9" s="19"/>
      <c r="BL9" s="18"/>
      <c r="BM9" s="19"/>
      <c r="BO9" s="19"/>
      <c r="BR9" s="37"/>
      <c r="BS9" s="37"/>
      <c r="BT9" s="37"/>
      <c r="BX9" s="37"/>
      <c r="BY9" s="37"/>
      <c r="BZ9" s="37"/>
      <c r="CA9" s="37"/>
      <c r="CB9" s="37"/>
      <c r="CC9" s="18"/>
      <c r="CE9" s="18"/>
      <c r="CF9" s="18"/>
    </row>
    <row r="10" spans="1:84" ht="18.75" customHeight="1" thickBot="1">
      <c r="A10" s="365"/>
      <c r="B10" s="370"/>
      <c r="C10" s="370"/>
      <c r="D10" s="379"/>
      <c r="E10" s="373"/>
      <c r="F10" s="373"/>
      <c r="G10" s="370"/>
      <c r="H10" s="165" t="s">
        <v>209</v>
      </c>
      <c r="I10" s="166"/>
      <c r="J10" s="370"/>
      <c r="K10" s="165" t="s">
        <v>210</v>
      </c>
      <c r="L10" s="166"/>
      <c r="M10" s="378"/>
      <c r="N10" s="369"/>
      <c r="O10" s="69"/>
      <c r="P10" s="482">
        <v>0</v>
      </c>
      <c r="Q10" s="483">
        <v>0</v>
      </c>
      <c r="R10" s="370"/>
      <c r="S10" s="370"/>
      <c r="T10" s="72" t="str">
        <f t="shared" si="0"/>
        <v>Off-Peak</v>
      </c>
      <c r="U10" s="68">
        <v>400</v>
      </c>
      <c r="V10" s="1357">
        <f>Assumptions!$B$9</f>
        <v>150</v>
      </c>
      <c r="W10" s="1357">
        <f>Assumptions!$B$9</f>
        <v>150</v>
      </c>
      <c r="X10" s="1357">
        <f>Assumptions!$B$9</f>
        <v>150</v>
      </c>
      <c r="Y10" s="1357">
        <f>Assumptions!$B$9</f>
        <v>150</v>
      </c>
      <c r="Z10" s="370"/>
      <c r="AA10" s="594">
        <f t="shared" si="1"/>
        <v>2006</v>
      </c>
      <c r="AB10" s="1584">
        <v>0</v>
      </c>
      <c r="AC10" s="1584">
        <v>0</v>
      </c>
      <c r="AD10" s="1584">
        <v>0</v>
      </c>
      <c r="AE10" s="1584">
        <v>0.2</v>
      </c>
      <c r="AF10" s="1584">
        <v>0</v>
      </c>
      <c r="AG10" s="1584">
        <v>0</v>
      </c>
      <c r="AH10" s="1584">
        <v>0</v>
      </c>
      <c r="AI10" s="1584">
        <v>0</v>
      </c>
      <c r="AJ10" s="1584">
        <v>0</v>
      </c>
      <c r="AK10" s="1584">
        <v>0</v>
      </c>
      <c r="AL10" s="1584">
        <v>0</v>
      </c>
      <c r="AM10" s="1585">
        <v>0</v>
      </c>
      <c r="AN10" s="378"/>
      <c r="AO10" s="99" t="s">
        <v>211</v>
      </c>
      <c r="AP10" s="442">
        <v>1</v>
      </c>
      <c r="AQ10" s="136"/>
      <c r="AS10" s="32" t="s">
        <v>177</v>
      </c>
      <c r="AT10" s="30" t="s">
        <v>212</v>
      </c>
      <c r="AU10" s="30" t="str">
        <f>PeakPeriod</f>
        <v>700-2200</v>
      </c>
      <c r="AV10" s="30" t="str">
        <f>OffPeakPeriod</f>
        <v>2300-600</v>
      </c>
      <c r="AW10" s="30" t="str">
        <f>PeakPeriod</f>
        <v>700-2200</v>
      </c>
      <c r="AX10" s="30" t="str">
        <f>OffPeakPeriod</f>
        <v>2300-600</v>
      </c>
      <c r="AY10" s="30" t="str">
        <f>PeakPeriod</f>
        <v>700-2200</v>
      </c>
      <c r="AZ10" s="30" t="str">
        <f>OffPeakPeriod</f>
        <v>2300-600</v>
      </c>
      <c r="BA10" s="139" t="str">
        <f>IF(AND(WeekDef=8,CustomMFFlag),INDEX($AZ$29:$AZ$32,AU16),"")</f>
        <v>Override</v>
      </c>
      <c r="BB10"/>
      <c r="BC10"/>
      <c r="BG10" s="19"/>
      <c r="BH10" s="18"/>
      <c r="BI10" s="19"/>
      <c r="BK10" s="19"/>
      <c r="BL10" s="19"/>
      <c r="BM10" s="19"/>
      <c r="BN10" s="19"/>
      <c r="BO10" s="19"/>
    </row>
    <row r="11" spans="1:84" ht="18.75" customHeight="1">
      <c r="A11" s="365"/>
      <c r="B11" s="76" t="s">
        <v>208</v>
      </c>
      <c r="C11" s="1608">
        <f>Assumptions!C17+1</f>
        <v>37803</v>
      </c>
      <c r="D11" s="380"/>
      <c r="E11" s="378"/>
      <c r="F11" s="378"/>
      <c r="G11" s="370"/>
      <c r="H11" s="168"/>
      <c r="I11" s="378"/>
      <c r="J11" s="370"/>
      <c r="K11" s="72" t="s">
        <v>177</v>
      </c>
      <c r="L11" s="128" t="str">
        <f>INDEX(AT10:BA10,WeekDef)</f>
        <v>Override</v>
      </c>
      <c r="M11" s="378"/>
      <c r="N11" s="369"/>
      <c r="O11" s="69"/>
      <c r="P11" s="482">
        <v>0</v>
      </c>
      <c r="Q11" s="483">
        <v>0</v>
      </c>
      <c r="R11" s="370"/>
      <c r="S11" s="370"/>
      <c r="T11" s="72" t="str">
        <f t="shared" si="0"/>
        <v>Off-Peak</v>
      </c>
      <c r="U11" s="68">
        <v>500</v>
      </c>
      <c r="V11" s="1357">
        <f>Assumptions!$B$9</f>
        <v>150</v>
      </c>
      <c r="W11" s="1357">
        <f>Assumptions!$B$9</f>
        <v>150</v>
      </c>
      <c r="X11" s="1357">
        <f>Assumptions!$B$9</f>
        <v>150</v>
      </c>
      <c r="Y11" s="1357">
        <f>Assumptions!$B$9</f>
        <v>150</v>
      </c>
      <c r="Z11" s="370"/>
      <c r="AA11" s="69">
        <f t="shared" si="1"/>
        <v>2007</v>
      </c>
      <c r="AB11" s="1584">
        <v>0</v>
      </c>
      <c r="AC11" s="1584">
        <v>0</v>
      </c>
      <c r="AD11" s="1584">
        <v>0</v>
      </c>
      <c r="AE11" s="1584">
        <v>0.1</v>
      </c>
      <c r="AF11" s="1584">
        <v>0</v>
      </c>
      <c r="AG11" s="1584">
        <v>0</v>
      </c>
      <c r="AH11" s="1584">
        <v>0</v>
      </c>
      <c r="AI11" s="1584">
        <v>0</v>
      </c>
      <c r="AJ11" s="1584">
        <v>0</v>
      </c>
      <c r="AK11" s="1584">
        <v>0</v>
      </c>
      <c r="AL11" s="1584">
        <v>0</v>
      </c>
      <c r="AM11" s="1585">
        <v>0</v>
      </c>
      <c r="AN11" s="378"/>
      <c r="AO11" s="99" t="s">
        <v>215</v>
      </c>
      <c r="AP11" s="450" t="b">
        <f>IF(AQ11=1,TRUE,FALSE)</f>
        <v>1</v>
      </c>
      <c r="AQ11" s="420">
        <v>1</v>
      </c>
      <c r="AS11" s="32" t="s">
        <v>216</v>
      </c>
      <c r="AT11" s="30" t="s">
        <v>212</v>
      </c>
      <c r="AU11" s="30" t="str">
        <f>PeakPeriod</f>
        <v>700-2200</v>
      </c>
      <c r="AV11" s="30" t="str">
        <f>OffPeakPeriod</f>
        <v>2300-600</v>
      </c>
      <c r="AW11" s="30" t="s">
        <v>217</v>
      </c>
      <c r="AX11" s="30" t="s">
        <v>212</v>
      </c>
      <c r="AY11" s="30" t="str">
        <f>PeakPeriod</f>
        <v>700-2200</v>
      </c>
      <c r="AZ11" s="30" t="str">
        <f>OffPeakPeriod</f>
        <v>2300-600</v>
      </c>
      <c r="BA11" s="138" t="str">
        <f>IF(AND(WeekDef=8,CustomSaFlag),INDEX($AZ$29:$AZ$32,AU17),"")</f>
        <v>Override</v>
      </c>
      <c r="BB11"/>
      <c r="BC11"/>
      <c r="BG11" s="19"/>
      <c r="BH11" s="19"/>
      <c r="BI11" s="19"/>
      <c r="BJ11" s="19"/>
      <c r="BK11" s="19"/>
      <c r="BL11" s="18"/>
      <c r="BO11" s="19"/>
    </row>
    <row r="12" spans="1:84" ht="18" customHeight="1">
      <c r="A12" s="365"/>
      <c r="B12" s="76" t="s">
        <v>213</v>
      </c>
      <c r="C12" s="1608">
        <f>Assumptions!C18</f>
        <v>44926</v>
      </c>
      <c r="D12" s="379"/>
      <c r="E12" s="378"/>
      <c r="F12" s="378"/>
      <c r="G12" s="373"/>
      <c r="H12" s="168"/>
      <c r="I12" s="378"/>
      <c r="J12" s="370"/>
      <c r="K12" s="72" t="s">
        <v>216</v>
      </c>
      <c r="L12" s="128" t="str">
        <f>INDEX(AT11:BA11,WeekDef)</f>
        <v>Override</v>
      </c>
      <c r="M12" s="378"/>
      <c r="N12" s="369"/>
      <c r="O12" s="69"/>
      <c r="P12" s="484">
        <v>0</v>
      </c>
      <c r="Q12" s="485">
        <v>0</v>
      </c>
      <c r="R12" s="370"/>
      <c r="S12" s="370"/>
      <c r="T12" s="72" t="str">
        <f t="shared" si="0"/>
        <v>Off-Peak</v>
      </c>
      <c r="U12" s="68">
        <v>600</v>
      </c>
      <c r="V12" s="1357">
        <f>Assumptions!$B$9</f>
        <v>150</v>
      </c>
      <c r="W12" s="1357">
        <f>Assumptions!$B$9</f>
        <v>150</v>
      </c>
      <c r="X12" s="1357">
        <f>Assumptions!$B$9</f>
        <v>150</v>
      </c>
      <c r="Y12" s="1357">
        <f>Assumptions!$B$9</f>
        <v>150</v>
      </c>
      <c r="Z12" s="370"/>
      <c r="AA12" s="594">
        <f t="shared" si="1"/>
        <v>2008</v>
      </c>
      <c r="AB12" s="1584">
        <v>0</v>
      </c>
      <c r="AC12" s="1584">
        <v>0</v>
      </c>
      <c r="AD12" s="1584">
        <v>0</v>
      </c>
      <c r="AE12" s="1584">
        <v>0.1</v>
      </c>
      <c r="AF12" s="1584">
        <v>0</v>
      </c>
      <c r="AG12" s="1584">
        <v>0</v>
      </c>
      <c r="AH12" s="1584">
        <v>0</v>
      </c>
      <c r="AI12" s="1584">
        <v>0</v>
      </c>
      <c r="AJ12" s="1584">
        <v>0</v>
      </c>
      <c r="AK12" s="1584">
        <v>0</v>
      </c>
      <c r="AL12" s="1584">
        <v>0</v>
      </c>
      <c r="AM12" s="1585">
        <v>0</v>
      </c>
      <c r="AN12" s="378"/>
      <c r="AO12" s="99" t="s">
        <v>220</v>
      </c>
      <c r="AP12" s="442">
        <v>4</v>
      </c>
      <c r="AQ12" s="136"/>
      <c r="AS12" s="32" t="s">
        <v>221</v>
      </c>
      <c r="AT12" s="30" t="s">
        <v>212</v>
      </c>
      <c r="AU12" s="30" t="s">
        <v>217</v>
      </c>
      <c r="AV12" s="30" t="s">
        <v>212</v>
      </c>
      <c r="AW12" s="30" t="s">
        <v>217</v>
      </c>
      <c r="AX12" s="30" t="s">
        <v>212</v>
      </c>
      <c r="AY12" s="30" t="str">
        <f>PeakPeriod</f>
        <v>700-2200</v>
      </c>
      <c r="AZ12" s="30" t="str">
        <f>OffPeakPeriod</f>
        <v>2300-600</v>
      </c>
      <c r="BA12" s="138" t="str">
        <f>IF(AND(WeekDef=8,CustomSuFlag),INDEX($AZ$29:$AZ$32,AU18),"")</f>
        <v>Override</v>
      </c>
      <c r="BB12"/>
      <c r="BC12"/>
      <c r="BG12" s="19"/>
      <c r="BH12" s="19"/>
      <c r="BI12" s="19"/>
      <c r="BJ12" s="19"/>
      <c r="BK12" s="19"/>
      <c r="BL12" s="18"/>
      <c r="BO12" s="19"/>
    </row>
    <row r="13" spans="1:84" ht="18" customHeight="1" thickBot="1">
      <c r="A13" s="365"/>
      <c r="B13" s="82" t="s">
        <v>218</v>
      </c>
      <c r="C13" s="1609">
        <f>(EndDate-BegDate+1)/365.25</f>
        <v>19.504449007529089</v>
      </c>
      <c r="D13" s="381"/>
      <c r="E13" s="378"/>
      <c r="F13" s="378"/>
      <c r="G13" s="373"/>
      <c r="H13" s="168"/>
      <c r="I13" s="378"/>
      <c r="J13" s="370"/>
      <c r="K13" s="72" t="s">
        <v>221</v>
      </c>
      <c r="L13" s="128" t="str">
        <f>INDEX(AT12:BA12,WeekDef)</f>
        <v>Override</v>
      </c>
      <c r="M13" s="378"/>
      <c r="N13" s="369"/>
      <c r="O13" s="70"/>
      <c r="P13" s="484">
        <v>0</v>
      </c>
      <c r="Q13" s="485">
        <v>0</v>
      </c>
      <c r="R13" s="370"/>
      <c r="S13" s="370"/>
      <c r="T13" s="72" t="str">
        <f t="shared" si="0"/>
        <v>Peak</v>
      </c>
      <c r="U13" s="68">
        <v>700</v>
      </c>
      <c r="V13" s="1357">
        <f>Assumptions!$B$9</f>
        <v>150</v>
      </c>
      <c r="W13" s="1357">
        <f>Assumptions!$B$9</f>
        <v>150</v>
      </c>
      <c r="X13" s="1357">
        <f>Assumptions!$B$9</f>
        <v>150</v>
      </c>
      <c r="Y13" s="1357">
        <f>Assumptions!$B$9</f>
        <v>150</v>
      </c>
      <c r="Z13" s="370"/>
      <c r="AA13" s="69">
        <f t="shared" si="1"/>
        <v>2009</v>
      </c>
      <c r="AB13" s="1584">
        <v>0</v>
      </c>
      <c r="AC13" s="1584">
        <v>0</v>
      </c>
      <c r="AD13" s="1584">
        <v>0</v>
      </c>
      <c r="AE13" s="1584">
        <v>0.7</v>
      </c>
      <c r="AF13" s="1584">
        <v>0</v>
      </c>
      <c r="AG13" s="1584">
        <v>0</v>
      </c>
      <c r="AH13" s="1584">
        <v>0</v>
      </c>
      <c r="AI13" s="1584">
        <v>0</v>
      </c>
      <c r="AJ13" s="1584">
        <v>0</v>
      </c>
      <c r="AK13" s="1584">
        <v>0</v>
      </c>
      <c r="AL13" s="1584">
        <v>0</v>
      </c>
      <c r="AM13" s="1585">
        <v>0</v>
      </c>
      <c r="AN13" s="378"/>
      <c r="AO13" s="99" t="s">
        <v>223</v>
      </c>
      <c r="AP13" s="442" t="b">
        <v>0</v>
      </c>
      <c r="AQ13" s="136"/>
      <c r="AS13" s="33" t="s">
        <v>224</v>
      </c>
      <c r="AT13" s="34" t="str">
        <f t="shared" ref="AT13:AZ13" si="2">AT12</f>
        <v>100-2400</v>
      </c>
      <c r="AU13" s="34" t="str">
        <f t="shared" si="2"/>
        <v xml:space="preserve"> </v>
      </c>
      <c r="AV13" s="34" t="str">
        <f t="shared" si="2"/>
        <v>100-2400</v>
      </c>
      <c r="AW13" s="34" t="str">
        <f t="shared" si="2"/>
        <v xml:space="preserve"> </v>
      </c>
      <c r="AX13" s="34" t="str">
        <f t="shared" si="2"/>
        <v>100-2400</v>
      </c>
      <c r="AY13" s="34" t="str">
        <f t="shared" si="2"/>
        <v>700-2200</v>
      </c>
      <c r="AZ13" s="34" t="str">
        <f t="shared" si="2"/>
        <v>2300-600</v>
      </c>
      <c r="BA13" s="43" t="str">
        <f>IF(AND(WeekDef=8,CustomHoFlag),INDEX($AZ$29:$AZ$32,AU19),"")</f>
        <v>Override</v>
      </c>
      <c r="BB13"/>
      <c r="BC13"/>
      <c r="BD13" s="29"/>
      <c r="BG13" s="19"/>
      <c r="BK13" s="19"/>
      <c r="BL13" s="18"/>
      <c r="BO13" s="19"/>
    </row>
    <row r="14" spans="1:84" ht="19.5" customHeight="1" thickBot="1">
      <c r="A14" s="365"/>
      <c r="B14" s="378"/>
      <c r="C14" s="378"/>
      <c r="D14" s="370"/>
      <c r="E14" s="378"/>
      <c r="F14" s="378"/>
      <c r="G14" s="378"/>
      <c r="H14" s="169"/>
      <c r="I14" s="378"/>
      <c r="J14" s="370"/>
      <c r="K14" s="73" t="s">
        <v>224</v>
      </c>
      <c r="L14" s="129" t="str">
        <f>INDEX(AT13:BA13,WeekDef)</f>
        <v>Override</v>
      </c>
      <c r="M14" s="378"/>
      <c r="N14" s="369"/>
      <c r="O14" s="70"/>
      <c r="P14" s="484">
        <v>0</v>
      </c>
      <c r="Q14" s="485">
        <v>0</v>
      </c>
      <c r="R14" s="370"/>
      <c r="S14" s="370"/>
      <c r="T14" s="72" t="str">
        <f t="shared" si="0"/>
        <v>Peak</v>
      </c>
      <c r="U14" s="68">
        <v>800</v>
      </c>
      <c r="V14" s="1357">
        <f>Assumptions!$B$9</f>
        <v>150</v>
      </c>
      <c r="W14" s="1357">
        <f>Assumptions!$B$9</f>
        <v>150</v>
      </c>
      <c r="X14" s="1357">
        <f>Assumptions!$B$9</f>
        <v>150</v>
      </c>
      <c r="Y14" s="1357">
        <f>Assumptions!$B$9</f>
        <v>150</v>
      </c>
      <c r="Z14" s="370"/>
      <c r="AA14" s="594">
        <f t="shared" si="1"/>
        <v>2010</v>
      </c>
      <c r="AB14" s="1584">
        <v>0</v>
      </c>
      <c r="AC14" s="1584">
        <v>0</v>
      </c>
      <c r="AD14" s="1584">
        <v>0</v>
      </c>
      <c r="AE14" s="1584">
        <v>0.1</v>
      </c>
      <c r="AF14" s="1584">
        <v>0</v>
      </c>
      <c r="AG14" s="1584">
        <v>0</v>
      </c>
      <c r="AH14" s="1584">
        <v>0</v>
      </c>
      <c r="AI14" s="1584">
        <v>0</v>
      </c>
      <c r="AJ14" s="1584">
        <v>0</v>
      </c>
      <c r="AK14" s="1584">
        <v>0</v>
      </c>
      <c r="AL14" s="1584">
        <v>0</v>
      </c>
      <c r="AM14" s="1585">
        <v>0</v>
      </c>
      <c r="AN14" s="378"/>
      <c r="AO14" s="99" t="s">
        <v>226</v>
      </c>
      <c r="AP14" s="475">
        <f t="shared" ref="AP14:AP20" si="3">2-AQ14</f>
        <v>1</v>
      </c>
      <c r="AQ14" s="420">
        <v>1</v>
      </c>
      <c r="AS14"/>
      <c r="AT14"/>
      <c r="AU14"/>
      <c r="AV14"/>
      <c r="AW14"/>
      <c r="AX14"/>
      <c r="AY14"/>
      <c r="AZ14"/>
      <c r="BA14"/>
      <c r="BB14"/>
      <c r="BC14"/>
      <c r="BD14"/>
      <c r="BG14" s="19"/>
      <c r="BK14" s="19"/>
      <c r="BL14" s="18"/>
      <c r="BM14" s="19"/>
      <c r="BO14" s="19"/>
    </row>
    <row r="15" spans="1:84" ht="16.5" customHeight="1" thickBot="1">
      <c r="A15" s="365"/>
      <c r="B15" s="1465" t="s">
        <v>932</v>
      </c>
      <c r="C15" s="1467"/>
      <c r="D15" s="1468"/>
      <c r="E15" s="1467"/>
      <c r="F15" s="1467"/>
      <c r="G15" s="378"/>
      <c r="H15" s="1465" t="s">
        <v>931</v>
      </c>
      <c r="I15" s="1467"/>
      <c r="J15" s="1467"/>
      <c r="K15" s="1467"/>
      <c r="L15" s="1467"/>
      <c r="M15" s="1467"/>
      <c r="N15" s="369"/>
      <c r="O15" s="70"/>
      <c r="P15" s="484">
        <v>0</v>
      </c>
      <c r="Q15" s="485">
        <v>0</v>
      </c>
      <c r="R15" s="370"/>
      <c r="S15" s="370"/>
      <c r="T15" s="72" t="str">
        <f t="shared" si="0"/>
        <v>Peak</v>
      </c>
      <c r="U15" s="68">
        <v>900</v>
      </c>
      <c r="V15" s="1357">
        <f>Assumptions!$B$9</f>
        <v>150</v>
      </c>
      <c r="W15" s="1357">
        <f>Assumptions!$B$9</f>
        <v>150</v>
      </c>
      <c r="X15" s="1357">
        <f>Assumptions!$B$9</f>
        <v>150</v>
      </c>
      <c r="Y15" s="1357">
        <f>Assumptions!$B$9</f>
        <v>150</v>
      </c>
      <c r="Z15" s="370"/>
      <c r="AA15" s="69">
        <f t="shared" si="1"/>
        <v>2011</v>
      </c>
      <c r="AB15" s="1584">
        <v>0</v>
      </c>
      <c r="AC15" s="1584">
        <v>0</v>
      </c>
      <c r="AD15" s="1584">
        <v>0</v>
      </c>
      <c r="AE15" s="1584">
        <v>0.1</v>
      </c>
      <c r="AF15" s="1584">
        <v>0</v>
      </c>
      <c r="AG15" s="1584">
        <v>0</v>
      </c>
      <c r="AH15" s="1584">
        <v>0</v>
      </c>
      <c r="AI15" s="1584">
        <v>0</v>
      </c>
      <c r="AJ15" s="1584">
        <v>0</v>
      </c>
      <c r="AK15" s="1584">
        <v>0</v>
      </c>
      <c r="AL15" s="1584">
        <v>0</v>
      </c>
      <c r="AM15" s="1585">
        <v>0</v>
      </c>
      <c r="AN15" s="378"/>
      <c r="AO15" s="99" t="s">
        <v>227</v>
      </c>
      <c r="AP15" s="475">
        <f t="shared" si="3"/>
        <v>1</v>
      </c>
      <c r="AQ15" s="420">
        <v>1</v>
      </c>
      <c r="AS15" s="31" t="s">
        <v>228</v>
      </c>
      <c r="AT15" s="45" t="s">
        <v>229</v>
      </c>
      <c r="AU15" s="46" t="s">
        <v>230</v>
      </c>
      <c r="AV15"/>
      <c r="AW15" s="362" t="s">
        <v>231</v>
      </c>
      <c r="AX15" s="283"/>
      <c r="AY15"/>
      <c r="AZ15" s="279" t="s">
        <v>232</v>
      </c>
      <c r="BA15"/>
      <c r="BB15"/>
      <c r="BC15"/>
      <c r="BD15"/>
      <c r="BG15" s="19"/>
      <c r="BK15" s="19"/>
      <c r="BL15" s="19"/>
      <c r="BM15" s="19"/>
      <c r="BN15" s="19"/>
      <c r="BO15" s="19"/>
    </row>
    <row r="16" spans="1:84" ht="16.5" customHeight="1" thickBot="1">
      <c r="A16" s="365"/>
      <c r="B16" s="74" t="s">
        <v>225</v>
      </c>
      <c r="C16" s="384"/>
      <c r="D16" s="375"/>
      <c r="E16" s="284" t="s">
        <v>251</v>
      </c>
      <c r="F16" s="424">
        <v>0</v>
      </c>
      <c r="G16" s="378"/>
      <c r="H16" s="1419" t="s">
        <v>382</v>
      </c>
      <c r="I16" s="1359"/>
      <c r="J16" s="1359"/>
      <c r="K16" s="1359" t="s">
        <v>390</v>
      </c>
      <c r="L16" s="1456" t="s">
        <v>936</v>
      </c>
      <c r="M16" s="1359"/>
      <c r="N16" s="369"/>
      <c r="O16" s="69"/>
      <c r="P16" s="482">
        <v>0</v>
      </c>
      <c r="Q16" s="483">
        <v>0</v>
      </c>
      <c r="R16" s="370"/>
      <c r="S16" s="370"/>
      <c r="T16" s="72" t="str">
        <f t="shared" si="0"/>
        <v>Peak</v>
      </c>
      <c r="U16" s="68">
        <v>1000</v>
      </c>
      <c r="V16" s="1357">
        <f>Assumptions!$B$9</f>
        <v>150</v>
      </c>
      <c r="W16" s="1357">
        <f>Assumptions!$B$9</f>
        <v>150</v>
      </c>
      <c r="X16" s="1357">
        <f>Assumptions!$B$9</f>
        <v>150</v>
      </c>
      <c r="Y16" s="1357">
        <f>Assumptions!$B$9</f>
        <v>150</v>
      </c>
      <c r="Z16" s="370"/>
      <c r="AA16" s="594">
        <f t="shared" si="1"/>
        <v>2012</v>
      </c>
      <c r="AB16" s="1584">
        <v>0</v>
      </c>
      <c r="AC16" s="1584">
        <v>0</v>
      </c>
      <c r="AD16" s="1584">
        <v>0</v>
      </c>
      <c r="AE16" s="1584">
        <v>0.2</v>
      </c>
      <c r="AF16" s="1584">
        <v>0</v>
      </c>
      <c r="AG16" s="1584">
        <v>0</v>
      </c>
      <c r="AH16" s="1584">
        <v>0</v>
      </c>
      <c r="AI16" s="1584">
        <v>0</v>
      </c>
      <c r="AJ16" s="1584">
        <v>0</v>
      </c>
      <c r="AK16" s="1584">
        <v>0</v>
      </c>
      <c r="AL16" s="1584">
        <v>0</v>
      </c>
      <c r="AM16" s="1585">
        <v>0</v>
      </c>
      <c r="AN16" s="378"/>
      <c r="AO16" s="99" t="s">
        <v>233</v>
      </c>
      <c r="AP16" s="475">
        <f t="shared" si="3"/>
        <v>1</v>
      </c>
      <c r="AQ16" s="420">
        <v>1</v>
      </c>
      <c r="AS16" s="32" t="s">
        <v>177</v>
      </c>
      <c r="AT16" s="61" t="b">
        <v>1</v>
      </c>
      <c r="AU16" s="62">
        <v>4</v>
      </c>
      <c r="AV16"/>
      <c r="AW16" s="67" t="str">
        <f>INDEX(AW18:AW31,AX16)</f>
        <v>No Basis</v>
      </c>
      <c r="AX16" s="66">
        <v>1</v>
      </c>
      <c r="AY16"/>
      <c r="AZ16" s="277" t="s">
        <v>200</v>
      </c>
      <c r="BA16"/>
      <c r="BB16"/>
      <c r="BC16"/>
      <c r="BD16"/>
      <c r="BG16" s="19"/>
      <c r="BK16" s="19"/>
      <c r="BO16" s="19"/>
      <c r="BW16" s="5">
        <v>1</v>
      </c>
    </row>
    <row r="17" spans="1:72" ht="17.25" customHeight="1">
      <c r="A17" s="365"/>
      <c r="B17" s="429" t="s">
        <v>333</v>
      </c>
      <c r="C17" s="130"/>
      <c r="D17" s="375"/>
      <c r="E17" s="322" t="s">
        <v>334</v>
      </c>
      <c r="F17" s="323">
        <v>0</v>
      </c>
      <c r="G17" s="378"/>
      <c r="H17" s="618">
        <v>1999</v>
      </c>
      <c r="I17" s="629">
        <v>0</v>
      </c>
      <c r="J17" s="629"/>
      <c r="K17" s="595">
        <v>0</v>
      </c>
      <c r="L17" s="618">
        <v>1</v>
      </c>
      <c r="M17" s="630" t="s">
        <v>453</v>
      </c>
      <c r="N17" s="369"/>
      <c r="O17" s="69"/>
      <c r="P17" s="482">
        <v>0</v>
      </c>
      <c r="Q17" s="483">
        <v>0</v>
      </c>
      <c r="R17" s="370"/>
      <c r="S17" s="370"/>
      <c r="T17" s="72" t="str">
        <f t="shared" si="0"/>
        <v>Peak</v>
      </c>
      <c r="U17" s="68">
        <v>1100</v>
      </c>
      <c r="V17" s="1357">
        <f>Assumptions!$B$9</f>
        <v>150</v>
      </c>
      <c r="W17" s="1357">
        <f>Assumptions!$B$9</f>
        <v>150</v>
      </c>
      <c r="X17" s="1357">
        <f>Assumptions!$B$9</f>
        <v>150</v>
      </c>
      <c r="Y17" s="1357">
        <f>Assumptions!$B$9</f>
        <v>150</v>
      </c>
      <c r="Z17" s="370"/>
      <c r="AA17" s="69">
        <f t="shared" si="1"/>
        <v>2013</v>
      </c>
      <c r="AB17" s="1584">
        <v>0</v>
      </c>
      <c r="AC17" s="1584">
        <v>0</v>
      </c>
      <c r="AD17" s="1584">
        <v>0</v>
      </c>
      <c r="AE17" s="1584">
        <v>0.1</v>
      </c>
      <c r="AF17" s="1584">
        <v>0</v>
      </c>
      <c r="AG17" s="1584">
        <v>0</v>
      </c>
      <c r="AH17" s="1584">
        <v>0</v>
      </c>
      <c r="AI17" s="1584">
        <v>0</v>
      </c>
      <c r="AJ17" s="1584">
        <v>0</v>
      </c>
      <c r="AK17" s="1584">
        <v>0</v>
      </c>
      <c r="AL17" s="1584">
        <v>0</v>
      </c>
      <c r="AM17" s="1585">
        <v>0</v>
      </c>
      <c r="AN17" s="378"/>
      <c r="AO17" s="99" t="s">
        <v>234</v>
      </c>
      <c r="AP17" s="475">
        <f t="shared" si="3"/>
        <v>1</v>
      </c>
      <c r="AQ17" s="420">
        <v>1</v>
      </c>
      <c r="AS17" s="32" t="s">
        <v>216</v>
      </c>
      <c r="AT17" s="61" t="b">
        <v>1</v>
      </c>
      <c r="AU17" s="62">
        <v>4</v>
      </c>
      <c r="AV17"/>
      <c r="AW17" s="57" t="s">
        <v>235</v>
      </c>
      <c r="AX17" s="59" t="s">
        <v>236</v>
      </c>
      <c r="AY17"/>
      <c r="AZ17" s="277" t="s">
        <v>201</v>
      </c>
      <c r="BA17"/>
      <c r="BB17"/>
      <c r="BC17"/>
      <c r="BD17"/>
      <c r="BG17" s="19"/>
      <c r="BK17" s="19"/>
      <c r="BO17" s="19"/>
    </row>
    <row r="18" spans="1:72" ht="18" customHeight="1" thickBot="1">
      <c r="A18" s="365"/>
      <c r="B18" s="430"/>
      <c r="C18" s="132"/>
      <c r="D18" s="375"/>
      <c r="E18" s="322" t="s">
        <v>342</v>
      </c>
      <c r="F18" s="323">
        <v>0</v>
      </c>
      <c r="G18" s="378"/>
      <c r="H18" s="618">
        <v>2005</v>
      </c>
      <c r="I18" s="630">
        <v>0</v>
      </c>
      <c r="J18" s="630"/>
      <c r="K18" s="595">
        <v>0</v>
      </c>
      <c r="L18" s="618">
        <f>+L17+1</f>
        <v>2</v>
      </c>
      <c r="M18" s="630" t="s">
        <v>453</v>
      </c>
      <c r="N18" s="369"/>
      <c r="O18" s="69"/>
      <c r="P18" s="482">
        <v>0</v>
      </c>
      <c r="Q18" s="483">
        <v>0</v>
      </c>
      <c r="R18" s="370"/>
      <c r="S18" s="370"/>
      <c r="T18" s="72" t="str">
        <f t="shared" si="0"/>
        <v>Peak</v>
      </c>
      <c r="U18" s="68">
        <v>1200</v>
      </c>
      <c r="V18" s="1357">
        <f>Assumptions!$B$9</f>
        <v>150</v>
      </c>
      <c r="W18" s="1357">
        <f>Assumptions!$B$9</f>
        <v>150</v>
      </c>
      <c r="X18" s="1357">
        <f>Assumptions!$B$9</f>
        <v>150</v>
      </c>
      <c r="Y18" s="1357">
        <f>Assumptions!$B$9</f>
        <v>150</v>
      </c>
      <c r="Z18" s="370"/>
      <c r="AA18" s="594">
        <f t="shared" si="1"/>
        <v>2014</v>
      </c>
      <c r="AB18" s="1584">
        <v>0</v>
      </c>
      <c r="AC18" s="1584">
        <v>0</v>
      </c>
      <c r="AD18" s="1584">
        <v>0</v>
      </c>
      <c r="AE18" s="1584">
        <v>0.1</v>
      </c>
      <c r="AF18" s="1584">
        <v>0</v>
      </c>
      <c r="AG18" s="1584">
        <v>0</v>
      </c>
      <c r="AH18" s="1584">
        <v>0</v>
      </c>
      <c r="AI18" s="1584">
        <v>0</v>
      </c>
      <c r="AJ18" s="1584">
        <v>0</v>
      </c>
      <c r="AK18" s="1584">
        <v>0</v>
      </c>
      <c r="AL18" s="1584">
        <v>0</v>
      </c>
      <c r="AM18" s="1585">
        <v>0</v>
      </c>
      <c r="AN18" s="378"/>
      <c r="AO18" s="99" t="s">
        <v>237</v>
      </c>
      <c r="AP18" s="475">
        <f t="shared" si="3"/>
        <v>1</v>
      </c>
      <c r="AQ18" s="420">
        <v>1</v>
      </c>
      <c r="AS18" s="32" t="s">
        <v>221</v>
      </c>
      <c r="AT18" s="61" t="b">
        <v>1</v>
      </c>
      <c r="AU18" s="62">
        <v>4</v>
      </c>
      <c r="AV18"/>
      <c r="AW18" s="99" t="s">
        <v>238</v>
      </c>
      <c r="AX18" s="136"/>
      <c r="AY18"/>
      <c r="AZ18" s="277" t="s">
        <v>202</v>
      </c>
      <c r="BA18" s="122"/>
      <c r="BB18"/>
      <c r="BC18"/>
      <c r="BG18" s="19"/>
      <c r="BH18" s="19"/>
      <c r="BI18" s="19"/>
      <c r="BJ18" s="19"/>
      <c r="BK18" s="19"/>
      <c r="BL18" s="19"/>
      <c r="BM18" s="19"/>
      <c r="BN18" s="19"/>
      <c r="BO18" s="19"/>
    </row>
    <row r="19" spans="1:72" ht="18" customHeight="1" thickBot="1">
      <c r="A19" s="365"/>
      <c r="B19" s="76" t="s">
        <v>351</v>
      </c>
      <c r="C19" s="136"/>
      <c r="D19" s="375"/>
      <c r="E19" s="322" t="s">
        <v>352</v>
      </c>
      <c r="F19" s="323">
        <v>0</v>
      </c>
      <c r="G19" s="378"/>
      <c r="H19" s="618">
        <v>2010</v>
      </c>
      <c r="I19" s="630">
        <v>0</v>
      </c>
      <c r="J19" s="630"/>
      <c r="K19" s="595">
        <v>0</v>
      </c>
      <c r="L19" s="618">
        <f t="shared" ref="L19:L28" si="4">+L18+1</f>
        <v>3</v>
      </c>
      <c r="M19" s="630" t="s">
        <v>453</v>
      </c>
      <c r="N19" s="369"/>
      <c r="O19" s="71"/>
      <c r="P19" s="486">
        <v>0</v>
      </c>
      <c r="Q19" s="487">
        <v>0</v>
      </c>
      <c r="R19" s="370"/>
      <c r="S19" s="370"/>
      <c r="T19" s="72" t="str">
        <f t="shared" si="0"/>
        <v>Peak</v>
      </c>
      <c r="U19" s="68">
        <v>1300</v>
      </c>
      <c r="V19" s="1357">
        <f>Assumptions!$B$9</f>
        <v>150</v>
      </c>
      <c r="W19" s="1357">
        <f>Assumptions!$B$9</f>
        <v>150</v>
      </c>
      <c r="X19" s="1357">
        <f>Assumptions!$B$9</f>
        <v>150</v>
      </c>
      <c r="Y19" s="1357">
        <f>Assumptions!$B$9</f>
        <v>150</v>
      </c>
      <c r="Z19" s="370"/>
      <c r="AA19" s="69">
        <f t="shared" si="1"/>
        <v>2015</v>
      </c>
      <c r="AB19" s="1584">
        <v>0</v>
      </c>
      <c r="AC19" s="1584">
        <v>0</v>
      </c>
      <c r="AD19" s="1584">
        <v>0</v>
      </c>
      <c r="AE19" s="1584">
        <v>0.7</v>
      </c>
      <c r="AF19" s="1584">
        <v>0</v>
      </c>
      <c r="AG19" s="1584">
        <v>0</v>
      </c>
      <c r="AH19" s="1584">
        <v>0</v>
      </c>
      <c r="AI19" s="1584">
        <v>0</v>
      </c>
      <c r="AJ19" s="1584">
        <v>0</v>
      </c>
      <c r="AK19" s="1584">
        <v>0</v>
      </c>
      <c r="AL19" s="1584">
        <v>0</v>
      </c>
      <c r="AM19" s="1585">
        <v>0</v>
      </c>
      <c r="AN19" s="378"/>
      <c r="AO19" s="99" t="s">
        <v>239</v>
      </c>
      <c r="AP19" s="475">
        <f t="shared" si="3"/>
        <v>1</v>
      </c>
      <c r="AQ19" s="420">
        <v>1</v>
      </c>
      <c r="AS19" s="33" t="s">
        <v>224</v>
      </c>
      <c r="AT19" s="63" t="b">
        <v>1</v>
      </c>
      <c r="AU19" s="64">
        <v>4</v>
      </c>
      <c r="AV19"/>
      <c r="AW19" s="55" t="s">
        <v>240</v>
      </c>
      <c r="AX19" s="54">
        <v>1</v>
      </c>
      <c r="AY19"/>
      <c r="AZ19" s="277" t="s">
        <v>203</v>
      </c>
      <c r="BA19" s="123"/>
      <c r="BB19"/>
      <c r="BC19"/>
      <c r="BG19" s="19"/>
      <c r="BH19" s="19"/>
      <c r="BI19" s="19"/>
      <c r="BJ19" s="19"/>
      <c r="BK19" s="19"/>
      <c r="BL19" s="19"/>
      <c r="BM19" s="19"/>
      <c r="BN19" s="19"/>
      <c r="BO19" s="19"/>
    </row>
    <row r="20" spans="1:72" ht="20.25" customHeight="1" thickBot="1">
      <c r="A20" s="365"/>
      <c r="B20" s="76" t="s">
        <v>361</v>
      </c>
      <c r="C20" s="136"/>
      <c r="D20" s="375"/>
      <c r="E20" s="378"/>
      <c r="F20" s="378"/>
      <c r="G20" s="378"/>
      <c r="H20" s="619">
        <v>2015</v>
      </c>
      <c r="I20" s="631">
        <v>0</v>
      </c>
      <c r="J20" s="631"/>
      <c r="K20" s="595">
        <v>0</v>
      </c>
      <c r="L20" s="618">
        <f t="shared" si="4"/>
        <v>4</v>
      </c>
      <c r="M20" s="630" t="s">
        <v>453</v>
      </c>
      <c r="N20" s="369"/>
      <c r="O20" s="460" t="s">
        <v>241</v>
      </c>
      <c r="P20" s="461"/>
      <c r="Q20" s="461"/>
      <c r="R20" s="461"/>
      <c r="S20" s="370"/>
      <c r="T20" s="72" t="str">
        <f t="shared" si="0"/>
        <v>Peak</v>
      </c>
      <c r="U20" s="68">
        <v>1400</v>
      </c>
      <c r="V20" s="1357">
        <f>Assumptions!$B$9</f>
        <v>150</v>
      </c>
      <c r="W20" s="1357">
        <f>Assumptions!$B$9</f>
        <v>150</v>
      </c>
      <c r="X20" s="1357">
        <f>Assumptions!$B$9</f>
        <v>150</v>
      </c>
      <c r="Y20" s="1357">
        <f>Assumptions!$B$9</f>
        <v>150</v>
      </c>
      <c r="Z20" s="370"/>
      <c r="AA20" s="594">
        <f t="shared" si="1"/>
        <v>2016</v>
      </c>
      <c r="AB20" s="1584">
        <v>0</v>
      </c>
      <c r="AC20" s="1584">
        <v>0</v>
      </c>
      <c r="AD20" s="1584">
        <v>0</v>
      </c>
      <c r="AE20" s="1584">
        <v>0.1</v>
      </c>
      <c r="AF20" s="1584">
        <v>0</v>
      </c>
      <c r="AG20" s="1584">
        <v>0</v>
      </c>
      <c r="AH20" s="1584">
        <v>0</v>
      </c>
      <c r="AI20" s="1584">
        <v>0</v>
      </c>
      <c r="AJ20" s="1584">
        <v>0</v>
      </c>
      <c r="AK20" s="1584">
        <v>0</v>
      </c>
      <c r="AL20" s="1584">
        <v>0</v>
      </c>
      <c r="AM20" s="1585">
        <v>0</v>
      </c>
      <c r="AN20" s="378"/>
      <c r="AO20" s="99" t="s">
        <v>242</v>
      </c>
      <c r="AP20" s="475">
        <f t="shared" si="3"/>
        <v>0</v>
      </c>
      <c r="AQ20" s="420">
        <v>2</v>
      </c>
      <c r="AW20" s="55" t="s">
        <v>243</v>
      </c>
      <c r="AX20" s="54">
        <v>2</v>
      </c>
      <c r="AY20"/>
      <c r="AZ20" s="277" t="s">
        <v>204</v>
      </c>
      <c r="BA20" s="123"/>
      <c r="BB20"/>
      <c r="BC20"/>
      <c r="BG20" s="19"/>
      <c r="BH20" s="18"/>
      <c r="BJ20" s="37"/>
      <c r="BL20" s="37"/>
      <c r="BM20" s="37"/>
      <c r="BO20" s="19"/>
    </row>
    <row r="21" spans="1:72" ht="19.5" customHeight="1" thickBot="1">
      <c r="A21" s="368"/>
      <c r="B21" s="430" t="s">
        <v>368</v>
      </c>
      <c r="C21" s="132"/>
      <c r="D21" s="377"/>
      <c r="E21" s="378"/>
      <c r="F21" s="378"/>
      <c r="G21" s="378"/>
      <c r="H21" s="378"/>
      <c r="I21" s="378"/>
      <c r="J21" s="378"/>
      <c r="K21" s="378"/>
      <c r="L21" s="618">
        <f t="shared" si="4"/>
        <v>5</v>
      </c>
      <c r="M21" s="630" t="s">
        <v>453</v>
      </c>
      <c r="N21" s="369"/>
      <c r="O21" s="462"/>
      <c r="P21" s="467"/>
      <c r="Q21" s="463" t="s">
        <v>244</v>
      </c>
      <c r="R21" s="338">
        <v>0</v>
      </c>
      <c r="S21" s="370"/>
      <c r="T21" s="72" t="str">
        <f t="shared" si="0"/>
        <v>Peak</v>
      </c>
      <c r="U21" s="68">
        <v>1500</v>
      </c>
      <c r="V21" s="1357">
        <f>Assumptions!$B$9</f>
        <v>150</v>
      </c>
      <c r="W21" s="1357">
        <f>Assumptions!$B$9</f>
        <v>150</v>
      </c>
      <c r="X21" s="1357">
        <f>Assumptions!$B$9</f>
        <v>150</v>
      </c>
      <c r="Y21" s="1357">
        <f>Assumptions!$B$9</f>
        <v>150</v>
      </c>
      <c r="Z21" s="370"/>
      <c r="AA21" s="69">
        <f t="shared" si="1"/>
        <v>2017</v>
      </c>
      <c r="AB21" s="1584">
        <v>0</v>
      </c>
      <c r="AC21" s="1584">
        <v>0</v>
      </c>
      <c r="AD21" s="1584">
        <v>0</v>
      </c>
      <c r="AE21" s="1584">
        <v>0.1</v>
      </c>
      <c r="AF21" s="1584">
        <v>0</v>
      </c>
      <c r="AG21" s="1584">
        <v>0</v>
      </c>
      <c r="AH21" s="1584">
        <v>0</v>
      </c>
      <c r="AI21" s="1584">
        <v>0</v>
      </c>
      <c r="AJ21" s="1584">
        <v>0</v>
      </c>
      <c r="AK21" s="1584">
        <v>0</v>
      </c>
      <c r="AL21" s="1584">
        <v>0</v>
      </c>
      <c r="AM21" s="1585">
        <v>0</v>
      </c>
      <c r="AN21" s="378"/>
      <c r="AO21" s="99" t="s">
        <v>245</v>
      </c>
      <c r="AP21" s="475">
        <f t="shared" ref="AP21:AP33" si="5">2-AQ21</f>
        <v>0</v>
      </c>
      <c r="AQ21" s="420">
        <v>2</v>
      </c>
      <c r="AS21" s="98" t="s">
        <v>246</v>
      </c>
      <c r="AT21" s="58" t="str">
        <f>INDEX(AT23:AT47,AU21)</f>
        <v>11    SP-15</v>
      </c>
      <c r="AU21" s="65">
        <v>25</v>
      </c>
      <c r="AV21" s="29"/>
      <c r="AW21" s="55" t="s">
        <v>247</v>
      </c>
      <c r="AX21" s="54">
        <v>3</v>
      </c>
      <c r="AY21"/>
      <c r="AZ21" s="277" t="s">
        <v>205</v>
      </c>
      <c r="BA21" s="123"/>
      <c r="BB21"/>
      <c r="BC21"/>
      <c r="BG21" s="19"/>
      <c r="BH21" s="19"/>
      <c r="BI21" s="19"/>
      <c r="BJ21" s="19"/>
      <c r="BK21" s="19"/>
      <c r="BL21" s="19"/>
      <c r="BM21" s="19"/>
      <c r="BN21" s="19"/>
      <c r="BO21" s="19"/>
      <c r="BT21" s="5">
        <v>21</v>
      </c>
    </row>
    <row r="22" spans="1:72" ht="18" customHeight="1" thickBot="1">
      <c r="A22" s="368"/>
      <c r="B22" s="378"/>
      <c r="C22" s="378"/>
      <c r="D22" s="374"/>
      <c r="E22" s="378"/>
      <c r="F22" s="378"/>
      <c r="G22" s="378"/>
      <c r="H22" s="378"/>
      <c r="I22" s="378"/>
      <c r="J22" s="378"/>
      <c r="K22" s="378"/>
      <c r="L22" s="618">
        <f t="shared" si="4"/>
        <v>6</v>
      </c>
      <c r="M22" s="630" t="s">
        <v>453</v>
      </c>
      <c r="N22" s="369"/>
      <c r="O22" s="370"/>
      <c r="P22" s="370"/>
      <c r="Q22" s="370"/>
      <c r="R22" s="370"/>
      <c r="S22" s="370"/>
      <c r="T22" s="72" t="str">
        <f t="shared" si="0"/>
        <v>Peak</v>
      </c>
      <c r="U22" s="68">
        <v>1600</v>
      </c>
      <c r="V22" s="1357">
        <f>Assumptions!$B$9</f>
        <v>150</v>
      </c>
      <c r="W22" s="1357">
        <f>Assumptions!$B$9</f>
        <v>150</v>
      </c>
      <c r="X22" s="1357">
        <f>Assumptions!$B$9</f>
        <v>150</v>
      </c>
      <c r="Y22" s="1357">
        <f>Assumptions!$B$9</f>
        <v>150</v>
      </c>
      <c r="Z22" s="370"/>
      <c r="AA22" s="594">
        <f t="shared" si="1"/>
        <v>2018</v>
      </c>
      <c r="AB22" s="1584">
        <v>0</v>
      </c>
      <c r="AC22" s="1584">
        <v>0</v>
      </c>
      <c r="AD22" s="1584">
        <v>0</v>
      </c>
      <c r="AE22" s="1584">
        <v>0.2</v>
      </c>
      <c r="AF22" s="1584">
        <v>0</v>
      </c>
      <c r="AG22" s="1584">
        <v>0</v>
      </c>
      <c r="AH22" s="1584">
        <v>0</v>
      </c>
      <c r="AI22" s="1584">
        <v>0</v>
      </c>
      <c r="AJ22" s="1584">
        <v>0</v>
      </c>
      <c r="AK22" s="1584">
        <v>0</v>
      </c>
      <c r="AL22" s="1584">
        <v>0</v>
      </c>
      <c r="AM22" s="1585">
        <v>0</v>
      </c>
      <c r="AN22" s="378"/>
      <c r="AO22" s="99" t="s">
        <v>248</v>
      </c>
      <c r="AP22" s="475">
        <f>AQ22-1</f>
        <v>2</v>
      </c>
      <c r="AQ22" s="420">
        <v>3</v>
      </c>
      <c r="AS22" s="52" t="s">
        <v>249</v>
      </c>
      <c r="AT22" s="53" t="s">
        <v>235</v>
      </c>
      <c r="AU22" s="97" t="s">
        <v>236</v>
      </c>
      <c r="AV22" s="140"/>
      <c r="AW22" s="55" t="s">
        <v>250</v>
      </c>
      <c r="AX22" s="54">
        <v>4</v>
      </c>
      <c r="AY22"/>
      <c r="AZ22" s="277" t="s">
        <v>206</v>
      </c>
      <c r="BA22" s="123"/>
      <c r="BB22"/>
      <c r="BC22"/>
      <c r="BG22" s="19"/>
      <c r="BH22" s="18"/>
      <c r="BM22" s="38"/>
      <c r="BO22" s="19"/>
    </row>
    <row r="23" spans="1:72" ht="18.75" customHeight="1" thickBot="1">
      <c r="A23" s="368"/>
      <c r="B23" s="378"/>
      <c r="C23" s="378"/>
      <c r="D23" s="369"/>
      <c r="E23" s="378"/>
      <c r="F23" s="378"/>
      <c r="G23" s="378"/>
      <c r="H23" s="378"/>
      <c r="I23" s="378"/>
      <c r="J23" s="369"/>
      <c r="K23" s="370"/>
      <c r="L23" s="618">
        <f t="shared" si="4"/>
        <v>7</v>
      </c>
      <c r="M23" s="630" t="s">
        <v>453</v>
      </c>
      <c r="N23" s="369"/>
      <c r="O23" s="491"/>
      <c r="P23" s="491" t="s">
        <v>252</v>
      </c>
      <c r="Q23" s="470" t="s">
        <v>327</v>
      </c>
      <c r="R23" s="315"/>
      <c r="S23" s="370"/>
      <c r="T23" s="72" t="str">
        <f t="shared" si="0"/>
        <v>Peak</v>
      </c>
      <c r="U23" s="68">
        <v>1700</v>
      </c>
      <c r="V23" s="1357">
        <f>Assumptions!$B$9</f>
        <v>150</v>
      </c>
      <c r="W23" s="1357">
        <f>Assumptions!$B$9</f>
        <v>150</v>
      </c>
      <c r="X23" s="1357">
        <f>Assumptions!$B$9</f>
        <v>150</v>
      </c>
      <c r="Y23" s="1357">
        <f>Assumptions!$B$9</f>
        <v>150</v>
      </c>
      <c r="Z23" s="370"/>
      <c r="AA23" s="69">
        <f t="shared" si="1"/>
        <v>2019</v>
      </c>
      <c r="AB23" s="1584">
        <v>0</v>
      </c>
      <c r="AC23" s="1584">
        <v>0</v>
      </c>
      <c r="AD23" s="1584">
        <v>0</v>
      </c>
      <c r="AE23" s="1584">
        <v>0.1</v>
      </c>
      <c r="AF23" s="1584">
        <v>0</v>
      </c>
      <c r="AG23" s="1584">
        <v>0</v>
      </c>
      <c r="AH23" s="1584">
        <v>0</v>
      </c>
      <c r="AI23" s="1584">
        <v>0</v>
      </c>
      <c r="AJ23" s="1584">
        <v>0</v>
      </c>
      <c r="AK23" s="1584">
        <v>0</v>
      </c>
      <c r="AL23" s="1584">
        <v>0</v>
      </c>
      <c r="AM23" s="1585">
        <v>0</v>
      </c>
      <c r="AN23" s="378"/>
      <c r="AO23" s="99" t="s">
        <v>328</v>
      </c>
      <c r="AP23" s="475">
        <f>AQ23-1</f>
        <v>0</v>
      </c>
      <c r="AQ23" s="420">
        <v>1</v>
      </c>
      <c r="AS23" s="47" t="s">
        <v>329</v>
      </c>
      <c r="AT23" s="6" t="s">
        <v>330</v>
      </c>
      <c r="AU23" s="48" t="s">
        <v>331</v>
      </c>
      <c r="AW23" s="55" t="s">
        <v>332</v>
      </c>
      <c r="AX23" s="54">
        <v>5</v>
      </c>
      <c r="AY23"/>
      <c r="AZ23" s="278" t="s">
        <v>207</v>
      </c>
      <c r="BA23" s="123"/>
      <c r="BB23"/>
      <c r="BG23" s="19"/>
      <c r="BN23" s="19"/>
      <c r="BO23" s="19"/>
    </row>
    <row r="24" spans="1:72" ht="18" customHeight="1" thickBot="1">
      <c r="A24" s="368"/>
      <c r="B24" s="1465" t="s">
        <v>6</v>
      </c>
      <c r="C24" s="1465"/>
      <c r="D24" s="1469"/>
      <c r="E24" s="1465"/>
      <c r="F24" s="1465"/>
      <c r="G24" s="376"/>
      <c r="H24" s="378"/>
      <c r="I24" s="378"/>
      <c r="J24" s="370"/>
      <c r="K24" s="378"/>
      <c r="L24" s="618">
        <f t="shared" si="4"/>
        <v>8</v>
      </c>
      <c r="M24" s="630" t="s">
        <v>453</v>
      </c>
      <c r="N24" s="369"/>
      <c r="O24" s="493"/>
      <c r="P24" s="493" t="s">
        <v>172</v>
      </c>
      <c r="Q24" s="468" t="s">
        <v>335</v>
      </c>
      <c r="R24" s="468" t="s">
        <v>336</v>
      </c>
      <c r="S24" s="370"/>
      <c r="T24" s="72" t="str">
        <f t="shared" si="0"/>
        <v>Peak</v>
      </c>
      <c r="U24" s="68">
        <v>1800</v>
      </c>
      <c r="V24" s="1357">
        <f>Assumptions!$B$9</f>
        <v>150</v>
      </c>
      <c r="W24" s="1357">
        <f>Assumptions!$B$9</f>
        <v>150</v>
      </c>
      <c r="X24" s="1357">
        <f>Assumptions!$B$9</f>
        <v>150</v>
      </c>
      <c r="Y24" s="1357">
        <f>Assumptions!$B$9</f>
        <v>150</v>
      </c>
      <c r="Z24" s="370"/>
      <c r="AA24" s="594">
        <f t="shared" si="1"/>
        <v>2020</v>
      </c>
      <c r="AB24" s="1584">
        <v>0</v>
      </c>
      <c r="AC24" s="1584">
        <v>0</v>
      </c>
      <c r="AD24" s="1584">
        <v>0</v>
      </c>
      <c r="AE24" s="1584">
        <v>0.1</v>
      </c>
      <c r="AF24" s="1584">
        <v>0</v>
      </c>
      <c r="AG24" s="1584">
        <v>0</v>
      </c>
      <c r="AH24" s="1584">
        <v>0</v>
      </c>
      <c r="AI24" s="1584">
        <v>0</v>
      </c>
      <c r="AJ24" s="1584">
        <v>0</v>
      </c>
      <c r="AK24" s="1584">
        <v>0</v>
      </c>
      <c r="AL24" s="1584">
        <v>0</v>
      </c>
      <c r="AM24" s="1585">
        <v>0</v>
      </c>
      <c r="AN24" s="378"/>
      <c r="AO24" s="99" t="s">
        <v>337</v>
      </c>
      <c r="AP24" s="475">
        <f t="shared" si="5"/>
        <v>2</v>
      </c>
      <c r="AQ24" s="420">
        <v>0</v>
      </c>
      <c r="AS24" s="47" t="s">
        <v>321</v>
      </c>
      <c r="AT24" s="6" t="s">
        <v>338</v>
      </c>
      <c r="AU24" s="48" t="s">
        <v>339</v>
      </c>
      <c r="AW24" s="55" t="s">
        <v>340</v>
      </c>
      <c r="AX24" s="54">
        <v>6</v>
      </c>
      <c r="AY24"/>
      <c r="AZ24" s="279" t="s">
        <v>341</v>
      </c>
      <c r="BA24" s="123"/>
      <c r="BB24"/>
      <c r="BG24" s="19"/>
      <c r="BH24" s="18"/>
      <c r="BO24" s="19"/>
    </row>
    <row r="25" spans="1:72" ht="19.5" customHeight="1" thickBot="1">
      <c r="A25" s="368"/>
      <c r="B25" s="602" t="str">
        <f>IF(OBuySell=1,IF(OCallPut=1,"ECT Can Deliver Coal, Take Power","ECT Can Deliver Power, Take Coal"),IF(OCallPut=1,"Counterparty Can Deliver Coal, Take Power","Counterparty Can Deliver Power, Take Coal"))</f>
        <v>ECT Can Deliver Coal, Take Power</v>
      </c>
      <c r="C25" s="166"/>
      <c r="D25" s="370"/>
      <c r="E25" s="603" t="s">
        <v>914</v>
      </c>
      <c r="F25" s="604"/>
      <c r="G25" s="378"/>
      <c r="H25" s="378"/>
      <c r="I25" s="378"/>
      <c r="J25" s="370"/>
      <c r="K25" s="378"/>
      <c r="L25" s="618">
        <f t="shared" si="4"/>
        <v>9</v>
      </c>
      <c r="M25" s="630" t="s">
        <v>453</v>
      </c>
      <c r="N25" s="369"/>
      <c r="O25" s="493" t="s">
        <v>172</v>
      </c>
      <c r="P25" s="493" t="s">
        <v>343</v>
      </c>
      <c r="Q25" s="469" t="s">
        <v>344</v>
      </c>
      <c r="R25" s="469" t="s">
        <v>255</v>
      </c>
      <c r="S25" s="370"/>
      <c r="T25" s="72" t="str">
        <f t="shared" si="0"/>
        <v>Peak</v>
      </c>
      <c r="U25" s="68">
        <v>1900</v>
      </c>
      <c r="V25" s="1357">
        <f>Assumptions!$B$9</f>
        <v>150</v>
      </c>
      <c r="W25" s="1357">
        <f>Assumptions!$B$9</f>
        <v>150</v>
      </c>
      <c r="X25" s="1357">
        <f>Assumptions!$B$9</f>
        <v>150</v>
      </c>
      <c r="Y25" s="1357">
        <f>Assumptions!$B$9</f>
        <v>150</v>
      </c>
      <c r="Z25" s="370"/>
      <c r="AA25" s="69">
        <f t="shared" si="1"/>
        <v>2021</v>
      </c>
      <c r="AB25" s="1584">
        <v>0</v>
      </c>
      <c r="AC25" s="1584">
        <v>0</v>
      </c>
      <c r="AD25" s="1584">
        <v>0</v>
      </c>
      <c r="AE25" s="1584">
        <v>0.7</v>
      </c>
      <c r="AF25" s="1584">
        <v>0</v>
      </c>
      <c r="AG25" s="1584">
        <v>0</v>
      </c>
      <c r="AH25" s="1584">
        <v>0</v>
      </c>
      <c r="AI25" s="1584">
        <v>0</v>
      </c>
      <c r="AJ25" s="1584">
        <v>0</v>
      </c>
      <c r="AK25" s="1584">
        <v>0</v>
      </c>
      <c r="AL25" s="1584">
        <v>0</v>
      </c>
      <c r="AM25" s="1585">
        <v>0</v>
      </c>
      <c r="AN25" s="378"/>
      <c r="AO25" s="99" t="s">
        <v>345</v>
      </c>
      <c r="AP25" s="475">
        <f t="shared" si="5"/>
        <v>1</v>
      </c>
      <c r="AQ25" s="420">
        <v>1</v>
      </c>
      <c r="AS25" s="47" t="s">
        <v>346</v>
      </c>
      <c r="AT25" s="6" t="s">
        <v>347</v>
      </c>
      <c r="AU25" s="48" t="s">
        <v>348</v>
      </c>
      <c r="AW25" s="55" t="s">
        <v>349</v>
      </c>
      <c r="AX25" s="54">
        <v>7</v>
      </c>
      <c r="AY25"/>
      <c r="AZ25" s="280" t="s">
        <v>350</v>
      </c>
      <c r="BA25" s="123"/>
      <c r="BB25"/>
      <c r="BG25" s="19"/>
      <c r="BJ25" s="35"/>
      <c r="BL25" s="35"/>
      <c r="BO25" s="19"/>
    </row>
    <row r="26" spans="1:72" ht="18.75" customHeight="1" thickBot="1">
      <c r="A26" s="368"/>
      <c r="B26" s="382" t="s">
        <v>19</v>
      </c>
      <c r="C26" s="383"/>
      <c r="D26" s="370"/>
      <c r="E26" s="386" t="s">
        <v>380</v>
      </c>
      <c r="F26" s="1607">
        <f>Assumptions!C10</f>
        <v>7000</v>
      </c>
      <c r="G26" s="370"/>
      <c r="H26" s="378"/>
      <c r="I26" s="378"/>
      <c r="J26" s="370"/>
      <c r="K26" s="378"/>
      <c r="L26" s="618">
        <f t="shared" si="4"/>
        <v>10</v>
      </c>
      <c r="M26" s="630" t="s">
        <v>453</v>
      </c>
      <c r="N26" s="378"/>
      <c r="O26" s="494"/>
      <c r="P26" s="494" t="s">
        <v>353</v>
      </c>
      <c r="Q26" s="492" t="s">
        <v>354</v>
      </c>
      <c r="R26" s="492" t="s">
        <v>354</v>
      </c>
      <c r="S26" s="370"/>
      <c r="T26" s="72" t="str">
        <f t="shared" si="0"/>
        <v>Peak</v>
      </c>
      <c r="U26" s="68">
        <v>2000</v>
      </c>
      <c r="V26" s="1357">
        <f>Assumptions!$B$9</f>
        <v>150</v>
      </c>
      <c r="W26" s="1357">
        <f>Assumptions!$B$9</f>
        <v>150</v>
      </c>
      <c r="X26" s="1357">
        <f>Assumptions!$B$9</f>
        <v>150</v>
      </c>
      <c r="Y26" s="1357">
        <f>Assumptions!$B$9</f>
        <v>150</v>
      </c>
      <c r="Z26" s="370"/>
      <c r="AA26" s="69">
        <f t="shared" si="1"/>
        <v>2022</v>
      </c>
      <c r="AB26" s="1584">
        <v>0</v>
      </c>
      <c r="AC26" s="1584">
        <v>0</v>
      </c>
      <c r="AD26" s="1584">
        <v>0</v>
      </c>
      <c r="AE26" s="1584">
        <v>0.1</v>
      </c>
      <c r="AF26" s="1584">
        <v>0</v>
      </c>
      <c r="AG26" s="1584">
        <v>0</v>
      </c>
      <c r="AH26" s="1584">
        <v>0</v>
      </c>
      <c r="AI26" s="1584">
        <v>0</v>
      </c>
      <c r="AJ26" s="1584">
        <v>0</v>
      </c>
      <c r="AK26" s="1584">
        <v>0</v>
      </c>
      <c r="AL26" s="1584">
        <v>0</v>
      </c>
      <c r="AM26" s="1585">
        <v>0</v>
      </c>
      <c r="AN26" s="378"/>
      <c r="AO26" s="419" t="s">
        <v>355</v>
      </c>
      <c r="AP26" s="442" t="b">
        <v>1</v>
      </c>
      <c r="AQ26" s="136"/>
      <c r="AS26" s="47" t="s">
        <v>356</v>
      </c>
      <c r="AT26" s="6" t="s">
        <v>357</v>
      </c>
      <c r="AU26" s="48" t="s">
        <v>358</v>
      </c>
      <c r="AW26" s="55" t="s">
        <v>359</v>
      </c>
      <c r="AX26" s="54">
        <v>8</v>
      </c>
      <c r="AY26"/>
      <c r="AZ26" s="280" t="s">
        <v>360</v>
      </c>
      <c r="BA26" s="123"/>
      <c r="BB26"/>
      <c r="BG26" s="19"/>
      <c r="BL26" s="38"/>
      <c r="BN26" s="19"/>
      <c r="BO26" s="19"/>
      <c r="BR26" s="18"/>
    </row>
    <row r="27" spans="1:72" ht="18.75" customHeight="1" thickBot="1">
      <c r="A27" s="368"/>
      <c r="B27" s="74" t="s">
        <v>351</v>
      </c>
      <c r="C27" s="384"/>
      <c r="D27" s="370"/>
      <c r="E27" s="386" t="s">
        <v>20</v>
      </c>
      <c r="F27" s="617">
        <f>Assumptions!B10/Assumptions!C10</f>
        <v>1.2857142857142858</v>
      </c>
      <c r="G27" s="370"/>
      <c r="H27" s="378"/>
      <c r="I27" s="378"/>
      <c r="J27" s="370"/>
      <c r="K27" s="378"/>
      <c r="L27" s="618">
        <f t="shared" si="4"/>
        <v>11</v>
      </c>
      <c r="M27" s="630" t="s">
        <v>453</v>
      </c>
      <c r="N27" s="378"/>
      <c r="O27" s="464" t="s">
        <v>362</v>
      </c>
      <c r="P27" s="495">
        <v>1</v>
      </c>
      <c r="Q27" s="480">
        <v>0.5</v>
      </c>
      <c r="R27" s="480">
        <v>0.5</v>
      </c>
      <c r="S27" s="370"/>
      <c r="T27" s="72" t="str">
        <f t="shared" si="0"/>
        <v>Peak</v>
      </c>
      <c r="U27" s="68">
        <v>2100</v>
      </c>
      <c r="V27" s="1357">
        <f>Assumptions!$B$9</f>
        <v>150</v>
      </c>
      <c r="W27" s="1357">
        <f>Assumptions!$B$9</f>
        <v>150</v>
      </c>
      <c r="X27" s="1357">
        <f>Assumptions!$B$9</f>
        <v>150</v>
      </c>
      <c r="Y27" s="1357">
        <f>Assumptions!$B$9</f>
        <v>150</v>
      </c>
      <c r="Z27" s="370"/>
      <c r="AA27" s="69">
        <f>AA26+1</f>
        <v>2023</v>
      </c>
      <c r="AB27" s="1584">
        <v>0</v>
      </c>
      <c r="AC27" s="1584">
        <v>0</v>
      </c>
      <c r="AD27" s="1584">
        <v>0</v>
      </c>
      <c r="AE27" s="1584">
        <v>0.1</v>
      </c>
      <c r="AF27" s="1584">
        <v>0</v>
      </c>
      <c r="AG27" s="1584">
        <v>0</v>
      </c>
      <c r="AH27" s="1584">
        <v>0</v>
      </c>
      <c r="AI27" s="1584">
        <v>0</v>
      </c>
      <c r="AJ27" s="1584">
        <v>0</v>
      </c>
      <c r="AK27" s="1584">
        <v>0</v>
      </c>
      <c r="AL27" s="1584">
        <v>0</v>
      </c>
      <c r="AM27" s="1585">
        <v>0</v>
      </c>
      <c r="AN27" s="370"/>
      <c r="AO27" s="99" t="s">
        <v>363</v>
      </c>
      <c r="AP27" s="475">
        <f>AQ27-1</f>
        <v>0</v>
      </c>
      <c r="AQ27" s="420">
        <v>1</v>
      </c>
      <c r="AS27" s="47"/>
      <c r="AT27" s="6" t="s">
        <v>129</v>
      </c>
      <c r="AU27" s="48" t="s">
        <v>130</v>
      </c>
      <c r="AV27"/>
      <c r="AW27" s="55" t="s">
        <v>367</v>
      </c>
      <c r="AX27" s="54">
        <v>10</v>
      </c>
      <c r="AY27"/>
      <c r="AZ27" s="280" t="s">
        <v>344</v>
      </c>
      <c r="BA27" s="123"/>
      <c r="BB27"/>
      <c r="BG27" s="19"/>
      <c r="BH27" s="19"/>
      <c r="BI27" s="19"/>
      <c r="BJ27" s="19"/>
      <c r="BK27" s="19"/>
      <c r="BL27" s="19"/>
      <c r="BM27" s="19"/>
      <c r="BN27" s="19"/>
      <c r="BO27" s="19"/>
      <c r="BR27" s="18"/>
    </row>
    <row r="28" spans="1:72" ht="19.5" customHeight="1" thickBot="1">
      <c r="A28" s="369"/>
      <c r="B28" s="382" t="s">
        <v>915</v>
      </c>
      <c r="C28" s="383"/>
      <c r="D28" s="370"/>
      <c r="E28" s="386" t="s">
        <v>28</v>
      </c>
      <c r="F28" s="605">
        <v>0</v>
      </c>
      <c r="G28" s="370"/>
      <c r="H28" s="378"/>
      <c r="I28" s="378"/>
      <c r="J28" s="370"/>
      <c r="K28" s="378"/>
      <c r="L28" s="618">
        <f t="shared" si="4"/>
        <v>12</v>
      </c>
      <c r="M28" s="630" t="s">
        <v>453</v>
      </c>
      <c r="N28" s="378"/>
      <c r="O28" s="464" t="s">
        <v>369</v>
      </c>
      <c r="P28" s="496">
        <v>1</v>
      </c>
      <c r="Q28" s="480">
        <v>0.5</v>
      </c>
      <c r="R28" s="480">
        <v>0.5</v>
      </c>
      <c r="S28" s="370"/>
      <c r="T28" s="72" t="str">
        <f t="shared" si="0"/>
        <v>Peak</v>
      </c>
      <c r="U28" s="68">
        <v>2200</v>
      </c>
      <c r="V28" s="1357">
        <f>Assumptions!$B$9</f>
        <v>150</v>
      </c>
      <c r="W28" s="1357">
        <f>Assumptions!$B$9</f>
        <v>150</v>
      </c>
      <c r="X28" s="1357">
        <f>Assumptions!$B$9</f>
        <v>150</v>
      </c>
      <c r="Y28" s="1357">
        <f>Assumptions!$B$9</f>
        <v>150</v>
      </c>
      <c r="Z28" s="370"/>
      <c r="AA28" s="69">
        <f>AA27+1</f>
        <v>2024</v>
      </c>
      <c r="AB28" s="1584">
        <v>0</v>
      </c>
      <c r="AC28" s="1584">
        <v>0</v>
      </c>
      <c r="AD28" s="1584">
        <v>0</v>
      </c>
      <c r="AE28" s="1584">
        <v>0.2</v>
      </c>
      <c r="AF28" s="1584">
        <v>0</v>
      </c>
      <c r="AG28" s="1584">
        <v>0</v>
      </c>
      <c r="AH28" s="1584">
        <v>0</v>
      </c>
      <c r="AI28" s="1584">
        <v>0</v>
      </c>
      <c r="AJ28" s="1584">
        <v>0</v>
      </c>
      <c r="AK28" s="1584">
        <v>0</v>
      </c>
      <c r="AL28" s="1584">
        <v>0</v>
      </c>
      <c r="AM28" s="1585">
        <v>0</v>
      </c>
      <c r="AN28" s="370"/>
      <c r="AO28" s="99" t="s">
        <v>370</v>
      </c>
      <c r="AP28" s="475">
        <f t="shared" si="5"/>
        <v>2</v>
      </c>
      <c r="AQ28" s="420">
        <v>0</v>
      </c>
      <c r="AS28" s="47"/>
      <c r="AT28" s="6" t="s">
        <v>131</v>
      </c>
      <c r="AU28" s="48" t="s">
        <v>132</v>
      </c>
      <c r="AV28"/>
      <c r="AW28" s="55" t="s">
        <v>374</v>
      </c>
      <c r="AX28" s="54">
        <v>11</v>
      </c>
      <c r="AY28"/>
      <c r="AZ28" s="281" t="s">
        <v>375</v>
      </c>
      <c r="BA28" s="123"/>
      <c r="BB28"/>
      <c r="BG28" s="19"/>
      <c r="BH28" s="19"/>
      <c r="BI28" s="19"/>
      <c r="BJ28" s="19"/>
      <c r="BK28" s="19"/>
      <c r="BL28" s="19"/>
      <c r="BM28" s="19"/>
      <c r="BN28" s="19"/>
      <c r="BO28" s="19"/>
      <c r="BR28" s="18"/>
    </row>
    <row r="29" spans="1:72" ht="21" customHeight="1" thickBot="1">
      <c r="A29" s="369"/>
      <c r="B29" s="385" t="s">
        <v>361</v>
      </c>
      <c r="C29" s="135"/>
      <c r="D29" s="370"/>
      <c r="E29" s="386" t="s">
        <v>34</v>
      </c>
      <c r="F29" s="605">
        <f>Assumptions!C34</f>
        <v>1.8</v>
      </c>
      <c r="G29" s="370"/>
      <c r="H29" s="378"/>
      <c r="I29" s="378"/>
      <c r="J29" s="370"/>
      <c r="K29" s="378"/>
      <c r="L29" s="378"/>
      <c r="M29" s="378"/>
      <c r="N29" s="369"/>
      <c r="O29" s="464" t="s">
        <v>0</v>
      </c>
      <c r="P29" s="496">
        <v>1</v>
      </c>
      <c r="Q29" s="480">
        <v>0.5</v>
      </c>
      <c r="R29" s="480">
        <v>0.5</v>
      </c>
      <c r="S29" s="370"/>
      <c r="T29" s="72" t="str">
        <f t="shared" si="0"/>
        <v>Off-Peak</v>
      </c>
      <c r="U29" s="68">
        <v>2300</v>
      </c>
      <c r="V29" s="1357">
        <f>Assumptions!$B$9</f>
        <v>150</v>
      </c>
      <c r="W29" s="1357">
        <f>Assumptions!$B$9</f>
        <v>150</v>
      </c>
      <c r="X29" s="1357">
        <f>Assumptions!$B$9</f>
        <v>150</v>
      </c>
      <c r="Y29" s="1357">
        <f>Assumptions!$B$9</f>
        <v>150</v>
      </c>
      <c r="Z29" s="370"/>
      <c r="AA29" s="370"/>
      <c r="AB29" s="370"/>
      <c r="AC29" s="370"/>
      <c r="AD29" s="370"/>
      <c r="AE29" s="370"/>
      <c r="AF29" s="370"/>
      <c r="AG29" s="370"/>
      <c r="AH29" s="370"/>
      <c r="AI29" s="370"/>
      <c r="AJ29" s="370"/>
      <c r="AK29" s="370"/>
      <c r="AL29" s="370"/>
      <c r="AM29" s="370"/>
      <c r="AN29" s="370"/>
      <c r="AO29" s="99" t="s">
        <v>1</v>
      </c>
      <c r="AP29" s="475">
        <f>AQ29-1</f>
        <v>0</v>
      </c>
      <c r="AQ29" s="420">
        <v>1</v>
      </c>
      <c r="AS29" s="47"/>
      <c r="AT29" s="6" t="s">
        <v>133</v>
      </c>
      <c r="AU29" s="48" t="s">
        <v>134</v>
      </c>
      <c r="AV29" s="14"/>
      <c r="AW29" s="55" t="s">
        <v>5</v>
      </c>
      <c r="AX29" s="54">
        <v>12</v>
      </c>
      <c r="AY29"/>
      <c r="AZ29" s="144" t="s">
        <v>212</v>
      </c>
      <c r="BA29" s="123"/>
      <c r="BB29"/>
      <c r="BG29" s="19"/>
      <c r="BH29" s="18"/>
      <c r="BJ29" s="36"/>
      <c r="BO29" s="19"/>
      <c r="BR29" s="18"/>
    </row>
    <row r="30" spans="1:72" ht="21" customHeight="1" thickBot="1">
      <c r="A30" s="369"/>
      <c r="B30" s="378"/>
      <c r="C30" s="378"/>
      <c r="D30" s="378"/>
      <c r="E30" s="378"/>
      <c r="F30" s="378"/>
      <c r="G30" s="378"/>
      <c r="H30" s="378"/>
      <c r="I30" s="378"/>
      <c r="J30" s="378"/>
      <c r="K30" s="378"/>
      <c r="L30" s="370"/>
      <c r="M30" s="370"/>
      <c r="N30" s="369"/>
      <c r="O30" s="464" t="s">
        <v>7</v>
      </c>
      <c r="P30" s="496">
        <v>1</v>
      </c>
      <c r="Q30" s="480">
        <v>0.5</v>
      </c>
      <c r="R30" s="480">
        <v>0.5</v>
      </c>
      <c r="S30" s="370"/>
      <c r="T30" s="73" t="str">
        <f t="shared" si="0"/>
        <v>Off-Peak</v>
      </c>
      <c r="U30" s="91">
        <v>2400</v>
      </c>
      <c r="V30" s="1357">
        <f>Assumptions!$B$9</f>
        <v>150</v>
      </c>
      <c r="W30" s="1357">
        <f>Assumptions!$B$9</f>
        <v>150</v>
      </c>
      <c r="X30" s="1357">
        <f>Assumptions!$B$9</f>
        <v>150</v>
      </c>
      <c r="Y30" s="1357">
        <f>Assumptions!$B$9</f>
        <v>150</v>
      </c>
      <c r="Z30" s="370"/>
      <c r="AA30" s="370"/>
      <c r="AB30" s="370"/>
      <c r="AC30" s="370"/>
      <c r="AD30" s="370"/>
      <c r="AE30" s="370"/>
      <c r="AF30" s="370"/>
      <c r="AG30" s="370"/>
      <c r="AH30" s="370"/>
      <c r="AI30" s="370"/>
      <c r="AJ30" s="370"/>
      <c r="AK30" s="370"/>
      <c r="AL30" s="370"/>
      <c r="AM30" s="370"/>
      <c r="AN30" s="370"/>
      <c r="AO30" s="99" t="s">
        <v>8</v>
      </c>
      <c r="AP30" s="475">
        <f t="shared" si="5"/>
        <v>1</v>
      </c>
      <c r="AQ30" s="420">
        <v>1</v>
      </c>
      <c r="AS30" s="47" t="s">
        <v>364</v>
      </c>
      <c r="AT30" s="6" t="s">
        <v>365</v>
      </c>
      <c r="AU30" s="48" t="s">
        <v>366</v>
      </c>
      <c r="AV30" s="14"/>
      <c r="AW30" s="55" t="s">
        <v>12</v>
      </c>
      <c r="AX30" s="54">
        <v>14</v>
      </c>
      <c r="AY30"/>
      <c r="AZ30" s="141" t="str">
        <f>PeakPeriod</f>
        <v>700-2200</v>
      </c>
      <c r="BA30" s="123">
        <v>4</v>
      </c>
      <c r="BB30"/>
      <c r="BG30" s="19"/>
      <c r="BH30" s="19"/>
      <c r="BI30" s="19"/>
      <c r="BJ30" s="19"/>
      <c r="BK30" s="19"/>
      <c r="BL30" s="19"/>
      <c r="BM30" s="19"/>
      <c r="BN30" s="19"/>
      <c r="BO30" s="19"/>
      <c r="BR30" s="18"/>
    </row>
    <row r="31" spans="1:72" ht="19.5" customHeight="1" thickBot="1">
      <c r="A31" s="369"/>
      <c r="B31" s="597" t="s">
        <v>214</v>
      </c>
      <c r="C31" s="598"/>
      <c r="D31" s="378"/>
      <c r="E31" s="378"/>
      <c r="F31" s="378"/>
      <c r="G31" s="378"/>
      <c r="H31" s="378"/>
      <c r="I31" s="378"/>
      <c r="J31" s="378"/>
      <c r="K31" s="378"/>
      <c r="L31" s="378"/>
      <c r="M31" s="378"/>
      <c r="N31" s="369"/>
      <c r="O31" s="464" t="s">
        <v>13</v>
      </c>
      <c r="P31" s="496">
        <v>1</v>
      </c>
      <c r="Q31" s="480">
        <v>0.5</v>
      </c>
      <c r="R31" s="480">
        <v>0.5</v>
      </c>
      <c r="S31" s="370"/>
      <c r="T31" s="370"/>
      <c r="U31" s="370"/>
      <c r="V31" s="370" t="s">
        <v>217</v>
      </c>
      <c r="W31" s="370" t="s">
        <v>217</v>
      </c>
      <c r="X31" s="370" t="s">
        <v>217</v>
      </c>
      <c r="Y31" s="370"/>
      <c r="Z31" s="370"/>
      <c r="AA31" s="1870" t="s">
        <v>378</v>
      </c>
      <c r="AB31" s="1871"/>
      <c r="AC31" s="1871"/>
      <c r="AD31" s="1871"/>
      <c r="AE31" s="1871"/>
      <c r="AF31" s="1871"/>
      <c r="AG31" s="1871"/>
      <c r="AH31" s="1871"/>
      <c r="AI31" s="1871"/>
      <c r="AJ31" s="1871"/>
      <c r="AK31" s="1871"/>
      <c r="AL31" s="1871"/>
      <c r="AM31" s="1872"/>
      <c r="AN31" s="370"/>
      <c r="AO31" s="99" t="s">
        <v>14</v>
      </c>
      <c r="AP31" s="475">
        <f t="shared" si="5"/>
        <v>1</v>
      </c>
      <c r="AQ31" s="420">
        <v>1</v>
      </c>
      <c r="AS31" s="47" t="s">
        <v>371</v>
      </c>
      <c r="AT31" s="6" t="s">
        <v>372</v>
      </c>
      <c r="AU31" s="48" t="s">
        <v>373</v>
      </c>
      <c r="AV31" s="14"/>
      <c r="AW31" s="56" t="s">
        <v>18</v>
      </c>
      <c r="AX31" s="363">
        <v>15</v>
      </c>
      <c r="AY31"/>
      <c r="AZ31" s="141" t="str">
        <f>OffPeakPeriod</f>
        <v>2300-600</v>
      </c>
      <c r="BA31" s="123"/>
      <c r="BB31"/>
      <c r="BG31" s="19"/>
      <c r="BH31" s="18"/>
      <c r="BL31" s="18"/>
      <c r="BO31" s="19"/>
      <c r="BR31" s="18"/>
    </row>
    <row r="32" spans="1:72" ht="20.25" customHeight="1" thickBot="1">
      <c r="A32" s="369"/>
      <c r="B32" s="322" t="s">
        <v>219</v>
      </c>
      <c r="C32" s="599">
        <v>0.5</v>
      </c>
      <c r="D32" s="378"/>
      <c r="E32" s="378"/>
      <c r="F32" s="378"/>
      <c r="G32" s="378"/>
      <c r="H32" s="378"/>
      <c r="I32" s="378"/>
      <c r="J32" s="378"/>
      <c r="K32" s="378"/>
      <c r="L32" s="378"/>
      <c r="M32" s="378"/>
      <c r="N32" s="369"/>
      <c r="O32" s="464" t="s">
        <v>21</v>
      </c>
      <c r="P32" s="496">
        <v>1</v>
      </c>
      <c r="Q32" s="480">
        <v>0.5</v>
      </c>
      <c r="R32" s="480">
        <v>0.5</v>
      </c>
      <c r="S32" s="370"/>
      <c r="T32" s="116" t="s">
        <v>927</v>
      </c>
      <c r="U32" s="117"/>
      <c r="V32" s="118"/>
      <c r="W32" s="117"/>
      <c r="X32" s="117"/>
      <c r="Y32" s="119"/>
      <c r="Z32" s="370"/>
      <c r="AA32" s="592" t="s">
        <v>217</v>
      </c>
      <c r="AB32" s="591" t="s">
        <v>143</v>
      </c>
      <c r="AC32" s="591" t="s">
        <v>144</v>
      </c>
      <c r="AD32" s="591" t="s">
        <v>145</v>
      </c>
      <c r="AE32" s="591" t="s">
        <v>146</v>
      </c>
      <c r="AF32" s="591" t="s">
        <v>147</v>
      </c>
      <c r="AG32" s="591" t="s">
        <v>148</v>
      </c>
      <c r="AH32" s="591" t="s">
        <v>149</v>
      </c>
      <c r="AI32" s="591" t="s">
        <v>150</v>
      </c>
      <c r="AJ32" s="591" t="s">
        <v>151</v>
      </c>
      <c r="AK32" s="591" t="s">
        <v>152</v>
      </c>
      <c r="AL32" s="591" t="s">
        <v>153</v>
      </c>
      <c r="AM32" s="593" t="s">
        <v>154</v>
      </c>
      <c r="AN32" s="370"/>
      <c r="AO32" s="99" t="s">
        <v>22</v>
      </c>
      <c r="AP32" s="475">
        <f t="shared" si="5"/>
        <v>0</v>
      </c>
      <c r="AQ32" s="420">
        <v>2</v>
      </c>
      <c r="AS32" s="47" t="s">
        <v>2</v>
      </c>
      <c r="AT32" s="6" t="s">
        <v>3</v>
      </c>
      <c r="AU32" s="48" t="s">
        <v>4</v>
      </c>
      <c r="AV32" s="14"/>
      <c r="AW32" s="348" t="s">
        <v>26</v>
      </c>
      <c r="AX32"/>
      <c r="AY32"/>
      <c r="AZ32" s="142" t="s">
        <v>27</v>
      </c>
      <c r="BA32" s="123"/>
      <c r="BB32"/>
      <c r="BG32" s="19"/>
      <c r="BH32" s="18"/>
      <c r="BL32" s="18"/>
      <c r="BO32" s="19"/>
    </row>
    <row r="33" spans="1:78" ht="20.25" customHeight="1" thickBot="1">
      <c r="A33" s="369"/>
      <c r="B33" s="600" t="s">
        <v>222</v>
      </c>
      <c r="C33" s="601">
        <v>0.5</v>
      </c>
      <c r="D33" s="378"/>
      <c r="E33" s="378"/>
      <c r="F33" s="378"/>
      <c r="G33" s="378"/>
      <c r="H33" s="378"/>
      <c r="I33" s="378"/>
      <c r="J33" s="378"/>
      <c r="K33" s="378"/>
      <c r="L33" s="378"/>
      <c r="M33" s="378"/>
      <c r="N33" s="369"/>
      <c r="O33" s="464" t="s">
        <v>29</v>
      </c>
      <c r="P33" s="496">
        <v>1</v>
      </c>
      <c r="Q33" s="480">
        <v>0.5</v>
      </c>
      <c r="R33" s="480">
        <v>0.5</v>
      </c>
      <c r="S33" s="370"/>
      <c r="T33" s="120" t="s">
        <v>175</v>
      </c>
      <c r="U33" s="114" t="s">
        <v>176</v>
      </c>
      <c r="V33" s="114" t="s">
        <v>177</v>
      </c>
      <c r="W33" s="115" t="s">
        <v>178</v>
      </c>
      <c r="X33" s="115" t="s">
        <v>179</v>
      </c>
      <c r="Y33" s="121" t="s">
        <v>180</v>
      </c>
      <c r="Z33" s="370"/>
      <c r="AA33" s="69">
        <f>YEAR(BegDate)</f>
        <v>2003</v>
      </c>
      <c r="AB33" s="1584">
        <v>0.03</v>
      </c>
      <c r="AC33" s="1584">
        <v>0.03</v>
      </c>
      <c r="AD33" s="1584">
        <v>0.03</v>
      </c>
      <c r="AE33" s="1584">
        <v>0.03</v>
      </c>
      <c r="AF33" s="1584">
        <v>0.03</v>
      </c>
      <c r="AG33" s="1584">
        <v>0.03</v>
      </c>
      <c r="AH33" s="1584">
        <v>0.03</v>
      </c>
      <c r="AI33" s="1584">
        <v>0.03</v>
      </c>
      <c r="AJ33" s="1584">
        <v>0.03</v>
      </c>
      <c r="AK33" s="1584">
        <v>0.03</v>
      </c>
      <c r="AL33" s="1584">
        <v>0.03</v>
      </c>
      <c r="AM33" s="1584">
        <v>0.03</v>
      </c>
      <c r="AN33" s="370"/>
      <c r="AO33" s="99" t="s">
        <v>30</v>
      </c>
      <c r="AP33" s="475">
        <f t="shared" si="5"/>
        <v>0</v>
      </c>
      <c r="AQ33" s="420">
        <v>2</v>
      </c>
      <c r="AS33" s="47" t="s">
        <v>9</v>
      </c>
      <c r="AT33" s="6" t="s">
        <v>10</v>
      </c>
      <c r="AU33" s="48" t="s">
        <v>11</v>
      </c>
      <c r="AV33" s="14"/>
      <c r="AW33"/>
      <c r="AX33"/>
      <c r="AY33"/>
      <c r="BA33" s="123"/>
      <c r="BB33"/>
      <c r="BG33" s="19"/>
      <c r="BH33" s="18"/>
      <c r="BL33" s="18"/>
      <c r="BO33" s="19"/>
    </row>
    <row r="34" spans="1:78" ht="21" customHeight="1" thickBot="1">
      <c r="A34" s="369"/>
      <c r="B34" s="378"/>
      <c r="C34" s="378"/>
      <c r="D34" s="378"/>
      <c r="E34" s="378"/>
      <c r="F34" s="378"/>
      <c r="G34" s="378"/>
      <c r="H34" s="378"/>
      <c r="I34" s="378"/>
      <c r="J34" s="378"/>
      <c r="K34" s="378"/>
      <c r="L34" s="378"/>
      <c r="M34" s="378"/>
      <c r="N34" s="370"/>
      <c r="O34" s="464" t="s">
        <v>35</v>
      </c>
      <c r="P34" s="496">
        <v>1</v>
      </c>
      <c r="Q34" s="480">
        <v>0.5</v>
      </c>
      <c r="R34" s="480">
        <v>0.5</v>
      </c>
      <c r="S34" s="370"/>
      <c r="T34" s="72" t="str">
        <f t="shared" ref="T34:T49" si="6">IF(OR(U34&lt;PeakStart,U34&gt;PeakEnd),"Off-Peak","Peak")</f>
        <v>Off-Peak</v>
      </c>
      <c r="U34" s="68">
        <v>100</v>
      </c>
      <c r="V34" s="1358">
        <f t="shared" ref="V34:Y55" si="7">Volume-V7</f>
        <v>600</v>
      </c>
      <c r="W34" s="1358">
        <f t="shared" si="7"/>
        <v>600</v>
      </c>
      <c r="X34" s="1358">
        <f t="shared" si="7"/>
        <v>600</v>
      </c>
      <c r="Y34" s="1358">
        <f t="shared" si="7"/>
        <v>600</v>
      </c>
      <c r="Z34" s="370"/>
      <c r="AA34" s="594">
        <f t="shared" ref="AA34:AA52" si="8">AA33+1</f>
        <v>2004</v>
      </c>
      <c r="AB34" s="1584">
        <v>0.03</v>
      </c>
      <c r="AC34" s="1584">
        <v>0.03</v>
      </c>
      <c r="AD34" s="1584">
        <v>0.03</v>
      </c>
      <c r="AE34" s="1584">
        <v>0.03</v>
      </c>
      <c r="AF34" s="1584">
        <v>0.03</v>
      </c>
      <c r="AG34" s="1584">
        <v>0.03</v>
      </c>
      <c r="AH34" s="1584">
        <v>0.03</v>
      </c>
      <c r="AI34" s="1584">
        <v>0.03</v>
      </c>
      <c r="AJ34" s="1584">
        <v>0.03</v>
      </c>
      <c r="AK34" s="1584">
        <v>0.03</v>
      </c>
      <c r="AL34" s="1584">
        <v>0.03</v>
      </c>
      <c r="AM34" s="1584">
        <v>0.03</v>
      </c>
      <c r="AN34" s="370"/>
      <c r="AO34" s="471" t="s">
        <v>36</v>
      </c>
      <c r="AP34" s="476" t="b">
        <v>0</v>
      </c>
      <c r="AQ34" s="136"/>
      <c r="AS34" s="47" t="s">
        <v>15</v>
      </c>
      <c r="AT34" s="6" t="s">
        <v>16</v>
      </c>
      <c r="AU34" s="48" t="s">
        <v>17</v>
      </c>
      <c r="AV34" s="14"/>
      <c r="AW34" s="80" t="s">
        <v>40</v>
      </c>
      <c r="AX34" s="282" t="s">
        <v>41</v>
      </c>
      <c r="AY34" s="390"/>
      <c r="AZ34" s="390">
        <v>4</v>
      </c>
      <c r="BA34" s="417">
        <v>4</v>
      </c>
      <c r="BB34"/>
      <c r="BG34" s="19"/>
      <c r="BH34" s="18"/>
      <c r="BL34" s="39"/>
      <c r="BM34" s="38"/>
      <c r="BO34" s="19"/>
      <c r="BZ34" s="5">
        <v>4</v>
      </c>
    </row>
    <row r="35" spans="1:78" ht="21" customHeight="1" thickBot="1">
      <c r="A35" s="369"/>
      <c r="B35" s="1450" t="str">
        <f ca="1">+CELL("filename",B34)</f>
        <v>P:\Cheng\Tejon\Proformas\[CFTejon8a revised 21 - 750 MW.xls]MAIN</v>
      </c>
      <c r="C35" s="378"/>
      <c r="D35" s="378"/>
      <c r="E35" s="378"/>
      <c r="F35" s="378"/>
      <c r="G35" s="378"/>
      <c r="H35" s="378"/>
      <c r="I35" s="378"/>
      <c r="J35" s="378"/>
      <c r="K35" s="378"/>
      <c r="L35" s="378"/>
      <c r="M35" s="378"/>
      <c r="N35" s="370"/>
      <c r="O35" s="464" t="s">
        <v>42</v>
      </c>
      <c r="P35" s="496">
        <v>1</v>
      </c>
      <c r="Q35" s="480">
        <v>0.5</v>
      </c>
      <c r="R35" s="480">
        <v>0.5</v>
      </c>
      <c r="S35" s="370"/>
      <c r="T35" s="72" t="str">
        <f t="shared" si="6"/>
        <v>Off-Peak</v>
      </c>
      <c r="U35" s="68">
        <v>200</v>
      </c>
      <c r="V35" s="1358">
        <f t="shared" si="7"/>
        <v>600</v>
      </c>
      <c r="W35" s="1358">
        <f t="shared" si="7"/>
        <v>600</v>
      </c>
      <c r="X35" s="1358">
        <f t="shared" si="7"/>
        <v>600</v>
      </c>
      <c r="Y35" s="1358">
        <f t="shared" si="7"/>
        <v>600</v>
      </c>
      <c r="Z35" s="370"/>
      <c r="AA35" s="69">
        <f t="shared" si="8"/>
        <v>2005</v>
      </c>
      <c r="AB35" s="1584">
        <v>0.03</v>
      </c>
      <c r="AC35" s="1584">
        <v>0.03</v>
      </c>
      <c r="AD35" s="1584">
        <v>0.03</v>
      </c>
      <c r="AE35" s="1584">
        <v>0.03</v>
      </c>
      <c r="AF35" s="1584">
        <v>0.03</v>
      </c>
      <c r="AG35" s="1584">
        <v>0.03</v>
      </c>
      <c r="AH35" s="1584">
        <v>0.03</v>
      </c>
      <c r="AI35" s="1584">
        <v>0.03</v>
      </c>
      <c r="AJ35" s="1584">
        <v>0.03</v>
      </c>
      <c r="AK35" s="1584">
        <v>0.03</v>
      </c>
      <c r="AL35" s="1584">
        <v>0.03</v>
      </c>
      <c r="AM35" s="1584">
        <v>0.03</v>
      </c>
      <c r="AN35" s="370"/>
      <c r="AO35" s="472" t="s">
        <v>43</v>
      </c>
      <c r="AP35" s="477" t="b">
        <v>0</v>
      </c>
      <c r="AQ35" s="473"/>
      <c r="AS35" s="47" t="s">
        <v>23</v>
      </c>
      <c r="AT35" s="6" t="s">
        <v>24</v>
      </c>
      <c r="AU35" s="48" t="s">
        <v>25</v>
      </c>
      <c r="AV35" s="14">
        <v>1</v>
      </c>
      <c r="AW35" s="391" t="s">
        <v>47</v>
      </c>
      <c r="AX35" s="387" t="s">
        <v>48</v>
      </c>
      <c r="AY35" s="388"/>
      <c r="AZ35" s="389"/>
      <c r="BA35" s="392">
        <v>4</v>
      </c>
      <c r="BB35"/>
      <c r="BG35" s="19"/>
      <c r="BH35" s="19"/>
      <c r="BI35" s="19"/>
      <c r="BJ35" s="19"/>
      <c r="BK35" s="19"/>
      <c r="BL35" s="19"/>
      <c r="BM35" s="19"/>
      <c r="BN35" s="19"/>
      <c r="BO35" s="19"/>
    </row>
    <row r="36" spans="1:78" ht="20.25" customHeight="1">
      <c r="A36" s="370"/>
      <c r="B36" s="378"/>
      <c r="C36" s="378"/>
      <c r="D36" s="378"/>
      <c r="E36" s="378"/>
      <c r="F36" s="378"/>
      <c r="G36" s="378"/>
      <c r="H36" s="378"/>
      <c r="I36" s="378"/>
      <c r="J36" s="378"/>
      <c r="K36" s="378"/>
      <c r="L36" s="378"/>
      <c r="M36" s="378"/>
      <c r="N36" s="370"/>
      <c r="O36" s="464" t="s">
        <v>49</v>
      </c>
      <c r="P36" s="496">
        <v>1</v>
      </c>
      <c r="Q36" s="480">
        <v>0.5</v>
      </c>
      <c r="R36" s="480">
        <v>0.5</v>
      </c>
      <c r="S36" s="370"/>
      <c r="T36" s="72" t="str">
        <f t="shared" si="6"/>
        <v>Off-Peak</v>
      </c>
      <c r="U36" s="68">
        <v>300</v>
      </c>
      <c r="V36" s="1358">
        <f t="shared" si="7"/>
        <v>600</v>
      </c>
      <c r="W36" s="1358">
        <f t="shared" si="7"/>
        <v>600</v>
      </c>
      <c r="X36" s="1358">
        <f t="shared" si="7"/>
        <v>600</v>
      </c>
      <c r="Y36" s="1358">
        <f t="shared" si="7"/>
        <v>600</v>
      </c>
      <c r="Z36" s="370"/>
      <c r="AA36" s="594">
        <f t="shared" si="8"/>
        <v>2006</v>
      </c>
      <c r="AB36" s="1584">
        <v>0.03</v>
      </c>
      <c r="AC36" s="1584">
        <v>0.03</v>
      </c>
      <c r="AD36" s="1584">
        <v>0.03</v>
      </c>
      <c r="AE36" s="1584">
        <v>0.03</v>
      </c>
      <c r="AF36" s="1584">
        <v>0.03</v>
      </c>
      <c r="AG36" s="1584">
        <v>0.03</v>
      </c>
      <c r="AH36" s="1584">
        <v>0.03</v>
      </c>
      <c r="AI36" s="1584">
        <v>0.03</v>
      </c>
      <c r="AJ36" s="1584">
        <v>0.03</v>
      </c>
      <c r="AK36" s="1584">
        <v>0.03</v>
      </c>
      <c r="AL36" s="1584">
        <v>0.03</v>
      </c>
      <c r="AM36" s="1584">
        <v>0.03</v>
      </c>
      <c r="AN36" s="370"/>
      <c r="AO36"/>
      <c r="AP36"/>
      <c r="AS36" s="47" t="s">
        <v>31</v>
      </c>
      <c r="AT36" s="6" t="s">
        <v>32</v>
      </c>
      <c r="AU36" s="48" t="s">
        <v>33</v>
      </c>
      <c r="AV36" s="14">
        <v>2</v>
      </c>
      <c r="AW36" s="391" t="s">
        <v>53</v>
      </c>
      <c r="AX36" s="387" t="s">
        <v>54</v>
      </c>
      <c r="AY36" s="388"/>
      <c r="AZ36" s="389"/>
      <c r="BA36" s="392"/>
      <c r="BB36"/>
      <c r="BG36" s="19"/>
      <c r="BH36" s="19"/>
      <c r="BI36" s="19"/>
      <c r="BJ36" s="19"/>
      <c r="BK36" s="19"/>
      <c r="BL36" s="19"/>
      <c r="BM36" s="19"/>
      <c r="BN36" s="19"/>
      <c r="BO36" s="19"/>
    </row>
    <row r="37" spans="1:78" ht="21" customHeight="1">
      <c r="A37" s="370"/>
      <c r="B37" s="370"/>
      <c r="C37" s="370"/>
      <c r="D37" s="370"/>
      <c r="E37" s="370"/>
      <c r="F37" s="370"/>
      <c r="G37" s="370"/>
      <c r="H37" s="370"/>
      <c r="I37" s="370"/>
      <c r="J37" s="370"/>
      <c r="K37" s="370"/>
      <c r="L37" s="370"/>
      <c r="M37" s="370"/>
      <c r="N37" s="370"/>
      <c r="O37" s="464" t="s">
        <v>55</v>
      </c>
      <c r="P37" s="496">
        <v>1</v>
      </c>
      <c r="Q37" s="480">
        <v>0.5</v>
      </c>
      <c r="R37" s="480">
        <v>0.5</v>
      </c>
      <c r="S37" s="370"/>
      <c r="T37" s="72" t="str">
        <f t="shared" si="6"/>
        <v>Off-Peak</v>
      </c>
      <c r="U37" s="68">
        <v>400</v>
      </c>
      <c r="V37" s="1358">
        <f t="shared" si="7"/>
        <v>600</v>
      </c>
      <c r="W37" s="1358">
        <f t="shared" si="7"/>
        <v>600</v>
      </c>
      <c r="X37" s="1358">
        <f t="shared" si="7"/>
        <v>600</v>
      </c>
      <c r="Y37" s="1358">
        <f t="shared" si="7"/>
        <v>600</v>
      </c>
      <c r="Z37" s="370"/>
      <c r="AA37" s="69">
        <f t="shared" si="8"/>
        <v>2007</v>
      </c>
      <c r="AB37" s="1584">
        <v>0.03</v>
      </c>
      <c r="AC37" s="1584">
        <v>0.03</v>
      </c>
      <c r="AD37" s="1584">
        <v>0.03</v>
      </c>
      <c r="AE37" s="1584">
        <v>0.03</v>
      </c>
      <c r="AF37" s="1584">
        <v>0.03</v>
      </c>
      <c r="AG37" s="1584">
        <v>0.03</v>
      </c>
      <c r="AH37" s="1584">
        <v>0.03</v>
      </c>
      <c r="AI37" s="1584">
        <v>0.03</v>
      </c>
      <c r="AJ37" s="1584">
        <v>0.03</v>
      </c>
      <c r="AK37" s="1584">
        <v>0.03</v>
      </c>
      <c r="AL37" s="1584">
        <v>0.03</v>
      </c>
      <c r="AM37" s="1584">
        <v>0.03</v>
      </c>
      <c r="AN37" s="370"/>
      <c r="AO37"/>
      <c r="AP37"/>
      <c r="AS37" s="47" t="s">
        <v>37</v>
      </c>
      <c r="AT37" s="6" t="s">
        <v>38</v>
      </c>
      <c r="AU37" s="48" t="s">
        <v>39</v>
      </c>
      <c r="AV37" s="14">
        <v>3</v>
      </c>
      <c r="AW37" s="391" t="s">
        <v>59</v>
      </c>
      <c r="AX37" s="387" t="s">
        <v>60</v>
      </c>
      <c r="AY37" s="388"/>
      <c r="AZ37" s="389"/>
      <c r="BA37" s="392"/>
      <c r="BB37"/>
      <c r="BG37" s="19"/>
      <c r="BH37" s="18"/>
      <c r="BJ37" s="36"/>
      <c r="BM37" s="19"/>
      <c r="BO37" s="19"/>
    </row>
    <row r="38" spans="1:78" ht="21" customHeight="1" thickBot="1">
      <c r="A38" s="370"/>
      <c r="B38" s="370"/>
      <c r="C38" s="370"/>
      <c r="D38" s="370"/>
      <c r="E38" s="370"/>
      <c r="F38" s="370"/>
      <c r="G38" s="370"/>
      <c r="H38" s="370"/>
      <c r="I38" s="370"/>
      <c r="J38" s="370"/>
      <c r="K38" s="370"/>
      <c r="L38" s="370"/>
      <c r="M38" s="370"/>
      <c r="N38" s="370"/>
      <c r="O38" s="465" t="s">
        <v>61</v>
      </c>
      <c r="P38" s="497">
        <v>1</v>
      </c>
      <c r="Q38" s="481">
        <v>0.5</v>
      </c>
      <c r="R38" s="481">
        <v>0.5</v>
      </c>
      <c r="S38" s="370"/>
      <c r="T38" s="72" t="str">
        <f t="shared" si="6"/>
        <v>Off-Peak</v>
      </c>
      <c r="U38" s="68">
        <v>500</v>
      </c>
      <c r="V38" s="1358">
        <f t="shared" si="7"/>
        <v>600</v>
      </c>
      <c r="W38" s="1358">
        <f t="shared" si="7"/>
        <v>600</v>
      </c>
      <c r="X38" s="1358">
        <f t="shared" si="7"/>
        <v>600</v>
      </c>
      <c r="Y38" s="1358">
        <f t="shared" si="7"/>
        <v>600</v>
      </c>
      <c r="Z38" s="370"/>
      <c r="AA38" s="594">
        <f t="shared" si="8"/>
        <v>2008</v>
      </c>
      <c r="AB38" s="1584">
        <v>0.03</v>
      </c>
      <c r="AC38" s="1584">
        <v>0.03</v>
      </c>
      <c r="AD38" s="1584">
        <v>0.03</v>
      </c>
      <c r="AE38" s="1584">
        <v>0.03</v>
      </c>
      <c r="AF38" s="1584">
        <v>0.03</v>
      </c>
      <c r="AG38" s="1584">
        <v>0.03</v>
      </c>
      <c r="AH38" s="1584">
        <v>0.03</v>
      </c>
      <c r="AI38" s="1584">
        <v>0.03</v>
      </c>
      <c r="AJ38" s="1584">
        <v>0.03</v>
      </c>
      <c r="AK38" s="1584">
        <v>0.03</v>
      </c>
      <c r="AL38" s="1584">
        <v>0.03</v>
      </c>
      <c r="AM38" s="1584">
        <v>0.03</v>
      </c>
      <c r="AN38" s="370"/>
      <c r="AO38"/>
      <c r="AP38"/>
      <c r="AS38" s="47" t="s">
        <v>44</v>
      </c>
      <c r="AT38" s="6" t="s">
        <v>45</v>
      </c>
      <c r="AU38" s="48" t="s">
        <v>46</v>
      </c>
      <c r="AV38" s="14">
        <v>4</v>
      </c>
      <c r="AW38" s="391" t="s">
        <v>65</v>
      </c>
      <c r="AX38" s="387" t="s">
        <v>66</v>
      </c>
      <c r="AY38" s="388"/>
      <c r="AZ38" s="389"/>
      <c r="BA38" s="392"/>
      <c r="BB38"/>
      <c r="BG38" s="19"/>
      <c r="BH38" s="19"/>
      <c r="BI38" s="19"/>
      <c r="BJ38" s="19"/>
      <c r="BK38" s="19"/>
      <c r="BL38" s="19"/>
      <c r="BM38" s="19"/>
      <c r="BN38" s="19"/>
      <c r="BO38" s="19"/>
    </row>
    <row r="39" spans="1:78" ht="21" customHeight="1">
      <c r="B39" s="370"/>
      <c r="C39" s="370"/>
      <c r="D39" s="370"/>
      <c r="E39" s="370"/>
      <c r="F39" s="370"/>
      <c r="G39" s="370"/>
      <c r="H39" s="370"/>
      <c r="I39" s="370"/>
      <c r="J39" s="370"/>
      <c r="K39" s="370"/>
      <c r="L39" s="370"/>
      <c r="M39" s="370"/>
      <c r="N39" s="370"/>
      <c r="O39" s="370"/>
      <c r="P39" s="370"/>
      <c r="Q39" s="370"/>
      <c r="R39" s="370"/>
      <c r="S39" s="370"/>
      <c r="T39" s="72" t="str">
        <f t="shared" si="6"/>
        <v>Off-Peak</v>
      </c>
      <c r="U39" s="68">
        <v>600</v>
      </c>
      <c r="V39" s="1358">
        <f t="shared" si="7"/>
        <v>600</v>
      </c>
      <c r="W39" s="1358">
        <f t="shared" si="7"/>
        <v>600</v>
      </c>
      <c r="X39" s="1358">
        <f t="shared" si="7"/>
        <v>600</v>
      </c>
      <c r="Y39" s="1358">
        <f t="shared" si="7"/>
        <v>600</v>
      </c>
      <c r="Z39" s="370"/>
      <c r="AA39" s="69">
        <f t="shared" si="8"/>
        <v>2009</v>
      </c>
      <c r="AB39" s="1584">
        <v>0.03</v>
      </c>
      <c r="AC39" s="1584">
        <v>0.03</v>
      </c>
      <c r="AD39" s="1584">
        <v>0.03</v>
      </c>
      <c r="AE39" s="1584">
        <v>0.03</v>
      </c>
      <c r="AF39" s="1584">
        <v>0.03</v>
      </c>
      <c r="AG39" s="1584">
        <v>0.03</v>
      </c>
      <c r="AH39" s="1584">
        <v>0.03</v>
      </c>
      <c r="AI39" s="1584">
        <v>0.03</v>
      </c>
      <c r="AJ39" s="1584">
        <v>0.03</v>
      </c>
      <c r="AK39" s="1584">
        <v>0.03</v>
      </c>
      <c r="AL39" s="1584">
        <v>0.03</v>
      </c>
      <c r="AM39" s="1584">
        <v>0.03</v>
      </c>
      <c r="AN39" s="370"/>
      <c r="AO39" s="116" t="s">
        <v>67</v>
      </c>
      <c r="AP39" s="162"/>
      <c r="AS39" s="47" t="s">
        <v>50</v>
      </c>
      <c r="AT39" s="6" t="s">
        <v>51</v>
      </c>
      <c r="AU39" s="48" t="s">
        <v>52</v>
      </c>
      <c r="AV39" s="14">
        <v>5</v>
      </c>
      <c r="AW39" s="391" t="s">
        <v>71</v>
      </c>
      <c r="AX39" s="387" t="s">
        <v>72</v>
      </c>
      <c r="AY39" s="388"/>
      <c r="AZ39" s="389"/>
      <c r="BA39" s="392"/>
      <c r="BB39"/>
      <c r="BG39" s="19"/>
      <c r="BO39" s="19"/>
    </row>
    <row r="40" spans="1:78" ht="21" customHeight="1">
      <c r="B40" s="370"/>
      <c r="C40" s="370"/>
      <c r="D40" s="370"/>
      <c r="E40" s="370"/>
      <c r="F40" s="370"/>
      <c r="G40" s="370"/>
      <c r="H40" s="370"/>
      <c r="I40" s="370"/>
      <c r="J40" s="370"/>
      <c r="K40" s="370"/>
      <c r="L40" s="370"/>
      <c r="M40" s="370"/>
      <c r="N40" s="370"/>
      <c r="O40" s="370"/>
      <c r="P40" s="370"/>
      <c r="Q40" s="370"/>
      <c r="R40" s="370"/>
      <c r="S40" s="370"/>
      <c r="T40" s="72" t="str">
        <f t="shared" si="6"/>
        <v>Peak</v>
      </c>
      <c r="U40" s="68">
        <v>700</v>
      </c>
      <c r="V40" s="1358">
        <f t="shared" si="7"/>
        <v>600</v>
      </c>
      <c r="W40" s="1358">
        <f t="shared" si="7"/>
        <v>600</v>
      </c>
      <c r="X40" s="1358">
        <f t="shared" si="7"/>
        <v>600</v>
      </c>
      <c r="Y40" s="1358">
        <f t="shared" si="7"/>
        <v>600</v>
      </c>
      <c r="Z40" s="370"/>
      <c r="AA40" s="594">
        <f t="shared" si="8"/>
        <v>2010</v>
      </c>
      <c r="AB40" s="1584">
        <v>0.03</v>
      </c>
      <c r="AC40" s="1584">
        <v>0.03</v>
      </c>
      <c r="AD40" s="1584">
        <v>0.03</v>
      </c>
      <c r="AE40" s="1584">
        <v>0.03</v>
      </c>
      <c r="AF40" s="1584">
        <v>0.03</v>
      </c>
      <c r="AG40" s="1584">
        <v>0.03</v>
      </c>
      <c r="AH40" s="1584">
        <v>0.03</v>
      </c>
      <c r="AI40" s="1584">
        <v>0.03</v>
      </c>
      <c r="AJ40" s="1584">
        <v>0.03</v>
      </c>
      <c r="AK40" s="1584">
        <v>0.03</v>
      </c>
      <c r="AL40" s="1584">
        <v>0.03</v>
      </c>
      <c r="AM40" s="1584">
        <v>0.03</v>
      </c>
      <c r="AN40" s="370"/>
      <c r="AO40" s="99">
        <v>1</v>
      </c>
      <c r="AP40" s="62" t="b">
        <v>1</v>
      </c>
      <c r="AS40" s="47" t="s">
        <v>56</v>
      </c>
      <c r="AT40" s="6" t="s">
        <v>57</v>
      </c>
      <c r="AU40" s="48" t="s">
        <v>58</v>
      </c>
      <c r="AV40" s="14">
        <v>6</v>
      </c>
      <c r="AW40" s="391" t="s">
        <v>77</v>
      </c>
      <c r="AX40" s="387" t="s">
        <v>78</v>
      </c>
      <c r="AY40" s="388"/>
      <c r="AZ40" s="389"/>
      <c r="BA40" s="392"/>
      <c r="BB40"/>
      <c r="BG40" s="19"/>
      <c r="BH40" s="18"/>
      <c r="BL40" s="18"/>
      <c r="BO40" s="19"/>
    </row>
    <row r="41" spans="1:78" ht="21" customHeight="1">
      <c r="B41" s="370"/>
      <c r="C41" s="370"/>
      <c r="D41" s="370"/>
      <c r="E41" s="370"/>
      <c r="F41" s="370"/>
      <c r="G41" s="370"/>
      <c r="H41" s="370"/>
      <c r="I41" s="370"/>
      <c r="J41" s="370"/>
      <c r="K41" s="370"/>
      <c r="L41" s="370"/>
      <c r="M41" s="370"/>
      <c r="N41" s="370"/>
      <c r="O41" s="370"/>
      <c r="P41" s="370"/>
      <c r="Q41" s="370"/>
      <c r="R41" s="370"/>
      <c r="S41" s="370"/>
      <c r="T41" s="72" t="str">
        <f t="shared" si="6"/>
        <v>Peak</v>
      </c>
      <c r="U41" s="68">
        <v>800</v>
      </c>
      <c r="V41" s="1358">
        <f t="shared" si="7"/>
        <v>600</v>
      </c>
      <c r="W41" s="1358">
        <f t="shared" si="7"/>
        <v>600</v>
      </c>
      <c r="X41" s="1358">
        <f t="shared" si="7"/>
        <v>600</v>
      </c>
      <c r="Y41" s="1358">
        <f t="shared" si="7"/>
        <v>600</v>
      </c>
      <c r="Z41" s="370"/>
      <c r="AA41" s="69">
        <f t="shared" si="8"/>
        <v>2011</v>
      </c>
      <c r="AB41" s="1584">
        <v>0.03</v>
      </c>
      <c r="AC41" s="1584">
        <v>0.03</v>
      </c>
      <c r="AD41" s="1584">
        <v>0.03</v>
      </c>
      <c r="AE41" s="1584">
        <v>0.03</v>
      </c>
      <c r="AF41" s="1584">
        <v>0.03</v>
      </c>
      <c r="AG41" s="1584">
        <v>0.03</v>
      </c>
      <c r="AH41" s="1584">
        <v>0.03</v>
      </c>
      <c r="AI41" s="1584">
        <v>0.03</v>
      </c>
      <c r="AJ41" s="1584">
        <v>0.03</v>
      </c>
      <c r="AK41" s="1584">
        <v>0.03</v>
      </c>
      <c r="AL41" s="1584">
        <v>0.03</v>
      </c>
      <c r="AM41" s="1584">
        <v>0.03</v>
      </c>
      <c r="AN41" s="370"/>
      <c r="AO41" s="99">
        <v>2</v>
      </c>
      <c r="AP41" s="62" t="b">
        <v>1</v>
      </c>
      <c r="AS41" s="47" t="s">
        <v>62</v>
      </c>
      <c r="AT41" s="6" t="s">
        <v>63</v>
      </c>
      <c r="AU41" s="48" t="s">
        <v>64</v>
      </c>
      <c r="AV41" s="14">
        <v>7</v>
      </c>
      <c r="AW41" s="391" t="s">
        <v>82</v>
      </c>
      <c r="AX41" s="387" t="s">
        <v>83</v>
      </c>
      <c r="AY41" s="388"/>
      <c r="AZ41" s="389"/>
      <c r="BA41" s="392"/>
      <c r="BB41"/>
      <c r="BG41" s="19"/>
      <c r="BH41" s="18"/>
      <c r="BL41" s="18"/>
      <c r="BO41" s="19"/>
    </row>
    <row r="42" spans="1:78" ht="21" customHeight="1">
      <c r="B42" s="370"/>
      <c r="C42" s="370"/>
      <c r="D42" s="370"/>
      <c r="E42" s="370"/>
      <c r="F42" s="370"/>
      <c r="G42" s="370"/>
      <c r="H42" s="370"/>
      <c r="I42" s="370"/>
      <c r="J42" s="370"/>
      <c r="K42" s="370"/>
      <c r="L42" s="370"/>
      <c r="M42" s="370"/>
      <c r="N42" s="370"/>
      <c r="O42" s="370"/>
      <c r="P42" s="370"/>
      <c r="Q42" s="370"/>
      <c r="R42" s="370"/>
      <c r="S42" s="370"/>
      <c r="T42" s="72" t="str">
        <f t="shared" si="6"/>
        <v>Peak</v>
      </c>
      <c r="U42" s="68">
        <v>900</v>
      </c>
      <c r="V42" s="1358">
        <f t="shared" si="7"/>
        <v>600</v>
      </c>
      <c r="W42" s="1358">
        <f t="shared" si="7"/>
        <v>600</v>
      </c>
      <c r="X42" s="1358">
        <f t="shared" si="7"/>
        <v>600</v>
      </c>
      <c r="Y42" s="1358">
        <f t="shared" si="7"/>
        <v>600</v>
      </c>
      <c r="Z42" s="370"/>
      <c r="AA42" s="594">
        <f t="shared" si="8"/>
        <v>2012</v>
      </c>
      <c r="AB42" s="1584">
        <v>0.03</v>
      </c>
      <c r="AC42" s="1584">
        <v>0.03</v>
      </c>
      <c r="AD42" s="1584">
        <v>0.03</v>
      </c>
      <c r="AE42" s="1584">
        <v>0.03</v>
      </c>
      <c r="AF42" s="1584">
        <v>0.03</v>
      </c>
      <c r="AG42" s="1584">
        <v>0.03</v>
      </c>
      <c r="AH42" s="1584">
        <v>0.03</v>
      </c>
      <c r="AI42" s="1584">
        <v>0.03</v>
      </c>
      <c r="AJ42" s="1584">
        <v>0.03</v>
      </c>
      <c r="AK42" s="1584">
        <v>0.03</v>
      </c>
      <c r="AL42" s="1584">
        <v>0.03</v>
      </c>
      <c r="AM42" s="1584">
        <v>0.03</v>
      </c>
      <c r="AN42" s="370"/>
      <c r="AO42" s="99">
        <v>3</v>
      </c>
      <c r="AP42" s="62" t="b">
        <v>1</v>
      </c>
      <c r="AS42" s="47" t="s">
        <v>68</v>
      </c>
      <c r="AT42" s="6" t="s">
        <v>69</v>
      </c>
      <c r="AU42" s="48" t="s">
        <v>70</v>
      </c>
      <c r="AV42" s="5">
        <v>8</v>
      </c>
      <c r="AW42" s="391" t="s">
        <v>86</v>
      </c>
      <c r="AX42" s="387" t="s">
        <v>87</v>
      </c>
      <c r="AY42" s="388"/>
      <c r="AZ42" s="389"/>
      <c r="BA42" s="392"/>
      <c r="BB42"/>
      <c r="BD42" s="18"/>
      <c r="BE42" s="40"/>
      <c r="BG42" s="19"/>
      <c r="BH42" s="18"/>
      <c r="BL42" s="18"/>
      <c r="BO42" s="19"/>
    </row>
    <row r="43" spans="1:78" ht="21" customHeight="1">
      <c r="B43" s="370"/>
      <c r="C43" s="370"/>
      <c r="D43" s="370"/>
      <c r="E43" s="370"/>
      <c r="F43" s="370"/>
      <c r="G43" s="370"/>
      <c r="H43" s="370"/>
      <c r="I43" s="370"/>
      <c r="J43" s="370"/>
      <c r="K43" s="370"/>
      <c r="L43" s="370"/>
      <c r="M43" s="370"/>
      <c r="N43" s="370"/>
      <c r="O43" s="370"/>
      <c r="P43" s="370"/>
      <c r="Q43" s="370"/>
      <c r="R43" s="370"/>
      <c r="S43" s="370"/>
      <c r="T43" s="72" t="str">
        <f t="shared" si="6"/>
        <v>Peak</v>
      </c>
      <c r="U43" s="68">
        <v>1000</v>
      </c>
      <c r="V43" s="1358">
        <f t="shared" si="7"/>
        <v>600</v>
      </c>
      <c r="W43" s="1358">
        <f t="shared" si="7"/>
        <v>600</v>
      </c>
      <c r="X43" s="1358">
        <f t="shared" si="7"/>
        <v>600</v>
      </c>
      <c r="Y43" s="1358">
        <f t="shared" si="7"/>
        <v>600</v>
      </c>
      <c r="Z43" s="370"/>
      <c r="AA43" s="69">
        <f t="shared" si="8"/>
        <v>2013</v>
      </c>
      <c r="AB43" s="1584">
        <v>0.03</v>
      </c>
      <c r="AC43" s="1584">
        <v>0.03</v>
      </c>
      <c r="AD43" s="1584">
        <v>0.03</v>
      </c>
      <c r="AE43" s="1584">
        <v>0.03</v>
      </c>
      <c r="AF43" s="1584">
        <v>0.03</v>
      </c>
      <c r="AG43" s="1584">
        <v>0.03</v>
      </c>
      <c r="AH43" s="1584">
        <v>0.03</v>
      </c>
      <c r="AI43" s="1584">
        <v>0.03</v>
      </c>
      <c r="AJ43" s="1584">
        <v>0.03</v>
      </c>
      <c r="AK43" s="1584">
        <v>0.03</v>
      </c>
      <c r="AL43" s="1584">
        <v>0.03</v>
      </c>
      <c r="AM43" s="1584">
        <v>0.03</v>
      </c>
      <c r="AN43" s="370"/>
      <c r="AO43" s="99">
        <v>4</v>
      </c>
      <c r="AP43" s="62" t="b">
        <v>1</v>
      </c>
      <c r="AS43" s="47" t="s">
        <v>74</v>
      </c>
      <c r="AT43" s="6" t="s">
        <v>75</v>
      </c>
      <c r="AU43" s="48" t="s">
        <v>76</v>
      </c>
      <c r="AV43" s="5">
        <v>9</v>
      </c>
      <c r="AW43" s="391" t="s">
        <v>275</v>
      </c>
      <c r="AX43" s="387" t="s">
        <v>276</v>
      </c>
      <c r="AY43" s="388"/>
      <c r="AZ43" s="389"/>
      <c r="BA43" s="392"/>
      <c r="BB43"/>
      <c r="BD43" s="19"/>
      <c r="BE43" s="19"/>
      <c r="BF43" s="19"/>
      <c r="BG43" s="19"/>
      <c r="BH43" s="19"/>
      <c r="BI43" s="19"/>
      <c r="BJ43" s="19"/>
      <c r="BK43" s="19"/>
      <c r="BL43" s="19"/>
      <c r="BM43" s="19"/>
      <c r="BN43" s="19"/>
      <c r="BO43" s="19"/>
    </row>
    <row r="44" spans="1:78" ht="21" customHeight="1" thickBot="1">
      <c r="B44" s="370"/>
      <c r="C44" s="370"/>
      <c r="D44" s="370"/>
      <c r="E44" s="370"/>
      <c r="F44" s="370"/>
      <c r="G44" s="370"/>
      <c r="H44" s="370"/>
      <c r="I44" s="370"/>
      <c r="J44" s="370"/>
      <c r="K44" s="370"/>
      <c r="L44" s="370"/>
      <c r="M44" s="370"/>
      <c r="N44" s="370"/>
      <c r="O44" s="370"/>
      <c r="P44" s="370"/>
      <c r="Q44" s="370"/>
      <c r="R44" s="370"/>
      <c r="S44" s="370"/>
      <c r="T44" s="72" t="str">
        <f t="shared" si="6"/>
        <v>Peak</v>
      </c>
      <c r="U44" s="68">
        <v>1100</v>
      </c>
      <c r="V44" s="1358">
        <f t="shared" si="7"/>
        <v>600</v>
      </c>
      <c r="W44" s="1358">
        <f t="shared" si="7"/>
        <v>600</v>
      </c>
      <c r="X44" s="1358">
        <f t="shared" si="7"/>
        <v>600</v>
      </c>
      <c r="Y44" s="1358">
        <f t="shared" si="7"/>
        <v>600</v>
      </c>
      <c r="Z44" s="370"/>
      <c r="AA44" s="594">
        <f t="shared" si="8"/>
        <v>2014</v>
      </c>
      <c r="AB44" s="1584">
        <v>0.03</v>
      </c>
      <c r="AC44" s="1584">
        <v>0.03</v>
      </c>
      <c r="AD44" s="1584">
        <v>0.03</v>
      </c>
      <c r="AE44" s="1584">
        <v>0.03</v>
      </c>
      <c r="AF44" s="1584">
        <v>0.03</v>
      </c>
      <c r="AG44" s="1584">
        <v>0.03</v>
      </c>
      <c r="AH44" s="1584">
        <v>0.03</v>
      </c>
      <c r="AI44" s="1584">
        <v>0.03</v>
      </c>
      <c r="AJ44" s="1584">
        <v>0.03</v>
      </c>
      <c r="AK44" s="1584">
        <v>0.03</v>
      </c>
      <c r="AL44" s="1584">
        <v>0.03</v>
      </c>
      <c r="AM44" s="1584">
        <v>0.03</v>
      </c>
      <c r="AN44" s="370"/>
      <c r="AO44" s="99">
        <v>5</v>
      </c>
      <c r="AP44" s="62" t="b">
        <v>1</v>
      </c>
      <c r="AS44" s="358" t="s">
        <v>79</v>
      </c>
      <c r="AT44" s="359" t="s">
        <v>80</v>
      </c>
      <c r="AU44" s="360" t="s">
        <v>81</v>
      </c>
      <c r="AV44" s="5">
        <v>10</v>
      </c>
      <c r="AW44" s="393" t="s">
        <v>279</v>
      </c>
      <c r="AX44" s="394" t="s">
        <v>280</v>
      </c>
      <c r="AY44" s="395"/>
      <c r="AZ44" s="396"/>
      <c r="BA44" s="397"/>
      <c r="BB44"/>
      <c r="BQ44" s="18"/>
    </row>
    <row r="45" spans="1:78" ht="21" customHeight="1">
      <c r="B45" s="370"/>
      <c r="C45" s="370"/>
      <c r="D45" s="370"/>
      <c r="E45" s="370"/>
      <c r="F45" s="370"/>
      <c r="G45" s="370"/>
      <c r="H45" s="370"/>
      <c r="I45" s="370"/>
      <c r="J45" s="370"/>
      <c r="K45" s="370"/>
      <c r="L45" s="370"/>
      <c r="M45" s="370"/>
      <c r="N45" s="370"/>
      <c r="O45" s="370"/>
      <c r="P45" s="370"/>
      <c r="Q45" s="370"/>
      <c r="R45" s="370"/>
      <c r="S45" s="370"/>
      <c r="T45" s="72" t="str">
        <f t="shared" si="6"/>
        <v>Peak</v>
      </c>
      <c r="U45" s="68">
        <v>1200</v>
      </c>
      <c r="V45" s="1358">
        <f t="shared" si="7"/>
        <v>600</v>
      </c>
      <c r="W45" s="1358">
        <f t="shared" si="7"/>
        <v>600</v>
      </c>
      <c r="X45" s="1358">
        <f t="shared" si="7"/>
        <v>600</v>
      </c>
      <c r="Y45" s="1358">
        <f t="shared" si="7"/>
        <v>600</v>
      </c>
      <c r="Z45" s="370"/>
      <c r="AA45" s="69">
        <f t="shared" si="8"/>
        <v>2015</v>
      </c>
      <c r="AB45" s="1584">
        <v>0.03</v>
      </c>
      <c r="AC45" s="1584">
        <v>0.03</v>
      </c>
      <c r="AD45" s="1584">
        <v>0.03</v>
      </c>
      <c r="AE45" s="1584">
        <v>0.03</v>
      </c>
      <c r="AF45" s="1584">
        <v>0.03</v>
      </c>
      <c r="AG45" s="1584">
        <v>0.03</v>
      </c>
      <c r="AH45" s="1584">
        <v>0.03</v>
      </c>
      <c r="AI45" s="1584">
        <v>0.03</v>
      </c>
      <c r="AJ45" s="1584">
        <v>0.03</v>
      </c>
      <c r="AK45" s="1584">
        <v>0.03</v>
      </c>
      <c r="AL45" s="1584">
        <v>0.03</v>
      </c>
      <c r="AM45" s="1584">
        <v>0.03</v>
      </c>
      <c r="AN45" s="370"/>
      <c r="AO45" s="99">
        <v>6</v>
      </c>
      <c r="AP45" s="62" t="b">
        <v>1</v>
      </c>
      <c r="AS45" s="358" t="s">
        <v>84</v>
      </c>
      <c r="AT45" s="359" t="s">
        <v>85</v>
      </c>
      <c r="AU45" s="360">
        <v>9</v>
      </c>
      <c r="AW45"/>
      <c r="AX45" s="498"/>
      <c r="AY45" s="499"/>
      <c r="AZ45" s="15"/>
      <c r="BA45" s="29"/>
      <c r="BB45" s="123"/>
      <c r="BE45" s="19"/>
      <c r="BF45" s="19"/>
      <c r="BG45" s="19"/>
    </row>
    <row r="46" spans="1:78" ht="17.25" customHeight="1">
      <c r="B46" s="370"/>
      <c r="C46" s="370"/>
      <c r="D46" s="370"/>
      <c r="E46" s="370"/>
      <c r="F46" s="370"/>
      <c r="G46" s="370"/>
      <c r="H46" s="370"/>
      <c r="I46" s="370"/>
      <c r="J46" s="370"/>
      <c r="K46" s="370"/>
      <c r="L46" s="370"/>
      <c r="M46" s="370"/>
      <c r="N46" s="370"/>
      <c r="O46" s="370"/>
      <c r="P46" s="370"/>
      <c r="Q46" s="370"/>
      <c r="R46" s="370"/>
      <c r="S46" s="370"/>
      <c r="T46" s="72" t="str">
        <f t="shared" si="6"/>
        <v>Peak</v>
      </c>
      <c r="U46" s="68">
        <v>1300</v>
      </c>
      <c r="V46" s="1358">
        <f t="shared" si="7"/>
        <v>600</v>
      </c>
      <c r="W46" s="1358">
        <f t="shared" si="7"/>
        <v>600</v>
      </c>
      <c r="X46" s="1358">
        <f t="shared" si="7"/>
        <v>600</v>
      </c>
      <c r="Y46" s="1358">
        <f t="shared" si="7"/>
        <v>600</v>
      </c>
      <c r="Z46" s="370"/>
      <c r="AA46" s="594">
        <f t="shared" si="8"/>
        <v>2016</v>
      </c>
      <c r="AB46" s="1584">
        <v>0.03</v>
      </c>
      <c r="AC46" s="1584">
        <v>0.03</v>
      </c>
      <c r="AD46" s="1584">
        <v>0.03</v>
      </c>
      <c r="AE46" s="1584">
        <v>0.03</v>
      </c>
      <c r="AF46" s="1584">
        <v>0.03</v>
      </c>
      <c r="AG46" s="1584">
        <v>0.03</v>
      </c>
      <c r="AH46" s="1584">
        <v>0.03</v>
      </c>
      <c r="AI46" s="1584">
        <v>0.03</v>
      </c>
      <c r="AJ46" s="1584">
        <v>0.03</v>
      </c>
      <c r="AK46" s="1584">
        <v>0.03</v>
      </c>
      <c r="AL46" s="1584">
        <v>0.03</v>
      </c>
      <c r="AM46" s="1584">
        <v>0.03</v>
      </c>
      <c r="AN46" s="370"/>
      <c r="AO46" s="99">
        <v>7</v>
      </c>
      <c r="AP46" s="62" t="b">
        <v>1</v>
      </c>
      <c r="AS46" s="358" t="s">
        <v>273</v>
      </c>
      <c r="AT46" s="359" t="s">
        <v>274</v>
      </c>
      <c r="AU46" s="360">
        <v>10</v>
      </c>
      <c r="AW46"/>
      <c r="AX46" s="498"/>
      <c r="AY46" s="499"/>
      <c r="AZ46" s="15"/>
      <c r="BA46" s="29"/>
      <c r="BB46" s="123"/>
    </row>
    <row r="47" spans="1:78" ht="17.25" customHeight="1" thickBot="1">
      <c r="B47" s="370"/>
      <c r="C47" s="370"/>
      <c r="D47" s="370"/>
      <c r="E47" s="370"/>
      <c r="F47" s="370"/>
      <c r="G47" s="370"/>
      <c r="H47" s="370"/>
      <c r="I47" s="370"/>
      <c r="J47" s="370"/>
      <c r="K47" s="370"/>
      <c r="L47" s="370"/>
      <c r="M47" s="370"/>
      <c r="N47" s="370"/>
      <c r="O47" s="370"/>
      <c r="P47" s="370"/>
      <c r="Q47" s="370"/>
      <c r="R47" s="370"/>
      <c r="S47" s="370"/>
      <c r="T47" s="72" t="str">
        <f t="shared" si="6"/>
        <v>Peak</v>
      </c>
      <c r="U47" s="68">
        <v>1400</v>
      </c>
      <c r="V47" s="1358">
        <f t="shared" si="7"/>
        <v>600</v>
      </c>
      <c r="W47" s="1358">
        <f t="shared" si="7"/>
        <v>600</v>
      </c>
      <c r="X47" s="1358">
        <f t="shared" si="7"/>
        <v>600</v>
      </c>
      <c r="Y47" s="1358">
        <f t="shared" si="7"/>
        <v>600</v>
      </c>
      <c r="Z47" s="370"/>
      <c r="AA47" s="69">
        <f t="shared" si="8"/>
        <v>2017</v>
      </c>
      <c r="AB47" s="1584">
        <v>0.03</v>
      </c>
      <c r="AC47" s="1584">
        <v>0.03</v>
      </c>
      <c r="AD47" s="1584">
        <v>0.03</v>
      </c>
      <c r="AE47" s="1584">
        <v>0.03</v>
      </c>
      <c r="AF47" s="1584">
        <v>0.03</v>
      </c>
      <c r="AG47" s="1584">
        <v>0.03</v>
      </c>
      <c r="AH47" s="1584">
        <v>0.03</v>
      </c>
      <c r="AI47" s="1584">
        <v>0.03</v>
      </c>
      <c r="AJ47" s="1584">
        <v>0.03</v>
      </c>
      <c r="AK47" s="1584">
        <v>0.03</v>
      </c>
      <c r="AL47" s="1584">
        <v>0.03</v>
      </c>
      <c r="AM47" s="1584">
        <v>0.03</v>
      </c>
      <c r="AN47" s="370"/>
      <c r="AO47" s="99">
        <v>8</v>
      </c>
      <c r="AP47" s="62" t="b">
        <v>1</v>
      </c>
      <c r="AS47" s="49" t="s">
        <v>277</v>
      </c>
      <c r="AT47" s="50" t="s">
        <v>278</v>
      </c>
      <c r="AU47" s="51">
        <v>11</v>
      </c>
      <c r="AW47"/>
      <c r="AX47" s="498"/>
      <c r="AY47" s="499"/>
      <c r="AZ47" s="15"/>
      <c r="BA47" s="29"/>
      <c r="BB47" s="123"/>
    </row>
    <row r="48" spans="1:78" ht="17.25" customHeight="1" thickBot="1">
      <c r="B48" s="370"/>
      <c r="C48" s="370"/>
      <c r="D48" s="370"/>
      <c r="E48" s="370"/>
      <c r="F48" s="370"/>
      <c r="G48" s="370"/>
      <c r="H48" s="370"/>
      <c r="I48" s="370"/>
      <c r="J48" s="370"/>
      <c r="K48" s="370"/>
      <c r="L48" s="370"/>
      <c r="M48" s="370"/>
      <c r="N48" s="370"/>
      <c r="O48" s="370"/>
      <c r="P48" s="370"/>
      <c r="Q48" s="370"/>
      <c r="R48" s="370"/>
      <c r="S48" s="370"/>
      <c r="T48" s="72" t="str">
        <f t="shared" si="6"/>
        <v>Peak</v>
      </c>
      <c r="U48" s="68">
        <v>1500</v>
      </c>
      <c r="V48" s="1358">
        <f t="shared" si="7"/>
        <v>600</v>
      </c>
      <c r="W48" s="1358">
        <f t="shared" si="7"/>
        <v>600</v>
      </c>
      <c r="X48" s="1358">
        <f t="shared" si="7"/>
        <v>600</v>
      </c>
      <c r="Y48" s="1358">
        <f t="shared" si="7"/>
        <v>600</v>
      </c>
      <c r="Z48" s="370"/>
      <c r="AA48" s="594">
        <f t="shared" si="8"/>
        <v>2018</v>
      </c>
      <c r="AB48" s="1584">
        <v>0.03</v>
      </c>
      <c r="AC48" s="1584">
        <v>0.03</v>
      </c>
      <c r="AD48" s="1584">
        <v>0.03</v>
      </c>
      <c r="AE48" s="1584">
        <v>0.03</v>
      </c>
      <c r="AF48" s="1584">
        <v>0.03</v>
      </c>
      <c r="AG48" s="1584">
        <v>0.03</v>
      </c>
      <c r="AH48" s="1584">
        <v>0.03</v>
      </c>
      <c r="AI48" s="1584">
        <v>0.03</v>
      </c>
      <c r="AJ48" s="1584">
        <v>0.03</v>
      </c>
      <c r="AK48" s="1584">
        <v>0.03</v>
      </c>
      <c r="AL48" s="1584">
        <v>0.03</v>
      </c>
      <c r="AM48" s="1584">
        <v>0.03</v>
      </c>
      <c r="AN48" s="370"/>
      <c r="AO48" s="99">
        <v>9</v>
      </c>
      <c r="AP48" s="62" t="b">
        <v>1</v>
      </c>
      <c r="AS48"/>
      <c r="AT48" s="348" t="s">
        <v>26</v>
      </c>
      <c r="AU48"/>
      <c r="AW48"/>
      <c r="AX48" s="498"/>
      <c r="AY48" s="499"/>
      <c r="AZ48" s="15"/>
      <c r="BA48" s="29"/>
      <c r="BB48" s="123"/>
    </row>
    <row r="49" spans="2:54" ht="17.25" customHeight="1" thickBot="1">
      <c r="B49" s="370"/>
      <c r="C49" s="370"/>
      <c r="D49" s="370"/>
      <c r="E49" s="370"/>
      <c r="F49" s="370"/>
      <c r="G49" s="370"/>
      <c r="H49" s="370"/>
      <c r="I49" s="370"/>
      <c r="J49" s="370"/>
      <c r="K49" s="370"/>
      <c r="L49" s="370"/>
      <c r="M49" s="370"/>
      <c r="N49" s="370"/>
      <c r="O49" s="370"/>
      <c r="P49" s="370"/>
      <c r="Q49" s="370"/>
      <c r="R49" s="370"/>
      <c r="S49" s="370"/>
      <c r="T49" s="72" t="str">
        <f t="shared" si="6"/>
        <v>Peak</v>
      </c>
      <c r="U49" s="68">
        <v>1600</v>
      </c>
      <c r="V49" s="1358">
        <f t="shared" si="7"/>
        <v>600</v>
      </c>
      <c r="W49" s="1358">
        <f t="shared" si="7"/>
        <v>600</v>
      </c>
      <c r="X49" s="1358">
        <f t="shared" si="7"/>
        <v>600</v>
      </c>
      <c r="Y49" s="1358">
        <f t="shared" si="7"/>
        <v>600</v>
      </c>
      <c r="Z49" s="370"/>
      <c r="AA49" s="69">
        <f t="shared" si="8"/>
        <v>2019</v>
      </c>
      <c r="AB49" s="1584">
        <v>0.03</v>
      </c>
      <c r="AC49" s="1584">
        <v>0.03</v>
      </c>
      <c r="AD49" s="1584">
        <v>0.03</v>
      </c>
      <c r="AE49" s="1584">
        <v>0.03</v>
      </c>
      <c r="AF49" s="1584">
        <v>0.03</v>
      </c>
      <c r="AG49" s="1584">
        <v>0.03</v>
      </c>
      <c r="AH49" s="1584">
        <v>0.03</v>
      </c>
      <c r="AI49" s="1584">
        <v>0.03</v>
      </c>
      <c r="AJ49" s="1584">
        <v>0.03</v>
      </c>
      <c r="AK49" s="1584">
        <v>0.03</v>
      </c>
      <c r="AL49" s="1584">
        <v>0.03</v>
      </c>
      <c r="AM49" s="1584">
        <v>0.03</v>
      </c>
      <c r="AN49" s="370"/>
      <c r="AO49" s="99">
        <v>10</v>
      </c>
      <c r="AP49" s="62" t="b">
        <v>1</v>
      </c>
      <c r="AS49"/>
      <c r="AT49"/>
      <c r="AU49"/>
      <c r="AW49"/>
      <c r="AX49" s="498"/>
      <c r="AY49" s="499"/>
      <c r="AZ49" s="15"/>
      <c r="BA49" s="29"/>
      <c r="BB49" s="123"/>
    </row>
    <row r="50" spans="2:54" ht="17.25" customHeight="1">
      <c r="B50" s="370"/>
      <c r="C50" s="370"/>
      <c r="D50" s="370"/>
      <c r="E50" s="370"/>
      <c r="F50" s="370"/>
      <c r="G50" s="370"/>
      <c r="H50" s="370"/>
      <c r="I50" s="370"/>
      <c r="J50" s="370"/>
      <c r="K50" s="370"/>
      <c r="L50" s="370"/>
      <c r="M50" s="370"/>
      <c r="N50" s="370"/>
      <c r="O50" s="370"/>
      <c r="P50" s="370"/>
      <c r="Q50" s="370"/>
      <c r="R50" s="370"/>
      <c r="S50" s="370"/>
      <c r="T50" s="72" t="str">
        <f t="shared" ref="T50:T57" si="9">IF(OR(U50&lt;PeakStart,U50&gt;PeakEnd),"Off-Peak","Peak")</f>
        <v>Peak</v>
      </c>
      <c r="U50" s="68">
        <v>1700</v>
      </c>
      <c r="V50" s="1358">
        <f t="shared" si="7"/>
        <v>600</v>
      </c>
      <c r="W50" s="1358">
        <f t="shared" si="7"/>
        <v>600</v>
      </c>
      <c r="X50" s="1358">
        <f t="shared" si="7"/>
        <v>600</v>
      </c>
      <c r="Y50" s="1358">
        <f t="shared" si="7"/>
        <v>600</v>
      </c>
      <c r="Z50" s="370"/>
      <c r="AA50" s="594">
        <f t="shared" si="8"/>
        <v>2020</v>
      </c>
      <c r="AB50" s="1584">
        <v>0.03</v>
      </c>
      <c r="AC50" s="1584">
        <v>0.03</v>
      </c>
      <c r="AD50" s="1584">
        <v>0.03</v>
      </c>
      <c r="AE50" s="1584">
        <v>0.03</v>
      </c>
      <c r="AF50" s="1584">
        <v>0.03</v>
      </c>
      <c r="AG50" s="1584">
        <v>0.03</v>
      </c>
      <c r="AH50" s="1584">
        <v>0.03</v>
      </c>
      <c r="AI50" s="1584">
        <v>0.03</v>
      </c>
      <c r="AJ50" s="1584">
        <v>0.03</v>
      </c>
      <c r="AK50" s="1584">
        <v>0.03</v>
      </c>
      <c r="AL50" s="1584">
        <v>0.03</v>
      </c>
      <c r="AM50" s="1584">
        <v>0.03</v>
      </c>
      <c r="AN50" s="370"/>
      <c r="AO50" s="99">
        <v>11</v>
      </c>
      <c r="AP50" s="62" t="b">
        <v>1</v>
      </c>
      <c r="AS50" s="296" t="s">
        <v>281</v>
      </c>
      <c r="AT50" s="297">
        <f>MONTH(BegDate)</f>
        <v>7</v>
      </c>
      <c r="AU50"/>
      <c r="AW50"/>
      <c r="AX50" s="498"/>
      <c r="AY50" s="499"/>
      <c r="AZ50" s="15"/>
      <c r="BA50" s="29"/>
      <c r="BB50" s="123"/>
    </row>
    <row r="51" spans="2:54" ht="17.25" customHeight="1" thickBot="1">
      <c r="B51" s="370"/>
      <c r="C51" s="370"/>
      <c r="D51" s="370"/>
      <c r="E51" s="370"/>
      <c r="F51" s="370"/>
      <c r="G51" s="370"/>
      <c r="H51" s="370"/>
      <c r="I51" s="370"/>
      <c r="J51" s="370"/>
      <c r="K51" s="370"/>
      <c r="L51" s="370"/>
      <c r="M51" s="370"/>
      <c r="N51" s="370"/>
      <c r="O51" s="370"/>
      <c r="P51" s="370"/>
      <c r="Q51" s="370"/>
      <c r="R51" s="370"/>
      <c r="S51" s="370"/>
      <c r="T51" s="72" t="str">
        <f t="shared" si="9"/>
        <v>Peak</v>
      </c>
      <c r="U51" s="68">
        <v>1800</v>
      </c>
      <c r="V51" s="1358">
        <f t="shared" si="7"/>
        <v>600</v>
      </c>
      <c r="W51" s="1358">
        <f t="shared" si="7"/>
        <v>600</v>
      </c>
      <c r="X51" s="1358">
        <f t="shared" si="7"/>
        <v>600</v>
      </c>
      <c r="Y51" s="1358">
        <f t="shared" si="7"/>
        <v>600</v>
      </c>
      <c r="Z51" s="370"/>
      <c r="AA51" s="69">
        <f t="shared" si="8"/>
        <v>2021</v>
      </c>
      <c r="AB51" s="1584">
        <v>0.03</v>
      </c>
      <c r="AC51" s="1584">
        <v>0.03</v>
      </c>
      <c r="AD51" s="1584">
        <v>0.03</v>
      </c>
      <c r="AE51" s="1584">
        <v>0.03</v>
      </c>
      <c r="AF51" s="1584">
        <v>0.03</v>
      </c>
      <c r="AG51" s="1584">
        <v>0.03</v>
      </c>
      <c r="AH51" s="1584">
        <v>0.03</v>
      </c>
      <c r="AI51" s="1584">
        <v>0.03</v>
      </c>
      <c r="AJ51" s="1584">
        <v>0.03</v>
      </c>
      <c r="AK51" s="1584">
        <v>0.03</v>
      </c>
      <c r="AL51" s="1584">
        <v>0.03</v>
      </c>
      <c r="AM51" s="1584">
        <v>0.03</v>
      </c>
      <c r="AN51" s="370"/>
      <c r="AO51" s="79">
        <v>12</v>
      </c>
      <c r="AP51" s="64" t="b">
        <v>1</v>
      </c>
      <c r="AS51" s="33" t="s">
        <v>282</v>
      </c>
      <c r="AT51" s="42">
        <f>YEAR(BegDate)</f>
        <v>2003</v>
      </c>
      <c r="AU51"/>
      <c r="AW51"/>
      <c r="AX51" s="498"/>
      <c r="AY51" s="499"/>
      <c r="AZ51" s="15"/>
      <c r="BA51" s="29"/>
      <c r="BB51" s="123"/>
    </row>
    <row r="52" spans="2:54" ht="17.25" customHeight="1" thickBot="1">
      <c r="B52" s="370"/>
      <c r="C52" s="370"/>
      <c r="D52" s="370"/>
      <c r="E52" s="370"/>
      <c r="F52" s="370"/>
      <c r="G52" s="370"/>
      <c r="H52" s="370"/>
      <c r="I52" s="370"/>
      <c r="J52" s="370"/>
      <c r="K52" s="370"/>
      <c r="L52" s="370"/>
      <c r="M52" s="370"/>
      <c r="N52" s="370"/>
      <c r="O52" s="370"/>
      <c r="P52" s="370"/>
      <c r="Q52" s="370"/>
      <c r="R52" s="370"/>
      <c r="S52" s="370"/>
      <c r="T52" s="72" t="str">
        <f t="shared" si="9"/>
        <v>Peak</v>
      </c>
      <c r="U52" s="68">
        <v>1900</v>
      </c>
      <c r="V52" s="1358">
        <f t="shared" si="7"/>
        <v>600</v>
      </c>
      <c r="W52" s="1358">
        <f t="shared" si="7"/>
        <v>600</v>
      </c>
      <c r="X52" s="1358">
        <f t="shared" si="7"/>
        <v>600</v>
      </c>
      <c r="Y52" s="1358">
        <f t="shared" si="7"/>
        <v>600</v>
      </c>
      <c r="Z52" s="370"/>
      <c r="AA52" s="69">
        <f t="shared" si="8"/>
        <v>2022</v>
      </c>
      <c r="AB52" s="1584">
        <v>0.03</v>
      </c>
      <c r="AC52" s="1584">
        <v>0.03</v>
      </c>
      <c r="AD52" s="1584">
        <v>0.03</v>
      </c>
      <c r="AE52" s="1584">
        <v>0.03</v>
      </c>
      <c r="AF52" s="1584">
        <v>0.03</v>
      </c>
      <c r="AG52" s="1584">
        <v>0.03</v>
      </c>
      <c r="AH52" s="1584">
        <v>0.03</v>
      </c>
      <c r="AI52" s="1584">
        <v>0.03</v>
      </c>
      <c r="AJ52" s="1584">
        <v>0.03</v>
      </c>
      <c r="AK52" s="1584">
        <v>0.03</v>
      </c>
      <c r="AL52" s="1584">
        <v>0.03</v>
      </c>
      <c r="AM52" s="1584">
        <v>0.03</v>
      </c>
      <c r="AN52" s="370"/>
      <c r="AO52"/>
      <c r="AP52"/>
      <c r="AS52" s="15"/>
      <c r="AT52" s="15"/>
      <c r="AU52"/>
      <c r="AW52"/>
      <c r="AX52"/>
      <c r="AY52"/>
      <c r="AZ52"/>
      <c r="BA52"/>
      <c r="BB52"/>
    </row>
    <row r="53" spans="2:54" ht="17.25" customHeight="1" thickBot="1">
      <c r="B53" s="370"/>
      <c r="C53" s="370"/>
      <c r="D53" s="370"/>
      <c r="E53" s="370"/>
      <c r="F53" s="370"/>
      <c r="G53" s="370"/>
      <c r="H53" s="370"/>
      <c r="I53" s="370"/>
      <c r="J53" s="370"/>
      <c r="K53" s="370"/>
      <c r="L53" s="370"/>
      <c r="M53" s="370"/>
      <c r="N53" s="370"/>
      <c r="O53" s="370"/>
      <c r="P53" s="370"/>
      <c r="Q53" s="370"/>
      <c r="R53" s="370"/>
      <c r="S53" s="370"/>
      <c r="T53" s="72" t="str">
        <f t="shared" si="9"/>
        <v>Peak</v>
      </c>
      <c r="U53" s="68">
        <v>2000</v>
      </c>
      <c r="V53" s="1358">
        <f t="shared" si="7"/>
        <v>600</v>
      </c>
      <c r="W53" s="1358">
        <f t="shared" si="7"/>
        <v>600</v>
      </c>
      <c r="X53" s="1358">
        <f t="shared" si="7"/>
        <v>600</v>
      </c>
      <c r="Y53" s="1358">
        <f t="shared" si="7"/>
        <v>600</v>
      </c>
      <c r="Z53" s="370"/>
      <c r="AA53" s="69">
        <f>AA52+1</f>
        <v>2023</v>
      </c>
      <c r="AB53" s="1584">
        <v>0.03</v>
      </c>
      <c r="AC53" s="1584">
        <v>0.03</v>
      </c>
      <c r="AD53" s="1584">
        <v>0.03</v>
      </c>
      <c r="AE53" s="1584">
        <v>0.03</v>
      </c>
      <c r="AF53" s="1584">
        <v>0.03</v>
      </c>
      <c r="AG53" s="1584">
        <v>0.03</v>
      </c>
      <c r="AH53" s="1584">
        <v>0.03</v>
      </c>
      <c r="AI53" s="1584">
        <v>0.03</v>
      </c>
      <c r="AJ53" s="1584">
        <v>0.03</v>
      </c>
      <c r="AK53" s="1584">
        <v>0.03</v>
      </c>
      <c r="AL53" s="1584">
        <v>0.03</v>
      </c>
      <c r="AM53" s="1584">
        <v>0.03</v>
      </c>
      <c r="AN53" s="370"/>
      <c r="AO53"/>
      <c r="AP53"/>
      <c r="AS53" s="357" t="s">
        <v>283</v>
      </c>
      <c r="AT53" s="421" t="s">
        <v>1239</v>
      </c>
      <c r="AU53"/>
    </row>
    <row r="54" spans="2:54" ht="17.25" customHeight="1">
      <c r="B54" s="370"/>
      <c r="C54" s="370"/>
      <c r="D54" s="370"/>
      <c r="E54" s="370"/>
      <c r="F54" s="370"/>
      <c r="G54" s="370"/>
      <c r="H54" s="370"/>
      <c r="I54" s="370"/>
      <c r="J54" s="370"/>
      <c r="K54" s="370"/>
      <c r="L54" s="370"/>
      <c r="M54" s="370"/>
      <c r="N54" s="370"/>
      <c r="O54" s="370"/>
      <c r="P54" s="370"/>
      <c r="Q54" s="370"/>
      <c r="R54" s="370"/>
      <c r="S54" s="370"/>
      <c r="T54" s="72" t="str">
        <f t="shared" si="9"/>
        <v>Peak</v>
      </c>
      <c r="U54" s="68">
        <v>2100</v>
      </c>
      <c r="V54" s="1358">
        <f t="shared" si="7"/>
        <v>600</v>
      </c>
      <c r="W54" s="1358">
        <f t="shared" si="7"/>
        <v>600</v>
      </c>
      <c r="X54" s="1358">
        <f t="shared" si="7"/>
        <v>600</v>
      </c>
      <c r="Y54" s="1358">
        <f t="shared" si="7"/>
        <v>600</v>
      </c>
      <c r="Z54" s="370"/>
      <c r="AA54" s="69">
        <f>AA53+1</f>
        <v>2024</v>
      </c>
      <c r="AB54" s="1584">
        <v>0.03</v>
      </c>
      <c r="AC54" s="1584">
        <v>0.03</v>
      </c>
      <c r="AD54" s="1584">
        <v>0.03</v>
      </c>
      <c r="AE54" s="1584">
        <v>0.03</v>
      </c>
      <c r="AF54" s="1584">
        <v>0.03</v>
      </c>
      <c r="AG54" s="1584">
        <v>0.03</v>
      </c>
      <c r="AH54" s="1584">
        <v>0.03</v>
      </c>
      <c r="AI54" s="1584">
        <v>0.03</v>
      </c>
      <c r="AJ54" s="1584">
        <v>0.03</v>
      </c>
      <c r="AK54" s="1584">
        <v>0.03</v>
      </c>
      <c r="AL54" s="1584">
        <v>0.03</v>
      </c>
      <c r="AM54" s="1584">
        <v>0.03</v>
      </c>
      <c r="AN54" s="370"/>
      <c r="AO54"/>
      <c r="AP54"/>
      <c r="AS54"/>
      <c r="AT54"/>
      <c r="AU54"/>
    </row>
    <row r="55" spans="2:54" ht="18.75" customHeight="1">
      <c r="B55" s="370"/>
      <c r="C55" s="370"/>
      <c r="D55" s="370"/>
      <c r="E55" s="370"/>
      <c r="F55" s="370"/>
      <c r="G55" s="370"/>
      <c r="H55" s="370"/>
      <c r="I55" s="370"/>
      <c r="J55" s="370"/>
      <c r="K55" s="370"/>
      <c r="L55" s="370"/>
      <c r="M55" s="370"/>
      <c r="N55" s="370"/>
      <c r="O55" s="370"/>
      <c r="P55" s="370"/>
      <c r="Q55" s="370"/>
      <c r="R55" s="370"/>
      <c r="S55" s="370"/>
      <c r="T55" s="72" t="str">
        <f t="shared" si="9"/>
        <v>Peak</v>
      </c>
      <c r="U55" s="68">
        <v>2200</v>
      </c>
      <c r="V55" s="1358">
        <f t="shared" si="7"/>
        <v>600</v>
      </c>
      <c r="W55" s="1358">
        <f t="shared" si="7"/>
        <v>600</v>
      </c>
      <c r="X55" s="1358">
        <f t="shared" si="7"/>
        <v>600</v>
      </c>
      <c r="Y55" s="1358">
        <f t="shared" si="7"/>
        <v>600</v>
      </c>
      <c r="Z55" s="370"/>
      <c r="AA55" s="370"/>
      <c r="AB55" s="370"/>
      <c r="AC55" s="370"/>
      <c r="AD55" s="370"/>
      <c r="AE55" s="370"/>
      <c r="AF55" s="370"/>
      <c r="AG55" s="370"/>
      <c r="AH55" s="370"/>
      <c r="AI55" s="370"/>
      <c r="AJ55" s="370"/>
      <c r="AK55" s="370"/>
      <c r="AL55" s="370"/>
      <c r="AM55" s="370"/>
      <c r="AN55" s="370"/>
      <c r="AO55"/>
      <c r="AP55"/>
      <c r="AS55"/>
      <c r="AT55"/>
      <c r="AU55"/>
    </row>
    <row r="56" spans="2:54" ht="18.75" customHeight="1" thickBot="1">
      <c r="B56" s="370"/>
      <c r="C56" s="370"/>
      <c r="D56" s="370"/>
      <c r="E56" s="370"/>
      <c r="F56" s="370"/>
      <c r="G56" s="370"/>
      <c r="H56" s="370"/>
      <c r="I56" s="370"/>
      <c r="J56" s="370"/>
      <c r="K56" s="370"/>
      <c r="L56" s="370"/>
      <c r="M56" s="370"/>
      <c r="N56" s="370"/>
      <c r="O56" s="370"/>
      <c r="P56" s="370"/>
      <c r="Q56" s="370"/>
      <c r="R56" s="370"/>
      <c r="S56" s="370"/>
      <c r="T56" s="72" t="str">
        <f t="shared" si="9"/>
        <v>Off-Peak</v>
      </c>
      <c r="U56" s="68">
        <v>2300</v>
      </c>
      <c r="V56" s="1358">
        <f t="shared" ref="V56:Y57" si="10">Volume-V29</f>
        <v>600</v>
      </c>
      <c r="W56" s="1358">
        <f t="shared" si="10"/>
        <v>600</v>
      </c>
      <c r="X56" s="1358">
        <f t="shared" si="10"/>
        <v>600</v>
      </c>
      <c r="Y56" s="1358">
        <f t="shared" si="10"/>
        <v>600</v>
      </c>
      <c r="Z56" s="370"/>
      <c r="AA56" s="370"/>
      <c r="AB56" s="370"/>
      <c r="AC56" s="370"/>
      <c r="AD56" s="370"/>
      <c r="AE56" s="370"/>
      <c r="AF56" s="370"/>
      <c r="AG56" s="370"/>
      <c r="AH56" s="370"/>
      <c r="AI56" s="370"/>
      <c r="AJ56" s="370"/>
      <c r="AK56" s="370"/>
      <c r="AL56" s="370"/>
      <c r="AM56" s="370"/>
      <c r="AN56" s="370"/>
      <c r="AO56"/>
      <c r="AP56"/>
      <c r="AR56" s="15"/>
      <c r="AS56"/>
      <c r="AT56"/>
      <c r="AU56"/>
      <c r="AW56"/>
      <c r="AX56"/>
    </row>
    <row r="57" spans="2:54" ht="18.75" customHeight="1" thickBot="1">
      <c r="B57" s="370"/>
      <c r="C57" s="370"/>
      <c r="D57" s="370"/>
      <c r="E57" s="370"/>
      <c r="F57" s="370"/>
      <c r="G57" s="370"/>
      <c r="H57" s="370"/>
      <c r="I57" s="370"/>
      <c r="J57" s="370"/>
      <c r="K57" s="370"/>
      <c r="L57" s="370"/>
      <c r="M57" s="370"/>
      <c r="N57" s="370"/>
      <c r="O57" s="370"/>
      <c r="P57" s="370"/>
      <c r="Q57" s="370"/>
      <c r="R57" s="370"/>
      <c r="S57" s="370"/>
      <c r="T57" s="73" t="str">
        <f t="shared" si="9"/>
        <v>Off-Peak</v>
      </c>
      <c r="U57" s="91">
        <v>2400</v>
      </c>
      <c r="V57" s="1358">
        <f t="shared" si="10"/>
        <v>600</v>
      </c>
      <c r="W57" s="1358">
        <f t="shared" si="10"/>
        <v>600</v>
      </c>
      <c r="X57" s="1358">
        <f t="shared" si="10"/>
        <v>600</v>
      </c>
      <c r="Y57" s="1358">
        <f t="shared" si="10"/>
        <v>600</v>
      </c>
      <c r="Z57" s="1627"/>
      <c r="AA57" s="1870" t="s">
        <v>1084</v>
      </c>
      <c r="AB57" s="1871"/>
      <c r="AC57" s="1871"/>
      <c r="AD57" s="1871"/>
      <c r="AE57" s="1871"/>
      <c r="AF57" s="1871"/>
      <c r="AG57" s="1871"/>
      <c r="AH57" s="1871"/>
      <c r="AI57" s="1871"/>
      <c r="AJ57" s="1871"/>
      <c r="AK57" s="1871"/>
      <c r="AL57" s="1871"/>
      <c r="AM57" s="1872"/>
      <c r="AN57" s="1627"/>
      <c r="AO57"/>
      <c r="AP57"/>
      <c r="AR57" s="15"/>
      <c r="AS57"/>
      <c r="AT57"/>
      <c r="AU57"/>
      <c r="AW57"/>
      <c r="AX57"/>
    </row>
    <row r="58" spans="2:54" ht="18.75" customHeight="1">
      <c r="Z58" s="1627"/>
      <c r="AA58" s="69">
        <v>4.2000000000000002E-4</v>
      </c>
      <c r="AB58" s="1584" t="s">
        <v>143</v>
      </c>
      <c r="AC58" s="1584" t="s">
        <v>144</v>
      </c>
      <c r="AD58" s="1584" t="s">
        <v>145</v>
      </c>
      <c r="AE58" s="1584" t="s">
        <v>146</v>
      </c>
      <c r="AF58" s="1584" t="s">
        <v>147</v>
      </c>
      <c r="AG58" s="1584" t="s">
        <v>148</v>
      </c>
      <c r="AH58" s="1584" t="s">
        <v>149</v>
      </c>
      <c r="AI58" s="1584" t="s">
        <v>150</v>
      </c>
      <c r="AJ58" s="1584" t="s">
        <v>151</v>
      </c>
      <c r="AK58" s="1584" t="s">
        <v>152</v>
      </c>
      <c r="AL58" s="1584" t="s">
        <v>153</v>
      </c>
      <c r="AM58" s="1584" t="s">
        <v>154</v>
      </c>
      <c r="AN58" s="1627"/>
      <c r="AQ58" s="5"/>
      <c r="AR58" s="29"/>
      <c r="AW58"/>
      <c r="AX58"/>
    </row>
    <row r="59" spans="2:54" ht="18.75" customHeight="1">
      <c r="Z59" s="1627"/>
      <c r="AA59" s="594">
        <f>YEAR(BegDate)</f>
        <v>2003</v>
      </c>
      <c r="AB59" s="1584">
        <f>$AA$58</f>
        <v>4.2000000000000002E-4</v>
      </c>
      <c r="AC59" s="1584">
        <f t="shared" ref="AC59:AC66" si="11">AB59+$AA$58</f>
        <v>8.4000000000000003E-4</v>
      </c>
      <c r="AD59" s="1584">
        <f t="shared" ref="AD59:AM60" si="12">AC59+$AA$58</f>
        <v>1.2600000000000001E-3</v>
      </c>
      <c r="AE59" s="1584">
        <f t="shared" si="12"/>
        <v>1.6800000000000001E-3</v>
      </c>
      <c r="AF59" s="1584">
        <f t="shared" si="12"/>
        <v>2.1000000000000003E-3</v>
      </c>
      <c r="AG59" s="1584">
        <f t="shared" si="12"/>
        <v>2.5200000000000005E-3</v>
      </c>
      <c r="AH59" s="1584">
        <f t="shared" si="12"/>
        <v>2.9400000000000008E-3</v>
      </c>
      <c r="AI59" s="1584">
        <f t="shared" si="12"/>
        <v>3.360000000000001E-3</v>
      </c>
      <c r="AJ59" s="1584">
        <f t="shared" si="12"/>
        <v>3.7800000000000012E-3</v>
      </c>
      <c r="AK59" s="1584">
        <f t="shared" si="12"/>
        <v>4.2000000000000015E-3</v>
      </c>
      <c r="AL59" s="1584">
        <f t="shared" si="12"/>
        <v>4.6200000000000017E-3</v>
      </c>
      <c r="AM59" s="1584">
        <f t="shared" si="12"/>
        <v>5.0400000000000019E-3</v>
      </c>
      <c r="AN59" s="1627"/>
      <c r="AQ59" s="5"/>
      <c r="AR59" s="29"/>
      <c r="AW59"/>
      <c r="AX59"/>
    </row>
    <row r="60" spans="2:54" ht="18.75" customHeight="1">
      <c r="Z60" s="1627"/>
      <c r="AA60" s="69">
        <f t="shared" ref="AA60:AA78" si="13">AA59+1</f>
        <v>2004</v>
      </c>
      <c r="AB60" s="1584">
        <f t="shared" ref="AB60:AB80" si="14">AM59+$AA$58</f>
        <v>5.4600000000000022E-3</v>
      </c>
      <c r="AC60" s="1584">
        <f t="shared" si="11"/>
        <v>5.8800000000000024E-3</v>
      </c>
      <c r="AD60" s="1584">
        <f t="shared" si="12"/>
        <v>6.3000000000000026E-3</v>
      </c>
      <c r="AE60" s="1584">
        <f t="shared" si="12"/>
        <v>6.7200000000000029E-3</v>
      </c>
      <c r="AF60" s="1584">
        <f t="shared" si="12"/>
        <v>7.1400000000000031E-3</v>
      </c>
      <c r="AG60" s="1584">
        <f t="shared" si="12"/>
        <v>7.5600000000000033E-3</v>
      </c>
      <c r="AH60" s="1584">
        <f t="shared" si="12"/>
        <v>7.9800000000000027E-3</v>
      </c>
      <c r="AI60" s="1584">
        <f t="shared" si="12"/>
        <v>8.400000000000003E-3</v>
      </c>
      <c r="AJ60" s="1584">
        <f t="shared" si="12"/>
        <v>8.8200000000000032E-3</v>
      </c>
      <c r="AK60" s="1584">
        <f t="shared" si="12"/>
        <v>9.2400000000000034E-3</v>
      </c>
      <c r="AL60" s="1584">
        <f t="shared" si="12"/>
        <v>9.6600000000000037E-3</v>
      </c>
      <c r="AM60" s="1584">
        <f t="shared" si="12"/>
        <v>1.0080000000000004E-2</v>
      </c>
      <c r="AN60" s="1627"/>
      <c r="AQ60" s="5"/>
      <c r="AR60" s="5"/>
      <c r="AW60"/>
      <c r="AX60"/>
    </row>
    <row r="61" spans="2:54" ht="18.75" customHeight="1">
      <c r="T61" s="5" t="s">
        <v>1176</v>
      </c>
      <c r="Z61" s="1627"/>
      <c r="AA61" s="594">
        <f t="shared" si="13"/>
        <v>2005</v>
      </c>
      <c r="AB61" s="1584">
        <f t="shared" si="14"/>
        <v>1.0500000000000004E-2</v>
      </c>
      <c r="AC61" s="1584">
        <f t="shared" si="11"/>
        <v>1.0920000000000004E-2</v>
      </c>
      <c r="AD61" s="1584">
        <f t="shared" ref="AD61:AM61" si="15">AC61+$AA$58</f>
        <v>1.1340000000000005E-2</v>
      </c>
      <c r="AE61" s="1584">
        <f t="shared" si="15"/>
        <v>1.1760000000000005E-2</v>
      </c>
      <c r="AF61" s="1584">
        <f t="shared" si="15"/>
        <v>1.2180000000000005E-2</v>
      </c>
      <c r="AG61" s="1584">
        <f t="shared" si="15"/>
        <v>1.2600000000000005E-2</v>
      </c>
      <c r="AH61" s="1584">
        <f t="shared" si="15"/>
        <v>1.3020000000000006E-2</v>
      </c>
      <c r="AI61" s="1584">
        <f t="shared" si="15"/>
        <v>1.3440000000000006E-2</v>
      </c>
      <c r="AJ61" s="1584">
        <f t="shared" si="15"/>
        <v>1.3860000000000006E-2</v>
      </c>
      <c r="AK61" s="1584">
        <f t="shared" si="15"/>
        <v>1.4280000000000006E-2</v>
      </c>
      <c r="AL61" s="1584">
        <f t="shared" si="15"/>
        <v>1.4700000000000006E-2</v>
      </c>
      <c r="AM61" s="1584">
        <f t="shared" si="15"/>
        <v>1.5120000000000007E-2</v>
      </c>
      <c r="AN61" s="1627"/>
      <c r="AQ61" s="5"/>
      <c r="AR61" s="5"/>
      <c r="AW61"/>
      <c r="AX61"/>
    </row>
    <row r="62" spans="2:54" ht="18.75" customHeight="1">
      <c r="Z62" s="1627"/>
      <c r="AA62" s="69">
        <f t="shared" si="13"/>
        <v>2006</v>
      </c>
      <c r="AB62" s="1584">
        <f t="shared" si="14"/>
        <v>1.5540000000000007E-2</v>
      </c>
      <c r="AC62" s="1584">
        <f t="shared" si="11"/>
        <v>1.5960000000000005E-2</v>
      </c>
      <c r="AD62" s="1584">
        <f>AC62+$AA$58</f>
        <v>1.6380000000000006E-2</v>
      </c>
      <c r="AE62" s="1584">
        <f>AD62-0.005</f>
        <v>1.1380000000000005E-2</v>
      </c>
      <c r="AF62" s="1584">
        <f>AE62+$AA$58</f>
        <v>1.1800000000000005E-2</v>
      </c>
      <c r="AG62" s="1584">
        <f t="shared" ref="AG62:AM62" si="16">AF62+$AA$58</f>
        <v>1.2220000000000005E-2</v>
      </c>
      <c r="AH62" s="1584">
        <f t="shared" si="16"/>
        <v>1.2640000000000005E-2</v>
      </c>
      <c r="AI62" s="1584">
        <f t="shared" si="16"/>
        <v>1.3060000000000006E-2</v>
      </c>
      <c r="AJ62" s="1584">
        <f t="shared" si="16"/>
        <v>1.3480000000000006E-2</v>
      </c>
      <c r="AK62" s="1584">
        <f t="shared" si="16"/>
        <v>1.3900000000000006E-2</v>
      </c>
      <c r="AL62" s="1584">
        <f t="shared" si="16"/>
        <v>1.4320000000000006E-2</v>
      </c>
      <c r="AM62" s="1584">
        <f t="shared" si="16"/>
        <v>1.4740000000000007E-2</v>
      </c>
      <c r="AN62" s="1627"/>
      <c r="AQ62" s="5"/>
      <c r="AR62" s="5"/>
      <c r="AW62"/>
      <c r="AX62"/>
    </row>
    <row r="63" spans="2:54" ht="18.75" customHeight="1">
      <c r="Z63" s="1627"/>
      <c r="AA63" s="594">
        <f t="shared" si="13"/>
        <v>2007</v>
      </c>
      <c r="AB63" s="1584">
        <f t="shared" si="14"/>
        <v>1.5160000000000007E-2</v>
      </c>
      <c r="AC63" s="1584">
        <f t="shared" si="11"/>
        <v>1.5580000000000007E-2</v>
      </c>
      <c r="AD63" s="1584">
        <f t="shared" ref="AD63:AM63" si="17">AC63+$AA$58</f>
        <v>1.6000000000000007E-2</v>
      </c>
      <c r="AE63" s="1584">
        <f t="shared" si="17"/>
        <v>1.6420000000000008E-2</v>
      </c>
      <c r="AF63" s="1584">
        <f t="shared" si="17"/>
        <v>1.6840000000000008E-2</v>
      </c>
      <c r="AG63" s="1584">
        <f t="shared" si="17"/>
        <v>1.7260000000000008E-2</v>
      </c>
      <c r="AH63" s="1584">
        <f t="shared" si="17"/>
        <v>1.7680000000000008E-2</v>
      </c>
      <c r="AI63" s="1584">
        <f t="shared" si="17"/>
        <v>1.8100000000000008E-2</v>
      </c>
      <c r="AJ63" s="1584">
        <f t="shared" si="17"/>
        <v>1.8520000000000009E-2</v>
      </c>
      <c r="AK63" s="1584">
        <f t="shared" si="17"/>
        <v>1.8940000000000009E-2</v>
      </c>
      <c r="AL63" s="1584">
        <f t="shared" si="17"/>
        <v>1.9360000000000009E-2</v>
      </c>
      <c r="AM63" s="1584">
        <f t="shared" si="17"/>
        <v>1.9780000000000009E-2</v>
      </c>
      <c r="AN63" s="1627"/>
      <c r="AQ63" s="5"/>
      <c r="AR63" s="5"/>
      <c r="AW63"/>
      <c r="AX63"/>
    </row>
    <row r="64" spans="2:54" ht="18.75" customHeight="1">
      <c r="Z64" s="1627"/>
      <c r="AA64" s="69">
        <f t="shared" si="13"/>
        <v>2008</v>
      </c>
      <c r="AB64" s="1584">
        <f t="shared" si="14"/>
        <v>2.020000000000001E-2</v>
      </c>
      <c r="AC64" s="1584">
        <f t="shared" si="11"/>
        <v>2.062000000000001E-2</v>
      </c>
      <c r="AD64" s="1584">
        <f t="shared" ref="AD64:AM64" si="18">AC64+$AA$58</f>
        <v>2.104000000000001E-2</v>
      </c>
      <c r="AE64" s="1584">
        <f t="shared" si="18"/>
        <v>2.146000000000001E-2</v>
      </c>
      <c r="AF64" s="1584">
        <f t="shared" si="18"/>
        <v>2.1880000000000011E-2</v>
      </c>
      <c r="AG64" s="1584">
        <f t="shared" si="18"/>
        <v>2.2300000000000011E-2</v>
      </c>
      <c r="AH64" s="1584">
        <f t="shared" si="18"/>
        <v>2.2720000000000011E-2</v>
      </c>
      <c r="AI64" s="1584">
        <f t="shared" si="18"/>
        <v>2.3140000000000011E-2</v>
      </c>
      <c r="AJ64" s="1584">
        <f t="shared" si="18"/>
        <v>2.3560000000000011E-2</v>
      </c>
      <c r="AK64" s="1584">
        <f t="shared" si="18"/>
        <v>2.3980000000000012E-2</v>
      </c>
      <c r="AL64" s="1584">
        <f t="shared" si="18"/>
        <v>2.4400000000000012E-2</v>
      </c>
      <c r="AM64" s="1584">
        <f t="shared" si="18"/>
        <v>2.4820000000000012E-2</v>
      </c>
      <c r="AN64" s="1627"/>
      <c r="AQ64" s="5"/>
      <c r="AR64" s="5"/>
      <c r="AW64"/>
      <c r="AX64"/>
    </row>
    <row r="65" spans="26:50" ht="18.75" customHeight="1">
      <c r="Z65" s="1627"/>
      <c r="AA65" s="594">
        <f t="shared" si="13"/>
        <v>2009</v>
      </c>
      <c r="AB65" s="1584">
        <f t="shared" si="14"/>
        <v>2.5240000000000012E-2</v>
      </c>
      <c r="AC65" s="1584">
        <f t="shared" si="11"/>
        <v>2.5660000000000013E-2</v>
      </c>
      <c r="AD65" s="1584">
        <f>AC65+$AA$58</f>
        <v>2.6080000000000013E-2</v>
      </c>
      <c r="AE65" s="1584">
        <v>5.0000000000000001E-3</v>
      </c>
      <c r="AF65" s="1584">
        <f>AE65+$AA$58</f>
        <v>5.4200000000000003E-3</v>
      </c>
      <c r="AG65" s="1584">
        <f t="shared" ref="AG65:AM65" si="19">AF65+$AA$58</f>
        <v>5.8400000000000006E-3</v>
      </c>
      <c r="AH65" s="1584">
        <f t="shared" si="19"/>
        <v>6.2600000000000008E-3</v>
      </c>
      <c r="AI65" s="1584">
        <f t="shared" si="19"/>
        <v>6.680000000000001E-3</v>
      </c>
      <c r="AJ65" s="1584">
        <f t="shared" si="19"/>
        <v>7.1000000000000013E-3</v>
      </c>
      <c r="AK65" s="1584">
        <f t="shared" si="19"/>
        <v>7.5200000000000015E-3</v>
      </c>
      <c r="AL65" s="1584">
        <f t="shared" si="19"/>
        <v>7.9400000000000009E-3</v>
      </c>
      <c r="AM65" s="1584">
        <f t="shared" si="19"/>
        <v>8.3600000000000011E-3</v>
      </c>
      <c r="AN65" s="1627"/>
      <c r="AQ65" s="5"/>
      <c r="AR65" s="5"/>
      <c r="AW65"/>
      <c r="AX65"/>
    </row>
    <row r="66" spans="26:50" ht="16.5" customHeight="1">
      <c r="Z66" s="1627"/>
      <c r="AA66" s="69">
        <f t="shared" si="13"/>
        <v>2010</v>
      </c>
      <c r="AB66" s="1584">
        <f t="shared" si="14"/>
        <v>8.7800000000000013E-3</v>
      </c>
      <c r="AC66" s="1584">
        <f t="shared" si="11"/>
        <v>9.2000000000000016E-3</v>
      </c>
      <c r="AD66" s="1584">
        <f t="shared" ref="AD66:AM66" si="20">AC66+$AA$58</f>
        <v>9.6200000000000018E-3</v>
      </c>
      <c r="AE66" s="1584">
        <f t="shared" si="20"/>
        <v>1.0040000000000002E-2</v>
      </c>
      <c r="AF66" s="1584">
        <f t="shared" si="20"/>
        <v>1.0460000000000002E-2</v>
      </c>
      <c r="AG66" s="1584">
        <f t="shared" si="20"/>
        <v>1.0880000000000003E-2</v>
      </c>
      <c r="AH66" s="1584">
        <f t="shared" si="20"/>
        <v>1.1300000000000003E-2</v>
      </c>
      <c r="AI66" s="1584">
        <f t="shared" si="20"/>
        <v>1.1720000000000003E-2</v>
      </c>
      <c r="AJ66" s="1584">
        <f t="shared" si="20"/>
        <v>1.2140000000000003E-2</v>
      </c>
      <c r="AK66" s="1584">
        <f t="shared" si="20"/>
        <v>1.2560000000000003E-2</v>
      </c>
      <c r="AL66" s="1584">
        <f t="shared" si="20"/>
        <v>1.2980000000000004E-2</v>
      </c>
      <c r="AM66" s="1584">
        <f t="shared" si="20"/>
        <v>1.3400000000000004E-2</v>
      </c>
      <c r="AN66" s="1627"/>
      <c r="AQ66" s="5"/>
      <c r="AR66" s="5"/>
      <c r="AW66"/>
      <c r="AX66"/>
    </row>
    <row r="67" spans="26:50" ht="16.5" customHeight="1">
      <c r="Z67" s="1627"/>
      <c r="AA67" s="594">
        <f t="shared" si="13"/>
        <v>2011</v>
      </c>
      <c r="AB67" s="1584">
        <f t="shared" si="14"/>
        <v>1.3820000000000004E-2</v>
      </c>
      <c r="AC67" s="1584">
        <f t="shared" ref="AC67:AM67" si="21">AB67+$AA$58</f>
        <v>1.4240000000000004E-2</v>
      </c>
      <c r="AD67" s="1584">
        <f t="shared" si="21"/>
        <v>1.4660000000000005E-2</v>
      </c>
      <c r="AE67" s="1584">
        <f t="shared" si="21"/>
        <v>1.5080000000000005E-2</v>
      </c>
      <c r="AF67" s="1584">
        <f t="shared" si="21"/>
        <v>1.5500000000000005E-2</v>
      </c>
      <c r="AG67" s="1584">
        <f t="shared" si="21"/>
        <v>1.5920000000000004E-2</v>
      </c>
      <c r="AH67" s="1584">
        <f t="shared" si="21"/>
        <v>1.6340000000000004E-2</v>
      </c>
      <c r="AI67" s="1584">
        <f t="shared" si="21"/>
        <v>1.6760000000000004E-2</v>
      </c>
      <c r="AJ67" s="1584">
        <f t="shared" si="21"/>
        <v>1.7180000000000004E-2</v>
      </c>
      <c r="AK67" s="1584">
        <f t="shared" si="21"/>
        <v>1.7600000000000005E-2</v>
      </c>
      <c r="AL67" s="1584">
        <f t="shared" si="21"/>
        <v>1.8020000000000005E-2</v>
      </c>
      <c r="AM67" s="1584">
        <f t="shared" si="21"/>
        <v>1.8440000000000005E-2</v>
      </c>
      <c r="AN67" s="1627"/>
      <c r="AQ67" s="5"/>
      <c r="AR67" s="5"/>
      <c r="AW67"/>
      <c r="AX67"/>
    </row>
    <row r="68" spans="26:50" ht="16.5" customHeight="1">
      <c r="Z68" s="1627"/>
      <c r="AA68" s="69">
        <f t="shared" si="13"/>
        <v>2012</v>
      </c>
      <c r="AB68" s="1584">
        <f t="shared" si="14"/>
        <v>1.8860000000000005E-2</v>
      </c>
      <c r="AC68" s="1584">
        <f>AB68+$AA$58</f>
        <v>1.9280000000000005E-2</v>
      </c>
      <c r="AD68" s="1584">
        <f>AC68+$AA$58</f>
        <v>1.9700000000000006E-2</v>
      </c>
      <c r="AE68" s="1584">
        <f>AD68-0.005</f>
        <v>1.4700000000000005E-2</v>
      </c>
      <c r="AF68" s="1584">
        <f>AE68+$AA$58</f>
        <v>1.5120000000000005E-2</v>
      </c>
      <c r="AG68" s="1584">
        <f t="shared" ref="AG68:AM68" si="22">AF68+$AA$58</f>
        <v>1.5540000000000005E-2</v>
      </c>
      <c r="AH68" s="1584">
        <f t="shared" si="22"/>
        <v>1.5960000000000005E-2</v>
      </c>
      <c r="AI68" s="1584">
        <f t="shared" si="22"/>
        <v>1.6380000000000006E-2</v>
      </c>
      <c r="AJ68" s="1584">
        <f t="shared" si="22"/>
        <v>1.6800000000000006E-2</v>
      </c>
      <c r="AK68" s="1584">
        <f t="shared" si="22"/>
        <v>1.7220000000000006E-2</v>
      </c>
      <c r="AL68" s="1584">
        <f t="shared" si="22"/>
        <v>1.7640000000000006E-2</v>
      </c>
      <c r="AM68" s="1584">
        <f t="shared" si="22"/>
        <v>1.8060000000000007E-2</v>
      </c>
      <c r="AN68" s="1627"/>
      <c r="AQ68" s="5"/>
      <c r="AR68" s="5"/>
      <c r="AW68"/>
      <c r="AX68"/>
    </row>
    <row r="69" spans="26:50" ht="16.5" customHeight="1">
      <c r="Z69" s="1627"/>
      <c r="AA69" s="594">
        <f t="shared" si="13"/>
        <v>2013</v>
      </c>
      <c r="AB69" s="1584">
        <f t="shared" si="14"/>
        <v>1.8480000000000007E-2</v>
      </c>
      <c r="AC69" s="1584">
        <f>AB69+$AA$58</f>
        <v>1.8900000000000007E-2</v>
      </c>
      <c r="AD69" s="1584">
        <f t="shared" ref="AD69:AM69" si="23">AC69+$AA$58</f>
        <v>1.9320000000000007E-2</v>
      </c>
      <c r="AE69" s="1584">
        <f t="shared" si="23"/>
        <v>1.9740000000000008E-2</v>
      </c>
      <c r="AF69" s="1584">
        <f t="shared" si="23"/>
        <v>2.0160000000000008E-2</v>
      </c>
      <c r="AG69" s="1584">
        <f t="shared" si="23"/>
        <v>2.0580000000000008E-2</v>
      </c>
      <c r="AH69" s="1584">
        <f t="shared" si="23"/>
        <v>2.1000000000000008E-2</v>
      </c>
      <c r="AI69" s="1584">
        <f t="shared" si="23"/>
        <v>2.1420000000000008E-2</v>
      </c>
      <c r="AJ69" s="1584">
        <f t="shared" si="23"/>
        <v>2.1840000000000009E-2</v>
      </c>
      <c r="AK69" s="1584">
        <f t="shared" si="23"/>
        <v>2.2260000000000009E-2</v>
      </c>
      <c r="AL69" s="1584">
        <f t="shared" si="23"/>
        <v>2.2680000000000009E-2</v>
      </c>
      <c r="AM69" s="1584">
        <f t="shared" si="23"/>
        <v>2.3100000000000009E-2</v>
      </c>
      <c r="AN69" s="1627"/>
      <c r="AQ69" s="5"/>
      <c r="AR69" s="5"/>
      <c r="AW69"/>
      <c r="AX69"/>
    </row>
    <row r="70" spans="26:50" ht="16.5" customHeight="1">
      <c r="Z70" s="1627"/>
      <c r="AA70" s="69">
        <f t="shared" si="13"/>
        <v>2014</v>
      </c>
      <c r="AB70" s="1584">
        <f t="shared" si="14"/>
        <v>2.352000000000001E-2</v>
      </c>
      <c r="AC70" s="1584">
        <f>AB70+$AA$58</f>
        <v>2.394000000000001E-2</v>
      </c>
      <c r="AD70" s="1584">
        <f t="shared" ref="AD70:AM70" si="24">AC70+$AA$58</f>
        <v>2.436000000000001E-2</v>
      </c>
      <c r="AE70" s="1584">
        <f t="shared" si="24"/>
        <v>2.478000000000001E-2</v>
      </c>
      <c r="AF70" s="1584">
        <f t="shared" si="24"/>
        <v>2.5200000000000011E-2</v>
      </c>
      <c r="AG70" s="1584">
        <f t="shared" si="24"/>
        <v>2.5620000000000011E-2</v>
      </c>
      <c r="AH70" s="1584">
        <f t="shared" si="24"/>
        <v>2.6040000000000011E-2</v>
      </c>
      <c r="AI70" s="1584">
        <f t="shared" si="24"/>
        <v>2.6460000000000011E-2</v>
      </c>
      <c r="AJ70" s="1584">
        <f t="shared" si="24"/>
        <v>2.6880000000000012E-2</v>
      </c>
      <c r="AK70" s="1584">
        <f t="shared" si="24"/>
        <v>2.7300000000000012E-2</v>
      </c>
      <c r="AL70" s="1584">
        <f t="shared" si="24"/>
        <v>2.7720000000000012E-2</v>
      </c>
      <c r="AM70" s="1584">
        <f t="shared" si="24"/>
        <v>2.8140000000000012E-2</v>
      </c>
      <c r="AN70" s="1627"/>
      <c r="AQ70" s="5"/>
      <c r="AR70" s="5"/>
      <c r="AW70"/>
      <c r="AX70"/>
    </row>
    <row r="71" spans="26:50" ht="16.5" customHeight="1">
      <c r="Z71" s="1627"/>
      <c r="AA71" s="594">
        <f t="shared" si="13"/>
        <v>2015</v>
      </c>
      <c r="AB71" s="1584">
        <f t="shared" si="14"/>
        <v>2.8560000000000012E-2</v>
      </c>
      <c r="AC71" s="1584">
        <f>AB71+$AA$58</f>
        <v>2.8980000000000013E-2</v>
      </c>
      <c r="AD71" s="1584">
        <f>AC71+$AA$58</f>
        <v>2.9400000000000013E-2</v>
      </c>
      <c r="AE71" s="1584">
        <v>5.0000000000000001E-3</v>
      </c>
      <c r="AF71" s="1584">
        <f>AE71+$AA$58</f>
        <v>5.4200000000000003E-3</v>
      </c>
      <c r="AG71" s="1584">
        <f t="shared" ref="AG71:AM71" si="25">AF71+$AA$58</f>
        <v>5.8400000000000006E-3</v>
      </c>
      <c r="AH71" s="1584">
        <f t="shared" si="25"/>
        <v>6.2600000000000008E-3</v>
      </c>
      <c r="AI71" s="1584">
        <f t="shared" si="25"/>
        <v>6.680000000000001E-3</v>
      </c>
      <c r="AJ71" s="1584">
        <f t="shared" si="25"/>
        <v>7.1000000000000013E-3</v>
      </c>
      <c r="AK71" s="1584">
        <f t="shared" si="25"/>
        <v>7.5200000000000015E-3</v>
      </c>
      <c r="AL71" s="1584">
        <f t="shared" si="25"/>
        <v>7.9400000000000009E-3</v>
      </c>
      <c r="AM71" s="1584">
        <f t="shared" si="25"/>
        <v>8.3600000000000011E-3</v>
      </c>
      <c r="AN71" s="1627"/>
      <c r="AQ71" s="5"/>
      <c r="AR71" s="5"/>
      <c r="AW71"/>
      <c r="AX71"/>
    </row>
    <row r="72" spans="26:50" ht="16.5" customHeight="1">
      <c r="Z72" s="1627"/>
      <c r="AA72" s="69">
        <f t="shared" si="13"/>
        <v>2016</v>
      </c>
      <c r="AB72" s="1584">
        <f t="shared" si="14"/>
        <v>8.7800000000000013E-3</v>
      </c>
      <c r="AC72" s="1584">
        <f>AB72+$AA$58</f>
        <v>9.2000000000000016E-3</v>
      </c>
      <c r="AD72" s="1584">
        <f t="shared" ref="AD72:AM72" si="26">AC72+$AA$58</f>
        <v>9.6200000000000018E-3</v>
      </c>
      <c r="AE72" s="1584">
        <f t="shared" si="26"/>
        <v>1.0040000000000002E-2</v>
      </c>
      <c r="AF72" s="1584">
        <f t="shared" si="26"/>
        <v>1.0460000000000002E-2</v>
      </c>
      <c r="AG72" s="1584">
        <f t="shared" si="26"/>
        <v>1.0880000000000003E-2</v>
      </c>
      <c r="AH72" s="1584">
        <f t="shared" si="26"/>
        <v>1.1300000000000003E-2</v>
      </c>
      <c r="AI72" s="1584">
        <f t="shared" si="26"/>
        <v>1.1720000000000003E-2</v>
      </c>
      <c r="AJ72" s="1584">
        <f t="shared" si="26"/>
        <v>1.2140000000000003E-2</v>
      </c>
      <c r="AK72" s="1584">
        <f t="shared" si="26"/>
        <v>1.2560000000000003E-2</v>
      </c>
      <c r="AL72" s="1584">
        <f t="shared" si="26"/>
        <v>1.2980000000000004E-2</v>
      </c>
      <c r="AM72" s="1584">
        <f t="shared" si="26"/>
        <v>1.3400000000000004E-2</v>
      </c>
      <c r="AN72" s="1627"/>
      <c r="AQ72" s="5"/>
      <c r="AR72" s="5"/>
      <c r="AW72"/>
      <c r="AX72"/>
    </row>
    <row r="73" spans="26:50" ht="16.5" customHeight="1">
      <c r="Z73" s="1627"/>
      <c r="AA73" s="594">
        <f t="shared" si="13"/>
        <v>2017</v>
      </c>
      <c r="AB73" s="1584">
        <f t="shared" si="14"/>
        <v>1.3820000000000004E-2</v>
      </c>
      <c r="AC73" s="1584">
        <f t="shared" ref="AC73:AM73" si="27">AB73+$AA$58</f>
        <v>1.4240000000000004E-2</v>
      </c>
      <c r="AD73" s="1584">
        <f t="shared" si="27"/>
        <v>1.4660000000000005E-2</v>
      </c>
      <c r="AE73" s="1584">
        <f t="shared" si="27"/>
        <v>1.5080000000000005E-2</v>
      </c>
      <c r="AF73" s="1584">
        <f t="shared" si="27"/>
        <v>1.5500000000000005E-2</v>
      </c>
      <c r="AG73" s="1584">
        <f t="shared" si="27"/>
        <v>1.5920000000000004E-2</v>
      </c>
      <c r="AH73" s="1584">
        <f t="shared" si="27"/>
        <v>1.6340000000000004E-2</v>
      </c>
      <c r="AI73" s="1584">
        <f t="shared" si="27"/>
        <v>1.6760000000000004E-2</v>
      </c>
      <c r="AJ73" s="1584">
        <f t="shared" si="27"/>
        <v>1.7180000000000004E-2</v>
      </c>
      <c r="AK73" s="1584">
        <f t="shared" si="27"/>
        <v>1.7600000000000005E-2</v>
      </c>
      <c r="AL73" s="1584">
        <f t="shared" si="27"/>
        <v>1.8020000000000005E-2</v>
      </c>
      <c r="AM73" s="1584">
        <f t="shared" si="27"/>
        <v>1.8440000000000005E-2</v>
      </c>
      <c r="AN73" s="1627"/>
      <c r="AQ73" s="5"/>
      <c r="AR73" s="5"/>
      <c r="AW73"/>
      <c r="AX73"/>
    </row>
    <row r="74" spans="26:50" ht="16.5" customHeight="1">
      <c r="Z74" s="1627"/>
      <c r="AA74" s="69">
        <f t="shared" si="13"/>
        <v>2018</v>
      </c>
      <c r="AB74" s="1584">
        <f t="shared" si="14"/>
        <v>1.8860000000000005E-2</v>
      </c>
      <c r="AC74" s="1584">
        <f>AB74+$AA$58</f>
        <v>1.9280000000000005E-2</v>
      </c>
      <c r="AD74" s="1584">
        <f>AC74+$AA$58</f>
        <v>1.9700000000000006E-2</v>
      </c>
      <c r="AE74" s="1584">
        <f>AD74-0.005</f>
        <v>1.4700000000000005E-2</v>
      </c>
      <c r="AF74" s="1584">
        <f>AE74+$AA$58</f>
        <v>1.5120000000000005E-2</v>
      </c>
      <c r="AG74" s="1584">
        <f t="shared" ref="AG74:AM74" si="28">AF74+$AA$58</f>
        <v>1.5540000000000005E-2</v>
      </c>
      <c r="AH74" s="1584">
        <f t="shared" si="28"/>
        <v>1.5960000000000005E-2</v>
      </c>
      <c r="AI74" s="1584">
        <f t="shared" si="28"/>
        <v>1.6380000000000006E-2</v>
      </c>
      <c r="AJ74" s="1584">
        <f t="shared" si="28"/>
        <v>1.6800000000000006E-2</v>
      </c>
      <c r="AK74" s="1584">
        <f t="shared" si="28"/>
        <v>1.7220000000000006E-2</v>
      </c>
      <c r="AL74" s="1584">
        <f t="shared" si="28"/>
        <v>1.7640000000000006E-2</v>
      </c>
      <c r="AM74" s="1584">
        <f t="shared" si="28"/>
        <v>1.8060000000000007E-2</v>
      </c>
      <c r="AN74" s="1627"/>
      <c r="AQ74" s="5"/>
      <c r="AR74" s="5"/>
      <c r="AW74"/>
      <c r="AX74"/>
    </row>
    <row r="75" spans="26:50" ht="16.5" customHeight="1">
      <c r="Z75" s="1627"/>
      <c r="AA75" s="594">
        <f t="shared" si="13"/>
        <v>2019</v>
      </c>
      <c r="AB75" s="1584">
        <f t="shared" si="14"/>
        <v>1.8480000000000007E-2</v>
      </c>
      <c r="AC75" s="1584">
        <f>AB75+$AA$58</f>
        <v>1.8900000000000007E-2</v>
      </c>
      <c r="AD75" s="1584">
        <f t="shared" ref="AD75:AM75" si="29">AC75+$AA$58</f>
        <v>1.9320000000000007E-2</v>
      </c>
      <c r="AE75" s="1584">
        <f t="shared" si="29"/>
        <v>1.9740000000000008E-2</v>
      </c>
      <c r="AF75" s="1584">
        <f t="shared" si="29"/>
        <v>2.0160000000000008E-2</v>
      </c>
      <c r="AG75" s="1584">
        <f t="shared" si="29"/>
        <v>2.0580000000000008E-2</v>
      </c>
      <c r="AH75" s="1584">
        <f t="shared" si="29"/>
        <v>2.1000000000000008E-2</v>
      </c>
      <c r="AI75" s="1584">
        <f t="shared" si="29"/>
        <v>2.1420000000000008E-2</v>
      </c>
      <c r="AJ75" s="1584">
        <f t="shared" si="29"/>
        <v>2.1840000000000009E-2</v>
      </c>
      <c r="AK75" s="1584">
        <f t="shared" si="29"/>
        <v>2.2260000000000009E-2</v>
      </c>
      <c r="AL75" s="1584">
        <f t="shared" si="29"/>
        <v>2.2680000000000009E-2</v>
      </c>
      <c r="AM75" s="1584">
        <f t="shared" si="29"/>
        <v>2.3100000000000009E-2</v>
      </c>
      <c r="AN75" s="1627"/>
      <c r="AQ75" s="5"/>
      <c r="AR75" s="5"/>
      <c r="AW75"/>
      <c r="AX75"/>
    </row>
    <row r="76" spans="26:50" ht="16.5" customHeight="1">
      <c r="Z76" s="1627"/>
      <c r="AA76" s="69">
        <f t="shared" si="13"/>
        <v>2020</v>
      </c>
      <c r="AB76" s="1584">
        <f t="shared" si="14"/>
        <v>2.352000000000001E-2</v>
      </c>
      <c r="AC76" s="1584">
        <f>AB76+$AA$58</f>
        <v>2.394000000000001E-2</v>
      </c>
      <c r="AD76" s="1584">
        <f t="shared" ref="AD76:AM76" si="30">AC76+$AA$58</f>
        <v>2.436000000000001E-2</v>
      </c>
      <c r="AE76" s="1584">
        <f t="shared" si="30"/>
        <v>2.478000000000001E-2</v>
      </c>
      <c r="AF76" s="1584">
        <f t="shared" si="30"/>
        <v>2.5200000000000011E-2</v>
      </c>
      <c r="AG76" s="1584">
        <f t="shared" si="30"/>
        <v>2.5620000000000011E-2</v>
      </c>
      <c r="AH76" s="1584">
        <f t="shared" si="30"/>
        <v>2.6040000000000011E-2</v>
      </c>
      <c r="AI76" s="1584">
        <f t="shared" si="30"/>
        <v>2.6460000000000011E-2</v>
      </c>
      <c r="AJ76" s="1584">
        <f t="shared" si="30"/>
        <v>2.6880000000000012E-2</v>
      </c>
      <c r="AK76" s="1584">
        <f t="shared" si="30"/>
        <v>2.7300000000000012E-2</v>
      </c>
      <c r="AL76" s="1584">
        <f t="shared" si="30"/>
        <v>2.7720000000000012E-2</v>
      </c>
      <c r="AM76" s="1584">
        <f t="shared" si="30"/>
        <v>2.8140000000000012E-2</v>
      </c>
      <c r="AN76" s="1627"/>
      <c r="AQ76" s="5"/>
      <c r="AR76" s="5"/>
      <c r="AW76"/>
      <c r="AX76"/>
    </row>
    <row r="77" spans="26:50" ht="16.5" customHeight="1">
      <c r="Z77" s="1627"/>
      <c r="AA77" s="69">
        <f t="shared" si="13"/>
        <v>2021</v>
      </c>
      <c r="AB77" s="1584">
        <f t="shared" si="14"/>
        <v>2.8560000000000012E-2</v>
      </c>
      <c r="AC77" s="1584">
        <f>AB77+$AA$58</f>
        <v>2.8980000000000013E-2</v>
      </c>
      <c r="AD77" s="1584">
        <f>AC77+$AA$58</f>
        <v>2.9400000000000013E-2</v>
      </c>
      <c r="AE77" s="1584">
        <v>5.0000000000000001E-3</v>
      </c>
      <c r="AF77" s="1584">
        <f>AE77+$AA$58</f>
        <v>5.4200000000000003E-3</v>
      </c>
      <c r="AG77" s="1584">
        <f t="shared" ref="AG77:AM77" si="31">AF77+$AA$58</f>
        <v>5.8400000000000006E-3</v>
      </c>
      <c r="AH77" s="1584">
        <f t="shared" si="31"/>
        <v>6.2600000000000008E-3</v>
      </c>
      <c r="AI77" s="1584">
        <f t="shared" si="31"/>
        <v>6.680000000000001E-3</v>
      </c>
      <c r="AJ77" s="1584">
        <f t="shared" si="31"/>
        <v>7.1000000000000013E-3</v>
      </c>
      <c r="AK77" s="1584">
        <f t="shared" si="31"/>
        <v>7.5200000000000015E-3</v>
      </c>
      <c r="AL77" s="1584">
        <f t="shared" si="31"/>
        <v>7.9400000000000009E-3</v>
      </c>
      <c r="AM77" s="1584">
        <f t="shared" si="31"/>
        <v>8.3600000000000011E-3</v>
      </c>
      <c r="AN77" s="1627"/>
      <c r="AQ77" s="5"/>
      <c r="AR77" s="5"/>
      <c r="AW77"/>
      <c r="AX77"/>
    </row>
    <row r="78" spans="26:50" ht="16.5" customHeight="1">
      <c r="Z78" s="1627"/>
      <c r="AA78" s="69">
        <f t="shared" si="13"/>
        <v>2022</v>
      </c>
      <c r="AB78" s="1584">
        <f t="shared" si="14"/>
        <v>8.7800000000000013E-3</v>
      </c>
      <c r="AC78" s="1584">
        <f>AB78+$AA$58</f>
        <v>9.2000000000000016E-3</v>
      </c>
      <c r="AD78" s="1584">
        <f t="shared" ref="AD78:AM78" si="32">AC78+$AA$58</f>
        <v>9.6200000000000018E-3</v>
      </c>
      <c r="AE78" s="1584">
        <f t="shared" si="32"/>
        <v>1.0040000000000002E-2</v>
      </c>
      <c r="AF78" s="1584">
        <f t="shared" si="32"/>
        <v>1.0460000000000002E-2</v>
      </c>
      <c r="AG78" s="1584">
        <f t="shared" si="32"/>
        <v>1.0880000000000003E-2</v>
      </c>
      <c r="AH78" s="1584">
        <f t="shared" si="32"/>
        <v>1.1300000000000003E-2</v>
      </c>
      <c r="AI78" s="1584">
        <f t="shared" si="32"/>
        <v>1.1720000000000003E-2</v>
      </c>
      <c r="AJ78" s="1584">
        <f t="shared" si="32"/>
        <v>1.2140000000000003E-2</v>
      </c>
      <c r="AK78" s="1584">
        <f t="shared" si="32"/>
        <v>1.2560000000000003E-2</v>
      </c>
      <c r="AL78" s="1584">
        <f t="shared" si="32"/>
        <v>1.2980000000000004E-2</v>
      </c>
      <c r="AM78" s="1584">
        <f t="shared" si="32"/>
        <v>1.3400000000000004E-2</v>
      </c>
      <c r="AN78" s="1627"/>
      <c r="AQ78" s="5"/>
      <c r="AR78" s="5"/>
      <c r="AW78"/>
      <c r="AX78"/>
    </row>
    <row r="79" spans="26:50" ht="16.5" customHeight="1">
      <c r="Z79" s="1627"/>
      <c r="AA79" s="69">
        <f>AA78+1</f>
        <v>2023</v>
      </c>
      <c r="AB79" s="1584">
        <f t="shared" si="14"/>
        <v>1.3820000000000004E-2</v>
      </c>
      <c r="AC79" s="1584">
        <f t="shared" ref="AC79:AM79" si="33">AB79+$AA$58</f>
        <v>1.4240000000000004E-2</v>
      </c>
      <c r="AD79" s="1584">
        <f t="shared" si="33"/>
        <v>1.4660000000000005E-2</v>
      </c>
      <c r="AE79" s="1584">
        <f t="shared" si="33"/>
        <v>1.5080000000000005E-2</v>
      </c>
      <c r="AF79" s="1584">
        <f t="shared" si="33"/>
        <v>1.5500000000000005E-2</v>
      </c>
      <c r="AG79" s="1584">
        <f t="shared" si="33"/>
        <v>1.5920000000000004E-2</v>
      </c>
      <c r="AH79" s="1584">
        <f t="shared" si="33"/>
        <v>1.6340000000000004E-2</v>
      </c>
      <c r="AI79" s="1584">
        <f t="shared" si="33"/>
        <v>1.6760000000000004E-2</v>
      </c>
      <c r="AJ79" s="1584">
        <f t="shared" si="33"/>
        <v>1.7180000000000004E-2</v>
      </c>
      <c r="AK79" s="1584">
        <f t="shared" si="33"/>
        <v>1.7600000000000005E-2</v>
      </c>
      <c r="AL79" s="1584">
        <f t="shared" si="33"/>
        <v>1.8020000000000005E-2</v>
      </c>
      <c r="AM79" s="1584">
        <f t="shared" si="33"/>
        <v>1.8440000000000005E-2</v>
      </c>
      <c r="AN79" s="1627"/>
      <c r="AQ79" s="5"/>
      <c r="AR79" s="5"/>
      <c r="AW79"/>
      <c r="AX79"/>
    </row>
    <row r="80" spans="26:50" ht="16.5" customHeight="1">
      <c r="Z80" s="1627"/>
      <c r="AA80" s="69">
        <f>AA79+1</f>
        <v>2024</v>
      </c>
      <c r="AB80" s="1584">
        <f t="shared" si="14"/>
        <v>1.8860000000000005E-2</v>
      </c>
      <c r="AC80" s="1584">
        <f>AB80+$AA$58</f>
        <v>1.9280000000000005E-2</v>
      </c>
      <c r="AD80" s="1584">
        <f>AC80+$AA$58</f>
        <v>1.9700000000000006E-2</v>
      </c>
      <c r="AE80" s="1584">
        <f>AD80-0.005</f>
        <v>1.4700000000000005E-2</v>
      </c>
      <c r="AF80" s="1584">
        <f>AE80+$AA$58</f>
        <v>1.5120000000000005E-2</v>
      </c>
      <c r="AG80" s="1584">
        <f t="shared" ref="AG80:AM80" si="34">AF80+$AA$58</f>
        <v>1.5540000000000005E-2</v>
      </c>
      <c r="AH80" s="1584">
        <f t="shared" si="34"/>
        <v>1.5960000000000005E-2</v>
      </c>
      <c r="AI80" s="1584">
        <f t="shared" si="34"/>
        <v>1.6380000000000006E-2</v>
      </c>
      <c r="AJ80" s="1584">
        <f t="shared" si="34"/>
        <v>1.6800000000000006E-2</v>
      </c>
      <c r="AK80" s="1584">
        <f t="shared" si="34"/>
        <v>1.7220000000000006E-2</v>
      </c>
      <c r="AL80" s="1584">
        <f t="shared" si="34"/>
        <v>1.7640000000000006E-2</v>
      </c>
      <c r="AM80" s="1584">
        <f t="shared" si="34"/>
        <v>1.8060000000000007E-2</v>
      </c>
      <c r="AN80" s="1627"/>
      <c r="AQ80" s="5"/>
      <c r="AR80" s="5"/>
      <c r="AW80"/>
      <c r="AX80"/>
    </row>
    <row r="81" spans="22:50" ht="16.5" customHeight="1">
      <c r="Z81" s="370"/>
      <c r="AA81" s="370"/>
      <c r="AB81" s="370"/>
      <c r="AC81" s="370"/>
      <c r="AD81" s="370"/>
      <c r="AE81" s="370"/>
      <c r="AF81" s="370"/>
      <c r="AG81" s="370"/>
      <c r="AH81" s="370"/>
      <c r="AI81" s="370"/>
      <c r="AJ81" s="370"/>
      <c r="AK81" s="370"/>
      <c r="AL81" s="370"/>
      <c r="AM81" s="370"/>
      <c r="AN81" s="370"/>
      <c r="AQ81" s="5"/>
      <c r="AR81" s="5"/>
      <c r="AW81"/>
      <c r="AX81"/>
    </row>
    <row r="82" spans="22:50" ht="16.5" customHeight="1">
      <c r="V82" s="1428"/>
      <c r="W82" s="1428"/>
      <c r="X82" s="1428"/>
      <c r="Y82" s="1428"/>
      <c r="Z82" s="370"/>
      <c r="AA82" s="1775" t="s">
        <v>1196</v>
      </c>
      <c r="AB82" s="370"/>
      <c r="AC82" s="370"/>
      <c r="AD82" s="370"/>
      <c r="AE82" s="370"/>
      <c r="AF82" s="370"/>
      <c r="AG82" s="1775" t="s">
        <v>1197</v>
      </c>
      <c r="AH82" s="370"/>
      <c r="AI82" s="370"/>
      <c r="AJ82" s="370"/>
      <c r="AK82" s="370"/>
      <c r="AL82" s="370"/>
      <c r="AM82" s="370"/>
      <c r="AN82" s="370"/>
      <c r="AQ82" s="5"/>
      <c r="AR82" s="5"/>
      <c r="AW82"/>
      <c r="AX82"/>
    </row>
    <row r="83" spans="22:50" ht="16.5" customHeight="1">
      <c r="V83" s="1428"/>
      <c r="W83" s="1428"/>
      <c r="X83" s="1428"/>
      <c r="Y83" s="1428"/>
      <c r="Z83" s="370"/>
      <c r="AA83" s="594"/>
      <c r="AB83" s="1584" t="s">
        <v>360</v>
      </c>
      <c r="AC83" s="1584" t="s">
        <v>344</v>
      </c>
      <c r="AD83" s="370"/>
      <c r="AE83" s="370"/>
      <c r="AF83" s="370"/>
      <c r="AG83" s="594"/>
      <c r="AH83" s="1584" t="s">
        <v>360</v>
      </c>
      <c r="AI83" s="1584" t="s">
        <v>344</v>
      </c>
      <c r="AJ83" s="370"/>
      <c r="AK83" s="370"/>
      <c r="AL83" s="370"/>
      <c r="AM83" s="370"/>
      <c r="AN83" s="370"/>
      <c r="AQ83" s="5"/>
      <c r="AR83" s="5"/>
      <c r="AV83"/>
      <c r="AW83"/>
      <c r="AX83"/>
    </row>
    <row r="84" spans="22:50" ht="16.5" customHeight="1">
      <c r="V84" s="29"/>
      <c r="W84" s="29"/>
      <c r="X84" s="29"/>
      <c r="Y84" s="29"/>
      <c r="Z84" s="370"/>
      <c r="AA84" s="594">
        <v>1</v>
      </c>
      <c r="AB84" s="1584">
        <v>0</v>
      </c>
      <c r="AC84" s="1584">
        <v>0</v>
      </c>
      <c r="AD84" s="370"/>
      <c r="AE84" s="370"/>
      <c r="AF84" s="370"/>
      <c r="AG84" s="594">
        <v>1</v>
      </c>
      <c r="AH84" s="1584">
        <v>0</v>
      </c>
      <c r="AI84" s="1584">
        <v>0</v>
      </c>
      <c r="AJ84" s="370"/>
      <c r="AK84" s="370"/>
      <c r="AL84" s="370"/>
      <c r="AM84" s="370"/>
      <c r="AN84" s="370"/>
      <c r="AQ84" s="5"/>
      <c r="AR84" s="5"/>
      <c r="AV84"/>
      <c r="AW84"/>
      <c r="AX84"/>
    </row>
    <row r="85" spans="22:50" ht="16.5" customHeight="1">
      <c r="V85" s="29"/>
      <c r="W85" s="29"/>
      <c r="X85" s="29"/>
      <c r="Y85" s="29"/>
      <c r="Z85" s="370"/>
      <c r="AA85" s="69">
        <v>2</v>
      </c>
      <c r="AB85" s="1584">
        <v>0</v>
      </c>
      <c r="AC85" s="1584">
        <v>0</v>
      </c>
      <c r="AD85" s="370"/>
      <c r="AE85" s="370"/>
      <c r="AF85" s="370"/>
      <c r="AG85" s="69">
        <v>2</v>
      </c>
      <c r="AH85" s="1584">
        <v>0</v>
      </c>
      <c r="AI85" s="1584">
        <v>0</v>
      </c>
      <c r="AJ85" s="370"/>
      <c r="AK85" s="370"/>
      <c r="AL85" s="370"/>
      <c r="AM85" s="370"/>
      <c r="AN85" s="370"/>
      <c r="AQ85" s="5"/>
      <c r="AR85" s="5"/>
      <c r="AV85"/>
      <c r="AW85"/>
      <c r="AX85"/>
    </row>
    <row r="86" spans="22:50" ht="16.5" customHeight="1">
      <c r="V86" s="29"/>
      <c r="W86" s="29"/>
      <c r="X86" s="29"/>
      <c r="Y86" s="29"/>
      <c r="Z86" s="370"/>
      <c r="AA86" s="594">
        <v>3</v>
      </c>
      <c r="AB86" s="1584">
        <v>0</v>
      </c>
      <c r="AC86" s="1584">
        <v>0</v>
      </c>
      <c r="AD86" s="370"/>
      <c r="AE86" s="370"/>
      <c r="AF86" s="370"/>
      <c r="AG86" s="594">
        <v>3</v>
      </c>
      <c r="AH86" s="1584">
        <v>0</v>
      </c>
      <c r="AI86" s="1584">
        <v>0</v>
      </c>
      <c r="AJ86" s="370"/>
      <c r="AK86" s="370"/>
      <c r="AL86" s="370"/>
      <c r="AM86" s="370"/>
      <c r="AN86" s="370"/>
      <c r="AQ86" s="5"/>
      <c r="AR86" s="5"/>
      <c r="AV86"/>
      <c r="AW86"/>
      <c r="AX86"/>
    </row>
    <row r="87" spans="22:50" ht="16.5" customHeight="1">
      <c r="V87" s="29"/>
      <c r="W87" s="29"/>
      <c r="X87" s="29"/>
      <c r="Y87" s="29"/>
      <c r="Z87" s="370"/>
      <c r="AA87" s="69">
        <v>4</v>
      </c>
      <c r="AB87" s="1584">
        <v>0</v>
      </c>
      <c r="AC87" s="1584">
        <v>0</v>
      </c>
      <c r="AD87" s="370"/>
      <c r="AE87" s="370"/>
      <c r="AF87" s="370"/>
      <c r="AG87" s="69">
        <v>4</v>
      </c>
      <c r="AH87" s="1584">
        <v>0</v>
      </c>
      <c r="AI87" s="1584">
        <v>0</v>
      </c>
      <c r="AJ87" s="370"/>
      <c r="AK87" s="370"/>
      <c r="AL87" s="370"/>
      <c r="AM87" s="370"/>
      <c r="AN87" s="370"/>
      <c r="AQ87" s="5"/>
      <c r="AR87" s="5"/>
      <c r="AV87"/>
      <c r="AW87"/>
      <c r="AX87"/>
    </row>
    <row r="88" spans="22:50">
      <c r="V88" s="29"/>
      <c r="W88" s="29"/>
      <c r="X88" s="29"/>
      <c r="Y88" s="29"/>
      <c r="Z88" s="370"/>
      <c r="AA88" s="594">
        <v>5</v>
      </c>
      <c r="AB88" s="1584">
        <v>0</v>
      </c>
      <c r="AC88" s="1584">
        <v>0</v>
      </c>
      <c r="AD88" s="370"/>
      <c r="AE88" s="370"/>
      <c r="AF88" s="370"/>
      <c r="AG88" s="594">
        <v>5</v>
      </c>
      <c r="AH88" s="1584">
        <v>0</v>
      </c>
      <c r="AI88" s="1584">
        <v>0</v>
      </c>
      <c r="AJ88" s="370"/>
      <c r="AK88" s="370"/>
      <c r="AL88" s="370"/>
      <c r="AM88" s="370"/>
      <c r="AN88" s="370"/>
      <c r="AQ88" s="5"/>
      <c r="AR88" s="5"/>
      <c r="AV88"/>
      <c r="AW88"/>
      <c r="AX88"/>
    </row>
    <row r="89" spans="22:50">
      <c r="V89" s="29"/>
      <c r="W89" s="29"/>
      <c r="X89" s="29"/>
      <c r="Y89" s="29"/>
      <c r="Z89" s="370"/>
      <c r="AA89" s="69">
        <v>6</v>
      </c>
      <c r="AB89" s="1584">
        <v>0</v>
      </c>
      <c r="AC89" s="1584">
        <v>0</v>
      </c>
      <c r="AD89" s="370"/>
      <c r="AE89" s="370"/>
      <c r="AF89" s="370"/>
      <c r="AG89" s="69">
        <v>6</v>
      </c>
      <c r="AH89" s="1584">
        <v>0</v>
      </c>
      <c r="AI89" s="1584">
        <v>0</v>
      </c>
      <c r="AJ89" s="370"/>
      <c r="AK89" s="370"/>
      <c r="AL89" s="370"/>
      <c r="AM89" s="370"/>
      <c r="AN89" s="370"/>
      <c r="AQ89" s="5"/>
      <c r="AR89" s="5"/>
      <c r="AV89"/>
      <c r="AW89"/>
      <c r="AX89"/>
    </row>
    <row r="90" spans="22:50">
      <c r="V90" s="29"/>
      <c r="W90" s="29"/>
      <c r="X90" s="29"/>
      <c r="Y90" s="29"/>
      <c r="Z90" s="370"/>
      <c r="AA90" s="594">
        <v>7</v>
      </c>
      <c r="AB90" s="1584">
        <v>0</v>
      </c>
      <c r="AC90" s="1584">
        <v>0</v>
      </c>
      <c r="AD90" s="370"/>
      <c r="AE90" s="370"/>
      <c r="AF90" s="370"/>
      <c r="AG90" s="594">
        <v>7</v>
      </c>
      <c r="AH90" s="1584">
        <v>0</v>
      </c>
      <c r="AI90" s="1584">
        <v>0</v>
      </c>
      <c r="AJ90" s="370"/>
      <c r="AK90" s="370"/>
      <c r="AL90" s="370"/>
      <c r="AM90" s="370"/>
      <c r="AN90" s="370"/>
      <c r="AQ90" s="5"/>
      <c r="AR90" s="5"/>
      <c r="AV90"/>
      <c r="AW90"/>
      <c r="AX90"/>
    </row>
    <row r="91" spans="22:50" ht="16.5" customHeight="1">
      <c r="V91" s="29"/>
      <c r="W91" s="29"/>
      <c r="X91" s="29"/>
      <c r="Y91" s="29"/>
      <c r="Z91" s="370"/>
      <c r="AA91" s="69">
        <v>8</v>
      </c>
      <c r="AB91" s="1584">
        <v>0</v>
      </c>
      <c r="AC91" s="1584">
        <v>0</v>
      </c>
      <c r="AD91" s="370"/>
      <c r="AE91" s="370"/>
      <c r="AF91" s="370"/>
      <c r="AG91" s="69">
        <v>8</v>
      </c>
      <c r="AH91" s="1584">
        <v>0</v>
      </c>
      <c r="AI91" s="1584">
        <v>0</v>
      </c>
      <c r="AJ91" s="370"/>
      <c r="AK91" s="370"/>
      <c r="AL91" s="370"/>
      <c r="AM91" s="370"/>
      <c r="AN91" s="370"/>
      <c r="AQ91" s="5"/>
      <c r="AR91" s="5"/>
      <c r="AV91"/>
      <c r="AW91"/>
      <c r="AX91"/>
    </row>
    <row r="92" spans="22:50" ht="16.5" customHeight="1">
      <c r="V92" s="29"/>
      <c r="W92" s="29"/>
      <c r="X92" s="29"/>
      <c r="Y92" s="29"/>
      <c r="Z92" s="370"/>
      <c r="AA92" s="594">
        <v>9</v>
      </c>
      <c r="AB92" s="1584">
        <v>0</v>
      </c>
      <c r="AC92" s="1584">
        <v>0</v>
      </c>
      <c r="AD92" s="370"/>
      <c r="AE92" s="370"/>
      <c r="AF92" s="370"/>
      <c r="AG92" s="594">
        <v>9</v>
      </c>
      <c r="AH92" s="1584">
        <v>0</v>
      </c>
      <c r="AI92" s="1584">
        <v>0</v>
      </c>
      <c r="AJ92" s="370"/>
      <c r="AK92" s="370"/>
      <c r="AL92" s="370"/>
      <c r="AM92" s="370"/>
      <c r="AN92" s="370"/>
      <c r="AQ92" s="5"/>
      <c r="AR92" s="5"/>
      <c r="AV92"/>
      <c r="AW92"/>
      <c r="AX92"/>
    </row>
    <row r="93" spans="22:50">
      <c r="Z93" s="370"/>
      <c r="AA93" s="69">
        <v>10</v>
      </c>
      <c r="AB93" s="1584">
        <v>0</v>
      </c>
      <c r="AC93" s="1584">
        <v>0</v>
      </c>
      <c r="AD93" s="370"/>
      <c r="AE93" s="370"/>
      <c r="AF93" s="370"/>
      <c r="AG93" s="69">
        <v>10</v>
      </c>
      <c r="AH93" s="1584">
        <v>0</v>
      </c>
      <c r="AI93" s="1584">
        <v>0</v>
      </c>
      <c r="AJ93" s="370"/>
      <c r="AK93" s="370"/>
      <c r="AL93" s="370"/>
      <c r="AM93" s="370"/>
      <c r="AN93" s="370"/>
      <c r="AQ93" s="5"/>
      <c r="AR93" s="5"/>
      <c r="AV93"/>
      <c r="AW93"/>
      <c r="AX93"/>
    </row>
    <row r="94" spans="22:50">
      <c r="Z94" s="370"/>
      <c r="AA94" s="594">
        <v>11</v>
      </c>
      <c r="AB94" s="1584">
        <v>0</v>
      </c>
      <c r="AC94" s="1584">
        <v>0</v>
      </c>
      <c r="AD94" s="370"/>
      <c r="AE94" s="370"/>
      <c r="AF94" s="370"/>
      <c r="AG94" s="594">
        <v>11</v>
      </c>
      <c r="AH94" s="1584">
        <v>0</v>
      </c>
      <c r="AI94" s="1584">
        <v>0</v>
      </c>
      <c r="AJ94" s="370"/>
      <c r="AK94" s="370"/>
      <c r="AL94" s="370"/>
      <c r="AM94" s="370"/>
      <c r="AN94" s="370"/>
      <c r="AQ94" s="5"/>
      <c r="AR94" s="5"/>
      <c r="AV94"/>
      <c r="AW94"/>
      <c r="AX94"/>
    </row>
    <row r="95" spans="22:50">
      <c r="Z95" s="370"/>
      <c r="AA95" s="69">
        <v>12</v>
      </c>
      <c r="AB95" s="1584">
        <v>0</v>
      </c>
      <c r="AC95" s="1584">
        <v>0</v>
      </c>
      <c r="AD95" s="370"/>
      <c r="AE95" s="370"/>
      <c r="AF95" s="370"/>
      <c r="AG95" s="69">
        <v>12</v>
      </c>
      <c r="AH95" s="1584">
        <v>0</v>
      </c>
      <c r="AI95" s="1584">
        <v>0</v>
      </c>
      <c r="AJ95" s="370"/>
      <c r="AK95" s="370"/>
      <c r="AL95" s="370"/>
      <c r="AM95" s="370"/>
      <c r="AN95" s="370"/>
      <c r="AQ95" s="5"/>
      <c r="AR95" s="5"/>
      <c r="AV95"/>
      <c r="AW95"/>
      <c r="AX95"/>
    </row>
    <row r="96" spans="22:50">
      <c r="Z96" s="370"/>
      <c r="AA96" s="370"/>
      <c r="AB96" s="370"/>
      <c r="AC96" s="370"/>
      <c r="AD96" s="370"/>
      <c r="AE96" s="370"/>
      <c r="AF96" s="370"/>
      <c r="AG96" s="370"/>
      <c r="AH96" s="370"/>
      <c r="AI96" s="370"/>
      <c r="AJ96" s="370"/>
      <c r="AK96" s="370"/>
      <c r="AL96" s="370"/>
      <c r="AM96" s="370"/>
      <c r="AN96" s="370"/>
      <c r="AQ96" s="5"/>
      <c r="AR96" s="5"/>
      <c r="AV96"/>
      <c r="AW96"/>
      <c r="AX96"/>
    </row>
    <row r="97" spans="2:49">
      <c r="Z97" s="370"/>
      <c r="AA97" s="370"/>
      <c r="AB97" s="370"/>
      <c r="AC97" s="370"/>
      <c r="AD97" s="370"/>
      <c r="AE97" s="370"/>
      <c r="AF97" s="370"/>
      <c r="AG97" s="370"/>
      <c r="AH97" s="370"/>
      <c r="AI97" s="370"/>
      <c r="AJ97" s="370"/>
      <c r="AK97" s="370"/>
      <c r="AL97" s="370"/>
      <c r="AM97" s="370"/>
      <c r="AN97" s="370"/>
      <c r="AQ97" s="5"/>
      <c r="AR97" s="5"/>
      <c r="AS97" s="1423"/>
      <c r="AT97" s="1423"/>
      <c r="AU97" s="1423"/>
      <c r="AV97" s="547"/>
      <c r="AW97" s="547"/>
    </row>
    <row r="98" spans="2:49">
      <c r="Z98" s="370"/>
      <c r="AA98" s="370"/>
      <c r="AB98" s="370"/>
      <c r="AC98" s="370"/>
      <c r="AD98" s="370"/>
      <c r="AE98" s="370"/>
      <c r="AF98" s="370"/>
      <c r="AG98" s="370"/>
      <c r="AH98" s="370"/>
      <c r="AI98" s="370"/>
      <c r="AJ98" s="370"/>
      <c r="AK98" s="370"/>
      <c r="AL98" s="370"/>
      <c r="AM98" s="370"/>
      <c r="AN98" s="370"/>
      <c r="AQ98" s="5"/>
      <c r="AR98" s="5"/>
      <c r="AS98" s="1423"/>
      <c r="AT98" s="1423"/>
      <c r="AU98" s="1423"/>
      <c r="AV98" s="547"/>
      <c r="AW98" s="547"/>
    </row>
    <row r="99" spans="2:49">
      <c r="Z99" s="370"/>
      <c r="AA99" s="370"/>
      <c r="AB99" s="370"/>
      <c r="AC99" s="370"/>
      <c r="AD99" s="370"/>
      <c r="AE99" s="370"/>
      <c r="AF99" s="370"/>
      <c r="AG99" s="370"/>
      <c r="AH99" s="370"/>
      <c r="AI99" s="370"/>
      <c r="AJ99" s="370"/>
      <c r="AK99" s="370"/>
      <c r="AL99" s="370"/>
      <c r="AM99" s="370"/>
      <c r="AN99" s="370"/>
      <c r="AQ99" s="5"/>
      <c r="AR99" s="5"/>
      <c r="AS99" s="1423"/>
      <c r="AT99" s="1423"/>
      <c r="AU99" s="1423"/>
      <c r="AV99" s="547"/>
      <c r="AW99" s="547"/>
    </row>
    <row r="100" spans="2:49">
      <c r="V100" s="29"/>
      <c r="W100" s="29"/>
      <c r="X100" s="29"/>
      <c r="Y100" s="29"/>
      <c r="Z100" s="29"/>
      <c r="AA100" s="29"/>
      <c r="AB100" s="29"/>
      <c r="AC100" s="29"/>
      <c r="AD100" s="29"/>
      <c r="AE100" s="29"/>
      <c r="AF100" s="29"/>
      <c r="AG100" s="29"/>
      <c r="AH100" s="29"/>
      <c r="AI100" s="29"/>
      <c r="AJ100" s="29"/>
      <c r="AK100" s="29"/>
      <c r="AL100" s="29"/>
      <c r="AM100" s="29"/>
      <c r="AN100" s="29"/>
      <c r="AS100"/>
      <c r="AT100"/>
      <c r="AU100" s="547"/>
      <c r="AV100" s="547"/>
      <c r="AW100" s="547"/>
    </row>
    <row r="101" spans="2:49">
      <c r="F101" s="1423"/>
      <c r="V101" s="29"/>
      <c r="W101" s="29"/>
      <c r="X101" s="29"/>
      <c r="Y101" s="29"/>
      <c r="Z101" s="29"/>
      <c r="AA101" s="29"/>
      <c r="AB101" s="29"/>
      <c r="AC101" s="29"/>
      <c r="AD101" s="29"/>
      <c r="AE101" s="29"/>
      <c r="AF101" s="29"/>
      <c r="AG101" s="29"/>
      <c r="AH101" s="29"/>
      <c r="AI101" s="29"/>
      <c r="AJ101" s="29"/>
      <c r="AK101" s="29"/>
      <c r="AL101" s="29"/>
      <c r="AM101" s="29"/>
      <c r="AN101" s="29"/>
      <c r="AS101"/>
      <c r="AT101"/>
      <c r="AU101" s="547"/>
      <c r="AV101" s="547"/>
      <c r="AW101" s="547"/>
    </row>
    <row r="102" spans="2:49">
      <c r="F102" s="1423"/>
      <c r="V102" s="29"/>
      <c r="W102" s="29"/>
      <c r="X102" s="29"/>
      <c r="Y102" s="29"/>
      <c r="Z102" s="29"/>
      <c r="AA102" s="29"/>
      <c r="AB102" s="29"/>
      <c r="AC102" s="29"/>
      <c r="AD102" s="29"/>
      <c r="AE102" s="29"/>
      <c r="AF102" s="29"/>
      <c r="AG102" s="29"/>
      <c r="AH102" s="29"/>
      <c r="AI102" s="29"/>
      <c r="AJ102" s="29"/>
      <c r="AK102" s="29"/>
      <c r="AL102" s="29"/>
      <c r="AM102" s="29"/>
      <c r="AN102" s="29"/>
      <c r="AS102"/>
      <c r="AT102"/>
      <c r="AU102" s="547"/>
      <c r="AV102" s="547"/>
      <c r="AW102" s="547"/>
    </row>
    <row r="103" spans="2:49">
      <c r="F103" s="1424" t="s">
        <v>217</v>
      </c>
      <c r="V103" s="29"/>
      <c r="W103" s="29"/>
      <c r="X103" s="29"/>
      <c r="Y103" s="29"/>
      <c r="Z103" s="29"/>
      <c r="AA103" s="29"/>
      <c r="AB103" s="29"/>
      <c r="AC103" s="29"/>
      <c r="AD103" s="29"/>
      <c r="AE103" s="29"/>
      <c r="AF103" s="29"/>
      <c r="AG103" s="29"/>
      <c r="AH103" s="29"/>
      <c r="AI103" s="29"/>
      <c r="AJ103" s="29"/>
      <c r="AK103" s="29"/>
      <c r="AL103" s="29"/>
      <c r="AM103" s="29"/>
      <c r="AN103" s="29"/>
      <c r="AS103"/>
      <c r="AT103"/>
      <c r="AU103" s="547"/>
      <c r="AV103" s="547"/>
      <c r="AW103" s="547"/>
    </row>
    <row r="104" spans="2:49">
      <c r="F104" s="1423"/>
      <c r="V104" s="29"/>
      <c r="W104" s="29"/>
      <c r="X104" s="29"/>
      <c r="Y104" s="29"/>
      <c r="Z104" s="29"/>
      <c r="AA104" s="29"/>
      <c r="AB104" s="29"/>
      <c r="AC104" s="29"/>
      <c r="AD104" s="29"/>
      <c r="AE104" s="29"/>
      <c r="AF104" s="29"/>
      <c r="AG104" s="29"/>
      <c r="AH104" s="29"/>
      <c r="AI104" s="29"/>
      <c r="AJ104" s="29"/>
      <c r="AK104" s="29"/>
      <c r="AL104" s="29"/>
      <c r="AM104" s="29"/>
      <c r="AN104" s="29"/>
      <c r="AS104"/>
      <c r="AT104"/>
      <c r="AU104" s="547"/>
      <c r="AV104" s="547"/>
      <c r="AW104" s="547"/>
    </row>
    <row r="105" spans="2:49">
      <c r="F105" s="552" t="s">
        <v>217</v>
      </c>
      <c r="V105" s="29"/>
      <c r="W105" s="29"/>
      <c r="X105" s="29"/>
      <c r="Y105" s="29"/>
      <c r="Z105" s="29"/>
      <c r="AA105" s="29"/>
      <c r="AB105" s="29"/>
      <c r="AC105" s="29"/>
      <c r="AD105" s="29"/>
      <c r="AE105" s="29"/>
      <c r="AF105" s="29"/>
      <c r="AG105" s="29"/>
      <c r="AH105" s="29"/>
      <c r="AI105" s="29"/>
      <c r="AJ105" s="29"/>
      <c r="AK105" s="29"/>
      <c r="AL105" s="29"/>
      <c r="AM105" s="29"/>
      <c r="AN105" s="29"/>
      <c r="AS105"/>
      <c r="AT105"/>
      <c r="AU105" s="547"/>
      <c r="AV105" s="547"/>
      <c r="AW105" s="547"/>
    </row>
    <row r="106" spans="2:49">
      <c r="F106" s="1424" t="s">
        <v>217</v>
      </c>
      <c r="V106" s="29"/>
      <c r="W106" s="29"/>
      <c r="X106" s="29"/>
      <c r="Y106" s="29"/>
      <c r="Z106" s="29"/>
      <c r="AA106" s="29"/>
      <c r="AB106" s="29"/>
      <c r="AC106" s="29"/>
      <c r="AD106" s="29"/>
      <c r="AE106" s="29"/>
      <c r="AF106" s="29"/>
      <c r="AG106" s="29"/>
      <c r="AH106" s="29"/>
      <c r="AI106" s="29"/>
      <c r="AJ106" s="29"/>
      <c r="AK106" s="29"/>
      <c r="AL106" s="29"/>
      <c r="AM106" s="29"/>
      <c r="AN106" s="29"/>
      <c r="AS106"/>
      <c r="AT106"/>
      <c r="AU106" s="547"/>
      <c r="AV106" s="547"/>
      <c r="AW106" s="547"/>
    </row>
    <row r="107" spans="2:49">
      <c r="B107" s="1425" t="s">
        <v>217</v>
      </c>
      <c r="C107" s="1426"/>
      <c r="D107" s="553"/>
      <c r="E107" s="553"/>
      <c r="F107" s="1426" t="s">
        <v>217</v>
      </c>
      <c r="V107" s="29"/>
      <c r="W107" s="29"/>
      <c r="X107" s="29"/>
      <c r="Y107" s="29"/>
      <c r="Z107" s="29"/>
      <c r="AA107" s="29"/>
      <c r="AB107" s="29"/>
      <c r="AC107" s="29"/>
      <c r="AD107" s="29"/>
      <c r="AE107" s="29"/>
      <c r="AF107" s="29"/>
      <c r="AG107" s="29"/>
      <c r="AH107" s="29"/>
      <c r="AI107" s="29"/>
      <c r="AJ107" s="29"/>
      <c r="AK107" s="29"/>
      <c r="AL107" s="29"/>
      <c r="AM107" s="29"/>
      <c r="AN107" s="29"/>
      <c r="AS107"/>
      <c r="AT107"/>
      <c r="AU107" s="547"/>
      <c r="AV107" s="547"/>
      <c r="AW107" s="547"/>
    </row>
    <row r="108" spans="2:49">
      <c r="F108" s="552" t="s">
        <v>217</v>
      </c>
      <c r="V108" s="29"/>
      <c r="W108" s="29"/>
      <c r="X108" s="29"/>
      <c r="Y108" s="29"/>
      <c r="Z108" s="29"/>
      <c r="AA108" s="29"/>
      <c r="AB108" s="29"/>
      <c r="AC108" s="29"/>
      <c r="AD108" s="29"/>
      <c r="AE108" s="29"/>
      <c r="AF108" s="29"/>
      <c r="AG108" s="29"/>
      <c r="AH108" s="29"/>
      <c r="AI108" s="29"/>
      <c r="AJ108" s="29"/>
      <c r="AK108" s="29"/>
      <c r="AL108" s="29"/>
      <c r="AM108" s="29"/>
      <c r="AN108" s="29"/>
      <c r="AS108"/>
      <c r="AT108"/>
      <c r="AU108" s="547"/>
      <c r="AV108" s="547"/>
      <c r="AW108" s="547"/>
    </row>
    <row r="109" spans="2:49">
      <c r="F109" s="552"/>
      <c r="V109" s="29"/>
      <c r="W109" s="29"/>
      <c r="X109" s="29"/>
      <c r="Y109" s="29"/>
      <c r="Z109" s="29"/>
      <c r="AA109" s="29"/>
      <c r="AB109" s="29"/>
      <c r="AC109" s="29"/>
      <c r="AD109" s="29"/>
      <c r="AE109" s="29"/>
      <c r="AF109" s="29"/>
      <c r="AG109" s="29"/>
      <c r="AH109" s="29"/>
      <c r="AI109" s="29"/>
      <c r="AJ109" s="29"/>
      <c r="AK109" s="29"/>
      <c r="AL109" s="29"/>
      <c r="AM109" s="29"/>
      <c r="AN109" s="29"/>
      <c r="AS109"/>
      <c r="AT109"/>
      <c r="AU109" s="547"/>
      <c r="AV109" s="547"/>
      <c r="AW109" s="547"/>
    </row>
    <row r="110" spans="2:49">
      <c r="F110" s="552"/>
      <c r="V110" s="29"/>
      <c r="W110" s="29"/>
      <c r="X110" s="29"/>
      <c r="Y110" s="29"/>
      <c r="Z110" s="29"/>
      <c r="AA110" s="29"/>
      <c r="AB110" s="29"/>
      <c r="AC110" s="29"/>
      <c r="AD110" s="29"/>
      <c r="AE110" s="29"/>
      <c r="AF110" s="29"/>
      <c r="AG110" s="29"/>
      <c r="AH110" s="29"/>
      <c r="AI110" s="29"/>
      <c r="AJ110" s="29"/>
      <c r="AK110" s="29"/>
      <c r="AL110" s="29"/>
      <c r="AM110" s="29"/>
      <c r="AN110" s="29"/>
      <c r="AS110"/>
      <c r="AT110"/>
      <c r="AU110" s="547"/>
      <c r="AV110" s="547"/>
      <c r="AW110" s="547"/>
    </row>
    <row r="111" spans="2:49">
      <c r="F111" s="552"/>
      <c r="V111" s="29"/>
      <c r="W111" s="29"/>
      <c r="X111" s="29"/>
      <c r="Y111" s="29"/>
      <c r="Z111" s="29"/>
      <c r="AA111" s="29"/>
      <c r="AB111" s="29"/>
      <c r="AC111" s="29"/>
      <c r="AD111" s="29"/>
      <c r="AE111" s="29"/>
      <c r="AF111" s="29"/>
      <c r="AG111" s="29"/>
      <c r="AH111" s="29"/>
      <c r="AI111" s="29"/>
      <c r="AJ111" s="29"/>
      <c r="AK111" s="29"/>
      <c r="AL111" s="29"/>
      <c r="AM111" s="29"/>
      <c r="AN111" s="29"/>
      <c r="AS111" s="548"/>
      <c r="AT111" s="548"/>
      <c r="AU111" s="547"/>
      <c r="AV111" s="547"/>
      <c r="AW111" s="547"/>
    </row>
    <row r="112" spans="2:49">
      <c r="F112" s="1427" t="s">
        <v>217</v>
      </c>
      <c r="V112" s="29"/>
      <c r="W112" s="29"/>
      <c r="X112" s="29"/>
      <c r="Y112" s="29"/>
      <c r="Z112" s="29"/>
      <c r="AA112" s="29"/>
      <c r="AB112" s="29"/>
      <c r="AC112" s="29"/>
      <c r="AD112" s="29"/>
      <c r="AE112" s="29"/>
      <c r="AF112" s="29"/>
      <c r="AG112" s="29"/>
      <c r="AH112" s="29"/>
      <c r="AI112" s="29"/>
      <c r="AJ112" s="29"/>
      <c r="AK112" s="29"/>
      <c r="AL112" s="29"/>
      <c r="AM112" s="29"/>
      <c r="AN112" s="29"/>
      <c r="AS112" s="547"/>
      <c r="AT112" s="547"/>
      <c r="AU112" s="547"/>
      <c r="AV112" s="547"/>
      <c r="AW112" s="547"/>
    </row>
    <row r="113" spans="6:49">
      <c r="F113" s="1427"/>
      <c r="V113" s="29"/>
      <c r="W113" s="29"/>
      <c r="X113" s="29"/>
      <c r="Y113" s="29"/>
      <c r="Z113" s="29"/>
      <c r="AA113" s="29"/>
      <c r="AB113" s="29"/>
      <c r="AC113" s="29"/>
      <c r="AD113" s="29"/>
      <c r="AE113" s="29"/>
      <c r="AF113" s="29"/>
      <c r="AG113" s="29"/>
      <c r="AH113" s="29"/>
      <c r="AI113" s="29"/>
      <c r="AJ113" s="29"/>
      <c r="AK113" s="29"/>
      <c r="AL113" s="29"/>
      <c r="AM113" s="29"/>
      <c r="AN113" s="29"/>
      <c r="AS113" s="547"/>
      <c r="AT113" s="547"/>
      <c r="AU113" s="547"/>
      <c r="AV113" s="547"/>
      <c r="AW113" s="547"/>
    </row>
    <row r="114" spans="6:49">
      <c r="F114" s="1427"/>
      <c r="V114" s="29"/>
      <c r="W114" s="29"/>
      <c r="X114" s="29"/>
      <c r="Y114" s="29"/>
      <c r="Z114" s="29"/>
      <c r="AA114" s="29"/>
      <c r="AB114" s="29"/>
      <c r="AC114" s="29"/>
      <c r="AD114" s="29"/>
      <c r="AE114" s="29"/>
      <c r="AF114" s="29"/>
      <c r="AG114" s="29"/>
      <c r="AH114" s="29"/>
      <c r="AI114" s="29"/>
      <c r="AJ114" s="29"/>
      <c r="AK114" s="29"/>
      <c r="AL114" s="29"/>
      <c r="AM114" s="29"/>
      <c r="AN114" s="29"/>
      <c r="AS114" s="547"/>
      <c r="AT114" s="547"/>
      <c r="AU114" s="547"/>
      <c r="AV114" s="547"/>
      <c r="AW114" s="547"/>
    </row>
    <row r="115" spans="6:49">
      <c r="F115" s="1427"/>
      <c r="V115" s="29"/>
      <c r="W115" s="29"/>
      <c r="X115" s="29"/>
      <c r="Y115" s="29"/>
      <c r="Z115" s="29"/>
      <c r="AA115" s="29"/>
      <c r="AB115" s="29"/>
      <c r="AC115" s="29"/>
      <c r="AD115" s="29"/>
      <c r="AE115" s="29"/>
      <c r="AF115" s="29"/>
      <c r="AG115" s="29"/>
      <c r="AH115" s="29"/>
      <c r="AI115" s="29"/>
      <c r="AJ115" s="29"/>
      <c r="AK115" s="29"/>
      <c r="AL115" s="29"/>
      <c r="AM115" s="29"/>
      <c r="AN115" s="29"/>
      <c r="AS115" s="547"/>
      <c r="AT115" s="547"/>
      <c r="AU115" s="547"/>
      <c r="AV115" s="547"/>
      <c r="AW115" s="547"/>
    </row>
    <row r="116" spans="6:49">
      <c r="F116" s="1427"/>
      <c r="V116" s="29"/>
      <c r="W116" s="29"/>
      <c r="X116" s="29"/>
      <c r="Y116" s="29"/>
      <c r="Z116" s="29"/>
      <c r="AA116" s="29"/>
      <c r="AB116" s="29"/>
      <c r="AC116" s="29"/>
      <c r="AD116" s="29"/>
      <c r="AE116" s="29"/>
      <c r="AF116" s="29"/>
      <c r="AG116" s="29"/>
      <c r="AH116" s="29"/>
      <c r="AI116" s="29"/>
      <c r="AJ116" s="29"/>
      <c r="AK116" s="29"/>
      <c r="AL116" s="29"/>
      <c r="AM116" s="29"/>
      <c r="AN116" s="29"/>
      <c r="AS116" s="547"/>
      <c r="AT116" s="547"/>
      <c r="AU116" s="547"/>
      <c r="AV116" s="547"/>
      <c r="AW116" s="547"/>
    </row>
    <row r="117" spans="6:49">
      <c r="F117" s="1427"/>
      <c r="V117" s="29"/>
      <c r="W117" s="29"/>
      <c r="X117" s="29"/>
      <c r="Y117" s="29"/>
      <c r="Z117" s="29"/>
      <c r="AA117" s="29"/>
      <c r="AB117" s="29"/>
      <c r="AC117" s="29"/>
      <c r="AD117" s="29"/>
      <c r="AE117" s="29"/>
      <c r="AF117" s="29"/>
      <c r="AG117" s="29"/>
      <c r="AH117" s="29"/>
      <c r="AI117" s="29"/>
      <c r="AJ117" s="29"/>
      <c r="AK117" s="29"/>
      <c r="AL117" s="29"/>
      <c r="AM117" s="29"/>
      <c r="AN117" s="29"/>
      <c r="AO117"/>
      <c r="AP117"/>
      <c r="AS117" s="547"/>
      <c r="AT117" s="547"/>
      <c r="AU117" s="547"/>
      <c r="AV117" s="547"/>
      <c r="AW117" s="547"/>
    </row>
    <row r="118" spans="6:49">
      <c r="F118" s="1423"/>
      <c r="V118" s="29"/>
      <c r="W118" s="29"/>
      <c r="X118" s="29"/>
      <c r="Y118" s="29"/>
      <c r="Z118" s="29"/>
      <c r="AA118" s="29"/>
      <c r="AB118" s="29"/>
      <c r="AC118" s="29"/>
      <c r="AD118" s="29"/>
      <c r="AE118" s="29"/>
      <c r="AF118" s="29"/>
      <c r="AG118" s="29"/>
      <c r="AH118" s="29"/>
      <c r="AI118" s="29"/>
      <c r="AJ118" s="29"/>
      <c r="AK118" s="29"/>
      <c r="AL118" s="29"/>
      <c r="AM118" s="29"/>
      <c r="AN118" s="29"/>
      <c r="AO118"/>
      <c r="AP118"/>
      <c r="AS118" s="547"/>
      <c r="AT118" s="547"/>
      <c r="AU118" s="547"/>
      <c r="AV118" s="547" t="s">
        <v>217</v>
      </c>
      <c r="AW118" s="547"/>
    </row>
    <row r="119" spans="6:49">
      <c r="F119" s="1423"/>
      <c r="V119" s="29"/>
      <c r="W119" s="29"/>
      <c r="X119" s="29"/>
      <c r="Y119" s="29"/>
      <c r="Z119" s="29"/>
      <c r="AA119" s="29"/>
      <c r="AB119" s="29"/>
      <c r="AC119" s="29"/>
      <c r="AD119" s="29"/>
      <c r="AE119" s="29"/>
      <c r="AF119" s="29"/>
      <c r="AG119" s="29"/>
      <c r="AH119" s="29"/>
      <c r="AI119" s="29"/>
      <c r="AJ119" s="29"/>
      <c r="AK119" s="29"/>
      <c r="AL119" s="29"/>
      <c r="AM119" s="29"/>
      <c r="AN119" s="29"/>
      <c r="AO119"/>
      <c r="AP119"/>
      <c r="AS119" s="548"/>
      <c r="AT119" s="548"/>
      <c r="AU119" s="548"/>
      <c r="AV119" s="548"/>
      <c r="AW119" s="548"/>
    </row>
    <row r="120" spans="6:49">
      <c r="F120" s="1423"/>
      <c r="V120" s="29"/>
      <c r="W120" s="29"/>
      <c r="X120" s="29"/>
      <c r="Y120" s="29"/>
      <c r="Z120" s="29"/>
      <c r="AA120" s="29"/>
      <c r="AB120" s="29"/>
      <c r="AC120" s="29"/>
      <c r="AD120" s="29"/>
      <c r="AE120" s="29"/>
      <c r="AF120" s="29"/>
      <c r="AG120" s="29"/>
      <c r="AH120" s="29"/>
      <c r="AI120" s="29"/>
      <c r="AJ120" s="29"/>
      <c r="AK120" s="29"/>
      <c r="AL120" s="29"/>
      <c r="AM120" s="29"/>
      <c r="AN120" s="29"/>
      <c r="AO120"/>
      <c r="AP120"/>
      <c r="AS120" s="548"/>
      <c r="AT120" s="548"/>
      <c r="AU120" s="548"/>
      <c r="AV120" s="548"/>
      <c r="AW120" s="548"/>
    </row>
    <row r="121" spans="6:49">
      <c r="F121" s="547"/>
      <c r="H121"/>
      <c r="I121"/>
      <c r="J121"/>
      <c r="K121"/>
      <c r="L121"/>
      <c r="M121"/>
      <c r="AO121"/>
      <c r="AP121"/>
      <c r="AS121" s="548"/>
      <c r="AT121" s="548"/>
      <c r="AU121" s="548"/>
      <c r="AV121" s="548"/>
      <c r="AW121" s="548"/>
    </row>
    <row r="122" spans="6:49">
      <c r="F122" s="547"/>
      <c r="H122"/>
      <c r="I122"/>
      <c r="J122"/>
      <c r="K122"/>
      <c r="L122"/>
      <c r="M122"/>
      <c r="AO122"/>
      <c r="AP122"/>
      <c r="AS122" s="549"/>
      <c r="AT122" s="549"/>
      <c r="AU122" s="549"/>
      <c r="AV122" s="549"/>
      <c r="AW122" s="549"/>
    </row>
    <row r="123" spans="6:49">
      <c r="F123" s="549"/>
      <c r="H123"/>
      <c r="I123"/>
      <c r="J123"/>
      <c r="K123"/>
      <c r="L123"/>
      <c r="M123"/>
      <c r="AO123"/>
      <c r="AP123"/>
      <c r="AS123" s="549"/>
      <c r="AT123" s="549"/>
      <c r="AU123" s="549"/>
      <c r="AV123" s="549"/>
      <c r="AW123" s="549"/>
    </row>
    <row r="124" spans="6:49">
      <c r="F124" s="549"/>
      <c r="H124"/>
      <c r="I124"/>
      <c r="J124"/>
      <c r="K124"/>
      <c r="L124"/>
      <c r="M124"/>
      <c r="AO124"/>
      <c r="AP124"/>
      <c r="AS124" s="549"/>
      <c r="AT124" s="549"/>
      <c r="AU124" s="549"/>
      <c r="AV124" s="549"/>
      <c r="AW124" s="549"/>
    </row>
    <row r="125" spans="6:49">
      <c r="F125" s="549"/>
      <c r="H125"/>
      <c r="I125"/>
      <c r="J125"/>
      <c r="K125"/>
      <c r="L125"/>
      <c r="M125"/>
      <c r="AO125"/>
      <c r="AP125"/>
      <c r="AS125"/>
      <c r="AT125" s="547"/>
      <c r="AU125" s="547"/>
      <c r="AV125" s="547"/>
      <c r="AW125" s="547"/>
    </row>
    <row r="126" spans="6:49">
      <c r="F126" s="547"/>
      <c r="H126"/>
      <c r="I126"/>
      <c r="J126"/>
      <c r="K126"/>
      <c r="L126"/>
      <c r="M126"/>
      <c r="AO126"/>
      <c r="AP126"/>
      <c r="AS126" s="547"/>
      <c r="AT126" s="547"/>
      <c r="AU126" s="547"/>
      <c r="AV126" s="547"/>
      <c r="AW126" s="547"/>
    </row>
    <row r="127" spans="6:49">
      <c r="F127" s="547"/>
      <c r="G127" s="547"/>
      <c r="H127"/>
      <c r="I127"/>
      <c r="J127"/>
      <c r="K127"/>
      <c r="L127"/>
      <c r="M127"/>
      <c r="AO127"/>
      <c r="AP127"/>
      <c r="AS127" s="547"/>
      <c r="AT127" s="547"/>
      <c r="AU127" s="547"/>
      <c r="AV127" s="547"/>
      <c r="AW127" s="547"/>
    </row>
    <row r="128" spans="6:49">
      <c r="F128" s="547"/>
      <c r="G128" s="547"/>
      <c r="H128"/>
      <c r="I128"/>
      <c r="J128"/>
      <c r="K128"/>
      <c r="L128"/>
      <c r="M128"/>
      <c r="AO128"/>
      <c r="AP128"/>
      <c r="AS128" s="547"/>
      <c r="AT128" s="547"/>
      <c r="AU128" s="547"/>
      <c r="AV128" s="547"/>
      <c r="AW128" s="547"/>
    </row>
    <row r="129" spans="1:49">
      <c r="B129"/>
      <c r="C129"/>
      <c r="D129"/>
      <c r="E129"/>
      <c r="F129" s="547"/>
      <c r="G129" s="547"/>
      <c r="H129"/>
      <c r="I129"/>
      <c r="J129"/>
      <c r="K129"/>
      <c r="L129"/>
      <c r="M129"/>
      <c r="AO129"/>
      <c r="AP129"/>
      <c r="AS129" s="547"/>
      <c r="AT129" s="547"/>
      <c r="AU129" s="547"/>
      <c r="AV129" s="547"/>
      <c r="AW129" s="547"/>
    </row>
    <row r="130" spans="1:49">
      <c r="B130"/>
      <c r="C130"/>
      <c r="D130"/>
      <c r="E130"/>
      <c r="F130"/>
      <c r="G130" s="547"/>
      <c r="H130"/>
      <c r="I130"/>
      <c r="J130"/>
      <c r="K130"/>
      <c r="L130"/>
      <c r="M130"/>
      <c r="AO130"/>
      <c r="AP130"/>
      <c r="AS130" s="547"/>
      <c r="AT130" s="547"/>
      <c r="AU130" s="547"/>
      <c r="AV130" s="547"/>
      <c r="AW130" s="547"/>
    </row>
    <row r="131" spans="1:49">
      <c r="B131"/>
      <c r="C131"/>
      <c r="D131"/>
      <c r="E131"/>
      <c r="F131"/>
      <c r="G131" s="547"/>
      <c r="H131"/>
      <c r="I131"/>
      <c r="J131"/>
      <c r="K131"/>
      <c r="L131"/>
      <c r="M131"/>
      <c r="AO131"/>
      <c r="AP131"/>
      <c r="AS131" s="547"/>
      <c r="AT131" s="547"/>
      <c r="AU131" s="547"/>
      <c r="AV131" s="547"/>
      <c r="AW131" s="547"/>
    </row>
    <row r="132" spans="1:49">
      <c r="B132"/>
      <c r="C132"/>
      <c r="D132"/>
      <c r="E132"/>
      <c r="F132"/>
      <c r="G132" s="547"/>
      <c r="H132"/>
      <c r="I132"/>
      <c r="J132"/>
      <c r="K132"/>
      <c r="L132"/>
      <c r="M132"/>
      <c r="N132"/>
      <c r="AO132"/>
      <c r="AP132"/>
      <c r="AS132" s="547"/>
      <c r="AT132" s="547"/>
      <c r="AU132" s="547"/>
      <c r="AV132" s="547"/>
      <c r="AW132" s="547"/>
    </row>
    <row r="133" spans="1:49">
      <c r="B133"/>
      <c r="C133"/>
      <c r="D133"/>
      <c r="E133"/>
      <c r="F133"/>
      <c r="G133" s="547"/>
      <c r="H133"/>
      <c r="I133"/>
      <c r="J133"/>
      <c r="K133"/>
      <c r="L133"/>
      <c r="M133"/>
      <c r="N133"/>
      <c r="AO133"/>
      <c r="AP133"/>
      <c r="AS133" s="547"/>
      <c r="AT133" s="547"/>
      <c r="AU133" s="547"/>
      <c r="AV133" s="547"/>
      <c r="AW133" s="547"/>
    </row>
    <row r="134" spans="1:49">
      <c r="A134"/>
      <c r="B134"/>
      <c r="C134"/>
      <c r="D134"/>
      <c r="E134"/>
      <c r="F134"/>
      <c r="G134" s="547"/>
      <c r="H134"/>
      <c r="I134"/>
      <c r="J134"/>
      <c r="K134"/>
      <c r="L134"/>
      <c r="M134"/>
      <c r="AO134"/>
      <c r="AP134"/>
      <c r="AS134" s="547"/>
      <c r="AT134" s="547"/>
      <c r="AU134" s="547"/>
      <c r="AV134" s="547"/>
      <c r="AW134" s="547"/>
    </row>
    <row r="135" spans="1:49">
      <c r="A135"/>
      <c r="B135"/>
      <c r="C135"/>
      <c r="D135"/>
      <c r="E135"/>
      <c r="F135"/>
      <c r="G135" s="547"/>
      <c r="H135"/>
      <c r="I135"/>
      <c r="J135"/>
      <c r="K135"/>
      <c r="L135"/>
      <c r="M135"/>
    </row>
    <row r="136" spans="1:49">
      <c r="A136"/>
      <c r="B136"/>
      <c r="C136"/>
      <c r="D136"/>
      <c r="E136"/>
      <c r="F136"/>
      <c r="H136"/>
      <c r="I136"/>
      <c r="J136"/>
      <c r="K136"/>
    </row>
    <row r="137" spans="1:49">
      <c r="A137"/>
      <c r="B137"/>
      <c r="C137"/>
      <c r="D137"/>
      <c r="E137"/>
      <c r="H137" s="547"/>
      <c r="I137"/>
      <c r="J137"/>
      <c r="K137"/>
    </row>
    <row r="138" spans="1:49">
      <c r="A138"/>
      <c r="J138"/>
      <c r="K138"/>
    </row>
    <row r="139" spans="1:49">
      <c r="A139"/>
      <c r="J139"/>
      <c r="K139"/>
    </row>
    <row r="140" spans="1:49">
      <c r="A140"/>
    </row>
    <row r="253" spans="2:6">
      <c r="F253" s="29"/>
    </row>
    <row r="254" spans="2:6">
      <c r="F254" s="14"/>
    </row>
    <row r="255" spans="2:6">
      <c r="B255" s="29"/>
      <c r="C255" s="29"/>
      <c r="D255" s="29"/>
      <c r="E255" s="29"/>
      <c r="F255" s="14"/>
    </row>
    <row r="256" spans="2:6">
      <c r="B256" s="14"/>
      <c r="C256" s="29"/>
      <c r="D256" s="102"/>
      <c r="E256" s="14"/>
      <c r="F256" s="14"/>
    </row>
    <row r="257" spans="1:8">
      <c r="B257" s="14"/>
      <c r="C257" s="14"/>
      <c r="D257" s="14"/>
      <c r="E257" s="14"/>
      <c r="F257" s="14"/>
    </row>
    <row r="258" spans="1:8">
      <c r="B258" s="29"/>
      <c r="C258" s="29"/>
      <c r="D258" s="14"/>
      <c r="E258" s="14"/>
      <c r="F258" s="14"/>
    </row>
    <row r="259" spans="1:8">
      <c r="B259" s="14"/>
      <c r="C259" s="14"/>
      <c r="D259" s="14"/>
      <c r="E259" s="14"/>
      <c r="F259" s="29"/>
    </row>
    <row r="260" spans="1:8">
      <c r="B260" s="14"/>
      <c r="C260" s="14"/>
      <c r="D260" s="14"/>
      <c r="E260" s="14"/>
      <c r="F260" s="29"/>
      <c r="H260"/>
    </row>
    <row r="261" spans="1:8">
      <c r="B261" s="29"/>
      <c r="C261" s="29"/>
      <c r="D261" s="29"/>
      <c r="E261" s="29"/>
      <c r="F261" s="29"/>
      <c r="H261"/>
    </row>
    <row r="262" spans="1:8">
      <c r="B262" s="29"/>
      <c r="C262" s="29"/>
      <c r="D262" s="29"/>
      <c r="E262" s="29"/>
      <c r="F262" s="14"/>
      <c r="H262"/>
    </row>
    <row r="263" spans="1:8">
      <c r="A263" s="29"/>
      <c r="B263" s="14"/>
      <c r="C263" s="29"/>
      <c r="D263" s="103"/>
      <c r="E263" s="29"/>
      <c r="F263" s="14"/>
      <c r="H263"/>
    </row>
    <row r="264" spans="1:8">
      <c r="A264" s="29"/>
      <c r="B264" s="14"/>
      <c r="C264" s="29"/>
      <c r="D264" s="102"/>
      <c r="E264" s="14"/>
      <c r="F264" s="14"/>
      <c r="H264"/>
    </row>
    <row r="265" spans="1:8">
      <c r="A265" s="29"/>
      <c r="B265" s="14"/>
      <c r="C265" s="14"/>
      <c r="D265" s="14"/>
      <c r="E265" s="14"/>
      <c r="F265" s="14"/>
      <c r="H265"/>
    </row>
    <row r="266" spans="1:8">
      <c r="A266" s="29"/>
      <c r="B266" s="29"/>
      <c r="C266" s="29"/>
      <c r="D266" s="14"/>
      <c r="E266" s="14"/>
      <c r="F266" s="14"/>
      <c r="H266"/>
    </row>
    <row r="267" spans="1:8">
      <c r="A267" s="29"/>
      <c r="B267" s="14"/>
      <c r="C267" s="14"/>
      <c r="D267" s="14"/>
      <c r="E267" s="14"/>
      <c r="F267" s="104"/>
      <c r="H267"/>
    </row>
    <row r="268" spans="1:8">
      <c r="A268" s="29"/>
      <c r="B268" s="14"/>
      <c r="C268" s="14"/>
      <c r="D268" s="14"/>
      <c r="E268" s="14"/>
      <c r="F268" s="104"/>
      <c r="H268"/>
    </row>
    <row r="269" spans="1:8">
      <c r="A269" s="29"/>
      <c r="B269" s="104"/>
      <c r="C269" s="104"/>
      <c r="D269" s="104"/>
      <c r="E269" s="104"/>
      <c r="F269" s="14"/>
      <c r="H269"/>
    </row>
    <row r="270" spans="1:8">
      <c r="A270" s="29"/>
      <c r="B270" s="14"/>
      <c r="C270" s="104"/>
      <c r="D270" s="104"/>
      <c r="E270" s="104"/>
      <c r="F270" s="14"/>
      <c r="H270"/>
    </row>
    <row r="271" spans="1:8">
      <c r="A271" s="29"/>
      <c r="B271" s="14"/>
      <c r="C271" s="29"/>
      <c r="D271" s="102"/>
      <c r="E271" s="14"/>
      <c r="F271" s="14"/>
      <c r="H271"/>
    </row>
    <row r="272" spans="1:8">
      <c r="A272" s="29"/>
      <c r="B272" s="14"/>
      <c r="C272" s="14"/>
      <c r="D272" s="14"/>
      <c r="E272" s="14"/>
      <c r="F272" s="14"/>
      <c r="H272"/>
    </row>
    <row r="273" spans="1:8">
      <c r="A273" s="29"/>
      <c r="B273" s="29"/>
      <c r="C273" s="29"/>
      <c r="D273" s="14"/>
      <c r="E273" s="14"/>
      <c r="F273" s="14"/>
      <c r="H273"/>
    </row>
    <row r="274" spans="1:8">
      <c r="A274" s="29"/>
      <c r="B274" s="14"/>
      <c r="C274" s="14"/>
      <c r="D274" s="14"/>
      <c r="E274" s="14"/>
      <c r="F274" s="104"/>
      <c r="H274"/>
    </row>
    <row r="275" spans="1:8">
      <c r="A275" s="29"/>
      <c r="B275" s="14"/>
      <c r="C275" s="14"/>
      <c r="D275" s="14"/>
      <c r="E275" s="14"/>
      <c r="F275" s="104"/>
      <c r="H275"/>
    </row>
    <row r="276" spans="1:8">
      <c r="A276" s="29"/>
      <c r="B276" s="104"/>
      <c r="C276" s="104"/>
      <c r="D276" s="104"/>
      <c r="E276" s="104"/>
      <c r="F276" s="29"/>
    </row>
    <row r="277" spans="1:8">
      <c r="A277" s="29"/>
      <c r="B277" s="104"/>
      <c r="C277" s="105"/>
      <c r="D277" s="104"/>
      <c r="E277" s="104"/>
    </row>
    <row r="278" spans="1:8">
      <c r="A278" s="29"/>
      <c r="B278" s="29"/>
      <c r="C278" s="29" t="s">
        <v>284</v>
      </c>
      <c r="D278" s="29"/>
      <c r="E278" s="29"/>
    </row>
    <row r="279" spans="1:8">
      <c r="A279" s="29"/>
      <c r="C279" s="5" t="s">
        <v>284</v>
      </c>
    </row>
    <row r="280" spans="1:8">
      <c r="A280" s="29"/>
    </row>
    <row r="281" spans="1:8">
      <c r="A281" s="29"/>
    </row>
    <row r="282" spans="1:8">
      <c r="A282" s="29"/>
    </row>
    <row r="283" spans="1:8">
      <c r="A283" s="29"/>
    </row>
    <row r="284" spans="1:8">
      <c r="A284" s="29"/>
    </row>
    <row r="285" spans="1:8">
      <c r="A285" s="29"/>
    </row>
    <row r="286" spans="1:8">
      <c r="A286" s="29"/>
    </row>
    <row r="289" spans="2:6">
      <c r="F289" s="29"/>
    </row>
    <row r="290" spans="2:6">
      <c r="B290" s="18"/>
      <c r="F290" s="29"/>
    </row>
    <row r="291" spans="2:6">
      <c r="B291" s="20"/>
      <c r="C291" s="29"/>
      <c r="D291" s="106"/>
      <c r="E291" s="22"/>
      <c r="F291" s="29"/>
    </row>
    <row r="292" spans="2:6">
      <c r="B292" s="29"/>
      <c r="C292" s="29"/>
      <c r="D292" s="29"/>
      <c r="E292" s="29"/>
      <c r="F292" s="29"/>
    </row>
    <row r="293" spans="2:6">
      <c r="B293" s="20"/>
      <c r="C293" s="21"/>
      <c r="D293" s="22"/>
      <c r="E293" s="29"/>
      <c r="F293" s="29"/>
    </row>
    <row r="294" spans="2:6">
      <c r="B294" s="20"/>
      <c r="C294" s="20"/>
      <c r="D294" s="29"/>
      <c r="E294" s="29"/>
      <c r="F294" s="29"/>
    </row>
    <row r="295" spans="2:6">
      <c r="B295" s="21"/>
      <c r="C295" s="21"/>
      <c r="D295" s="21"/>
      <c r="E295" s="29"/>
      <c r="F295" s="29"/>
    </row>
    <row r="296" spans="2:6">
      <c r="B296" s="20"/>
      <c r="C296" s="21"/>
      <c r="D296" s="22"/>
      <c r="E296" s="29"/>
      <c r="F296" s="29"/>
    </row>
    <row r="297" spans="2:6">
      <c r="B297" s="20"/>
      <c r="C297" s="21"/>
      <c r="D297" s="22"/>
      <c r="E297" s="29"/>
      <c r="F297" s="29"/>
    </row>
    <row r="298" spans="2:6">
      <c r="B298" s="20"/>
      <c r="C298" s="21"/>
      <c r="D298" s="22"/>
      <c r="E298" s="29"/>
      <c r="F298" s="29"/>
    </row>
    <row r="299" spans="2:6">
      <c r="B299" s="21"/>
      <c r="C299" s="21"/>
      <c r="D299" s="21"/>
      <c r="E299" s="29"/>
      <c r="F299" s="29"/>
    </row>
    <row r="300" spans="2:6">
      <c r="B300" s="29"/>
      <c r="C300" s="29"/>
      <c r="D300" s="21"/>
      <c r="E300" s="29"/>
      <c r="F300" s="29"/>
    </row>
    <row r="301" spans="2:6">
      <c r="B301" s="29"/>
      <c r="C301" s="29"/>
      <c r="D301" s="29"/>
      <c r="E301" s="29"/>
      <c r="F301" s="29"/>
    </row>
    <row r="302" spans="2:6">
      <c r="B302" s="29"/>
      <c r="C302" s="29"/>
      <c r="D302" s="29"/>
      <c r="E302" s="29"/>
      <c r="F302" s="29"/>
    </row>
    <row r="303" spans="2:6">
      <c r="B303" s="29"/>
      <c r="C303" s="29"/>
      <c r="D303" s="29"/>
      <c r="E303" s="29"/>
      <c r="F303" s="29"/>
    </row>
    <row r="304" spans="2:6">
      <c r="B304" s="29"/>
      <c r="C304" s="29"/>
      <c r="D304" s="29"/>
      <c r="E304" s="29"/>
      <c r="F304" s="29"/>
    </row>
    <row r="305" spans="2:6">
      <c r="B305" s="29"/>
      <c r="C305" s="29"/>
      <c r="D305" s="29"/>
      <c r="E305" s="29"/>
      <c r="F305" s="29"/>
    </row>
    <row r="306" spans="2:6">
      <c r="B306" s="21"/>
      <c r="C306" s="21"/>
      <c r="D306" s="21"/>
      <c r="E306" s="29"/>
      <c r="F306" s="29"/>
    </row>
    <row r="307" spans="2:6">
      <c r="B307" s="20"/>
      <c r="C307" s="21"/>
      <c r="D307" s="22"/>
      <c r="E307" s="29"/>
      <c r="F307" s="29"/>
    </row>
    <row r="308" spans="2:6">
      <c r="B308" s="20"/>
      <c r="C308" s="21"/>
      <c r="D308" s="22"/>
      <c r="E308" s="29"/>
      <c r="F308" s="29"/>
    </row>
    <row r="309" spans="2:6">
      <c r="B309" s="29"/>
      <c r="C309" s="29"/>
      <c r="D309" s="29"/>
      <c r="E309" s="29"/>
      <c r="F309" s="29"/>
    </row>
    <row r="310" spans="2:6">
      <c r="B310" s="20"/>
      <c r="C310" s="21"/>
      <c r="D310" s="22"/>
      <c r="E310" s="29"/>
      <c r="F310" s="29"/>
    </row>
    <row r="311" spans="2:6">
      <c r="B311" s="20"/>
      <c r="C311" s="21"/>
      <c r="D311" s="22"/>
      <c r="E311" s="29"/>
      <c r="F311" s="29"/>
    </row>
    <row r="312" spans="2:6">
      <c r="B312" s="20"/>
      <c r="C312" s="21"/>
      <c r="D312" s="22"/>
      <c r="E312" s="29"/>
      <c r="F312" s="29"/>
    </row>
    <row r="313" spans="2:6">
      <c r="B313" s="21"/>
      <c r="C313" s="21"/>
      <c r="D313" s="21"/>
      <c r="E313" s="29"/>
      <c r="F313" s="29"/>
    </row>
    <row r="314" spans="2:6">
      <c r="B314" s="20"/>
      <c r="C314" s="21"/>
      <c r="D314" s="22"/>
      <c r="E314" s="29"/>
      <c r="F314" s="108"/>
    </row>
    <row r="315" spans="2:6">
      <c r="B315" s="20"/>
      <c r="C315" s="21"/>
      <c r="D315" s="29"/>
      <c r="E315" s="29"/>
      <c r="F315" s="14"/>
    </row>
    <row r="316" spans="2:6">
      <c r="B316" s="14"/>
      <c r="C316" s="14"/>
      <c r="D316" s="100"/>
      <c r="E316" s="107"/>
      <c r="F316" s="14"/>
    </row>
    <row r="317" spans="2:6">
      <c r="B317" s="109"/>
      <c r="C317" s="109"/>
      <c r="D317" s="109"/>
      <c r="E317" s="107"/>
      <c r="F317" s="14"/>
    </row>
    <row r="318" spans="2:6">
      <c r="B318" s="101"/>
      <c r="C318" s="101"/>
      <c r="D318" s="109"/>
      <c r="E318" s="107"/>
      <c r="F318" s="14"/>
    </row>
    <row r="319" spans="2:6">
      <c r="B319" s="101"/>
      <c r="C319" s="101"/>
      <c r="D319" s="109"/>
      <c r="E319" s="107"/>
      <c r="F319" s="14"/>
    </row>
    <row r="320" spans="2:6">
      <c r="B320" s="101"/>
      <c r="C320" s="101"/>
      <c r="D320" s="109"/>
      <c r="E320" s="107"/>
      <c r="F320" s="14"/>
    </row>
    <row r="321" spans="2:6">
      <c r="B321" s="101"/>
      <c r="C321" s="101"/>
      <c r="D321" s="109"/>
      <c r="E321" s="107"/>
      <c r="F321" s="14"/>
    </row>
    <row r="322" spans="2:6">
      <c r="B322" s="101"/>
      <c r="C322" s="101"/>
      <c r="D322" s="109"/>
      <c r="E322" s="107"/>
      <c r="F322" s="14"/>
    </row>
    <row r="323" spans="2:6">
      <c r="B323" s="101"/>
      <c r="C323" s="101"/>
      <c r="D323" s="109"/>
      <c r="E323" s="107"/>
      <c r="F323" s="14"/>
    </row>
    <row r="324" spans="2:6">
      <c r="B324" s="101"/>
      <c r="C324" s="101"/>
      <c r="D324" s="109"/>
      <c r="E324" s="107"/>
      <c r="F324" s="14"/>
    </row>
    <row r="325" spans="2:6">
      <c r="B325" s="101"/>
      <c r="C325" s="101"/>
      <c r="D325" s="109"/>
      <c r="E325" s="107"/>
      <c r="F325" s="14"/>
    </row>
    <row r="326" spans="2:6">
      <c r="B326" s="101"/>
      <c r="C326" s="101"/>
      <c r="D326" s="109"/>
      <c r="E326" s="107"/>
      <c r="F326" s="14"/>
    </row>
    <row r="327" spans="2:6">
      <c r="B327" s="101"/>
      <c r="C327" s="101"/>
      <c r="D327" s="109"/>
      <c r="E327" s="107"/>
      <c r="F327" s="14"/>
    </row>
    <row r="328" spans="2:6">
      <c r="B328" s="101"/>
      <c r="C328" s="101"/>
      <c r="D328" s="109"/>
      <c r="E328" s="107"/>
      <c r="F328" s="29"/>
    </row>
    <row r="329" spans="2:6">
      <c r="B329" s="101"/>
      <c r="C329" s="101"/>
      <c r="D329" s="109"/>
      <c r="E329" s="107"/>
      <c r="F329" s="29"/>
    </row>
    <row r="330" spans="2:6">
      <c r="B330" s="29"/>
      <c r="C330" s="29"/>
      <c r="D330" s="29"/>
      <c r="E330" s="29"/>
      <c r="F330" s="29"/>
    </row>
    <row r="331" spans="2:6">
      <c r="B331" s="29"/>
      <c r="C331" s="29"/>
      <c r="D331" s="29"/>
      <c r="E331" s="29"/>
      <c r="F331" s="29"/>
    </row>
    <row r="332" spans="2:6">
      <c r="B332" s="100"/>
      <c r="C332" s="100"/>
      <c r="D332" s="100"/>
      <c r="E332" s="29"/>
      <c r="F332" s="29"/>
    </row>
    <row r="333" spans="2:6">
      <c r="B333" s="110"/>
      <c r="C333" s="110"/>
      <c r="D333" s="110"/>
      <c r="E333" s="29"/>
      <c r="F333" s="29"/>
    </row>
    <row r="334" spans="2:6">
      <c r="B334" s="111"/>
      <c r="C334" s="111"/>
      <c r="D334" s="110"/>
      <c r="E334" s="29"/>
      <c r="F334" s="29"/>
    </row>
    <row r="335" spans="2:6">
      <c r="B335" s="111"/>
      <c r="C335" s="111"/>
      <c r="D335" s="110"/>
      <c r="E335" s="29"/>
      <c r="F335" s="29"/>
    </row>
    <row r="336" spans="2:6">
      <c r="B336" s="111"/>
      <c r="C336" s="111"/>
      <c r="D336" s="110"/>
      <c r="E336" s="29"/>
      <c r="F336" s="29"/>
    </row>
    <row r="337" spans="2:6">
      <c r="B337" s="111"/>
      <c r="C337" s="111"/>
      <c r="D337" s="110"/>
      <c r="E337" s="29"/>
      <c r="F337" s="29"/>
    </row>
    <row r="338" spans="2:6">
      <c r="B338" s="111"/>
      <c r="C338" s="111"/>
      <c r="D338" s="110"/>
      <c r="E338" s="29"/>
      <c r="F338" s="29"/>
    </row>
    <row r="339" spans="2:6">
      <c r="B339" s="111"/>
      <c r="C339" s="111"/>
      <c r="D339" s="110"/>
      <c r="E339" s="29"/>
      <c r="F339" s="29"/>
    </row>
    <row r="340" spans="2:6">
      <c r="B340" s="111"/>
      <c r="C340" s="111"/>
      <c r="D340" s="110"/>
      <c r="E340" s="29"/>
      <c r="F340" s="29"/>
    </row>
    <row r="341" spans="2:6">
      <c r="B341" s="111"/>
      <c r="C341" s="111"/>
      <c r="D341" s="110"/>
      <c r="E341" s="29"/>
      <c r="F341" s="29"/>
    </row>
    <row r="342" spans="2:6">
      <c r="B342" s="111"/>
      <c r="C342" s="111"/>
      <c r="D342" s="110"/>
      <c r="E342" s="29"/>
      <c r="F342" s="29"/>
    </row>
    <row r="343" spans="2:6">
      <c r="B343" s="111"/>
      <c r="C343" s="111"/>
      <c r="D343" s="110"/>
      <c r="E343" s="29"/>
      <c r="F343" s="29"/>
    </row>
    <row r="344" spans="2:6">
      <c r="B344" s="111"/>
      <c r="C344" s="111"/>
      <c r="D344" s="110"/>
      <c r="E344" s="29"/>
      <c r="F344" s="29"/>
    </row>
    <row r="345" spans="2:6">
      <c r="B345" s="111"/>
      <c r="C345" s="111"/>
      <c r="D345" s="110"/>
      <c r="E345" s="29"/>
      <c r="F345" s="29"/>
    </row>
    <row r="346" spans="2:6">
      <c r="B346" s="111"/>
      <c r="C346" s="111"/>
      <c r="D346" s="110"/>
      <c r="E346" s="29"/>
      <c r="F346" s="29"/>
    </row>
    <row r="347" spans="2:6">
      <c r="B347" s="111"/>
      <c r="C347" s="111"/>
      <c r="D347" s="110"/>
      <c r="E347" s="29"/>
      <c r="F347" s="29"/>
    </row>
    <row r="348" spans="2:6">
      <c r="B348" s="111"/>
      <c r="C348" s="111"/>
      <c r="D348" s="110"/>
      <c r="E348" s="29"/>
      <c r="F348" s="29"/>
    </row>
    <row r="349" spans="2:6">
      <c r="B349" s="111"/>
      <c r="C349" s="111"/>
      <c r="D349" s="110"/>
      <c r="E349" s="29"/>
      <c r="F349" s="29"/>
    </row>
    <row r="350" spans="2:6">
      <c r="B350" s="29"/>
      <c r="C350" s="29"/>
      <c r="D350" s="29"/>
      <c r="E350" s="29"/>
      <c r="F350" s="29"/>
    </row>
    <row r="351" spans="2:6">
      <c r="B351" s="111"/>
      <c r="C351" s="111"/>
      <c r="D351" s="110"/>
      <c r="E351" s="29"/>
      <c r="F351" s="29"/>
    </row>
    <row r="352" spans="2:6">
      <c r="B352" s="29"/>
      <c r="C352" s="29"/>
      <c r="D352" s="29"/>
      <c r="E352" s="29"/>
      <c r="F352" s="29"/>
    </row>
    <row r="353" spans="2:5">
      <c r="B353" s="29"/>
      <c r="C353" s="29"/>
      <c r="D353" s="29"/>
      <c r="E353" s="29"/>
    </row>
    <row r="354" spans="2:5">
      <c r="B354" s="29"/>
      <c r="C354" s="29"/>
      <c r="D354" s="29"/>
      <c r="E354" s="29"/>
    </row>
  </sheetData>
  <mergeCells count="3">
    <mergeCell ref="AA5:AM5"/>
    <mergeCell ref="AA31:AM31"/>
    <mergeCell ref="AA57:AM57"/>
  </mergeCells>
  <printOptions gridLines="1" gridLinesSet="0"/>
  <pageMargins left="0.45" right="0.45" top="0.67" bottom="0.7" header="0.5" footer="0.5"/>
  <pageSetup paperSize="5" scale="47" fitToWidth="2" orientation="landscape" r:id="rId1"/>
  <headerFooter alignWithMargins="0">
    <oddHeader>&amp;CMain</oddHeader>
    <oddFooter>&amp;L&amp;F&amp;CECT West Power&amp;RPage &amp;P of &amp;N</oddFooter>
  </headerFooter>
  <colBreaks count="1" manualBreakCount="1">
    <brk id="19" max="56" man="1"/>
  </col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Fill="0" autoLine="0" autoPict="0" macro="[0]!PriceCurveFetch">
                <anchor moveWithCells="1">
                  <from>
                    <xdr:col>2</xdr:col>
                    <xdr:colOff>9525</xdr:colOff>
                    <xdr:row>7</xdr:row>
                    <xdr:rowOff>0</xdr:rowOff>
                  </from>
                  <to>
                    <xdr:col>2</xdr:col>
                    <xdr:colOff>1219200</xdr:colOff>
                    <xdr:row>8</xdr:row>
                    <xdr:rowOff>0</xdr:rowOff>
                  </to>
                </anchor>
              </controlPr>
            </control>
          </mc:Choice>
        </mc:AlternateContent>
        <mc:AlternateContent xmlns:mc="http://schemas.openxmlformats.org/markup-compatibility/2006">
          <mc:Choice Requires="x14">
            <control shapeId="1065" r:id="rId5" name="Drop Down 41">
              <controlPr defaultSize="0" autoFill="0" autoLine="0" autoPict="0" macro="[0]!BasisCurveFetch">
                <anchor moveWithCells="1">
                  <from>
                    <xdr:col>2</xdr:col>
                    <xdr:colOff>9525</xdr:colOff>
                    <xdr:row>8</xdr:row>
                    <xdr:rowOff>0</xdr:rowOff>
                  </from>
                  <to>
                    <xdr:col>2</xdr:col>
                    <xdr:colOff>1209675</xdr:colOff>
                    <xdr:row>8</xdr:row>
                    <xdr:rowOff>238125</xdr:rowOff>
                  </to>
                </anchor>
              </controlPr>
            </control>
          </mc:Choice>
        </mc:AlternateContent>
        <mc:AlternateContent xmlns:mc="http://schemas.openxmlformats.org/markup-compatibility/2006">
          <mc:Choice Requires="x14">
            <control shapeId="1070" r:id="rId6" name="Check Box 46">
              <controlPr defaultSize="0" autoFill="0" autoLine="0" autoPict="0">
                <anchor moveWithCells="1">
                  <from>
                    <xdr:col>7</xdr:col>
                    <xdr:colOff>28575</xdr:colOff>
                    <xdr:row>10</xdr:row>
                    <xdr:rowOff>9525</xdr:rowOff>
                  </from>
                  <to>
                    <xdr:col>7</xdr:col>
                    <xdr:colOff>866775</xdr:colOff>
                    <xdr:row>11</xdr:row>
                    <xdr:rowOff>0</xdr:rowOff>
                  </to>
                </anchor>
              </controlPr>
            </control>
          </mc:Choice>
        </mc:AlternateContent>
        <mc:AlternateContent xmlns:mc="http://schemas.openxmlformats.org/markup-compatibility/2006">
          <mc:Choice Requires="x14">
            <control shapeId="1071" r:id="rId7" name="Check Box 47">
              <controlPr defaultSize="0" autoFill="0" autoLine="0" autoPict="0">
                <anchor moveWithCells="1">
                  <from>
                    <xdr:col>7</xdr:col>
                    <xdr:colOff>28575</xdr:colOff>
                    <xdr:row>11</xdr:row>
                    <xdr:rowOff>9525</xdr:rowOff>
                  </from>
                  <to>
                    <xdr:col>7</xdr:col>
                    <xdr:colOff>838200</xdr:colOff>
                    <xdr:row>12</xdr:row>
                    <xdr:rowOff>0</xdr:rowOff>
                  </to>
                </anchor>
              </controlPr>
            </control>
          </mc:Choice>
        </mc:AlternateContent>
        <mc:AlternateContent xmlns:mc="http://schemas.openxmlformats.org/markup-compatibility/2006">
          <mc:Choice Requires="x14">
            <control shapeId="1072" r:id="rId8" name="Check Box 48">
              <controlPr defaultSize="0" autoFill="0" autoLine="0" autoPict="0">
                <anchor moveWithCells="1">
                  <from>
                    <xdr:col>7</xdr:col>
                    <xdr:colOff>28575</xdr:colOff>
                    <xdr:row>12</xdr:row>
                    <xdr:rowOff>9525</xdr:rowOff>
                  </from>
                  <to>
                    <xdr:col>7</xdr:col>
                    <xdr:colOff>838200</xdr:colOff>
                    <xdr:row>12</xdr:row>
                    <xdr:rowOff>219075</xdr:rowOff>
                  </to>
                </anchor>
              </controlPr>
            </control>
          </mc:Choice>
        </mc:AlternateContent>
        <mc:AlternateContent xmlns:mc="http://schemas.openxmlformats.org/markup-compatibility/2006">
          <mc:Choice Requires="x14">
            <control shapeId="1073" r:id="rId9" name="Check Box 49">
              <controlPr defaultSize="0" autoFill="0" autoLine="0" autoPict="0">
                <anchor moveWithCells="1">
                  <from>
                    <xdr:col>7</xdr:col>
                    <xdr:colOff>28575</xdr:colOff>
                    <xdr:row>13</xdr:row>
                    <xdr:rowOff>0</xdr:rowOff>
                  </from>
                  <to>
                    <xdr:col>7</xdr:col>
                    <xdr:colOff>838200</xdr:colOff>
                    <xdr:row>13</xdr:row>
                    <xdr:rowOff>228600</xdr:rowOff>
                  </to>
                </anchor>
              </controlPr>
            </control>
          </mc:Choice>
        </mc:AlternateContent>
        <mc:AlternateContent xmlns:mc="http://schemas.openxmlformats.org/markup-compatibility/2006">
          <mc:Choice Requires="x14">
            <control shapeId="1074" r:id="rId10" name="Drop Down 50">
              <controlPr defaultSize="0" autoFill="0" autoLine="0" autoPict="0">
                <anchor moveWithCells="1">
                  <from>
                    <xdr:col>7</xdr:col>
                    <xdr:colOff>1200150</xdr:colOff>
                    <xdr:row>10</xdr:row>
                    <xdr:rowOff>9525</xdr:rowOff>
                  </from>
                  <to>
                    <xdr:col>8</xdr:col>
                    <xdr:colOff>866775</xdr:colOff>
                    <xdr:row>11</xdr:row>
                    <xdr:rowOff>0</xdr:rowOff>
                  </to>
                </anchor>
              </controlPr>
            </control>
          </mc:Choice>
        </mc:AlternateContent>
        <mc:AlternateContent xmlns:mc="http://schemas.openxmlformats.org/markup-compatibility/2006">
          <mc:Choice Requires="x14">
            <control shapeId="1075" r:id="rId11" name="Drop Down 51">
              <controlPr defaultSize="0" autoFill="0" autoLine="0" autoPict="0">
                <anchor moveWithCells="1">
                  <from>
                    <xdr:col>7</xdr:col>
                    <xdr:colOff>1200150</xdr:colOff>
                    <xdr:row>11</xdr:row>
                    <xdr:rowOff>0</xdr:rowOff>
                  </from>
                  <to>
                    <xdr:col>8</xdr:col>
                    <xdr:colOff>866775</xdr:colOff>
                    <xdr:row>12</xdr:row>
                    <xdr:rowOff>0</xdr:rowOff>
                  </to>
                </anchor>
              </controlPr>
            </control>
          </mc:Choice>
        </mc:AlternateContent>
        <mc:AlternateContent xmlns:mc="http://schemas.openxmlformats.org/markup-compatibility/2006">
          <mc:Choice Requires="x14">
            <control shapeId="1076" r:id="rId12" name="Drop Down 52">
              <controlPr defaultSize="0" autoFill="0" autoLine="0" autoPict="0">
                <anchor moveWithCells="1">
                  <from>
                    <xdr:col>7</xdr:col>
                    <xdr:colOff>1200150</xdr:colOff>
                    <xdr:row>12</xdr:row>
                    <xdr:rowOff>0</xdr:rowOff>
                  </from>
                  <to>
                    <xdr:col>8</xdr:col>
                    <xdr:colOff>866775</xdr:colOff>
                    <xdr:row>13</xdr:row>
                    <xdr:rowOff>0</xdr:rowOff>
                  </to>
                </anchor>
              </controlPr>
            </control>
          </mc:Choice>
        </mc:AlternateContent>
        <mc:AlternateContent xmlns:mc="http://schemas.openxmlformats.org/markup-compatibility/2006">
          <mc:Choice Requires="x14">
            <control shapeId="1077" r:id="rId13" name="Drop Down 53">
              <controlPr defaultSize="0" autoFill="0" autoLine="0" autoPict="0">
                <anchor moveWithCells="1">
                  <from>
                    <xdr:col>7</xdr:col>
                    <xdr:colOff>1200150</xdr:colOff>
                    <xdr:row>13</xdr:row>
                    <xdr:rowOff>9525</xdr:rowOff>
                  </from>
                  <to>
                    <xdr:col>8</xdr:col>
                    <xdr:colOff>866775</xdr:colOff>
                    <xdr:row>13</xdr:row>
                    <xdr:rowOff>228600</xdr:rowOff>
                  </to>
                </anchor>
              </controlPr>
            </control>
          </mc:Choice>
        </mc:AlternateContent>
        <mc:AlternateContent xmlns:mc="http://schemas.openxmlformats.org/markup-compatibility/2006">
          <mc:Choice Requires="x14">
            <control shapeId="1087" r:id="rId14" name="Drop Down 63">
              <controlPr defaultSize="0" autoFill="0" autoLine="0" autoPict="0">
                <anchor moveWithCells="1">
                  <from>
                    <xdr:col>7</xdr:col>
                    <xdr:colOff>1238250</xdr:colOff>
                    <xdr:row>8</xdr:row>
                    <xdr:rowOff>0</xdr:rowOff>
                  </from>
                  <to>
                    <xdr:col>8</xdr:col>
                    <xdr:colOff>866775</xdr:colOff>
                    <xdr:row>8</xdr:row>
                    <xdr:rowOff>228600</xdr:rowOff>
                  </to>
                </anchor>
              </controlPr>
            </control>
          </mc:Choice>
        </mc:AlternateContent>
        <mc:AlternateContent xmlns:mc="http://schemas.openxmlformats.org/markup-compatibility/2006">
          <mc:Choice Requires="x14">
            <control shapeId="1090" r:id="rId15" name="Check Box 66">
              <controlPr defaultSize="0" autoFill="0" autoLine="0" autoPict="0">
                <anchor moveWithCells="1">
                  <from>
                    <xdr:col>7</xdr:col>
                    <xdr:colOff>9525</xdr:colOff>
                    <xdr:row>7</xdr:row>
                    <xdr:rowOff>0</xdr:rowOff>
                  </from>
                  <to>
                    <xdr:col>8</xdr:col>
                    <xdr:colOff>85725</xdr:colOff>
                    <xdr:row>7</xdr:row>
                    <xdr:rowOff>228600</xdr:rowOff>
                  </to>
                </anchor>
              </controlPr>
            </control>
          </mc:Choice>
        </mc:AlternateContent>
        <mc:AlternateContent xmlns:mc="http://schemas.openxmlformats.org/markup-compatibility/2006">
          <mc:Choice Requires="x14">
            <control shapeId="1092" r:id="rId16" name="Option Button 68">
              <controlPr defaultSize="0" autoFill="0" autoLine="0" autoPict="0">
                <anchor moveWithCells="1">
                  <from>
                    <xdr:col>10</xdr:col>
                    <xdr:colOff>381000</xdr:colOff>
                    <xdr:row>5</xdr:row>
                    <xdr:rowOff>0</xdr:rowOff>
                  </from>
                  <to>
                    <xdr:col>10</xdr:col>
                    <xdr:colOff>1209675</xdr:colOff>
                    <xdr:row>5</xdr:row>
                    <xdr:rowOff>200025</xdr:rowOff>
                  </to>
                </anchor>
              </controlPr>
            </control>
          </mc:Choice>
        </mc:AlternateContent>
        <mc:AlternateContent xmlns:mc="http://schemas.openxmlformats.org/markup-compatibility/2006">
          <mc:Choice Requires="x14">
            <control shapeId="1093" r:id="rId17" name="Option Button 69">
              <controlPr defaultSize="0" autoFill="0" autoLine="0" autoPict="0">
                <anchor moveWithCells="1">
                  <from>
                    <xdr:col>10</xdr:col>
                    <xdr:colOff>1323975</xdr:colOff>
                    <xdr:row>5</xdr:row>
                    <xdr:rowOff>0</xdr:rowOff>
                  </from>
                  <to>
                    <xdr:col>11</xdr:col>
                    <xdr:colOff>447675</xdr:colOff>
                    <xdr:row>5</xdr:row>
                    <xdr:rowOff>200025</xdr:rowOff>
                  </to>
                </anchor>
              </controlPr>
            </control>
          </mc:Choice>
        </mc:AlternateContent>
        <mc:AlternateContent xmlns:mc="http://schemas.openxmlformats.org/markup-compatibility/2006">
          <mc:Choice Requires="x14">
            <control shapeId="1096" r:id="rId18" name="Group Box 72">
              <controlPr defaultSize="0" autoPict="0">
                <anchor moveWithCells="1">
                  <from>
                    <xdr:col>10</xdr:col>
                    <xdr:colOff>0</xdr:colOff>
                    <xdr:row>4</xdr:row>
                    <xdr:rowOff>190500</xdr:rowOff>
                  </from>
                  <to>
                    <xdr:col>12</xdr:col>
                    <xdr:colOff>257175</xdr:colOff>
                    <xdr:row>6</xdr:row>
                    <xdr:rowOff>0</xdr:rowOff>
                  </to>
                </anchor>
              </controlPr>
            </control>
          </mc:Choice>
        </mc:AlternateContent>
        <mc:AlternateContent xmlns:mc="http://schemas.openxmlformats.org/markup-compatibility/2006">
          <mc:Choice Requires="x14">
            <control shapeId="1100" r:id="rId19" name="Option Button 76">
              <controlPr defaultSize="0" autoFill="0" autoLine="0" autoPict="0">
                <anchor moveWithCells="1">
                  <from>
                    <xdr:col>4</xdr:col>
                    <xdr:colOff>28575</xdr:colOff>
                    <xdr:row>6</xdr:row>
                    <xdr:rowOff>38100</xdr:rowOff>
                  </from>
                  <to>
                    <xdr:col>4</xdr:col>
                    <xdr:colOff>714375</xdr:colOff>
                    <xdr:row>6</xdr:row>
                    <xdr:rowOff>238125</xdr:rowOff>
                  </to>
                </anchor>
              </controlPr>
            </control>
          </mc:Choice>
        </mc:AlternateContent>
        <mc:AlternateContent xmlns:mc="http://schemas.openxmlformats.org/markup-compatibility/2006">
          <mc:Choice Requires="x14">
            <control shapeId="1101" r:id="rId20" name="Option Button 77">
              <controlPr defaultSize="0" autoFill="0" autoLine="0" autoPict="0">
                <anchor moveWithCells="1">
                  <from>
                    <xdr:col>4</xdr:col>
                    <xdr:colOff>704850</xdr:colOff>
                    <xdr:row>6</xdr:row>
                    <xdr:rowOff>38100</xdr:rowOff>
                  </from>
                  <to>
                    <xdr:col>4</xdr:col>
                    <xdr:colOff>1476375</xdr:colOff>
                    <xdr:row>6</xdr:row>
                    <xdr:rowOff>238125</xdr:rowOff>
                  </to>
                </anchor>
              </controlPr>
            </control>
          </mc:Choice>
        </mc:AlternateContent>
        <mc:AlternateContent xmlns:mc="http://schemas.openxmlformats.org/markup-compatibility/2006">
          <mc:Choice Requires="x14">
            <control shapeId="1102" r:id="rId21" name="Option Button 78">
              <controlPr defaultSize="0" autoFill="0" autoLine="0" autoPict="0">
                <anchor moveWithCells="1">
                  <from>
                    <xdr:col>4</xdr:col>
                    <xdr:colOff>1438275</xdr:colOff>
                    <xdr:row>6</xdr:row>
                    <xdr:rowOff>38100</xdr:rowOff>
                  </from>
                  <to>
                    <xdr:col>5</xdr:col>
                    <xdr:colOff>219075</xdr:colOff>
                    <xdr:row>6</xdr:row>
                    <xdr:rowOff>238125</xdr:rowOff>
                  </to>
                </anchor>
              </controlPr>
            </control>
          </mc:Choice>
        </mc:AlternateContent>
        <mc:AlternateContent xmlns:mc="http://schemas.openxmlformats.org/markup-compatibility/2006">
          <mc:Choice Requires="x14">
            <control shapeId="1103" r:id="rId22" name="Group Box 79">
              <controlPr defaultSize="0" autoPict="0">
                <anchor moveWithCells="1">
                  <from>
                    <xdr:col>3</xdr:col>
                    <xdr:colOff>76200</xdr:colOff>
                    <xdr:row>4</xdr:row>
                    <xdr:rowOff>180975</xdr:rowOff>
                  </from>
                  <to>
                    <xdr:col>5</xdr:col>
                    <xdr:colOff>981075</xdr:colOff>
                    <xdr:row>7</xdr:row>
                    <xdr:rowOff>0</xdr:rowOff>
                  </to>
                </anchor>
              </controlPr>
            </control>
          </mc:Choice>
        </mc:AlternateContent>
        <mc:AlternateContent xmlns:mc="http://schemas.openxmlformats.org/markup-compatibility/2006">
          <mc:Choice Requires="x14">
            <control shapeId="1104" r:id="rId23" name="Check Box 80">
              <controlPr defaultSize="0" autoFill="0" autoLine="0" autoPict="0">
                <anchor moveWithCells="1">
                  <from>
                    <xdr:col>4</xdr:col>
                    <xdr:colOff>57150</xdr:colOff>
                    <xdr:row>8</xdr:row>
                    <xdr:rowOff>38100</xdr:rowOff>
                  </from>
                  <to>
                    <xdr:col>5</xdr:col>
                    <xdr:colOff>485775</xdr:colOff>
                    <xdr:row>8</xdr:row>
                    <xdr:rowOff>238125</xdr:rowOff>
                  </to>
                </anchor>
              </controlPr>
            </control>
          </mc:Choice>
        </mc:AlternateContent>
        <mc:AlternateContent xmlns:mc="http://schemas.openxmlformats.org/markup-compatibility/2006">
          <mc:Choice Requires="x14">
            <control shapeId="1106" r:id="rId24" name="Option Button 82">
              <controlPr defaultSize="0" autoFill="0" autoLine="0" autoPict="0">
                <anchor moveWithCells="1">
                  <from>
                    <xdr:col>10</xdr:col>
                    <xdr:colOff>390525</xdr:colOff>
                    <xdr:row>7</xdr:row>
                    <xdr:rowOff>9525</xdr:rowOff>
                  </from>
                  <to>
                    <xdr:col>10</xdr:col>
                    <xdr:colOff>1266825</xdr:colOff>
                    <xdr:row>7</xdr:row>
                    <xdr:rowOff>219075</xdr:rowOff>
                  </to>
                </anchor>
              </controlPr>
            </control>
          </mc:Choice>
        </mc:AlternateContent>
        <mc:AlternateContent xmlns:mc="http://schemas.openxmlformats.org/markup-compatibility/2006">
          <mc:Choice Requires="x14">
            <control shapeId="1107" r:id="rId25" name="Group Box 83">
              <controlPr defaultSize="0" autoPict="0">
                <anchor moveWithCells="1">
                  <from>
                    <xdr:col>10</xdr:col>
                    <xdr:colOff>0</xdr:colOff>
                    <xdr:row>7</xdr:row>
                    <xdr:rowOff>0</xdr:rowOff>
                  </from>
                  <to>
                    <xdr:col>12</xdr:col>
                    <xdr:colOff>257175</xdr:colOff>
                    <xdr:row>8</xdr:row>
                    <xdr:rowOff>0</xdr:rowOff>
                  </to>
                </anchor>
              </controlPr>
            </control>
          </mc:Choice>
        </mc:AlternateContent>
        <mc:AlternateContent xmlns:mc="http://schemas.openxmlformats.org/markup-compatibility/2006">
          <mc:Choice Requires="x14">
            <control shapeId="1123" r:id="rId26" name="Group Box 99">
              <controlPr defaultSize="0" autoPict="0">
                <anchor moveWithCells="1">
                  <from>
                    <xdr:col>2</xdr:col>
                    <xdr:colOff>0</xdr:colOff>
                    <xdr:row>15</xdr:row>
                    <xdr:rowOff>0</xdr:rowOff>
                  </from>
                  <to>
                    <xdr:col>2</xdr:col>
                    <xdr:colOff>1228725</xdr:colOff>
                    <xdr:row>16</xdr:row>
                    <xdr:rowOff>38100</xdr:rowOff>
                  </to>
                </anchor>
              </controlPr>
            </control>
          </mc:Choice>
        </mc:AlternateContent>
        <mc:AlternateContent xmlns:mc="http://schemas.openxmlformats.org/markup-compatibility/2006">
          <mc:Choice Requires="x14">
            <control shapeId="1124" r:id="rId27" name="Group Box 100">
              <controlPr defaultSize="0" autoPict="0">
                <anchor moveWithCells="1">
                  <from>
                    <xdr:col>2</xdr:col>
                    <xdr:colOff>0</xdr:colOff>
                    <xdr:row>16</xdr:row>
                    <xdr:rowOff>0</xdr:rowOff>
                  </from>
                  <to>
                    <xdr:col>3</xdr:col>
                    <xdr:colOff>0</xdr:colOff>
                    <xdr:row>17</xdr:row>
                    <xdr:rowOff>9525</xdr:rowOff>
                  </to>
                </anchor>
              </controlPr>
            </control>
          </mc:Choice>
        </mc:AlternateContent>
        <mc:AlternateContent xmlns:mc="http://schemas.openxmlformats.org/markup-compatibility/2006">
          <mc:Choice Requires="x14">
            <control shapeId="1125" r:id="rId28" name="Group Box 101">
              <controlPr defaultSize="0" autoPict="0">
                <anchor moveWithCells="1">
                  <from>
                    <xdr:col>2</xdr:col>
                    <xdr:colOff>0</xdr:colOff>
                    <xdr:row>18</xdr:row>
                    <xdr:rowOff>0</xdr:rowOff>
                  </from>
                  <to>
                    <xdr:col>3</xdr:col>
                    <xdr:colOff>0</xdr:colOff>
                    <xdr:row>19</xdr:row>
                    <xdr:rowOff>9525</xdr:rowOff>
                  </to>
                </anchor>
              </controlPr>
            </control>
          </mc:Choice>
        </mc:AlternateContent>
        <mc:AlternateContent xmlns:mc="http://schemas.openxmlformats.org/markup-compatibility/2006">
          <mc:Choice Requires="x14">
            <control shapeId="1126" r:id="rId29" name="Group Box 102">
              <controlPr defaultSize="0" autoPict="0">
                <anchor moveWithCells="1">
                  <from>
                    <xdr:col>2</xdr:col>
                    <xdr:colOff>0</xdr:colOff>
                    <xdr:row>19</xdr:row>
                    <xdr:rowOff>0</xdr:rowOff>
                  </from>
                  <to>
                    <xdr:col>3</xdr:col>
                    <xdr:colOff>0</xdr:colOff>
                    <xdr:row>19</xdr:row>
                    <xdr:rowOff>238125</xdr:rowOff>
                  </to>
                </anchor>
              </controlPr>
            </control>
          </mc:Choice>
        </mc:AlternateContent>
        <mc:AlternateContent xmlns:mc="http://schemas.openxmlformats.org/markup-compatibility/2006">
          <mc:Choice Requires="x14">
            <control shapeId="1127" r:id="rId30" name="Group Box 103">
              <controlPr defaultSize="0" autoPict="0">
                <anchor moveWithCells="1">
                  <from>
                    <xdr:col>1</xdr:col>
                    <xdr:colOff>0</xdr:colOff>
                    <xdr:row>17</xdr:row>
                    <xdr:rowOff>0</xdr:rowOff>
                  </from>
                  <to>
                    <xdr:col>2</xdr:col>
                    <xdr:colOff>1228725</xdr:colOff>
                    <xdr:row>18</xdr:row>
                    <xdr:rowOff>38100</xdr:rowOff>
                  </to>
                </anchor>
              </controlPr>
            </control>
          </mc:Choice>
        </mc:AlternateContent>
        <mc:AlternateContent xmlns:mc="http://schemas.openxmlformats.org/markup-compatibility/2006">
          <mc:Choice Requires="x14">
            <control shapeId="1129" r:id="rId31" name="Option Button 105">
              <controlPr defaultSize="0" autoFill="0" autoLine="0" autoPict="0">
                <anchor moveWithCells="1">
                  <from>
                    <xdr:col>2</xdr:col>
                    <xdr:colOff>38100</xdr:colOff>
                    <xdr:row>15</xdr:row>
                    <xdr:rowOff>9525</xdr:rowOff>
                  </from>
                  <to>
                    <xdr:col>2</xdr:col>
                    <xdr:colOff>619125</xdr:colOff>
                    <xdr:row>16</xdr:row>
                    <xdr:rowOff>9525</xdr:rowOff>
                  </to>
                </anchor>
              </controlPr>
            </control>
          </mc:Choice>
        </mc:AlternateContent>
        <mc:AlternateContent xmlns:mc="http://schemas.openxmlformats.org/markup-compatibility/2006">
          <mc:Choice Requires="x14">
            <control shapeId="1130" r:id="rId32" name="Option Button 106">
              <controlPr defaultSize="0" autoFill="0" autoLine="0" autoPict="0">
                <anchor moveWithCells="1">
                  <from>
                    <xdr:col>2</xdr:col>
                    <xdr:colOff>704850</xdr:colOff>
                    <xdr:row>15</xdr:row>
                    <xdr:rowOff>28575</xdr:rowOff>
                  </from>
                  <to>
                    <xdr:col>2</xdr:col>
                    <xdr:colOff>1209675</xdr:colOff>
                    <xdr:row>16</xdr:row>
                    <xdr:rowOff>9525</xdr:rowOff>
                  </to>
                </anchor>
              </controlPr>
            </control>
          </mc:Choice>
        </mc:AlternateContent>
        <mc:AlternateContent xmlns:mc="http://schemas.openxmlformats.org/markup-compatibility/2006">
          <mc:Choice Requires="x14">
            <control shapeId="1131" r:id="rId33" name="Option Button 107">
              <controlPr defaultSize="0" autoFill="0" autoLine="0" autoPict="0">
                <anchor moveWithCells="1">
                  <from>
                    <xdr:col>2</xdr:col>
                    <xdr:colOff>28575</xdr:colOff>
                    <xdr:row>16</xdr:row>
                    <xdr:rowOff>9525</xdr:rowOff>
                  </from>
                  <to>
                    <xdr:col>2</xdr:col>
                    <xdr:colOff>647700</xdr:colOff>
                    <xdr:row>17</xdr:row>
                    <xdr:rowOff>0</xdr:rowOff>
                  </to>
                </anchor>
              </controlPr>
            </control>
          </mc:Choice>
        </mc:AlternateContent>
        <mc:AlternateContent xmlns:mc="http://schemas.openxmlformats.org/markup-compatibility/2006">
          <mc:Choice Requires="x14">
            <control shapeId="1132" r:id="rId34" name="Option Button 108">
              <controlPr defaultSize="0" autoFill="0" autoLine="0" autoPict="0">
                <anchor moveWithCells="1">
                  <from>
                    <xdr:col>2</xdr:col>
                    <xdr:colOff>695325</xdr:colOff>
                    <xdr:row>16</xdr:row>
                    <xdr:rowOff>9525</xdr:rowOff>
                  </from>
                  <to>
                    <xdr:col>2</xdr:col>
                    <xdr:colOff>1190625</xdr:colOff>
                    <xdr:row>17</xdr:row>
                    <xdr:rowOff>0</xdr:rowOff>
                  </to>
                </anchor>
              </controlPr>
            </control>
          </mc:Choice>
        </mc:AlternateContent>
        <mc:AlternateContent xmlns:mc="http://schemas.openxmlformats.org/markup-compatibility/2006">
          <mc:Choice Requires="x14">
            <control shapeId="1133" r:id="rId35" name="Option Button 109">
              <controlPr defaultSize="0" autoFill="0" autoLine="0" autoPict="0">
                <anchor moveWithCells="1">
                  <from>
                    <xdr:col>2</xdr:col>
                    <xdr:colOff>9525</xdr:colOff>
                    <xdr:row>18</xdr:row>
                    <xdr:rowOff>28575</xdr:rowOff>
                  </from>
                  <to>
                    <xdr:col>2</xdr:col>
                    <xdr:colOff>771525</xdr:colOff>
                    <xdr:row>19</xdr:row>
                    <xdr:rowOff>0</xdr:rowOff>
                  </to>
                </anchor>
              </controlPr>
            </control>
          </mc:Choice>
        </mc:AlternateContent>
        <mc:AlternateContent xmlns:mc="http://schemas.openxmlformats.org/markup-compatibility/2006">
          <mc:Choice Requires="x14">
            <control shapeId="1134" r:id="rId36" name="Option Button 110">
              <controlPr defaultSize="0" autoFill="0" autoLine="0" autoPict="0">
                <anchor moveWithCells="1">
                  <from>
                    <xdr:col>2</xdr:col>
                    <xdr:colOff>752475</xdr:colOff>
                    <xdr:row>18</xdr:row>
                    <xdr:rowOff>28575</xdr:rowOff>
                  </from>
                  <to>
                    <xdr:col>2</xdr:col>
                    <xdr:colOff>1209675</xdr:colOff>
                    <xdr:row>19</xdr:row>
                    <xdr:rowOff>0</xdr:rowOff>
                  </to>
                </anchor>
              </controlPr>
            </control>
          </mc:Choice>
        </mc:AlternateContent>
        <mc:AlternateContent xmlns:mc="http://schemas.openxmlformats.org/markup-compatibility/2006">
          <mc:Choice Requires="x14">
            <control shapeId="1136" r:id="rId37" name="Option Button 112">
              <controlPr defaultSize="0" autoFill="0" autoLine="0" autoPict="0">
                <anchor moveWithCells="1">
                  <from>
                    <xdr:col>2</xdr:col>
                    <xdr:colOff>9525</xdr:colOff>
                    <xdr:row>19</xdr:row>
                    <xdr:rowOff>9525</xdr:rowOff>
                  </from>
                  <to>
                    <xdr:col>2</xdr:col>
                    <xdr:colOff>762000</xdr:colOff>
                    <xdr:row>19</xdr:row>
                    <xdr:rowOff>219075</xdr:rowOff>
                  </to>
                </anchor>
              </controlPr>
            </control>
          </mc:Choice>
        </mc:AlternateContent>
        <mc:AlternateContent xmlns:mc="http://schemas.openxmlformats.org/markup-compatibility/2006">
          <mc:Choice Requires="x14">
            <control shapeId="1137" r:id="rId38" name="Option Button 113">
              <controlPr defaultSize="0" autoFill="0" autoLine="0" autoPict="0">
                <anchor moveWithCells="1">
                  <from>
                    <xdr:col>2</xdr:col>
                    <xdr:colOff>752475</xdr:colOff>
                    <xdr:row>19</xdr:row>
                    <xdr:rowOff>0</xdr:rowOff>
                  </from>
                  <to>
                    <xdr:col>2</xdr:col>
                    <xdr:colOff>1190625</xdr:colOff>
                    <xdr:row>19</xdr:row>
                    <xdr:rowOff>228600</xdr:rowOff>
                  </to>
                </anchor>
              </controlPr>
            </control>
          </mc:Choice>
        </mc:AlternateContent>
        <mc:AlternateContent xmlns:mc="http://schemas.openxmlformats.org/markup-compatibility/2006">
          <mc:Choice Requires="x14">
            <control shapeId="1139" r:id="rId39" name="Option Button 115">
              <controlPr defaultSize="0" autoFill="0" autoLine="0" autoPict="0">
                <anchor moveWithCells="1">
                  <from>
                    <xdr:col>1</xdr:col>
                    <xdr:colOff>180975</xdr:colOff>
                    <xdr:row>17</xdr:row>
                    <xdr:rowOff>9525</xdr:rowOff>
                  </from>
                  <to>
                    <xdr:col>1</xdr:col>
                    <xdr:colOff>847725</xdr:colOff>
                    <xdr:row>17</xdr:row>
                    <xdr:rowOff>219075</xdr:rowOff>
                  </to>
                </anchor>
              </controlPr>
            </control>
          </mc:Choice>
        </mc:AlternateContent>
        <mc:AlternateContent xmlns:mc="http://schemas.openxmlformats.org/markup-compatibility/2006">
          <mc:Choice Requires="x14">
            <control shapeId="1140" r:id="rId40" name="Option Button 116">
              <controlPr defaultSize="0" autoFill="0" autoLine="0" autoPict="0">
                <anchor moveWithCells="1">
                  <from>
                    <xdr:col>1</xdr:col>
                    <xdr:colOff>1123950</xdr:colOff>
                    <xdr:row>17</xdr:row>
                    <xdr:rowOff>9525</xdr:rowOff>
                  </from>
                  <to>
                    <xdr:col>2</xdr:col>
                    <xdr:colOff>295275</xdr:colOff>
                    <xdr:row>17</xdr:row>
                    <xdr:rowOff>219075</xdr:rowOff>
                  </to>
                </anchor>
              </controlPr>
            </control>
          </mc:Choice>
        </mc:AlternateContent>
        <mc:AlternateContent xmlns:mc="http://schemas.openxmlformats.org/markup-compatibility/2006">
          <mc:Choice Requires="x14">
            <control shapeId="1141" r:id="rId41" name="Option Button 117">
              <controlPr defaultSize="0" autoFill="0" autoLine="0" autoPict="0">
                <anchor moveWithCells="1">
                  <from>
                    <xdr:col>1</xdr:col>
                    <xdr:colOff>809625</xdr:colOff>
                    <xdr:row>20</xdr:row>
                    <xdr:rowOff>28575</xdr:rowOff>
                  </from>
                  <to>
                    <xdr:col>1</xdr:col>
                    <xdr:colOff>1343025</xdr:colOff>
                    <xdr:row>20</xdr:row>
                    <xdr:rowOff>228600</xdr:rowOff>
                  </to>
                </anchor>
              </controlPr>
            </control>
          </mc:Choice>
        </mc:AlternateContent>
        <mc:AlternateContent xmlns:mc="http://schemas.openxmlformats.org/markup-compatibility/2006">
          <mc:Choice Requires="x14">
            <control shapeId="1145" r:id="rId42" name="Option Button 121">
              <controlPr defaultSize="0" autoFill="0" autoLine="0" autoPict="0">
                <anchor moveWithCells="1">
                  <from>
                    <xdr:col>10</xdr:col>
                    <xdr:colOff>1333500</xdr:colOff>
                    <xdr:row>7</xdr:row>
                    <xdr:rowOff>28575</xdr:rowOff>
                  </from>
                  <to>
                    <xdr:col>11</xdr:col>
                    <xdr:colOff>447675</xdr:colOff>
                    <xdr:row>7</xdr:row>
                    <xdr:rowOff>228600</xdr:rowOff>
                  </to>
                </anchor>
              </controlPr>
            </control>
          </mc:Choice>
        </mc:AlternateContent>
        <mc:AlternateContent xmlns:mc="http://schemas.openxmlformats.org/markup-compatibility/2006">
          <mc:Choice Requires="x14">
            <control shapeId="1147" r:id="rId43" name="Option Button 123">
              <controlPr defaultSize="0" autoFill="0" autoLine="0" autoPict="0">
                <anchor moveWithCells="1">
                  <from>
                    <xdr:col>2</xdr:col>
                    <xdr:colOff>9525</xdr:colOff>
                    <xdr:row>20</xdr:row>
                    <xdr:rowOff>28575</xdr:rowOff>
                  </from>
                  <to>
                    <xdr:col>2</xdr:col>
                    <xdr:colOff>561975</xdr:colOff>
                    <xdr:row>20</xdr:row>
                    <xdr:rowOff>228600</xdr:rowOff>
                  </to>
                </anchor>
              </controlPr>
            </control>
          </mc:Choice>
        </mc:AlternateContent>
        <mc:AlternateContent xmlns:mc="http://schemas.openxmlformats.org/markup-compatibility/2006">
          <mc:Choice Requires="x14">
            <control shapeId="1148" r:id="rId44" name="Option Button 124">
              <controlPr defaultSize="0" autoFill="0" autoLine="0" autoPict="0">
                <anchor moveWithCells="1">
                  <from>
                    <xdr:col>2</xdr:col>
                    <xdr:colOff>609600</xdr:colOff>
                    <xdr:row>20</xdr:row>
                    <xdr:rowOff>28575</xdr:rowOff>
                  </from>
                  <to>
                    <xdr:col>2</xdr:col>
                    <xdr:colOff>1190625</xdr:colOff>
                    <xdr:row>20</xdr:row>
                    <xdr:rowOff>228600</xdr:rowOff>
                  </to>
                </anchor>
              </controlPr>
            </control>
          </mc:Choice>
        </mc:AlternateContent>
        <mc:AlternateContent xmlns:mc="http://schemas.openxmlformats.org/markup-compatibility/2006">
          <mc:Choice Requires="x14">
            <control shapeId="1286" r:id="rId45" name="Check Box 262">
              <controlPr defaultSize="0" autoFill="0" autoLine="0" autoPict="0">
                <anchor moveWithCells="1">
                  <from>
                    <xdr:col>14</xdr:col>
                    <xdr:colOff>0</xdr:colOff>
                    <xdr:row>7</xdr:row>
                    <xdr:rowOff>9525</xdr:rowOff>
                  </from>
                  <to>
                    <xdr:col>15</xdr:col>
                    <xdr:colOff>38100</xdr:colOff>
                    <xdr:row>7</xdr:row>
                    <xdr:rowOff>219075</xdr:rowOff>
                  </to>
                </anchor>
              </controlPr>
            </control>
          </mc:Choice>
        </mc:AlternateContent>
        <mc:AlternateContent xmlns:mc="http://schemas.openxmlformats.org/markup-compatibility/2006">
          <mc:Choice Requires="x14">
            <control shapeId="1298" r:id="rId46" name="Check Box 274">
              <controlPr defaultSize="0" autoFill="0" autoLine="0" autoPict="0">
                <anchor moveWithCells="1">
                  <from>
                    <xdr:col>14</xdr:col>
                    <xdr:colOff>0</xdr:colOff>
                    <xdr:row>8</xdr:row>
                    <xdr:rowOff>9525</xdr:rowOff>
                  </from>
                  <to>
                    <xdr:col>15</xdr:col>
                    <xdr:colOff>28575</xdr:colOff>
                    <xdr:row>8</xdr:row>
                    <xdr:rowOff>219075</xdr:rowOff>
                  </to>
                </anchor>
              </controlPr>
            </control>
          </mc:Choice>
        </mc:AlternateContent>
        <mc:AlternateContent xmlns:mc="http://schemas.openxmlformats.org/markup-compatibility/2006">
          <mc:Choice Requires="x14">
            <control shapeId="1299" r:id="rId47" name="Check Box 275">
              <controlPr defaultSize="0" autoFill="0" autoLine="0" autoPict="0">
                <anchor moveWithCells="1">
                  <from>
                    <xdr:col>14</xdr:col>
                    <xdr:colOff>0</xdr:colOff>
                    <xdr:row>9</xdr:row>
                    <xdr:rowOff>9525</xdr:rowOff>
                  </from>
                  <to>
                    <xdr:col>15</xdr:col>
                    <xdr:colOff>38100</xdr:colOff>
                    <xdr:row>9</xdr:row>
                    <xdr:rowOff>219075</xdr:rowOff>
                  </to>
                </anchor>
              </controlPr>
            </control>
          </mc:Choice>
        </mc:AlternateContent>
        <mc:AlternateContent xmlns:mc="http://schemas.openxmlformats.org/markup-compatibility/2006">
          <mc:Choice Requires="x14">
            <control shapeId="1300" r:id="rId48" name="Check Box 276">
              <controlPr defaultSize="0" autoFill="0" autoLine="0" autoPict="0">
                <anchor moveWithCells="1">
                  <from>
                    <xdr:col>14</xdr:col>
                    <xdr:colOff>0</xdr:colOff>
                    <xdr:row>10</xdr:row>
                    <xdr:rowOff>9525</xdr:rowOff>
                  </from>
                  <to>
                    <xdr:col>15</xdr:col>
                    <xdr:colOff>28575</xdr:colOff>
                    <xdr:row>10</xdr:row>
                    <xdr:rowOff>219075</xdr:rowOff>
                  </to>
                </anchor>
              </controlPr>
            </control>
          </mc:Choice>
        </mc:AlternateContent>
        <mc:AlternateContent xmlns:mc="http://schemas.openxmlformats.org/markup-compatibility/2006">
          <mc:Choice Requires="x14">
            <control shapeId="1301" r:id="rId49" name="Check Box 277">
              <controlPr defaultSize="0" autoFill="0" autoLine="0" autoPict="0">
                <anchor moveWithCells="1">
                  <from>
                    <xdr:col>14</xdr:col>
                    <xdr:colOff>0</xdr:colOff>
                    <xdr:row>11</xdr:row>
                    <xdr:rowOff>9525</xdr:rowOff>
                  </from>
                  <to>
                    <xdr:col>15</xdr:col>
                    <xdr:colOff>38100</xdr:colOff>
                    <xdr:row>12</xdr:row>
                    <xdr:rowOff>0</xdr:rowOff>
                  </to>
                </anchor>
              </controlPr>
            </control>
          </mc:Choice>
        </mc:AlternateContent>
        <mc:AlternateContent xmlns:mc="http://schemas.openxmlformats.org/markup-compatibility/2006">
          <mc:Choice Requires="x14">
            <control shapeId="1302" r:id="rId50" name="Check Box 278">
              <controlPr defaultSize="0" autoFill="0" autoLine="0" autoPict="0">
                <anchor moveWithCells="1">
                  <from>
                    <xdr:col>14</xdr:col>
                    <xdr:colOff>0</xdr:colOff>
                    <xdr:row>12</xdr:row>
                    <xdr:rowOff>9525</xdr:rowOff>
                  </from>
                  <to>
                    <xdr:col>15</xdr:col>
                    <xdr:colOff>38100</xdr:colOff>
                    <xdr:row>12</xdr:row>
                    <xdr:rowOff>219075</xdr:rowOff>
                  </to>
                </anchor>
              </controlPr>
            </control>
          </mc:Choice>
        </mc:AlternateContent>
        <mc:AlternateContent xmlns:mc="http://schemas.openxmlformats.org/markup-compatibility/2006">
          <mc:Choice Requires="x14">
            <control shapeId="1303" r:id="rId51" name="Check Box 279">
              <controlPr defaultSize="0" autoFill="0" autoLine="0" autoPict="0">
                <anchor moveWithCells="1">
                  <from>
                    <xdr:col>14</xdr:col>
                    <xdr:colOff>0</xdr:colOff>
                    <xdr:row>13</xdr:row>
                    <xdr:rowOff>9525</xdr:rowOff>
                  </from>
                  <to>
                    <xdr:col>15</xdr:col>
                    <xdr:colOff>38100</xdr:colOff>
                    <xdr:row>13</xdr:row>
                    <xdr:rowOff>219075</xdr:rowOff>
                  </to>
                </anchor>
              </controlPr>
            </control>
          </mc:Choice>
        </mc:AlternateContent>
        <mc:AlternateContent xmlns:mc="http://schemas.openxmlformats.org/markup-compatibility/2006">
          <mc:Choice Requires="x14">
            <control shapeId="1304" r:id="rId52" name="Check Box 280">
              <controlPr defaultSize="0" autoFill="0" autoLine="0" autoPict="0">
                <anchor moveWithCells="1">
                  <from>
                    <xdr:col>14</xdr:col>
                    <xdr:colOff>0</xdr:colOff>
                    <xdr:row>14</xdr:row>
                    <xdr:rowOff>9525</xdr:rowOff>
                  </from>
                  <to>
                    <xdr:col>15</xdr:col>
                    <xdr:colOff>38100</xdr:colOff>
                    <xdr:row>15</xdr:row>
                    <xdr:rowOff>9525</xdr:rowOff>
                  </to>
                </anchor>
              </controlPr>
            </control>
          </mc:Choice>
        </mc:AlternateContent>
        <mc:AlternateContent xmlns:mc="http://schemas.openxmlformats.org/markup-compatibility/2006">
          <mc:Choice Requires="x14">
            <control shapeId="1305" r:id="rId53" name="Check Box 281">
              <controlPr defaultSize="0" autoFill="0" autoLine="0" autoPict="0">
                <anchor moveWithCells="1">
                  <from>
                    <xdr:col>14</xdr:col>
                    <xdr:colOff>0</xdr:colOff>
                    <xdr:row>15</xdr:row>
                    <xdr:rowOff>9525</xdr:rowOff>
                  </from>
                  <to>
                    <xdr:col>15</xdr:col>
                    <xdr:colOff>38100</xdr:colOff>
                    <xdr:row>16</xdr:row>
                    <xdr:rowOff>9525</xdr:rowOff>
                  </to>
                </anchor>
              </controlPr>
            </control>
          </mc:Choice>
        </mc:AlternateContent>
        <mc:AlternateContent xmlns:mc="http://schemas.openxmlformats.org/markup-compatibility/2006">
          <mc:Choice Requires="x14">
            <control shapeId="1306" r:id="rId54" name="Check Box 282">
              <controlPr defaultSize="0" autoFill="0" autoLine="0" autoPict="0">
                <anchor moveWithCells="1">
                  <from>
                    <xdr:col>14</xdr:col>
                    <xdr:colOff>0</xdr:colOff>
                    <xdr:row>16</xdr:row>
                    <xdr:rowOff>9525</xdr:rowOff>
                  </from>
                  <to>
                    <xdr:col>15</xdr:col>
                    <xdr:colOff>38100</xdr:colOff>
                    <xdr:row>17</xdr:row>
                    <xdr:rowOff>0</xdr:rowOff>
                  </to>
                </anchor>
              </controlPr>
            </control>
          </mc:Choice>
        </mc:AlternateContent>
        <mc:AlternateContent xmlns:mc="http://schemas.openxmlformats.org/markup-compatibility/2006">
          <mc:Choice Requires="x14">
            <control shapeId="1307" r:id="rId55" name="Check Box 283">
              <controlPr defaultSize="0" autoFill="0" autoLine="0" autoPict="0">
                <anchor moveWithCells="1">
                  <from>
                    <xdr:col>14</xdr:col>
                    <xdr:colOff>0</xdr:colOff>
                    <xdr:row>16</xdr:row>
                    <xdr:rowOff>247650</xdr:rowOff>
                  </from>
                  <to>
                    <xdr:col>15</xdr:col>
                    <xdr:colOff>38100</xdr:colOff>
                    <xdr:row>17</xdr:row>
                    <xdr:rowOff>219075</xdr:rowOff>
                  </to>
                </anchor>
              </controlPr>
            </control>
          </mc:Choice>
        </mc:AlternateContent>
        <mc:AlternateContent xmlns:mc="http://schemas.openxmlformats.org/markup-compatibility/2006">
          <mc:Choice Requires="x14">
            <control shapeId="1308" r:id="rId56" name="Check Box 284">
              <controlPr defaultSize="0" autoFill="0" autoLine="0" autoPict="0">
                <anchor moveWithCells="1">
                  <from>
                    <xdr:col>14</xdr:col>
                    <xdr:colOff>0</xdr:colOff>
                    <xdr:row>18</xdr:row>
                    <xdr:rowOff>9525</xdr:rowOff>
                  </from>
                  <to>
                    <xdr:col>15</xdr:col>
                    <xdr:colOff>38100</xdr:colOff>
                    <xdr:row>19</xdr:row>
                    <xdr:rowOff>0</xdr:rowOff>
                  </to>
                </anchor>
              </controlPr>
            </control>
          </mc:Choice>
        </mc:AlternateContent>
        <mc:AlternateContent xmlns:mc="http://schemas.openxmlformats.org/markup-compatibility/2006">
          <mc:Choice Requires="x14">
            <control shapeId="1344" r:id="rId57" name="Option Button 320">
              <controlPr defaultSize="0" autoFill="0" autoLine="0" autoPict="0">
                <anchor moveWithCells="1">
                  <from>
                    <xdr:col>5</xdr:col>
                    <xdr:colOff>123825</xdr:colOff>
                    <xdr:row>6</xdr:row>
                    <xdr:rowOff>9525</xdr:rowOff>
                  </from>
                  <to>
                    <xdr:col>5</xdr:col>
                    <xdr:colOff>695325</xdr:colOff>
                    <xdr:row>6</xdr:row>
                    <xdr:rowOff>228600</xdr:rowOff>
                  </to>
                </anchor>
              </controlPr>
            </control>
          </mc:Choice>
        </mc:AlternateContent>
        <mc:AlternateContent xmlns:mc="http://schemas.openxmlformats.org/markup-compatibility/2006">
          <mc:Choice Requires="x14">
            <control shapeId="1348" r:id="rId58" name="Check Box 324">
              <controlPr defaultSize="0" autoFill="0" autoLine="0" autoPict="0">
                <anchor moveWithCells="1">
                  <from>
                    <xdr:col>7</xdr:col>
                    <xdr:colOff>9525</xdr:colOff>
                    <xdr:row>6</xdr:row>
                    <xdr:rowOff>0</xdr:rowOff>
                  </from>
                  <to>
                    <xdr:col>7</xdr:col>
                    <xdr:colOff>1666875</xdr:colOff>
                    <xdr:row>6</xdr:row>
                    <xdr:rowOff>200025</xdr:rowOff>
                  </to>
                </anchor>
              </controlPr>
            </control>
          </mc:Choice>
        </mc:AlternateContent>
        <mc:AlternateContent xmlns:mc="http://schemas.openxmlformats.org/markup-compatibility/2006">
          <mc:Choice Requires="x14">
            <control shapeId="1371" r:id="rId59" name="Option Button 347">
              <controlPr defaultSize="0" autoFill="0" autoLine="0" autoPict="0">
                <anchor moveWithCells="1">
                  <from>
                    <xdr:col>2</xdr:col>
                    <xdr:colOff>390525</xdr:colOff>
                    <xdr:row>17</xdr:row>
                    <xdr:rowOff>9525</xdr:rowOff>
                  </from>
                  <to>
                    <xdr:col>2</xdr:col>
                    <xdr:colOff>1104900</xdr:colOff>
                    <xdr:row>17</xdr:row>
                    <xdr:rowOff>219075</xdr:rowOff>
                  </to>
                </anchor>
              </controlPr>
            </control>
          </mc:Choice>
        </mc:AlternateContent>
        <mc:AlternateContent xmlns:mc="http://schemas.openxmlformats.org/markup-compatibility/2006">
          <mc:Choice Requires="x14">
            <control shapeId="1375" r:id="rId60" name="Group Box 351">
              <controlPr defaultSize="0" autoPict="0">
                <anchor moveWithCells="1">
                  <from>
                    <xdr:col>2</xdr:col>
                    <xdr:colOff>0</xdr:colOff>
                    <xdr:row>26</xdr:row>
                    <xdr:rowOff>0</xdr:rowOff>
                  </from>
                  <to>
                    <xdr:col>3</xdr:col>
                    <xdr:colOff>0</xdr:colOff>
                    <xdr:row>27</xdr:row>
                    <xdr:rowOff>28575</xdr:rowOff>
                  </to>
                </anchor>
              </controlPr>
            </control>
          </mc:Choice>
        </mc:AlternateContent>
        <mc:AlternateContent xmlns:mc="http://schemas.openxmlformats.org/markup-compatibility/2006">
          <mc:Choice Requires="x14">
            <control shapeId="1376" r:id="rId61" name="Option Button 352">
              <controlPr defaultSize="0" autoFill="0" autoLine="0" autoPict="0">
                <anchor moveWithCells="1">
                  <from>
                    <xdr:col>2</xdr:col>
                    <xdr:colOff>9525</xdr:colOff>
                    <xdr:row>26</xdr:row>
                    <xdr:rowOff>28575</xdr:rowOff>
                  </from>
                  <to>
                    <xdr:col>2</xdr:col>
                    <xdr:colOff>762000</xdr:colOff>
                    <xdr:row>26</xdr:row>
                    <xdr:rowOff>228600</xdr:rowOff>
                  </to>
                </anchor>
              </controlPr>
            </control>
          </mc:Choice>
        </mc:AlternateContent>
        <mc:AlternateContent xmlns:mc="http://schemas.openxmlformats.org/markup-compatibility/2006">
          <mc:Choice Requires="x14">
            <control shapeId="1377" r:id="rId62" name="Option Button 353">
              <controlPr defaultSize="0" autoFill="0" autoLine="0" autoPict="0">
                <anchor moveWithCells="1">
                  <from>
                    <xdr:col>2</xdr:col>
                    <xdr:colOff>742950</xdr:colOff>
                    <xdr:row>26</xdr:row>
                    <xdr:rowOff>28575</xdr:rowOff>
                  </from>
                  <to>
                    <xdr:col>2</xdr:col>
                    <xdr:colOff>1181100</xdr:colOff>
                    <xdr:row>26</xdr:row>
                    <xdr:rowOff>228600</xdr:rowOff>
                  </to>
                </anchor>
              </controlPr>
            </control>
          </mc:Choice>
        </mc:AlternateContent>
        <mc:AlternateContent xmlns:mc="http://schemas.openxmlformats.org/markup-compatibility/2006">
          <mc:Choice Requires="x14">
            <control shapeId="1378" r:id="rId63" name="Group Box 354">
              <controlPr defaultSize="0" autoPict="0">
                <anchor moveWithCells="1">
                  <from>
                    <xdr:col>1</xdr:col>
                    <xdr:colOff>1171575</xdr:colOff>
                    <xdr:row>28</xdr:row>
                    <xdr:rowOff>28575</xdr:rowOff>
                  </from>
                  <to>
                    <xdr:col>3</xdr:col>
                    <xdr:colOff>47625</xdr:colOff>
                    <xdr:row>29</xdr:row>
                    <xdr:rowOff>9525</xdr:rowOff>
                  </to>
                </anchor>
              </controlPr>
            </control>
          </mc:Choice>
        </mc:AlternateContent>
        <mc:AlternateContent xmlns:mc="http://schemas.openxmlformats.org/markup-compatibility/2006">
          <mc:Choice Requires="x14">
            <control shapeId="1379" r:id="rId64" name="Option Button 355">
              <controlPr defaultSize="0" autoFill="0" autoLine="0" autoPict="0">
                <anchor moveWithCells="1">
                  <from>
                    <xdr:col>1</xdr:col>
                    <xdr:colOff>1314450</xdr:colOff>
                    <xdr:row>28</xdr:row>
                    <xdr:rowOff>28575</xdr:rowOff>
                  </from>
                  <to>
                    <xdr:col>2</xdr:col>
                    <xdr:colOff>638175</xdr:colOff>
                    <xdr:row>28</xdr:row>
                    <xdr:rowOff>228600</xdr:rowOff>
                  </to>
                </anchor>
              </controlPr>
            </control>
          </mc:Choice>
        </mc:AlternateContent>
        <mc:AlternateContent xmlns:mc="http://schemas.openxmlformats.org/markup-compatibility/2006">
          <mc:Choice Requires="x14">
            <control shapeId="1380" r:id="rId65" name="Option Button 356">
              <controlPr defaultSize="0" autoFill="0" autoLine="0" autoPict="0">
                <anchor moveWithCells="1">
                  <from>
                    <xdr:col>2</xdr:col>
                    <xdr:colOff>371475</xdr:colOff>
                    <xdr:row>28</xdr:row>
                    <xdr:rowOff>28575</xdr:rowOff>
                  </from>
                  <to>
                    <xdr:col>2</xdr:col>
                    <xdr:colOff>847725</xdr:colOff>
                    <xdr:row>28</xdr:row>
                    <xdr:rowOff>228600</xdr:rowOff>
                  </to>
                </anchor>
              </controlPr>
            </control>
          </mc:Choice>
        </mc:AlternateContent>
        <mc:AlternateContent xmlns:mc="http://schemas.openxmlformats.org/markup-compatibility/2006">
          <mc:Choice Requires="x14">
            <control shapeId="1407" r:id="rId66" name="Group Box 383">
              <controlPr defaultSize="0" autoPict="0">
                <anchor moveWithCells="1">
                  <from>
                    <xdr:col>1</xdr:col>
                    <xdr:colOff>790575</xdr:colOff>
                    <xdr:row>20</xdr:row>
                    <xdr:rowOff>0</xdr:rowOff>
                  </from>
                  <to>
                    <xdr:col>2</xdr:col>
                    <xdr:colOff>1228725</xdr:colOff>
                    <xdr:row>21</xdr:row>
                    <xdr:rowOff>0</xdr:rowOff>
                  </to>
                </anchor>
              </controlPr>
            </control>
          </mc:Choice>
        </mc:AlternateContent>
        <mc:AlternateContent xmlns:mc="http://schemas.openxmlformats.org/markup-compatibility/2006">
          <mc:Choice Requires="x14">
            <control shapeId="1409" r:id="rId67" name="Option Button 385">
              <controlPr defaultSize="0" autoFill="0" autoLine="0" autoPict="0">
                <anchor moveWithCells="1">
                  <from>
                    <xdr:col>4</xdr:col>
                    <xdr:colOff>514350</xdr:colOff>
                    <xdr:row>7</xdr:row>
                    <xdr:rowOff>28575</xdr:rowOff>
                  </from>
                  <to>
                    <xdr:col>4</xdr:col>
                    <xdr:colOff>1571625</xdr:colOff>
                    <xdr:row>7</xdr:row>
                    <xdr:rowOff>228600</xdr:rowOff>
                  </to>
                </anchor>
              </controlPr>
            </control>
          </mc:Choice>
        </mc:AlternateContent>
        <mc:AlternateContent xmlns:mc="http://schemas.openxmlformats.org/markup-compatibility/2006">
          <mc:Choice Requires="x14">
            <control shapeId="1410" r:id="rId68" name="Option Button 386">
              <controlPr defaultSize="0" autoFill="0" autoLine="0" autoPict="0">
                <anchor moveWithCells="1">
                  <from>
                    <xdr:col>4</xdr:col>
                    <xdr:colOff>1533525</xdr:colOff>
                    <xdr:row>7</xdr:row>
                    <xdr:rowOff>9525</xdr:rowOff>
                  </from>
                  <to>
                    <xdr:col>5</xdr:col>
                    <xdr:colOff>762000</xdr:colOff>
                    <xdr:row>7</xdr:row>
                    <xdr:rowOff>238125</xdr:rowOff>
                  </to>
                </anchor>
              </controlPr>
            </control>
          </mc:Choice>
        </mc:AlternateContent>
        <mc:AlternateContent xmlns:mc="http://schemas.openxmlformats.org/markup-compatibility/2006">
          <mc:Choice Requires="x14">
            <control shapeId="1411" r:id="rId69" name="Group Box 387">
              <controlPr defaultSize="0" autoPict="0">
                <anchor moveWithCells="1">
                  <from>
                    <xdr:col>3</xdr:col>
                    <xdr:colOff>66675</xdr:colOff>
                    <xdr:row>7</xdr:row>
                    <xdr:rowOff>0</xdr:rowOff>
                  </from>
                  <to>
                    <xdr:col>5</xdr:col>
                    <xdr:colOff>990600</xdr:colOff>
                    <xdr:row>8</xdr:row>
                    <xdr:rowOff>0</xdr:rowOff>
                  </to>
                </anchor>
              </controlPr>
            </control>
          </mc:Choice>
        </mc:AlternateContent>
        <mc:AlternateContent xmlns:mc="http://schemas.openxmlformats.org/markup-compatibility/2006">
          <mc:Choice Requires="x14">
            <control shapeId="1414" r:id="rId70" name="Check Box 390">
              <controlPr defaultSize="0" autoFill="0" autoLine="0" autoPict="0">
                <anchor moveWithCells="1">
                  <from>
                    <xdr:col>1</xdr:col>
                    <xdr:colOff>9525</xdr:colOff>
                    <xdr:row>32</xdr:row>
                    <xdr:rowOff>28575</xdr:rowOff>
                  </from>
                  <to>
                    <xdr:col>1</xdr:col>
                    <xdr:colOff>714375</xdr:colOff>
                    <xdr:row>32</xdr:row>
                    <xdr:rowOff>228600</xdr:rowOff>
                  </to>
                </anchor>
              </controlPr>
            </control>
          </mc:Choice>
        </mc:AlternateContent>
        <mc:AlternateContent xmlns:mc="http://schemas.openxmlformats.org/markup-compatibility/2006">
          <mc:Choice Requires="x14">
            <control shapeId="1415" r:id="rId71" name="Check Box 391">
              <controlPr defaultSize="0" autoFill="0" autoLine="0" autoPict="0">
                <anchor moveWithCells="1">
                  <from>
                    <xdr:col>1</xdr:col>
                    <xdr:colOff>9525</xdr:colOff>
                    <xdr:row>31</xdr:row>
                    <xdr:rowOff>28575</xdr:rowOff>
                  </from>
                  <to>
                    <xdr:col>1</xdr:col>
                    <xdr:colOff>714375</xdr:colOff>
                    <xdr:row>31</xdr:row>
                    <xdr:rowOff>228600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320"/>
  <sheetViews>
    <sheetView topLeftCell="A290" workbookViewId="0">
      <selection activeCell="D308" sqref="D308"/>
    </sheetView>
  </sheetViews>
  <sheetFormatPr defaultRowHeight="12.75"/>
  <cols>
    <col min="3" max="3" width="9.85546875" customWidth="1"/>
  </cols>
  <sheetData>
    <row r="1" spans="1:24">
      <c r="A1" s="1631" t="s">
        <v>1139</v>
      </c>
    </row>
    <row r="3" spans="1:24">
      <c r="C3" t="s">
        <v>1131</v>
      </c>
      <c r="D3" s="1717">
        <v>2000</v>
      </c>
      <c r="E3" s="1717"/>
    </row>
    <row r="4" spans="1:24">
      <c r="C4" s="1706" t="s">
        <v>1130</v>
      </c>
      <c r="D4" s="1716">
        <v>0.02</v>
      </c>
      <c r="E4" s="1716"/>
    </row>
    <row r="6" spans="1:24">
      <c r="D6" s="1711"/>
      <c r="E6" s="1711"/>
      <c r="P6" t="s">
        <v>1132</v>
      </c>
      <c r="Q6" t="s">
        <v>1132</v>
      </c>
      <c r="R6" t="s">
        <v>1132</v>
      </c>
    </row>
    <row r="7" spans="1:24">
      <c r="H7" t="s">
        <v>1221</v>
      </c>
      <c r="I7" t="s">
        <v>1134</v>
      </c>
      <c r="J7" t="s">
        <v>1135</v>
      </c>
      <c r="K7" t="s">
        <v>360</v>
      </c>
      <c r="L7" t="s">
        <v>344</v>
      </c>
      <c r="N7" t="s">
        <v>1132</v>
      </c>
      <c r="O7" t="s">
        <v>1132</v>
      </c>
      <c r="P7" t="s">
        <v>1133</v>
      </c>
      <c r="Q7" t="s">
        <v>1134</v>
      </c>
      <c r="R7" t="s">
        <v>1135</v>
      </c>
    </row>
    <row r="8" spans="1:24">
      <c r="C8" s="1487" t="s">
        <v>413</v>
      </c>
      <c r="D8" s="1487" t="s">
        <v>172</v>
      </c>
      <c r="E8" s="1487" t="s">
        <v>316</v>
      </c>
      <c r="F8" s="1487" t="s">
        <v>360</v>
      </c>
      <c r="G8" s="1487" t="s">
        <v>344</v>
      </c>
      <c r="H8" t="s">
        <v>1080</v>
      </c>
      <c r="I8" t="s">
        <v>1136</v>
      </c>
      <c r="J8" t="s">
        <v>1080</v>
      </c>
      <c r="K8" t="s">
        <v>1137</v>
      </c>
      <c r="L8" t="s">
        <v>1137</v>
      </c>
      <c r="N8" s="1487" t="s">
        <v>360</v>
      </c>
      <c r="O8" s="1487" t="s">
        <v>344</v>
      </c>
      <c r="P8" t="s">
        <v>1080</v>
      </c>
      <c r="Q8" t="s">
        <v>1136</v>
      </c>
      <c r="R8" t="s">
        <v>1080</v>
      </c>
      <c r="U8" t="s">
        <v>360</v>
      </c>
      <c r="V8" t="s">
        <v>344</v>
      </c>
      <c r="W8" t="s">
        <v>1138</v>
      </c>
    </row>
    <row r="9" spans="1:24">
      <c r="C9" s="1712">
        <v>1998</v>
      </c>
      <c r="D9" s="1712">
        <v>1</v>
      </c>
      <c r="E9" s="1723">
        <v>35796</v>
      </c>
      <c r="F9" s="1713">
        <v>0</v>
      </c>
      <c r="G9" s="1713">
        <v>0</v>
      </c>
      <c r="H9" s="1713">
        <v>0</v>
      </c>
      <c r="I9" s="1713">
        <v>0</v>
      </c>
      <c r="J9" s="1713">
        <f t="shared" ref="J9:J72" si="0">SUM(H9:I9)</f>
        <v>0</v>
      </c>
      <c r="K9" t="e">
        <f t="shared" ref="K9:L72" si="1">F9/$J9*1000</f>
        <v>#DIV/0!</v>
      </c>
      <c r="L9" t="e">
        <f t="shared" si="1"/>
        <v>#DIV/0!</v>
      </c>
      <c r="N9" s="1714">
        <f>F9*(1+$D$4)^($C9-$D$3)</f>
        <v>0</v>
      </c>
      <c r="O9" s="1714">
        <f>G9*(1+$D$4)^($C9-$D$3)</f>
        <v>0</v>
      </c>
      <c r="P9" s="1714">
        <f>H9*(1+$D$4)^($C9-$D$3)</f>
        <v>0</v>
      </c>
      <c r="Q9" s="1714">
        <f>I9*(1+$D$4)^($C9-$D$3)</f>
        <v>0</v>
      </c>
      <c r="R9" s="1714">
        <f t="shared" ref="R9:R72" si="2">SUM(P9:Q9)</f>
        <v>0</v>
      </c>
      <c r="T9">
        <v>1999</v>
      </c>
      <c r="U9" s="1714">
        <f t="shared" ref="U9:U30" si="3">SUMIF($C$9:$C$284,$T9,F$9:F$284)/12</f>
        <v>0</v>
      </c>
      <c r="V9" s="1714">
        <f t="shared" ref="V9:V30" si="4">SUMIF($C$9:$C$284,$T9,G$9:G$284)/12</f>
        <v>0</v>
      </c>
      <c r="W9" s="1714">
        <f>80/168*U9+88/168*V9</f>
        <v>0</v>
      </c>
      <c r="X9" s="1714">
        <f>W9/1000</f>
        <v>0</v>
      </c>
    </row>
    <row r="10" spans="1:24">
      <c r="C10" s="1712">
        <v>1998</v>
      </c>
      <c r="D10" s="1712">
        <v>2</v>
      </c>
      <c r="E10" s="1723">
        <v>35827</v>
      </c>
      <c r="F10" s="1713">
        <v>0</v>
      </c>
      <c r="G10" s="1713">
        <v>0</v>
      </c>
      <c r="H10" s="1713">
        <v>0</v>
      </c>
      <c r="I10" s="1713">
        <v>0</v>
      </c>
      <c r="J10" s="1713">
        <f t="shared" si="0"/>
        <v>0</v>
      </c>
      <c r="K10" t="e">
        <f t="shared" si="1"/>
        <v>#DIV/0!</v>
      </c>
      <c r="L10" t="e">
        <f t="shared" si="1"/>
        <v>#DIV/0!</v>
      </c>
      <c r="N10" s="1714">
        <f t="shared" ref="N10:N73" si="5">F10*(1+$D$4)^($C10-$D$3)</f>
        <v>0</v>
      </c>
      <c r="O10" s="1714">
        <f t="shared" ref="O10:O73" si="6">G10*(1+$D$4)^($C10-$D$3)</f>
        <v>0</v>
      </c>
      <c r="P10" s="1714">
        <f t="shared" ref="P10:P73" si="7">H10*(1+$D$4)^($C10-$D$3)</f>
        <v>0</v>
      </c>
      <c r="Q10" s="1714">
        <f t="shared" ref="Q10:Q73" si="8">I10*(1+$D$4)^($C10-$D$3)</f>
        <v>0</v>
      </c>
      <c r="R10" s="1714">
        <f t="shared" si="2"/>
        <v>0</v>
      </c>
      <c r="T10">
        <v>2000</v>
      </c>
      <c r="U10" s="1714">
        <f t="shared" si="3"/>
        <v>31.546833333333328</v>
      </c>
      <c r="V10" s="1714">
        <f t="shared" si="4"/>
        <v>19.159116666666666</v>
      </c>
      <c r="W10" s="1714">
        <f t="shared" ref="W10:W30" si="9">80/168*U10+88/168*V10</f>
        <v>25.058029365079364</v>
      </c>
      <c r="X10" s="1714">
        <f t="shared" ref="X10:X30" si="10">W10/1000</f>
        <v>2.5058029365079365E-2</v>
      </c>
    </row>
    <row r="11" spans="1:24">
      <c r="C11" s="1712">
        <v>1998</v>
      </c>
      <c r="D11" s="1712">
        <v>3</v>
      </c>
      <c r="E11" s="1723">
        <v>35855</v>
      </c>
      <c r="F11" s="1713">
        <v>0</v>
      </c>
      <c r="G11" s="1713">
        <v>0</v>
      </c>
      <c r="H11" s="1713">
        <v>0</v>
      </c>
      <c r="I11" s="1713">
        <v>0</v>
      </c>
      <c r="J11" s="1713">
        <f t="shared" si="0"/>
        <v>0</v>
      </c>
      <c r="K11" t="e">
        <f t="shared" si="1"/>
        <v>#DIV/0!</v>
      </c>
      <c r="L11" t="e">
        <f t="shared" si="1"/>
        <v>#DIV/0!</v>
      </c>
      <c r="N11" s="1714">
        <f t="shared" si="5"/>
        <v>0</v>
      </c>
      <c r="O11" s="1714">
        <f t="shared" si="6"/>
        <v>0</v>
      </c>
      <c r="P11" s="1714">
        <f t="shared" si="7"/>
        <v>0</v>
      </c>
      <c r="Q11" s="1714">
        <f t="shared" si="8"/>
        <v>0</v>
      </c>
      <c r="R11" s="1714">
        <f t="shared" si="2"/>
        <v>0</v>
      </c>
      <c r="T11">
        <v>2001</v>
      </c>
      <c r="U11" s="1714">
        <f t="shared" si="3"/>
        <v>30.572483333333334</v>
      </c>
      <c r="V11" s="1714">
        <f t="shared" si="4"/>
        <v>19.667433333333335</v>
      </c>
      <c r="W11" s="1714">
        <f t="shared" si="9"/>
        <v>24.860314285714288</v>
      </c>
      <c r="X11" s="1714">
        <f t="shared" si="10"/>
        <v>2.4860314285714287E-2</v>
      </c>
    </row>
    <row r="12" spans="1:24">
      <c r="C12" s="1712">
        <v>1998</v>
      </c>
      <c r="D12" s="1712">
        <v>4</v>
      </c>
      <c r="E12" s="1723">
        <v>35886</v>
      </c>
      <c r="F12" s="1713">
        <v>0</v>
      </c>
      <c r="G12" s="1713">
        <v>0</v>
      </c>
      <c r="H12" s="1713">
        <v>0</v>
      </c>
      <c r="I12" s="1713">
        <v>0</v>
      </c>
      <c r="J12" s="1713">
        <f t="shared" si="0"/>
        <v>0</v>
      </c>
      <c r="K12" t="e">
        <f t="shared" si="1"/>
        <v>#DIV/0!</v>
      </c>
      <c r="L12" t="e">
        <f t="shared" si="1"/>
        <v>#DIV/0!</v>
      </c>
      <c r="N12" s="1714">
        <f t="shared" si="5"/>
        <v>0</v>
      </c>
      <c r="O12" s="1714">
        <f t="shared" si="6"/>
        <v>0</v>
      </c>
      <c r="P12" s="1714">
        <f t="shared" si="7"/>
        <v>0</v>
      </c>
      <c r="Q12" s="1714">
        <f t="shared" si="8"/>
        <v>0</v>
      </c>
      <c r="R12" s="1714">
        <f t="shared" si="2"/>
        <v>0</v>
      </c>
      <c r="T12">
        <v>2002</v>
      </c>
      <c r="U12" s="1714">
        <f t="shared" si="3"/>
        <v>34.636291666666665</v>
      </c>
      <c r="V12" s="1714">
        <f t="shared" si="4"/>
        <v>21.121874999999999</v>
      </c>
      <c r="W12" s="1714">
        <f t="shared" si="9"/>
        <v>27.557311507936504</v>
      </c>
      <c r="X12" s="1714">
        <f t="shared" si="10"/>
        <v>2.7557311507936503E-2</v>
      </c>
    </row>
    <row r="13" spans="1:24">
      <c r="C13" s="1712">
        <v>1998</v>
      </c>
      <c r="D13" s="1712">
        <v>5</v>
      </c>
      <c r="E13" s="1723">
        <v>35916</v>
      </c>
      <c r="F13" s="1713">
        <v>0</v>
      </c>
      <c r="G13" s="1713">
        <v>0</v>
      </c>
      <c r="H13" s="1713">
        <v>0</v>
      </c>
      <c r="I13" s="1713">
        <v>0</v>
      </c>
      <c r="J13" s="1713">
        <f t="shared" si="0"/>
        <v>0</v>
      </c>
      <c r="K13" t="e">
        <f t="shared" si="1"/>
        <v>#DIV/0!</v>
      </c>
      <c r="L13" t="e">
        <f t="shared" si="1"/>
        <v>#DIV/0!</v>
      </c>
      <c r="N13" s="1714">
        <f t="shared" si="5"/>
        <v>0</v>
      </c>
      <c r="O13" s="1714">
        <f t="shared" si="6"/>
        <v>0</v>
      </c>
      <c r="P13" s="1714">
        <f t="shared" si="7"/>
        <v>0</v>
      </c>
      <c r="Q13" s="1714">
        <f t="shared" si="8"/>
        <v>0</v>
      </c>
      <c r="R13" s="1714">
        <f t="shared" si="2"/>
        <v>0</v>
      </c>
      <c r="T13">
        <v>2003</v>
      </c>
      <c r="U13" s="1714">
        <f t="shared" si="3"/>
        <v>35.795025000000003</v>
      </c>
      <c r="V13" s="1714">
        <f t="shared" si="4"/>
        <v>21.390808333333336</v>
      </c>
      <c r="W13" s="1714">
        <f t="shared" si="9"/>
        <v>28.24995912698413</v>
      </c>
      <c r="X13" s="1714">
        <f t="shared" si="10"/>
        <v>2.824995912698413E-2</v>
      </c>
    </row>
    <row r="14" spans="1:24">
      <c r="C14" s="1712">
        <v>1998</v>
      </c>
      <c r="D14" s="1712">
        <v>6</v>
      </c>
      <c r="E14" s="1723">
        <v>35947</v>
      </c>
      <c r="F14" s="1713">
        <v>0</v>
      </c>
      <c r="G14" s="1713">
        <v>0</v>
      </c>
      <c r="H14" s="1713">
        <v>0</v>
      </c>
      <c r="I14" s="1713">
        <v>0</v>
      </c>
      <c r="J14" s="1713">
        <f t="shared" si="0"/>
        <v>0</v>
      </c>
      <c r="K14" t="e">
        <f t="shared" si="1"/>
        <v>#DIV/0!</v>
      </c>
      <c r="L14" t="e">
        <f t="shared" si="1"/>
        <v>#DIV/0!</v>
      </c>
      <c r="N14" s="1714">
        <f t="shared" si="5"/>
        <v>0</v>
      </c>
      <c r="O14" s="1714">
        <f t="shared" si="6"/>
        <v>0</v>
      </c>
      <c r="P14" s="1714">
        <f t="shared" si="7"/>
        <v>0</v>
      </c>
      <c r="Q14" s="1714">
        <f t="shared" si="8"/>
        <v>0</v>
      </c>
      <c r="R14" s="1714">
        <f t="shared" si="2"/>
        <v>0</v>
      </c>
      <c r="T14">
        <v>2004</v>
      </c>
      <c r="U14" s="1714">
        <f t="shared" si="3"/>
        <v>39.201633333333334</v>
      </c>
      <c r="V14" s="1714">
        <f t="shared" si="4"/>
        <v>22.124083333333331</v>
      </c>
      <c r="W14" s="1714">
        <f t="shared" si="9"/>
        <v>30.256249999999994</v>
      </c>
      <c r="X14" s="1714">
        <f t="shared" si="10"/>
        <v>3.0256249999999995E-2</v>
      </c>
    </row>
    <row r="15" spans="1:24">
      <c r="C15" s="1712">
        <v>1998</v>
      </c>
      <c r="D15" s="1712">
        <v>7</v>
      </c>
      <c r="E15" s="1723">
        <v>35977</v>
      </c>
      <c r="F15" s="1713">
        <v>0</v>
      </c>
      <c r="G15" s="1713">
        <v>0</v>
      </c>
      <c r="H15" s="1713">
        <v>0</v>
      </c>
      <c r="I15" s="1713">
        <v>0</v>
      </c>
      <c r="J15" s="1713">
        <f t="shared" si="0"/>
        <v>0</v>
      </c>
      <c r="K15" t="e">
        <f t="shared" si="1"/>
        <v>#DIV/0!</v>
      </c>
      <c r="L15" t="e">
        <f t="shared" si="1"/>
        <v>#DIV/0!</v>
      </c>
      <c r="N15" s="1714">
        <f t="shared" si="5"/>
        <v>0</v>
      </c>
      <c r="O15" s="1714">
        <f t="shared" si="6"/>
        <v>0</v>
      </c>
      <c r="P15" s="1714">
        <f t="shared" si="7"/>
        <v>0</v>
      </c>
      <c r="Q15" s="1714">
        <f t="shared" si="8"/>
        <v>0</v>
      </c>
      <c r="R15" s="1714">
        <f t="shared" si="2"/>
        <v>0</v>
      </c>
      <c r="T15">
        <v>2005</v>
      </c>
      <c r="U15" s="1714">
        <f t="shared" si="3"/>
        <v>43.183033333333334</v>
      </c>
      <c r="V15" s="1714">
        <f t="shared" si="4"/>
        <v>22.523691666666664</v>
      </c>
      <c r="W15" s="1714">
        <f t="shared" si="9"/>
        <v>32.361473412698409</v>
      </c>
      <c r="X15" s="1714">
        <f t="shared" si="10"/>
        <v>3.2361473412698412E-2</v>
      </c>
    </row>
    <row r="16" spans="1:24">
      <c r="C16" s="1712">
        <v>1998</v>
      </c>
      <c r="D16" s="1712">
        <v>8</v>
      </c>
      <c r="E16" s="1723">
        <v>36008</v>
      </c>
      <c r="F16" s="1713">
        <v>0</v>
      </c>
      <c r="G16" s="1713">
        <v>0</v>
      </c>
      <c r="H16" s="1713">
        <v>0</v>
      </c>
      <c r="I16" s="1713">
        <v>0</v>
      </c>
      <c r="J16" s="1713">
        <f t="shared" si="0"/>
        <v>0</v>
      </c>
      <c r="K16" t="e">
        <f t="shared" si="1"/>
        <v>#DIV/0!</v>
      </c>
      <c r="L16" t="e">
        <f t="shared" si="1"/>
        <v>#DIV/0!</v>
      </c>
      <c r="N16" s="1714">
        <f t="shared" si="5"/>
        <v>0</v>
      </c>
      <c r="O16" s="1714">
        <f t="shared" si="6"/>
        <v>0</v>
      </c>
      <c r="P16" s="1714">
        <f t="shared" si="7"/>
        <v>0</v>
      </c>
      <c r="Q16" s="1714">
        <f t="shared" si="8"/>
        <v>0</v>
      </c>
      <c r="R16" s="1714">
        <f t="shared" si="2"/>
        <v>0</v>
      </c>
      <c r="T16">
        <v>2006</v>
      </c>
      <c r="U16" s="1714">
        <f t="shared" si="3"/>
        <v>44.2346</v>
      </c>
      <c r="V16" s="1714">
        <f t="shared" si="4"/>
        <v>23.096283333333332</v>
      </c>
      <c r="W16" s="1714">
        <f t="shared" si="9"/>
        <v>33.162148412698414</v>
      </c>
      <c r="X16" s="1714">
        <f t="shared" si="10"/>
        <v>3.3162148412698413E-2</v>
      </c>
    </row>
    <row r="17" spans="3:24">
      <c r="C17" s="1712">
        <v>1998</v>
      </c>
      <c r="D17" s="1712">
        <v>9</v>
      </c>
      <c r="E17" s="1723">
        <v>36039</v>
      </c>
      <c r="F17" s="1713">
        <v>0</v>
      </c>
      <c r="G17" s="1713">
        <v>0</v>
      </c>
      <c r="H17" s="1713">
        <v>0</v>
      </c>
      <c r="I17" s="1713">
        <v>0</v>
      </c>
      <c r="J17" s="1713">
        <f t="shared" si="0"/>
        <v>0</v>
      </c>
      <c r="K17" t="e">
        <f t="shared" si="1"/>
        <v>#DIV/0!</v>
      </c>
      <c r="L17" t="e">
        <f t="shared" si="1"/>
        <v>#DIV/0!</v>
      </c>
      <c r="N17" s="1714">
        <f t="shared" si="5"/>
        <v>0</v>
      </c>
      <c r="O17" s="1714">
        <f t="shared" si="6"/>
        <v>0</v>
      </c>
      <c r="P17" s="1714">
        <f t="shared" si="7"/>
        <v>0</v>
      </c>
      <c r="Q17" s="1714">
        <f t="shared" si="8"/>
        <v>0</v>
      </c>
      <c r="R17" s="1714">
        <f t="shared" si="2"/>
        <v>0</v>
      </c>
      <c r="T17">
        <v>2007</v>
      </c>
      <c r="U17" s="1714">
        <f t="shared" si="3"/>
        <v>43.908050000000003</v>
      </c>
      <c r="V17" s="1714">
        <f t="shared" si="4"/>
        <v>22.719116666666665</v>
      </c>
      <c r="W17" s="1714">
        <f t="shared" si="9"/>
        <v>32.809084920634916</v>
      </c>
      <c r="X17" s="1714">
        <f t="shared" si="10"/>
        <v>3.2809084920634918E-2</v>
      </c>
    </row>
    <row r="18" spans="3:24">
      <c r="C18" s="1712">
        <v>1998</v>
      </c>
      <c r="D18" s="1712">
        <v>10</v>
      </c>
      <c r="E18" s="1723">
        <v>36069</v>
      </c>
      <c r="F18" s="1713">
        <v>0</v>
      </c>
      <c r="G18" s="1713">
        <v>0</v>
      </c>
      <c r="H18" s="1713">
        <v>0</v>
      </c>
      <c r="I18" s="1713">
        <v>0</v>
      </c>
      <c r="J18" s="1713">
        <f t="shared" si="0"/>
        <v>0</v>
      </c>
      <c r="K18" t="e">
        <f t="shared" si="1"/>
        <v>#DIV/0!</v>
      </c>
      <c r="L18" t="e">
        <f t="shared" si="1"/>
        <v>#DIV/0!</v>
      </c>
      <c r="N18" s="1714">
        <f t="shared" si="5"/>
        <v>0</v>
      </c>
      <c r="O18" s="1714">
        <f t="shared" si="6"/>
        <v>0</v>
      </c>
      <c r="P18" s="1714">
        <f t="shared" si="7"/>
        <v>0</v>
      </c>
      <c r="Q18" s="1714">
        <f t="shared" si="8"/>
        <v>0</v>
      </c>
      <c r="R18" s="1714">
        <f t="shared" si="2"/>
        <v>0</v>
      </c>
      <c r="T18">
        <v>2008</v>
      </c>
      <c r="U18" s="1714">
        <f t="shared" si="3"/>
        <v>42.393633333333327</v>
      </c>
      <c r="V18" s="1714">
        <f t="shared" si="4"/>
        <v>22.396675000000002</v>
      </c>
      <c r="W18" s="1714">
        <f t="shared" si="9"/>
        <v>31.919036111111112</v>
      </c>
      <c r="X18" s="1714">
        <f t="shared" si="10"/>
        <v>3.1919036111111111E-2</v>
      </c>
    </row>
    <row r="19" spans="3:24">
      <c r="C19" s="1712">
        <v>1998</v>
      </c>
      <c r="D19" s="1712">
        <v>11</v>
      </c>
      <c r="E19" s="1723">
        <v>36100</v>
      </c>
      <c r="F19" s="1713">
        <v>0</v>
      </c>
      <c r="G19" s="1713">
        <v>0</v>
      </c>
      <c r="H19" s="1713">
        <v>0</v>
      </c>
      <c r="I19" s="1713">
        <v>0</v>
      </c>
      <c r="J19" s="1713">
        <f t="shared" si="0"/>
        <v>0</v>
      </c>
      <c r="K19" t="e">
        <f t="shared" si="1"/>
        <v>#DIV/0!</v>
      </c>
      <c r="L19" t="e">
        <f t="shared" si="1"/>
        <v>#DIV/0!</v>
      </c>
      <c r="N19" s="1714">
        <f t="shared" si="5"/>
        <v>0</v>
      </c>
      <c r="O19" s="1714">
        <f t="shared" si="6"/>
        <v>0</v>
      </c>
      <c r="P19" s="1714">
        <f t="shared" si="7"/>
        <v>0</v>
      </c>
      <c r="Q19" s="1714">
        <f t="shared" si="8"/>
        <v>0</v>
      </c>
      <c r="R19" s="1714">
        <f t="shared" si="2"/>
        <v>0</v>
      </c>
      <c r="T19">
        <v>2009</v>
      </c>
      <c r="U19" s="1714">
        <f t="shared" si="3"/>
        <v>41.675641666666671</v>
      </c>
      <c r="V19" s="1714">
        <f t="shared" si="4"/>
        <v>22.664841666666664</v>
      </c>
      <c r="W19" s="1714">
        <f t="shared" si="9"/>
        <v>31.717603571428569</v>
      </c>
      <c r="X19" s="1714">
        <f t="shared" si="10"/>
        <v>3.1717603571428568E-2</v>
      </c>
    </row>
    <row r="20" spans="3:24">
      <c r="C20" s="1712">
        <v>1998</v>
      </c>
      <c r="D20" s="1712">
        <v>12</v>
      </c>
      <c r="E20" s="1723">
        <v>36130</v>
      </c>
      <c r="F20" s="1713">
        <v>0</v>
      </c>
      <c r="G20" s="1713">
        <v>0</v>
      </c>
      <c r="H20" s="1713">
        <v>0</v>
      </c>
      <c r="I20" s="1713">
        <v>0</v>
      </c>
      <c r="J20" s="1713">
        <f t="shared" si="0"/>
        <v>0</v>
      </c>
      <c r="K20" t="e">
        <f t="shared" si="1"/>
        <v>#DIV/0!</v>
      </c>
      <c r="L20" t="e">
        <f t="shared" si="1"/>
        <v>#DIV/0!</v>
      </c>
      <c r="N20" s="1714">
        <f t="shared" si="5"/>
        <v>0</v>
      </c>
      <c r="O20" s="1714">
        <f t="shared" si="6"/>
        <v>0</v>
      </c>
      <c r="P20" s="1714">
        <f t="shared" si="7"/>
        <v>0</v>
      </c>
      <c r="Q20" s="1714">
        <f t="shared" si="8"/>
        <v>0</v>
      </c>
      <c r="R20" s="1714">
        <f t="shared" si="2"/>
        <v>0</v>
      </c>
      <c r="T20">
        <v>2010</v>
      </c>
      <c r="U20" s="1714">
        <f t="shared" si="3"/>
        <v>45.079749999999997</v>
      </c>
      <c r="V20" s="1714">
        <f t="shared" si="4"/>
        <v>22.713274999999996</v>
      </c>
      <c r="W20" s="1714">
        <f t="shared" si="9"/>
        <v>33.363977380952377</v>
      </c>
      <c r="X20" s="1714">
        <f t="shared" si="10"/>
        <v>3.3363977380952377E-2</v>
      </c>
    </row>
    <row r="21" spans="3:24">
      <c r="C21" s="1712">
        <v>1999</v>
      </c>
      <c r="D21" s="1712">
        <v>1</v>
      </c>
      <c r="E21" s="1723">
        <v>36161</v>
      </c>
      <c r="F21" s="1713">
        <v>0</v>
      </c>
      <c r="G21" s="1713">
        <v>0</v>
      </c>
      <c r="H21" s="1713">
        <v>0</v>
      </c>
      <c r="I21" s="1713">
        <v>0</v>
      </c>
      <c r="J21" s="1713">
        <f t="shared" si="0"/>
        <v>0</v>
      </c>
      <c r="K21" t="e">
        <f t="shared" si="1"/>
        <v>#DIV/0!</v>
      </c>
      <c r="L21" t="e">
        <f t="shared" si="1"/>
        <v>#DIV/0!</v>
      </c>
      <c r="N21" s="1714">
        <f t="shared" si="5"/>
        <v>0</v>
      </c>
      <c r="O21" s="1714">
        <f t="shared" si="6"/>
        <v>0</v>
      </c>
      <c r="P21" s="1714">
        <f t="shared" si="7"/>
        <v>0</v>
      </c>
      <c r="Q21" s="1714">
        <f t="shared" si="8"/>
        <v>0</v>
      </c>
      <c r="R21" s="1714">
        <f t="shared" si="2"/>
        <v>0</v>
      </c>
      <c r="T21">
        <v>2011</v>
      </c>
      <c r="U21" s="1714">
        <f t="shared" si="3"/>
        <v>44.286858333333335</v>
      </c>
      <c r="V21" s="1714">
        <f t="shared" si="4"/>
        <v>22.616716666666665</v>
      </c>
      <c r="W21" s="1714">
        <f t="shared" si="9"/>
        <v>32.935831746031745</v>
      </c>
      <c r="X21" s="1714">
        <f t="shared" si="10"/>
        <v>3.2935831746031742E-2</v>
      </c>
    </row>
    <row r="22" spans="3:24">
      <c r="C22" s="1712">
        <v>1999</v>
      </c>
      <c r="D22" s="1712">
        <v>2</v>
      </c>
      <c r="E22" s="1723">
        <v>36192</v>
      </c>
      <c r="F22" s="1713">
        <v>0</v>
      </c>
      <c r="G22" s="1713">
        <v>0</v>
      </c>
      <c r="H22" s="1713">
        <v>0</v>
      </c>
      <c r="I22" s="1713">
        <v>0</v>
      </c>
      <c r="J22" s="1713">
        <f t="shared" si="0"/>
        <v>0</v>
      </c>
      <c r="K22" t="e">
        <f t="shared" si="1"/>
        <v>#DIV/0!</v>
      </c>
      <c r="L22" t="e">
        <f t="shared" si="1"/>
        <v>#DIV/0!</v>
      </c>
      <c r="N22" s="1714">
        <f t="shared" si="5"/>
        <v>0</v>
      </c>
      <c r="O22" s="1714">
        <f t="shared" si="6"/>
        <v>0</v>
      </c>
      <c r="P22" s="1714">
        <f t="shared" si="7"/>
        <v>0</v>
      </c>
      <c r="Q22" s="1714">
        <f t="shared" si="8"/>
        <v>0</v>
      </c>
      <c r="R22" s="1714">
        <f t="shared" si="2"/>
        <v>0</v>
      </c>
      <c r="T22">
        <v>2012</v>
      </c>
      <c r="U22" s="1714">
        <f t="shared" si="3"/>
        <v>43.998141666666676</v>
      </c>
      <c r="V22" s="1714">
        <f t="shared" si="4"/>
        <v>23.029050000000002</v>
      </c>
      <c r="W22" s="1714">
        <f t="shared" si="9"/>
        <v>33.01433174603175</v>
      </c>
      <c r="X22" s="1714">
        <f t="shared" si="10"/>
        <v>3.3014331746031751E-2</v>
      </c>
    </row>
    <row r="23" spans="3:24">
      <c r="C23" s="1712">
        <v>1999</v>
      </c>
      <c r="D23" s="1712">
        <v>3</v>
      </c>
      <c r="E23" s="1723">
        <v>36220</v>
      </c>
      <c r="F23" s="1713">
        <v>0</v>
      </c>
      <c r="G23" s="1713">
        <v>0</v>
      </c>
      <c r="H23" s="1713">
        <v>0</v>
      </c>
      <c r="I23" s="1713">
        <v>0</v>
      </c>
      <c r="J23" s="1713">
        <f t="shared" si="0"/>
        <v>0</v>
      </c>
      <c r="K23" t="e">
        <f t="shared" si="1"/>
        <v>#DIV/0!</v>
      </c>
      <c r="L23" t="e">
        <f t="shared" si="1"/>
        <v>#DIV/0!</v>
      </c>
      <c r="N23" s="1714">
        <f t="shared" si="5"/>
        <v>0</v>
      </c>
      <c r="O23" s="1714">
        <f t="shared" si="6"/>
        <v>0</v>
      </c>
      <c r="P23" s="1714">
        <f t="shared" si="7"/>
        <v>0</v>
      </c>
      <c r="Q23" s="1714">
        <f t="shared" si="8"/>
        <v>0</v>
      </c>
      <c r="R23" s="1714">
        <f t="shared" si="2"/>
        <v>0</v>
      </c>
      <c r="T23">
        <v>2013</v>
      </c>
      <c r="U23" s="1714">
        <f t="shared" si="3"/>
        <v>44.265308333333337</v>
      </c>
      <c r="V23" s="1714">
        <f t="shared" si="4"/>
        <v>22.929208333333335</v>
      </c>
      <c r="W23" s="1714">
        <f t="shared" si="9"/>
        <v>33.089255952380952</v>
      </c>
      <c r="X23" s="1714">
        <f t="shared" si="10"/>
        <v>3.308925595238095E-2</v>
      </c>
    </row>
    <row r="24" spans="3:24">
      <c r="C24" s="1712">
        <v>1999</v>
      </c>
      <c r="D24" s="1712">
        <v>4</v>
      </c>
      <c r="E24" s="1723">
        <v>36251</v>
      </c>
      <c r="F24" s="1713">
        <v>0</v>
      </c>
      <c r="G24" s="1713">
        <v>0</v>
      </c>
      <c r="H24" s="1713">
        <v>0</v>
      </c>
      <c r="I24" s="1713">
        <v>0</v>
      </c>
      <c r="J24" s="1713">
        <f t="shared" si="0"/>
        <v>0</v>
      </c>
      <c r="K24" t="e">
        <f t="shared" si="1"/>
        <v>#DIV/0!</v>
      </c>
      <c r="L24" t="e">
        <f t="shared" si="1"/>
        <v>#DIV/0!</v>
      </c>
      <c r="N24" s="1714">
        <f t="shared" si="5"/>
        <v>0</v>
      </c>
      <c r="O24" s="1714">
        <f t="shared" si="6"/>
        <v>0</v>
      </c>
      <c r="P24" s="1714">
        <f t="shared" si="7"/>
        <v>0</v>
      </c>
      <c r="Q24" s="1714">
        <f t="shared" si="8"/>
        <v>0</v>
      </c>
      <c r="R24" s="1714">
        <f t="shared" si="2"/>
        <v>0</v>
      </c>
      <c r="T24">
        <v>2014</v>
      </c>
      <c r="U24" s="1714">
        <f t="shared" si="3"/>
        <v>42.299150000000004</v>
      </c>
      <c r="V24" s="1714">
        <f t="shared" si="4"/>
        <v>22.561575000000001</v>
      </c>
      <c r="W24" s="1714">
        <f t="shared" si="9"/>
        <v>31.960420238095239</v>
      </c>
      <c r="X24" s="1714">
        <f t="shared" si="10"/>
        <v>3.1960420238095241E-2</v>
      </c>
    </row>
    <row r="25" spans="3:24">
      <c r="C25" s="1712">
        <v>1999</v>
      </c>
      <c r="D25" s="1712">
        <v>5</v>
      </c>
      <c r="E25" s="1723">
        <v>36281</v>
      </c>
      <c r="F25" s="1713">
        <v>0</v>
      </c>
      <c r="G25" s="1713">
        <v>0</v>
      </c>
      <c r="H25" s="1713">
        <v>0</v>
      </c>
      <c r="I25" s="1713">
        <v>0</v>
      </c>
      <c r="J25" s="1713">
        <f t="shared" si="0"/>
        <v>0</v>
      </c>
      <c r="K25" t="e">
        <f t="shared" si="1"/>
        <v>#DIV/0!</v>
      </c>
      <c r="L25" t="e">
        <f t="shared" si="1"/>
        <v>#DIV/0!</v>
      </c>
      <c r="N25" s="1714">
        <f t="shared" si="5"/>
        <v>0</v>
      </c>
      <c r="O25" s="1714">
        <f t="shared" si="6"/>
        <v>0</v>
      </c>
      <c r="P25" s="1714">
        <f t="shared" si="7"/>
        <v>0</v>
      </c>
      <c r="Q25" s="1714">
        <f t="shared" si="8"/>
        <v>0</v>
      </c>
      <c r="R25" s="1714">
        <f t="shared" si="2"/>
        <v>0</v>
      </c>
      <c r="T25">
        <v>2015</v>
      </c>
      <c r="U25" s="1714">
        <f t="shared" si="3"/>
        <v>44.049041666666675</v>
      </c>
      <c r="V25" s="1714">
        <f t="shared" si="4"/>
        <v>23.017908333333335</v>
      </c>
      <c r="W25" s="1714">
        <f t="shared" si="9"/>
        <v>33.032733730158732</v>
      </c>
      <c r="X25" s="1714">
        <f t="shared" si="10"/>
        <v>3.3032733730158734E-2</v>
      </c>
    </row>
    <row r="26" spans="3:24">
      <c r="C26" s="1712">
        <v>1999</v>
      </c>
      <c r="D26" s="1712">
        <v>6</v>
      </c>
      <c r="E26" s="1723">
        <v>36312</v>
      </c>
      <c r="F26" s="1713">
        <v>0</v>
      </c>
      <c r="G26" s="1713">
        <v>0</v>
      </c>
      <c r="H26" s="1713">
        <v>0</v>
      </c>
      <c r="I26" s="1713">
        <v>0</v>
      </c>
      <c r="J26" s="1713">
        <f t="shared" si="0"/>
        <v>0</v>
      </c>
      <c r="K26" t="e">
        <f t="shared" si="1"/>
        <v>#DIV/0!</v>
      </c>
      <c r="L26" t="e">
        <f t="shared" si="1"/>
        <v>#DIV/0!</v>
      </c>
      <c r="N26" s="1714">
        <f t="shared" si="5"/>
        <v>0</v>
      </c>
      <c r="O26" s="1714">
        <f t="shared" si="6"/>
        <v>0</v>
      </c>
      <c r="P26" s="1714">
        <f t="shared" si="7"/>
        <v>0</v>
      </c>
      <c r="Q26" s="1714">
        <f t="shared" si="8"/>
        <v>0</v>
      </c>
      <c r="R26" s="1714">
        <f t="shared" si="2"/>
        <v>0</v>
      </c>
      <c r="T26">
        <v>2016</v>
      </c>
      <c r="U26" s="1714">
        <f t="shared" si="3"/>
        <v>41.405333333333338</v>
      </c>
      <c r="V26" s="1714">
        <f t="shared" si="4"/>
        <v>22.178808333333333</v>
      </c>
      <c r="W26" s="1714">
        <f t="shared" si="9"/>
        <v>31.334296428571431</v>
      </c>
      <c r="X26" s="1714">
        <f t="shared" si="10"/>
        <v>3.1334296428571433E-2</v>
      </c>
    </row>
    <row r="27" spans="3:24">
      <c r="C27" s="1712">
        <v>1999</v>
      </c>
      <c r="D27" s="1712">
        <v>7</v>
      </c>
      <c r="E27" s="1723">
        <v>36342</v>
      </c>
      <c r="F27" s="1713">
        <v>0</v>
      </c>
      <c r="G27" s="1713">
        <v>0</v>
      </c>
      <c r="H27" s="1713">
        <v>0</v>
      </c>
      <c r="I27" s="1713">
        <v>0</v>
      </c>
      <c r="J27" s="1713">
        <f t="shared" si="0"/>
        <v>0</v>
      </c>
      <c r="K27" t="e">
        <f t="shared" si="1"/>
        <v>#DIV/0!</v>
      </c>
      <c r="L27" t="e">
        <f t="shared" si="1"/>
        <v>#DIV/0!</v>
      </c>
      <c r="N27" s="1714">
        <f t="shared" si="5"/>
        <v>0</v>
      </c>
      <c r="O27" s="1714">
        <f t="shared" si="6"/>
        <v>0</v>
      </c>
      <c r="P27" s="1714">
        <f t="shared" si="7"/>
        <v>0</v>
      </c>
      <c r="Q27" s="1714">
        <f t="shared" si="8"/>
        <v>0</v>
      </c>
      <c r="R27" s="1714">
        <f t="shared" si="2"/>
        <v>0</v>
      </c>
      <c r="T27">
        <v>2017</v>
      </c>
      <c r="U27" s="1714">
        <f t="shared" si="3"/>
        <v>40.892316666666666</v>
      </c>
      <c r="V27" s="1714">
        <f t="shared" si="4"/>
        <v>22.330783333333333</v>
      </c>
      <c r="W27" s="1714">
        <f t="shared" si="9"/>
        <v>31.169608730158728</v>
      </c>
      <c r="X27" s="1714">
        <f t="shared" si="10"/>
        <v>3.116960873015873E-2</v>
      </c>
    </row>
    <row r="28" spans="3:24">
      <c r="C28" s="1712">
        <v>1999</v>
      </c>
      <c r="D28" s="1712">
        <v>8</v>
      </c>
      <c r="E28" s="1723">
        <v>36373</v>
      </c>
      <c r="F28" s="1713">
        <v>0</v>
      </c>
      <c r="G28" s="1713">
        <v>0</v>
      </c>
      <c r="H28" s="1713">
        <v>0</v>
      </c>
      <c r="I28" s="1713">
        <v>0</v>
      </c>
      <c r="J28" s="1713">
        <f t="shared" si="0"/>
        <v>0</v>
      </c>
      <c r="K28" t="e">
        <f t="shared" si="1"/>
        <v>#DIV/0!</v>
      </c>
      <c r="L28" t="e">
        <f t="shared" si="1"/>
        <v>#DIV/0!</v>
      </c>
      <c r="N28" s="1714">
        <f t="shared" si="5"/>
        <v>0</v>
      </c>
      <c r="O28" s="1714">
        <f t="shared" si="6"/>
        <v>0</v>
      </c>
      <c r="P28" s="1714">
        <f t="shared" si="7"/>
        <v>0</v>
      </c>
      <c r="Q28" s="1714">
        <f t="shared" si="8"/>
        <v>0</v>
      </c>
      <c r="R28" s="1714">
        <f t="shared" si="2"/>
        <v>0</v>
      </c>
      <c r="T28">
        <v>2018</v>
      </c>
      <c r="U28" s="1714">
        <f t="shared" si="3"/>
        <v>40.275741666666669</v>
      </c>
      <c r="V28" s="1714">
        <f t="shared" si="4"/>
        <v>22.443283333333337</v>
      </c>
      <c r="W28" s="1714">
        <f t="shared" si="9"/>
        <v>30.934930158730161</v>
      </c>
      <c r="X28" s="1714">
        <f t="shared" si="10"/>
        <v>3.093493015873016E-2</v>
      </c>
    </row>
    <row r="29" spans="3:24">
      <c r="C29" s="1712">
        <v>1999</v>
      </c>
      <c r="D29" s="1712">
        <v>9</v>
      </c>
      <c r="E29" s="1723">
        <v>36404</v>
      </c>
      <c r="F29" s="1713">
        <v>0</v>
      </c>
      <c r="G29" s="1713">
        <v>0</v>
      </c>
      <c r="H29" s="1713">
        <v>0</v>
      </c>
      <c r="I29" s="1713">
        <v>0</v>
      </c>
      <c r="J29" s="1713">
        <f t="shared" si="0"/>
        <v>0</v>
      </c>
      <c r="K29" t="e">
        <f t="shared" si="1"/>
        <v>#DIV/0!</v>
      </c>
      <c r="L29" t="e">
        <f t="shared" si="1"/>
        <v>#DIV/0!</v>
      </c>
      <c r="N29" s="1714">
        <f t="shared" si="5"/>
        <v>0</v>
      </c>
      <c r="O29" s="1714">
        <f t="shared" si="6"/>
        <v>0</v>
      </c>
      <c r="P29" s="1714">
        <f t="shared" si="7"/>
        <v>0</v>
      </c>
      <c r="Q29" s="1714">
        <f t="shared" si="8"/>
        <v>0</v>
      </c>
      <c r="R29" s="1714">
        <f t="shared" si="2"/>
        <v>0</v>
      </c>
      <c r="T29">
        <v>2019</v>
      </c>
      <c r="U29" s="1714">
        <f t="shared" si="3"/>
        <v>40.406908333333334</v>
      </c>
      <c r="V29" s="1714">
        <f t="shared" si="4"/>
        <v>22.304625000000001</v>
      </c>
      <c r="W29" s="1714">
        <f t="shared" si="9"/>
        <v>30.924759920634923</v>
      </c>
      <c r="X29" s="1714">
        <f t="shared" si="10"/>
        <v>3.0924759920634922E-2</v>
      </c>
    </row>
    <row r="30" spans="3:24">
      <c r="C30" s="1712">
        <v>1999</v>
      </c>
      <c r="D30" s="1712">
        <v>10</v>
      </c>
      <c r="E30" s="1723">
        <v>36434</v>
      </c>
      <c r="F30" s="1713">
        <v>0</v>
      </c>
      <c r="G30" s="1713">
        <v>0</v>
      </c>
      <c r="H30" s="1713">
        <v>0</v>
      </c>
      <c r="I30" s="1713">
        <v>0</v>
      </c>
      <c r="J30" s="1713">
        <f t="shared" si="0"/>
        <v>0</v>
      </c>
      <c r="K30" t="e">
        <f t="shared" si="1"/>
        <v>#DIV/0!</v>
      </c>
      <c r="L30" t="e">
        <f t="shared" si="1"/>
        <v>#DIV/0!</v>
      </c>
      <c r="N30" s="1714">
        <f t="shared" si="5"/>
        <v>0</v>
      </c>
      <c r="O30" s="1714">
        <f t="shared" si="6"/>
        <v>0</v>
      </c>
      <c r="P30" s="1714">
        <f t="shared" si="7"/>
        <v>0</v>
      </c>
      <c r="Q30" s="1714">
        <f t="shared" si="8"/>
        <v>0</v>
      </c>
      <c r="R30" s="1714">
        <f t="shared" si="2"/>
        <v>0</v>
      </c>
      <c r="T30">
        <v>2020</v>
      </c>
      <c r="U30" s="1714">
        <f t="shared" si="3"/>
        <v>39.811283333333328</v>
      </c>
      <c r="V30" s="1714">
        <f t="shared" si="4"/>
        <v>22.190300000000004</v>
      </c>
      <c r="W30" s="1714">
        <f t="shared" si="9"/>
        <v>30.581244444444444</v>
      </c>
      <c r="X30" s="1714">
        <f t="shared" si="10"/>
        <v>3.0581244444444444E-2</v>
      </c>
    </row>
    <row r="31" spans="3:24">
      <c r="C31" s="1712">
        <v>1999</v>
      </c>
      <c r="D31" s="1712">
        <v>11</v>
      </c>
      <c r="E31" s="1723">
        <v>36465</v>
      </c>
      <c r="F31" s="1713">
        <v>0</v>
      </c>
      <c r="G31" s="1713">
        <v>0</v>
      </c>
      <c r="H31" s="1713">
        <v>0</v>
      </c>
      <c r="I31" s="1713">
        <v>0</v>
      </c>
      <c r="J31" s="1713">
        <f t="shared" si="0"/>
        <v>0</v>
      </c>
      <c r="K31" t="e">
        <f t="shared" si="1"/>
        <v>#DIV/0!</v>
      </c>
      <c r="L31" t="e">
        <f t="shared" si="1"/>
        <v>#DIV/0!</v>
      </c>
      <c r="N31" s="1714">
        <f t="shared" si="5"/>
        <v>0</v>
      </c>
      <c r="O31" s="1714">
        <f t="shared" si="6"/>
        <v>0</v>
      </c>
      <c r="P31" s="1714">
        <f t="shared" si="7"/>
        <v>0</v>
      </c>
      <c r="Q31" s="1714">
        <f t="shared" si="8"/>
        <v>0</v>
      </c>
      <c r="R31" s="1714">
        <f t="shared" si="2"/>
        <v>0</v>
      </c>
      <c r="X31" s="1714"/>
    </row>
    <row r="32" spans="3:24">
      <c r="C32" s="1712">
        <v>1999</v>
      </c>
      <c r="D32" s="1712">
        <v>12</v>
      </c>
      <c r="E32" s="1723">
        <v>36495</v>
      </c>
      <c r="F32" s="1713">
        <v>0</v>
      </c>
      <c r="G32" s="1713">
        <v>0</v>
      </c>
      <c r="H32" s="1713">
        <v>0</v>
      </c>
      <c r="I32" s="1713">
        <v>0</v>
      </c>
      <c r="J32" s="1713">
        <f t="shared" si="0"/>
        <v>0</v>
      </c>
      <c r="K32" t="e">
        <f t="shared" si="1"/>
        <v>#DIV/0!</v>
      </c>
      <c r="L32" t="e">
        <f t="shared" si="1"/>
        <v>#DIV/0!</v>
      </c>
      <c r="N32" s="1714">
        <f t="shared" si="5"/>
        <v>0</v>
      </c>
      <c r="O32" s="1714">
        <f t="shared" si="6"/>
        <v>0</v>
      </c>
      <c r="P32" s="1714">
        <f t="shared" si="7"/>
        <v>0</v>
      </c>
      <c r="Q32" s="1714">
        <f t="shared" si="8"/>
        <v>0</v>
      </c>
      <c r="R32" s="1714">
        <f t="shared" si="2"/>
        <v>0</v>
      </c>
    </row>
    <row r="33" spans="3:18">
      <c r="C33" s="1712">
        <v>2000</v>
      </c>
      <c r="D33" s="1712">
        <v>1</v>
      </c>
      <c r="E33" s="1723">
        <v>36526</v>
      </c>
      <c r="F33" s="1713">
        <v>33.166899999999998</v>
      </c>
      <c r="G33" s="1713">
        <v>22.558299999999999</v>
      </c>
      <c r="H33" s="1713">
        <v>2.4623563394140815</v>
      </c>
      <c r="I33" s="1713">
        <v>0</v>
      </c>
      <c r="J33" s="1713">
        <f t="shared" si="0"/>
        <v>2.4623563394140815</v>
      </c>
      <c r="K33">
        <f t="shared" si="1"/>
        <v>13469.577684232361</v>
      </c>
      <c r="L33">
        <f t="shared" si="1"/>
        <v>9161.2654265010879</v>
      </c>
      <c r="N33" s="1714">
        <f t="shared" si="5"/>
        <v>33.166899999999998</v>
      </c>
      <c r="O33" s="1714">
        <f t="shared" si="6"/>
        <v>22.558299999999999</v>
      </c>
      <c r="P33" s="1714">
        <f t="shared" si="7"/>
        <v>2.4623563394140815</v>
      </c>
      <c r="Q33" s="1714">
        <f t="shared" si="8"/>
        <v>0</v>
      </c>
      <c r="R33" s="1714">
        <f t="shared" si="2"/>
        <v>2.4623563394140815</v>
      </c>
    </row>
    <row r="34" spans="3:18">
      <c r="C34" s="1712">
        <v>2000</v>
      </c>
      <c r="D34" s="1712">
        <v>2</v>
      </c>
      <c r="E34" s="1723">
        <v>36557</v>
      </c>
      <c r="F34" s="1713">
        <v>28.4697</v>
      </c>
      <c r="G34" s="1713">
        <v>18.443899999999999</v>
      </c>
      <c r="H34" s="1713">
        <v>2.2704555509288462</v>
      </c>
      <c r="I34" s="1713">
        <v>0</v>
      </c>
      <c r="J34" s="1713">
        <f t="shared" si="0"/>
        <v>2.2704555509288462</v>
      </c>
      <c r="K34">
        <f t="shared" si="1"/>
        <v>12539.201654202396</v>
      </c>
      <c r="L34">
        <f t="shared" si="1"/>
        <v>8123.4358419633354</v>
      </c>
      <c r="N34" s="1714">
        <f t="shared" si="5"/>
        <v>28.4697</v>
      </c>
      <c r="O34" s="1714">
        <f t="shared" si="6"/>
        <v>18.443899999999999</v>
      </c>
      <c r="P34" s="1714">
        <f t="shared" si="7"/>
        <v>2.2704555509288462</v>
      </c>
      <c r="Q34" s="1714">
        <f t="shared" si="8"/>
        <v>0</v>
      </c>
      <c r="R34" s="1714">
        <f t="shared" si="2"/>
        <v>2.2704555509288462</v>
      </c>
    </row>
    <row r="35" spans="3:18">
      <c r="C35" s="1712">
        <v>2000</v>
      </c>
      <c r="D35" s="1712">
        <v>3</v>
      </c>
      <c r="E35" s="1723">
        <v>36586</v>
      </c>
      <c r="F35" s="1713">
        <v>28.540700000000001</v>
      </c>
      <c r="G35" s="1713">
        <v>19.8276</v>
      </c>
      <c r="H35" s="1713">
        <v>2.1453104828166358</v>
      </c>
      <c r="I35" s="1713">
        <v>0</v>
      </c>
      <c r="J35" s="1713">
        <f t="shared" si="0"/>
        <v>2.1453104828166358</v>
      </c>
      <c r="K35">
        <f t="shared" si="1"/>
        <v>13303.761962943539</v>
      </c>
      <c r="L35">
        <f t="shared" si="1"/>
        <v>9242.2985664843309</v>
      </c>
      <c r="N35" s="1714">
        <f t="shared" si="5"/>
        <v>28.540700000000001</v>
      </c>
      <c r="O35" s="1714">
        <f t="shared" si="6"/>
        <v>19.8276</v>
      </c>
      <c r="P35" s="1714">
        <f t="shared" si="7"/>
        <v>2.1453104828166358</v>
      </c>
      <c r="Q35" s="1714">
        <f t="shared" si="8"/>
        <v>0</v>
      </c>
      <c r="R35" s="1714">
        <f t="shared" si="2"/>
        <v>2.1453104828166358</v>
      </c>
    </row>
    <row r="36" spans="3:18">
      <c r="C36" s="1712">
        <v>2000</v>
      </c>
      <c r="D36" s="1712">
        <v>4</v>
      </c>
      <c r="E36" s="1723">
        <v>36617</v>
      </c>
      <c r="F36" s="1713">
        <v>27.102799999999998</v>
      </c>
      <c r="G36" s="1713">
        <v>17.157800000000002</v>
      </c>
      <c r="H36" s="1713">
        <v>2.0774550894124539</v>
      </c>
      <c r="I36" s="1713">
        <v>0</v>
      </c>
      <c r="J36" s="1713">
        <f t="shared" si="0"/>
        <v>2.0774550894124539</v>
      </c>
      <c r="K36">
        <f t="shared" si="1"/>
        <v>13046.154469536674</v>
      </c>
      <c r="L36">
        <f t="shared" si="1"/>
        <v>8259.0473736077602</v>
      </c>
      <c r="N36" s="1714">
        <f t="shared" si="5"/>
        <v>27.102799999999998</v>
      </c>
      <c r="O36" s="1714">
        <f t="shared" si="6"/>
        <v>17.157800000000002</v>
      </c>
      <c r="P36" s="1714">
        <f t="shared" si="7"/>
        <v>2.0774550894124539</v>
      </c>
      <c r="Q36" s="1714">
        <f t="shared" si="8"/>
        <v>0</v>
      </c>
      <c r="R36" s="1714">
        <f t="shared" si="2"/>
        <v>2.0774550894124539</v>
      </c>
    </row>
    <row r="37" spans="3:18">
      <c r="C37" s="1712">
        <v>2000</v>
      </c>
      <c r="D37" s="1712">
        <v>5</v>
      </c>
      <c r="E37" s="1723">
        <v>36647</v>
      </c>
      <c r="F37" s="1713">
        <v>27.101600000000001</v>
      </c>
      <c r="G37" s="1713">
        <v>13.2645</v>
      </c>
      <c r="H37" s="1713">
        <v>2.0584367957593788</v>
      </c>
      <c r="I37" s="1713">
        <v>0</v>
      </c>
      <c r="J37" s="1713">
        <f t="shared" si="0"/>
        <v>2.0584367957593788</v>
      </c>
      <c r="K37">
        <f t="shared" si="1"/>
        <v>13166.107434453404</v>
      </c>
      <c r="L37">
        <f t="shared" si="1"/>
        <v>6443.9675910022715</v>
      </c>
      <c r="N37" s="1714">
        <f t="shared" si="5"/>
        <v>27.101600000000001</v>
      </c>
      <c r="O37" s="1714">
        <f t="shared" si="6"/>
        <v>13.2645</v>
      </c>
      <c r="P37" s="1714">
        <f t="shared" si="7"/>
        <v>2.0584367957593788</v>
      </c>
      <c r="Q37" s="1714">
        <f t="shared" si="8"/>
        <v>0</v>
      </c>
      <c r="R37" s="1714">
        <f t="shared" si="2"/>
        <v>2.0584367957593788</v>
      </c>
    </row>
    <row r="38" spans="3:18">
      <c r="C38" s="1712">
        <v>2000</v>
      </c>
      <c r="D38" s="1712">
        <v>6</v>
      </c>
      <c r="E38" s="1723">
        <v>36678</v>
      </c>
      <c r="F38" s="1713">
        <v>24.2989</v>
      </c>
      <c r="G38" s="1713">
        <v>10.6487</v>
      </c>
      <c r="H38" s="1713">
        <v>2.0798030269004881</v>
      </c>
      <c r="I38" s="1713">
        <v>0</v>
      </c>
      <c r="J38" s="1713">
        <f t="shared" si="0"/>
        <v>2.0798030269004881</v>
      </c>
      <c r="K38">
        <f t="shared" si="1"/>
        <v>11683.269850901424</v>
      </c>
      <c r="L38">
        <f t="shared" si="1"/>
        <v>5120.0521694930221</v>
      </c>
      <c r="N38" s="1714">
        <f t="shared" si="5"/>
        <v>24.2989</v>
      </c>
      <c r="O38" s="1714">
        <f t="shared" si="6"/>
        <v>10.6487</v>
      </c>
      <c r="P38" s="1714">
        <f t="shared" si="7"/>
        <v>2.0798030269004881</v>
      </c>
      <c r="Q38" s="1714">
        <f t="shared" si="8"/>
        <v>0</v>
      </c>
      <c r="R38" s="1714">
        <f t="shared" si="2"/>
        <v>2.0798030269004881</v>
      </c>
    </row>
    <row r="39" spans="3:18">
      <c r="C39" s="1712">
        <v>2000</v>
      </c>
      <c r="D39" s="1712">
        <v>7</v>
      </c>
      <c r="E39" s="1723">
        <v>36708</v>
      </c>
      <c r="F39" s="1713">
        <v>30.554500000000001</v>
      </c>
      <c r="G39" s="1713">
        <v>15.1751</v>
      </c>
      <c r="H39" s="1713">
        <v>2.1331012078788594</v>
      </c>
      <c r="I39" s="1713">
        <v>0</v>
      </c>
      <c r="J39" s="1713">
        <f t="shared" si="0"/>
        <v>2.1331012078788594</v>
      </c>
      <c r="K39">
        <f t="shared" si="1"/>
        <v>14323.980450221195</v>
      </c>
      <c r="L39">
        <f t="shared" si="1"/>
        <v>7114.1022019719412</v>
      </c>
      <c r="N39" s="1714">
        <f t="shared" si="5"/>
        <v>30.554500000000001</v>
      </c>
      <c r="O39" s="1714">
        <f t="shared" si="6"/>
        <v>15.1751</v>
      </c>
      <c r="P39" s="1714">
        <f t="shared" si="7"/>
        <v>2.1331012078788594</v>
      </c>
      <c r="Q39" s="1714">
        <f t="shared" si="8"/>
        <v>0</v>
      </c>
      <c r="R39" s="1714">
        <f t="shared" si="2"/>
        <v>2.1331012078788594</v>
      </c>
    </row>
    <row r="40" spans="3:18">
      <c r="C40" s="1712">
        <v>2000</v>
      </c>
      <c r="D40" s="1712">
        <v>8</v>
      </c>
      <c r="E40" s="1723">
        <v>36739</v>
      </c>
      <c r="F40" s="1713">
        <v>42.078600000000002</v>
      </c>
      <c r="G40" s="1713">
        <v>21.713200000000001</v>
      </c>
      <c r="H40" s="1713">
        <v>2.2098787637375699</v>
      </c>
      <c r="I40" s="1713">
        <v>0</v>
      </c>
      <c r="J40" s="1713">
        <f t="shared" si="0"/>
        <v>2.2098787637375699</v>
      </c>
      <c r="K40">
        <f t="shared" si="1"/>
        <v>19041.135057034728</v>
      </c>
      <c r="L40">
        <f t="shared" si="1"/>
        <v>9825.5163841098893</v>
      </c>
      <c r="N40" s="1714">
        <f t="shared" si="5"/>
        <v>42.078600000000002</v>
      </c>
      <c r="O40" s="1714">
        <f t="shared" si="6"/>
        <v>21.713200000000001</v>
      </c>
      <c r="P40" s="1714">
        <f t="shared" si="7"/>
        <v>2.2098787637375699</v>
      </c>
      <c r="Q40" s="1714">
        <f t="shared" si="8"/>
        <v>0</v>
      </c>
      <c r="R40" s="1714">
        <f t="shared" si="2"/>
        <v>2.2098787637375699</v>
      </c>
    </row>
    <row r="41" spans="3:18">
      <c r="C41" s="1712">
        <v>2000</v>
      </c>
      <c r="D41" s="1712">
        <v>9</v>
      </c>
      <c r="E41" s="1723">
        <v>36770</v>
      </c>
      <c r="F41" s="1713">
        <v>37.828400000000002</v>
      </c>
      <c r="G41" s="1713">
        <v>21.463999999999999</v>
      </c>
      <c r="H41" s="1713">
        <v>2.3016831195196983</v>
      </c>
      <c r="I41" s="1713">
        <v>0</v>
      </c>
      <c r="J41" s="1713">
        <f t="shared" si="0"/>
        <v>2.3016831195196983</v>
      </c>
      <c r="K41">
        <f t="shared" si="1"/>
        <v>16435.103372480662</v>
      </c>
      <c r="L41">
        <f t="shared" si="1"/>
        <v>9325.3497051666182</v>
      </c>
      <c r="N41" s="1714">
        <f t="shared" si="5"/>
        <v>37.828400000000002</v>
      </c>
      <c r="O41" s="1714">
        <f t="shared" si="6"/>
        <v>21.463999999999999</v>
      </c>
      <c r="P41" s="1714">
        <f t="shared" si="7"/>
        <v>2.3016831195196983</v>
      </c>
      <c r="Q41" s="1714">
        <f t="shared" si="8"/>
        <v>0</v>
      </c>
      <c r="R41" s="1714">
        <f t="shared" si="2"/>
        <v>2.3016831195196983</v>
      </c>
    </row>
    <row r="42" spans="3:18">
      <c r="C42" s="1712">
        <v>2000</v>
      </c>
      <c r="D42" s="1712">
        <v>10</v>
      </c>
      <c r="E42" s="1723">
        <v>36800</v>
      </c>
      <c r="F42" s="1713">
        <v>32.086599999999997</v>
      </c>
      <c r="G42" s="1713">
        <v>21.392499999999998</v>
      </c>
      <c r="H42" s="1713">
        <v>2.4000617002683216</v>
      </c>
      <c r="I42" s="1713">
        <v>0</v>
      </c>
      <c r="J42" s="1713">
        <f t="shared" si="0"/>
        <v>2.4000617002683216</v>
      </c>
      <c r="K42">
        <f t="shared" si="1"/>
        <v>13369.07296858776</v>
      </c>
      <c r="L42">
        <f t="shared" si="1"/>
        <v>8913.3125192608022</v>
      </c>
      <c r="N42" s="1714">
        <f t="shared" si="5"/>
        <v>32.086599999999997</v>
      </c>
      <c r="O42" s="1714">
        <f t="shared" si="6"/>
        <v>21.392499999999998</v>
      </c>
      <c r="P42" s="1714">
        <f t="shared" si="7"/>
        <v>2.4000617002683216</v>
      </c>
      <c r="Q42" s="1714">
        <f t="shared" si="8"/>
        <v>0</v>
      </c>
      <c r="R42" s="1714">
        <f t="shared" si="2"/>
        <v>2.4000617002683216</v>
      </c>
    </row>
    <row r="43" spans="3:18">
      <c r="C43" s="1712">
        <v>2000</v>
      </c>
      <c r="D43" s="1712">
        <v>11</v>
      </c>
      <c r="E43" s="1723">
        <v>36831</v>
      </c>
      <c r="F43" s="1713">
        <v>33.600200000000001</v>
      </c>
      <c r="G43" s="1713">
        <v>24.5106</v>
      </c>
      <c r="H43" s="1713">
        <v>2.496561931026517</v>
      </c>
      <c r="I43" s="1713">
        <v>0</v>
      </c>
      <c r="J43" s="1713">
        <f t="shared" si="0"/>
        <v>2.496561931026517</v>
      </c>
      <c r="K43">
        <f t="shared" si="1"/>
        <v>13458.588622387801</v>
      </c>
      <c r="L43">
        <f t="shared" si="1"/>
        <v>9817.7416291539466</v>
      </c>
      <c r="N43" s="1714">
        <f t="shared" si="5"/>
        <v>33.600200000000001</v>
      </c>
      <c r="O43" s="1714">
        <f t="shared" si="6"/>
        <v>24.5106</v>
      </c>
      <c r="P43" s="1714">
        <f t="shared" si="7"/>
        <v>2.496561931026517</v>
      </c>
      <c r="Q43" s="1714">
        <f t="shared" si="8"/>
        <v>0</v>
      </c>
      <c r="R43" s="1714">
        <f t="shared" si="2"/>
        <v>2.496561931026517</v>
      </c>
    </row>
    <row r="44" spans="3:18">
      <c r="C44" s="1712">
        <v>2000</v>
      </c>
      <c r="D44" s="1712">
        <v>12</v>
      </c>
      <c r="E44" s="1723">
        <v>36861</v>
      </c>
      <c r="F44" s="1713">
        <v>33.7331</v>
      </c>
      <c r="G44" s="1713">
        <v>23.7532</v>
      </c>
      <c r="H44" s="1713">
        <v>2.5985235102572566</v>
      </c>
      <c r="I44" s="1713">
        <v>0</v>
      </c>
      <c r="J44" s="1713">
        <f t="shared" si="0"/>
        <v>2.5985235102572566</v>
      </c>
      <c r="K44">
        <f t="shared" si="1"/>
        <v>12981.641253905911</v>
      </c>
      <c r="L44">
        <f t="shared" si="1"/>
        <v>9141.0371721625907</v>
      </c>
      <c r="N44" s="1714">
        <f t="shared" si="5"/>
        <v>33.7331</v>
      </c>
      <c r="O44" s="1714">
        <f t="shared" si="6"/>
        <v>23.7532</v>
      </c>
      <c r="P44" s="1714">
        <f t="shared" si="7"/>
        <v>2.5985235102572566</v>
      </c>
      <c r="Q44" s="1714">
        <f t="shared" si="8"/>
        <v>0</v>
      </c>
      <c r="R44" s="1714">
        <f t="shared" si="2"/>
        <v>2.5985235102572566</v>
      </c>
    </row>
    <row r="45" spans="3:18">
      <c r="C45" s="1712">
        <v>2001</v>
      </c>
      <c r="D45" s="1712">
        <v>1</v>
      </c>
      <c r="E45" s="1723">
        <v>36892</v>
      </c>
      <c r="F45" s="1713">
        <v>33.474200000000003</v>
      </c>
      <c r="G45" s="1713">
        <v>25.321200000000001</v>
      </c>
      <c r="H45" s="1713">
        <v>2.4648988511154974</v>
      </c>
      <c r="I45" s="1713">
        <v>0</v>
      </c>
      <c r="J45" s="1713">
        <f t="shared" si="0"/>
        <v>2.4648988511154974</v>
      </c>
      <c r="K45">
        <f t="shared" si="1"/>
        <v>13580.354416917007</v>
      </c>
      <c r="L45">
        <f t="shared" si="1"/>
        <v>10272.713620090664</v>
      </c>
      <c r="N45" s="1714">
        <f t="shared" si="5"/>
        <v>34.143684000000007</v>
      </c>
      <c r="O45" s="1714">
        <f t="shared" si="6"/>
        <v>25.827624</v>
      </c>
      <c r="P45" s="1714">
        <f t="shared" si="7"/>
        <v>2.5141968281378073</v>
      </c>
      <c r="Q45" s="1714">
        <f t="shared" si="8"/>
        <v>0</v>
      </c>
      <c r="R45" s="1714">
        <f t="shared" si="2"/>
        <v>2.5141968281378073</v>
      </c>
    </row>
    <row r="46" spans="3:18">
      <c r="C46" s="1712">
        <v>2001</v>
      </c>
      <c r="D46" s="1712">
        <v>2</v>
      </c>
      <c r="E46" s="1723">
        <v>36923</v>
      </c>
      <c r="F46" s="1713">
        <v>30.1875</v>
      </c>
      <c r="G46" s="1713">
        <v>22.076899999999998</v>
      </c>
      <c r="H46" s="1713">
        <v>2.2727999150297604</v>
      </c>
      <c r="I46" s="1713">
        <v>0</v>
      </c>
      <c r="J46" s="1713">
        <f t="shared" si="0"/>
        <v>2.2727999150297604</v>
      </c>
      <c r="K46">
        <f t="shared" si="1"/>
        <v>13282.075470160655</v>
      </c>
      <c r="L46">
        <f t="shared" si="1"/>
        <v>9713.5255303416889</v>
      </c>
      <c r="N46" s="1714">
        <f t="shared" si="5"/>
        <v>30.791250000000002</v>
      </c>
      <c r="O46" s="1714">
        <f t="shared" si="6"/>
        <v>22.518438</v>
      </c>
      <c r="P46" s="1714">
        <f t="shared" si="7"/>
        <v>2.3182559133303555</v>
      </c>
      <c r="Q46" s="1714">
        <f t="shared" si="8"/>
        <v>0</v>
      </c>
      <c r="R46" s="1714">
        <f t="shared" si="2"/>
        <v>2.3182559133303555</v>
      </c>
    </row>
    <row r="47" spans="3:18">
      <c r="C47" s="1712">
        <v>2001</v>
      </c>
      <c r="D47" s="1712">
        <v>3</v>
      </c>
      <c r="E47" s="1723">
        <v>36951</v>
      </c>
      <c r="F47" s="1713">
        <v>28.6233</v>
      </c>
      <c r="G47" s="1713">
        <v>19.703399999999998</v>
      </c>
      <c r="H47" s="1713">
        <v>2.1475256280896504</v>
      </c>
      <c r="I47" s="1713">
        <v>0</v>
      </c>
      <c r="J47" s="1713">
        <f t="shared" si="0"/>
        <v>2.1475256280896504</v>
      </c>
      <c r="K47">
        <f t="shared" si="1"/>
        <v>13328.502172736396</v>
      </c>
      <c r="L47">
        <f t="shared" si="1"/>
        <v>9174.9312521719821</v>
      </c>
      <c r="N47" s="1714">
        <f t="shared" si="5"/>
        <v>29.195766000000003</v>
      </c>
      <c r="O47" s="1714">
        <f t="shared" si="6"/>
        <v>20.097467999999999</v>
      </c>
      <c r="P47" s="1714">
        <f t="shared" si="7"/>
        <v>2.1904761406514432</v>
      </c>
      <c r="Q47" s="1714">
        <f t="shared" si="8"/>
        <v>0</v>
      </c>
      <c r="R47" s="1714">
        <f t="shared" si="2"/>
        <v>2.1904761406514432</v>
      </c>
    </row>
    <row r="48" spans="3:18">
      <c r="C48" s="1712">
        <v>2001</v>
      </c>
      <c r="D48" s="1712">
        <v>4</v>
      </c>
      <c r="E48" s="1723">
        <v>36982</v>
      </c>
      <c r="F48" s="1713">
        <v>26.922899999999998</v>
      </c>
      <c r="G48" s="1713">
        <v>17.373899999999999</v>
      </c>
      <c r="H48" s="1713">
        <v>2.0796001704429492</v>
      </c>
      <c r="I48" s="1713">
        <v>0</v>
      </c>
      <c r="J48" s="1713">
        <f t="shared" si="0"/>
        <v>2.0796001704429492</v>
      </c>
      <c r="K48">
        <f t="shared" si="1"/>
        <v>12946.19051423981</v>
      </c>
      <c r="L48">
        <f t="shared" si="1"/>
        <v>8354.4424774207473</v>
      </c>
      <c r="N48" s="1714">
        <f t="shared" si="5"/>
        <v>27.461358000000001</v>
      </c>
      <c r="O48" s="1714">
        <f t="shared" si="6"/>
        <v>17.721377999999998</v>
      </c>
      <c r="P48" s="1714">
        <f t="shared" si="7"/>
        <v>2.1211921738518082</v>
      </c>
      <c r="Q48" s="1714">
        <f t="shared" si="8"/>
        <v>0</v>
      </c>
      <c r="R48" s="1714">
        <f t="shared" si="2"/>
        <v>2.1211921738518082</v>
      </c>
    </row>
    <row r="49" spans="3:18">
      <c r="C49" s="1712">
        <v>2001</v>
      </c>
      <c r="D49" s="1712">
        <v>5</v>
      </c>
      <c r="E49" s="1723">
        <v>37012</v>
      </c>
      <c r="F49" s="1713">
        <v>26.654699999999998</v>
      </c>
      <c r="G49" s="1713">
        <v>13.4412</v>
      </c>
      <c r="H49" s="1713">
        <v>2.0605622394070227</v>
      </c>
      <c r="I49" s="1713">
        <v>0</v>
      </c>
      <c r="J49" s="1713">
        <f t="shared" si="0"/>
        <v>2.0605622394070227</v>
      </c>
      <c r="K49">
        <f t="shared" si="1"/>
        <v>12935.644209257442</v>
      </c>
      <c r="L49">
        <f t="shared" si="1"/>
        <v>6523.0740149193625</v>
      </c>
      <c r="N49" s="1714">
        <f t="shared" si="5"/>
        <v>27.187794</v>
      </c>
      <c r="O49" s="1714">
        <f t="shared" si="6"/>
        <v>13.710024000000001</v>
      </c>
      <c r="P49" s="1714">
        <f t="shared" si="7"/>
        <v>2.1017734841951632</v>
      </c>
      <c r="Q49" s="1714">
        <f t="shared" si="8"/>
        <v>0</v>
      </c>
      <c r="R49" s="1714">
        <f t="shared" si="2"/>
        <v>2.1017734841951632</v>
      </c>
    </row>
    <row r="50" spans="3:18">
      <c r="C50" s="1712">
        <v>2001</v>
      </c>
      <c r="D50" s="1712">
        <v>6</v>
      </c>
      <c r="E50" s="1723">
        <v>37043</v>
      </c>
      <c r="F50" s="1713">
        <v>23.688800000000001</v>
      </c>
      <c r="G50" s="1713">
        <v>11.2616</v>
      </c>
      <c r="H50" s="1713">
        <v>2.0819505322992371</v>
      </c>
      <c r="I50" s="1713">
        <v>0</v>
      </c>
      <c r="J50" s="1713">
        <f t="shared" si="0"/>
        <v>2.0819505322992371</v>
      </c>
      <c r="K50">
        <f t="shared" si="1"/>
        <v>11378.176201832652</v>
      </c>
      <c r="L50">
        <f t="shared" si="1"/>
        <v>5409.1582990509687</v>
      </c>
      <c r="N50" s="1714">
        <f t="shared" si="5"/>
        <v>24.162576000000001</v>
      </c>
      <c r="O50" s="1714">
        <f t="shared" si="6"/>
        <v>11.486832</v>
      </c>
      <c r="P50" s="1714">
        <f t="shared" si="7"/>
        <v>2.1235895429452221</v>
      </c>
      <c r="Q50" s="1714">
        <f t="shared" si="8"/>
        <v>0</v>
      </c>
      <c r="R50" s="1714">
        <f t="shared" si="2"/>
        <v>2.1235895429452221</v>
      </c>
    </row>
    <row r="51" spans="3:18">
      <c r="C51" s="1712">
        <v>2001</v>
      </c>
      <c r="D51" s="1712">
        <v>7</v>
      </c>
      <c r="E51" s="1723">
        <v>37073</v>
      </c>
      <c r="F51" s="1713">
        <v>29.771100000000001</v>
      </c>
      <c r="G51" s="1713">
        <v>15.598100000000001</v>
      </c>
      <c r="H51" s="1713">
        <v>2.1353037464369571</v>
      </c>
      <c r="I51" s="1713">
        <v>0</v>
      </c>
      <c r="J51" s="1713">
        <f t="shared" si="0"/>
        <v>2.1353037464369571</v>
      </c>
      <c r="K51">
        <f t="shared" si="1"/>
        <v>13942.32555891737</v>
      </c>
      <c r="L51">
        <f t="shared" si="1"/>
        <v>7304.8623766185674</v>
      </c>
      <c r="N51" s="1714">
        <f t="shared" si="5"/>
        <v>30.366522</v>
      </c>
      <c r="O51" s="1714">
        <f t="shared" si="6"/>
        <v>15.910062</v>
      </c>
      <c r="P51" s="1714">
        <f t="shared" si="7"/>
        <v>2.1780098213656962</v>
      </c>
      <c r="Q51" s="1714">
        <f t="shared" si="8"/>
        <v>0</v>
      </c>
      <c r="R51" s="1714">
        <f t="shared" si="2"/>
        <v>2.1780098213656962</v>
      </c>
    </row>
    <row r="52" spans="3:18">
      <c r="C52" s="1712">
        <v>2001</v>
      </c>
      <c r="D52" s="1712">
        <v>8</v>
      </c>
      <c r="E52" s="1723">
        <v>37104</v>
      </c>
      <c r="F52" s="1713">
        <v>35.0685</v>
      </c>
      <c r="G52" s="1713">
        <v>21.109400000000001</v>
      </c>
      <c r="H52" s="1713">
        <v>2.2121605791375498</v>
      </c>
      <c r="I52" s="1713">
        <v>0</v>
      </c>
      <c r="J52" s="1713">
        <f t="shared" si="0"/>
        <v>2.2121605791375498</v>
      </c>
      <c r="K52">
        <f t="shared" si="1"/>
        <v>15852.601447979911</v>
      </c>
      <c r="L52">
        <f t="shared" si="1"/>
        <v>9542.4356618043857</v>
      </c>
      <c r="N52" s="1714">
        <f t="shared" si="5"/>
        <v>35.769869999999997</v>
      </c>
      <c r="O52" s="1714">
        <f t="shared" si="6"/>
        <v>21.531588000000003</v>
      </c>
      <c r="P52" s="1714">
        <f t="shared" si="7"/>
        <v>2.256403790720301</v>
      </c>
      <c r="Q52" s="1714">
        <f t="shared" si="8"/>
        <v>0</v>
      </c>
      <c r="R52" s="1714">
        <f t="shared" si="2"/>
        <v>2.256403790720301</v>
      </c>
    </row>
    <row r="53" spans="3:18">
      <c r="C53" s="1712">
        <v>2001</v>
      </c>
      <c r="D53" s="1712">
        <v>9</v>
      </c>
      <c r="E53" s="1723">
        <v>37135</v>
      </c>
      <c r="F53" s="1713">
        <v>34.377200000000002</v>
      </c>
      <c r="G53" s="1713">
        <v>21.203900000000001</v>
      </c>
      <c r="H53" s="1713">
        <v>2.3040597277183807</v>
      </c>
      <c r="I53" s="1713">
        <v>0</v>
      </c>
      <c r="J53" s="1713">
        <f t="shared" si="0"/>
        <v>2.3040597277183807</v>
      </c>
      <c r="K53">
        <f t="shared" si="1"/>
        <v>14920.272936692654</v>
      </c>
      <c r="L53">
        <f t="shared" si="1"/>
        <v>9202.8430274233324</v>
      </c>
      <c r="N53" s="1714">
        <f t="shared" si="5"/>
        <v>35.064744000000005</v>
      </c>
      <c r="O53" s="1714">
        <f t="shared" si="6"/>
        <v>21.627978000000002</v>
      </c>
      <c r="P53" s="1714">
        <f t="shared" si="7"/>
        <v>2.3501409222727485</v>
      </c>
      <c r="Q53" s="1714">
        <f t="shared" si="8"/>
        <v>0</v>
      </c>
      <c r="R53" s="1714">
        <f t="shared" si="2"/>
        <v>2.3501409222727485</v>
      </c>
    </row>
    <row r="54" spans="3:18">
      <c r="C54" s="1712">
        <v>2001</v>
      </c>
      <c r="D54" s="1712">
        <v>10</v>
      </c>
      <c r="E54" s="1723">
        <v>37165</v>
      </c>
      <c r="F54" s="1713">
        <v>31.289100000000001</v>
      </c>
      <c r="G54" s="1713">
        <v>21.418099999999999</v>
      </c>
      <c r="H54" s="1713">
        <v>2.4025398894968166</v>
      </c>
      <c r="I54" s="1713">
        <v>0</v>
      </c>
      <c r="J54" s="1713">
        <f t="shared" si="0"/>
        <v>2.4025398894968166</v>
      </c>
      <c r="K54">
        <f t="shared" si="1"/>
        <v>13023.342562088794</v>
      </c>
      <c r="L54">
        <f t="shared" si="1"/>
        <v>8914.7739413749205</v>
      </c>
      <c r="N54" s="1714">
        <f t="shared" si="5"/>
        <v>31.914882000000002</v>
      </c>
      <c r="O54" s="1714">
        <f t="shared" si="6"/>
        <v>21.846461999999999</v>
      </c>
      <c r="P54" s="1714">
        <f t="shared" si="7"/>
        <v>2.4505906872867529</v>
      </c>
      <c r="Q54" s="1714">
        <f t="shared" si="8"/>
        <v>0</v>
      </c>
      <c r="R54" s="1714">
        <f t="shared" si="2"/>
        <v>2.4505906872867529</v>
      </c>
    </row>
    <row r="55" spans="3:18">
      <c r="C55" s="1712">
        <v>2001</v>
      </c>
      <c r="D55" s="1712">
        <v>11</v>
      </c>
      <c r="E55" s="1723">
        <v>37196</v>
      </c>
      <c r="F55" s="1713">
        <v>33.3127</v>
      </c>
      <c r="G55" s="1713">
        <v>23.5532</v>
      </c>
      <c r="H55" s="1713">
        <v>2.4991397617902216</v>
      </c>
      <c r="I55" s="1713">
        <v>0</v>
      </c>
      <c r="J55" s="1713">
        <f t="shared" si="0"/>
        <v>2.4991397617902216</v>
      </c>
      <c r="K55">
        <f t="shared" si="1"/>
        <v>13329.666675439128</v>
      </c>
      <c r="L55">
        <f t="shared" si="1"/>
        <v>9424.5229338946683</v>
      </c>
      <c r="N55" s="1714">
        <f t="shared" si="5"/>
        <v>33.978954000000002</v>
      </c>
      <c r="O55" s="1714">
        <f t="shared" si="6"/>
        <v>24.024264000000002</v>
      </c>
      <c r="P55" s="1714">
        <f t="shared" si="7"/>
        <v>2.5491225570260259</v>
      </c>
      <c r="Q55" s="1714">
        <f t="shared" si="8"/>
        <v>0</v>
      </c>
      <c r="R55" s="1714">
        <f t="shared" si="2"/>
        <v>2.5491225570260259</v>
      </c>
    </row>
    <row r="56" spans="3:18">
      <c r="C56" s="1712">
        <v>2001</v>
      </c>
      <c r="D56" s="1712">
        <v>12</v>
      </c>
      <c r="E56" s="1723">
        <v>37226</v>
      </c>
      <c r="F56" s="1713">
        <v>33.4998</v>
      </c>
      <c r="G56" s="1713">
        <v>23.9483</v>
      </c>
      <c r="H56" s="1713">
        <v>2.6012066216840966</v>
      </c>
      <c r="I56" s="1713">
        <v>0</v>
      </c>
      <c r="J56" s="1713">
        <f t="shared" si="0"/>
        <v>2.6012066216840966</v>
      </c>
      <c r="K56">
        <f t="shared" si="1"/>
        <v>12878.561710838356</v>
      </c>
      <c r="L56">
        <f t="shared" si="1"/>
        <v>9206.6119624496332</v>
      </c>
      <c r="N56" s="1714">
        <f t="shared" si="5"/>
        <v>34.169795999999998</v>
      </c>
      <c r="O56" s="1714">
        <f t="shared" si="6"/>
        <v>24.427265999999999</v>
      </c>
      <c r="P56" s="1714">
        <f t="shared" si="7"/>
        <v>2.6532307541177786</v>
      </c>
      <c r="Q56" s="1714">
        <f t="shared" si="8"/>
        <v>0</v>
      </c>
      <c r="R56" s="1714">
        <f t="shared" si="2"/>
        <v>2.6532307541177786</v>
      </c>
    </row>
    <row r="57" spans="3:18">
      <c r="C57" s="1712">
        <f>C45+1</f>
        <v>2002</v>
      </c>
      <c r="D57" s="1712">
        <f>D45</f>
        <v>1</v>
      </c>
      <c r="E57" s="1723">
        <v>37257</v>
      </c>
      <c r="F57" s="1713">
        <v>36.8322</v>
      </c>
      <c r="G57" s="1713">
        <v>25.065000000000001</v>
      </c>
      <c r="H57" s="1713">
        <v>2.4795082803622974</v>
      </c>
      <c r="I57" s="1713">
        <v>0</v>
      </c>
      <c r="J57" s="1713">
        <f t="shared" si="0"/>
        <v>2.4795082803622974</v>
      </c>
      <c r="K57">
        <f t="shared" si="1"/>
        <v>14854.638837753026</v>
      </c>
      <c r="L57">
        <f t="shared" si="1"/>
        <v>10108.859163131163</v>
      </c>
      <c r="N57" s="1714">
        <f t="shared" si="5"/>
        <v>38.320220880000001</v>
      </c>
      <c r="O57" s="1714">
        <f t="shared" si="6"/>
        <v>26.077626000000002</v>
      </c>
      <c r="P57" s="1714">
        <f t="shared" si="7"/>
        <v>2.5796804148889341</v>
      </c>
      <c r="Q57" s="1714">
        <f t="shared" si="8"/>
        <v>0</v>
      </c>
      <c r="R57" s="1714">
        <f t="shared" si="2"/>
        <v>2.5796804148889341</v>
      </c>
    </row>
    <row r="58" spans="3:18">
      <c r="C58" s="1712">
        <f t="shared" ref="C58:C121" si="11">C46+1</f>
        <v>2002</v>
      </c>
      <c r="D58" s="1712">
        <f t="shared" ref="D58:D121" si="12">D46</f>
        <v>2</v>
      </c>
      <c r="E58" s="1723">
        <v>37288</v>
      </c>
      <c r="F58" s="1713">
        <v>33.635100000000001</v>
      </c>
      <c r="G58" s="1713">
        <v>22.372800000000002</v>
      </c>
      <c r="H58" s="1713">
        <v>2.2862707759276564</v>
      </c>
      <c r="I58" s="1713">
        <v>0</v>
      </c>
      <c r="J58" s="1713">
        <f t="shared" si="0"/>
        <v>2.2862707759276564</v>
      </c>
      <c r="K58">
        <f t="shared" si="1"/>
        <v>14711.774455653675</v>
      </c>
      <c r="L58">
        <f t="shared" si="1"/>
        <v>9785.7175254852391</v>
      </c>
      <c r="N58" s="1714">
        <f t="shared" si="5"/>
        <v>34.993958040000003</v>
      </c>
      <c r="O58" s="1714">
        <f t="shared" si="6"/>
        <v>23.27666112</v>
      </c>
      <c r="P58" s="1714">
        <f t="shared" si="7"/>
        <v>2.3786361152751336</v>
      </c>
      <c r="Q58" s="1714">
        <f t="shared" si="8"/>
        <v>0</v>
      </c>
      <c r="R58" s="1714">
        <f t="shared" si="2"/>
        <v>2.3786361152751336</v>
      </c>
    </row>
    <row r="59" spans="3:18">
      <c r="C59" s="1712">
        <f t="shared" si="11"/>
        <v>2002</v>
      </c>
      <c r="D59" s="1712">
        <f t="shared" si="12"/>
        <v>3</v>
      </c>
      <c r="E59" s="1723">
        <v>37316</v>
      </c>
      <c r="F59" s="1713">
        <v>29.091200000000001</v>
      </c>
      <c r="G59" s="1713">
        <v>20.207899999999999</v>
      </c>
      <c r="H59" s="1713">
        <v>2.1602539896226469</v>
      </c>
      <c r="I59" s="1713">
        <v>0</v>
      </c>
      <c r="J59" s="1713">
        <f t="shared" si="0"/>
        <v>2.1602539896226469</v>
      </c>
      <c r="K59">
        <f t="shared" si="1"/>
        <v>13466.564644596097</v>
      </c>
      <c r="L59">
        <f t="shared" si="1"/>
        <v>9354.4092949597616</v>
      </c>
      <c r="N59" s="1714">
        <f t="shared" si="5"/>
        <v>30.266484479999999</v>
      </c>
      <c r="O59" s="1714">
        <f t="shared" si="6"/>
        <v>21.024299159999998</v>
      </c>
      <c r="P59" s="1714">
        <f t="shared" si="7"/>
        <v>2.247528250803402</v>
      </c>
      <c r="Q59" s="1714">
        <f t="shared" si="8"/>
        <v>0</v>
      </c>
      <c r="R59" s="1714">
        <f t="shared" si="2"/>
        <v>2.247528250803402</v>
      </c>
    </row>
    <row r="60" spans="3:18">
      <c r="C60" s="1712">
        <f t="shared" si="11"/>
        <v>2002</v>
      </c>
      <c r="D60" s="1712">
        <f t="shared" si="12"/>
        <v>4</v>
      </c>
      <c r="E60" s="1723">
        <v>37347</v>
      </c>
      <c r="F60" s="1713">
        <v>27.329899999999999</v>
      </c>
      <c r="G60" s="1713">
        <v>18.401399999999999</v>
      </c>
      <c r="H60" s="1713">
        <v>2.0919259385116757</v>
      </c>
      <c r="I60" s="1713">
        <v>0</v>
      </c>
      <c r="J60" s="1713">
        <f t="shared" si="0"/>
        <v>2.0919259385116757</v>
      </c>
      <c r="K60">
        <f t="shared" si="1"/>
        <v>13064.468247592054</v>
      </c>
      <c r="L60">
        <f t="shared" si="1"/>
        <v>8796.3917179075088</v>
      </c>
      <c r="N60" s="1714">
        <f t="shared" si="5"/>
        <v>28.434027959999998</v>
      </c>
      <c r="O60" s="1714">
        <f t="shared" si="6"/>
        <v>19.144816559999999</v>
      </c>
      <c r="P60" s="1714">
        <f t="shared" si="7"/>
        <v>2.1764397464275476</v>
      </c>
      <c r="Q60" s="1714">
        <f t="shared" si="8"/>
        <v>0</v>
      </c>
      <c r="R60" s="1714">
        <f t="shared" si="2"/>
        <v>2.1764397464275476</v>
      </c>
    </row>
    <row r="61" spans="3:18">
      <c r="C61" s="1712">
        <f t="shared" si="11"/>
        <v>2002</v>
      </c>
      <c r="D61" s="1712">
        <f t="shared" si="12"/>
        <v>5</v>
      </c>
      <c r="E61" s="1723">
        <v>37377</v>
      </c>
      <c r="F61" s="1713">
        <v>27.521699999999999</v>
      </c>
      <c r="G61" s="1713">
        <v>14.226000000000001</v>
      </c>
      <c r="H61" s="1713">
        <v>2.0727751698611958</v>
      </c>
      <c r="I61" s="1713">
        <v>0</v>
      </c>
      <c r="J61" s="1713">
        <f t="shared" si="0"/>
        <v>2.0727751698611958</v>
      </c>
      <c r="K61">
        <f t="shared" si="1"/>
        <v>13277.706333120057</v>
      </c>
      <c r="L61">
        <f t="shared" si="1"/>
        <v>6863.2624545346371</v>
      </c>
      <c r="N61" s="1714">
        <f t="shared" si="5"/>
        <v>28.633576679999997</v>
      </c>
      <c r="O61" s="1714">
        <f t="shared" si="6"/>
        <v>14.800730400000001</v>
      </c>
      <c r="P61" s="1714">
        <f t="shared" si="7"/>
        <v>2.1565152867235882</v>
      </c>
      <c r="Q61" s="1714">
        <f t="shared" si="8"/>
        <v>0</v>
      </c>
      <c r="R61" s="1714">
        <f t="shared" si="2"/>
        <v>2.1565152867235882</v>
      </c>
    </row>
    <row r="62" spans="3:18">
      <c r="C62" s="1712">
        <f t="shared" si="11"/>
        <v>2002</v>
      </c>
      <c r="D62" s="1712">
        <f t="shared" si="12"/>
        <v>6</v>
      </c>
      <c r="E62" s="1723">
        <v>37408</v>
      </c>
      <c r="F62" s="1713">
        <v>25.733000000000001</v>
      </c>
      <c r="G62" s="1713">
        <v>12.3606</v>
      </c>
      <c r="H62" s="1713">
        <v>2.094290230937661</v>
      </c>
      <c r="I62" s="1713">
        <v>0</v>
      </c>
      <c r="J62" s="1713">
        <f t="shared" si="0"/>
        <v>2.094290230937661</v>
      </c>
      <c r="K62">
        <f t="shared" si="1"/>
        <v>12287.217702619353</v>
      </c>
      <c r="L62">
        <f t="shared" si="1"/>
        <v>5902.0472986047789</v>
      </c>
      <c r="N62" s="1714">
        <f t="shared" si="5"/>
        <v>26.772613200000002</v>
      </c>
      <c r="O62" s="1714">
        <f t="shared" si="6"/>
        <v>12.859968239999999</v>
      </c>
      <c r="P62" s="1714">
        <f t="shared" si="7"/>
        <v>2.1788995562675426</v>
      </c>
      <c r="Q62" s="1714">
        <f t="shared" si="8"/>
        <v>0</v>
      </c>
      <c r="R62" s="1714">
        <f t="shared" si="2"/>
        <v>2.1788995562675426</v>
      </c>
    </row>
    <row r="63" spans="3:18">
      <c r="C63" s="1712">
        <f t="shared" si="11"/>
        <v>2002</v>
      </c>
      <c r="D63" s="1712">
        <f t="shared" si="12"/>
        <v>7</v>
      </c>
      <c r="E63" s="1723">
        <v>37438</v>
      </c>
      <c r="F63" s="1713">
        <v>36.097200000000001</v>
      </c>
      <c r="G63" s="1713">
        <v>18.473500000000001</v>
      </c>
      <c r="H63" s="1713">
        <v>2.1479596690075242</v>
      </c>
      <c r="I63" s="1713">
        <v>0</v>
      </c>
      <c r="J63" s="1713">
        <f t="shared" si="0"/>
        <v>2.1479596690075242</v>
      </c>
      <c r="K63">
        <f t="shared" si="1"/>
        <v>16805.343471220247</v>
      </c>
      <c r="L63">
        <f t="shared" si="1"/>
        <v>8600.4873678730564</v>
      </c>
      <c r="N63" s="1714">
        <f t="shared" si="5"/>
        <v>37.555526880000002</v>
      </c>
      <c r="O63" s="1714">
        <f t="shared" si="6"/>
        <v>19.219829400000002</v>
      </c>
      <c r="P63" s="1714">
        <f t="shared" si="7"/>
        <v>2.2347372396354284</v>
      </c>
      <c r="Q63" s="1714">
        <f t="shared" si="8"/>
        <v>0</v>
      </c>
      <c r="R63" s="1714">
        <f t="shared" si="2"/>
        <v>2.2347372396354284</v>
      </c>
    </row>
    <row r="64" spans="3:18">
      <c r="C64" s="1712">
        <f t="shared" si="11"/>
        <v>2002</v>
      </c>
      <c r="D64" s="1712">
        <f t="shared" si="12"/>
        <v>8</v>
      </c>
      <c r="E64" s="1723">
        <v>37469</v>
      </c>
      <c r="F64" s="1713">
        <v>51.856499999999997</v>
      </c>
      <c r="G64" s="1713">
        <v>24.985099999999999</v>
      </c>
      <c r="H64" s="1713">
        <v>2.2252720313372394</v>
      </c>
      <c r="I64" s="1713">
        <v>0</v>
      </c>
      <c r="J64" s="1713">
        <f t="shared" si="0"/>
        <v>2.2252720313372394</v>
      </c>
      <c r="K64">
        <f t="shared" si="1"/>
        <v>23303.443026171371</v>
      </c>
      <c r="L64">
        <f t="shared" si="1"/>
        <v>11227.885691344274</v>
      </c>
      <c r="N64" s="1714">
        <f t="shared" si="5"/>
        <v>53.951502599999998</v>
      </c>
      <c r="O64" s="1714">
        <f t="shared" si="6"/>
        <v>25.99449804</v>
      </c>
      <c r="P64" s="1714">
        <f t="shared" si="7"/>
        <v>2.3151730214032638</v>
      </c>
      <c r="Q64" s="1714">
        <f t="shared" si="8"/>
        <v>0</v>
      </c>
      <c r="R64" s="1714">
        <f t="shared" si="2"/>
        <v>2.3151730214032638</v>
      </c>
    </row>
    <row r="65" spans="3:18">
      <c r="C65" s="1712">
        <f t="shared" si="11"/>
        <v>2002</v>
      </c>
      <c r="D65" s="1712">
        <f t="shared" si="12"/>
        <v>9</v>
      </c>
      <c r="E65" s="1723">
        <v>37500</v>
      </c>
      <c r="F65" s="1713">
        <v>43.773000000000003</v>
      </c>
      <c r="G65" s="1713">
        <v>25.195699999999999</v>
      </c>
      <c r="H65" s="1713">
        <v>2.317715865193259</v>
      </c>
      <c r="I65" s="1713">
        <v>0</v>
      </c>
      <c r="J65" s="1713">
        <f t="shared" si="0"/>
        <v>2.317715865193259</v>
      </c>
      <c r="K65">
        <f t="shared" si="1"/>
        <v>18886.266715160989</v>
      </c>
      <c r="L65">
        <f t="shared" si="1"/>
        <v>10870.918380626908</v>
      </c>
      <c r="N65" s="1714">
        <f t="shared" si="5"/>
        <v>45.541429200000003</v>
      </c>
      <c r="O65" s="1714">
        <f t="shared" si="6"/>
        <v>26.213606279999997</v>
      </c>
      <c r="P65" s="1714">
        <f t="shared" si="7"/>
        <v>2.4113515861470667</v>
      </c>
      <c r="Q65" s="1714">
        <f t="shared" si="8"/>
        <v>0</v>
      </c>
      <c r="R65" s="1714">
        <f t="shared" si="2"/>
        <v>2.4113515861470667</v>
      </c>
    </row>
    <row r="66" spans="3:18">
      <c r="C66" s="1712">
        <f t="shared" si="11"/>
        <v>2002</v>
      </c>
      <c r="D66" s="1712">
        <f t="shared" si="12"/>
        <v>10</v>
      </c>
      <c r="E66" s="1723">
        <v>37530</v>
      </c>
      <c r="F66" s="1713">
        <v>34.142099999999999</v>
      </c>
      <c r="G66" s="1713">
        <v>22.392399999999999</v>
      </c>
      <c r="H66" s="1713">
        <v>2.4167797178420383</v>
      </c>
      <c r="I66" s="1713">
        <v>0</v>
      </c>
      <c r="J66" s="1713">
        <f t="shared" si="0"/>
        <v>2.4167797178420383</v>
      </c>
      <c r="K66">
        <f t="shared" si="1"/>
        <v>14127.10465415762</v>
      </c>
      <c r="L66">
        <f t="shared" si="1"/>
        <v>9265.3872567229046</v>
      </c>
      <c r="N66" s="1714">
        <f t="shared" si="5"/>
        <v>35.521440839999997</v>
      </c>
      <c r="O66" s="1714">
        <f t="shared" si="6"/>
        <v>23.297052959999998</v>
      </c>
      <c r="P66" s="1714">
        <f t="shared" si="7"/>
        <v>2.5144176184428564</v>
      </c>
      <c r="Q66" s="1714">
        <f t="shared" si="8"/>
        <v>0</v>
      </c>
      <c r="R66" s="1714">
        <f t="shared" si="2"/>
        <v>2.5144176184428564</v>
      </c>
    </row>
    <row r="67" spans="3:18">
      <c r="C67" s="1712">
        <f t="shared" si="11"/>
        <v>2002</v>
      </c>
      <c r="D67" s="1712">
        <f t="shared" si="12"/>
        <v>11</v>
      </c>
      <c r="E67" s="1723">
        <v>37561</v>
      </c>
      <c r="F67" s="1713">
        <v>35.070700000000002</v>
      </c>
      <c r="G67" s="1713">
        <v>24.968499999999999</v>
      </c>
      <c r="H67" s="1713">
        <v>2.5139521365500275</v>
      </c>
      <c r="I67" s="1713">
        <v>0</v>
      </c>
      <c r="J67" s="1713">
        <f t="shared" si="0"/>
        <v>2.5139521365500275</v>
      </c>
      <c r="K67">
        <f t="shared" si="1"/>
        <v>13950.424707818258</v>
      </c>
      <c r="L67">
        <f t="shared" si="1"/>
        <v>9931.9711131274871</v>
      </c>
      <c r="N67" s="1714">
        <f t="shared" si="5"/>
        <v>36.48755628</v>
      </c>
      <c r="O67" s="1714">
        <f t="shared" si="6"/>
        <v>25.9772274</v>
      </c>
      <c r="P67" s="1714">
        <f t="shared" si="7"/>
        <v>2.6155158028666485</v>
      </c>
      <c r="Q67" s="1714">
        <f t="shared" si="8"/>
        <v>0</v>
      </c>
      <c r="R67" s="1714">
        <f t="shared" si="2"/>
        <v>2.6155158028666485</v>
      </c>
    </row>
    <row r="68" spans="3:18">
      <c r="C68" s="1712">
        <f t="shared" si="11"/>
        <v>2002</v>
      </c>
      <c r="D68" s="1712">
        <f t="shared" si="12"/>
        <v>12</v>
      </c>
      <c r="E68" s="1723">
        <v>37591</v>
      </c>
      <c r="F68" s="1713">
        <v>34.552900000000001</v>
      </c>
      <c r="G68" s="1713">
        <v>24.813600000000001</v>
      </c>
      <c r="H68" s="1713">
        <v>2.6166239456357885</v>
      </c>
      <c r="I68" s="1713">
        <v>0</v>
      </c>
      <c r="J68" s="1713">
        <f t="shared" si="0"/>
        <v>2.6166239456357885</v>
      </c>
      <c r="K68">
        <f t="shared" si="1"/>
        <v>13205.145530228005</v>
      </c>
      <c r="L68">
        <f t="shared" si="1"/>
        <v>9483.0592838478296</v>
      </c>
      <c r="N68" s="1714">
        <f t="shared" si="5"/>
        <v>35.948837160000004</v>
      </c>
      <c r="O68" s="1714">
        <f t="shared" si="6"/>
        <v>25.81606944</v>
      </c>
      <c r="P68" s="1714">
        <f t="shared" si="7"/>
        <v>2.7223355530394744</v>
      </c>
      <c r="Q68" s="1714">
        <f t="shared" si="8"/>
        <v>0</v>
      </c>
      <c r="R68" s="1714">
        <f t="shared" si="2"/>
        <v>2.7223355530394744</v>
      </c>
    </row>
    <row r="69" spans="3:18">
      <c r="C69" s="1712">
        <f t="shared" si="11"/>
        <v>2003</v>
      </c>
      <c r="D69" s="1712">
        <f t="shared" si="12"/>
        <v>1</v>
      </c>
      <c r="E69" s="1723">
        <v>37622</v>
      </c>
      <c r="F69" s="1713">
        <v>36.084299999999999</v>
      </c>
      <c r="G69" s="1713">
        <v>24.900300000000001</v>
      </c>
      <c r="H69" s="1713">
        <v>2.4909942015567323</v>
      </c>
      <c r="I69" s="1713">
        <v>0</v>
      </c>
      <c r="J69" s="1713">
        <f t="shared" si="0"/>
        <v>2.4909942015567323</v>
      </c>
      <c r="K69">
        <f t="shared" si="1"/>
        <v>14485.902848529044</v>
      </c>
      <c r="L69">
        <f t="shared" si="1"/>
        <v>9996.1292500956861</v>
      </c>
      <c r="N69" s="1714">
        <f t="shared" si="5"/>
        <v>38.292947834399996</v>
      </c>
      <c r="O69" s="1714">
        <f t="shared" si="6"/>
        <v>26.424397562399999</v>
      </c>
      <c r="P69" s="1714">
        <f t="shared" si="7"/>
        <v>2.6434629746456166</v>
      </c>
      <c r="Q69" s="1714">
        <f t="shared" si="8"/>
        <v>0</v>
      </c>
      <c r="R69" s="1714">
        <f t="shared" si="2"/>
        <v>2.6434629746456166</v>
      </c>
    </row>
    <row r="70" spans="3:18">
      <c r="C70" s="1712">
        <f t="shared" si="11"/>
        <v>2003</v>
      </c>
      <c r="D70" s="1712">
        <f t="shared" si="12"/>
        <v>2</v>
      </c>
      <c r="E70" s="1723">
        <v>37653</v>
      </c>
      <c r="F70" s="1713">
        <v>31.840900000000001</v>
      </c>
      <c r="G70" s="1713">
        <v>22.617599999999999</v>
      </c>
      <c r="H70" s="1713">
        <v>2.2968615556275762</v>
      </c>
      <c r="I70" s="1713">
        <v>0</v>
      </c>
      <c r="J70" s="1713">
        <f t="shared" si="0"/>
        <v>2.2968615556275762</v>
      </c>
      <c r="K70">
        <f t="shared" si="1"/>
        <v>13862.785905396047</v>
      </c>
      <c r="L70">
        <f t="shared" si="1"/>
        <v>9847.1760061394489</v>
      </c>
      <c r="N70" s="1714">
        <f t="shared" si="5"/>
        <v>33.789817807200002</v>
      </c>
      <c r="O70" s="1714">
        <f t="shared" si="6"/>
        <v>24.001978060799999</v>
      </c>
      <c r="P70" s="1714">
        <f t="shared" si="7"/>
        <v>2.4374478577244285</v>
      </c>
      <c r="Q70" s="1714">
        <f t="shared" si="8"/>
        <v>0</v>
      </c>
      <c r="R70" s="1714">
        <f t="shared" si="2"/>
        <v>2.4374478577244285</v>
      </c>
    </row>
    <row r="71" spans="3:18">
      <c r="C71" s="1712">
        <f t="shared" si="11"/>
        <v>2003</v>
      </c>
      <c r="D71" s="1712">
        <f t="shared" si="12"/>
        <v>3</v>
      </c>
      <c r="E71" s="1723">
        <v>37681</v>
      </c>
      <c r="F71" s="1713">
        <v>28.882100000000001</v>
      </c>
      <c r="G71" s="1713">
        <v>20.4941</v>
      </c>
      <c r="H71" s="1713">
        <v>2.1702610169357976</v>
      </c>
      <c r="I71" s="1713">
        <v>0</v>
      </c>
      <c r="J71" s="1713">
        <f t="shared" si="0"/>
        <v>2.1702610169357976</v>
      </c>
      <c r="K71">
        <f t="shared" si="1"/>
        <v>13308.122744046143</v>
      </c>
      <c r="L71">
        <f t="shared" si="1"/>
        <v>9443.1498515951425</v>
      </c>
      <c r="N71" s="1714">
        <f t="shared" si="5"/>
        <v>30.649915576799998</v>
      </c>
      <c r="O71" s="1714">
        <f t="shared" si="6"/>
        <v>21.7485028728</v>
      </c>
      <c r="P71" s="1714">
        <f t="shared" si="7"/>
        <v>2.3030983532604039</v>
      </c>
      <c r="Q71" s="1714">
        <f t="shared" si="8"/>
        <v>0</v>
      </c>
      <c r="R71" s="1714">
        <f t="shared" si="2"/>
        <v>2.3030983532604039</v>
      </c>
    </row>
    <row r="72" spans="3:18">
      <c r="C72" s="1712">
        <f t="shared" si="11"/>
        <v>2003</v>
      </c>
      <c r="D72" s="1712">
        <f t="shared" si="12"/>
        <v>4</v>
      </c>
      <c r="E72" s="1723">
        <v>37712</v>
      </c>
      <c r="F72" s="1713">
        <v>27.442</v>
      </c>
      <c r="G72" s="1713">
        <v>18.6691</v>
      </c>
      <c r="H72" s="1713">
        <v>2.1016164471760908</v>
      </c>
      <c r="I72" s="1713">
        <v>0</v>
      </c>
      <c r="J72" s="1713">
        <f t="shared" si="0"/>
        <v>2.1016164471760908</v>
      </c>
      <c r="K72">
        <f t="shared" si="1"/>
        <v>13057.568157535779</v>
      </c>
      <c r="L72">
        <f t="shared" si="1"/>
        <v>8883.2098859358375</v>
      </c>
      <c r="N72" s="1714">
        <f t="shared" si="5"/>
        <v>29.121669936</v>
      </c>
      <c r="O72" s="1714">
        <f t="shared" si="6"/>
        <v>19.811798272799997</v>
      </c>
      <c r="P72" s="1714">
        <f t="shared" si="7"/>
        <v>2.2302521866748446</v>
      </c>
      <c r="Q72" s="1714">
        <f t="shared" si="8"/>
        <v>0</v>
      </c>
      <c r="R72" s="1714">
        <f t="shared" si="2"/>
        <v>2.2302521866748446</v>
      </c>
    </row>
    <row r="73" spans="3:18">
      <c r="C73" s="1712">
        <f t="shared" si="11"/>
        <v>2003</v>
      </c>
      <c r="D73" s="1712">
        <f t="shared" si="12"/>
        <v>5</v>
      </c>
      <c r="E73" s="1723">
        <v>37742</v>
      </c>
      <c r="F73" s="1713">
        <v>27.877800000000001</v>
      </c>
      <c r="G73" s="1713">
        <v>15.292</v>
      </c>
      <c r="H73" s="1713">
        <v>2.0823769656863456</v>
      </c>
      <c r="I73" s="1713">
        <v>0</v>
      </c>
      <c r="J73" s="1713">
        <f t="shared" ref="J73:J136" si="13">SUM(H73:I73)</f>
        <v>2.0823769656863456</v>
      </c>
      <c r="K73">
        <f t="shared" ref="K73:L136" si="14">F73/$J73*1000</f>
        <v>13387.489613731659</v>
      </c>
      <c r="L73">
        <f t="shared" si="14"/>
        <v>7343.531095466089</v>
      </c>
      <c r="N73" s="1714">
        <f t="shared" si="5"/>
        <v>29.584144382399998</v>
      </c>
      <c r="O73" s="1714">
        <f t="shared" si="6"/>
        <v>16.227992735999997</v>
      </c>
      <c r="P73" s="1714">
        <f t="shared" si="7"/>
        <v>2.2098350950020751</v>
      </c>
      <c r="Q73" s="1714">
        <f t="shared" si="8"/>
        <v>0</v>
      </c>
      <c r="R73" s="1714">
        <f t="shared" ref="R73:R136" si="15">SUM(P73:Q73)</f>
        <v>2.2098350950020751</v>
      </c>
    </row>
    <row r="74" spans="3:18">
      <c r="C74" s="1712">
        <f t="shared" si="11"/>
        <v>2003</v>
      </c>
      <c r="D74" s="1712">
        <f t="shared" si="12"/>
        <v>6</v>
      </c>
      <c r="E74" s="1723">
        <v>37773</v>
      </c>
      <c r="F74" s="1713">
        <v>26.537800000000001</v>
      </c>
      <c r="G74" s="1713">
        <v>13.012499999999999</v>
      </c>
      <c r="H74" s="1713">
        <v>2.1039916918044543</v>
      </c>
      <c r="I74" s="1713">
        <v>0</v>
      </c>
      <c r="J74" s="1713">
        <f t="shared" si="13"/>
        <v>2.1039916918044543</v>
      </c>
      <c r="K74">
        <f t="shared" si="14"/>
        <v>12613.072619711862</v>
      </c>
      <c r="L74">
        <f t="shared" si="14"/>
        <v>6184.672710774842</v>
      </c>
      <c r="N74" s="1714">
        <f t="shared" ref="N74:N137" si="16">F74*(1+$D$4)^($C74-$D$3)</f>
        <v>28.162125662399998</v>
      </c>
      <c r="O74" s="1714">
        <f t="shared" ref="O74:O137" si="17">G74*(1+$D$4)^($C74-$D$3)</f>
        <v>13.808969099999999</v>
      </c>
      <c r="P74" s="1714">
        <f t="shared" ref="P74:P137" si="18">H74*(1+$D$4)^($C74-$D$3)</f>
        <v>2.2327728152764212</v>
      </c>
      <c r="Q74" s="1714">
        <f t="shared" ref="Q74:Q137" si="19">I74*(1+$D$4)^($C74-$D$3)</f>
        <v>0</v>
      </c>
      <c r="R74" s="1714">
        <f t="shared" si="15"/>
        <v>2.2327728152764212</v>
      </c>
    </row>
    <row r="75" spans="3:18">
      <c r="C75" s="1712">
        <f t="shared" si="11"/>
        <v>2003</v>
      </c>
      <c r="D75" s="1712">
        <f t="shared" si="12"/>
        <v>7</v>
      </c>
      <c r="E75" s="1723">
        <v>37803</v>
      </c>
      <c r="F75" s="1713">
        <v>37.827300000000001</v>
      </c>
      <c r="G75" s="1713">
        <v>19.588699999999999</v>
      </c>
      <c r="H75" s="1713">
        <v>2.1579097448683076</v>
      </c>
      <c r="I75" s="1713">
        <v>0</v>
      </c>
      <c r="J75" s="1713">
        <f t="shared" si="13"/>
        <v>2.1579097448683076</v>
      </c>
      <c r="K75">
        <f t="shared" si="14"/>
        <v>17529.602472928502</v>
      </c>
      <c r="L75">
        <f t="shared" si="14"/>
        <v>9077.6271095598822</v>
      </c>
      <c r="N75" s="1714">
        <f t="shared" si="16"/>
        <v>40.142633378399999</v>
      </c>
      <c r="O75" s="1714">
        <f t="shared" si="17"/>
        <v>20.787685149599998</v>
      </c>
      <c r="P75" s="1714">
        <f t="shared" si="18"/>
        <v>2.2899910845322067</v>
      </c>
      <c r="Q75" s="1714">
        <f t="shared" si="19"/>
        <v>0</v>
      </c>
      <c r="R75" s="1714">
        <f t="shared" si="15"/>
        <v>2.2899910845322067</v>
      </c>
    </row>
    <row r="76" spans="3:18">
      <c r="C76" s="1712">
        <f t="shared" si="11"/>
        <v>2003</v>
      </c>
      <c r="D76" s="1712">
        <f t="shared" si="12"/>
        <v>8</v>
      </c>
      <c r="E76" s="1723">
        <v>37834</v>
      </c>
      <c r="F76" s="1713">
        <v>59.011600000000001</v>
      </c>
      <c r="G76" s="1713">
        <v>24.9526</v>
      </c>
      <c r="H76" s="1713">
        <v>2.2355802442157966</v>
      </c>
      <c r="I76" s="1713">
        <v>0</v>
      </c>
      <c r="J76" s="1713">
        <f t="shared" si="13"/>
        <v>2.2355802442157966</v>
      </c>
      <c r="K76">
        <f t="shared" si="14"/>
        <v>26396.547452359628</v>
      </c>
      <c r="L76">
        <f t="shared" si="14"/>
        <v>11161.576536812234</v>
      </c>
      <c r="N76" s="1714">
        <f t="shared" si="16"/>
        <v>62.6235820128</v>
      </c>
      <c r="O76" s="1714">
        <f t="shared" si="17"/>
        <v>26.4798987408</v>
      </c>
      <c r="P76" s="1714">
        <f t="shared" si="18"/>
        <v>2.3724156398037568</v>
      </c>
      <c r="Q76" s="1714">
        <f t="shared" si="19"/>
        <v>0</v>
      </c>
      <c r="R76" s="1714">
        <f t="shared" si="15"/>
        <v>2.3724156398037568</v>
      </c>
    </row>
    <row r="77" spans="3:18">
      <c r="C77" s="1712">
        <f t="shared" si="11"/>
        <v>2003</v>
      </c>
      <c r="D77" s="1712">
        <f t="shared" si="12"/>
        <v>9</v>
      </c>
      <c r="E77" s="1723">
        <v>37865</v>
      </c>
      <c r="F77" s="1713">
        <v>45.260899999999999</v>
      </c>
      <c r="G77" s="1713">
        <v>24.236999999999998</v>
      </c>
      <c r="H77" s="1713">
        <v>2.3284523091848119</v>
      </c>
      <c r="I77" s="1713">
        <v>0</v>
      </c>
      <c r="J77" s="1713">
        <f t="shared" si="13"/>
        <v>2.3284523091848119</v>
      </c>
      <c r="K77">
        <f t="shared" si="14"/>
        <v>19438.190690641968</v>
      </c>
      <c r="L77">
        <f t="shared" si="14"/>
        <v>10409.060088709886</v>
      </c>
      <c r="N77" s="1714">
        <f t="shared" si="16"/>
        <v>48.031229167199996</v>
      </c>
      <c r="O77" s="1714">
        <f t="shared" si="17"/>
        <v>25.720498295999995</v>
      </c>
      <c r="P77" s="1714">
        <f t="shared" si="18"/>
        <v>2.4709722181253957</v>
      </c>
      <c r="Q77" s="1714">
        <f t="shared" si="19"/>
        <v>0</v>
      </c>
      <c r="R77" s="1714">
        <f t="shared" si="15"/>
        <v>2.4709722181253957</v>
      </c>
    </row>
    <row r="78" spans="3:18">
      <c r="C78" s="1712">
        <f t="shared" si="11"/>
        <v>2003</v>
      </c>
      <c r="D78" s="1712">
        <f t="shared" si="12"/>
        <v>10</v>
      </c>
      <c r="E78" s="1723">
        <v>37895</v>
      </c>
      <c r="F78" s="1713">
        <v>35.490499999999997</v>
      </c>
      <c r="G78" s="1713">
        <v>22.735600000000002</v>
      </c>
      <c r="H78" s="1713">
        <v>2.4279750591132463</v>
      </c>
      <c r="I78" s="1713">
        <v>0</v>
      </c>
      <c r="J78" s="1713">
        <f t="shared" si="13"/>
        <v>2.4279750591132463</v>
      </c>
      <c r="K78">
        <f t="shared" si="14"/>
        <v>14617.324781318786</v>
      </c>
      <c r="L78">
        <f t="shared" si="14"/>
        <v>9364.0171115693338</v>
      </c>
      <c r="N78" s="1714">
        <f t="shared" si="16"/>
        <v>37.662802523999993</v>
      </c>
      <c r="O78" s="1714">
        <f t="shared" si="17"/>
        <v>24.127200604799999</v>
      </c>
      <c r="P78" s="1714">
        <f t="shared" si="18"/>
        <v>2.5765865565314496</v>
      </c>
      <c r="Q78" s="1714">
        <f t="shared" si="19"/>
        <v>0</v>
      </c>
      <c r="R78" s="1714">
        <f t="shared" si="15"/>
        <v>2.5765865565314496</v>
      </c>
    </row>
    <row r="79" spans="3:18">
      <c r="C79" s="1712">
        <f t="shared" si="11"/>
        <v>2003</v>
      </c>
      <c r="D79" s="1712">
        <f t="shared" si="12"/>
        <v>11</v>
      </c>
      <c r="E79" s="1723">
        <v>37926</v>
      </c>
      <c r="F79" s="1713">
        <v>37.252899999999997</v>
      </c>
      <c r="G79" s="1713">
        <v>24.616800000000001</v>
      </c>
      <c r="H79" s="1713">
        <v>2.5255976133389884</v>
      </c>
      <c r="I79" s="1713">
        <v>0</v>
      </c>
      <c r="J79" s="1713">
        <f t="shared" si="13"/>
        <v>2.5255976133389884</v>
      </c>
      <c r="K79">
        <f t="shared" si="14"/>
        <v>14750.13272234981</v>
      </c>
      <c r="L79">
        <f t="shared" si="14"/>
        <v>9746.920835681005</v>
      </c>
      <c r="N79" s="1714">
        <f t="shared" si="16"/>
        <v>39.533075503199996</v>
      </c>
      <c r="O79" s="1714">
        <f t="shared" si="17"/>
        <v>26.123545094400001</v>
      </c>
      <c r="P79" s="1714">
        <f t="shared" si="18"/>
        <v>2.6801843920562409</v>
      </c>
      <c r="Q79" s="1714">
        <f t="shared" si="19"/>
        <v>0</v>
      </c>
      <c r="R79" s="1714">
        <f t="shared" si="15"/>
        <v>2.6801843920562409</v>
      </c>
    </row>
    <row r="80" spans="3:18">
      <c r="C80" s="1712">
        <f t="shared" si="11"/>
        <v>2003</v>
      </c>
      <c r="D80" s="1712">
        <f t="shared" si="12"/>
        <v>12</v>
      </c>
      <c r="E80" s="1723">
        <v>37956</v>
      </c>
      <c r="F80" s="1713">
        <v>36.032200000000003</v>
      </c>
      <c r="G80" s="1713">
        <v>25.573399999999999</v>
      </c>
      <c r="H80" s="1713">
        <v>2.6287450329792246</v>
      </c>
      <c r="I80" s="1713">
        <v>0</v>
      </c>
      <c r="J80" s="1713">
        <f t="shared" si="13"/>
        <v>2.6287450329792246</v>
      </c>
      <c r="K80">
        <f t="shared" si="14"/>
        <v>13706.996893176734</v>
      </c>
      <c r="L80">
        <f t="shared" si="14"/>
        <v>9728.3683579677581</v>
      </c>
      <c r="N80" s="1714">
        <f t="shared" si="16"/>
        <v>38.237658897599999</v>
      </c>
      <c r="O80" s="1714">
        <f t="shared" si="17"/>
        <v>27.138696667199998</v>
      </c>
      <c r="P80" s="1714">
        <f t="shared" si="18"/>
        <v>2.7896452589578167</v>
      </c>
      <c r="Q80" s="1714">
        <f t="shared" si="19"/>
        <v>0</v>
      </c>
      <c r="R80" s="1714">
        <f t="shared" si="15"/>
        <v>2.7896452589578167</v>
      </c>
    </row>
    <row r="81" spans="3:18">
      <c r="C81" s="1712">
        <f t="shared" si="11"/>
        <v>2004</v>
      </c>
      <c r="D81" s="1712">
        <f t="shared" si="12"/>
        <v>1</v>
      </c>
      <c r="E81" s="1723">
        <v>37987</v>
      </c>
      <c r="F81" s="1713">
        <v>38.110100000000003</v>
      </c>
      <c r="G81" s="1713">
        <v>24.816500000000001</v>
      </c>
      <c r="H81" s="1713">
        <v>2.5126002466317288</v>
      </c>
      <c r="I81" s="1713">
        <v>0</v>
      </c>
      <c r="J81" s="1713">
        <f t="shared" si="13"/>
        <v>2.5126002466317288</v>
      </c>
      <c r="K81">
        <f t="shared" si="14"/>
        <v>15167.59383076897</v>
      </c>
      <c r="L81">
        <f t="shared" si="14"/>
        <v>9876.81985356318</v>
      </c>
      <c r="N81" s="1714">
        <f t="shared" si="16"/>
        <v>41.251597860816005</v>
      </c>
      <c r="O81" s="1714">
        <f t="shared" si="17"/>
        <v>26.86217769864</v>
      </c>
      <c r="P81" s="1714">
        <f t="shared" si="18"/>
        <v>2.7197193121781149</v>
      </c>
      <c r="Q81" s="1714">
        <f t="shared" si="19"/>
        <v>0</v>
      </c>
      <c r="R81" s="1714">
        <f t="shared" si="15"/>
        <v>2.7197193121781149</v>
      </c>
    </row>
    <row r="82" spans="3:18">
      <c r="C82" s="1712">
        <f t="shared" si="11"/>
        <v>2004</v>
      </c>
      <c r="D82" s="1712">
        <f t="shared" si="12"/>
        <v>2</v>
      </c>
      <c r="E82" s="1723">
        <v>38018</v>
      </c>
      <c r="F82" s="1713">
        <v>30.780899999999999</v>
      </c>
      <c r="G82" s="1713">
        <v>21.221</v>
      </c>
      <c r="H82" s="1713">
        <v>2.3167837594893523</v>
      </c>
      <c r="I82" s="1713">
        <v>0</v>
      </c>
      <c r="J82" s="1713">
        <f t="shared" si="13"/>
        <v>2.3167837594893523</v>
      </c>
      <c r="K82">
        <f t="shared" si="14"/>
        <v>13286.047898913313</v>
      </c>
      <c r="L82">
        <f t="shared" si="14"/>
        <v>9159.6809210529718</v>
      </c>
      <c r="N82" s="1714">
        <f t="shared" si="16"/>
        <v>33.318236073743996</v>
      </c>
      <c r="O82" s="1714">
        <f t="shared" si="17"/>
        <v>22.970292867360001</v>
      </c>
      <c r="P82" s="1714">
        <f t="shared" si="18"/>
        <v>2.5077612490369803</v>
      </c>
      <c r="Q82" s="1714">
        <f t="shared" si="19"/>
        <v>0</v>
      </c>
      <c r="R82" s="1714">
        <f t="shared" si="15"/>
        <v>2.5077612490369803</v>
      </c>
    </row>
    <row r="83" spans="3:18">
      <c r="C83" s="1712">
        <f t="shared" si="11"/>
        <v>2004</v>
      </c>
      <c r="D83" s="1712">
        <f t="shared" si="12"/>
        <v>3</v>
      </c>
      <c r="E83" s="1723">
        <v>38047</v>
      </c>
      <c r="F83" s="1713">
        <v>29.332999999999998</v>
      </c>
      <c r="G83" s="1713">
        <v>20.8779</v>
      </c>
      <c r="H83" s="1713">
        <v>2.1890851303468684</v>
      </c>
      <c r="I83" s="1713">
        <v>0</v>
      </c>
      <c r="J83" s="1713">
        <f t="shared" si="13"/>
        <v>2.1890851303468684</v>
      </c>
      <c r="K83">
        <f t="shared" si="14"/>
        <v>13399.661618162872</v>
      </c>
      <c r="L83">
        <f t="shared" si="14"/>
        <v>9537.271854152068</v>
      </c>
      <c r="N83" s="1714">
        <f t="shared" si="16"/>
        <v>31.750982549279996</v>
      </c>
      <c r="O83" s="1714">
        <f t="shared" si="17"/>
        <v>22.598910393263999</v>
      </c>
      <c r="P83" s="1714">
        <f t="shared" si="18"/>
        <v>2.3695361460652422</v>
      </c>
      <c r="Q83" s="1714">
        <f t="shared" si="19"/>
        <v>0</v>
      </c>
      <c r="R83" s="1714">
        <f t="shared" si="15"/>
        <v>2.3695361460652422</v>
      </c>
    </row>
    <row r="84" spans="3:18">
      <c r="C84" s="1712">
        <f t="shared" si="11"/>
        <v>2004</v>
      </c>
      <c r="D84" s="1712">
        <f t="shared" si="12"/>
        <v>4</v>
      </c>
      <c r="E84" s="1723">
        <v>38078</v>
      </c>
      <c r="F84" s="1713">
        <v>28.151299999999999</v>
      </c>
      <c r="G84" s="1713">
        <v>19.613800000000001</v>
      </c>
      <c r="H84" s="1713">
        <v>2.1198451606992545</v>
      </c>
      <c r="I84" s="1713">
        <v>0</v>
      </c>
      <c r="J84" s="1713">
        <f t="shared" si="13"/>
        <v>2.1198451606992545</v>
      </c>
      <c r="K84">
        <f t="shared" si="14"/>
        <v>13279.885022693818</v>
      </c>
      <c r="L84">
        <f t="shared" si="14"/>
        <v>9252.468229108852</v>
      </c>
      <c r="N84" s="1714">
        <f t="shared" si="16"/>
        <v>30.471872465807998</v>
      </c>
      <c r="O84" s="1714">
        <f t="shared" si="17"/>
        <v>21.230607899808</v>
      </c>
      <c r="P84" s="1714">
        <f t="shared" si="18"/>
        <v>2.294588576161241</v>
      </c>
      <c r="Q84" s="1714">
        <f t="shared" si="19"/>
        <v>0</v>
      </c>
      <c r="R84" s="1714">
        <f t="shared" si="15"/>
        <v>2.294588576161241</v>
      </c>
    </row>
    <row r="85" spans="3:18">
      <c r="C85" s="1712">
        <f t="shared" si="11"/>
        <v>2004</v>
      </c>
      <c r="D85" s="1712">
        <f t="shared" si="12"/>
        <v>5</v>
      </c>
      <c r="E85" s="1723">
        <v>38108</v>
      </c>
      <c r="F85" s="1713">
        <v>29.7973</v>
      </c>
      <c r="G85" s="1713">
        <v>17.537099999999999</v>
      </c>
      <c r="H85" s="1713">
        <v>2.1004388024243177</v>
      </c>
      <c r="I85" s="1713">
        <v>0</v>
      </c>
      <c r="J85" s="1713">
        <f t="shared" si="13"/>
        <v>2.1004388024243177</v>
      </c>
      <c r="K85">
        <f t="shared" si="14"/>
        <v>14186.226214069213</v>
      </c>
      <c r="L85">
        <f t="shared" si="14"/>
        <v>8349.255393567646</v>
      </c>
      <c r="N85" s="1714">
        <f t="shared" si="16"/>
        <v>32.253555801167998</v>
      </c>
      <c r="O85" s="1714">
        <f t="shared" si="17"/>
        <v>18.982721033135999</v>
      </c>
      <c r="P85" s="1714">
        <f t="shared" si="18"/>
        <v>2.2735825098559674</v>
      </c>
      <c r="Q85" s="1714">
        <f t="shared" si="19"/>
        <v>0</v>
      </c>
      <c r="R85" s="1714">
        <f t="shared" si="15"/>
        <v>2.2735825098559674</v>
      </c>
    </row>
    <row r="86" spans="3:18">
      <c r="C86" s="1712">
        <f t="shared" si="11"/>
        <v>2004</v>
      </c>
      <c r="D86" s="1712">
        <f t="shared" si="12"/>
        <v>6</v>
      </c>
      <c r="E86" s="1723">
        <v>38139</v>
      </c>
      <c r="F86" s="1713">
        <v>28.046099999999999</v>
      </c>
      <c r="G86" s="1713">
        <v>15.538500000000001</v>
      </c>
      <c r="H86" s="1713">
        <v>2.1222410073998645</v>
      </c>
      <c r="I86" s="1713">
        <v>0</v>
      </c>
      <c r="J86" s="1713">
        <f t="shared" si="13"/>
        <v>2.1222410073998645</v>
      </c>
      <c r="K86">
        <f t="shared" si="14"/>
        <v>13215.322813105769</v>
      </c>
      <c r="L86">
        <f t="shared" si="14"/>
        <v>7321.7414731974859</v>
      </c>
      <c r="N86" s="1714">
        <f t="shared" si="16"/>
        <v>30.358000602575999</v>
      </c>
      <c r="O86" s="1714">
        <f t="shared" si="17"/>
        <v>16.81937211816</v>
      </c>
      <c r="P86" s="1714">
        <f t="shared" si="18"/>
        <v>2.2971819176804114</v>
      </c>
      <c r="Q86" s="1714">
        <f t="shared" si="19"/>
        <v>0</v>
      </c>
      <c r="R86" s="1714">
        <f t="shared" si="15"/>
        <v>2.2971819176804114</v>
      </c>
    </row>
    <row r="87" spans="3:18">
      <c r="C87" s="1712">
        <f t="shared" si="11"/>
        <v>2004</v>
      </c>
      <c r="D87" s="1712">
        <f t="shared" si="12"/>
        <v>7</v>
      </c>
      <c r="E87" s="1723">
        <v>38169</v>
      </c>
      <c r="F87" s="1713">
        <v>46.196599999999997</v>
      </c>
      <c r="G87" s="1713">
        <v>20.694700000000001</v>
      </c>
      <c r="H87" s="1713">
        <v>2.1766267275036992</v>
      </c>
      <c r="I87" s="1713">
        <v>0</v>
      </c>
      <c r="J87" s="1713">
        <f t="shared" si="13"/>
        <v>2.1766267275036992</v>
      </c>
      <c r="K87">
        <f t="shared" si="14"/>
        <v>21223.942266380847</v>
      </c>
      <c r="L87">
        <f t="shared" si="14"/>
        <v>9507.6935969329315</v>
      </c>
      <c r="N87" s="1714">
        <f t="shared" si="16"/>
        <v>50.004685522655997</v>
      </c>
      <c r="O87" s="1714">
        <f t="shared" si="17"/>
        <v>22.400608821552002</v>
      </c>
      <c r="P87" s="1714">
        <f t="shared" si="18"/>
        <v>2.3560507701655604</v>
      </c>
      <c r="Q87" s="1714">
        <f t="shared" si="19"/>
        <v>0</v>
      </c>
      <c r="R87" s="1714">
        <f t="shared" si="15"/>
        <v>2.3560507701655604</v>
      </c>
    </row>
    <row r="88" spans="3:18">
      <c r="C88" s="1712">
        <f t="shared" si="11"/>
        <v>2004</v>
      </c>
      <c r="D88" s="1712">
        <f t="shared" si="12"/>
        <v>8</v>
      </c>
      <c r="E88" s="1723">
        <v>38200</v>
      </c>
      <c r="F88" s="1713">
        <v>72.1708</v>
      </c>
      <c r="G88" s="1713">
        <v>26.3979</v>
      </c>
      <c r="H88" s="1713">
        <v>2.254970914613629</v>
      </c>
      <c r="I88" s="1713">
        <v>0</v>
      </c>
      <c r="J88" s="1713">
        <f t="shared" si="13"/>
        <v>2.254970914613629</v>
      </c>
      <c r="K88">
        <f t="shared" si="14"/>
        <v>32005.202165707702</v>
      </c>
      <c r="L88">
        <f t="shared" si="14"/>
        <v>11706.536802282022</v>
      </c>
      <c r="N88" s="1714">
        <f t="shared" si="16"/>
        <v>78.119994932927995</v>
      </c>
      <c r="O88" s="1714">
        <f t="shared" si="17"/>
        <v>28.573935916463999</v>
      </c>
      <c r="P88" s="1714">
        <f t="shared" si="18"/>
        <v>2.4408530378424058</v>
      </c>
      <c r="Q88" s="1714">
        <f t="shared" si="19"/>
        <v>0</v>
      </c>
      <c r="R88" s="1714">
        <f t="shared" si="15"/>
        <v>2.4408530378424058</v>
      </c>
    </row>
    <row r="89" spans="3:18">
      <c r="C89" s="1712">
        <f t="shared" si="11"/>
        <v>2004</v>
      </c>
      <c r="D89" s="1712">
        <f t="shared" si="12"/>
        <v>9</v>
      </c>
      <c r="E89" s="1723">
        <v>38231</v>
      </c>
      <c r="F89" s="1713">
        <v>55.722700000000003</v>
      </c>
      <c r="G89" s="1713">
        <v>25.565300000000001</v>
      </c>
      <c r="H89" s="1713">
        <v>2.3486485206074588</v>
      </c>
      <c r="I89" s="1713">
        <v>0</v>
      </c>
      <c r="J89" s="1713">
        <f t="shared" si="13"/>
        <v>2.3486485206074588</v>
      </c>
      <c r="K89">
        <f t="shared" si="14"/>
        <v>23725.431673185303</v>
      </c>
      <c r="L89">
        <f t="shared" si="14"/>
        <v>10885.111065229865</v>
      </c>
      <c r="N89" s="1714">
        <f t="shared" si="16"/>
        <v>60.316042522031999</v>
      </c>
      <c r="O89" s="1714">
        <f t="shared" si="17"/>
        <v>27.672702900048002</v>
      </c>
      <c r="P89" s="1714">
        <f t="shared" si="18"/>
        <v>2.5422526912419361</v>
      </c>
      <c r="Q89" s="1714">
        <f t="shared" si="19"/>
        <v>0</v>
      </c>
      <c r="R89" s="1714">
        <f t="shared" si="15"/>
        <v>2.5422526912419361</v>
      </c>
    </row>
    <row r="90" spans="3:18">
      <c r="C90" s="1712">
        <f t="shared" si="11"/>
        <v>2004</v>
      </c>
      <c r="D90" s="1712">
        <f t="shared" si="12"/>
        <v>10</v>
      </c>
      <c r="E90" s="1723">
        <v>38261</v>
      </c>
      <c r="F90" s="1713">
        <v>34.601700000000001</v>
      </c>
      <c r="G90" s="1713">
        <v>23.1617</v>
      </c>
      <c r="H90" s="1713">
        <v>2.4490344973629958</v>
      </c>
      <c r="I90" s="1713">
        <v>0</v>
      </c>
      <c r="J90" s="1713">
        <f t="shared" si="13"/>
        <v>2.4490344973629958</v>
      </c>
      <c r="K90">
        <f t="shared" si="14"/>
        <v>14128.710737744801</v>
      </c>
      <c r="L90">
        <f t="shared" si="14"/>
        <v>9457.482132219624</v>
      </c>
      <c r="N90" s="1714">
        <f t="shared" si="16"/>
        <v>37.453992870672003</v>
      </c>
      <c r="O90" s="1714">
        <f t="shared" si="17"/>
        <v>25.070968960271998</v>
      </c>
      <c r="P90" s="1714">
        <f t="shared" si="18"/>
        <v>2.650913700895142</v>
      </c>
      <c r="Q90" s="1714">
        <f t="shared" si="19"/>
        <v>0</v>
      </c>
      <c r="R90" s="1714">
        <f t="shared" si="15"/>
        <v>2.650913700895142</v>
      </c>
    </row>
    <row r="91" spans="3:18">
      <c r="C91" s="1712">
        <f t="shared" si="11"/>
        <v>2004</v>
      </c>
      <c r="D91" s="1712">
        <f t="shared" si="12"/>
        <v>11</v>
      </c>
      <c r="E91" s="1723">
        <v>38292</v>
      </c>
      <c r="F91" s="1713">
        <v>38.56</v>
      </c>
      <c r="G91" s="1713">
        <v>24.877300000000002</v>
      </c>
      <c r="H91" s="1713">
        <v>2.5475037967580438</v>
      </c>
      <c r="I91" s="1713">
        <v>0</v>
      </c>
      <c r="J91" s="1713">
        <f t="shared" si="13"/>
        <v>2.5475037967580438</v>
      </c>
      <c r="K91">
        <f t="shared" si="14"/>
        <v>15136.385684320276</v>
      </c>
      <c r="L91">
        <f t="shared" si="14"/>
        <v>9765.3632672339427</v>
      </c>
      <c r="N91" s="1714">
        <f t="shared" si="16"/>
        <v>41.738584089600003</v>
      </c>
      <c r="O91" s="1714">
        <f t="shared" si="17"/>
        <v>26.927989573968002</v>
      </c>
      <c r="P91" s="1714">
        <f t="shared" si="18"/>
        <v>2.7575000373330103</v>
      </c>
      <c r="Q91" s="1714">
        <f t="shared" si="19"/>
        <v>0</v>
      </c>
      <c r="R91" s="1714">
        <f t="shared" si="15"/>
        <v>2.7575000373330103</v>
      </c>
    </row>
    <row r="92" spans="3:18">
      <c r="C92" s="1712">
        <f t="shared" si="11"/>
        <v>2004</v>
      </c>
      <c r="D92" s="1712">
        <f t="shared" si="12"/>
        <v>12</v>
      </c>
      <c r="E92" s="1723">
        <v>38322</v>
      </c>
      <c r="F92" s="1713">
        <v>38.949100000000001</v>
      </c>
      <c r="G92" s="1713">
        <v>25.1873</v>
      </c>
      <c r="H92" s="1713">
        <v>2.6515458823901654</v>
      </c>
      <c r="I92" s="1713">
        <v>0</v>
      </c>
      <c r="J92" s="1713">
        <f t="shared" si="13"/>
        <v>2.6515458823901654</v>
      </c>
      <c r="K92">
        <f t="shared" si="14"/>
        <v>14689.204610289591</v>
      </c>
      <c r="L92">
        <f t="shared" si="14"/>
        <v>9499.1001918079492</v>
      </c>
      <c r="N92" s="1714">
        <f t="shared" si="16"/>
        <v>42.159758443055999</v>
      </c>
      <c r="O92" s="1714">
        <f t="shared" si="17"/>
        <v>27.263543543568002</v>
      </c>
      <c r="P92" s="1714">
        <f t="shared" si="18"/>
        <v>2.8701185368146929</v>
      </c>
      <c r="Q92" s="1714">
        <f t="shared" si="19"/>
        <v>0</v>
      </c>
      <c r="R92" s="1714">
        <f t="shared" si="15"/>
        <v>2.8701185368146929</v>
      </c>
    </row>
    <row r="93" spans="3:18">
      <c r="C93" s="1712">
        <f t="shared" si="11"/>
        <v>2005</v>
      </c>
      <c r="D93" s="1712">
        <f t="shared" si="12"/>
        <v>1</v>
      </c>
      <c r="E93" s="1723">
        <v>38353</v>
      </c>
      <c r="F93" s="1713">
        <v>38.325800000000001</v>
      </c>
      <c r="G93" s="1713">
        <v>25.163599999999999</v>
      </c>
      <c r="H93" s="1713">
        <v>2.5256484138103517</v>
      </c>
      <c r="I93" s="1713">
        <v>0</v>
      </c>
      <c r="J93" s="1713">
        <f t="shared" si="13"/>
        <v>2.5256484138103517</v>
      </c>
      <c r="K93">
        <f t="shared" si="14"/>
        <v>15174.637843665379</v>
      </c>
      <c r="L93">
        <f t="shared" si="14"/>
        <v>9963.2236468086267</v>
      </c>
      <c r="N93" s="1714">
        <f t="shared" si="16"/>
        <v>42.314780047282561</v>
      </c>
      <c r="O93" s="1714">
        <f t="shared" si="17"/>
        <v>27.782647699403519</v>
      </c>
      <c r="P93" s="1714">
        <f t="shared" si="18"/>
        <v>2.7885199293205392</v>
      </c>
      <c r="Q93" s="1714">
        <f t="shared" si="19"/>
        <v>0</v>
      </c>
      <c r="R93" s="1714">
        <f t="shared" si="15"/>
        <v>2.7885199293205392</v>
      </c>
    </row>
    <row r="94" spans="3:18">
      <c r="C94" s="1712">
        <f t="shared" si="11"/>
        <v>2005</v>
      </c>
      <c r="D94" s="1712">
        <f t="shared" si="12"/>
        <v>2</v>
      </c>
      <c r="E94" s="1723">
        <v>38384</v>
      </c>
      <c r="F94" s="1713">
        <v>36.026200000000003</v>
      </c>
      <c r="G94" s="1713">
        <v>22.912299999999998</v>
      </c>
      <c r="H94" s="1713">
        <v>2.3288150334061086</v>
      </c>
      <c r="I94" s="1713">
        <v>0</v>
      </c>
      <c r="J94" s="1713">
        <f t="shared" si="13"/>
        <v>2.3288150334061086</v>
      </c>
      <c r="K94">
        <f t="shared" si="14"/>
        <v>15469.755855753101</v>
      </c>
      <c r="L94">
        <f t="shared" si="14"/>
        <v>9838.6087651146026</v>
      </c>
      <c r="N94" s="1714">
        <f t="shared" si="16"/>
        <v>39.775835832243843</v>
      </c>
      <c r="O94" s="1714">
        <f t="shared" si="17"/>
        <v>25.297030587159359</v>
      </c>
      <c r="P94" s="1714">
        <f t="shared" si="18"/>
        <v>2.5711999725872512</v>
      </c>
      <c r="Q94" s="1714">
        <f t="shared" si="19"/>
        <v>0</v>
      </c>
      <c r="R94" s="1714">
        <f t="shared" si="15"/>
        <v>2.5711999725872512</v>
      </c>
    </row>
    <row r="95" spans="3:18">
      <c r="C95" s="1712">
        <f t="shared" si="11"/>
        <v>2005</v>
      </c>
      <c r="D95" s="1712">
        <f t="shared" si="12"/>
        <v>3</v>
      </c>
      <c r="E95" s="1723">
        <v>38412</v>
      </c>
      <c r="F95" s="1713">
        <v>30.960799999999999</v>
      </c>
      <c r="G95" s="1713">
        <v>21.056999999999999</v>
      </c>
      <c r="H95" s="1713">
        <v>2.200453253384862</v>
      </c>
      <c r="I95" s="1713">
        <v>0</v>
      </c>
      <c r="J95" s="1713">
        <f t="shared" si="13"/>
        <v>2.200453253384862</v>
      </c>
      <c r="K95">
        <f t="shared" si="14"/>
        <v>14070.192108091522</v>
      </c>
      <c r="L95">
        <f t="shared" si="14"/>
        <v>9569.3921093797035</v>
      </c>
      <c r="N95" s="1714">
        <f t="shared" si="16"/>
        <v>34.183224931714562</v>
      </c>
      <c r="O95" s="1714">
        <f t="shared" si="17"/>
        <v>23.248629472982397</v>
      </c>
      <c r="P95" s="1714">
        <f t="shared" si="18"/>
        <v>2.4294781954012117</v>
      </c>
      <c r="Q95" s="1714">
        <f t="shared" si="19"/>
        <v>0</v>
      </c>
      <c r="R95" s="1714">
        <f t="shared" si="15"/>
        <v>2.4294781954012117</v>
      </c>
    </row>
    <row r="96" spans="3:18">
      <c r="C96" s="1712">
        <f t="shared" si="11"/>
        <v>2005</v>
      </c>
      <c r="D96" s="1712">
        <f t="shared" si="12"/>
        <v>4</v>
      </c>
      <c r="E96" s="1723">
        <v>38443</v>
      </c>
      <c r="F96" s="1713">
        <v>28.5991</v>
      </c>
      <c r="G96" s="1713">
        <v>19.956099999999999</v>
      </c>
      <c r="H96" s="1713">
        <v>2.1308537141238109</v>
      </c>
      <c r="I96" s="1713">
        <v>0</v>
      </c>
      <c r="J96" s="1713">
        <f t="shared" si="13"/>
        <v>2.1308537141238109</v>
      </c>
      <c r="K96">
        <f t="shared" si="14"/>
        <v>13421.42813954721</v>
      </c>
      <c r="L96">
        <f t="shared" si="14"/>
        <v>9365.3073731557306</v>
      </c>
      <c r="N96" s="1714">
        <f t="shared" si="16"/>
        <v>31.57571729879712</v>
      </c>
      <c r="O96" s="1714">
        <f t="shared" si="17"/>
        <v>22.033146916739518</v>
      </c>
      <c r="P96" s="1714">
        <f t="shared" si="18"/>
        <v>2.3526346801915201</v>
      </c>
      <c r="Q96" s="1714">
        <f t="shared" si="19"/>
        <v>0</v>
      </c>
      <c r="R96" s="1714">
        <f t="shared" si="15"/>
        <v>2.3526346801915201</v>
      </c>
    </row>
    <row r="97" spans="3:18">
      <c r="C97" s="1712">
        <f t="shared" si="11"/>
        <v>2005</v>
      </c>
      <c r="D97" s="1712">
        <f t="shared" si="12"/>
        <v>5</v>
      </c>
      <c r="E97" s="1723">
        <v>38473</v>
      </c>
      <c r="F97" s="1713">
        <v>30.8643</v>
      </c>
      <c r="G97" s="1713">
        <v>17.5518</v>
      </c>
      <c r="H97" s="1713">
        <v>2.1113465768222706</v>
      </c>
      <c r="I97" s="1713">
        <v>0</v>
      </c>
      <c r="J97" s="1713">
        <f t="shared" si="13"/>
        <v>2.1113465768222706</v>
      </c>
      <c r="K97">
        <f t="shared" si="14"/>
        <v>14618.301106421384</v>
      </c>
      <c r="L97">
        <f t="shared" si="14"/>
        <v>8313.0833150172493</v>
      </c>
      <c r="N97" s="1714">
        <f t="shared" si="16"/>
        <v>34.076681134205764</v>
      </c>
      <c r="O97" s="1714">
        <f t="shared" si="17"/>
        <v>19.37860544160576</v>
      </c>
      <c r="P97" s="1714">
        <f t="shared" si="18"/>
        <v>2.3310972243715029</v>
      </c>
      <c r="Q97" s="1714">
        <f t="shared" si="19"/>
        <v>0</v>
      </c>
      <c r="R97" s="1714">
        <f t="shared" si="15"/>
        <v>2.3310972243715029</v>
      </c>
    </row>
    <row r="98" spans="3:18">
      <c r="C98" s="1712">
        <f t="shared" si="11"/>
        <v>2005</v>
      </c>
      <c r="D98" s="1712">
        <f t="shared" si="12"/>
        <v>6</v>
      </c>
      <c r="E98" s="1723">
        <v>38504</v>
      </c>
      <c r="F98" s="1713">
        <v>28.662800000000001</v>
      </c>
      <c r="G98" s="1713">
        <v>16.147300000000001</v>
      </c>
      <c r="H98" s="1713">
        <v>2.1332620026795568</v>
      </c>
      <c r="I98" s="1713">
        <v>0</v>
      </c>
      <c r="J98" s="1713">
        <f t="shared" si="13"/>
        <v>2.1332620026795568</v>
      </c>
      <c r="K98">
        <f t="shared" si="14"/>
        <v>13436.136753946355</v>
      </c>
      <c r="L98">
        <f t="shared" si="14"/>
        <v>7569.2999639601858</v>
      </c>
      <c r="N98" s="1714">
        <f t="shared" si="16"/>
        <v>31.646047245960961</v>
      </c>
      <c r="O98" s="1714">
        <f t="shared" si="17"/>
        <v>17.827923953511362</v>
      </c>
      <c r="P98" s="1714">
        <f t="shared" si="18"/>
        <v>2.3552936253544856</v>
      </c>
      <c r="Q98" s="1714">
        <f t="shared" si="19"/>
        <v>0</v>
      </c>
      <c r="R98" s="1714">
        <f t="shared" si="15"/>
        <v>2.3552936253544856</v>
      </c>
    </row>
    <row r="99" spans="3:18">
      <c r="C99" s="1712">
        <f t="shared" si="11"/>
        <v>2005</v>
      </c>
      <c r="D99" s="1712">
        <f t="shared" si="12"/>
        <v>7</v>
      </c>
      <c r="E99" s="1723">
        <v>38534</v>
      </c>
      <c r="F99" s="1713">
        <v>53.247399999999999</v>
      </c>
      <c r="G99" s="1713">
        <v>21.026</v>
      </c>
      <c r="H99" s="1713">
        <v>2.1879301528949844</v>
      </c>
      <c r="I99" s="1713">
        <v>0</v>
      </c>
      <c r="J99" s="1713">
        <f t="shared" si="13"/>
        <v>2.1879301528949844</v>
      </c>
      <c r="K99">
        <f t="shared" si="14"/>
        <v>24336.882934560366</v>
      </c>
      <c r="L99">
        <f t="shared" si="14"/>
        <v>9609.9959919557805</v>
      </c>
      <c r="N99" s="1714">
        <f t="shared" si="16"/>
        <v>58.789432160311677</v>
      </c>
      <c r="O99" s="1714">
        <f t="shared" si="17"/>
        <v>23.214402968083199</v>
      </c>
      <c r="P99" s="1714">
        <f t="shared" si="18"/>
        <v>2.4156516805537933</v>
      </c>
      <c r="Q99" s="1714">
        <f t="shared" si="19"/>
        <v>0</v>
      </c>
      <c r="R99" s="1714">
        <f t="shared" si="15"/>
        <v>2.4156516805537933</v>
      </c>
    </row>
    <row r="100" spans="3:18">
      <c r="C100" s="1712">
        <f t="shared" si="11"/>
        <v>2005</v>
      </c>
      <c r="D100" s="1712">
        <f t="shared" si="12"/>
        <v>8</v>
      </c>
      <c r="E100" s="1723">
        <v>38565</v>
      </c>
      <c r="F100" s="1713">
        <v>90.645700000000005</v>
      </c>
      <c r="G100" s="1713">
        <v>26.7974</v>
      </c>
      <c r="H100" s="1713">
        <v>2.2666811886678695</v>
      </c>
      <c r="I100" s="1713">
        <v>0</v>
      </c>
      <c r="J100" s="1713">
        <f t="shared" si="13"/>
        <v>2.2666811886678695</v>
      </c>
      <c r="K100">
        <f t="shared" si="14"/>
        <v>39990.493790294597</v>
      </c>
      <c r="L100">
        <f t="shared" si="14"/>
        <v>11822.306610198171</v>
      </c>
      <c r="N100" s="1714">
        <f t="shared" si="16"/>
        <v>100.08017726262625</v>
      </c>
      <c r="O100" s="1714">
        <f t="shared" si="17"/>
        <v>29.586494915671679</v>
      </c>
      <c r="P100" s="1714">
        <f t="shared" si="18"/>
        <v>2.502599187382752</v>
      </c>
      <c r="Q100" s="1714">
        <f t="shared" si="19"/>
        <v>0</v>
      </c>
      <c r="R100" s="1714">
        <f t="shared" si="15"/>
        <v>2.502599187382752</v>
      </c>
    </row>
    <row r="101" spans="3:18">
      <c r="C101" s="1712">
        <f t="shared" si="11"/>
        <v>2005</v>
      </c>
      <c r="D101" s="1712">
        <f t="shared" si="12"/>
        <v>9</v>
      </c>
      <c r="E101" s="1723">
        <v>38596</v>
      </c>
      <c r="F101" s="1713">
        <v>65.648200000000003</v>
      </c>
      <c r="G101" s="1713">
        <v>26.122900000000001</v>
      </c>
      <c r="H101" s="1713">
        <v>2.360845271197527</v>
      </c>
      <c r="I101" s="1713">
        <v>0</v>
      </c>
      <c r="J101" s="1713">
        <f t="shared" si="13"/>
        <v>2.360845271197527</v>
      </c>
      <c r="K101">
        <f t="shared" si="14"/>
        <v>27807.074356338599</v>
      </c>
      <c r="L101">
        <f t="shared" si="14"/>
        <v>11065.062297263255</v>
      </c>
      <c r="N101" s="1714">
        <f t="shared" si="16"/>
        <v>72.480917384634239</v>
      </c>
      <c r="O101" s="1714">
        <f t="shared" si="17"/>
        <v>28.841792413913282</v>
      </c>
      <c r="P101" s="1714">
        <f t="shared" si="18"/>
        <v>2.6065639432546877</v>
      </c>
      <c r="Q101" s="1714">
        <f t="shared" si="19"/>
        <v>0</v>
      </c>
      <c r="R101" s="1714">
        <f t="shared" si="15"/>
        <v>2.6065639432546877</v>
      </c>
    </row>
    <row r="102" spans="3:18">
      <c r="C102" s="1712">
        <f t="shared" si="11"/>
        <v>2005</v>
      </c>
      <c r="D102" s="1712">
        <f t="shared" si="12"/>
        <v>10</v>
      </c>
      <c r="E102" s="1723">
        <v>38626</v>
      </c>
      <c r="F102" s="1713">
        <v>37.566200000000002</v>
      </c>
      <c r="G102" s="1713">
        <v>22.7515</v>
      </c>
      <c r="H102" s="1713">
        <v>2.4617525616832729</v>
      </c>
      <c r="I102" s="1713">
        <v>0</v>
      </c>
      <c r="J102" s="1713">
        <f t="shared" si="13"/>
        <v>2.4617525616832729</v>
      </c>
      <c r="K102">
        <f t="shared" si="14"/>
        <v>15259.941468005767</v>
      </c>
      <c r="L102">
        <f t="shared" si="14"/>
        <v>9241.9930232318729</v>
      </c>
      <c r="N102" s="1714">
        <f t="shared" si="16"/>
        <v>41.476120269171844</v>
      </c>
      <c r="O102" s="1714">
        <f t="shared" si="17"/>
        <v>25.1194943940048</v>
      </c>
      <c r="P102" s="1714">
        <f t="shared" si="18"/>
        <v>2.7179737455829254</v>
      </c>
      <c r="Q102" s="1714">
        <f t="shared" si="19"/>
        <v>0</v>
      </c>
      <c r="R102" s="1714">
        <f t="shared" si="15"/>
        <v>2.7179737455829254</v>
      </c>
    </row>
    <row r="103" spans="3:18">
      <c r="C103" s="1712">
        <f t="shared" si="11"/>
        <v>2005</v>
      </c>
      <c r="D103" s="1712">
        <f t="shared" si="12"/>
        <v>11</v>
      </c>
      <c r="E103" s="1723">
        <v>38657</v>
      </c>
      <c r="F103" s="1713">
        <v>39.368699999999997</v>
      </c>
      <c r="G103" s="1713">
        <v>25.113499999999998</v>
      </c>
      <c r="H103" s="1713">
        <v>2.5607332213244209</v>
      </c>
      <c r="I103" s="1713">
        <v>0</v>
      </c>
      <c r="J103" s="1713">
        <f t="shared" si="13"/>
        <v>2.5607332213244209</v>
      </c>
      <c r="K103">
        <f t="shared" si="14"/>
        <v>15373.995101152455</v>
      </c>
      <c r="L103">
        <f t="shared" si="14"/>
        <v>9807.1520261728801</v>
      </c>
      <c r="N103" s="1714">
        <f t="shared" si="16"/>
        <v>43.466225916939834</v>
      </c>
      <c r="O103" s="1714">
        <f t="shared" si="17"/>
        <v>27.727333251163198</v>
      </c>
      <c r="P103" s="1714">
        <f t="shared" si="18"/>
        <v>2.8272563917807902</v>
      </c>
      <c r="Q103" s="1714">
        <f t="shared" si="19"/>
        <v>0</v>
      </c>
      <c r="R103" s="1714">
        <f t="shared" si="15"/>
        <v>2.8272563917807902</v>
      </c>
    </row>
    <row r="104" spans="3:18">
      <c r="C104" s="1712">
        <f t="shared" si="11"/>
        <v>2005</v>
      </c>
      <c r="D104" s="1712">
        <f t="shared" si="12"/>
        <v>12</v>
      </c>
      <c r="E104" s="1723">
        <v>38687</v>
      </c>
      <c r="F104" s="1713">
        <v>38.281199999999998</v>
      </c>
      <c r="G104" s="1713">
        <v>25.684899999999999</v>
      </c>
      <c r="H104" s="1713">
        <v>2.6653156072007858</v>
      </c>
      <c r="I104" s="1713">
        <v>0</v>
      </c>
      <c r="J104" s="1713">
        <f t="shared" si="13"/>
        <v>2.6653156072007858</v>
      </c>
      <c r="K104">
        <f t="shared" si="14"/>
        <v>14362.726836768254</v>
      </c>
      <c r="L104">
        <f t="shared" si="14"/>
        <v>9636.7199181245342</v>
      </c>
      <c r="N104" s="1714">
        <f t="shared" si="16"/>
        <v>42.265538043459841</v>
      </c>
      <c r="O104" s="1714">
        <f t="shared" si="17"/>
        <v>28.358205022111679</v>
      </c>
      <c r="P104" s="1714">
        <f t="shared" si="18"/>
        <v>2.9427237963797395</v>
      </c>
      <c r="Q104" s="1714">
        <f t="shared" si="19"/>
        <v>0</v>
      </c>
      <c r="R104" s="1714">
        <f t="shared" si="15"/>
        <v>2.9427237963797395</v>
      </c>
    </row>
    <row r="105" spans="3:18">
      <c r="C105" s="1712">
        <f t="shared" si="11"/>
        <v>2006</v>
      </c>
      <c r="D105" s="1712">
        <f t="shared" si="12"/>
        <v>1</v>
      </c>
      <c r="E105" s="1723">
        <v>38718</v>
      </c>
      <c r="F105" s="1713">
        <v>39.574300000000001</v>
      </c>
      <c r="G105" s="1713">
        <v>26.812999999999999</v>
      </c>
      <c r="H105" s="1713">
        <v>2.5495142509898301</v>
      </c>
      <c r="I105" s="1713">
        <v>0</v>
      </c>
      <c r="J105" s="1713">
        <f t="shared" si="13"/>
        <v>2.5495142509898301</v>
      </c>
      <c r="K105">
        <f t="shared" si="14"/>
        <v>15522.290171406405</v>
      </c>
      <c r="L105">
        <f t="shared" si="14"/>
        <v>10516.905324059298</v>
      </c>
      <c r="N105" s="1714">
        <f t="shared" si="16"/>
        <v>44.567089428679317</v>
      </c>
      <c r="O105" s="1714">
        <f t="shared" si="17"/>
        <v>30.195792947725632</v>
      </c>
      <c r="P105" s="1714">
        <f t="shared" si="18"/>
        <v>2.871167136842752</v>
      </c>
      <c r="Q105" s="1714">
        <f t="shared" si="19"/>
        <v>0</v>
      </c>
      <c r="R105" s="1714">
        <f t="shared" si="15"/>
        <v>2.871167136842752</v>
      </c>
    </row>
    <row r="106" spans="3:18">
      <c r="C106" s="1712">
        <f t="shared" si="11"/>
        <v>2006</v>
      </c>
      <c r="D106" s="1712">
        <f t="shared" si="12"/>
        <v>2</v>
      </c>
      <c r="E106" s="1723">
        <v>38749</v>
      </c>
      <c r="F106" s="1713">
        <v>36.753100000000003</v>
      </c>
      <c r="G106" s="1713">
        <v>23.170300000000001</v>
      </c>
      <c r="H106" s="1713">
        <v>2.3508209151846189</v>
      </c>
      <c r="I106" s="1713">
        <v>0</v>
      </c>
      <c r="J106" s="1713">
        <f t="shared" si="13"/>
        <v>2.3508209151846189</v>
      </c>
      <c r="K106">
        <f t="shared" si="14"/>
        <v>15634.155610323742</v>
      </c>
      <c r="L106">
        <f t="shared" si="14"/>
        <v>9856.2590839380664</v>
      </c>
      <c r="N106" s="1714">
        <f t="shared" si="16"/>
        <v>41.389960011451727</v>
      </c>
      <c r="O106" s="1714">
        <f t="shared" si="17"/>
        <v>26.093521103072661</v>
      </c>
      <c r="P106" s="1714">
        <f t="shared" si="18"/>
        <v>2.6474061691007211</v>
      </c>
      <c r="Q106" s="1714">
        <f t="shared" si="19"/>
        <v>0</v>
      </c>
      <c r="R106" s="1714">
        <f t="shared" si="15"/>
        <v>2.6474061691007211</v>
      </c>
    </row>
    <row r="107" spans="3:18">
      <c r="C107" s="1712">
        <f t="shared" si="11"/>
        <v>2006</v>
      </c>
      <c r="D107" s="1712">
        <f t="shared" si="12"/>
        <v>3</v>
      </c>
      <c r="E107" s="1723">
        <v>38777</v>
      </c>
      <c r="F107" s="1713">
        <v>31.094000000000001</v>
      </c>
      <c r="G107" s="1713">
        <v>20.8323</v>
      </c>
      <c r="H107" s="1713">
        <v>2.2212461946268731</v>
      </c>
      <c r="I107" s="1713">
        <v>0</v>
      </c>
      <c r="J107" s="1713">
        <f t="shared" si="13"/>
        <v>2.2212461946268731</v>
      </c>
      <c r="K107">
        <f t="shared" si="14"/>
        <v>13998.448292321418</v>
      </c>
      <c r="L107">
        <f t="shared" si="14"/>
        <v>9378.6542213972934</v>
      </c>
      <c r="N107" s="1714">
        <f t="shared" si="16"/>
        <v>35.016894264594818</v>
      </c>
      <c r="O107" s="1714">
        <f t="shared" si="17"/>
        <v>23.46055336683343</v>
      </c>
      <c r="P107" s="1714">
        <f t="shared" si="18"/>
        <v>2.5014839883219535</v>
      </c>
      <c r="Q107" s="1714">
        <f t="shared" si="19"/>
        <v>0</v>
      </c>
      <c r="R107" s="1714">
        <f t="shared" si="15"/>
        <v>2.5014839883219535</v>
      </c>
    </row>
    <row r="108" spans="3:18">
      <c r="C108" s="1712">
        <f t="shared" si="11"/>
        <v>2006</v>
      </c>
      <c r="D108" s="1712">
        <f t="shared" si="12"/>
        <v>4</v>
      </c>
      <c r="E108" s="1723">
        <v>38808</v>
      </c>
      <c r="F108" s="1713">
        <v>29.173200000000001</v>
      </c>
      <c r="G108" s="1713">
        <v>19.763300000000001</v>
      </c>
      <c r="H108" s="1713">
        <v>2.1509889821668571</v>
      </c>
      <c r="I108" s="1713">
        <v>0</v>
      </c>
      <c r="J108" s="1713">
        <f t="shared" si="13"/>
        <v>2.1509889821668571</v>
      </c>
      <c r="K108">
        <f t="shared" si="14"/>
        <v>13562.69150696048</v>
      </c>
      <c r="L108">
        <f t="shared" si="14"/>
        <v>9188.0061515196157</v>
      </c>
      <c r="N108" s="1714">
        <f t="shared" si="16"/>
        <v>32.853761489672529</v>
      </c>
      <c r="O108" s="1714">
        <f t="shared" si="17"/>
        <v>22.256685740640215</v>
      </c>
      <c r="P108" s="1714">
        <f t="shared" si="18"/>
        <v>2.4223629559672371</v>
      </c>
      <c r="Q108" s="1714">
        <f t="shared" si="19"/>
        <v>0</v>
      </c>
      <c r="R108" s="1714">
        <f t="shared" si="15"/>
        <v>2.4223629559672371</v>
      </c>
    </row>
    <row r="109" spans="3:18">
      <c r="C109" s="1712">
        <f t="shared" si="11"/>
        <v>2006</v>
      </c>
      <c r="D109" s="1712">
        <f t="shared" si="12"/>
        <v>5</v>
      </c>
      <c r="E109" s="1723">
        <v>38838</v>
      </c>
      <c r="F109" s="1713">
        <v>30.805099999999999</v>
      </c>
      <c r="G109" s="1713">
        <v>18.520600000000002</v>
      </c>
      <c r="H109" s="1713">
        <v>2.1312975143147419</v>
      </c>
      <c r="I109" s="1713">
        <v>0</v>
      </c>
      <c r="J109" s="1713">
        <f t="shared" si="13"/>
        <v>2.1312975143147419</v>
      </c>
      <c r="K109">
        <f t="shared" si="14"/>
        <v>14453.683633138615</v>
      </c>
      <c r="L109">
        <f t="shared" si="14"/>
        <v>8689.8238634481659</v>
      </c>
      <c r="N109" s="1714">
        <f t="shared" si="16"/>
        <v>34.691545941669446</v>
      </c>
      <c r="O109" s="1714">
        <f t="shared" si="17"/>
        <v>20.857203702220843</v>
      </c>
      <c r="P109" s="1714">
        <f t="shared" si="18"/>
        <v>2.4001871648920394</v>
      </c>
      <c r="Q109" s="1714">
        <f t="shared" si="19"/>
        <v>0</v>
      </c>
      <c r="R109" s="1714">
        <f t="shared" si="15"/>
        <v>2.4001871648920394</v>
      </c>
    </row>
    <row r="110" spans="3:18">
      <c r="C110" s="1712">
        <f t="shared" si="11"/>
        <v>2006</v>
      </c>
      <c r="D110" s="1712">
        <f t="shared" si="12"/>
        <v>6</v>
      </c>
      <c r="E110" s="1723">
        <v>38869</v>
      </c>
      <c r="F110" s="1713">
        <v>28.1508</v>
      </c>
      <c r="G110" s="1713">
        <v>16.4831</v>
      </c>
      <c r="H110" s="1713">
        <v>2.1534200275806987</v>
      </c>
      <c r="I110" s="1713">
        <v>0</v>
      </c>
      <c r="J110" s="1713">
        <f t="shared" si="13"/>
        <v>2.1534200275806987</v>
      </c>
      <c r="K110">
        <f t="shared" si="14"/>
        <v>13072.600625724914</v>
      </c>
      <c r="L110">
        <f t="shared" si="14"/>
        <v>7654.3822333250318</v>
      </c>
      <c r="N110" s="1714">
        <f t="shared" si="16"/>
        <v>31.702373032217015</v>
      </c>
      <c r="O110" s="1714">
        <f t="shared" si="17"/>
        <v>18.56264777297044</v>
      </c>
      <c r="P110" s="1714">
        <f t="shared" si="18"/>
        <v>2.4251007079518296</v>
      </c>
      <c r="Q110" s="1714">
        <f t="shared" si="19"/>
        <v>0</v>
      </c>
      <c r="R110" s="1714">
        <f t="shared" si="15"/>
        <v>2.4251007079518296</v>
      </c>
    </row>
    <row r="111" spans="3:18">
      <c r="C111" s="1712">
        <f t="shared" si="11"/>
        <v>2006</v>
      </c>
      <c r="D111" s="1712">
        <f t="shared" si="12"/>
        <v>7</v>
      </c>
      <c r="E111" s="1723">
        <v>38899</v>
      </c>
      <c r="F111" s="1713">
        <v>49.042499999999997</v>
      </c>
      <c r="G111" s="1713">
        <v>21.875599999999999</v>
      </c>
      <c r="H111" s="1713">
        <v>2.2086047584748982</v>
      </c>
      <c r="I111" s="1713">
        <v>0</v>
      </c>
      <c r="J111" s="1713">
        <f t="shared" si="13"/>
        <v>2.2086047584748982</v>
      </c>
      <c r="K111">
        <f t="shared" si="14"/>
        <v>22205.195298893217</v>
      </c>
      <c r="L111">
        <f t="shared" si="14"/>
        <v>9904.7146919604111</v>
      </c>
      <c r="N111" s="1714">
        <f t="shared" si="16"/>
        <v>55.229820446754722</v>
      </c>
      <c r="O111" s="1714">
        <f t="shared" si="17"/>
        <v>24.635478618851558</v>
      </c>
      <c r="P111" s="1714">
        <f t="shared" si="18"/>
        <v>2.487247678002074</v>
      </c>
      <c r="Q111" s="1714">
        <f t="shared" si="19"/>
        <v>0</v>
      </c>
      <c r="R111" s="1714">
        <f t="shared" si="15"/>
        <v>2.487247678002074</v>
      </c>
    </row>
    <row r="112" spans="3:18">
      <c r="C112" s="1712">
        <f t="shared" si="11"/>
        <v>2006</v>
      </c>
      <c r="D112" s="1712">
        <f t="shared" si="12"/>
        <v>8</v>
      </c>
      <c r="E112" s="1723">
        <v>38930</v>
      </c>
      <c r="F112" s="1713">
        <v>96.566699999999997</v>
      </c>
      <c r="G112" s="1713">
        <v>27.431699999999999</v>
      </c>
      <c r="H112" s="1713">
        <v>2.2880999435075116</v>
      </c>
      <c r="I112" s="1713">
        <v>0</v>
      </c>
      <c r="J112" s="1713">
        <f t="shared" si="13"/>
        <v>2.2880999435075116</v>
      </c>
      <c r="K112">
        <f t="shared" si="14"/>
        <v>42203.881991260132</v>
      </c>
      <c r="L112">
        <f t="shared" si="14"/>
        <v>11988.855678196011</v>
      </c>
      <c r="N112" s="1714">
        <f t="shared" si="16"/>
        <v>108.74978849234091</v>
      </c>
      <c r="O112" s="1714">
        <f t="shared" si="17"/>
        <v>30.892549636524269</v>
      </c>
      <c r="P112" s="1714">
        <f t="shared" si="18"/>
        <v>2.5767721678982412</v>
      </c>
      <c r="Q112" s="1714">
        <f t="shared" si="19"/>
        <v>0</v>
      </c>
      <c r="R112" s="1714">
        <f t="shared" si="15"/>
        <v>2.5767721678982412</v>
      </c>
    </row>
    <row r="113" spans="3:18">
      <c r="C113" s="1712">
        <f t="shared" si="11"/>
        <v>2006</v>
      </c>
      <c r="D113" s="1712">
        <f t="shared" si="12"/>
        <v>9</v>
      </c>
      <c r="E113" s="1723">
        <v>38961</v>
      </c>
      <c r="F113" s="1713">
        <v>67.171499999999995</v>
      </c>
      <c r="G113" s="1713">
        <v>26.584399999999999</v>
      </c>
      <c r="H113" s="1713">
        <v>2.3831538191887098</v>
      </c>
      <c r="I113" s="1713">
        <v>0</v>
      </c>
      <c r="J113" s="1713">
        <f t="shared" si="13"/>
        <v>2.3831538191887098</v>
      </c>
      <c r="K113">
        <f t="shared" si="14"/>
        <v>28185.969138520399</v>
      </c>
      <c r="L113">
        <f t="shared" si="14"/>
        <v>11155.133917897943</v>
      </c>
      <c r="N113" s="1714">
        <f t="shared" si="16"/>
        <v>75.646018945591777</v>
      </c>
      <c r="O113" s="1714">
        <f t="shared" si="17"/>
        <v>29.938352218681882</v>
      </c>
      <c r="P113" s="1714">
        <f t="shared" si="18"/>
        <v>2.6838182704957987</v>
      </c>
      <c r="Q113" s="1714">
        <f t="shared" si="19"/>
        <v>0</v>
      </c>
      <c r="R113" s="1714">
        <f t="shared" si="15"/>
        <v>2.6838182704957987</v>
      </c>
    </row>
    <row r="114" spans="3:18">
      <c r="C114" s="1712">
        <f t="shared" si="11"/>
        <v>2006</v>
      </c>
      <c r="D114" s="1712">
        <f t="shared" si="12"/>
        <v>10</v>
      </c>
      <c r="E114" s="1723">
        <v>38991</v>
      </c>
      <c r="F114" s="1713">
        <v>39.537500000000001</v>
      </c>
      <c r="G114" s="1713">
        <v>23.3842</v>
      </c>
      <c r="H114" s="1713">
        <v>2.4850146220286642</v>
      </c>
      <c r="I114" s="1713">
        <v>0</v>
      </c>
      <c r="J114" s="1713">
        <f t="shared" si="13"/>
        <v>2.4850146220286642</v>
      </c>
      <c r="K114">
        <f t="shared" si="14"/>
        <v>15910.369158199643</v>
      </c>
      <c r="L114">
        <f t="shared" si="14"/>
        <v>9410.0854750343879</v>
      </c>
      <c r="N114" s="1714">
        <f t="shared" si="16"/>
        <v>44.525646651650405</v>
      </c>
      <c r="O114" s="1714">
        <f t="shared" si="17"/>
        <v>26.33440724455323</v>
      </c>
      <c r="P114" s="1714">
        <f t="shared" si="18"/>
        <v>2.7985300786502152</v>
      </c>
      <c r="Q114" s="1714">
        <f t="shared" si="19"/>
        <v>0</v>
      </c>
      <c r="R114" s="1714">
        <f t="shared" si="15"/>
        <v>2.7985300786502152</v>
      </c>
    </row>
    <row r="115" spans="3:18">
      <c r="C115" s="1712">
        <f t="shared" si="11"/>
        <v>2006</v>
      </c>
      <c r="D115" s="1712">
        <f t="shared" si="12"/>
        <v>11</v>
      </c>
      <c r="E115" s="1723">
        <v>39022</v>
      </c>
      <c r="F115" s="1713">
        <v>40.876100000000001</v>
      </c>
      <c r="G115" s="1713">
        <v>25.711200000000002</v>
      </c>
      <c r="H115" s="1713">
        <v>2.5849305885375444</v>
      </c>
      <c r="I115" s="1713">
        <v>0</v>
      </c>
      <c r="J115" s="1713">
        <f t="shared" si="13"/>
        <v>2.5849305885375444</v>
      </c>
      <c r="K115">
        <f t="shared" si="14"/>
        <v>15813.22925314066</v>
      </c>
      <c r="L115">
        <f t="shared" si="14"/>
        <v>9946.5726909697878</v>
      </c>
      <c r="N115" s="1714">
        <f t="shared" si="16"/>
        <v>46.033127666077192</v>
      </c>
      <c r="O115" s="1714">
        <f t="shared" si="17"/>
        <v>28.954987194180561</v>
      </c>
      <c r="P115" s="1714">
        <f t="shared" si="18"/>
        <v>2.9110516852169566</v>
      </c>
      <c r="Q115" s="1714">
        <f t="shared" si="19"/>
        <v>0</v>
      </c>
      <c r="R115" s="1714">
        <f t="shared" si="15"/>
        <v>2.9110516852169566</v>
      </c>
    </row>
    <row r="116" spans="3:18">
      <c r="C116" s="1712">
        <f t="shared" si="11"/>
        <v>2006</v>
      </c>
      <c r="D116" s="1712">
        <f t="shared" si="12"/>
        <v>12</v>
      </c>
      <c r="E116" s="1723">
        <v>39052</v>
      </c>
      <c r="F116" s="1713">
        <v>42.070399999999999</v>
      </c>
      <c r="G116" s="1713">
        <v>26.585699999999999</v>
      </c>
      <c r="H116" s="1713">
        <v>2.6905012141782083</v>
      </c>
      <c r="I116" s="1713">
        <v>0</v>
      </c>
      <c r="J116" s="1713">
        <f t="shared" si="13"/>
        <v>2.6905012141782083</v>
      </c>
      <c r="K116">
        <f t="shared" si="14"/>
        <v>15636.640406739256</v>
      </c>
      <c r="L116">
        <f t="shared" si="14"/>
        <v>9881.3187148552861</v>
      </c>
      <c r="N116" s="1714">
        <f t="shared" si="16"/>
        <v>47.378103443404186</v>
      </c>
      <c r="O116" s="1714">
        <f t="shared" si="17"/>
        <v>29.939816229826924</v>
      </c>
      <c r="P116" s="1714">
        <f t="shared" si="18"/>
        <v>3.0299413563916606</v>
      </c>
      <c r="Q116" s="1714">
        <f t="shared" si="19"/>
        <v>0</v>
      </c>
      <c r="R116" s="1714">
        <f t="shared" si="15"/>
        <v>3.0299413563916606</v>
      </c>
    </row>
    <row r="117" spans="3:18">
      <c r="C117" s="1712">
        <f t="shared" si="11"/>
        <v>2007</v>
      </c>
      <c r="D117" s="1712">
        <f t="shared" si="12"/>
        <v>1</v>
      </c>
      <c r="E117" s="1723">
        <v>39083</v>
      </c>
      <c r="F117" s="1713">
        <v>41.9938</v>
      </c>
      <c r="G117" s="1713">
        <v>25.851299999999998</v>
      </c>
      <c r="H117" s="1713">
        <v>2.5670299673617483</v>
      </c>
      <c r="I117" s="1713">
        <v>0</v>
      </c>
      <c r="J117" s="1713">
        <f t="shared" si="13"/>
        <v>2.5670299673617483</v>
      </c>
      <c r="K117">
        <f t="shared" si="14"/>
        <v>16358.905246111683</v>
      </c>
      <c r="L117">
        <f t="shared" si="14"/>
        <v>10070.509627345153</v>
      </c>
      <c r="N117" s="1714">
        <f t="shared" si="16"/>
        <v>48.23767619013033</v>
      </c>
      <c r="O117" s="1714">
        <f t="shared" si="17"/>
        <v>29.695017800101827</v>
      </c>
      <c r="P117" s="1714">
        <f t="shared" si="18"/>
        <v>2.9487105319346387</v>
      </c>
      <c r="Q117" s="1714">
        <f t="shared" si="19"/>
        <v>0</v>
      </c>
      <c r="R117" s="1714">
        <f t="shared" si="15"/>
        <v>2.9487105319346387</v>
      </c>
    </row>
    <row r="118" spans="3:18">
      <c r="C118" s="1712">
        <f t="shared" si="11"/>
        <v>2007</v>
      </c>
      <c r="D118" s="1712">
        <f t="shared" si="12"/>
        <v>2</v>
      </c>
      <c r="E118" s="1723">
        <v>39114</v>
      </c>
      <c r="F118" s="1713">
        <v>35.951000000000001</v>
      </c>
      <c r="G118" s="1713">
        <v>21.9892</v>
      </c>
      <c r="H118" s="1713">
        <v>2.3669715652057204</v>
      </c>
      <c r="I118" s="1713">
        <v>0</v>
      </c>
      <c r="J118" s="1713">
        <f t="shared" si="13"/>
        <v>2.3669715652057204</v>
      </c>
      <c r="K118">
        <f t="shared" si="14"/>
        <v>15188.606626491262</v>
      </c>
      <c r="L118">
        <f t="shared" si="14"/>
        <v>9290.0144316219757</v>
      </c>
      <c r="N118" s="1714">
        <f t="shared" si="16"/>
        <v>41.296398437659256</v>
      </c>
      <c r="O118" s="1714">
        <f t="shared" si="17"/>
        <v>25.258678883073543</v>
      </c>
      <c r="P118" s="1714">
        <f t="shared" si="18"/>
        <v>2.7189063126851938</v>
      </c>
      <c r="Q118" s="1714">
        <f t="shared" si="19"/>
        <v>0</v>
      </c>
      <c r="R118" s="1714">
        <f t="shared" si="15"/>
        <v>2.7189063126851938</v>
      </c>
    </row>
    <row r="119" spans="3:18">
      <c r="C119" s="1712">
        <f t="shared" si="11"/>
        <v>2007</v>
      </c>
      <c r="D119" s="1712">
        <f t="shared" si="12"/>
        <v>3</v>
      </c>
      <c r="E119" s="1723">
        <v>39142</v>
      </c>
      <c r="F119" s="1713">
        <v>31.013100000000001</v>
      </c>
      <c r="G119" s="1713">
        <v>20.973199999999999</v>
      </c>
      <c r="H119" s="1713">
        <v>2.2365066381886933</v>
      </c>
      <c r="I119" s="1713">
        <v>0</v>
      </c>
      <c r="J119" s="1713">
        <f t="shared" si="13"/>
        <v>2.2365066381886933</v>
      </c>
      <c r="K119">
        <f t="shared" si="14"/>
        <v>13866.759646694793</v>
      </c>
      <c r="L119">
        <f t="shared" si="14"/>
        <v>9377.6605183635038</v>
      </c>
      <c r="N119" s="1714">
        <f t="shared" si="16"/>
        <v>35.624303479373879</v>
      </c>
      <c r="O119" s="1714">
        <f t="shared" si="17"/>
        <v>24.091614244741873</v>
      </c>
      <c r="P119" s="1714">
        <f t="shared" si="18"/>
        <v>2.5690431208898254</v>
      </c>
      <c r="Q119" s="1714">
        <f t="shared" si="19"/>
        <v>0</v>
      </c>
      <c r="R119" s="1714">
        <f t="shared" si="15"/>
        <v>2.5690431208898254</v>
      </c>
    </row>
    <row r="120" spans="3:18">
      <c r="C120" s="1712">
        <f t="shared" si="11"/>
        <v>2007</v>
      </c>
      <c r="D120" s="1712">
        <f t="shared" si="12"/>
        <v>4</v>
      </c>
      <c r="E120" s="1723">
        <v>39173</v>
      </c>
      <c r="F120" s="1713">
        <v>30.090499999999999</v>
      </c>
      <c r="G120" s="1713">
        <v>19.687100000000001</v>
      </c>
      <c r="H120" s="1713">
        <v>2.1657667434271164</v>
      </c>
      <c r="I120" s="1713">
        <v>0</v>
      </c>
      <c r="J120" s="1713">
        <f t="shared" si="13"/>
        <v>2.1657667434271164</v>
      </c>
      <c r="K120">
        <f t="shared" si="14"/>
        <v>13893.693811358786</v>
      </c>
      <c r="L120">
        <f t="shared" si="14"/>
        <v>9090.129424024246</v>
      </c>
      <c r="N120" s="1714">
        <f t="shared" si="16"/>
        <v>34.564526082400654</v>
      </c>
      <c r="O120" s="1714">
        <f t="shared" si="17"/>
        <v>22.614289607578137</v>
      </c>
      <c r="P120" s="1714">
        <f t="shared" si="18"/>
        <v>2.4877852176461839</v>
      </c>
      <c r="Q120" s="1714">
        <f t="shared" si="19"/>
        <v>0</v>
      </c>
      <c r="R120" s="1714">
        <f t="shared" si="15"/>
        <v>2.4877852176461839</v>
      </c>
    </row>
    <row r="121" spans="3:18">
      <c r="C121" s="1712">
        <f t="shared" si="11"/>
        <v>2007</v>
      </c>
      <c r="D121" s="1712">
        <f t="shared" si="12"/>
        <v>5</v>
      </c>
      <c r="E121" s="1723">
        <v>39203</v>
      </c>
      <c r="F121" s="1713">
        <v>30.810300000000002</v>
      </c>
      <c r="G121" s="1713">
        <v>18.686699999999998</v>
      </c>
      <c r="H121" s="1713">
        <v>2.1459399909160859</v>
      </c>
      <c r="I121" s="1713">
        <v>0</v>
      </c>
      <c r="J121" s="1713">
        <f t="shared" si="13"/>
        <v>2.1459399909160859</v>
      </c>
      <c r="K121">
        <f t="shared" si="14"/>
        <v>14357.484426601935</v>
      </c>
      <c r="L121">
        <f t="shared" si="14"/>
        <v>8707.9322250864916</v>
      </c>
      <c r="N121" s="1714">
        <f t="shared" si="16"/>
        <v>35.39135002597461</v>
      </c>
      <c r="O121" s="1714">
        <f t="shared" si="17"/>
        <v>21.465144465661794</v>
      </c>
      <c r="P121" s="1714">
        <f t="shared" si="18"/>
        <v>2.4650105112007337</v>
      </c>
      <c r="Q121" s="1714">
        <f t="shared" si="19"/>
        <v>0</v>
      </c>
      <c r="R121" s="1714">
        <f t="shared" si="15"/>
        <v>2.4650105112007337</v>
      </c>
    </row>
    <row r="122" spans="3:18">
      <c r="C122" s="1712">
        <f t="shared" ref="C122:C185" si="20">C110+1</f>
        <v>2007</v>
      </c>
      <c r="D122" s="1712">
        <f t="shared" ref="D122:D185" si="21">D110</f>
        <v>6</v>
      </c>
      <c r="E122" s="1723">
        <v>39234</v>
      </c>
      <c r="F122" s="1713">
        <v>29.133800000000001</v>
      </c>
      <c r="G122" s="1713">
        <v>17.098400000000002</v>
      </c>
      <c r="H122" s="1713">
        <v>2.1682144906507004</v>
      </c>
      <c r="I122" s="1713">
        <v>0</v>
      </c>
      <c r="J122" s="1713">
        <f t="shared" si="13"/>
        <v>2.1682144906507004</v>
      </c>
      <c r="K122">
        <f t="shared" si="14"/>
        <v>13436.770266790667</v>
      </c>
      <c r="L122">
        <f t="shared" si="14"/>
        <v>7885.9356736743421</v>
      </c>
      <c r="N122" s="1714">
        <f t="shared" si="16"/>
        <v>33.46557850416059</v>
      </c>
      <c r="O122" s="1714">
        <f t="shared" si="17"/>
        <v>19.640687019734447</v>
      </c>
      <c r="P122" s="1714">
        <f t="shared" si="18"/>
        <v>2.490596909799943</v>
      </c>
      <c r="Q122" s="1714">
        <f t="shared" si="19"/>
        <v>0</v>
      </c>
      <c r="R122" s="1714">
        <f t="shared" si="15"/>
        <v>2.490596909799943</v>
      </c>
    </row>
    <row r="123" spans="3:18">
      <c r="C123" s="1712">
        <f t="shared" si="20"/>
        <v>2007</v>
      </c>
      <c r="D123" s="1712">
        <f t="shared" si="21"/>
        <v>7</v>
      </c>
      <c r="E123" s="1723">
        <v>39264</v>
      </c>
      <c r="F123" s="1713">
        <v>54.732900000000001</v>
      </c>
      <c r="G123" s="1713">
        <v>22.5808</v>
      </c>
      <c r="H123" s="1713">
        <v>2.2237783526260571</v>
      </c>
      <c r="I123" s="1713">
        <v>0</v>
      </c>
      <c r="J123" s="1713">
        <f t="shared" si="13"/>
        <v>2.2237783526260571</v>
      </c>
      <c r="K123">
        <f t="shared" si="14"/>
        <v>24612.569834293958</v>
      </c>
      <c r="L123">
        <f t="shared" si="14"/>
        <v>10154.24939870215</v>
      </c>
      <c r="N123" s="1714">
        <f t="shared" si="16"/>
        <v>62.870897778881272</v>
      </c>
      <c r="O123" s="1714">
        <f t="shared" si="17"/>
        <v>25.938241324054857</v>
      </c>
      <c r="P123" s="1714">
        <f t="shared" si="18"/>
        <v>2.5544223216902782</v>
      </c>
      <c r="Q123" s="1714">
        <f t="shared" si="19"/>
        <v>0</v>
      </c>
      <c r="R123" s="1714">
        <f t="shared" si="15"/>
        <v>2.5544223216902782</v>
      </c>
    </row>
    <row r="124" spans="3:18">
      <c r="C124" s="1712">
        <f t="shared" si="20"/>
        <v>2007</v>
      </c>
      <c r="D124" s="1712">
        <f t="shared" si="21"/>
        <v>8</v>
      </c>
      <c r="E124" s="1723">
        <v>39295</v>
      </c>
      <c r="F124" s="1713">
        <v>93.587800000000001</v>
      </c>
      <c r="G124" s="1713">
        <v>27.068999999999999</v>
      </c>
      <c r="H124" s="1713">
        <v>2.3038196868372536</v>
      </c>
      <c r="I124" s="1713">
        <v>0</v>
      </c>
      <c r="J124" s="1713">
        <f t="shared" si="13"/>
        <v>2.3038196868372536</v>
      </c>
      <c r="K124">
        <f t="shared" si="14"/>
        <v>40622.884045443629</v>
      </c>
      <c r="L124">
        <f t="shared" si="14"/>
        <v>11749.617452553788</v>
      </c>
      <c r="N124" s="1714">
        <f t="shared" si="16"/>
        <v>107.50296452682727</v>
      </c>
      <c r="O124" s="1714">
        <f t="shared" si="17"/>
        <v>31.093772337598356</v>
      </c>
      <c r="P124" s="1714">
        <f t="shared" si="18"/>
        <v>2.6463646551182052</v>
      </c>
      <c r="Q124" s="1714">
        <f t="shared" si="19"/>
        <v>0</v>
      </c>
      <c r="R124" s="1714">
        <f t="shared" si="15"/>
        <v>2.6463646551182052</v>
      </c>
    </row>
    <row r="125" spans="3:18">
      <c r="C125" s="1712">
        <f t="shared" si="20"/>
        <v>2007</v>
      </c>
      <c r="D125" s="1712">
        <f t="shared" si="21"/>
        <v>9</v>
      </c>
      <c r="E125" s="1723">
        <v>39326</v>
      </c>
      <c r="F125" s="1713">
        <v>61.264099999999999</v>
      </c>
      <c r="G125" s="1713">
        <v>25.169</v>
      </c>
      <c r="H125" s="1713">
        <v>2.3995266032793876</v>
      </c>
      <c r="I125" s="1713">
        <v>0</v>
      </c>
      <c r="J125" s="1713">
        <f t="shared" si="13"/>
        <v>2.3995266032793876</v>
      </c>
      <c r="K125">
        <f t="shared" si="14"/>
        <v>25531.744435036275</v>
      </c>
      <c r="L125">
        <f t="shared" si="14"/>
        <v>10489.152304292857</v>
      </c>
      <c r="N125" s="1714">
        <f t="shared" si="16"/>
        <v>70.373193611432242</v>
      </c>
      <c r="O125" s="1714">
        <f t="shared" si="17"/>
        <v>28.911269569064725</v>
      </c>
      <c r="P125" s="1714">
        <f t="shared" si="18"/>
        <v>2.7563018183301917</v>
      </c>
      <c r="Q125" s="1714">
        <f t="shared" si="19"/>
        <v>0</v>
      </c>
      <c r="R125" s="1714">
        <f t="shared" si="15"/>
        <v>2.7563018183301917</v>
      </c>
    </row>
    <row r="126" spans="3:18">
      <c r="C126" s="1712">
        <f t="shared" si="20"/>
        <v>2007</v>
      </c>
      <c r="D126" s="1712">
        <f t="shared" si="21"/>
        <v>10</v>
      </c>
      <c r="E126" s="1723">
        <v>39356</v>
      </c>
      <c r="F126" s="1713">
        <v>39.028799999999997</v>
      </c>
      <c r="G126" s="1713">
        <v>22.455200000000001</v>
      </c>
      <c r="H126" s="1713">
        <v>2.5020872119475572</v>
      </c>
      <c r="I126" s="1713">
        <v>0</v>
      </c>
      <c r="J126" s="1713">
        <f t="shared" si="13"/>
        <v>2.5020872119475572</v>
      </c>
      <c r="K126">
        <f t="shared" si="14"/>
        <v>15598.497052235454</v>
      </c>
      <c r="L126">
        <f t="shared" si="14"/>
        <v>8974.5872537038704</v>
      </c>
      <c r="N126" s="1714">
        <f t="shared" si="16"/>
        <v>44.831823185550206</v>
      </c>
      <c r="O126" s="1714">
        <f t="shared" si="17"/>
        <v>25.793966404198109</v>
      </c>
      <c r="P126" s="1714">
        <f t="shared" si="18"/>
        <v>2.8741117195727051</v>
      </c>
      <c r="Q126" s="1714">
        <f t="shared" si="19"/>
        <v>0</v>
      </c>
      <c r="R126" s="1714">
        <f t="shared" si="15"/>
        <v>2.8741117195727051</v>
      </c>
    </row>
    <row r="127" spans="3:18">
      <c r="C127" s="1712">
        <f t="shared" si="20"/>
        <v>2007</v>
      </c>
      <c r="D127" s="1712">
        <f t="shared" si="21"/>
        <v>11</v>
      </c>
      <c r="E127" s="1723">
        <v>39387</v>
      </c>
      <c r="F127" s="1713">
        <v>40.034100000000002</v>
      </c>
      <c r="G127" s="1713">
        <v>24.533300000000001</v>
      </c>
      <c r="H127" s="1713">
        <v>2.6026896228368588</v>
      </c>
      <c r="I127" s="1713">
        <v>0</v>
      </c>
      <c r="J127" s="1713">
        <f t="shared" si="13"/>
        <v>2.6026896228368588</v>
      </c>
      <c r="K127">
        <f t="shared" si="14"/>
        <v>15381.81873425382</v>
      </c>
      <c r="L127">
        <f t="shared" si="14"/>
        <v>9426.1335599668582</v>
      </c>
      <c r="N127" s="1714">
        <f t="shared" si="16"/>
        <v>45.986596887238036</v>
      </c>
      <c r="O127" s="1714">
        <f t="shared" si="17"/>
        <v>28.181050090140076</v>
      </c>
      <c r="P127" s="1714">
        <f t="shared" si="18"/>
        <v>2.9896722670922093</v>
      </c>
      <c r="Q127" s="1714">
        <f t="shared" si="19"/>
        <v>0</v>
      </c>
      <c r="R127" s="1714">
        <f t="shared" si="15"/>
        <v>2.9896722670922093</v>
      </c>
    </row>
    <row r="128" spans="3:18">
      <c r="C128" s="1712">
        <f t="shared" si="20"/>
        <v>2007</v>
      </c>
      <c r="D128" s="1712">
        <f t="shared" si="21"/>
        <v>12</v>
      </c>
      <c r="E128" s="1723">
        <v>39417</v>
      </c>
      <c r="F128" s="1713">
        <v>39.256399999999999</v>
      </c>
      <c r="G128" s="1713">
        <v>26.536200000000001</v>
      </c>
      <c r="H128" s="1713">
        <v>2.7089855415937345</v>
      </c>
      <c r="I128" s="1713">
        <v>0</v>
      </c>
      <c r="J128" s="1713">
        <f t="shared" si="13"/>
        <v>2.7089855415937345</v>
      </c>
      <c r="K128">
        <f t="shared" si="14"/>
        <v>14491.181070278029</v>
      </c>
      <c r="L128">
        <f t="shared" si="14"/>
        <v>9795.6226021008515</v>
      </c>
      <c r="N128" s="1714">
        <f t="shared" si="16"/>
        <v>45.09326404350719</v>
      </c>
      <c r="O128" s="1714">
        <f t="shared" si="17"/>
        <v>30.481752613874821</v>
      </c>
      <c r="P128" s="1714">
        <f t="shared" si="18"/>
        <v>3.1117728654978447</v>
      </c>
      <c r="Q128" s="1714">
        <f t="shared" si="19"/>
        <v>0</v>
      </c>
      <c r="R128" s="1714">
        <f t="shared" si="15"/>
        <v>3.1117728654978447</v>
      </c>
    </row>
    <row r="129" spans="3:18">
      <c r="C129" s="1712">
        <f t="shared" si="20"/>
        <v>2008</v>
      </c>
      <c r="D129" s="1712">
        <f t="shared" si="21"/>
        <v>1</v>
      </c>
      <c r="E129" s="1723">
        <v>39448</v>
      </c>
      <c r="F129" s="1713">
        <v>41.424100000000003</v>
      </c>
      <c r="G129" s="1713">
        <v>25.461200000000002</v>
      </c>
      <c r="H129" s="1713">
        <v>2.5997898615570536</v>
      </c>
      <c r="I129" s="1713">
        <v>0</v>
      </c>
      <c r="J129" s="1713">
        <f t="shared" si="13"/>
        <v>2.5997898615570536</v>
      </c>
      <c r="K129">
        <f t="shared" si="14"/>
        <v>15933.633949626406</v>
      </c>
      <c r="L129">
        <f t="shared" si="14"/>
        <v>9793.5607706197079</v>
      </c>
      <c r="N129" s="1714">
        <f t="shared" si="16"/>
        <v>48.534935364575951</v>
      </c>
      <c r="O129" s="1714">
        <f t="shared" si="17"/>
        <v>29.831853831574886</v>
      </c>
      <c r="P129" s="1714">
        <f t="shared" si="18"/>
        <v>3.0460681799279028</v>
      </c>
      <c r="Q129" s="1714">
        <f t="shared" si="19"/>
        <v>0</v>
      </c>
      <c r="R129" s="1714">
        <f t="shared" si="15"/>
        <v>3.0460681799279028</v>
      </c>
    </row>
    <row r="130" spans="3:18">
      <c r="C130" s="1712">
        <f t="shared" si="20"/>
        <v>2008</v>
      </c>
      <c r="D130" s="1712">
        <f t="shared" si="21"/>
        <v>2</v>
      </c>
      <c r="E130" s="1723">
        <v>39479</v>
      </c>
      <c r="F130" s="1713">
        <v>36.124400000000001</v>
      </c>
      <c r="G130" s="1713">
        <v>20.488299999999999</v>
      </c>
      <c r="H130" s="1713">
        <v>2.3971783563321707</v>
      </c>
      <c r="I130" s="1713">
        <v>0</v>
      </c>
      <c r="J130" s="1713">
        <f t="shared" si="13"/>
        <v>2.3971783563321707</v>
      </c>
      <c r="K130">
        <f t="shared" si="14"/>
        <v>15069.550375580957</v>
      </c>
      <c r="L130">
        <f t="shared" si="14"/>
        <v>8546.84005713632</v>
      </c>
      <c r="N130" s="1714">
        <f t="shared" si="16"/>
        <v>42.325492143078243</v>
      </c>
      <c r="O130" s="1714">
        <f t="shared" si="17"/>
        <v>24.005308895788716</v>
      </c>
      <c r="P130" s="1714">
        <f t="shared" si="18"/>
        <v>2.8086765091321793</v>
      </c>
      <c r="Q130" s="1714">
        <f t="shared" si="19"/>
        <v>0</v>
      </c>
      <c r="R130" s="1714">
        <f t="shared" si="15"/>
        <v>2.8086765091321793</v>
      </c>
    </row>
    <row r="131" spans="3:18">
      <c r="C131" s="1712">
        <f t="shared" si="20"/>
        <v>2008</v>
      </c>
      <c r="D131" s="1712">
        <f t="shared" si="21"/>
        <v>3</v>
      </c>
      <c r="E131" s="1723">
        <v>39508</v>
      </c>
      <c r="F131" s="1713">
        <v>31.231200000000001</v>
      </c>
      <c r="G131" s="1713">
        <v>19.898900000000001</v>
      </c>
      <c r="H131" s="1713">
        <v>2.2650484634753925</v>
      </c>
      <c r="I131" s="1713">
        <v>0</v>
      </c>
      <c r="J131" s="1713">
        <f t="shared" si="13"/>
        <v>2.2650484634753925</v>
      </c>
      <c r="K131">
        <f t="shared" si="14"/>
        <v>13788.314247404754</v>
      </c>
      <c r="L131">
        <f t="shared" si="14"/>
        <v>8785.1983394068247</v>
      </c>
      <c r="N131" s="1714">
        <f t="shared" si="16"/>
        <v>36.592328459957955</v>
      </c>
      <c r="O131" s="1714">
        <f t="shared" si="17"/>
        <v>23.314732856625984</v>
      </c>
      <c r="P131" s="1714">
        <f t="shared" si="18"/>
        <v>2.6538652806557108</v>
      </c>
      <c r="Q131" s="1714">
        <f t="shared" si="19"/>
        <v>0</v>
      </c>
      <c r="R131" s="1714">
        <f t="shared" si="15"/>
        <v>2.6538652806557108</v>
      </c>
    </row>
    <row r="132" spans="3:18">
      <c r="C132" s="1712">
        <f t="shared" si="20"/>
        <v>2008</v>
      </c>
      <c r="D132" s="1712">
        <f t="shared" si="21"/>
        <v>4</v>
      </c>
      <c r="E132" s="1723">
        <v>39539</v>
      </c>
      <c r="F132" s="1713">
        <v>30.053899999999999</v>
      </c>
      <c r="G132" s="1713">
        <v>19.983699999999999</v>
      </c>
      <c r="H132" s="1713">
        <v>2.1934058011196531</v>
      </c>
      <c r="I132" s="1713">
        <v>0</v>
      </c>
      <c r="J132" s="1713">
        <f t="shared" si="13"/>
        <v>2.1934058011196531</v>
      </c>
      <c r="K132">
        <f t="shared" si="14"/>
        <v>13701.933306029639</v>
      </c>
      <c r="L132">
        <f t="shared" si="14"/>
        <v>9110.8084011627288</v>
      </c>
      <c r="N132" s="1714">
        <f t="shared" si="16"/>
        <v>35.212933870703985</v>
      </c>
      <c r="O132" s="1714">
        <f t="shared" si="17"/>
        <v>23.414089572134973</v>
      </c>
      <c r="P132" s="1714">
        <f t="shared" si="18"/>
        <v>2.569924483226631</v>
      </c>
      <c r="Q132" s="1714">
        <f t="shared" si="19"/>
        <v>0</v>
      </c>
      <c r="R132" s="1714">
        <f t="shared" si="15"/>
        <v>2.569924483226631</v>
      </c>
    </row>
    <row r="133" spans="3:18">
      <c r="C133" s="1712">
        <f t="shared" si="20"/>
        <v>2008</v>
      </c>
      <c r="D133" s="1712">
        <f t="shared" si="21"/>
        <v>5</v>
      </c>
      <c r="E133" s="1723">
        <v>39569</v>
      </c>
      <c r="F133" s="1713">
        <v>31.248699999999999</v>
      </c>
      <c r="G133" s="1713">
        <v>18.908100000000001</v>
      </c>
      <c r="H133" s="1713">
        <v>2.1733260237811933</v>
      </c>
      <c r="I133" s="1713">
        <v>0</v>
      </c>
      <c r="J133" s="1713">
        <f t="shared" si="13"/>
        <v>2.1733260237811933</v>
      </c>
      <c r="K133">
        <f t="shared" si="14"/>
        <v>14378.284554672071</v>
      </c>
      <c r="L133">
        <f t="shared" si="14"/>
        <v>8700.0752731536031</v>
      </c>
      <c r="N133" s="1714">
        <f t="shared" si="16"/>
        <v>36.612832499125496</v>
      </c>
      <c r="O133" s="1714">
        <f t="shared" si="17"/>
        <v>22.153852741928937</v>
      </c>
      <c r="P133" s="1714">
        <f t="shared" si="18"/>
        <v>2.5463978237395879</v>
      </c>
      <c r="Q133" s="1714">
        <f t="shared" si="19"/>
        <v>0</v>
      </c>
      <c r="R133" s="1714">
        <f t="shared" si="15"/>
        <v>2.5463978237395879</v>
      </c>
    </row>
    <row r="134" spans="3:18">
      <c r="C134" s="1712">
        <f t="shared" si="20"/>
        <v>2008</v>
      </c>
      <c r="D134" s="1712">
        <f t="shared" si="21"/>
        <v>6</v>
      </c>
      <c r="E134" s="1723">
        <v>39600</v>
      </c>
      <c r="F134" s="1713">
        <v>28.498000000000001</v>
      </c>
      <c r="G134" s="1713">
        <v>17.421399999999998</v>
      </c>
      <c r="H134" s="1713">
        <v>2.1958847859762534</v>
      </c>
      <c r="I134" s="1713">
        <v>0</v>
      </c>
      <c r="J134" s="1713">
        <f t="shared" si="13"/>
        <v>2.1958847859762534</v>
      </c>
      <c r="K134">
        <f t="shared" si="14"/>
        <v>12977.912221077788</v>
      </c>
      <c r="L134">
        <f t="shared" si="14"/>
        <v>7933.6585012381411</v>
      </c>
      <c r="N134" s="1714">
        <f t="shared" si="16"/>
        <v>33.389949039802566</v>
      </c>
      <c r="O134" s="1714">
        <f t="shared" si="17"/>
        <v>20.411946740192867</v>
      </c>
      <c r="P134" s="1714">
        <f t="shared" si="18"/>
        <v>2.5728290090892294</v>
      </c>
      <c r="Q134" s="1714">
        <f t="shared" si="19"/>
        <v>0</v>
      </c>
      <c r="R134" s="1714">
        <f t="shared" si="15"/>
        <v>2.5728290090892294</v>
      </c>
    </row>
    <row r="135" spans="3:18">
      <c r="C135" s="1712">
        <f t="shared" si="20"/>
        <v>2008</v>
      </c>
      <c r="D135" s="1712">
        <f t="shared" si="21"/>
        <v>7</v>
      </c>
      <c r="E135" s="1723">
        <v>39630</v>
      </c>
      <c r="F135" s="1713">
        <v>44.785800000000002</v>
      </c>
      <c r="G135" s="1713">
        <v>22.284199999999998</v>
      </c>
      <c r="H135" s="1713">
        <v>2.2521577422210726</v>
      </c>
      <c r="I135" s="1713">
        <v>0</v>
      </c>
      <c r="J135" s="1713">
        <f t="shared" si="13"/>
        <v>2.2521577422210726</v>
      </c>
      <c r="K135">
        <f t="shared" si="14"/>
        <v>19885.729654012757</v>
      </c>
      <c r="L135">
        <f t="shared" si="14"/>
        <v>9894.6000016958733</v>
      </c>
      <c r="N135" s="1714">
        <f t="shared" si="16"/>
        <v>52.473702705691267</v>
      </c>
      <c r="O135" s="1714">
        <f t="shared" si="17"/>
        <v>26.109491978130684</v>
      </c>
      <c r="P135" s="1714">
        <f t="shared" si="18"/>
        <v>2.6387617461702018</v>
      </c>
      <c r="Q135" s="1714">
        <f t="shared" si="19"/>
        <v>0</v>
      </c>
      <c r="R135" s="1714">
        <f t="shared" si="15"/>
        <v>2.6387617461702018</v>
      </c>
    </row>
    <row r="136" spans="3:18">
      <c r="C136" s="1712">
        <f t="shared" si="20"/>
        <v>2008</v>
      </c>
      <c r="D136" s="1712">
        <f t="shared" si="21"/>
        <v>8</v>
      </c>
      <c r="E136" s="1723">
        <v>39661</v>
      </c>
      <c r="F136" s="1713">
        <v>86.8292</v>
      </c>
      <c r="G136" s="1713">
        <v>27.627099999999999</v>
      </c>
      <c r="H136" s="1713">
        <v>2.3332205470318916</v>
      </c>
      <c r="I136" s="1713">
        <v>0</v>
      </c>
      <c r="J136" s="1713">
        <f t="shared" si="13"/>
        <v>2.3332205470318916</v>
      </c>
      <c r="K136">
        <f t="shared" si="14"/>
        <v>37214.313113458607</v>
      </c>
      <c r="L136">
        <f t="shared" si="14"/>
        <v>11840.758060846263</v>
      </c>
      <c r="N136" s="1714">
        <f t="shared" si="16"/>
        <v>101.73424672492192</v>
      </c>
      <c r="O136" s="1714">
        <f t="shared" si="17"/>
        <v>32.369550884887687</v>
      </c>
      <c r="P136" s="1714">
        <f t="shared" si="18"/>
        <v>2.7337397418771534</v>
      </c>
      <c r="Q136" s="1714">
        <f t="shared" si="19"/>
        <v>0</v>
      </c>
      <c r="R136" s="1714">
        <f t="shared" si="15"/>
        <v>2.7337397418771534</v>
      </c>
    </row>
    <row r="137" spans="3:18">
      <c r="C137" s="1712">
        <f t="shared" si="20"/>
        <v>2008</v>
      </c>
      <c r="D137" s="1712">
        <f t="shared" si="21"/>
        <v>9</v>
      </c>
      <c r="E137" s="1723">
        <v>39692</v>
      </c>
      <c r="F137" s="1713">
        <v>58.018599999999999</v>
      </c>
      <c r="G137" s="1713">
        <v>25.1465</v>
      </c>
      <c r="H137" s="1713">
        <v>2.4301488549249504</v>
      </c>
      <c r="I137" s="1713">
        <v>0</v>
      </c>
      <c r="J137" s="1713">
        <f t="shared" ref="J137:J200" si="22">SUM(H137:I137)</f>
        <v>2.4301488549249504</v>
      </c>
      <c r="K137">
        <f t="shared" ref="K137:L200" si="23">F137/$J137*1000</f>
        <v>23874.504593584563</v>
      </c>
      <c r="L137">
        <f t="shared" si="23"/>
        <v>10347.720037411698</v>
      </c>
      <c r="N137" s="1714">
        <f t="shared" si="16"/>
        <v>67.978036962618035</v>
      </c>
      <c r="O137" s="1714">
        <f t="shared" si="17"/>
        <v>29.463132624373468</v>
      </c>
      <c r="P137" s="1714">
        <f t="shared" si="18"/>
        <v>2.8473067031047319</v>
      </c>
      <c r="Q137" s="1714">
        <f t="shared" si="19"/>
        <v>0</v>
      </c>
      <c r="R137" s="1714">
        <f t="shared" ref="R137:R200" si="24">SUM(P137:Q137)</f>
        <v>2.8473067031047319</v>
      </c>
    </row>
    <row r="138" spans="3:18">
      <c r="C138" s="1712">
        <f t="shared" si="20"/>
        <v>2008</v>
      </c>
      <c r="D138" s="1712">
        <f t="shared" si="21"/>
        <v>10</v>
      </c>
      <c r="E138" s="1723">
        <v>39722</v>
      </c>
      <c r="F138" s="1713">
        <v>39.203200000000002</v>
      </c>
      <c r="G138" s="1713">
        <v>21.761600000000001</v>
      </c>
      <c r="H138" s="1713">
        <v>2.5340183204164899</v>
      </c>
      <c r="I138" s="1713">
        <v>0</v>
      </c>
      <c r="J138" s="1713">
        <f t="shared" si="22"/>
        <v>2.5340183204164899</v>
      </c>
      <c r="K138">
        <f t="shared" si="23"/>
        <v>15470.764234078855</v>
      </c>
      <c r="L138">
        <f t="shared" si="23"/>
        <v>8587.78321556226</v>
      </c>
      <c r="N138" s="1714">
        <f t="shared" ref="N138:N201" si="25">F138*(1+$D$4)^($C138-$D$3)</f>
        <v>45.932797045308021</v>
      </c>
      <c r="O138" s="1714">
        <f t="shared" ref="O138:O201" si="26">G138*(1+$D$4)^($C138-$D$3)</f>
        <v>25.497182785618904</v>
      </c>
      <c r="P138" s="1714">
        <f t="shared" ref="P138:P201" si="27">H138*(1+$D$4)^($C138-$D$3)</f>
        <v>2.9690063367475852</v>
      </c>
      <c r="Q138" s="1714">
        <f t="shared" ref="Q138:Q201" si="28">I138*(1+$D$4)^($C138-$D$3)</f>
        <v>0</v>
      </c>
      <c r="R138" s="1714">
        <f t="shared" si="24"/>
        <v>2.9690063367475852</v>
      </c>
    </row>
    <row r="139" spans="3:18">
      <c r="C139" s="1712">
        <f t="shared" si="20"/>
        <v>2008</v>
      </c>
      <c r="D139" s="1712">
        <f t="shared" si="21"/>
        <v>11</v>
      </c>
      <c r="E139" s="1723">
        <v>39753</v>
      </c>
      <c r="F139" s="1713">
        <v>40.654200000000003</v>
      </c>
      <c r="G139" s="1713">
        <v>24.557700000000001</v>
      </c>
      <c r="H139" s="1713">
        <v>2.6359045980227478</v>
      </c>
      <c r="I139" s="1713">
        <v>0</v>
      </c>
      <c r="J139" s="1713">
        <f t="shared" si="22"/>
        <v>2.6359045980227478</v>
      </c>
      <c r="K139">
        <f t="shared" si="23"/>
        <v>15423.244084970165</v>
      </c>
      <c r="L139">
        <f t="shared" si="23"/>
        <v>9316.6118449132373</v>
      </c>
      <c r="N139" s="1714">
        <f t="shared" si="25"/>
        <v>47.632874807142308</v>
      </c>
      <c r="O139" s="1714">
        <f t="shared" si="26"/>
        <v>28.773259580839337</v>
      </c>
      <c r="P139" s="1714">
        <f t="shared" si="27"/>
        <v>3.0883823497003582</v>
      </c>
      <c r="Q139" s="1714">
        <f t="shared" si="28"/>
        <v>0</v>
      </c>
      <c r="R139" s="1714">
        <f t="shared" si="24"/>
        <v>3.0883823497003582</v>
      </c>
    </row>
    <row r="140" spans="3:18">
      <c r="C140" s="1712">
        <f t="shared" si="20"/>
        <v>2008</v>
      </c>
      <c r="D140" s="1712">
        <f t="shared" si="21"/>
        <v>12</v>
      </c>
      <c r="E140" s="1723">
        <v>39783</v>
      </c>
      <c r="F140" s="1713">
        <v>40.652299999999997</v>
      </c>
      <c r="G140" s="1713">
        <v>25.221399999999999</v>
      </c>
      <c r="H140" s="1713">
        <v>2.7435570428413145</v>
      </c>
      <c r="I140" s="1713">
        <v>0</v>
      </c>
      <c r="J140" s="1713">
        <f t="shared" si="22"/>
        <v>2.7435570428413145</v>
      </c>
      <c r="K140">
        <f t="shared" si="23"/>
        <v>14817.370065649951</v>
      </c>
      <c r="L140">
        <f t="shared" si="23"/>
        <v>9192.9562994906501</v>
      </c>
      <c r="N140" s="1714">
        <f t="shared" si="25"/>
        <v>47.630648654318392</v>
      </c>
      <c r="O140" s="1714">
        <f t="shared" si="26"/>
        <v>29.55088991201054</v>
      </c>
      <c r="P140" s="1714">
        <f t="shared" si="27"/>
        <v>3.2145143465598607</v>
      </c>
      <c r="Q140" s="1714">
        <f t="shared" si="28"/>
        <v>0</v>
      </c>
      <c r="R140" s="1714">
        <f t="shared" si="24"/>
        <v>3.2145143465598607</v>
      </c>
    </row>
    <row r="141" spans="3:18">
      <c r="C141" s="1712">
        <f t="shared" si="20"/>
        <v>2009</v>
      </c>
      <c r="D141" s="1712">
        <f t="shared" si="21"/>
        <v>1</v>
      </c>
      <c r="E141" s="1723">
        <v>39814</v>
      </c>
      <c r="F141" s="1713">
        <v>41.0732</v>
      </c>
      <c r="G141" s="1713">
        <v>25.5305</v>
      </c>
      <c r="H141" s="1713">
        <v>2.6082147745758992</v>
      </c>
      <c r="I141" s="1713">
        <v>0</v>
      </c>
      <c r="J141" s="1713">
        <f t="shared" si="22"/>
        <v>2.6082147745758992</v>
      </c>
      <c r="K141">
        <f t="shared" si="23"/>
        <v>15747.629528200408</v>
      </c>
      <c r="L141">
        <f t="shared" si="23"/>
        <v>9788.4960429116927</v>
      </c>
      <c r="N141" s="1714">
        <f t="shared" si="25"/>
        <v>49.086276089537897</v>
      </c>
      <c r="O141" s="1714">
        <f t="shared" si="26"/>
        <v>30.511310823211907</v>
      </c>
      <c r="P141" s="1714">
        <f t="shared" si="27"/>
        <v>3.1170580944665729</v>
      </c>
      <c r="Q141" s="1714">
        <f t="shared" si="28"/>
        <v>0</v>
      </c>
      <c r="R141" s="1714">
        <f t="shared" si="24"/>
        <v>3.1170580944665729</v>
      </c>
    </row>
    <row r="142" spans="3:18">
      <c r="C142" s="1712">
        <f t="shared" si="20"/>
        <v>2009</v>
      </c>
      <c r="D142" s="1712">
        <f t="shared" si="21"/>
        <v>2</v>
      </c>
      <c r="E142" s="1723">
        <v>39845</v>
      </c>
      <c r="F142" s="1713">
        <v>35.795699999999997</v>
      </c>
      <c r="G142" s="1713">
        <v>22.607199999999999</v>
      </c>
      <c r="H142" s="1713">
        <v>2.404946683857943</v>
      </c>
      <c r="I142" s="1713">
        <v>0</v>
      </c>
      <c r="J142" s="1713">
        <f t="shared" si="22"/>
        <v>2.404946683857943</v>
      </c>
      <c r="K142">
        <f t="shared" si="23"/>
        <v>14884.196909753366</v>
      </c>
      <c r="L142">
        <f t="shared" si="23"/>
        <v>9400.2915539625228</v>
      </c>
      <c r="N142" s="1714">
        <f t="shared" si="25"/>
        <v>42.779175058633648</v>
      </c>
      <c r="O142" s="1714">
        <f t="shared" si="26"/>
        <v>27.017696717358305</v>
      </c>
      <c r="P142" s="1714">
        <f t="shared" si="27"/>
        <v>2.8741339098114977</v>
      </c>
      <c r="Q142" s="1714">
        <f t="shared" si="28"/>
        <v>0</v>
      </c>
      <c r="R142" s="1714">
        <f t="shared" si="24"/>
        <v>2.8741339098114977</v>
      </c>
    </row>
    <row r="143" spans="3:18">
      <c r="C143" s="1712">
        <f t="shared" si="20"/>
        <v>2009</v>
      </c>
      <c r="D143" s="1712">
        <f t="shared" si="21"/>
        <v>3</v>
      </c>
      <c r="E143" s="1723">
        <v>39873</v>
      </c>
      <c r="F143" s="1713">
        <v>31.343499999999999</v>
      </c>
      <c r="G143" s="1713">
        <v>20.293700000000001</v>
      </c>
      <c r="H143" s="1713">
        <v>2.2723886091427121</v>
      </c>
      <c r="I143" s="1713">
        <v>0</v>
      </c>
      <c r="J143" s="1713">
        <f t="shared" si="22"/>
        <v>2.2723886091427121</v>
      </c>
      <c r="K143">
        <f t="shared" si="23"/>
        <v>13793.195351311295</v>
      </c>
      <c r="L143">
        <f t="shared" si="23"/>
        <v>8930.5587602184205</v>
      </c>
      <c r="N143" s="1714">
        <f t="shared" si="25"/>
        <v>37.4583839246134</v>
      </c>
      <c r="O143" s="1714">
        <f t="shared" si="26"/>
        <v>24.252850059850591</v>
      </c>
      <c r="P143" s="1714">
        <f t="shared" si="27"/>
        <v>2.715714739808444</v>
      </c>
      <c r="Q143" s="1714">
        <f t="shared" si="28"/>
        <v>0</v>
      </c>
      <c r="R143" s="1714">
        <f t="shared" si="24"/>
        <v>2.715714739808444</v>
      </c>
    </row>
    <row r="144" spans="3:18">
      <c r="C144" s="1712">
        <f t="shared" si="20"/>
        <v>2009</v>
      </c>
      <c r="D144" s="1712">
        <f t="shared" si="21"/>
        <v>4</v>
      </c>
      <c r="E144" s="1723">
        <v>39904</v>
      </c>
      <c r="F144" s="1713">
        <v>30.2165</v>
      </c>
      <c r="G144" s="1713">
        <v>19.6784</v>
      </c>
      <c r="H144" s="1713">
        <v>2.2005137806385813</v>
      </c>
      <c r="I144" s="1713">
        <v>0</v>
      </c>
      <c r="J144" s="1713">
        <f t="shared" si="22"/>
        <v>2.2005137806385813</v>
      </c>
      <c r="K144">
        <f t="shared" si="23"/>
        <v>13731.565903318851</v>
      </c>
      <c r="L144">
        <f t="shared" si="23"/>
        <v>8942.6388387758252</v>
      </c>
      <c r="N144" s="1714">
        <f t="shared" si="25"/>
        <v>36.111514599776058</v>
      </c>
      <c r="O144" s="1714">
        <f t="shared" si="26"/>
        <v>23.517509602377281</v>
      </c>
      <c r="P144" s="1714">
        <f t="shared" si="27"/>
        <v>2.6298176663921544</v>
      </c>
      <c r="Q144" s="1714">
        <f t="shared" si="28"/>
        <v>0</v>
      </c>
      <c r="R144" s="1714">
        <f t="shared" si="24"/>
        <v>2.6298176663921544</v>
      </c>
    </row>
    <row r="145" spans="3:18">
      <c r="C145" s="1712">
        <f t="shared" si="20"/>
        <v>2009</v>
      </c>
      <c r="D145" s="1712">
        <f t="shared" si="21"/>
        <v>5</v>
      </c>
      <c r="E145" s="1723">
        <v>39934</v>
      </c>
      <c r="F145" s="1713">
        <v>30.7957</v>
      </c>
      <c r="G145" s="1713">
        <v>19.350200000000001</v>
      </c>
      <c r="H145" s="1713">
        <v>2.1803689325111257</v>
      </c>
      <c r="I145" s="1713">
        <v>0</v>
      </c>
      <c r="J145" s="1713">
        <f t="shared" si="22"/>
        <v>2.1803689325111257</v>
      </c>
      <c r="K145">
        <f t="shared" si="23"/>
        <v>14124.077600267705</v>
      </c>
      <c r="L145">
        <f t="shared" si="23"/>
        <v>8874.7366151995302</v>
      </c>
      <c r="N145" s="1714">
        <f t="shared" si="25"/>
        <v>36.803712215522097</v>
      </c>
      <c r="O145" s="1714">
        <f t="shared" si="26"/>
        <v>23.125280221355439</v>
      </c>
      <c r="P145" s="1714">
        <f t="shared" si="27"/>
        <v>2.6057427080990072</v>
      </c>
      <c r="Q145" s="1714">
        <f t="shared" si="28"/>
        <v>0</v>
      </c>
      <c r="R145" s="1714">
        <f t="shared" si="24"/>
        <v>2.6057427080990072</v>
      </c>
    </row>
    <row r="146" spans="3:18">
      <c r="C146" s="1712">
        <f t="shared" si="20"/>
        <v>2009</v>
      </c>
      <c r="D146" s="1712">
        <f t="shared" si="21"/>
        <v>6</v>
      </c>
      <c r="E146" s="1723">
        <v>39965</v>
      </c>
      <c r="F146" s="1713">
        <v>28.770299999999999</v>
      </c>
      <c r="G146" s="1713">
        <v>18.296600000000002</v>
      </c>
      <c r="H146" s="1713">
        <v>2.2030007989259217</v>
      </c>
      <c r="I146" s="1713">
        <v>0</v>
      </c>
      <c r="J146" s="1713">
        <f t="shared" si="22"/>
        <v>2.2030007989259217</v>
      </c>
      <c r="K146">
        <f t="shared" si="23"/>
        <v>13059.59580860208</v>
      </c>
      <c r="L146">
        <f t="shared" si="23"/>
        <v>8305.307927677808</v>
      </c>
      <c r="N146" s="1714">
        <f t="shared" si="25"/>
        <v>34.383171727034465</v>
      </c>
      <c r="O146" s="1714">
        <f t="shared" si="26"/>
        <v>21.866130691054973</v>
      </c>
      <c r="P146" s="1714">
        <f t="shared" si="27"/>
        <v>2.6327898834653829</v>
      </c>
      <c r="Q146" s="1714">
        <f t="shared" si="28"/>
        <v>0</v>
      </c>
      <c r="R146" s="1714">
        <f t="shared" si="24"/>
        <v>2.6327898834653829</v>
      </c>
    </row>
    <row r="147" spans="3:18">
      <c r="C147" s="1712">
        <f t="shared" si="20"/>
        <v>2009</v>
      </c>
      <c r="D147" s="1712">
        <f t="shared" si="21"/>
        <v>7</v>
      </c>
      <c r="E147" s="1723">
        <v>39995</v>
      </c>
      <c r="F147" s="1713">
        <v>43.8735</v>
      </c>
      <c r="G147" s="1713">
        <v>22.0946</v>
      </c>
      <c r="H147" s="1713">
        <v>2.2594561140485436</v>
      </c>
      <c r="I147" s="1713">
        <v>0</v>
      </c>
      <c r="J147" s="1713">
        <f t="shared" si="22"/>
        <v>2.2594561140485436</v>
      </c>
      <c r="K147">
        <f t="shared" si="23"/>
        <v>19417.726118781076</v>
      </c>
      <c r="L147">
        <f t="shared" si="23"/>
        <v>9778.725004935106</v>
      </c>
      <c r="N147" s="1714">
        <f t="shared" si="25"/>
        <v>52.432893809450952</v>
      </c>
      <c r="O147" s="1714">
        <f t="shared" si="26"/>
        <v>26.405092266682509</v>
      </c>
      <c r="P147" s="1714">
        <f t="shared" si="27"/>
        <v>2.7002592110276589</v>
      </c>
      <c r="Q147" s="1714">
        <f t="shared" si="28"/>
        <v>0</v>
      </c>
      <c r="R147" s="1714">
        <f t="shared" si="24"/>
        <v>2.7002592110276589</v>
      </c>
    </row>
    <row r="148" spans="3:18">
      <c r="C148" s="1712">
        <f t="shared" si="20"/>
        <v>2009</v>
      </c>
      <c r="D148" s="1712">
        <f t="shared" si="21"/>
        <v>8</v>
      </c>
      <c r="E148" s="1723">
        <v>40026</v>
      </c>
      <c r="F148" s="1713">
        <v>80.771000000000001</v>
      </c>
      <c r="G148" s="1713">
        <v>27.2728</v>
      </c>
      <c r="H148" s="1713">
        <v>2.3407816120445673</v>
      </c>
      <c r="I148" s="1713">
        <v>0</v>
      </c>
      <c r="J148" s="1713">
        <f t="shared" si="22"/>
        <v>2.3407816120445673</v>
      </c>
      <c r="K148">
        <f t="shared" si="23"/>
        <v>34505.995597534689</v>
      </c>
      <c r="L148">
        <f t="shared" si="23"/>
        <v>11651.150991475211</v>
      </c>
      <c r="N148" s="1714">
        <f t="shared" si="25"/>
        <v>96.528821860192664</v>
      </c>
      <c r="O148" s="1714">
        <f t="shared" si="26"/>
        <v>32.593520605522556</v>
      </c>
      <c r="P148" s="1714">
        <f t="shared" si="27"/>
        <v>2.7974507093222152</v>
      </c>
      <c r="Q148" s="1714">
        <f t="shared" si="28"/>
        <v>0</v>
      </c>
      <c r="R148" s="1714">
        <f t="shared" si="24"/>
        <v>2.7974507093222152</v>
      </c>
    </row>
    <row r="149" spans="3:18">
      <c r="C149" s="1712">
        <f t="shared" si="20"/>
        <v>2009</v>
      </c>
      <c r="D149" s="1712">
        <f t="shared" si="21"/>
        <v>9</v>
      </c>
      <c r="E149" s="1723">
        <v>40057</v>
      </c>
      <c r="F149" s="1713">
        <v>57.427999999999997</v>
      </c>
      <c r="G149" s="1713">
        <v>25.6905</v>
      </c>
      <c r="H149" s="1713">
        <v>2.4380240270795674</v>
      </c>
      <c r="I149" s="1713">
        <v>0</v>
      </c>
      <c r="J149" s="1713">
        <f t="shared" si="22"/>
        <v>2.4380240270795674</v>
      </c>
      <c r="K149">
        <f t="shared" si="23"/>
        <v>23555.141115155948</v>
      </c>
      <c r="L149">
        <f t="shared" si="23"/>
        <v>10537.426914029984</v>
      </c>
      <c r="N149" s="1714">
        <f t="shared" si="25"/>
        <v>68.631776030842062</v>
      </c>
      <c r="O149" s="1714">
        <f t="shared" si="26"/>
        <v>30.702525634191478</v>
      </c>
      <c r="P149" s="1714">
        <f t="shared" si="27"/>
        <v>2.9136643968854306</v>
      </c>
      <c r="Q149" s="1714">
        <f t="shared" si="28"/>
        <v>0</v>
      </c>
      <c r="R149" s="1714">
        <f t="shared" si="24"/>
        <v>2.9136643968854306</v>
      </c>
    </row>
    <row r="150" spans="3:18">
      <c r="C150" s="1712">
        <f t="shared" si="20"/>
        <v>2009</v>
      </c>
      <c r="D150" s="1712">
        <f t="shared" si="21"/>
        <v>10</v>
      </c>
      <c r="E150" s="1723">
        <v>40087</v>
      </c>
      <c r="F150" s="1713">
        <v>39.392800000000001</v>
      </c>
      <c r="G150" s="1713">
        <v>21.634899999999998</v>
      </c>
      <c r="H150" s="1713">
        <v>2.5422300933191209</v>
      </c>
      <c r="I150" s="1713">
        <v>0</v>
      </c>
      <c r="J150" s="1713">
        <f t="shared" si="22"/>
        <v>2.5422300933191209</v>
      </c>
      <c r="K150">
        <f t="shared" si="23"/>
        <v>15495.371604451819</v>
      </c>
      <c r="L150">
        <f t="shared" si="23"/>
        <v>8510.2052944993666</v>
      </c>
      <c r="N150" s="1714">
        <f t="shared" si="25"/>
        <v>47.078042537224967</v>
      </c>
      <c r="O150" s="1714">
        <f t="shared" si="26"/>
        <v>25.855708212886832</v>
      </c>
      <c r="P150" s="1714">
        <f t="shared" si="27"/>
        <v>3.038200292253685</v>
      </c>
      <c r="Q150" s="1714">
        <f t="shared" si="28"/>
        <v>0</v>
      </c>
      <c r="R150" s="1714">
        <f t="shared" si="24"/>
        <v>3.038200292253685</v>
      </c>
    </row>
    <row r="151" spans="3:18">
      <c r="C151" s="1712">
        <f t="shared" si="20"/>
        <v>2009</v>
      </c>
      <c r="D151" s="1712">
        <f t="shared" si="21"/>
        <v>11</v>
      </c>
      <c r="E151" s="1723">
        <v>40118</v>
      </c>
      <c r="F151" s="1713">
        <v>39.643099999999997</v>
      </c>
      <c r="G151" s="1713">
        <v>24.2988</v>
      </c>
      <c r="H151" s="1713">
        <v>2.644446544928801</v>
      </c>
      <c r="I151" s="1713">
        <v>0</v>
      </c>
      <c r="J151" s="1713">
        <f t="shared" si="22"/>
        <v>2.644446544928801</v>
      </c>
      <c r="K151">
        <f t="shared" si="23"/>
        <v>14991.076327870091</v>
      </c>
      <c r="L151">
        <f t="shared" si="23"/>
        <v>9188.6145502155414</v>
      </c>
      <c r="N151" s="1714">
        <f t="shared" si="25"/>
        <v>47.377174207151128</v>
      </c>
      <c r="O151" s="1714">
        <f t="shared" si="26"/>
        <v>29.039315306439807</v>
      </c>
      <c r="P151" s="1714">
        <f t="shared" si="27"/>
        <v>3.160358413963356</v>
      </c>
      <c r="Q151" s="1714">
        <f t="shared" si="28"/>
        <v>0</v>
      </c>
      <c r="R151" s="1714">
        <f t="shared" si="24"/>
        <v>3.160358413963356</v>
      </c>
    </row>
    <row r="152" spans="3:18">
      <c r="C152" s="1712">
        <f t="shared" si="20"/>
        <v>2009</v>
      </c>
      <c r="D152" s="1712">
        <f t="shared" si="21"/>
        <v>12</v>
      </c>
      <c r="E152" s="1723">
        <v>40148</v>
      </c>
      <c r="F152" s="1713">
        <v>41.004399999999997</v>
      </c>
      <c r="G152" s="1713">
        <v>25.229900000000001</v>
      </c>
      <c r="H152" s="1713">
        <v>2.7524478496676541</v>
      </c>
      <c r="I152" s="1713">
        <v>0</v>
      </c>
      <c r="J152" s="1713">
        <f t="shared" si="22"/>
        <v>2.7524478496676541</v>
      </c>
      <c r="K152">
        <f t="shared" si="23"/>
        <v>14897.430301886045</v>
      </c>
      <c r="L152">
        <f t="shared" si="23"/>
        <v>9166.3498740026625</v>
      </c>
      <c r="N152" s="1714">
        <f t="shared" si="25"/>
        <v>49.004053720816678</v>
      </c>
      <c r="O152" s="1714">
        <f t="shared" si="26"/>
        <v>30.152065997084041</v>
      </c>
      <c r="P152" s="1714">
        <f t="shared" si="27"/>
        <v>3.289429970658273</v>
      </c>
      <c r="Q152" s="1714">
        <f t="shared" si="28"/>
        <v>0</v>
      </c>
      <c r="R152" s="1714">
        <f t="shared" si="24"/>
        <v>3.289429970658273</v>
      </c>
    </row>
    <row r="153" spans="3:18">
      <c r="C153" s="1712">
        <f t="shared" si="20"/>
        <v>2010</v>
      </c>
      <c r="D153" s="1712">
        <f t="shared" si="21"/>
        <v>1</v>
      </c>
      <c r="E153" s="1723">
        <v>40179</v>
      </c>
      <c r="F153" s="1713">
        <v>41.182099999999998</v>
      </c>
      <c r="G153" s="1713">
        <v>25.2148</v>
      </c>
      <c r="H153" s="1713">
        <v>2.6231679576297235</v>
      </c>
      <c r="I153" s="1713">
        <v>0</v>
      </c>
      <c r="J153" s="1713">
        <f t="shared" si="22"/>
        <v>2.6231679576297235</v>
      </c>
      <c r="K153">
        <f t="shared" si="23"/>
        <v>15699.375970272167</v>
      </c>
      <c r="L153">
        <f t="shared" si="23"/>
        <v>9612.3467529635127</v>
      </c>
      <c r="N153" s="1714">
        <f t="shared" si="25"/>
        <v>50.200750103666081</v>
      </c>
      <c r="O153" s="1714">
        <f t="shared" si="26"/>
        <v>30.736700501283803</v>
      </c>
      <c r="P153" s="1714">
        <f t="shared" si="27"/>
        <v>3.1976271030596766</v>
      </c>
      <c r="Q153" s="1714">
        <f t="shared" si="28"/>
        <v>0</v>
      </c>
      <c r="R153" s="1714">
        <f t="shared" si="24"/>
        <v>3.1976271030596766</v>
      </c>
    </row>
    <row r="154" spans="3:18">
      <c r="C154" s="1712">
        <f t="shared" si="20"/>
        <v>2010</v>
      </c>
      <c r="D154" s="1712">
        <f t="shared" si="21"/>
        <v>2</v>
      </c>
      <c r="E154" s="1723">
        <v>40210</v>
      </c>
      <c r="F154" s="1713">
        <v>39.535800000000002</v>
      </c>
      <c r="G154" s="1713">
        <v>21.524100000000001</v>
      </c>
      <c r="H154" s="1713">
        <v>2.4187345085221383</v>
      </c>
      <c r="I154" s="1713">
        <v>0</v>
      </c>
      <c r="J154" s="1713">
        <f t="shared" si="22"/>
        <v>2.4187345085221383</v>
      </c>
      <c r="K154">
        <f t="shared" si="23"/>
        <v>16345.655077355563</v>
      </c>
      <c r="L154">
        <f t="shared" si="23"/>
        <v>8898.9097084290406</v>
      </c>
      <c r="N154" s="1714">
        <f t="shared" si="25"/>
        <v>48.19391959002872</v>
      </c>
      <c r="O154" s="1714">
        <f t="shared" si="26"/>
        <v>26.237757795409152</v>
      </c>
      <c r="P154" s="1714">
        <f t="shared" si="27"/>
        <v>2.948423869337248</v>
      </c>
      <c r="Q154" s="1714">
        <f t="shared" si="28"/>
        <v>0</v>
      </c>
      <c r="R154" s="1714">
        <f t="shared" si="24"/>
        <v>2.948423869337248</v>
      </c>
    </row>
    <row r="155" spans="3:18">
      <c r="C155" s="1712">
        <f t="shared" si="20"/>
        <v>2010</v>
      </c>
      <c r="D155" s="1712">
        <f t="shared" si="21"/>
        <v>3</v>
      </c>
      <c r="E155" s="1723">
        <v>40238</v>
      </c>
      <c r="F155" s="1713">
        <v>34.383099999999999</v>
      </c>
      <c r="G155" s="1713">
        <v>19.717199999999998</v>
      </c>
      <c r="H155" s="1713">
        <v>2.2854164637401011</v>
      </c>
      <c r="I155" s="1713">
        <v>0</v>
      </c>
      <c r="J155" s="1713">
        <f t="shared" si="22"/>
        <v>2.2854164637401011</v>
      </c>
      <c r="K155">
        <f t="shared" si="23"/>
        <v>15044.566513593676</v>
      </c>
      <c r="L155">
        <f t="shared" si="23"/>
        <v>8627.3991252048017</v>
      </c>
      <c r="N155" s="1714">
        <f t="shared" si="25"/>
        <v>41.912807042121734</v>
      </c>
      <c r="O155" s="1714">
        <f t="shared" si="26"/>
        <v>24.035156777920623</v>
      </c>
      <c r="P155" s="1714">
        <f t="shared" si="27"/>
        <v>2.7859099166633334</v>
      </c>
      <c r="Q155" s="1714">
        <f t="shared" si="28"/>
        <v>0</v>
      </c>
      <c r="R155" s="1714">
        <f t="shared" si="24"/>
        <v>2.7859099166633334</v>
      </c>
    </row>
    <row r="156" spans="3:18">
      <c r="C156" s="1712">
        <f t="shared" si="20"/>
        <v>2010</v>
      </c>
      <c r="D156" s="1712">
        <f t="shared" si="21"/>
        <v>4</v>
      </c>
      <c r="E156" s="1723">
        <v>40269</v>
      </c>
      <c r="F156" s="1713">
        <v>31.0686</v>
      </c>
      <c r="G156" s="1713">
        <v>19.4328</v>
      </c>
      <c r="H156" s="1713">
        <v>2.2131295689145687</v>
      </c>
      <c r="I156" s="1713">
        <v>0</v>
      </c>
      <c r="J156" s="1713">
        <f t="shared" si="22"/>
        <v>2.2131295689145687</v>
      </c>
      <c r="K156">
        <f t="shared" si="23"/>
        <v>14038.310470560304</v>
      </c>
      <c r="L156">
        <f t="shared" si="23"/>
        <v>8780.6878878450989</v>
      </c>
      <c r="N156" s="1714">
        <f t="shared" si="25"/>
        <v>37.872450037049113</v>
      </c>
      <c r="O156" s="1714">
        <f t="shared" si="26"/>
        <v>23.688474764874115</v>
      </c>
      <c r="P156" s="1714">
        <f t="shared" si="27"/>
        <v>2.6977925952322614</v>
      </c>
      <c r="Q156" s="1714">
        <f t="shared" si="28"/>
        <v>0</v>
      </c>
      <c r="R156" s="1714">
        <f t="shared" si="24"/>
        <v>2.6977925952322614</v>
      </c>
    </row>
    <row r="157" spans="3:18">
      <c r="C157" s="1712">
        <f t="shared" si="20"/>
        <v>2010</v>
      </c>
      <c r="D157" s="1712">
        <f t="shared" si="21"/>
        <v>5</v>
      </c>
      <c r="E157" s="1723">
        <v>40299</v>
      </c>
      <c r="F157" s="1713">
        <v>33.803400000000003</v>
      </c>
      <c r="G157" s="1713">
        <v>19.534199999999998</v>
      </c>
      <c r="H157" s="1713">
        <v>2.192869228150319</v>
      </c>
      <c r="I157" s="1713">
        <v>0</v>
      </c>
      <c r="J157" s="1713">
        <f t="shared" si="22"/>
        <v>2.192869228150319</v>
      </c>
      <c r="K157">
        <f t="shared" si="23"/>
        <v>15415.146314271145</v>
      </c>
      <c r="L157">
        <f t="shared" si="23"/>
        <v>8908.0551403774589</v>
      </c>
      <c r="N157" s="1714">
        <f t="shared" si="25"/>
        <v>41.206155976850773</v>
      </c>
      <c r="O157" s="1714">
        <f t="shared" si="26"/>
        <v>23.812080799061583</v>
      </c>
      <c r="P157" s="1714">
        <f t="shared" si="27"/>
        <v>2.6730953528934487</v>
      </c>
      <c r="Q157" s="1714">
        <f t="shared" si="28"/>
        <v>0</v>
      </c>
      <c r="R157" s="1714">
        <f t="shared" si="24"/>
        <v>2.6730953528934487</v>
      </c>
    </row>
    <row r="158" spans="3:18">
      <c r="C158" s="1712">
        <f t="shared" si="20"/>
        <v>2010</v>
      </c>
      <c r="D158" s="1712">
        <f t="shared" si="21"/>
        <v>6</v>
      </c>
      <c r="E158" s="1723">
        <v>40330</v>
      </c>
      <c r="F158" s="1713">
        <v>30.225899999999999</v>
      </c>
      <c r="G158" s="1713">
        <v>17.941099999999999</v>
      </c>
      <c r="H158" s="1713">
        <v>2.215630845552131</v>
      </c>
      <c r="I158" s="1713">
        <v>0</v>
      </c>
      <c r="J158" s="1713">
        <f t="shared" si="22"/>
        <v>2.215630845552131</v>
      </c>
      <c r="K158">
        <f t="shared" si="23"/>
        <v>13642.11915566998</v>
      </c>
      <c r="L158">
        <f t="shared" si="23"/>
        <v>8097.5131917921599</v>
      </c>
      <c r="N158" s="1714">
        <f t="shared" si="25"/>
        <v>36.845203439319526</v>
      </c>
      <c r="O158" s="1714">
        <f t="shared" si="26"/>
        <v>21.870100788567935</v>
      </c>
      <c r="P158" s="1714">
        <f t="shared" si="27"/>
        <v>2.7008416374963131</v>
      </c>
      <c r="Q158" s="1714">
        <f t="shared" si="28"/>
        <v>0</v>
      </c>
      <c r="R158" s="1714">
        <f t="shared" si="24"/>
        <v>2.7008416374963131</v>
      </c>
    </row>
    <row r="159" spans="3:18">
      <c r="C159" s="1712">
        <f t="shared" si="20"/>
        <v>2010</v>
      </c>
      <c r="D159" s="1712">
        <f t="shared" si="21"/>
        <v>7</v>
      </c>
      <c r="E159" s="1723">
        <v>40360</v>
      </c>
      <c r="F159" s="1713">
        <v>50.019599999999997</v>
      </c>
      <c r="G159" s="1713">
        <v>23.115300000000001</v>
      </c>
      <c r="H159" s="1713">
        <v>2.2724098252247806</v>
      </c>
      <c r="I159" s="1713">
        <v>0</v>
      </c>
      <c r="J159" s="1713">
        <f t="shared" si="22"/>
        <v>2.2724098252247806</v>
      </c>
      <c r="K159">
        <f t="shared" si="23"/>
        <v>22011.698525837957</v>
      </c>
      <c r="L159">
        <f t="shared" si="23"/>
        <v>10172.152814782648</v>
      </c>
      <c r="N159" s="1714">
        <f t="shared" si="25"/>
        <v>60.973613290369748</v>
      </c>
      <c r="O159" s="1714">
        <f t="shared" si="26"/>
        <v>28.17742171650481</v>
      </c>
      <c r="P159" s="1714">
        <f t="shared" si="27"/>
        <v>2.7700548968902687</v>
      </c>
      <c r="Q159" s="1714">
        <f t="shared" si="28"/>
        <v>0</v>
      </c>
      <c r="R159" s="1714">
        <f t="shared" si="24"/>
        <v>2.7700548968902687</v>
      </c>
    </row>
    <row r="160" spans="3:18">
      <c r="C160" s="1712">
        <f t="shared" si="20"/>
        <v>2010</v>
      </c>
      <c r="D160" s="1712">
        <f t="shared" si="21"/>
        <v>8</v>
      </c>
      <c r="E160" s="1723">
        <v>40391</v>
      </c>
      <c r="F160" s="1713">
        <v>92.150599999999997</v>
      </c>
      <c r="G160" s="1713">
        <v>28.0639</v>
      </c>
      <c r="H160" s="1713">
        <v>2.3542015712730473</v>
      </c>
      <c r="I160" s="1713">
        <v>0</v>
      </c>
      <c r="J160" s="1713">
        <f t="shared" si="22"/>
        <v>2.3542015712730473</v>
      </c>
      <c r="K160">
        <f t="shared" si="23"/>
        <v>39143.037335655616</v>
      </c>
      <c r="L160">
        <f t="shared" si="23"/>
        <v>11920.771926434614</v>
      </c>
      <c r="N160" s="1714">
        <f t="shared" si="25"/>
        <v>112.33106719916886</v>
      </c>
      <c r="O160" s="1714">
        <f t="shared" si="26"/>
        <v>34.209737503290867</v>
      </c>
      <c r="P160" s="1714">
        <f t="shared" si="27"/>
        <v>2.869758578924734</v>
      </c>
      <c r="Q160" s="1714">
        <f t="shared" si="28"/>
        <v>0</v>
      </c>
      <c r="R160" s="1714">
        <f t="shared" si="24"/>
        <v>2.869758578924734</v>
      </c>
    </row>
    <row r="161" spans="3:18">
      <c r="C161" s="1712">
        <f t="shared" si="20"/>
        <v>2010</v>
      </c>
      <c r="D161" s="1712">
        <f t="shared" si="21"/>
        <v>9</v>
      </c>
      <c r="E161" s="1723">
        <v>40422</v>
      </c>
      <c r="F161" s="1713">
        <v>61.0961</v>
      </c>
      <c r="G161" s="1713">
        <v>26.517499999999998</v>
      </c>
      <c r="H161" s="1713">
        <v>2.4520014878017089</v>
      </c>
      <c r="I161" s="1713">
        <v>0</v>
      </c>
      <c r="J161" s="1713">
        <f t="shared" si="22"/>
        <v>2.4520014878017089</v>
      </c>
      <c r="K161">
        <f t="shared" si="23"/>
        <v>24916.828274347597</v>
      </c>
      <c r="L161">
        <f t="shared" si="23"/>
        <v>10814.634547295365</v>
      </c>
      <c r="N161" s="1714">
        <f t="shared" si="25"/>
        <v>74.475804983441677</v>
      </c>
      <c r="O161" s="1714">
        <f t="shared" si="26"/>
        <v>32.324684532210966</v>
      </c>
      <c r="P161" s="1714">
        <f t="shared" si="27"/>
        <v>2.9889761314491254</v>
      </c>
      <c r="Q161" s="1714">
        <f t="shared" si="28"/>
        <v>0</v>
      </c>
      <c r="R161" s="1714">
        <f t="shared" si="24"/>
        <v>2.9889761314491254</v>
      </c>
    </row>
    <row r="162" spans="3:18">
      <c r="C162" s="1712">
        <f t="shared" si="20"/>
        <v>2010</v>
      </c>
      <c r="D162" s="1712">
        <f t="shared" si="21"/>
        <v>10</v>
      </c>
      <c r="E162" s="1723">
        <v>40452</v>
      </c>
      <c r="F162" s="1713">
        <v>40.176099999999998</v>
      </c>
      <c r="G162" s="1713">
        <v>22.146699999999999</v>
      </c>
      <c r="H162" s="1713">
        <v>2.5568049789155434</v>
      </c>
      <c r="I162" s="1713">
        <v>0</v>
      </c>
      <c r="J162" s="1713">
        <f t="shared" si="22"/>
        <v>2.5568049789155434</v>
      </c>
      <c r="K162">
        <f t="shared" si="23"/>
        <v>15713.400251997515</v>
      </c>
      <c r="L162">
        <f t="shared" si="23"/>
        <v>8661.8651726004609</v>
      </c>
      <c r="N162" s="1714">
        <f t="shared" si="25"/>
        <v>48.974441717151358</v>
      </c>
      <c r="O162" s="1714">
        <f t="shared" si="26"/>
        <v>26.996703721297887</v>
      </c>
      <c r="P162" s="1714">
        <f t="shared" si="27"/>
        <v>3.1167310023128598</v>
      </c>
      <c r="Q162" s="1714">
        <f t="shared" si="28"/>
        <v>0</v>
      </c>
      <c r="R162" s="1714">
        <f t="shared" si="24"/>
        <v>3.1167310023128598</v>
      </c>
    </row>
    <row r="163" spans="3:18">
      <c r="C163" s="1712">
        <f t="shared" si="20"/>
        <v>2010</v>
      </c>
      <c r="D163" s="1712">
        <f t="shared" si="21"/>
        <v>11</v>
      </c>
      <c r="E163" s="1723">
        <v>40483</v>
      </c>
      <c r="F163" s="1713">
        <v>43.936599999999999</v>
      </c>
      <c r="G163" s="1713">
        <v>24.243099999999998</v>
      </c>
      <c r="H163" s="1713">
        <v>2.6596074487193273</v>
      </c>
      <c r="I163" s="1713">
        <v>0</v>
      </c>
      <c r="J163" s="1713">
        <f t="shared" si="22"/>
        <v>2.6596074487193273</v>
      </c>
      <c r="K163">
        <f t="shared" si="23"/>
        <v>16519.95674066737</v>
      </c>
      <c r="L163">
        <f t="shared" si="23"/>
        <v>9115.29256382317</v>
      </c>
      <c r="N163" s="1714">
        <f t="shared" si="25"/>
        <v>53.558470233541641</v>
      </c>
      <c r="O163" s="1714">
        <f t="shared" si="26"/>
        <v>29.552203623374893</v>
      </c>
      <c r="P163" s="1714">
        <f t="shared" si="27"/>
        <v>3.242046639365352</v>
      </c>
      <c r="Q163" s="1714">
        <f t="shared" si="28"/>
        <v>0</v>
      </c>
      <c r="R163" s="1714">
        <f t="shared" si="24"/>
        <v>3.242046639365352</v>
      </c>
    </row>
    <row r="164" spans="3:18">
      <c r="C164" s="1712">
        <f t="shared" si="20"/>
        <v>2010</v>
      </c>
      <c r="D164" s="1712">
        <f t="shared" si="21"/>
        <v>12</v>
      </c>
      <c r="E164" s="1723">
        <v>40513</v>
      </c>
      <c r="F164" s="1713">
        <v>43.379100000000001</v>
      </c>
      <c r="G164" s="1713">
        <v>25.108599999999999</v>
      </c>
      <c r="H164" s="1713">
        <v>2.7682279368534872</v>
      </c>
      <c r="I164" s="1713">
        <v>0</v>
      </c>
      <c r="J164" s="1713">
        <f t="shared" si="22"/>
        <v>2.7682279368534872</v>
      </c>
      <c r="K164">
        <f t="shared" si="23"/>
        <v>15670.349765094474</v>
      </c>
      <c r="L164">
        <f t="shared" si="23"/>
        <v>9070.2791001162095</v>
      </c>
      <c r="N164" s="1714">
        <f t="shared" si="25"/>
        <v>52.878880844394573</v>
      </c>
      <c r="O164" s="1714">
        <f t="shared" si="26"/>
        <v>30.607243293880359</v>
      </c>
      <c r="P164" s="1714">
        <f t="shared" si="27"/>
        <v>3.3744544082979999</v>
      </c>
      <c r="Q164" s="1714">
        <f t="shared" si="28"/>
        <v>0</v>
      </c>
      <c r="R164" s="1714">
        <f t="shared" si="24"/>
        <v>3.3744544082979999</v>
      </c>
    </row>
    <row r="165" spans="3:18">
      <c r="C165" s="1712">
        <f t="shared" si="20"/>
        <v>2011</v>
      </c>
      <c r="D165" s="1712">
        <f t="shared" si="21"/>
        <v>1</v>
      </c>
      <c r="E165" s="1723">
        <v>40544</v>
      </c>
      <c r="F165" s="1713">
        <v>43.067700000000002</v>
      </c>
      <c r="G165" s="1713">
        <v>23.9099</v>
      </c>
      <c r="H165" s="1713">
        <v>2.6409927781685507</v>
      </c>
      <c r="I165" s="1713">
        <v>0</v>
      </c>
      <c r="J165" s="1713">
        <f t="shared" si="22"/>
        <v>2.6409927781685507</v>
      </c>
      <c r="K165">
        <f t="shared" si="23"/>
        <v>16307.390295048879</v>
      </c>
      <c r="L165">
        <f t="shared" si="23"/>
        <v>9053.3757599219189</v>
      </c>
      <c r="N165" s="1714">
        <f t="shared" si="25"/>
        <v>53.549271701648358</v>
      </c>
      <c r="O165" s="1714">
        <f t="shared" si="26"/>
        <v>29.728955376285292</v>
      </c>
      <c r="P165" s="1714">
        <f t="shared" si="27"/>
        <v>3.2837425690305926</v>
      </c>
      <c r="Q165" s="1714">
        <f t="shared" si="28"/>
        <v>0</v>
      </c>
      <c r="R165" s="1714">
        <f t="shared" si="24"/>
        <v>3.2837425690305926</v>
      </c>
    </row>
    <row r="166" spans="3:18">
      <c r="C166" s="1712">
        <f t="shared" si="20"/>
        <v>2011</v>
      </c>
      <c r="D166" s="1712">
        <f t="shared" si="21"/>
        <v>2</v>
      </c>
      <c r="E166" s="1723">
        <v>40575</v>
      </c>
      <c r="F166" s="1713">
        <v>37.019199999999998</v>
      </c>
      <c r="G166" s="1713">
        <v>22.5625</v>
      </c>
      <c r="H166" s="1713">
        <v>2.4351701730475743</v>
      </c>
      <c r="I166" s="1713">
        <v>0</v>
      </c>
      <c r="J166" s="1713">
        <f t="shared" si="22"/>
        <v>2.4351701730475743</v>
      </c>
      <c r="K166">
        <f t="shared" si="23"/>
        <v>15201.894475272376</v>
      </c>
      <c r="L166">
        <f t="shared" si="23"/>
        <v>9265.266242877562</v>
      </c>
      <c r="N166" s="1714">
        <f t="shared" si="25"/>
        <v>46.028722197323297</v>
      </c>
      <c r="O166" s="1714">
        <f t="shared" si="26"/>
        <v>28.053632833154335</v>
      </c>
      <c r="P166" s="1714">
        <f t="shared" si="27"/>
        <v>3.0278280297363129</v>
      </c>
      <c r="Q166" s="1714">
        <f t="shared" si="28"/>
        <v>0</v>
      </c>
      <c r="R166" s="1714">
        <f t="shared" si="24"/>
        <v>3.0278280297363129</v>
      </c>
    </row>
    <row r="167" spans="3:18">
      <c r="C167" s="1712">
        <f t="shared" si="20"/>
        <v>2011</v>
      </c>
      <c r="D167" s="1712">
        <f t="shared" si="21"/>
        <v>3</v>
      </c>
      <c r="E167" s="1723">
        <v>40603</v>
      </c>
      <c r="F167" s="1713">
        <v>31.869399999999999</v>
      </c>
      <c r="G167" s="1713">
        <v>19.5928</v>
      </c>
      <c r="H167" s="1713">
        <v>2.300946212113308</v>
      </c>
      <c r="I167" s="1713">
        <v>0</v>
      </c>
      <c r="J167" s="1713">
        <f t="shared" si="22"/>
        <v>2.300946212113308</v>
      </c>
      <c r="K167">
        <f t="shared" si="23"/>
        <v>13850.562795524671</v>
      </c>
      <c r="L167">
        <f t="shared" si="23"/>
        <v>8515.1056104023228</v>
      </c>
      <c r="N167" s="1714">
        <f t="shared" si="25"/>
        <v>39.625593183952525</v>
      </c>
      <c r="O167" s="1714">
        <f t="shared" si="26"/>
        <v>24.361184149514738</v>
      </c>
      <c r="P167" s="1714">
        <f t="shared" si="27"/>
        <v>2.8609374051396785</v>
      </c>
      <c r="Q167" s="1714">
        <f t="shared" si="28"/>
        <v>0</v>
      </c>
      <c r="R167" s="1714">
        <f t="shared" si="24"/>
        <v>2.8609374051396785</v>
      </c>
    </row>
    <row r="168" spans="3:18">
      <c r="C168" s="1712">
        <f t="shared" si="20"/>
        <v>2011</v>
      </c>
      <c r="D168" s="1712">
        <f t="shared" si="21"/>
        <v>4</v>
      </c>
      <c r="E168" s="1723">
        <v>40634</v>
      </c>
      <c r="F168" s="1713">
        <v>30.461500000000001</v>
      </c>
      <c r="G168" s="1713">
        <v>19.8263</v>
      </c>
      <c r="H168" s="1713">
        <v>2.2281681169725891</v>
      </c>
      <c r="I168" s="1713">
        <v>0</v>
      </c>
      <c r="J168" s="1713">
        <f t="shared" si="22"/>
        <v>2.2281681169725891</v>
      </c>
      <c r="K168">
        <f t="shared" si="23"/>
        <v>13671.095896205547</v>
      </c>
      <c r="L168">
        <f t="shared" si="23"/>
        <v>8898.0269706659219</v>
      </c>
      <c r="N168" s="1714">
        <f t="shared" si="25"/>
        <v>37.875046495163694</v>
      </c>
      <c r="O168" s="1714">
        <f t="shared" si="26"/>
        <v>24.651512050524889</v>
      </c>
      <c r="P168" s="1714">
        <f t="shared" si="27"/>
        <v>2.7704469914278071</v>
      </c>
      <c r="Q168" s="1714">
        <f t="shared" si="28"/>
        <v>0</v>
      </c>
      <c r="R168" s="1714">
        <f t="shared" si="24"/>
        <v>2.7704469914278071</v>
      </c>
    </row>
    <row r="169" spans="3:18">
      <c r="C169" s="1712">
        <f t="shared" si="20"/>
        <v>2011</v>
      </c>
      <c r="D169" s="1712">
        <f t="shared" si="21"/>
        <v>5</v>
      </c>
      <c r="E169" s="1723">
        <v>40664</v>
      </c>
      <c r="F169" s="1713">
        <v>32.385399999999997</v>
      </c>
      <c r="G169" s="1713">
        <v>19.814399999999999</v>
      </c>
      <c r="H169" s="1713">
        <v>2.2077701041476816</v>
      </c>
      <c r="I169" s="1713">
        <v>0</v>
      </c>
      <c r="J169" s="1713">
        <f t="shared" si="22"/>
        <v>2.2077701041476816</v>
      </c>
      <c r="K169">
        <f t="shared" si="23"/>
        <v>14668.82803565388</v>
      </c>
      <c r="L169">
        <f t="shared" si="23"/>
        <v>8974.8475000975814</v>
      </c>
      <c r="N169" s="1714">
        <f t="shared" si="25"/>
        <v>40.267174327084163</v>
      </c>
      <c r="O169" s="1714">
        <f t="shared" si="26"/>
        <v>24.636715896254991</v>
      </c>
      <c r="P169" s="1714">
        <f t="shared" si="27"/>
        <v>2.7450846263390125</v>
      </c>
      <c r="Q169" s="1714">
        <f t="shared" si="28"/>
        <v>0</v>
      </c>
      <c r="R169" s="1714">
        <f t="shared" si="24"/>
        <v>2.7450846263390125</v>
      </c>
    </row>
    <row r="170" spans="3:18">
      <c r="C170" s="1712">
        <f t="shared" si="20"/>
        <v>2011</v>
      </c>
      <c r="D170" s="1712">
        <f t="shared" si="21"/>
        <v>6</v>
      </c>
      <c r="E170" s="1723">
        <v>40695</v>
      </c>
      <c r="F170" s="1713">
        <v>30.122</v>
      </c>
      <c r="G170" s="1713">
        <v>18.410699999999999</v>
      </c>
      <c r="H170" s="1713">
        <v>2.2306863901608498</v>
      </c>
      <c r="I170" s="1713">
        <v>0</v>
      </c>
      <c r="J170" s="1713">
        <f t="shared" si="22"/>
        <v>2.2306863901608498</v>
      </c>
      <c r="K170">
        <f t="shared" si="23"/>
        <v>13503.46697449836</v>
      </c>
      <c r="L170">
        <f t="shared" si="23"/>
        <v>8253.378906692682</v>
      </c>
      <c r="N170" s="1714">
        <f t="shared" si="25"/>
        <v>37.452920917463707</v>
      </c>
      <c r="O170" s="1714">
        <f t="shared" si="26"/>
        <v>22.891391379561419</v>
      </c>
      <c r="P170" s="1714">
        <f t="shared" si="27"/>
        <v>2.7735781476116097</v>
      </c>
      <c r="Q170" s="1714">
        <f t="shared" si="28"/>
        <v>0</v>
      </c>
      <c r="R170" s="1714">
        <f t="shared" si="24"/>
        <v>2.7735781476116097</v>
      </c>
    </row>
    <row r="171" spans="3:18">
      <c r="C171" s="1712">
        <f t="shared" si="20"/>
        <v>2011</v>
      </c>
      <c r="D171" s="1712">
        <f t="shared" si="21"/>
        <v>7</v>
      </c>
      <c r="E171" s="1723">
        <v>40725</v>
      </c>
      <c r="F171" s="1713">
        <v>56.064900000000002</v>
      </c>
      <c r="G171" s="1713">
        <v>22.9221</v>
      </c>
      <c r="H171" s="1713">
        <v>2.2878511915343553</v>
      </c>
      <c r="I171" s="1713">
        <v>0</v>
      </c>
      <c r="J171" s="1713">
        <f t="shared" si="22"/>
        <v>2.2878511915343553</v>
      </c>
      <c r="K171">
        <f t="shared" si="23"/>
        <v>24505.483664083888</v>
      </c>
      <c r="L171">
        <f t="shared" si="23"/>
        <v>10019.051975415943</v>
      </c>
      <c r="N171" s="1714">
        <f t="shared" si="25"/>
        <v>69.709656262715328</v>
      </c>
      <c r="O171" s="1714">
        <f t="shared" si="26"/>
        <v>28.500750234453054</v>
      </c>
      <c r="P171" s="1714">
        <f t="shared" si="27"/>
        <v>2.8446553929839098</v>
      </c>
      <c r="Q171" s="1714">
        <f t="shared" si="28"/>
        <v>0</v>
      </c>
      <c r="R171" s="1714">
        <f t="shared" si="24"/>
        <v>2.8446553929839098</v>
      </c>
    </row>
    <row r="172" spans="3:18">
      <c r="C172" s="1712">
        <f t="shared" si="20"/>
        <v>2011</v>
      </c>
      <c r="D172" s="1712">
        <f t="shared" si="21"/>
        <v>8</v>
      </c>
      <c r="E172" s="1723">
        <v>40756</v>
      </c>
      <c r="F172" s="1713">
        <v>88.073499999999996</v>
      </c>
      <c r="G172" s="1713">
        <v>27.703600000000002</v>
      </c>
      <c r="H172" s="1713">
        <v>2.3701987247904626</v>
      </c>
      <c r="I172" s="1713">
        <v>0</v>
      </c>
      <c r="J172" s="1713">
        <f t="shared" si="22"/>
        <v>2.3701987247904626</v>
      </c>
      <c r="K172">
        <f t="shared" si="23"/>
        <v>37158.698584561142</v>
      </c>
      <c r="L172">
        <f t="shared" si="23"/>
        <v>11688.302634813517</v>
      </c>
      <c r="N172" s="1714">
        <f t="shared" si="25"/>
        <v>109.50832715039638</v>
      </c>
      <c r="O172" s="1714">
        <f t="shared" si="26"/>
        <v>34.445944490042081</v>
      </c>
      <c r="P172" s="1714">
        <f t="shared" si="27"/>
        <v>2.9470442001942274</v>
      </c>
      <c r="Q172" s="1714">
        <f t="shared" si="28"/>
        <v>0</v>
      </c>
      <c r="R172" s="1714">
        <f t="shared" si="24"/>
        <v>2.9470442001942274</v>
      </c>
    </row>
    <row r="173" spans="3:18">
      <c r="C173" s="1712">
        <f t="shared" si="20"/>
        <v>2011</v>
      </c>
      <c r="D173" s="1712">
        <f t="shared" si="21"/>
        <v>9</v>
      </c>
      <c r="E173" s="1723">
        <v>40787</v>
      </c>
      <c r="F173" s="1713">
        <v>54.4758</v>
      </c>
      <c r="G173" s="1713">
        <v>25.303000000000001</v>
      </c>
      <c r="H173" s="1713">
        <v>2.4686632064514344</v>
      </c>
      <c r="I173" s="1713">
        <v>0</v>
      </c>
      <c r="J173" s="1713">
        <f t="shared" si="22"/>
        <v>2.4686632064514344</v>
      </c>
      <c r="K173">
        <f t="shared" si="23"/>
        <v>22066.92263960377</v>
      </c>
      <c r="L173">
        <f t="shared" si="23"/>
        <v>10249.676802358006</v>
      </c>
      <c r="N173" s="1714">
        <f t="shared" si="25"/>
        <v>67.733810149245386</v>
      </c>
      <c r="O173" s="1714">
        <f t="shared" si="26"/>
        <v>31.46110012530988</v>
      </c>
      <c r="P173" s="1714">
        <f t="shared" si="27"/>
        <v>3.0694724069808763</v>
      </c>
      <c r="Q173" s="1714">
        <f t="shared" si="28"/>
        <v>0</v>
      </c>
      <c r="R173" s="1714">
        <f t="shared" si="24"/>
        <v>3.0694724069808763</v>
      </c>
    </row>
    <row r="174" spans="3:18">
      <c r="C174" s="1712">
        <f t="shared" si="20"/>
        <v>2011</v>
      </c>
      <c r="D174" s="1712">
        <f t="shared" si="21"/>
        <v>10</v>
      </c>
      <c r="E174" s="1723">
        <v>40817</v>
      </c>
      <c r="F174" s="1713">
        <v>41.2562</v>
      </c>
      <c r="G174" s="1713">
        <v>22.203600000000002</v>
      </c>
      <c r="H174" s="1713">
        <v>2.5741788530395358</v>
      </c>
      <c r="I174" s="1713">
        <v>0</v>
      </c>
      <c r="J174" s="1713">
        <f t="shared" si="22"/>
        <v>2.5741788530395358</v>
      </c>
      <c r="K174">
        <f t="shared" si="23"/>
        <v>16026.936104803113</v>
      </c>
      <c r="L174">
        <f t="shared" si="23"/>
        <v>8625.5078872171071</v>
      </c>
      <c r="N174" s="1714">
        <f t="shared" si="25"/>
        <v>51.296899141991439</v>
      </c>
      <c r="O174" s="1714">
        <f t="shared" si="26"/>
        <v>27.607385793871497</v>
      </c>
      <c r="P174" s="1714">
        <f t="shared" si="27"/>
        <v>3.2006678510821716</v>
      </c>
      <c r="Q174" s="1714">
        <f t="shared" si="28"/>
        <v>0</v>
      </c>
      <c r="R174" s="1714">
        <f t="shared" si="24"/>
        <v>3.2006678510821716</v>
      </c>
    </row>
    <row r="175" spans="3:18">
      <c r="C175" s="1712">
        <f t="shared" si="20"/>
        <v>2011</v>
      </c>
      <c r="D175" s="1712">
        <f t="shared" si="21"/>
        <v>11</v>
      </c>
      <c r="E175" s="1723">
        <v>40848</v>
      </c>
      <c r="F175" s="1713">
        <v>44.222799999999999</v>
      </c>
      <c r="G175" s="1713">
        <v>23.626899999999999</v>
      </c>
      <c r="H175" s="1713">
        <v>2.6776798810770273</v>
      </c>
      <c r="I175" s="1713">
        <v>0</v>
      </c>
      <c r="J175" s="1713">
        <f t="shared" si="22"/>
        <v>2.6776798810770273</v>
      </c>
      <c r="K175">
        <f t="shared" si="23"/>
        <v>16515.342372521591</v>
      </c>
      <c r="L175">
        <f t="shared" si="23"/>
        <v>8823.6462345516429</v>
      </c>
      <c r="N175" s="1714">
        <f t="shared" si="25"/>
        <v>54.985493365275019</v>
      </c>
      <c r="O175" s="1714">
        <f t="shared" si="26"/>
        <v>29.377080447009604</v>
      </c>
      <c r="P175" s="1714">
        <f t="shared" si="27"/>
        <v>3.3293583702364229</v>
      </c>
      <c r="Q175" s="1714">
        <f t="shared" si="28"/>
        <v>0</v>
      </c>
      <c r="R175" s="1714">
        <f t="shared" si="24"/>
        <v>3.3293583702364229</v>
      </c>
    </row>
    <row r="176" spans="3:18">
      <c r="C176" s="1712">
        <f t="shared" si="20"/>
        <v>2011</v>
      </c>
      <c r="D176" s="1712">
        <f t="shared" si="21"/>
        <v>12</v>
      </c>
      <c r="E176" s="1723">
        <v>40878</v>
      </c>
      <c r="F176" s="1713">
        <v>42.423900000000003</v>
      </c>
      <c r="G176" s="1713">
        <v>25.524799999999999</v>
      </c>
      <c r="H176" s="1713">
        <v>2.7870384617539083</v>
      </c>
      <c r="I176" s="1713">
        <v>0</v>
      </c>
      <c r="J176" s="1713">
        <f t="shared" si="22"/>
        <v>2.7870384617539083</v>
      </c>
      <c r="K176">
        <f t="shared" si="23"/>
        <v>15221.856670504025</v>
      </c>
      <c r="L176">
        <f t="shared" si="23"/>
        <v>9158.3953182824098</v>
      </c>
      <c r="N176" s="1714">
        <f t="shared" si="25"/>
        <v>52.748787321903883</v>
      </c>
      <c r="O176" s="1714">
        <f t="shared" si="26"/>
        <v>31.736880546911813</v>
      </c>
      <c r="P176" s="1714">
        <f t="shared" si="27"/>
        <v>3.4653320198525606</v>
      </c>
      <c r="Q176" s="1714">
        <f t="shared" si="28"/>
        <v>0</v>
      </c>
      <c r="R176" s="1714">
        <f t="shared" si="24"/>
        <v>3.4653320198525606</v>
      </c>
    </row>
    <row r="177" spans="3:18">
      <c r="C177" s="1712">
        <f t="shared" si="20"/>
        <v>2012</v>
      </c>
      <c r="D177" s="1712">
        <f t="shared" si="21"/>
        <v>1</v>
      </c>
      <c r="E177" s="1723">
        <v>40909</v>
      </c>
      <c r="F177" s="1713">
        <v>42.559899999999999</v>
      </c>
      <c r="G177" s="1713">
        <v>25.339200000000002</v>
      </c>
      <c r="H177" s="1713">
        <v>2.6517960725335525</v>
      </c>
      <c r="I177" s="1713">
        <v>0</v>
      </c>
      <c r="J177" s="1713">
        <f t="shared" si="22"/>
        <v>2.6517960725335525</v>
      </c>
      <c r="K177">
        <f t="shared" si="23"/>
        <v>16049.461887669906</v>
      </c>
      <c r="L177">
        <f t="shared" si="23"/>
        <v>9555.4859072517884</v>
      </c>
      <c r="N177" s="1714">
        <f t="shared" si="25"/>
        <v>53.97624395240247</v>
      </c>
      <c r="O177" s="1714">
        <f t="shared" si="26"/>
        <v>32.136232480779249</v>
      </c>
      <c r="P177" s="1714">
        <f t="shared" si="27"/>
        <v>3.3631186098438621</v>
      </c>
      <c r="Q177" s="1714">
        <f t="shared" si="28"/>
        <v>0</v>
      </c>
      <c r="R177" s="1714">
        <f t="shared" si="24"/>
        <v>3.3631186098438621</v>
      </c>
    </row>
    <row r="178" spans="3:18">
      <c r="C178" s="1712">
        <f t="shared" si="20"/>
        <v>2012</v>
      </c>
      <c r="D178" s="1712">
        <f t="shared" si="21"/>
        <v>2</v>
      </c>
      <c r="E178" s="1723">
        <v>40940</v>
      </c>
      <c r="F178" s="1713">
        <v>34.197200000000002</v>
      </c>
      <c r="G178" s="1713">
        <v>21.6602</v>
      </c>
      <c r="H178" s="1713">
        <v>2.4451315256214157</v>
      </c>
      <c r="I178" s="1713">
        <v>0</v>
      </c>
      <c r="J178" s="1713">
        <f t="shared" si="22"/>
        <v>2.4451315256214157</v>
      </c>
      <c r="K178">
        <f t="shared" si="23"/>
        <v>13985.832517254459</v>
      </c>
      <c r="L178">
        <f t="shared" si="23"/>
        <v>8858.5009734783853</v>
      </c>
      <c r="N178" s="1714">
        <f t="shared" si="25"/>
        <v>43.370318297014279</v>
      </c>
      <c r="O178" s="1714">
        <f t="shared" si="26"/>
        <v>27.470370918583644</v>
      </c>
      <c r="P178" s="1714">
        <f t="shared" si="27"/>
        <v>3.1010179939955584</v>
      </c>
      <c r="Q178" s="1714">
        <f t="shared" si="28"/>
        <v>0</v>
      </c>
      <c r="R178" s="1714">
        <f t="shared" si="24"/>
        <v>3.1010179939955584</v>
      </c>
    </row>
    <row r="179" spans="3:18">
      <c r="C179" s="1712">
        <f t="shared" si="20"/>
        <v>2012</v>
      </c>
      <c r="D179" s="1712">
        <f t="shared" si="21"/>
        <v>3</v>
      </c>
      <c r="E179" s="1723">
        <v>40969</v>
      </c>
      <c r="F179" s="1713">
        <v>33.0259</v>
      </c>
      <c r="G179" s="1713">
        <v>20.2912</v>
      </c>
      <c r="H179" s="1713">
        <v>2.3103585056466263</v>
      </c>
      <c r="I179" s="1713">
        <v>0</v>
      </c>
      <c r="J179" s="1713">
        <f t="shared" si="22"/>
        <v>2.3103585056466263</v>
      </c>
      <c r="K179">
        <f t="shared" si="23"/>
        <v>14294.707907575004</v>
      </c>
      <c r="L179">
        <f t="shared" si="23"/>
        <v>8782.7062122208899</v>
      </c>
      <c r="N179" s="1714">
        <f t="shared" si="25"/>
        <v>41.884826683043165</v>
      </c>
      <c r="O179" s="1714">
        <f t="shared" si="26"/>
        <v>25.734147901827519</v>
      </c>
      <c r="P179" s="1714">
        <f t="shared" si="27"/>
        <v>2.9300932172841176</v>
      </c>
      <c r="Q179" s="1714">
        <f t="shared" si="28"/>
        <v>0</v>
      </c>
      <c r="R179" s="1714">
        <f t="shared" si="24"/>
        <v>2.9300932172841176</v>
      </c>
    </row>
    <row r="180" spans="3:18">
      <c r="C180" s="1712">
        <f t="shared" si="20"/>
        <v>2012</v>
      </c>
      <c r="D180" s="1712">
        <f t="shared" si="21"/>
        <v>4</v>
      </c>
      <c r="E180" s="1723">
        <v>41000</v>
      </c>
      <c r="F180" s="1713">
        <v>30.2226</v>
      </c>
      <c r="G180" s="1713">
        <v>20.077200000000001</v>
      </c>
      <c r="H180" s="1713">
        <v>2.2372827030711777</v>
      </c>
      <c r="I180" s="1713">
        <v>0</v>
      </c>
      <c r="J180" s="1713">
        <f t="shared" si="22"/>
        <v>2.2372827030711777</v>
      </c>
      <c r="K180">
        <f t="shared" si="23"/>
        <v>13508.619164897056</v>
      </c>
      <c r="L180">
        <f t="shared" si="23"/>
        <v>8973.9217902321834</v>
      </c>
      <c r="N180" s="1714">
        <f t="shared" si="25"/>
        <v>38.329564460345978</v>
      </c>
      <c r="O180" s="1714">
        <f t="shared" si="26"/>
        <v>25.462744157791136</v>
      </c>
      <c r="P180" s="1714">
        <f t="shared" si="27"/>
        <v>2.8374154302867325</v>
      </c>
      <c r="Q180" s="1714">
        <f t="shared" si="28"/>
        <v>0</v>
      </c>
      <c r="R180" s="1714">
        <f t="shared" si="24"/>
        <v>2.8374154302867325</v>
      </c>
    </row>
    <row r="181" spans="3:18">
      <c r="C181" s="1712">
        <f t="shared" si="20"/>
        <v>2012</v>
      </c>
      <c r="D181" s="1712">
        <f t="shared" si="21"/>
        <v>5</v>
      </c>
      <c r="E181" s="1723">
        <v>41030</v>
      </c>
      <c r="F181" s="1713">
        <v>34.996400000000001</v>
      </c>
      <c r="G181" s="1713">
        <v>19.900300000000001</v>
      </c>
      <c r="H181" s="1713">
        <v>2.2168012497541834</v>
      </c>
      <c r="I181" s="1713">
        <v>0</v>
      </c>
      <c r="J181" s="1713">
        <f t="shared" si="22"/>
        <v>2.2168012497541834</v>
      </c>
      <c r="K181">
        <f t="shared" si="23"/>
        <v>15786.891135991864</v>
      </c>
      <c r="L181">
        <f t="shared" si="23"/>
        <v>8977.033914161997</v>
      </c>
      <c r="N181" s="1714">
        <f t="shared" si="25"/>
        <v>44.383897139228658</v>
      </c>
      <c r="O181" s="1714">
        <f t="shared" si="26"/>
        <v>25.238392184333023</v>
      </c>
      <c r="P181" s="1714">
        <f t="shared" si="27"/>
        <v>2.8114399951767388</v>
      </c>
      <c r="Q181" s="1714">
        <f t="shared" si="28"/>
        <v>0</v>
      </c>
      <c r="R181" s="1714">
        <f t="shared" si="24"/>
        <v>2.8114399951767388</v>
      </c>
    </row>
    <row r="182" spans="3:18">
      <c r="C182" s="1712">
        <f t="shared" si="20"/>
        <v>2012</v>
      </c>
      <c r="D182" s="1712">
        <f t="shared" si="21"/>
        <v>6</v>
      </c>
      <c r="E182" s="1723">
        <v>41061</v>
      </c>
      <c r="F182" s="1713">
        <v>32.4771</v>
      </c>
      <c r="G182" s="1713">
        <v>18.697800000000001</v>
      </c>
      <c r="H182" s="1713">
        <v>2.2398112775547574</v>
      </c>
      <c r="I182" s="1713">
        <v>0</v>
      </c>
      <c r="J182" s="1713">
        <f t="shared" si="22"/>
        <v>2.2398112775547574</v>
      </c>
      <c r="K182">
        <f t="shared" si="23"/>
        <v>14499.926991820417</v>
      </c>
      <c r="L182">
        <f t="shared" si="23"/>
        <v>8347.9354655329407</v>
      </c>
      <c r="N182" s="1714">
        <f t="shared" si="25"/>
        <v>41.188815586187239</v>
      </c>
      <c r="O182" s="1714">
        <f t="shared" si="26"/>
        <v>23.71333142637156</v>
      </c>
      <c r="P182" s="1714">
        <f t="shared" si="27"/>
        <v>2.8406222741274725</v>
      </c>
      <c r="Q182" s="1714">
        <f t="shared" si="28"/>
        <v>0</v>
      </c>
      <c r="R182" s="1714">
        <f t="shared" si="24"/>
        <v>2.8406222741274725</v>
      </c>
    </row>
    <row r="183" spans="3:18">
      <c r="C183" s="1712">
        <f t="shared" si="20"/>
        <v>2012</v>
      </c>
      <c r="D183" s="1712">
        <f t="shared" si="21"/>
        <v>7</v>
      </c>
      <c r="E183" s="1723">
        <v>41091</v>
      </c>
      <c r="F183" s="1713">
        <v>50.7119</v>
      </c>
      <c r="G183" s="1713">
        <v>23.609500000000001</v>
      </c>
      <c r="H183" s="1713">
        <v>2.2972099183320127</v>
      </c>
      <c r="I183" s="1713">
        <v>0</v>
      </c>
      <c r="J183" s="1713">
        <f t="shared" si="22"/>
        <v>2.2972099183320127</v>
      </c>
      <c r="K183">
        <f t="shared" si="23"/>
        <v>22075.431415872321</v>
      </c>
      <c r="L183">
        <f t="shared" si="23"/>
        <v>10277.467379708462</v>
      </c>
      <c r="N183" s="1714">
        <f t="shared" si="25"/>
        <v>64.314951061676339</v>
      </c>
      <c r="O183" s="1714">
        <f t="shared" si="26"/>
        <v>29.942554648724414</v>
      </c>
      <c r="P183" s="1714">
        <f t="shared" si="27"/>
        <v>2.9134176293122698</v>
      </c>
      <c r="Q183" s="1714">
        <f t="shared" si="28"/>
        <v>0</v>
      </c>
      <c r="R183" s="1714">
        <f t="shared" si="24"/>
        <v>2.9134176293122698</v>
      </c>
    </row>
    <row r="184" spans="3:18">
      <c r="C184" s="1712">
        <f t="shared" si="20"/>
        <v>2012</v>
      </c>
      <c r="D184" s="1712">
        <f t="shared" si="21"/>
        <v>8</v>
      </c>
      <c r="E184" s="1723">
        <v>41122</v>
      </c>
      <c r="F184" s="1713">
        <v>89.446700000000007</v>
      </c>
      <c r="G184" s="1713">
        <v>27.807700000000001</v>
      </c>
      <c r="H184" s="1713">
        <v>2.379894303945064</v>
      </c>
      <c r="I184" s="1713">
        <v>0</v>
      </c>
      <c r="J184" s="1713">
        <f t="shared" si="22"/>
        <v>2.379894303945064</v>
      </c>
      <c r="K184">
        <f t="shared" si="23"/>
        <v>37584.316182331073</v>
      </c>
      <c r="L184">
        <f t="shared" si="23"/>
        <v>11684.426469656315</v>
      </c>
      <c r="N184" s="1714">
        <f t="shared" si="25"/>
        <v>113.44004332569763</v>
      </c>
      <c r="O184" s="1714">
        <f t="shared" si="26"/>
        <v>35.266887350656887</v>
      </c>
      <c r="P184" s="1714">
        <f t="shared" si="27"/>
        <v>3.0182814229044674</v>
      </c>
      <c r="Q184" s="1714">
        <f t="shared" si="28"/>
        <v>0</v>
      </c>
      <c r="R184" s="1714">
        <f t="shared" si="24"/>
        <v>3.0182814229044674</v>
      </c>
    </row>
    <row r="185" spans="3:18">
      <c r="C185" s="1712">
        <f t="shared" si="20"/>
        <v>2012</v>
      </c>
      <c r="D185" s="1712">
        <f t="shared" si="21"/>
        <v>9</v>
      </c>
      <c r="E185" s="1723">
        <v>41153</v>
      </c>
      <c r="F185" s="1713">
        <v>55.716099999999997</v>
      </c>
      <c r="G185" s="1713">
        <v>25.994800000000001</v>
      </c>
      <c r="H185" s="1713">
        <v>2.478761566253024</v>
      </c>
      <c r="I185" s="1713">
        <v>0</v>
      </c>
      <c r="J185" s="1713">
        <f t="shared" si="22"/>
        <v>2.478761566253024</v>
      </c>
      <c r="K185">
        <f t="shared" si="23"/>
        <v>22477.393856086874</v>
      </c>
      <c r="L185">
        <f t="shared" si="23"/>
        <v>10487.01107597637</v>
      </c>
      <c r="N185" s="1714">
        <f t="shared" si="25"/>
        <v>70.66148665002622</v>
      </c>
      <c r="O185" s="1714">
        <f t="shared" si="26"/>
        <v>32.967691801294457</v>
      </c>
      <c r="P185" s="1714">
        <f t="shared" si="27"/>
        <v>3.1436690170774004</v>
      </c>
      <c r="Q185" s="1714">
        <f t="shared" si="28"/>
        <v>0</v>
      </c>
      <c r="R185" s="1714">
        <f t="shared" si="24"/>
        <v>3.1436690170774004</v>
      </c>
    </row>
    <row r="186" spans="3:18">
      <c r="C186" s="1712">
        <f t="shared" ref="C186:C249" si="29">C174+1</f>
        <v>2012</v>
      </c>
      <c r="D186" s="1712">
        <f t="shared" ref="D186:D249" si="30">D174</f>
        <v>10</v>
      </c>
      <c r="E186" s="1723">
        <v>41183</v>
      </c>
      <c r="F186" s="1713">
        <v>39.927199999999999</v>
      </c>
      <c r="G186" s="1713">
        <v>22.771699999999999</v>
      </c>
      <c r="H186" s="1713">
        <v>2.5847088371150071</v>
      </c>
      <c r="I186" s="1713">
        <v>0</v>
      </c>
      <c r="J186" s="1713">
        <f t="shared" si="22"/>
        <v>2.5847088371150071</v>
      </c>
      <c r="K186">
        <f t="shared" si="23"/>
        <v>15447.465272168074</v>
      </c>
      <c r="L186">
        <f t="shared" si="23"/>
        <v>8810.1606157764563</v>
      </c>
      <c r="N186" s="1714">
        <f t="shared" si="25"/>
        <v>50.637343779857659</v>
      </c>
      <c r="O186" s="1714">
        <f t="shared" si="26"/>
        <v>28.880021673239909</v>
      </c>
      <c r="P186" s="1714">
        <f t="shared" si="27"/>
        <v>3.2780357740044059</v>
      </c>
      <c r="Q186" s="1714">
        <f t="shared" si="28"/>
        <v>0</v>
      </c>
      <c r="R186" s="1714">
        <f t="shared" si="24"/>
        <v>3.2780357740044059</v>
      </c>
    </row>
    <row r="187" spans="3:18">
      <c r="C187" s="1712">
        <f t="shared" si="29"/>
        <v>2012</v>
      </c>
      <c r="D187" s="1712">
        <f t="shared" si="30"/>
        <v>11</v>
      </c>
      <c r="E187" s="1723">
        <v>41214</v>
      </c>
      <c r="F187" s="1713">
        <v>43.613100000000003</v>
      </c>
      <c r="G187" s="1713">
        <v>24.4741</v>
      </c>
      <c r="H187" s="1713">
        <v>2.6886332483901252</v>
      </c>
      <c r="I187" s="1713">
        <v>0</v>
      </c>
      <c r="J187" s="1713">
        <f t="shared" si="22"/>
        <v>2.6886332483901252</v>
      </c>
      <c r="K187">
        <f t="shared" si="23"/>
        <v>16221.290139186611</v>
      </c>
      <c r="L187">
        <f t="shared" si="23"/>
        <v>9102.8034465669025</v>
      </c>
      <c r="N187" s="1714">
        <f t="shared" si="25"/>
        <v>55.311956210435746</v>
      </c>
      <c r="O187" s="1714">
        <f t="shared" si="26"/>
        <v>31.039076504303189</v>
      </c>
      <c r="P187" s="1714">
        <f t="shared" si="27"/>
        <v>3.409837055858818</v>
      </c>
      <c r="Q187" s="1714">
        <f t="shared" si="28"/>
        <v>0</v>
      </c>
      <c r="R187" s="1714">
        <f t="shared" si="24"/>
        <v>3.409837055858818</v>
      </c>
    </row>
    <row r="188" spans="3:18">
      <c r="C188" s="1712">
        <f t="shared" si="29"/>
        <v>2012</v>
      </c>
      <c r="D188" s="1712">
        <f t="shared" si="30"/>
        <v>12</v>
      </c>
      <c r="E188" s="1723">
        <v>41244</v>
      </c>
      <c r="F188" s="1713">
        <v>41.083599999999997</v>
      </c>
      <c r="G188" s="1713">
        <v>25.724900000000002</v>
      </c>
      <c r="H188" s="1713">
        <v>2.7984391733188185</v>
      </c>
      <c r="I188" s="1713">
        <v>0</v>
      </c>
      <c r="J188" s="1713">
        <f t="shared" si="22"/>
        <v>2.7984391733188185</v>
      </c>
      <c r="K188">
        <f t="shared" si="23"/>
        <v>14680.897977595403</v>
      </c>
      <c r="L188">
        <f t="shared" si="23"/>
        <v>9192.5885848329763</v>
      </c>
      <c r="N188" s="1714">
        <f t="shared" si="25"/>
        <v>52.103938591089779</v>
      </c>
      <c r="O188" s="1714">
        <f t="shared" si="26"/>
        <v>32.625393340942026</v>
      </c>
      <c r="P188" s="1714">
        <f t="shared" si="27"/>
        <v>3.549097519143984</v>
      </c>
      <c r="Q188" s="1714">
        <f t="shared" si="28"/>
        <v>0</v>
      </c>
      <c r="R188" s="1714">
        <f t="shared" si="24"/>
        <v>3.549097519143984</v>
      </c>
    </row>
    <row r="189" spans="3:18">
      <c r="C189" s="1712">
        <f t="shared" si="29"/>
        <v>2013</v>
      </c>
      <c r="D189" s="1712">
        <f t="shared" si="30"/>
        <v>1</v>
      </c>
      <c r="E189" s="1723">
        <v>41275</v>
      </c>
      <c r="F189" s="1713">
        <v>41.207900000000002</v>
      </c>
      <c r="G189" s="1713">
        <v>25.036000000000001</v>
      </c>
      <c r="H189" s="1713">
        <v>2.6730577704781595</v>
      </c>
      <c r="I189" s="1713">
        <v>0</v>
      </c>
      <c r="J189" s="1713">
        <f t="shared" si="22"/>
        <v>2.6730577704781595</v>
      </c>
      <c r="K189">
        <f t="shared" si="23"/>
        <v>15416.015491737273</v>
      </c>
      <c r="L189">
        <f t="shared" si="23"/>
        <v>9366.0527192876689</v>
      </c>
      <c r="N189" s="1714">
        <f t="shared" si="25"/>
        <v>53.30681266707699</v>
      </c>
      <c r="O189" s="1714">
        <f t="shared" si="26"/>
        <v>32.386735600041241</v>
      </c>
      <c r="P189" s="1714">
        <f t="shared" si="27"/>
        <v>3.4578852554765884</v>
      </c>
      <c r="Q189" s="1714">
        <f t="shared" si="28"/>
        <v>0</v>
      </c>
      <c r="R189" s="1714">
        <f t="shared" si="24"/>
        <v>3.4578852554765884</v>
      </c>
    </row>
    <row r="190" spans="3:18">
      <c r="C190" s="1712">
        <f t="shared" si="29"/>
        <v>2013</v>
      </c>
      <c r="D190" s="1712">
        <f t="shared" si="30"/>
        <v>2</v>
      </c>
      <c r="E190" s="1723">
        <v>41306</v>
      </c>
      <c r="F190" s="1713">
        <v>39.218899999999998</v>
      </c>
      <c r="G190" s="1713">
        <v>22.332000000000001</v>
      </c>
      <c r="H190" s="1713">
        <v>2.4647362186334725</v>
      </c>
      <c r="I190" s="1713">
        <v>0</v>
      </c>
      <c r="J190" s="1713">
        <f t="shared" si="22"/>
        <v>2.4647362186334725</v>
      </c>
      <c r="K190">
        <f t="shared" si="23"/>
        <v>15912.007014586005</v>
      </c>
      <c r="L190">
        <f t="shared" si="23"/>
        <v>9060.6044700319144</v>
      </c>
      <c r="N190" s="1714">
        <f t="shared" si="25"/>
        <v>50.733829079104382</v>
      </c>
      <c r="O190" s="1714">
        <f t="shared" si="26"/>
        <v>28.888823271294175</v>
      </c>
      <c r="P190" s="1714">
        <f t="shared" si="27"/>
        <v>3.188399114743877</v>
      </c>
      <c r="Q190" s="1714">
        <f t="shared" si="28"/>
        <v>0</v>
      </c>
      <c r="R190" s="1714">
        <f t="shared" si="24"/>
        <v>3.188399114743877</v>
      </c>
    </row>
    <row r="191" spans="3:18">
      <c r="C191" s="1712">
        <f t="shared" si="29"/>
        <v>2013</v>
      </c>
      <c r="D191" s="1712">
        <f t="shared" si="30"/>
        <v>3</v>
      </c>
      <c r="E191" s="1723">
        <v>41334</v>
      </c>
      <c r="F191" s="1713">
        <v>32.791800000000002</v>
      </c>
      <c r="G191" s="1713">
        <v>19.778099999999998</v>
      </c>
      <c r="H191" s="1713">
        <v>2.3288826090645336</v>
      </c>
      <c r="I191" s="1713">
        <v>0</v>
      </c>
      <c r="J191" s="1713">
        <f t="shared" si="22"/>
        <v>2.3288826090645336</v>
      </c>
      <c r="K191">
        <f t="shared" si="23"/>
        <v>14080.486441165802</v>
      </c>
      <c r="L191">
        <f t="shared" si="23"/>
        <v>8492.527671003767</v>
      </c>
      <c r="N191" s="1714">
        <f t="shared" si="25"/>
        <v>42.41968990451479</v>
      </c>
      <c r="O191" s="1714">
        <f t="shared" si="26"/>
        <v>25.585081297778224</v>
      </c>
      <c r="P191" s="1714">
        <f t="shared" si="27"/>
        <v>3.0126579846344166</v>
      </c>
      <c r="Q191" s="1714">
        <f t="shared" si="28"/>
        <v>0</v>
      </c>
      <c r="R191" s="1714">
        <f t="shared" si="24"/>
        <v>3.0126579846344166</v>
      </c>
    </row>
    <row r="192" spans="3:18">
      <c r="C192" s="1712">
        <f t="shared" si="29"/>
        <v>2013</v>
      </c>
      <c r="D192" s="1712">
        <f t="shared" si="30"/>
        <v>4</v>
      </c>
      <c r="E192" s="1723">
        <v>41365</v>
      </c>
      <c r="F192" s="1713">
        <v>30.653500000000001</v>
      </c>
      <c r="G192" s="1713">
        <v>20.0806</v>
      </c>
      <c r="H192" s="1713">
        <v>2.2552208958085798</v>
      </c>
      <c r="I192" s="1713">
        <v>0</v>
      </c>
      <c r="J192" s="1713">
        <f t="shared" si="22"/>
        <v>2.2552208958085798</v>
      </c>
      <c r="K192">
        <f t="shared" si="23"/>
        <v>13592.238373177006</v>
      </c>
      <c r="L192">
        <f t="shared" si="23"/>
        <v>8904.0501696843166</v>
      </c>
      <c r="N192" s="1714">
        <f t="shared" si="25"/>
        <v>39.653570846615438</v>
      </c>
      <c r="O192" s="1714">
        <f t="shared" si="26"/>
        <v>25.976397303490497</v>
      </c>
      <c r="P192" s="1714">
        <f t="shared" si="27"/>
        <v>2.9173687039559284</v>
      </c>
      <c r="Q192" s="1714">
        <f t="shared" si="28"/>
        <v>0</v>
      </c>
      <c r="R192" s="1714">
        <f t="shared" si="24"/>
        <v>2.9173687039559284</v>
      </c>
    </row>
    <row r="193" spans="3:18">
      <c r="C193" s="1712">
        <f t="shared" si="29"/>
        <v>2013</v>
      </c>
      <c r="D193" s="1712">
        <f t="shared" si="30"/>
        <v>5</v>
      </c>
      <c r="E193" s="1723">
        <v>41395</v>
      </c>
      <c r="F193" s="1713">
        <v>35.197000000000003</v>
      </c>
      <c r="G193" s="1713">
        <v>20.090599999999998</v>
      </c>
      <c r="H193" s="1713">
        <v>2.2345752253112363</v>
      </c>
      <c r="I193" s="1713">
        <v>0</v>
      </c>
      <c r="J193" s="1713">
        <f t="shared" si="22"/>
        <v>2.2345752253112363</v>
      </c>
      <c r="K193">
        <f t="shared" si="23"/>
        <v>15751.092020228449</v>
      </c>
      <c r="L193">
        <f t="shared" si="23"/>
        <v>8990.7915260278332</v>
      </c>
      <c r="N193" s="1714">
        <f t="shared" si="25"/>
        <v>45.531072572082266</v>
      </c>
      <c r="O193" s="1714">
        <f t="shared" si="26"/>
        <v>25.989333369795034</v>
      </c>
      <c r="P193" s="1714">
        <f t="shared" si="27"/>
        <v>2.8906613277104007</v>
      </c>
      <c r="Q193" s="1714">
        <f t="shared" si="28"/>
        <v>0</v>
      </c>
      <c r="R193" s="1714">
        <f t="shared" si="24"/>
        <v>2.8906613277104007</v>
      </c>
    </row>
    <row r="194" spans="3:18">
      <c r="C194" s="1712">
        <f t="shared" si="29"/>
        <v>2013</v>
      </c>
      <c r="D194" s="1712">
        <f t="shared" si="30"/>
        <v>6</v>
      </c>
      <c r="E194" s="1723">
        <v>41426</v>
      </c>
      <c r="F194" s="1713">
        <v>31.465599999999998</v>
      </c>
      <c r="G194" s="1713">
        <v>18.768000000000001</v>
      </c>
      <c r="H194" s="1713">
        <v>2.2577697440181286</v>
      </c>
      <c r="I194" s="1713">
        <v>0</v>
      </c>
      <c r="J194" s="1713">
        <f t="shared" si="22"/>
        <v>2.2577697440181286</v>
      </c>
      <c r="K194">
        <f t="shared" si="23"/>
        <v>13936.58502305953</v>
      </c>
      <c r="L194">
        <f t="shared" si="23"/>
        <v>8312.6280036859716</v>
      </c>
      <c r="N194" s="1714">
        <f t="shared" si="25"/>
        <v>40.704108791206963</v>
      </c>
      <c r="O194" s="1714">
        <f t="shared" si="26"/>
        <v>24.278409240356847</v>
      </c>
      <c r="P194" s="1714">
        <f t="shared" si="27"/>
        <v>2.920665910899821</v>
      </c>
      <c r="Q194" s="1714">
        <f t="shared" si="28"/>
        <v>0</v>
      </c>
      <c r="R194" s="1714">
        <f t="shared" si="24"/>
        <v>2.920665910899821</v>
      </c>
    </row>
    <row r="195" spans="3:18">
      <c r="C195" s="1712">
        <f t="shared" si="29"/>
        <v>2013</v>
      </c>
      <c r="D195" s="1712">
        <f t="shared" si="30"/>
        <v>7</v>
      </c>
      <c r="E195" s="1723">
        <v>41456</v>
      </c>
      <c r="F195" s="1713">
        <v>50.943399999999997</v>
      </c>
      <c r="G195" s="1713">
        <v>24.0244</v>
      </c>
      <c r="H195" s="1713">
        <v>2.315628598374881</v>
      </c>
      <c r="I195" s="1713">
        <v>0</v>
      </c>
      <c r="J195" s="1713">
        <f t="shared" si="22"/>
        <v>2.315628598374881</v>
      </c>
      <c r="K195">
        <f t="shared" si="23"/>
        <v>21999.814666200058</v>
      </c>
      <c r="L195">
        <f t="shared" si="23"/>
        <v>10374.893459538562</v>
      </c>
      <c r="N195" s="1714">
        <f t="shared" si="25"/>
        <v>65.900720017859911</v>
      </c>
      <c r="O195" s="1714">
        <f t="shared" si="26"/>
        <v>31.078123132674179</v>
      </c>
      <c r="P195" s="1714">
        <f t="shared" si="27"/>
        <v>2.9955125085261765</v>
      </c>
      <c r="Q195" s="1714">
        <f t="shared" si="28"/>
        <v>0</v>
      </c>
      <c r="R195" s="1714">
        <f t="shared" si="24"/>
        <v>2.9955125085261765</v>
      </c>
    </row>
    <row r="196" spans="3:18">
      <c r="C196" s="1712">
        <f t="shared" si="29"/>
        <v>2013</v>
      </c>
      <c r="D196" s="1712">
        <f t="shared" si="30"/>
        <v>8</v>
      </c>
      <c r="E196" s="1723">
        <v>41487</v>
      </c>
      <c r="F196" s="1713">
        <v>89.730599999999995</v>
      </c>
      <c r="G196" s="1713">
        <v>27.456099999999999</v>
      </c>
      <c r="H196" s="1713">
        <v>2.3989759348271198</v>
      </c>
      <c r="I196" s="1713">
        <v>0</v>
      </c>
      <c r="J196" s="1713">
        <f t="shared" si="22"/>
        <v>2.3989759348271198</v>
      </c>
      <c r="K196">
        <f t="shared" si="23"/>
        <v>37403.709931949088</v>
      </c>
      <c r="L196">
        <f t="shared" si="23"/>
        <v>11444.925145519894</v>
      </c>
      <c r="N196" s="1714">
        <f t="shared" si="25"/>
        <v>116.07609911459738</v>
      </c>
      <c r="O196" s="1714">
        <f t="shared" si="26"/>
        <v>35.517393006402472</v>
      </c>
      <c r="P196" s="1714">
        <f t="shared" si="27"/>
        <v>3.1033311755914559</v>
      </c>
      <c r="Q196" s="1714">
        <f t="shared" si="28"/>
        <v>0</v>
      </c>
      <c r="R196" s="1714">
        <f t="shared" si="24"/>
        <v>3.1033311755914559</v>
      </c>
    </row>
    <row r="197" spans="3:18">
      <c r="C197" s="1712">
        <f t="shared" si="29"/>
        <v>2013</v>
      </c>
      <c r="D197" s="1712">
        <f t="shared" si="30"/>
        <v>9</v>
      </c>
      <c r="E197" s="1723">
        <v>41518</v>
      </c>
      <c r="F197" s="1713">
        <v>54.382399999999997</v>
      </c>
      <c r="G197" s="1713">
        <v>26.196400000000001</v>
      </c>
      <c r="H197" s="1713">
        <v>2.498635899820469</v>
      </c>
      <c r="I197" s="1713">
        <v>0</v>
      </c>
      <c r="J197" s="1713">
        <f t="shared" si="22"/>
        <v>2.498635899820469</v>
      </c>
      <c r="K197">
        <f t="shared" si="23"/>
        <v>21764.835766550645</v>
      </c>
      <c r="L197">
        <f t="shared" si="23"/>
        <v>10484.280643643298</v>
      </c>
      <c r="N197" s="1714">
        <f t="shared" si="25"/>
        <v>70.349433219990516</v>
      </c>
      <c r="O197" s="1714">
        <f t="shared" si="26"/>
        <v>33.887836734019828</v>
      </c>
      <c r="P197" s="1714">
        <f t="shared" si="27"/>
        <v>3.2322519670976457</v>
      </c>
      <c r="Q197" s="1714">
        <f t="shared" si="28"/>
        <v>0</v>
      </c>
      <c r="R197" s="1714">
        <f t="shared" si="24"/>
        <v>3.2322519670976457</v>
      </c>
    </row>
    <row r="198" spans="3:18">
      <c r="C198" s="1712">
        <f t="shared" si="29"/>
        <v>2013</v>
      </c>
      <c r="D198" s="1712">
        <f t="shared" si="30"/>
        <v>10</v>
      </c>
      <c r="E198" s="1723">
        <v>41548</v>
      </c>
      <c r="F198" s="1713">
        <v>40.202300000000001</v>
      </c>
      <c r="G198" s="1713">
        <v>22.5748</v>
      </c>
      <c r="H198" s="1713">
        <v>2.6054326398005547</v>
      </c>
      <c r="I198" s="1713">
        <v>0</v>
      </c>
      <c r="J198" s="1713">
        <f t="shared" si="22"/>
        <v>2.6054326398005547</v>
      </c>
      <c r="K198">
        <f t="shared" si="23"/>
        <v>15430.182068755183</v>
      </c>
      <c r="L198">
        <f t="shared" si="23"/>
        <v>8664.5110893091824</v>
      </c>
      <c r="N198" s="1714">
        <f t="shared" si="25"/>
        <v>52.005961839492649</v>
      </c>
      <c r="O198" s="1714">
        <f t="shared" si="26"/>
        <v>29.202910961168357</v>
      </c>
      <c r="P198" s="1714">
        <f t="shared" si="27"/>
        <v>3.3704049380467347</v>
      </c>
      <c r="Q198" s="1714">
        <f t="shared" si="28"/>
        <v>0</v>
      </c>
      <c r="R198" s="1714">
        <f t="shared" si="24"/>
        <v>3.3704049380467347</v>
      </c>
    </row>
    <row r="199" spans="3:18">
      <c r="C199" s="1712">
        <f t="shared" si="29"/>
        <v>2013</v>
      </c>
      <c r="D199" s="1712">
        <f t="shared" si="30"/>
        <v>11</v>
      </c>
      <c r="E199" s="1723">
        <v>41579</v>
      </c>
      <c r="F199" s="1713">
        <v>43.818300000000001</v>
      </c>
      <c r="G199" s="1713">
        <v>24.090800000000002</v>
      </c>
      <c r="H199" s="1713">
        <v>2.7101903012130002</v>
      </c>
      <c r="I199" s="1713">
        <v>0</v>
      </c>
      <c r="J199" s="1713">
        <f t="shared" si="22"/>
        <v>2.7101903012130002</v>
      </c>
      <c r="K199">
        <f t="shared" si="23"/>
        <v>16167.979045747539</v>
      </c>
      <c r="L199">
        <f t="shared" si="23"/>
        <v>8888.9698960319056</v>
      </c>
      <c r="N199" s="1714">
        <f t="shared" si="25"/>
        <v>56.683643415213574</v>
      </c>
      <c r="O199" s="1714">
        <f t="shared" si="26"/>
        <v>31.164018612936314</v>
      </c>
      <c r="P199" s="1714">
        <f t="shared" si="27"/>
        <v>3.5059201434407079</v>
      </c>
      <c r="Q199" s="1714">
        <f t="shared" si="28"/>
        <v>0</v>
      </c>
      <c r="R199" s="1714">
        <f t="shared" si="24"/>
        <v>3.5059201434407079</v>
      </c>
    </row>
    <row r="200" spans="3:18">
      <c r="C200" s="1712">
        <f t="shared" si="29"/>
        <v>2013</v>
      </c>
      <c r="D200" s="1712">
        <f t="shared" si="30"/>
        <v>12</v>
      </c>
      <c r="E200" s="1723">
        <v>41609</v>
      </c>
      <c r="F200" s="1713">
        <v>41.572000000000003</v>
      </c>
      <c r="G200" s="1713">
        <v>24.7227</v>
      </c>
      <c r="H200" s="1713">
        <v>2.8208766333617445</v>
      </c>
      <c r="I200" s="1713">
        <v>0</v>
      </c>
      <c r="J200" s="1713">
        <f t="shared" si="22"/>
        <v>2.8208766333617445</v>
      </c>
      <c r="K200">
        <f t="shared" si="23"/>
        <v>14737.262703494087</v>
      </c>
      <c r="L200">
        <f t="shared" si="23"/>
        <v>8764.1904320136928</v>
      </c>
      <c r="N200" s="1714">
        <f t="shared" si="25"/>
        <v>53.777814841225215</v>
      </c>
      <c r="O200" s="1714">
        <f t="shared" si="26"/>
        <v>31.981448642720064</v>
      </c>
      <c r="P200" s="1714">
        <f t="shared" si="27"/>
        <v>3.6491047166089348</v>
      </c>
      <c r="Q200" s="1714">
        <f t="shared" si="28"/>
        <v>0</v>
      </c>
      <c r="R200" s="1714">
        <f t="shared" si="24"/>
        <v>3.6491047166089348</v>
      </c>
    </row>
    <row r="201" spans="3:18">
      <c r="C201" s="1712">
        <f t="shared" si="29"/>
        <v>2014</v>
      </c>
      <c r="D201" s="1712">
        <f t="shared" si="30"/>
        <v>1</v>
      </c>
      <c r="E201" s="1723">
        <v>41640</v>
      </c>
      <c r="F201" s="1713">
        <v>41.8185</v>
      </c>
      <c r="G201" s="1713">
        <v>23.692499999999999</v>
      </c>
      <c r="H201" s="1713">
        <v>2.6818982584030961</v>
      </c>
      <c r="I201" s="1713">
        <v>0</v>
      </c>
      <c r="J201" s="1713">
        <f t="shared" ref="J201:J264" si="31">SUM(H201:I201)</f>
        <v>2.6818982584030961</v>
      </c>
      <c r="K201">
        <f t="shared" ref="K201:L264" si="32">F201/$J201*1000</f>
        <v>15592.873394421875</v>
      </c>
      <c r="L201">
        <f t="shared" si="32"/>
        <v>8834.2277436383483</v>
      </c>
      <c r="N201" s="1714">
        <f t="shared" si="25"/>
        <v>55.178622653144721</v>
      </c>
      <c r="O201" s="1714">
        <f t="shared" si="26"/>
        <v>31.261750593867099</v>
      </c>
      <c r="P201" s="1714">
        <f t="shared" si="27"/>
        <v>3.5387077966581884</v>
      </c>
      <c r="Q201" s="1714">
        <f t="shared" si="28"/>
        <v>0</v>
      </c>
      <c r="R201" s="1714">
        <f t="shared" ref="R201:R264" si="33">SUM(P201:Q201)</f>
        <v>3.5387077966581884</v>
      </c>
    </row>
    <row r="202" spans="3:18">
      <c r="C202" s="1712">
        <f t="shared" si="29"/>
        <v>2014</v>
      </c>
      <c r="D202" s="1712">
        <f t="shared" si="30"/>
        <v>2</v>
      </c>
      <c r="E202" s="1723">
        <v>41671</v>
      </c>
      <c r="F202" s="1713">
        <v>38.468499999999999</v>
      </c>
      <c r="G202" s="1713">
        <v>21.826599999999999</v>
      </c>
      <c r="H202" s="1713">
        <v>2.4728877337333817</v>
      </c>
      <c r="I202" s="1713">
        <v>0</v>
      </c>
      <c r="J202" s="1713">
        <f t="shared" si="31"/>
        <v>2.4728877337333817</v>
      </c>
      <c r="K202">
        <f t="shared" si="32"/>
        <v>15556.104498898187</v>
      </c>
      <c r="L202">
        <f t="shared" si="32"/>
        <v>8826.3610604949808</v>
      </c>
      <c r="N202" s="1714">
        <f t="shared" ref="N202:N265" si="34">F202*(1+$D$4)^($C202-$D$3)</f>
        <v>50.758368796884099</v>
      </c>
      <c r="O202" s="1714">
        <f t="shared" ref="O202:O265" si="35">G202*(1+$D$4)^($C202-$D$3)</f>
        <v>28.799735169868082</v>
      </c>
      <c r="P202" s="1714">
        <f t="shared" ref="P202:P265" si="36">H202*(1+$D$4)^($C202-$D$3)</f>
        <v>3.2629228480998718</v>
      </c>
      <c r="Q202" s="1714">
        <f t="shared" ref="Q202:Q265" si="37">I202*(1+$D$4)^($C202-$D$3)</f>
        <v>0</v>
      </c>
      <c r="R202" s="1714">
        <f t="shared" si="33"/>
        <v>3.2629228480998718</v>
      </c>
    </row>
    <row r="203" spans="3:18">
      <c r="C203" s="1712">
        <f t="shared" si="29"/>
        <v>2014</v>
      </c>
      <c r="D203" s="1712">
        <f t="shared" si="30"/>
        <v>3</v>
      </c>
      <c r="E203" s="1723">
        <v>41699</v>
      </c>
      <c r="F203" s="1713">
        <v>31.435500000000001</v>
      </c>
      <c r="G203" s="1713">
        <v>18.816500000000001</v>
      </c>
      <c r="H203" s="1713">
        <v>2.3365848214190188</v>
      </c>
      <c r="I203" s="1713">
        <v>0</v>
      </c>
      <c r="J203" s="1713">
        <f t="shared" si="31"/>
        <v>2.3365848214190188</v>
      </c>
      <c r="K203">
        <f t="shared" si="32"/>
        <v>13453.609606566337</v>
      </c>
      <c r="L203">
        <f t="shared" si="32"/>
        <v>8052.9924818105483</v>
      </c>
      <c r="N203" s="1714">
        <f t="shared" si="34"/>
        <v>41.478474656262918</v>
      </c>
      <c r="O203" s="1714">
        <f t="shared" si="35"/>
        <v>24.827972145172534</v>
      </c>
      <c r="P203" s="1714">
        <f t="shared" si="36"/>
        <v>3.0830740499574492</v>
      </c>
      <c r="Q203" s="1714">
        <f t="shared" si="37"/>
        <v>0</v>
      </c>
      <c r="R203" s="1714">
        <f t="shared" si="33"/>
        <v>3.0830740499574492</v>
      </c>
    </row>
    <row r="204" spans="3:18">
      <c r="C204" s="1712">
        <f t="shared" si="29"/>
        <v>2014</v>
      </c>
      <c r="D204" s="1712">
        <f t="shared" si="30"/>
        <v>4</v>
      </c>
      <c r="E204" s="1723">
        <v>41730</v>
      </c>
      <c r="F204" s="1713">
        <v>30.509699999999999</v>
      </c>
      <c r="G204" s="1713">
        <v>20.275600000000001</v>
      </c>
      <c r="H204" s="1713">
        <v>2.2626794899765215</v>
      </c>
      <c r="I204" s="1713">
        <v>0</v>
      </c>
      <c r="J204" s="1713">
        <f t="shared" si="31"/>
        <v>2.2626794899765215</v>
      </c>
      <c r="K204">
        <f t="shared" si="32"/>
        <v>13483.880565124397</v>
      </c>
      <c r="L204">
        <f t="shared" si="32"/>
        <v>8960.8802704135487</v>
      </c>
      <c r="N204" s="1714">
        <f t="shared" si="34"/>
        <v>40.256901217419312</v>
      </c>
      <c r="O204" s="1714">
        <f t="shared" si="35"/>
        <v>26.753223608357573</v>
      </c>
      <c r="P204" s="1714">
        <f t="shared" si="36"/>
        <v>2.9855575346419512</v>
      </c>
      <c r="Q204" s="1714">
        <f t="shared" si="37"/>
        <v>0</v>
      </c>
      <c r="R204" s="1714">
        <f t="shared" si="33"/>
        <v>2.9855575346419512</v>
      </c>
    </row>
    <row r="205" spans="3:18">
      <c r="C205" s="1712">
        <f t="shared" si="29"/>
        <v>2014</v>
      </c>
      <c r="D205" s="1712">
        <f t="shared" si="30"/>
        <v>5</v>
      </c>
      <c r="E205" s="1723">
        <v>41760</v>
      </c>
      <c r="F205" s="1713">
        <v>33.479199999999999</v>
      </c>
      <c r="G205" s="1713">
        <v>20.083600000000001</v>
      </c>
      <c r="H205" s="1713">
        <v>2.2419655389493856</v>
      </c>
      <c r="I205" s="1713">
        <v>0</v>
      </c>
      <c r="J205" s="1713">
        <f t="shared" si="31"/>
        <v>2.2419655389493856</v>
      </c>
      <c r="K205">
        <f t="shared" si="32"/>
        <v>14932.968156008674</v>
      </c>
      <c r="L205">
        <f t="shared" si="32"/>
        <v>8958.0324278362641</v>
      </c>
      <c r="N205" s="1714">
        <f t="shared" si="34"/>
        <v>44.175093404334511</v>
      </c>
      <c r="O205" s="1714">
        <f t="shared" si="35"/>
        <v>26.4998836858495</v>
      </c>
      <c r="P205" s="1714">
        <f t="shared" si="36"/>
        <v>2.9582259161625206</v>
      </c>
      <c r="Q205" s="1714">
        <f t="shared" si="37"/>
        <v>0</v>
      </c>
      <c r="R205" s="1714">
        <f t="shared" si="33"/>
        <v>2.9582259161625206</v>
      </c>
    </row>
    <row r="206" spans="3:18">
      <c r="C206" s="1712">
        <f t="shared" si="29"/>
        <v>2014</v>
      </c>
      <c r="D206" s="1712">
        <f t="shared" si="30"/>
        <v>6</v>
      </c>
      <c r="E206" s="1723">
        <v>41791</v>
      </c>
      <c r="F206" s="1713">
        <v>32.200400000000002</v>
      </c>
      <c r="G206" s="1713">
        <v>18.664400000000001</v>
      </c>
      <c r="H206" s="1713">
        <v>2.2652367678811065</v>
      </c>
      <c r="I206" s="1713">
        <v>0</v>
      </c>
      <c r="J206" s="1713">
        <f t="shared" si="31"/>
        <v>2.2652367678811065</v>
      </c>
      <c r="K206">
        <f t="shared" si="32"/>
        <v>14215.02619795463</v>
      </c>
      <c r="L206">
        <f t="shared" si="32"/>
        <v>8239.4918997622517</v>
      </c>
      <c r="N206" s="1714">
        <f t="shared" si="34"/>
        <v>42.487743962129713</v>
      </c>
      <c r="O206" s="1714">
        <f t="shared" si="35"/>
        <v>24.627279425310672</v>
      </c>
      <c r="P206" s="1714">
        <f t="shared" si="36"/>
        <v>2.9889318085283008</v>
      </c>
      <c r="Q206" s="1714">
        <f t="shared" si="37"/>
        <v>0</v>
      </c>
      <c r="R206" s="1714">
        <f t="shared" si="33"/>
        <v>2.9889318085283008</v>
      </c>
    </row>
    <row r="207" spans="3:18">
      <c r="C207" s="1712">
        <f t="shared" si="29"/>
        <v>2014</v>
      </c>
      <c r="D207" s="1712">
        <f t="shared" si="30"/>
        <v>7</v>
      </c>
      <c r="E207" s="1723">
        <v>41821</v>
      </c>
      <c r="F207" s="1713">
        <v>48.716999999999999</v>
      </c>
      <c r="G207" s="1713">
        <v>23.261500000000002</v>
      </c>
      <c r="H207" s="1713">
        <v>2.3232869763151784</v>
      </c>
      <c r="I207" s="1713">
        <v>0</v>
      </c>
      <c r="J207" s="1713">
        <f t="shared" si="31"/>
        <v>2.3232869763151784</v>
      </c>
      <c r="K207">
        <f t="shared" si="32"/>
        <v>20968.9980173121</v>
      </c>
      <c r="L207">
        <f t="shared" si="32"/>
        <v>10012.323159876541</v>
      </c>
      <c r="N207" s="1714">
        <f t="shared" si="34"/>
        <v>64.281046900133944</v>
      </c>
      <c r="O207" s="1714">
        <f t="shared" si="35"/>
        <v>30.693055246987004</v>
      </c>
      <c r="P207" s="1714">
        <f t="shared" si="36"/>
        <v>3.0655278257484322</v>
      </c>
      <c r="Q207" s="1714">
        <f t="shared" si="37"/>
        <v>0</v>
      </c>
      <c r="R207" s="1714">
        <f t="shared" si="33"/>
        <v>3.0655278257484322</v>
      </c>
    </row>
    <row r="208" spans="3:18">
      <c r="C208" s="1712">
        <f t="shared" si="29"/>
        <v>2014</v>
      </c>
      <c r="D208" s="1712">
        <f t="shared" si="30"/>
        <v>8</v>
      </c>
      <c r="E208" s="1723">
        <v>41852</v>
      </c>
      <c r="F208" s="1713">
        <v>73.2714</v>
      </c>
      <c r="G208" s="1713">
        <v>27.1998</v>
      </c>
      <c r="H208" s="1713">
        <v>2.4069099637950977</v>
      </c>
      <c r="I208" s="1713">
        <v>0</v>
      </c>
      <c r="J208" s="1713">
        <f t="shared" si="31"/>
        <v>2.4069099637950977</v>
      </c>
      <c r="K208">
        <f t="shared" si="32"/>
        <v>30442.102572241318</v>
      </c>
      <c r="L208">
        <f t="shared" si="32"/>
        <v>11300.713532762433</v>
      </c>
      <c r="N208" s="1714">
        <f t="shared" si="34"/>
        <v>96.680056239884934</v>
      </c>
      <c r="O208" s="1714">
        <f t="shared" si="35"/>
        <v>35.889558459557513</v>
      </c>
      <c r="P208" s="1714">
        <f t="shared" si="36"/>
        <v>3.1758665818320577</v>
      </c>
      <c r="Q208" s="1714">
        <f t="shared" si="37"/>
        <v>0</v>
      </c>
      <c r="R208" s="1714">
        <f t="shared" si="33"/>
        <v>3.1758665818320577</v>
      </c>
    </row>
    <row r="209" spans="3:18">
      <c r="C209" s="1712">
        <f t="shared" si="29"/>
        <v>2014</v>
      </c>
      <c r="D209" s="1712">
        <f t="shared" si="30"/>
        <v>9</v>
      </c>
      <c r="E209" s="1723">
        <v>41883</v>
      </c>
      <c r="F209" s="1713">
        <v>53.649799999999999</v>
      </c>
      <c r="G209" s="1713">
        <v>25.627600000000001</v>
      </c>
      <c r="H209" s="1713">
        <v>2.5068995298643584</v>
      </c>
      <c r="I209" s="1713">
        <v>0</v>
      </c>
      <c r="J209" s="1713">
        <f t="shared" si="31"/>
        <v>2.5068995298643584</v>
      </c>
      <c r="K209">
        <f t="shared" si="32"/>
        <v>21400.857657387987</v>
      </c>
      <c r="L209">
        <f t="shared" si="32"/>
        <v>10222.826920146514</v>
      </c>
      <c r="N209" s="1714">
        <f t="shared" si="34"/>
        <v>70.78977174257048</v>
      </c>
      <c r="O209" s="1714">
        <f t="shared" si="35"/>
        <v>33.815073948270062</v>
      </c>
      <c r="P209" s="1714">
        <f t="shared" si="36"/>
        <v>3.3078006907883193</v>
      </c>
      <c r="Q209" s="1714">
        <f t="shared" si="37"/>
        <v>0</v>
      </c>
      <c r="R209" s="1714">
        <f t="shared" si="33"/>
        <v>3.3078006907883193</v>
      </c>
    </row>
    <row r="210" spans="3:18">
      <c r="C210" s="1712">
        <f t="shared" si="29"/>
        <v>2014</v>
      </c>
      <c r="D210" s="1712">
        <f t="shared" si="30"/>
        <v>10</v>
      </c>
      <c r="E210" s="1723">
        <v>41913</v>
      </c>
      <c r="F210" s="1713">
        <v>39.785899999999998</v>
      </c>
      <c r="G210" s="1713">
        <v>22.145299999999999</v>
      </c>
      <c r="H210" s="1713">
        <v>2.6140494740664568</v>
      </c>
      <c r="I210" s="1713">
        <v>0</v>
      </c>
      <c r="J210" s="1713">
        <f t="shared" si="31"/>
        <v>2.6140494740664568</v>
      </c>
      <c r="K210">
        <f t="shared" si="32"/>
        <v>15220.025632532663</v>
      </c>
      <c r="L210">
        <f t="shared" si="32"/>
        <v>8471.6453225923142</v>
      </c>
      <c r="N210" s="1714">
        <f t="shared" si="34"/>
        <v>52.496650119343123</v>
      </c>
      <c r="O210" s="1714">
        <f t="shared" si="35"/>
        <v>29.220253051656222</v>
      </c>
      <c r="P210" s="1714">
        <f t="shared" si="36"/>
        <v>3.4491827666263601</v>
      </c>
      <c r="Q210" s="1714">
        <f t="shared" si="37"/>
        <v>0</v>
      </c>
      <c r="R210" s="1714">
        <f t="shared" si="33"/>
        <v>3.4491827666263601</v>
      </c>
    </row>
    <row r="211" spans="3:18">
      <c r="C211" s="1712">
        <f t="shared" si="29"/>
        <v>2014</v>
      </c>
      <c r="D211" s="1712">
        <f t="shared" si="30"/>
        <v>11</v>
      </c>
      <c r="E211" s="1723">
        <v>41944</v>
      </c>
      <c r="F211" s="1713">
        <v>41.455500000000001</v>
      </c>
      <c r="G211" s="1713">
        <v>23.941500000000001</v>
      </c>
      <c r="H211" s="1713">
        <v>2.7191535959448863</v>
      </c>
      <c r="I211" s="1713">
        <v>0</v>
      </c>
      <c r="J211" s="1713">
        <f t="shared" si="31"/>
        <v>2.7191535959448863</v>
      </c>
      <c r="K211">
        <f t="shared" si="32"/>
        <v>15245.736784352011</v>
      </c>
      <c r="L211">
        <f t="shared" si="32"/>
        <v>8804.7619066846073</v>
      </c>
      <c r="N211" s="1714">
        <f t="shared" si="34"/>
        <v>54.699651862152898</v>
      </c>
      <c r="O211" s="1714">
        <f t="shared" si="35"/>
        <v>31.590300805869756</v>
      </c>
      <c r="P211" s="1714">
        <f t="shared" si="36"/>
        <v>3.5878654233553195</v>
      </c>
      <c r="Q211" s="1714">
        <f t="shared" si="37"/>
        <v>0</v>
      </c>
      <c r="R211" s="1714">
        <f t="shared" si="33"/>
        <v>3.5878654233553195</v>
      </c>
    </row>
    <row r="212" spans="3:18">
      <c r="C212" s="1712">
        <f t="shared" si="29"/>
        <v>2014</v>
      </c>
      <c r="D212" s="1712">
        <f t="shared" si="30"/>
        <v>12</v>
      </c>
      <c r="E212" s="1723">
        <v>41974</v>
      </c>
      <c r="F212" s="1713">
        <v>42.798400000000001</v>
      </c>
      <c r="G212" s="1713">
        <v>25.204000000000001</v>
      </c>
      <c r="H212" s="1713">
        <v>2.8302059961949726</v>
      </c>
      <c r="I212" s="1713">
        <v>0</v>
      </c>
      <c r="J212" s="1713">
        <f t="shared" si="31"/>
        <v>2.8302059961949726</v>
      </c>
      <c r="K212">
        <f t="shared" si="32"/>
        <v>15122.008806970114</v>
      </c>
      <c r="L212">
        <f t="shared" si="32"/>
        <v>8905.358844509954</v>
      </c>
      <c r="N212" s="1714">
        <f t="shared" si="34"/>
        <v>56.471579893070029</v>
      </c>
      <c r="O212" s="1714">
        <f t="shared" si="35"/>
        <v>33.256142744236634</v>
      </c>
      <c r="P212" s="1714">
        <f t="shared" si="36"/>
        <v>3.7343967070724662</v>
      </c>
      <c r="Q212" s="1714">
        <f t="shared" si="37"/>
        <v>0</v>
      </c>
      <c r="R212" s="1714">
        <f t="shared" si="33"/>
        <v>3.7343967070724662</v>
      </c>
    </row>
    <row r="213" spans="3:18">
      <c r="C213" s="1712">
        <f t="shared" si="29"/>
        <v>2015</v>
      </c>
      <c r="D213" s="1712">
        <f t="shared" si="30"/>
        <v>1</v>
      </c>
      <c r="E213" s="1723">
        <v>42005</v>
      </c>
      <c r="F213" s="1713">
        <v>42.952800000000003</v>
      </c>
      <c r="G213" s="1713">
        <v>24.253699999999998</v>
      </c>
      <c r="H213" s="1713">
        <v>2.7058935497016856</v>
      </c>
      <c r="I213" s="1713">
        <v>0</v>
      </c>
      <c r="J213" s="1713">
        <f t="shared" si="31"/>
        <v>2.7058935497016856</v>
      </c>
      <c r="K213">
        <f t="shared" si="32"/>
        <v>15873.795184860612</v>
      </c>
      <c r="L213">
        <f t="shared" si="32"/>
        <v>8963.2868235610658</v>
      </c>
      <c r="N213" s="1714">
        <f t="shared" si="34"/>
        <v>57.808813562368663</v>
      </c>
      <c r="O213" s="1714">
        <f t="shared" si="35"/>
        <v>32.642286917211933</v>
      </c>
      <c r="P213" s="1714">
        <f t="shared" si="36"/>
        <v>3.6417764554189871</v>
      </c>
      <c r="Q213" s="1714">
        <f t="shared" si="37"/>
        <v>0</v>
      </c>
      <c r="R213" s="1714">
        <f t="shared" si="33"/>
        <v>3.6417764554189871</v>
      </c>
    </row>
    <row r="214" spans="3:18">
      <c r="C214" s="1712">
        <f t="shared" si="29"/>
        <v>2015</v>
      </c>
      <c r="D214" s="1712">
        <f t="shared" si="30"/>
        <v>2</v>
      </c>
      <c r="E214" s="1723">
        <v>42036</v>
      </c>
      <c r="F214" s="1713">
        <v>40.170699999999997</v>
      </c>
      <c r="G214" s="1713">
        <v>21.087599999999998</v>
      </c>
      <c r="H214" s="1713">
        <v>2.4950129807794696</v>
      </c>
      <c r="I214" s="1713">
        <v>0</v>
      </c>
      <c r="J214" s="1713">
        <f t="shared" si="31"/>
        <v>2.4950129807794696</v>
      </c>
      <c r="K214">
        <f t="shared" si="32"/>
        <v>16100.397196110069</v>
      </c>
      <c r="L214">
        <f t="shared" si="32"/>
        <v>8451.8999149303017</v>
      </c>
      <c r="N214" s="1714">
        <f t="shared" si="34"/>
        <v>54.064473258317093</v>
      </c>
      <c r="O214" s="1714">
        <f t="shared" si="35"/>
        <v>28.381133171243906</v>
      </c>
      <c r="P214" s="1714">
        <f t="shared" si="36"/>
        <v>3.3579589745387972</v>
      </c>
      <c r="Q214" s="1714">
        <f t="shared" si="37"/>
        <v>0</v>
      </c>
      <c r="R214" s="1714">
        <f t="shared" si="33"/>
        <v>3.3579589745387972</v>
      </c>
    </row>
    <row r="215" spans="3:18">
      <c r="C215" s="1712">
        <f t="shared" si="29"/>
        <v>2015</v>
      </c>
      <c r="D215" s="1712">
        <f t="shared" si="30"/>
        <v>3</v>
      </c>
      <c r="E215" s="1723">
        <v>42064</v>
      </c>
      <c r="F215" s="1713">
        <v>30.198899999999998</v>
      </c>
      <c r="G215" s="1713">
        <v>21.398499999999999</v>
      </c>
      <c r="H215" s="1713">
        <v>2.357490548643435</v>
      </c>
      <c r="I215" s="1713">
        <v>0</v>
      </c>
      <c r="J215" s="1713">
        <f t="shared" si="31"/>
        <v>2.357490548643435</v>
      </c>
      <c r="K215">
        <f t="shared" si="32"/>
        <v>12809.765034849144</v>
      </c>
      <c r="L215">
        <f t="shared" si="32"/>
        <v>9076.8126355006116</v>
      </c>
      <c r="N215" s="1714">
        <f t="shared" si="34"/>
        <v>40.643743362216547</v>
      </c>
      <c r="O215" s="1714">
        <f t="shared" si="35"/>
        <v>28.799563637628879</v>
      </c>
      <c r="P215" s="1714">
        <f t="shared" si="36"/>
        <v>3.1728718873175796</v>
      </c>
      <c r="Q215" s="1714">
        <f t="shared" si="37"/>
        <v>0</v>
      </c>
      <c r="R215" s="1714">
        <f t="shared" si="33"/>
        <v>3.1728718873175796</v>
      </c>
    </row>
    <row r="216" spans="3:18">
      <c r="C216" s="1712">
        <f t="shared" si="29"/>
        <v>2015</v>
      </c>
      <c r="D216" s="1712">
        <f t="shared" si="30"/>
        <v>4</v>
      </c>
      <c r="E216" s="1723">
        <v>42095</v>
      </c>
      <c r="F216" s="1713">
        <v>31.035799999999998</v>
      </c>
      <c r="G216" s="1713">
        <v>20.205400000000001</v>
      </c>
      <c r="H216" s="1713">
        <v>2.2829239766222078</v>
      </c>
      <c r="I216" s="1713">
        <v>0</v>
      </c>
      <c r="J216" s="1713">
        <f t="shared" si="31"/>
        <v>2.2829239766222078</v>
      </c>
      <c r="K216">
        <f t="shared" si="32"/>
        <v>13594.758440410384</v>
      </c>
      <c r="L216">
        <f t="shared" si="32"/>
        <v>8850.667042314617</v>
      </c>
      <c r="N216" s="1714">
        <f t="shared" si="34"/>
        <v>41.770100574560004</v>
      </c>
      <c r="O216" s="1714">
        <f t="shared" si="35"/>
        <v>27.19380812317436</v>
      </c>
      <c r="P216" s="1714">
        <f t="shared" si="36"/>
        <v>3.0725150989368442</v>
      </c>
      <c r="Q216" s="1714">
        <f t="shared" si="37"/>
        <v>0</v>
      </c>
      <c r="R216" s="1714">
        <f t="shared" si="33"/>
        <v>3.0725150989368442</v>
      </c>
    </row>
    <row r="217" spans="3:18">
      <c r="C217" s="1712">
        <f t="shared" si="29"/>
        <v>2015</v>
      </c>
      <c r="D217" s="1712">
        <f t="shared" si="30"/>
        <v>5</v>
      </c>
      <c r="E217" s="1723">
        <v>42125</v>
      </c>
      <c r="F217" s="1713">
        <v>34.784300000000002</v>
      </c>
      <c r="G217" s="1713">
        <v>20.038599999999999</v>
      </c>
      <c r="H217" s="1713">
        <v>2.2620246951906529</v>
      </c>
      <c r="I217" s="1713">
        <v>0</v>
      </c>
      <c r="J217" s="1713">
        <f t="shared" si="31"/>
        <v>2.2620246951906529</v>
      </c>
      <c r="K217">
        <f t="shared" si="32"/>
        <v>15377.506741617706</v>
      </c>
      <c r="L217">
        <f t="shared" si="32"/>
        <v>8858.7008102097934</v>
      </c>
      <c r="N217" s="1714">
        <f t="shared" si="34"/>
        <v>46.815088040768011</v>
      </c>
      <c r="O217" s="1714">
        <f t="shared" si="35"/>
        <v>26.969317284341894</v>
      </c>
      <c r="P217" s="1714">
        <f t="shared" si="36"/>
        <v>3.0443874177643888</v>
      </c>
      <c r="Q217" s="1714">
        <f t="shared" si="37"/>
        <v>0</v>
      </c>
      <c r="R217" s="1714">
        <f t="shared" si="33"/>
        <v>3.0443874177643888</v>
      </c>
    </row>
    <row r="218" spans="3:18">
      <c r="C218" s="1712">
        <f t="shared" si="29"/>
        <v>2015</v>
      </c>
      <c r="D218" s="1712">
        <f t="shared" si="30"/>
        <v>6</v>
      </c>
      <c r="E218" s="1723">
        <v>42156</v>
      </c>
      <c r="F218" s="1713">
        <v>32.909599999999998</v>
      </c>
      <c r="G218" s="1713">
        <v>18.962599999999998</v>
      </c>
      <c r="H218" s="1713">
        <v>2.2855041348236349</v>
      </c>
      <c r="I218" s="1713">
        <v>0</v>
      </c>
      <c r="J218" s="1713">
        <f t="shared" si="31"/>
        <v>2.2855041348236349</v>
      </c>
      <c r="K218">
        <f t="shared" si="32"/>
        <v>14399.273883851243</v>
      </c>
      <c r="L218">
        <f t="shared" si="32"/>
        <v>8296.9003254344498</v>
      </c>
      <c r="N218" s="1714">
        <f t="shared" si="34"/>
        <v>44.291988666911763</v>
      </c>
      <c r="O218" s="1714">
        <f t="shared" si="35"/>
        <v>25.521162952305129</v>
      </c>
      <c r="P218" s="1714">
        <f t="shared" si="36"/>
        <v>3.0759876521680121</v>
      </c>
      <c r="Q218" s="1714">
        <f t="shared" si="37"/>
        <v>0</v>
      </c>
      <c r="R218" s="1714">
        <f t="shared" si="33"/>
        <v>3.0759876521680121</v>
      </c>
    </row>
    <row r="219" spans="3:18">
      <c r="C219" s="1712">
        <f t="shared" si="29"/>
        <v>2015</v>
      </c>
      <c r="D219" s="1712">
        <f t="shared" si="30"/>
        <v>7</v>
      </c>
      <c r="E219" s="1723">
        <v>42186</v>
      </c>
      <c r="F219" s="1713">
        <v>50.570900000000002</v>
      </c>
      <c r="G219" s="1713">
        <v>23.9876</v>
      </c>
      <c r="H219" s="1713">
        <v>2.3440737259960174</v>
      </c>
      <c r="I219" s="1713">
        <v>0</v>
      </c>
      <c r="J219" s="1713">
        <f t="shared" si="31"/>
        <v>2.3440737259960174</v>
      </c>
      <c r="K219">
        <f t="shared" si="32"/>
        <v>21573.937474390652</v>
      </c>
      <c r="L219">
        <f t="shared" si="32"/>
        <v>10233.295878868939</v>
      </c>
      <c r="N219" s="1714">
        <f t="shared" si="34"/>
        <v>68.061773150555709</v>
      </c>
      <c r="O219" s="1714">
        <f t="shared" si="35"/>
        <v>32.28415135238388</v>
      </c>
      <c r="P219" s="1714">
        <f t="shared" si="36"/>
        <v>3.1548146105155102</v>
      </c>
      <c r="Q219" s="1714">
        <f t="shared" si="37"/>
        <v>0</v>
      </c>
      <c r="R219" s="1714">
        <f t="shared" si="33"/>
        <v>3.1548146105155102</v>
      </c>
    </row>
    <row r="220" spans="3:18">
      <c r="C220" s="1712">
        <f t="shared" si="29"/>
        <v>2015</v>
      </c>
      <c r="D220" s="1712">
        <f t="shared" si="30"/>
        <v>8</v>
      </c>
      <c r="E220" s="1723">
        <v>42217</v>
      </c>
      <c r="F220" s="1713">
        <v>85.940700000000007</v>
      </c>
      <c r="G220" s="1713">
        <v>27.7636</v>
      </c>
      <c r="H220" s="1713">
        <v>2.4284448991826655</v>
      </c>
      <c r="I220" s="1713">
        <v>0</v>
      </c>
      <c r="J220" s="1713">
        <f t="shared" si="31"/>
        <v>2.4284448991826655</v>
      </c>
      <c r="K220">
        <f t="shared" si="32"/>
        <v>35389.190847576909</v>
      </c>
      <c r="L220">
        <f t="shared" si="32"/>
        <v>11432.666233993743</v>
      </c>
      <c r="N220" s="1714">
        <f t="shared" si="34"/>
        <v>115.6648671034125</v>
      </c>
      <c r="O220" s="1714">
        <f t="shared" si="35"/>
        <v>37.366150197895792</v>
      </c>
      <c r="P220" s="1714">
        <f t="shared" si="36"/>
        <v>3.2683671011746815</v>
      </c>
      <c r="Q220" s="1714">
        <f t="shared" si="37"/>
        <v>0</v>
      </c>
      <c r="R220" s="1714">
        <f t="shared" si="33"/>
        <v>3.2683671011746815</v>
      </c>
    </row>
    <row r="221" spans="3:18">
      <c r="C221" s="1712">
        <f t="shared" si="29"/>
        <v>2015</v>
      </c>
      <c r="D221" s="1712">
        <f t="shared" si="30"/>
        <v>9</v>
      </c>
      <c r="E221" s="1723">
        <v>42248</v>
      </c>
      <c r="F221" s="1713">
        <v>55.872900000000001</v>
      </c>
      <c r="G221" s="1713">
        <v>26.465199999999999</v>
      </c>
      <c r="H221" s="1713">
        <v>2.5293290848584431</v>
      </c>
      <c r="I221" s="1713">
        <v>0</v>
      </c>
      <c r="J221" s="1713">
        <f t="shared" si="31"/>
        <v>2.5293290848584431</v>
      </c>
      <c r="K221">
        <f t="shared" si="32"/>
        <v>22090.008111035102</v>
      </c>
      <c r="L221">
        <f t="shared" si="32"/>
        <v>10463.328065308337</v>
      </c>
      <c r="N221" s="1714">
        <f t="shared" si="34"/>
        <v>75.19756708035024</v>
      </c>
      <c r="O221" s="1714">
        <f t="shared" si="35"/>
        <v>35.618674747415746</v>
      </c>
      <c r="P221" s="1714">
        <f t="shared" si="36"/>
        <v>3.4041439325133234</v>
      </c>
      <c r="Q221" s="1714">
        <f t="shared" si="37"/>
        <v>0</v>
      </c>
      <c r="R221" s="1714">
        <f t="shared" si="33"/>
        <v>3.4041439325133234</v>
      </c>
    </row>
    <row r="222" spans="3:18">
      <c r="C222" s="1712">
        <f t="shared" si="29"/>
        <v>2015</v>
      </c>
      <c r="D222" s="1712">
        <f t="shared" si="30"/>
        <v>10</v>
      </c>
      <c r="E222" s="1723">
        <v>42278</v>
      </c>
      <c r="F222" s="1713">
        <v>40.620600000000003</v>
      </c>
      <c r="G222" s="1713">
        <v>21.863099999999999</v>
      </c>
      <c r="H222" s="1713">
        <v>2.6374377134982159</v>
      </c>
      <c r="I222" s="1713">
        <v>0</v>
      </c>
      <c r="J222" s="1713">
        <f t="shared" si="31"/>
        <v>2.6374377134982159</v>
      </c>
      <c r="K222">
        <f t="shared" si="32"/>
        <v>15401.539074119819</v>
      </c>
      <c r="L222">
        <f t="shared" si="32"/>
        <v>8289.5227773934657</v>
      </c>
      <c r="N222" s="1714">
        <f t="shared" si="34"/>
        <v>54.669979423729124</v>
      </c>
      <c r="O222" s="1714">
        <f t="shared" si="35"/>
        <v>29.42485406761427</v>
      </c>
      <c r="P222" s="1714">
        <f t="shared" si="36"/>
        <v>3.5496439128992345</v>
      </c>
      <c r="Q222" s="1714">
        <f t="shared" si="37"/>
        <v>0</v>
      </c>
      <c r="R222" s="1714">
        <f t="shared" si="33"/>
        <v>3.5496439128992345</v>
      </c>
    </row>
    <row r="223" spans="3:18">
      <c r="C223" s="1712">
        <f t="shared" si="29"/>
        <v>2015</v>
      </c>
      <c r="D223" s="1712">
        <f t="shared" si="30"/>
        <v>11</v>
      </c>
      <c r="E223" s="1723">
        <v>42309</v>
      </c>
      <c r="F223" s="1713">
        <v>41.8125</v>
      </c>
      <c r="G223" s="1713">
        <v>24.516300000000001</v>
      </c>
      <c r="H223" s="1713">
        <v>2.7434822155768464</v>
      </c>
      <c r="I223" s="1713">
        <v>0</v>
      </c>
      <c r="J223" s="1713">
        <f t="shared" si="31"/>
        <v>2.7434822155768464</v>
      </c>
      <c r="K223">
        <f t="shared" si="32"/>
        <v>15240.667412603758</v>
      </c>
      <c r="L223">
        <f t="shared" si="32"/>
        <v>8936.1978950700741</v>
      </c>
      <c r="N223" s="1714">
        <f t="shared" si="34"/>
        <v>56.274119896177652</v>
      </c>
      <c r="O223" s="1714">
        <f t="shared" si="35"/>
        <v>32.995711942855849</v>
      </c>
      <c r="P223" s="1714">
        <f t="shared" si="36"/>
        <v>3.6923658507002108</v>
      </c>
      <c r="Q223" s="1714">
        <f t="shared" si="37"/>
        <v>0</v>
      </c>
      <c r="R223" s="1714">
        <f t="shared" si="33"/>
        <v>3.6923658507002108</v>
      </c>
    </row>
    <row r="224" spans="3:18">
      <c r="C224" s="1712">
        <f t="shared" si="29"/>
        <v>2015</v>
      </c>
      <c r="D224" s="1712">
        <f t="shared" si="30"/>
        <v>12</v>
      </c>
      <c r="E224" s="1723">
        <v>42339</v>
      </c>
      <c r="F224" s="1713">
        <v>41.718800000000002</v>
      </c>
      <c r="G224" s="1713">
        <v>25.672699999999999</v>
      </c>
      <c r="H224" s="1713">
        <v>2.855528216044636</v>
      </c>
      <c r="I224" s="1713">
        <v>0</v>
      </c>
      <c r="J224" s="1713">
        <f t="shared" si="31"/>
        <v>2.855528216044636</v>
      </c>
      <c r="K224">
        <f t="shared" si="32"/>
        <v>14609.836374787157</v>
      </c>
      <c r="L224">
        <f t="shared" si="32"/>
        <v>8990.5257653383651</v>
      </c>
      <c r="N224" s="1714">
        <f t="shared" si="34"/>
        <v>56.148012032876686</v>
      </c>
      <c r="O224" s="1714">
        <f t="shared" si="35"/>
        <v>34.552074089293868</v>
      </c>
      <c r="P224" s="1714">
        <f t="shared" si="36"/>
        <v>3.8431650151656593</v>
      </c>
      <c r="Q224" s="1714">
        <f t="shared" si="37"/>
        <v>0</v>
      </c>
      <c r="R224" s="1714">
        <f t="shared" si="33"/>
        <v>3.8431650151656593</v>
      </c>
    </row>
    <row r="225" spans="3:18">
      <c r="C225" s="1712">
        <f t="shared" si="29"/>
        <v>2016</v>
      </c>
      <c r="D225" s="1712">
        <f t="shared" si="30"/>
        <v>1</v>
      </c>
      <c r="E225" s="1723">
        <v>42370</v>
      </c>
      <c r="F225" s="1713">
        <v>41.963099999999997</v>
      </c>
      <c r="G225" s="1713">
        <v>23.6936</v>
      </c>
      <c r="H225" s="1713">
        <v>2.7224764908322205</v>
      </c>
      <c r="I225" s="1713">
        <v>0</v>
      </c>
      <c r="J225" s="1713">
        <f t="shared" si="31"/>
        <v>2.7224764908322205</v>
      </c>
      <c r="K225">
        <f t="shared" si="32"/>
        <v>15413.576624557923</v>
      </c>
      <c r="L225">
        <f t="shared" si="32"/>
        <v>8702.9585305095588</v>
      </c>
      <c r="N225" s="1714">
        <f t="shared" si="34"/>
        <v>57.606343821287858</v>
      </c>
      <c r="O225" s="1714">
        <f t="shared" si="35"/>
        <v>32.526235382134928</v>
      </c>
      <c r="P225" s="1714">
        <f t="shared" si="36"/>
        <v>3.7373768090597252</v>
      </c>
      <c r="Q225" s="1714">
        <f t="shared" si="37"/>
        <v>0</v>
      </c>
      <c r="R225" s="1714">
        <f t="shared" si="33"/>
        <v>3.7373768090597252</v>
      </c>
    </row>
    <row r="226" spans="3:18">
      <c r="C226" s="1712">
        <f t="shared" si="29"/>
        <v>2016</v>
      </c>
      <c r="D226" s="1712">
        <f t="shared" si="30"/>
        <v>2</v>
      </c>
      <c r="E226" s="1723">
        <v>42401</v>
      </c>
      <c r="F226" s="1713">
        <v>31.831399999999999</v>
      </c>
      <c r="G226" s="1713">
        <v>20.066199999999998</v>
      </c>
      <c r="H226" s="1713">
        <v>2.5103035502790525</v>
      </c>
      <c r="I226" s="1713">
        <v>0</v>
      </c>
      <c r="J226" s="1713">
        <f t="shared" si="31"/>
        <v>2.5103035502790525</v>
      </c>
      <c r="K226">
        <f t="shared" si="32"/>
        <v>12680.299160020519</v>
      </c>
      <c r="L226">
        <f t="shared" si="32"/>
        <v>7993.5352829220128</v>
      </c>
      <c r="N226" s="1714">
        <f t="shared" si="34"/>
        <v>43.697690893021303</v>
      </c>
      <c r="O226" s="1714">
        <f t="shared" si="35"/>
        <v>27.546592515489237</v>
      </c>
      <c r="P226" s="1714">
        <f t="shared" si="36"/>
        <v>3.4461088292612958</v>
      </c>
      <c r="Q226" s="1714">
        <f t="shared" si="37"/>
        <v>0</v>
      </c>
      <c r="R226" s="1714">
        <f t="shared" si="33"/>
        <v>3.4461088292612958</v>
      </c>
    </row>
    <row r="227" spans="3:18">
      <c r="C227" s="1712">
        <f t="shared" si="29"/>
        <v>2016</v>
      </c>
      <c r="D227" s="1712">
        <f t="shared" si="30"/>
        <v>3</v>
      </c>
      <c r="E227" s="1723">
        <v>42430</v>
      </c>
      <c r="F227" s="1713">
        <v>30.221299999999999</v>
      </c>
      <c r="G227" s="1713">
        <v>19.341200000000001</v>
      </c>
      <c r="H227" s="1713">
        <v>2.3719383183970737</v>
      </c>
      <c r="I227" s="1713">
        <v>0</v>
      </c>
      <c r="J227" s="1713">
        <f t="shared" si="31"/>
        <v>2.3719383183970737</v>
      </c>
      <c r="K227">
        <f t="shared" si="32"/>
        <v>12741.182924361699</v>
      </c>
      <c r="L227">
        <f t="shared" si="32"/>
        <v>8154.1749420661754</v>
      </c>
      <c r="N227" s="1714">
        <f t="shared" si="34"/>
        <v>41.48736862925491</v>
      </c>
      <c r="O227" s="1714">
        <f t="shared" si="35"/>
        <v>26.551322879298546</v>
      </c>
      <c r="P227" s="1714">
        <f t="shared" si="36"/>
        <v>3.2561630168521676</v>
      </c>
      <c r="Q227" s="1714">
        <f t="shared" si="37"/>
        <v>0</v>
      </c>
      <c r="R227" s="1714">
        <f t="shared" si="33"/>
        <v>3.2561630168521676</v>
      </c>
    </row>
    <row r="228" spans="3:18">
      <c r="C228" s="1712">
        <f t="shared" si="29"/>
        <v>2016</v>
      </c>
      <c r="D228" s="1712">
        <f t="shared" si="30"/>
        <v>4</v>
      </c>
      <c r="E228" s="1723">
        <v>42461</v>
      </c>
      <c r="F228" s="1713">
        <v>29.440799999999999</v>
      </c>
      <c r="G228" s="1713">
        <v>19.697399999999998</v>
      </c>
      <c r="H228" s="1713">
        <v>2.296914768652436</v>
      </c>
      <c r="I228" s="1713">
        <v>0</v>
      </c>
      <c r="J228" s="1713">
        <f t="shared" si="31"/>
        <v>2.296914768652436</v>
      </c>
      <c r="K228">
        <f t="shared" si="32"/>
        <v>12817.541339277668</v>
      </c>
      <c r="L228">
        <f t="shared" si="32"/>
        <v>8575.5902956539194</v>
      </c>
      <c r="N228" s="1714">
        <f t="shared" si="34"/>
        <v>40.415909386431693</v>
      </c>
      <c r="O228" s="1714">
        <f t="shared" si="35"/>
        <v>27.040309147451818</v>
      </c>
      <c r="P228" s="1714">
        <f t="shared" si="36"/>
        <v>3.1531717602175746</v>
      </c>
      <c r="Q228" s="1714">
        <f t="shared" si="37"/>
        <v>0</v>
      </c>
      <c r="R228" s="1714">
        <f t="shared" si="33"/>
        <v>3.1531717602175746</v>
      </c>
    </row>
    <row r="229" spans="3:18">
      <c r="C229" s="1712">
        <f t="shared" si="29"/>
        <v>2016</v>
      </c>
      <c r="D229" s="1712">
        <f t="shared" si="30"/>
        <v>5</v>
      </c>
      <c r="E229" s="1723">
        <v>42491</v>
      </c>
      <c r="F229" s="1713">
        <v>33.735500000000002</v>
      </c>
      <c r="G229" s="1713">
        <v>20.0153</v>
      </c>
      <c r="H229" s="1713">
        <v>2.2758874069593023</v>
      </c>
      <c r="I229" s="1713">
        <v>0</v>
      </c>
      <c r="J229" s="1713">
        <f t="shared" si="31"/>
        <v>2.2758874069593023</v>
      </c>
      <c r="K229">
        <f t="shared" si="32"/>
        <v>14823.009212512976</v>
      </c>
      <c r="L229">
        <f t="shared" si="32"/>
        <v>8794.5036027689202</v>
      </c>
      <c r="N229" s="1714">
        <f t="shared" si="34"/>
        <v>46.311612154084344</v>
      </c>
      <c r="O229" s="1714">
        <f t="shared" si="35"/>
        <v>27.476717723100126</v>
      </c>
      <c r="P229" s="1714">
        <f t="shared" si="36"/>
        <v>3.1243056986694704</v>
      </c>
      <c r="Q229" s="1714">
        <f t="shared" si="37"/>
        <v>0</v>
      </c>
      <c r="R229" s="1714">
        <f t="shared" si="33"/>
        <v>3.1243056986694704</v>
      </c>
    </row>
    <row r="230" spans="3:18">
      <c r="C230" s="1712">
        <f t="shared" si="29"/>
        <v>2016</v>
      </c>
      <c r="D230" s="1712">
        <f t="shared" si="30"/>
        <v>6</v>
      </c>
      <c r="E230" s="1723">
        <v>42522</v>
      </c>
      <c r="F230" s="1713">
        <v>32.277900000000002</v>
      </c>
      <c r="G230" s="1713">
        <v>18.8584</v>
      </c>
      <c r="H230" s="1713">
        <v>2.2995107392318359</v>
      </c>
      <c r="I230" s="1713">
        <v>0</v>
      </c>
      <c r="J230" s="1713">
        <f t="shared" si="31"/>
        <v>2.2995107392318359</v>
      </c>
      <c r="K230">
        <f t="shared" si="32"/>
        <v>14036.855514222392</v>
      </c>
      <c r="L230">
        <f t="shared" si="32"/>
        <v>8201.0488919480977</v>
      </c>
      <c r="N230" s="1714">
        <f t="shared" si="34"/>
        <v>44.310639710344269</v>
      </c>
      <c r="O230" s="1714">
        <f t="shared" si="35"/>
        <v>25.888541940880799</v>
      </c>
      <c r="P230" s="1714">
        <f t="shared" si="36"/>
        <v>3.1567354715198106</v>
      </c>
      <c r="Q230" s="1714">
        <f t="shared" si="37"/>
        <v>0</v>
      </c>
      <c r="R230" s="1714">
        <f t="shared" si="33"/>
        <v>3.1567354715198106</v>
      </c>
    </row>
    <row r="231" spans="3:18">
      <c r="C231" s="1712">
        <f t="shared" si="29"/>
        <v>2016</v>
      </c>
      <c r="D231" s="1712">
        <f t="shared" si="30"/>
        <v>7</v>
      </c>
      <c r="E231" s="1723">
        <v>42552</v>
      </c>
      <c r="F231" s="1713">
        <v>47.279000000000003</v>
      </c>
      <c r="G231" s="1713">
        <v>23.7042</v>
      </c>
      <c r="H231" s="1713">
        <v>2.358439271384198</v>
      </c>
      <c r="I231" s="1713">
        <v>0</v>
      </c>
      <c r="J231" s="1713">
        <f t="shared" si="31"/>
        <v>2.358439271384198</v>
      </c>
      <c r="K231">
        <f t="shared" si="32"/>
        <v>20046.731995033035</v>
      </c>
      <c r="L231">
        <f t="shared" si="32"/>
        <v>10050.799394163625</v>
      </c>
      <c r="N231" s="1714">
        <f t="shared" si="34"/>
        <v>64.903935350979054</v>
      </c>
      <c r="O231" s="1714">
        <f t="shared" si="35"/>
        <v>32.540786910608887</v>
      </c>
      <c r="P231" s="1714">
        <f t="shared" si="36"/>
        <v>3.2376317180805456</v>
      </c>
      <c r="Q231" s="1714">
        <f t="shared" si="37"/>
        <v>0</v>
      </c>
      <c r="R231" s="1714">
        <f t="shared" si="33"/>
        <v>3.2376317180805456</v>
      </c>
    </row>
    <row r="232" spans="3:18">
      <c r="C232" s="1712">
        <f t="shared" si="29"/>
        <v>2016</v>
      </c>
      <c r="D232" s="1712">
        <f t="shared" si="30"/>
        <v>8</v>
      </c>
      <c r="E232" s="1723">
        <v>42583</v>
      </c>
      <c r="F232" s="1713">
        <v>77.242900000000006</v>
      </c>
      <c r="G232" s="1713">
        <v>26.840399999999999</v>
      </c>
      <c r="H232" s="1713">
        <v>2.4433275093305529</v>
      </c>
      <c r="I232" s="1713">
        <v>0</v>
      </c>
      <c r="J232" s="1713">
        <f t="shared" si="31"/>
        <v>2.4433275093305529</v>
      </c>
      <c r="K232">
        <f t="shared" si="32"/>
        <v>31613.813418391783</v>
      </c>
      <c r="L232">
        <f t="shared" si="32"/>
        <v>10985.183074107817</v>
      </c>
      <c r="N232" s="1714">
        <f t="shared" si="34"/>
        <v>106.03794893974364</v>
      </c>
      <c r="O232" s="1714">
        <f t="shared" si="35"/>
        <v>36.846117438914064</v>
      </c>
      <c r="P232" s="1714">
        <f t="shared" si="36"/>
        <v>3.354165077663632</v>
      </c>
      <c r="Q232" s="1714">
        <f t="shared" si="37"/>
        <v>0</v>
      </c>
      <c r="R232" s="1714">
        <f t="shared" si="33"/>
        <v>3.354165077663632</v>
      </c>
    </row>
    <row r="233" spans="3:18">
      <c r="C233" s="1712">
        <f t="shared" si="29"/>
        <v>2016</v>
      </c>
      <c r="D233" s="1712">
        <f t="shared" si="30"/>
        <v>9</v>
      </c>
      <c r="E233" s="1723">
        <v>42614</v>
      </c>
      <c r="F233" s="1713">
        <v>51.395299999999999</v>
      </c>
      <c r="G233" s="1713">
        <v>24.317799999999998</v>
      </c>
      <c r="H233" s="1713">
        <v>2.5448299589850625</v>
      </c>
      <c r="I233" s="1713">
        <v>0</v>
      </c>
      <c r="J233" s="1713">
        <f t="shared" si="31"/>
        <v>2.5448299589850625</v>
      </c>
      <c r="K233">
        <f t="shared" si="32"/>
        <v>20195.96626428339</v>
      </c>
      <c r="L233">
        <f t="shared" si="32"/>
        <v>9555.7661580259391</v>
      </c>
      <c r="N233" s="1714">
        <f t="shared" si="34"/>
        <v>70.554733148843525</v>
      </c>
      <c r="O233" s="1714">
        <f t="shared" si="35"/>
        <v>33.383128219252484</v>
      </c>
      <c r="P233" s="1714">
        <f t="shared" si="36"/>
        <v>3.4935061895810224</v>
      </c>
      <c r="Q233" s="1714">
        <f t="shared" si="37"/>
        <v>0</v>
      </c>
      <c r="R233" s="1714">
        <f t="shared" si="33"/>
        <v>3.4935061895810224</v>
      </c>
    </row>
    <row r="234" spans="3:18">
      <c r="C234" s="1712">
        <f t="shared" si="29"/>
        <v>2016</v>
      </c>
      <c r="D234" s="1712">
        <f t="shared" si="30"/>
        <v>10</v>
      </c>
      <c r="E234" s="1723">
        <v>42644</v>
      </c>
      <c r="F234" s="1713">
        <v>40.902299999999997</v>
      </c>
      <c r="G234" s="1713">
        <v>21.6248</v>
      </c>
      <c r="H234" s="1713">
        <v>2.6536011262618908</v>
      </c>
      <c r="I234" s="1713">
        <v>0</v>
      </c>
      <c r="J234" s="1713">
        <f t="shared" si="31"/>
        <v>2.6536011262618908</v>
      </c>
      <c r="K234">
        <f t="shared" si="32"/>
        <v>15413.88402167992</v>
      </c>
      <c r="L234">
        <f t="shared" si="32"/>
        <v>8149.2277742822271</v>
      </c>
      <c r="N234" s="1714">
        <f t="shared" si="34"/>
        <v>56.15009274532774</v>
      </c>
      <c r="O234" s="1714">
        <f t="shared" si="35"/>
        <v>29.686216315443467</v>
      </c>
      <c r="P234" s="1714">
        <f t="shared" si="36"/>
        <v>3.6428256931446721</v>
      </c>
      <c r="Q234" s="1714">
        <f t="shared" si="37"/>
        <v>0</v>
      </c>
      <c r="R234" s="1714">
        <f t="shared" si="33"/>
        <v>3.6428256931446721</v>
      </c>
    </row>
    <row r="235" spans="3:18">
      <c r="C235" s="1712">
        <f t="shared" si="29"/>
        <v>2016</v>
      </c>
      <c r="D235" s="1712">
        <f t="shared" si="30"/>
        <v>11</v>
      </c>
      <c r="E235" s="1723">
        <v>42675</v>
      </c>
      <c r="F235" s="1713">
        <v>39.128</v>
      </c>
      <c r="G235" s="1713">
        <v>23.289400000000001</v>
      </c>
      <c r="H235" s="1713">
        <v>2.7602955170751979</v>
      </c>
      <c r="I235" s="1713">
        <v>0</v>
      </c>
      <c r="J235" s="1713">
        <f t="shared" si="31"/>
        <v>2.7602955170751979</v>
      </c>
      <c r="K235">
        <f t="shared" si="32"/>
        <v>14175.29382559007</v>
      </c>
      <c r="L235">
        <f t="shared" si="32"/>
        <v>8437.2850138442391</v>
      </c>
      <c r="N235" s="1714">
        <f t="shared" si="34"/>
        <v>53.71435906878547</v>
      </c>
      <c r="O235" s="1714">
        <f t="shared" si="35"/>
        <v>31.971355400137302</v>
      </c>
      <c r="P235" s="1714">
        <f t="shared" si="36"/>
        <v>3.7892942276665313</v>
      </c>
      <c r="Q235" s="1714">
        <f t="shared" si="37"/>
        <v>0</v>
      </c>
      <c r="R235" s="1714">
        <f t="shared" si="33"/>
        <v>3.7892942276665313</v>
      </c>
    </row>
    <row r="236" spans="3:18">
      <c r="C236" s="1712">
        <f t="shared" si="29"/>
        <v>2016</v>
      </c>
      <c r="D236" s="1712">
        <f t="shared" si="30"/>
        <v>12</v>
      </c>
      <c r="E236" s="1723">
        <v>42705</v>
      </c>
      <c r="F236" s="1713">
        <v>41.4465</v>
      </c>
      <c r="G236" s="1713">
        <v>24.696999999999999</v>
      </c>
      <c r="H236" s="1713">
        <v>2.8730281861777813</v>
      </c>
      <c r="I236" s="1713">
        <v>0</v>
      </c>
      <c r="J236" s="1713">
        <f t="shared" si="31"/>
        <v>2.8730281861777813</v>
      </c>
      <c r="K236">
        <f t="shared" si="32"/>
        <v>14426.068007059681</v>
      </c>
      <c r="L236">
        <f t="shared" si="32"/>
        <v>8596.1565287865797</v>
      </c>
      <c r="N236" s="1714">
        <f t="shared" si="34"/>
        <v>56.897162726038054</v>
      </c>
      <c r="O236" s="1714">
        <f t="shared" si="35"/>
        <v>33.903688558622846</v>
      </c>
      <c r="P236" s="1714">
        <f t="shared" si="36"/>
        <v>3.9440520243072679</v>
      </c>
      <c r="Q236" s="1714">
        <f t="shared" si="37"/>
        <v>0</v>
      </c>
      <c r="R236" s="1714">
        <f t="shared" si="33"/>
        <v>3.9440520243072679</v>
      </c>
    </row>
    <row r="237" spans="3:18">
      <c r="C237" s="1712">
        <f t="shared" si="29"/>
        <v>2017</v>
      </c>
      <c r="D237" s="1712">
        <f t="shared" si="30"/>
        <v>1</v>
      </c>
      <c r="E237" s="1723">
        <v>42736</v>
      </c>
      <c r="F237" s="1713">
        <v>41.406500000000001</v>
      </c>
      <c r="G237" s="1713">
        <v>24.1448</v>
      </c>
      <c r="H237" s="1713">
        <v>2.7520889873083729</v>
      </c>
      <c r="I237" s="1713">
        <v>0</v>
      </c>
      <c r="J237" s="1713">
        <f t="shared" si="31"/>
        <v>2.7520889873083729</v>
      </c>
      <c r="K237">
        <f t="shared" si="32"/>
        <v>15045.480066579106</v>
      </c>
      <c r="L237">
        <f t="shared" si="32"/>
        <v>8773.2628237484241</v>
      </c>
      <c r="N237" s="1714">
        <f t="shared" si="34"/>
        <v>57.979096323791126</v>
      </c>
      <c r="O237" s="1714">
        <f t="shared" si="35"/>
        <v>33.808549018117247</v>
      </c>
      <c r="P237" s="1714">
        <f t="shared" si="36"/>
        <v>3.8535889893325184</v>
      </c>
      <c r="Q237" s="1714">
        <f t="shared" si="37"/>
        <v>0</v>
      </c>
      <c r="R237" s="1714">
        <f t="shared" si="33"/>
        <v>3.8535889893325184</v>
      </c>
    </row>
    <row r="238" spans="3:18">
      <c r="C238" s="1712">
        <f t="shared" si="29"/>
        <v>2017</v>
      </c>
      <c r="D238" s="1712">
        <f t="shared" si="30"/>
        <v>2</v>
      </c>
      <c r="E238" s="1723">
        <v>42767</v>
      </c>
      <c r="F238" s="1713">
        <v>37.930300000000003</v>
      </c>
      <c r="G238" s="1713">
        <v>21.8401</v>
      </c>
      <c r="H238" s="1713">
        <v>2.5376082323532723</v>
      </c>
      <c r="I238" s="1713">
        <v>0</v>
      </c>
      <c r="J238" s="1713">
        <f t="shared" si="31"/>
        <v>2.5376082323532723</v>
      </c>
      <c r="K238">
        <f t="shared" si="32"/>
        <v>14947.263930029507</v>
      </c>
      <c r="L238">
        <f t="shared" si="32"/>
        <v>8606.5688633687951</v>
      </c>
      <c r="N238" s="1714">
        <f t="shared" si="34"/>
        <v>53.111577102394421</v>
      </c>
      <c r="O238" s="1714">
        <f t="shared" si="35"/>
        <v>30.581412619304469</v>
      </c>
      <c r="P238" s="1714">
        <f t="shared" si="36"/>
        <v>3.5532641526247253</v>
      </c>
      <c r="Q238" s="1714">
        <f t="shared" si="37"/>
        <v>0</v>
      </c>
      <c r="R238" s="1714">
        <f t="shared" si="33"/>
        <v>3.5532641526247253</v>
      </c>
    </row>
    <row r="239" spans="3:18">
      <c r="C239" s="1712">
        <f t="shared" si="29"/>
        <v>2017</v>
      </c>
      <c r="D239" s="1712">
        <f t="shared" si="30"/>
        <v>3</v>
      </c>
      <c r="E239" s="1723">
        <v>42795</v>
      </c>
      <c r="F239" s="1713">
        <v>29.667200000000001</v>
      </c>
      <c r="G239" s="1713">
        <v>19.310199999999998</v>
      </c>
      <c r="H239" s="1713">
        <v>2.3977379957613083</v>
      </c>
      <c r="I239" s="1713">
        <v>0</v>
      </c>
      <c r="J239" s="1713">
        <f t="shared" si="31"/>
        <v>2.3977379957613083</v>
      </c>
      <c r="K239">
        <f t="shared" si="32"/>
        <v>12372.994902881512</v>
      </c>
      <c r="L239">
        <f t="shared" si="32"/>
        <v>8053.5071113425793</v>
      </c>
      <c r="N239" s="1714">
        <f t="shared" si="34"/>
        <v>41.541242231465496</v>
      </c>
      <c r="O239" s="1714">
        <f t="shared" si="35"/>
        <v>27.03894185288955</v>
      </c>
      <c r="P239" s="1714">
        <f t="shared" si="36"/>
        <v>3.3574120540364136</v>
      </c>
      <c r="Q239" s="1714">
        <f t="shared" si="37"/>
        <v>0</v>
      </c>
      <c r="R239" s="1714">
        <f t="shared" si="33"/>
        <v>3.3574120540364136</v>
      </c>
    </row>
    <row r="240" spans="3:18">
      <c r="C240" s="1712">
        <f t="shared" si="29"/>
        <v>2017</v>
      </c>
      <c r="D240" s="1712">
        <f t="shared" si="30"/>
        <v>4</v>
      </c>
      <c r="E240" s="1723">
        <v>42826</v>
      </c>
      <c r="F240" s="1713">
        <v>29.3264</v>
      </c>
      <c r="G240" s="1713">
        <v>20.095300000000002</v>
      </c>
      <c r="H240" s="1713">
        <v>2.3218984115679167</v>
      </c>
      <c r="I240" s="1713">
        <v>0</v>
      </c>
      <c r="J240" s="1713">
        <f t="shared" si="31"/>
        <v>2.3218984115679167</v>
      </c>
      <c r="K240">
        <f t="shared" si="32"/>
        <v>12630.354477996587</v>
      </c>
      <c r="L240">
        <f t="shared" si="32"/>
        <v>8654.6852781686412</v>
      </c>
      <c r="N240" s="1714">
        <f t="shared" si="34"/>
        <v>41.064039955804716</v>
      </c>
      <c r="O240" s="1714">
        <f t="shared" si="35"/>
        <v>28.138271391097529</v>
      </c>
      <c r="P240" s="1714">
        <f t="shared" si="36"/>
        <v>3.2512183270344956</v>
      </c>
      <c r="Q240" s="1714">
        <f t="shared" si="37"/>
        <v>0</v>
      </c>
      <c r="R240" s="1714">
        <f t="shared" si="33"/>
        <v>3.2512183270344956</v>
      </c>
    </row>
    <row r="241" spans="3:18">
      <c r="C241" s="1712">
        <f t="shared" si="29"/>
        <v>2017</v>
      </c>
      <c r="D241" s="1712">
        <f t="shared" si="30"/>
        <v>5</v>
      </c>
      <c r="E241" s="1723">
        <v>42856</v>
      </c>
      <c r="F241" s="1713">
        <v>32.564599999999999</v>
      </c>
      <c r="G241" s="1713">
        <v>19.895499999999998</v>
      </c>
      <c r="H241" s="1713">
        <v>2.3006423343372431</v>
      </c>
      <c r="I241" s="1713">
        <v>0</v>
      </c>
      <c r="J241" s="1713">
        <f t="shared" si="31"/>
        <v>2.3006423343372431</v>
      </c>
      <c r="K241">
        <f t="shared" si="32"/>
        <v>14154.56871064708</v>
      </c>
      <c r="L241">
        <f t="shared" si="32"/>
        <v>8647.8022694176798</v>
      </c>
      <c r="N241" s="1714">
        <f t="shared" si="34"/>
        <v>45.598301719433621</v>
      </c>
      <c r="O241" s="1714">
        <f t="shared" si="35"/>
        <v>27.858503155542877</v>
      </c>
      <c r="P241" s="1714">
        <f t="shared" si="36"/>
        <v>3.2214546872865535</v>
      </c>
      <c r="Q241" s="1714">
        <f t="shared" si="37"/>
        <v>0</v>
      </c>
      <c r="R241" s="1714">
        <f t="shared" si="33"/>
        <v>3.2214546872865535</v>
      </c>
    </row>
    <row r="242" spans="3:18">
      <c r="C242" s="1712">
        <f t="shared" si="29"/>
        <v>2017</v>
      </c>
      <c r="D242" s="1712">
        <f t="shared" si="30"/>
        <v>6</v>
      </c>
      <c r="E242" s="1723">
        <v>42887</v>
      </c>
      <c r="F242" s="1713">
        <v>32.023000000000003</v>
      </c>
      <c r="G242" s="1713">
        <v>19.129899999999999</v>
      </c>
      <c r="H242" s="1713">
        <v>2.3245226186334325</v>
      </c>
      <c r="I242" s="1713">
        <v>0</v>
      </c>
      <c r="J242" s="1713">
        <f t="shared" si="31"/>
        <v>2.3245226186334325</v>
      </c>
      <c r="K242">
        <f t="shared" si="32"/>
        <v>13776.161928175195</v>
      </c>
      <c r="L242">
        <f t="shared" si="32"/>
        <v>8229.6037245042207</v>
      </c>
      <c r="N242" s="1714">
        <f t="shared" si="34"/>
        <v>44.83993096679901</v>
      </c>
      <c r="O242" s="1714">
        <f t="shared" si="35"/>
        <v>26.78647832500916</v>
      </c>
      <c r="P242" s="1714">
        <f t="shared" si="36"/>
        <v>3.254892850460168</v>
      </c>
      <c r="Q242" s="1714">
        <f t="shared" si="37"/>
        <v>0</v>
      </c>
      <c r="R242" s="1714">
        <f t="shared" si="33"/>
        <v>3.254892850460168</v>
      </c>
    </row>
    <row r="243" spans="3:18">
      <c r="C243" s="1712">
        <f t="shared" si="29"/>
        <v>2017</v>
      </c>
      <c r="D243" s="1712">
        <f t="shared" si="30"/>
        <v>7</v>
      </c>
      <c r="E243" s="1723">
        <v>42917</v>
      </c>
      <c r="F243" s="1713">
        <v>47.720500000000001</v>
      </c>
      <c r="G243" s="1713">
        <v>22.9893</v>
      </c>
      <c r="H243" s="1713">
        <v>2.3840921190206292</v>
      </c>
      <c r="I243" s="1713">
        <v>0</v>
      </c>
      <c r="J243" s="1713">
        <f t="shared" si="31"/>
        <v>2.3840921190206292</v>
      </c>
      <c r="K243">
        <f t="shared" si="32"/>
        <v>20016.214817908673</v>
      </c>
      <c r="L243">
        <f t="shared" si="32"/>
        <v>9642.7901491675038</v>
      </c>
      <c r="N243" s="1714">
        <f t="shared" si="34"/>
        <v>66.820220644572089</v>
      </c>
      <c r="O243" s="1714">
        <f t="shared" si="35"/>
        <v>32.190570058240404</v>
      </c>
      <c r="P243" s="1714">
        <f t="shared" si="36"/>
        <v>3.3383045322229203</v>
      </c>
      <c r="Q243" s="1714">
        <f t="shared" si="37"/>
        <v>0</v>
      </c>
      <c r="R243" s="1714">
        <f t="shared" si="33"/>
        <v>3.3383045322229203</v>
      </c>
    </row>
    <row r="244" spans="3:18">
      <c r="C244" s="1712">
        <f t="shared" si="29"/>
        <v>2017</v>
      </c>
      <c r="D244" s="1712">
        <f t="shared" si="30"/>
        <v>8</v>
      </c>
      <c r="E244" s="1723">
        <v>42948</v>
      </c>
      <c r="F244" s="1713">
        <v>66.226299999999995</v>
      </c>
      <c r="G244" s="1713">
        <v>25.9758</v>
      </c>
      <c r="H244" s="1713">
        <v>2.4699036900629787</v>
      </c>
      <c r="I244" s="1713">
        <v>0</v>
      </c>
      <c r="J244" s="1713">
        <f t="shared" si="31"/>
        <v>2.4699036900629787</v>
      </c>
      <c r="K244">
        <f t="shared" si="32"/>
        <v>26813.312707877823</v>
      </c>
      <c r="L244">
        <f t="shared" si="32"/>
        <v>10516.928293401455</v>
      </c>
      <c r="N244" s="1714">
        <f t="shared" si="34"/>
        <v>92.732808299863251</v>
      </c>
      <c r="O244" s="1714">
        <f t="shared" si="35"/>
        <v>36.372391056658579</v>
      </c>
      <c r="P244" s="1714">
        <f t="shared" si="36"/>
        <v>3.4584614482423914</v>
      </c>
      <c r="Q244" s="1714">
        <f t="shared" si="37"/>
        <v>0</v>
      </c>
      <c r="R244" s="1714">
        <f t="shared" si="33"/>
        <v>3.4584614482423914</v>
      </c>
    </row>
    <row r="245" spans="3:18">
      <c r="C245" s="1712">
        <f t="shared" si="29"/>
        <v>2017</v>
      </c>
      <c r="D245" s="1712">
        <f t="shared" si="30"/>
        <v>9</v>
      </c>
      <c r="E245" s="1723">
        <v>42979</v>
      </c>
      <c r="F245" s="1713">
        <v>50.213900000000002</v>
      </c>
      <c r="G245" s="1713">
        <v>23.693999999999999</v>
      </c>
      <c r="H245" s="1713">
        <v>2.5725101863246258</v>
      </c>
      <c r="I245" s="1713">
        <v>0</v>
      </c>
      <c r="J245" s="1713">
        <f t="shared" si="31"/>
        <v>2.5725101863246258</v>
      </c>
      <c r="K245">
        <f t="shared" si="32"/>
        <v>19519.417363995424</v>
      </c>
      <c r="L245">
        <f t="shared" si="32"/>
        <v>9210.4591561800135</v>
      </c>
      <c r="N245" s="1714">
        <f t="shared" si="34"/>
        <v>70.31158259918648</v>
      </c>
      <c r="O245" s="1714">
        <f t="shared" si="35"/>
        <v>33.177320186345305</v>
      </c>
      <c r="P245" s="1714">
        <f t="shared" si="36"/>
        <v>3.6021353141861621</v>
      </c>
      <c r="Q245" s="1714">
        <f t="shared" si="37"/>
        <v>0</v>
      </c>
      <c r="R245" s="1714">
        <f t="shared" si="33"/>
        <v>3.6021353141861621</v>
      </c>
    </row>
    <row r="246" spans="3:18">
      <c r="C246" s="1712">
        <f t="shared" si="29"/>
        <v>2017</v>
      </c>
      <c r="D246" s="1712">
        <f t="shared" si="30"/>
        <v>10</v>
      </c>
      <c r="E246" s="1723">
        <v>43009</v>
      </c>
      <c r="F246" s="1713">
        <v>40.350299999999997</v>
      </c>
      <c r="G246" s="1713">
        <v>21.7134</v>
      </c>
      <c r="H246" s="1713">
        <v>2.6824644623697163</v>
      </c>
      <c r="I246" s="1713">
        <v>0</v>
      </c>
      <c r="J246" s="1713">
        <f t="shared" si="31"/>
        <v>2.6824644623697163</v>
      </c>
      <c r="K246">
        <f t="shared" si="32"/>
        <v>15042.249605183635</v>
      </c>
      <c r="L246">
        <f t="shared" si="32"/>
        <v>8094.5713557816016</v>
      </c>
      <c r="N246" s="1714">
        <f t="shared" si="34"/>
        <v>56.50016133684008</v>
      </c>
      <c r="O246" s="1714">
        <f t="shared" si="35"/>
        <v>30.404002031492787</v>
      </c>
      <c r="P246" s="1714">
        <f t="shared" si="36"/>
        <v>3.7560978457218153</v>
      </c>
      <c r="Q246" s="1714">
        <f t="shared" si="37"/>
        <v>0</v>
      </c>
      <c r="R246" s="1714">
        <f t="shared" si="33"/>
        <v>3.7560978457218153</v>
      </c>
    </row>
    <row r="247" spans="3:18">
      <c r="C247" s="1712">
        <f t="shared" si="29"/>
        <v>2017</v>
      </c>
      <c r="D247" s="1712">
        <f t="shared" si="30"/>
        <v>11</v>
      </c>
      <c r="E247" s="1723">
        <v>43040</v>
      </c>
      <c r="F247" s="1713">
        <v>41.898499999999999</v>
      </c>
      <c r="G247" s="1713">
        <v>23.856999999999999</v>
      </c>
      <c r="H247" s="1713">
        <v>2.7903193727623932</v>
      </c>
      <c r="I247" s="1713">
        <v>0</v>
      </c>
      <c r="J247" s="1713">
        <f t="shared" si="31"/>
        <v>2.7903193727623932</v>
      </c>
      <c r="K247">
        <f t="shared" si="32"/>
        <v>15015.664661540455</v>
      </c>
      <c r="L247">
        <f t="shared" si="32"/>
        <v>8549.9173438278376</v>
      </c>
      <c r="N247" s="1714">
        <f t="shared" si="34"/>
        <v>58.668015102033792</v>
      </c>
      <c r="O247" s="1714">
        <f t="shared" si="35"/>
        <v>33.405559537673668</v>
      </c>
      <c r="P247" s="1714">
        <f t="shared" si="36"/>
        <v>3.9071207585169287</v>
      </c>
      <c r="Q247" s="1714">
        <f t="shared" si="37"/>
        <v>0</v>
      </c>
      <c r="R247" s="1714">
        <f t="shared" si="33"/>
        <v>3.9071207585169287</v>
      </c>
    </row>
    <row r="248" spans="3:18">
      <c r="C248" s="1712">
        <f t="shared" si="29"/>
        <v>2017</v>
      </c>
      <c r="D248" s="1712">
        <f t="shared" si="30"/>
        <v>12</v>
      </c>
      <c r="E248" s="1723">
        <v>43070</v>
      </c>
      <c r="F248" s="1713">
        <v>41.380299999999998</v>
      </c>
      <c r="G248" s="1713">
        <v>25.324100000000001</v>
      </c>
      <c r="H248" s="1713">
        <v>2.9042782400627529</v>
      </c>
      <c r="I248" s="1713">
        <v>0</v>
      </c>
      <c r="J248" s="1713">
        <f t="shared" si="31"/>
        <v>2.9042782400627529</v>
      </c>
      <c r="K248">
        <f t="shared" si="32"/>
        <v>14248.049456551342</v>
      </c>
      <c r="L248">
        <f t="shared" si="32"/>
        <v>8719.5846632975572</v>
      </c>
      <c r="N248" s="1714">
        <f t="shared" si="34"/>
        <v>57.942409998608277</v>
      </c>
      <c r="O248" s="1714">
        <f t="shared" si="35"/>
        <v>35.459853723770877</v>
      </c>
      <c r="P248" s="1714">
        <f t="shared" si="36"/>
        <v>4.0666906845951454</v>
      </c>
      <c r="Q248" s="1714">
        <f t="shared" si="37"/>
        <v>0</v>
      </c>
      <c r="R248" s="1714">
        <f t="shared" si="33"/>
        <v>4.0666906845951454</v>
      </c>
    </row>
    <row r="249" spans="3:18">
      <c r="C249" s="1712">
        <f t="shared" si="29"/>
        <v>2018</v>
      </c>
      <c r="D249" s="1712">
        <f t="shared" si="30"/>
        <v>1</v>
      </c>
      <c r="E249" s="1723">
        <v>43101</v>
      </c>
      <c r="F249" s="1713">
        <v>42.0548</v>
      </c>
      <c r="G249" s="1713">
        <v>23.8353</v>
      </c>
      <c r="H249" s="1713">
        <v>2.7773197392624982</v>
      </c>
      <c r="I249" s="1713">
        <v>0</v>
      </c>
      <c r="J249" s="1713">
        <f t="shared" si="31"/>
        <v>2.7773197392624982</v>
      </c>
      <c r="K249">
        <f t="shared" si="32"/>
        <v>15142.224859989445</v>
      </c>
      <c r="L249">
        <f t="shared" si="32"/>
        <v>8582.1231394586684</v>
      </c>
      <c r="N249" s="1714">
        <f t="shared" si="34"/>
        <v>60.064610292570634</v>
      </c>
      <c r="O249" s="1714">
        <f t="shared" si="35"/>
        <v>34.042677784854732</v>
      </c>
      <c r="P249" s="1714">
        <f t="shared" si="36"/>
        <v>3.966696495921175</v>
      </c>
      <c r="Q249" s="1714">
        <f t="shared" si="37"/>
        <v>0</v>
      </c>
      <c r="R249" s="1714">
        <f t="shared" si="33"/>
        <v>3.966696495921175</v>
      </c>
    </row>
    <row r="250" spans="3:18">
      <c r="C250" s="1712">
        <f t="shared" ref="C250:C313" si="38">C238+1</f>
        <v>2018</v>
      </c>
      <c r="D250" s="1712">
        <f t="shared" ref="D250:D313" si="39">D238</f>
        <v>2</v>
      </c>
      <c r="E250" s="1723">
        <v>43132</v>
      </c>
      <c r="F250" s="1713">
        <v>36.5593</v>
      </c>
      <c r="G250" s="1713">
        <v>20.340199999999999</v>
      </c>
      <c r="H250" s="1713">
        <v>2.5608726559102557</v>
      </c>
      <c r="I250" s="1713">
        <v>0</v>
      </c>
      <c r="J250" s="1713">
        <f t="shared" si="31"/>
        <v>2.5608726559102557</v>
      </c>
      <c r="K250">
        <f t="shared" si="32"/>
        <v>14276.110104742827</v>
      </c>
      <c r="L250">
        <f t="shared" si="32"/>
        <v>7942.6831135303473</v>
      </c>
      <c r="N250" s="1714">
        <f t="shared" si="34"/>
        <v>52.215683039015225</v>
      </c>
      <c r="O250" s="1714">
        <f t="shared" si="35"/>
        <v>29.050814324950903</v>
      </c>
      <c r="P250" s="1714">
        <f t="shared" si="36"/>
        <v>3.6575567613245061</v>
      </c>
      <c r="Q250" s="1714">
        <f t="shared" si="37"/>
        <v>0</v>
      </c>
      <c r="R250" s="1714">
        <f t="shared" si="33"/>
        <v>3.6575567613245061</v>
      </c>
    </row>
    <row r="251" spans="3:18">
      <c r="C251" s="1712">
        <f t="shared" si="38"/>
        <v>2018</v>
      </c>
      <c r="D251" s="1712">
        <f t="shared" si="39"/>
        <v>3</v>
      </c>
      <c r="E251" s="1723">
        <v>43160</v>
      </c>
      <c r="F251" s="1713">
        <v>30.1251</v>
      </c>
      <c r="G251" s="1713">
        <v>19.844100000000001</v>
      </c>
      <c r="H251" s="1713">
        <v>2.4197201093125136</v>
      </c>
      <c r="I251" s="1713">
        <v>0</v>
      </c>
      <c r="J251" s="1713">
        <f t="shared" si="31"/>
        <v>2.4197201093125136</v>
      </c>
      <c r="K251">
        <f t="shared" si="32"/>
        <v>12449.828343394263</v>
      </c>
      <c r="L251">
        <f t="shared" si="32"/>
        <v>8200.9898267275494</v>
      </c>
      <c r="N251" s="1714">
        <f t="shared" si="34"/>
        <v>43.026061032859971</v>
      </c>
      <c r="O251" s="1714">
        <f t="shared" si="35"/>
        <v>28.342261361528315</v>
      </c>
      <c r="P251" s="1714">
        <f t="shared" si="36"/>
        <v>3.4559561663104459</v>
      </c>
      <c r="Q251" s="1714">
        <f t="shared" si="37"/>
        <v>0</v>
      </c>
      <c r="R251" s="1714">
        <f t="shared" si="33"/>
        <v>3.4559561663104459</v>
      </c>
    </row>
    <row r="252" spans="3:18">
      <c r="C252" s="1712">
        <f t="shared" si="38"/>
        <v>2018</v>
      </c>
      <c r="D252" s="1712">
        <f t="shared" si="39"/>
        <v>4</v>
      </c>
      <c r="E252" s="1723">
        <v>43191</v>
      </c>
      <c r="F252" s="1713">
        <v>28.655200000000001</v>
      </c>
      <c r="G252" s="1713">
        <v>19.925000000000001</v>
      </c>
      <c r="H252" s="1713">
        <v>2.3431852388308112</v>
      </c>
      <c r="I252" s="1713">
        <v>0</v>
      </c>
      <c r="J252" s="1713">
        <f t="shared" si="31"/>
        <v>2.3431852388308112</v>
      </c>
      <c r="K252">
        <f t="shared" si="32"/>
        <v>12229.165464655371</v>
      </c>
      <c r="L252">
        <f t="shared" si="32"/>
        <v>8503.3823488671587</v>
      </c>
      <c r="N252" s="1714">
        <f t="shared" si="34"/>
        <v>40.926681873547608</v>
      </c>
      <c r="O252" s="1714">
        <f t="shared" si="35"/>
        <v>28.457806482957235</v>
      </c>
      <c r="P252" s="1714">
        <f t="shared" si="36"/>
        <v>3.3466455247362186</v>
      </c>
      <c r="Q252" s="1714">
        <f t="shared" si="37"/>
        <v>0</v>
      </c>
      <c r="R252" s="1714">
        <f t="shared" si="33"/>
        <v>3.3466455247362186</v>
      </c>
    </row>
    <row r="253" spans="3:18">
      <c r="C253" s="1712">
        <f t="shared" si="38"/>
        <v>2018</v>
      </c>
      <c r="D253" s="1712">
        <f t="shared" si="39"/>
        <v>5</v>
      </c>
      <c r="E253" s="1723">
        <v>43221</v>
      </c>
      <c r="F253" s="1713">
        <v>32.4527</v>
      </c>
      <c r="G253" s="1713">
        <v>20.0609</v>
      </c>
      <c r="H253" s="1713">
        <v>2.3217342889726176</v>
      </c>
      <c r="I253" s="1713">
        <v>0</v>
      </c>
      <c r="J253" s="1713">
        <f t="shared" si="31"/>
        <v>2.3217342889726176</v>
      </c>
      <c r="K253">
        <f t="shared" si="32"/>
        <v>13977.783829156664</v>
      </c>
      <c r="L253">
        <f t="shared" si="32"/>
        <v>8640.4805645856559</v>
      </c>
      <c r="N253" s="1714">
        <f t="shared" si="34"/>
        <v>46.350446998718503</v>
      </c>
      <c r="O253" s="1714">
        <f t="shared" si="35"/>
        <v>28.65190514800285</v>
      </c>
      <c r="P253" s="1714">
        <f t="shared" si="36"/>
        <v>3.3160082860943065</v>
      </c>
      <c r="Q253" s="1714">
        <f t="shared" si="37"/>
        <v>0</v>
      </c>
      <c r="R253" s="1714">
        <f t="shared" si="33"/>
        <v>3.3160082860943065</v>
      </c>
    </row>
    <row r="254" spans="3:18">
      <c r="C254" s="1712">
        <f t="shared" si="38"/>
        <v>2018</v>
      </c>
      <c r="D254" s="1712">
        <f t="shared" si="39"/>
        <v>6</v>
      </c>
      <c r="E254" s="1723">
        <v>43252</v>
      </c>
      <c r="F254" s="1713">
        <v>31.473400000000002</v>
      </c>
      <c r="G254" s="1713">
        <v>19.098400000000002</v>
      </c>
      <c r="H254" s="1713">
        <v>2.345833504245403</v>
      </c>
      <c r="I254" s="1713">
        <v>0</v>
      </c>
      <c r="J254" s="1713">
        <f t="shared" si="31"/>
        <v>2.345833504245403</v>
      </c>
      <c r="K254">
        <f t="shared" si="32"/>
        <v>13416.72371165328</v>
      </c>
      <c r="L254">
        <f t="shared" si="32"/>
        <v>8141.4132611868745</v>
      </c>
      <c r="N254" s="1714">
        <f t="shared" si="34"/>
        <v>44.951765448467064</v>
      </c>
      <c r="O254" s="1714">
        <f t="shared" si="35"/>
        <v>27.27721813471069</v>
      </c>
      <c r="P254" s="1714">
        <f t="shared" si="36"/>
        <v>3.3504278998771952</v>
      </c>
      <c r="Q254" s="1714">
        <f t="shared" si="37"/>
        <v>0</v>
      </c>
      <c r="R254" s="1714">
        <f t="shared" si="33"/>
        <v>3.3504278998771952</v>
      </c>
    </row>
    <row r="255" spans="3:18">
      <c r="C255" s="1712">
        <f t="shared" si="38"/>
        <v>2018</v>
      </c>
      <c r="D255" s="1712">
        <f t="shared" si="39"/>
        <v>7</v>
      </c>
      <c r="E255" s="1723">
        <v>43282</v>
      </c>
      <c r="F255" s="1713">
        <v>47.921300000000002</v>
      </c>
      <c r="G255" s="1713">
        <v>23.5246</v>
      </c>
      <c r="H255" s="1713">
        <v>2.4059491291566366</v>
      </c>
      <c r="I255" s="1713">
        <v>0</v>
      </c>
      <c r="J255" s="1713">
        <f t="shared" si="31"/>
        <v>2.4059491291566366</v>
      </c>
      <c r="K255">
        <f t="shared" si="32"/>
        <v>19917.835925649008</v>
      </c>
      <c r="L255">
        <f t="shared" si="32"/>
        <v>9777.6797168800222</v>
      </c>
      <c r="N255" s="1714">
        <f t="shared" si="34"/>
        <v>68.443416903976839</v>
      </c>
      <c r="O255" s="1714">
        <f t="shared" si="35"/>
        <v>33.598921675732782</v>
      </c>
      <c r="P255" s="1714">
        <f t="shared" si="36"/>
        <v>3.4362878155773675</v>
      </c>
      <c r="Q255" s="1714">
        <f t="shared" si="37"/>
        <v>0</v>
      </c>
      <c r="R255" s="1714">
        <f t="shared" si="33"/>
        <v>3.4362878155773675</v>
      </c>
    </row>
    <row r="256" spans="3:18">
      <c r="C256" s="1712">
        <f t="shared" si="38"/>
        <v>2018</v>
      </c>
      <c r="D256" s="1712">
        <f t="shared" si="39"/>
        <v>8</v>
      </c>
      <c r="E256" s="1723">
        <v>43313</v>
      </c>
      <c r="F256" s="1713">
        <v>62.697200000000002</v>
      </c>
      <c r="G256" s="1713">
        <v>26.3658</v>
      </c>
      <c r="H256" s="1713">
        <v>2.4925474082137882</v>
      </c>
      <c r="I256" s="1713">
        <v>0</v>
      </c>
      <c r="J256" s="1713">
        <f t="shared" si="31"/>
        <v>2.4925474082137882</v>
      </c>
      <c r="K256">
        <f t="shared" si="32"/>
        <v>25153.864593865492</v>
      </c>
      <c r="L256">
        <f t="shared" si="32"/>
        <v>10577.852968058203</v>
      </c>
      <c r="N256" s="1714">
        <f t="shared" si="34"/>
        <v>89.547040633539083</v>
      </c>
      <c r="O256" s="1714">
        <f t="shared" si="35"/>
        <v>37.656854914346489</v>
      </c>
      <c r="P256" s="1714">
        <f t="shared" si="36"/>
        <v>3.559971482687307</v>
      </c>
      <c r="Q256" s="1714">
        <f t="shared" si="37"/>
        <v>0</v>
      </c>
      <c r="R256" s="1714">
        <f t="shared" si="33"/>
        <v>3.559971482687307</v>
      </c>
    </row>
    <row r="257" spans="3:18">
      <c r="C257" s="1712">
        <f t="shared" si="38"/>
        <v>2018</v>
      </c>
      <c r="D257" s="1712">
        <f t="shared" si="39"/>
        <v>9</v>
      </c>
      <c r="E257" s="1723">
        <v>43344</v>
      </c>
      <c r="F257" s="1713">
        <v>49.439399999999999</v>
      </c>
      <c r="G257" s="1713">
        <v>23.872800000000002</v>
      </c>
      <c r="H257" s="1713">
        <v>2.5960945859243267</v>
      </c>
      <c r="I257" s="1713">
        <v>0</v>
      </c>
      <c r="J257" s="1713">
        <f t="shared" si="31"/>
        <v>2.5960945859243267</v>
      </c>
      <c r="K257">
        <f t="shared" si="32"/>
        <v>19043.759140384842</v>
      </c>
      <c r="L257">
        <f t="shared" si="32"/>
        <v>9195.6587904905646</v>
      </c>
      <c r="N257" s="1714">
        <f t="shared" si="34"/>
        <v>70.611637532422378</v>
      </c>
      <c r="O257" s="1714">
        <f t="shared" si="35"/>
        <v>34.096237019138847</v>
      </c>
      <c r="P257" s="1714">
        <f t="shared" si="36"/>
        <v>3.707862350699497</v>
      </c>
      <c r="Q257" s="1714">
        <f t="shared" si="37"/>
        <v>0</v>
      </c>
      <c r="R257" s="1714">
        <f t="shared" si="33"/>
        <v>3.707862350699497</v>
      </c>
    </row>
    <row r="258" spans="3:18">
      <c r="C258" s="1712">
        <f t="shared" si="38"/>
        <v>2018</v>
      </c>
      <c r="D258" s="1712">
        <f t="shared" si="39"/>
        <v>10</v>
      </c>
      <c r="E258" s="1723">
        <v>43374</v>
      </c>
      <c r="F258" s="1713">
        <v>40.245800000000003</v>
      </c>
      <c r="G258" s="1713">
        <v>22.663799999999998</v>
      </c>
      <c r="H258" s="1713">
        <v>2.7070569067957231</v>
      </c>
      <c r="I258" s="1713">
        <v>0</v>
      </c>
      <c r="J258" s="1713">
        <f t="shared" si="31"/>
        <v>2.7070569067957231</v>
      </c>
      <c r="K258">
        <f t="shared" si="32"/>
        <v>14866.99444661397</v>
      </c>
      <c r="L258">
        <f t="shared" si="32"/>
        <v>8372.1180530432885</v>
      </c>
      <c r="N258" s="1714">
        <f t="shared" si="34"/>
        <v>57.480912830705158</v>
      </c>
      <c r="O258" s="1714">
        <f t="shared" si="35"/>
        <v>32.369487305819128</v>
      </c>
      <c r="P258" s="1714">
        <f t="shared" si="36"/>
        <v>3.8663438691064234</v>
      </c>
      <c r="Q258" s="1714">
        <f t="shared" si="37"/>
        <v>0</v>
      </c>
      <c r="R258" s="1714">
        <f t="shared" si="33"/>
        <v>3.8663438691064234</v>
      </c>
    </row>
    <row r="259" spans="3:18">
      <c r="C259" s="1712">
        <f t="shared" si="38"/>
        <v>2018</v>
      </c>
      <c r="D259" s="1712">
        <f t="shared" si="39"/>
        <v>11</v>
      </c>
      <c r="E259" s="1723">
        <v>43405</v>
      </c>
      <c r="F259" s="1713">
        <v>40.850999999999999</v>
      </c>
      <c r="G259" s="1713">
        <v>24.6099</v>
      </c>
      <c r="H259" s="1713">
        <v>2.8159006153354444</v>
      </c>
      <c r="I259" s="1713">
        <v>0</v>
      </c>
      <c r="J259" s="1713">
        <f t="shared" si="31"/>
        <v>2.8159006153354444</v>
      </c>
      <c r="K259">
        <f t="shared" si="32"/>
        <v>14507.259161607029</v>
      </c>
      <c r="L259">
        <f t="shared" si="32"/>
        <v>8739.6195256231877</v>
      </c>
      <c r="N259" s="1714">
        <f t="shared" si="34"/>
        <v>58.345287459738316</v>
      </c>
      <c r="O259" s="1714">
        <f t="shared" si="35"/>
        <v>35.148997328227317</v>
      </c>
      <c r="P259" s="1714">
        <f t="shared" si="36"/>
        <v>4.0217994874005658</v>
      </c>
      <c r="Q259" s="1714">
        <f t="shared" si="37"/>
        <v>0</v>
      </c>
      <c r="R259" s="1714">
        <f t="shared" si="33"/>
        <v>4.0217994874005658</v>
      </c>
    </row>
    <row r="260" spans="3:18">
      <c r="C260" s="1712">
        <f t="shared" si="38"/>
        <v>2018</v>
      </c>
      <c r="D260" s="1712">
        <f t="shared" si="39"/>
        <v>12</v>
      </c>
      <c r="E260" s="1723">
        <v>43435</v>
      </c>
      <c r="F260" s="1713">
        <v>40.8337</v>
      </c>
      <c r="G260" s="1713">
        <v>25.178599999999999</v>
      </c>
      <c r="H260" s="1713">
        <v>2.9309042409728669</v>
      </c>
      <c r="I260" s="1713">
        <v>0</v>
      </c>
      <c r="J260" s="1713">
        <f t="shared" si="31"/>
        <v>2.9309042409728669</v>
      </c>
      <c r="K260">
        <f t="shared" si="32"/>
        <v>13932.116726695207</v>
      </c>
      <c r="L260">
        <f t="shared" si="32"/>
        <v>8590.7276150524667</v>
      </c>
      <c r="N260" s="1714">
        <f t="shared" si="34"/>
        <v>58.320578799655244</v>
      </c>
      <c r="O260" s="1714">
        <f t="shared" si="35"/>
        <v>35.961240969223937</v>
      </c>
      <c r="P260" s="1714">
        <f t="shared" si="36"/>
        <v>4.1860529841748813</v>
      </c>
      <c r="Q260" s="1714">
        <f t="shared" si="37"/>
        <v>0</v>
      </c>
      <c r="R260" s="1714">
        <f t="shared" si="33"/>
        <v>4.1860529841748813</v>
      </c>
    </row>
    <row r="261" spans="3:18">
      <c r="C261" s="1712">
        <f t="shared" si="38"/>
        <v>2019</v>
      </c>
      <c r="D261" s="1712">
        <f t="shared" si="39"/>
        <v>1</v>
      </c>
      <c r="E261" s="1723">
        <v>43466</v>
      </c>
      <c r="F261" s="1713">
        <v>43.254899999999999</v>
      </c>
      <c r="G261" s="1713">
        <v>23.920200000000001</v>
      </c>
      <c r="H261" s="1713">
        <v>2.7906599391698661</v>
      </c>
      <c r="I261" s="1713">
        <v>0</v>
      </c>
      <c r="J261" s="1713">
        <f t="shared" si="31"/>
        <v>2.7906599391698661</v>
      </c>
      <c r="K261">
        <f t="shared" si="32"/>
        <v>15499.882086266296</v>
      </c>
      <c r="L261">
        <f t="shared" si="32"/>
        <v>8571.5209023696061</v>
      </c>
      <c r="N261" s="1714">
        <f t="shared" si="34"/>
        <v>63.014221586572653</v>
      </c>
      <c r="O261" s="1714">
        <f t="shared" si="35"/>
        <v>34.847214609099439</v>
      </c>
      <c r="P261" s="1714">
        <f t="shared" si="36"/>
        <v>4.065464578108406</v>
      </c>
      <c r="Q261" s="1714">
        <f t="shared" si="37"/>
        <v>0</v>
      </c>
      <c r="R261" s="1714">
        <f t="shared" si="33"/>
        <v>4.065464578108406</v>
      </c>
    </row>
    <row r="262" spans="3:18">
      <c r="C262" s="1712">
        <f t="shared" si="38"/>
        <v>2019</v>
      </c>
      <c r="D262" s="1712">
        <f t="shared" si="39"/>
        <v>2</v>
      </c>
      <c r="E262" s="1723">
        <v>43497</v>
      </c>
      <c r="F262" s="1713">
        <v>37.084899999999998</v>
      </c>
      <c r="G262" s="1713">
        <v>20.502500000000001</v>
      </c>
      <c r="H262" s="1713">
        <v>2.5731732033352444</v>
      </c>
      <c r="I262" s="1713">
        <v>0</v>
      </c>
      <c r="J262" s="1713">
        <f t="shared" si="31"/>
        <v>2.5731732033352444</v>
      </c>
      <c r="K262">
        <f t="shared" si="32"/>
        <v>14412.12738883338</v>
      </c>
      <c r="L262">
        <f t="shared" si="32"/>
        <v>7967.7885551681784</v>
      </c>
      <c r="N262" s="1714">
        <f t="shared" si="34"/>
        <v>54.025696652076135</v>
      </c>
      <c r="O262" s="1714">
        <f t="shared" si="35"/>
        <v>29.868271064751184</v>
      </c>
      <c r="P262" s="1714">
        <f t="shared" si="36"/>
        <v>3.7486274714679277</v>
      </c>
      <c r="Q262" s="1714">
        <f t="shared" si="37"/>
        <v>0</v>
      </c>
      <c r="R262" s="1714">
        <f t="shared" si="33"/>
        <v>3.7486274714679277</v>
      </c>
    </row>
    <row r="263" spans="3:18">
      <c r="C263" s="1712">
        <f t="shared" si="38"/>
        <v>2019</v>
      </c>
      <c r="D263" s="1712">
        <f t="shared" si="39"/>
        <v>3</v>
      </c>
      <c r="E263" s="1723">
        <v>43525</v>
      </c>
      <c r="F263" s="1713">
        <v>30.026499999999999</v>
      </c>
      <c r="G263" s="1713">
        <v>19.9482</v>
      </c>
      <c r="H263" s="1713">
        <v>2.4313426637925675</v>
      </c>
      <c r="I263" s="1713">
        <v>0</v>
      </c>
      <c r="J263" s="1713">
        <f t="shared" si="31"/>
        <v>2.4313426637925675</v>
      </c>
      <c r="K263">
        <f t="shared" si="32"/>
        <v>12349.760668108665</v>
      </c>
      <c r="L263">
        <f t="shared" si="32"/>
        <v>8204.6024598126751</v>
      </c>
      <c r="N263" s="1714">
        <f t="shared" si="34"/>
        <v>43.742940671905927</v>
      </c>
      <c r="O263" s="1714">
        <f t="shared" si="35"/>
        <v>29.060760631819022</v>
      </c>
      <c r="P263" s="1714">
        <f t="shared" si="36"/>
        <v>3.5420071568565104</v>
      </c>
      <c r="Q263" s="1714">
        <f t="shared" si="37"/>
        <v>0</v>
      </c>
      <c r="R263" s="1714">
        <f t="shared" si="33"/>
        <v>3.5420071568565104</v>
      </c>
    </row>
    <row r="264" spans="3:18">
      <c r="C264" s="1712">
        <f t="shared" si="38"/>
        <v>2019</v>
      </c>
      <c r="D264" s="1712">
        <f t="shared" si="39"/>
        <v>4</v>
      </c>
      <c r="E264" s="1723">
        <v>43556</v>
      </c>
      <c r="F264" s="1713">
        <v>29.074300000000001</v>
      </c>
      <c r="G264" s="1713">
        <v>19.880700000000001</v>
      </c>
      <c r="H264" s="1713">
        <v>2.3544401761230862</v>
      </c>
      <c r="I264" s="1713">
        <v>0</v>
      </c>
      <c r="J264" s="1713">
        <f t="shared" si="31"/>
        <v>2.3544401761230862</v>
      </c>
      <c r="K264">
        <f t="shared" si="32"/>
        <v>12348.710447115665</v>
      </c>
      <c r="L264">
        <f t="shared" si="32"/>
        <v>8443.918092128526</v>
      </c>
      <c r="N264" s="1714">
        <f t="shared" si="34"/>
        <v>42.355765073424962</v>
      </c>
      <c r="O264" s="1714">
        <f t="shared" si="35"/>
        <v>28.962425877673397</v>
      </c>
      <c r="P264" s="1714">
        <f t="shared" si="36"/>
        <v>3.4299747536244287</v>
      </c>
      <c r="Q264" s="1714">
        <f t="shared" si="37"/>
        <v>0</v>
      </c>
      <c r="R264" s="1714">
        <f t="shared" si="33"/>
        <v>3.4299747536244287</v>
      </c>
    </row>
    <row r="265" spans="3:18">
      <c r="C265" s="1712">
        <f t="shared" si="38"/>
        <v>2019</v>
      </c>
      <c r="D265" s="1712">
        <f t="shared" si="39"/>
        <v>5</v>
      </c>
      <c r="E265" s="1723">
        <v>43586</v>
      </c>
      <c r="F265" s="1713">
        <v>32.465000000000003</v>
      </c>
      <c r="G265" s="1713">
        <v>20.177800000000001</v>
      </c>
      <c r="H265" s="1713">
        <v>2.332886191689771</v>
      </c>
      <c r="I265" s="1713">
        <v>0</v>
      </c>
      <c r="J265" s="1713">
        <f t="shared" ref="J265:J297" si="40">SUM(H265:I265)</f>
        <v>2.332886191689771</v>
      </c>
      <c r="K265">
        <f t="shared" ref="K265:L284" si="41">F265/$J265*1000</f>
        <v>13916.238226985583</v>
      </c>
      <c r="L265">
        <f t="shared" si="41"/>
        <v>8649.286052563366</v>
      </c>
      <c r="N265" s="1714">
        <f t="shared" si="34"/>
        <v>47.295374716114971</v>
      </c>
      <c r="O265" s="1714">
        <f t="shared" si="35"/>
        <v>29.395244477031408</v>
      </c>
      <c r="P265" s="1714">
        <f t="shared" si="36"/>
        <v>3.3985746682894851</v>
      </c>
      <c r="Q265" s="1714">
        <f t="shared" si="37"/>
        <v>0</v>
      </c>
      <c r="R265" s="1714">
        <f t="shared" ref="R265:R285" si="42">SUM(P265:Q265)</f>
        <v>3.3985746682894851</v>
      </c>
    </row>
    <row r="266" spans="3:18">
      <c r="C266" s="1712">
        <f t="shared" si="38"/>
        <v>2019</v>
      </c>
      <c r="D266" s="1712">
        <f t="shared" si="39"/>
        <v>6</v>
      </c>
      <c r="E266" s="1723">
        <v>43617</v>
      </c>
      <c r="F266" s="1713">
        <v>32.665500000000002</v>
      </c>
      <c r="G266" s="1713">
        <v>19.2728</v>
      </c>
      <c r="H266" s="1713">
        <v>2.3571011618555944</v>
      </c>
      <c r="I266" s="1713">
        <v>0</v>
      </c>
      <c r="J266" s="1713">
        <f t="shared" si="40"/>
        <v>2.3571011618555944</v>
      </c>
      <c r="K266">
        <f t="shared" si="41"/>
        <v>13858.336047946517</v>
      </c>
      <c r="L266">
        <f t="shared" si="41"/>
        <v>8176.4840270274026</v>
      </c>
      <c r="N266" s="1714">
        <f t="shared" ref="N266:N284" si="43">F266*(1+$D$4)^($C266-$D$3)</f>
        <v>47.587465356206792</v>
      </c>
      <c r="O266" s="1714">
        <f t="shared" ref="O266:O284" si="44">G266*(1+$D$4)^($C266-$D$3)</f>
        <v>28.076830365893748</v>
      </c>
      <c r="P266" s="1714">
        <f t="shared" ref="P266:P284" si="45">H266*(1+$D$4)^($C266-$D$3)</f>
        <v>3.4338513073694839</v>
      </c>
      <c r="Q266" s="1714">
        <f t="shared" ref="Q266:Q284" si="46">I266*(1+$D$4)^($C266-$D$3)</f>
        <v>0</v>
      </c>
      <c r="R266" s="1714">
        <f t="shared" si="42"/>
        <v>3.4338513073694839</v>
      </c>
    </row>
    <row r="267" spans="3:18">
      <c r="C267" s="1712">
        <f t="shared" si="38"/>
        <v>2019</v>
      </c>
      <c r="D267" s="1712">
        <f t="shared" si="39"/>
        <v>7</v>
      </c>
      <c r="E267" s="1723">
        <v>43647</v>
      </c>
      <c r="F267" s="1713">
        <v>48.534300000000002</v>
      </c>
      <c r="G267" s="1713">
        <v>22.750399999999999</v>
      </c>
      <c r="H267" s="1713">
        <v>2.417505537983526</v>
      </c>
      <c r="I267" s="1713">
        <v>0</v>
      </c>
      <c r="J267" s="1713">
        <f t="shared" si="40"/>
        <v>2.417505537983526</v>
      </c>
      <c r="K267">
        <f t="shared" si="41"/>
        <v>20076.189790441233</v>
      </c>
      <c r="L267">
        <f t="shared" si="41"/>
        <v>9410.6919891386951</v>
      </c>
      <c r="N267" s="1714">
        <f t="shared" si="43"/>
        <v>70.705310490815918</v>
      </c>
      <c r="O267" s="1714">
        <f t="shared" si="44"/>
        <v>33.143036899476414</v>
      </c>
      <c r="P267" s="1714">
        <f t="shared" si="45"/>
        <v>3.521849077382226</v>
      </c>
      <c r="Q267" s="1714">
        <f t="shared" si="46"/>
        <v>0</v>
      </c>
      <c r="R267" s="1714">
        <f t="shared" si="42"/>
        <v>3.521849077382226</v>
      </c>
    </row>
    <row r="268" spans="3:18">
      <c r="C268" s="1712">
        <f t="shared" si="38"/>
        <v>2019</v>
      </c>
      <c r="D268" s="1712">
        <f t="shared" si="39"/>
        <v>8</v>
      </c>
      <c r="E268" s="1723">
        <v>43678</v>
      </c>
      <c r="F268" s="1713">
        <v>58.711799999999997</v>
      </c>
      <c r="G268" s="1713">
        <v>25.3996</v>
      </c>
      <c r="H268" s="1713">
        <v>2.5045197714365379</v>
      </c>
      <c r="I268" s="1713">
        <v>0</v>
      </c>
      <c r="J268" s="1713">
        <f t="shared" si="40"/>
        <v>2.5045197714365379</v>
      </c>
      <c r="K268">
        <f t="shared" si="41"/>
        <v>23442.338395405917</v>
      </c>
      <c r="L268">
        <f t="shared" si="41"/>
        <v>10141.505085995526</v>
      </c>
      <c r="N268" s="1714">
        <f t="shared" si="43"/>
        <v>85.532006199217577</v>
      </c>
      <c r="O268" s="1714">
        <f t="shared" si="44"/>
        <v>37.00242105773706</v>
      </c>
      <c r="P268" s="1714">
        <f t="shared" si="45"/>
        <v>3.6486123848455159</v>
      </c>
      <c r="Q268" s="1714">
        <f t="shared" si="46"/>
        <v>0</v>
      </c>
      <c r="R268" s="1714">
        <f t="shared" si="42"/>
        <v>3.6486123848455159</v>
      </c>
    </row>
    <row r="269" spans="3:18">
      <c r="C269" s="1712">
        <f t="shared" si="38"/>
        <v>2019</v>
      </c>
      <c r="D269" s="1712">
        <f t="shared" si="39"/>
        <v>9</v>
      </c>
      <c r="E269" s="1723">
        <v>43709</v>
      </c>
      <c r="F269" s="1713">
        <v>49.964599999999997</v>
      </c>
      <c r="G269" s="1713">
        <v>24.001799999999999</v>
      </c>
      <c r="H269" s="1713">
        <v>2.6085643135776011</v>
      </c>
      <c r="I269" s="1713">
        <v>0</v>
      </c>
      <c r="J269" s="1713">
        <f t="shared" si="40"/>
        <v>2.6085643135776011</v>
      </c>
      <c r="K269">
        <f t="shared" si="41"/>
        <v>19154.061005869702</v>
      </c>
      <c r="L269">
        <f t="shared" si="41"/>
        <v>9201.1532455114921</v>
      </c>
      <c r="N269" s="1714">
        <f t="shared" si="43"/>
        <v>72.788987510882421</v>
      </c>
      <c r="O269" s="1714">
        <f t="shared" si="44"/>
        <v>34.966090400777702</v>
      </c>
      <c r="P269" s="1714">
        <f t="shared" si="45"/>
        <v>3.8001856362771558</v>
      </c>
      <c r="Q269" s="1714">
        <f t="shared" si="46"/>
        <v>0</v>
      </c>
      <c r="R269" s="1714">
        <f t="shared" si="42"/>
        <v>3.8001856362771558</v>
      </c>
    </row>
    <row r="270" spans="3:18">
      <c r="C270" s="1712">
        <f t="shared" si="38"/>
        <v>2019</v>
      </c>
      <c r="D270" s="1712">
        <f t="shared" si="39"/>
        <v>10</v>
      </c>
      <c r="E270" s="1723">
        <v>43739</v>
      </c>
      <c r="F270" s="1713">
        <v>40.461300000000001</v>
      </c>
      <c r="G270" s="1713">
        <v>22.5566</v>
      </c>
      <c r="H270" s="1713">
        <v>2.7200596157696872</v>
      </c>
      <c r="I270" s="1713">
        <v>0</v>
      </c>
      <c r="J270" s="1713">
        <f t="shared" si="40"/>
        <v>2.7200596157696872</v>
      </c>
      <c r="K270">
        <f t="shared" si="41"/>
        <v>14875.151914106407</v>
      </c>
      <c r="L270">
        <f t="shared" si="41"/>
        <v>8292.685891598454</v>
      </c>
      <c r="N270" s="1714">
        <f t="shared" si="43"/>
        <v>58.944473894999</v>
      </c>
      <c r="O270" s="1714">
        <f t="shared" si="44"/>
        <v>32.860706894240529</v>
      </c>
      <c r="P270" s="1714">
        <f t="shared" si="45"/>
        <v>3.9626132381949501</v>
      </c>
      <c r="Q270" s="1714">
        <f t="shared" si="46"/>
        <v>0</v>
      </c>
      <c r="R270" s="1714">
        <f t="shared" si="42"/>
        <v>3.9626132381949501</v>
      </c>
    </row>
    <row r="271" spans="3:18">
      <c r="C271" s="1712">
        <f t="shared" si="38"/>
        <v>2019</v>
      </c>
      <c r="D271" s="1712">
        <f t="shared" si="39"/>
        <v>11</v>
      </c>
      <c r="E271" s="1723">
        <v>43770</v>
      </c>
      <c r="F271" s="1713">
        <v>42.593299999999999</v>
      </c>
      <c r="G271" s="1713">
        <v>24.129100000000001</v>
      </c>
      <c r="H271" s="1713">
        <v>2.8294261293757654</v>
      </c>
      <c r="I271" s="1713">
        <v>0</v>
      </c>
      <c r="J271" s="1713">
        <f t="shared" si="40"/>
        <v>2.8294261293757654</v>
      </c>
      <c r="K271">
        <f t="shared" si="41"/>
        <v>15053.688646537323</v>
      </c>
      <c r="L271">
        <f t="shared" si="41"/>
        <v>8527.9130455063059</v>
      </c>
      <c r="N271" s="1714">
        <f t="shared" si="43"/>
        <v>62.050395314828265</v>
      </c>
      <c r="O271" s="1714">
        <f t="shared" si="44"/>
        <v>35.151542463040492</v>
      </c>
      <c r="P271" s="1714">
        <f t="shared" si="45"/>
        <v>4.1219395971166986</v>
      </c>
      <c r="Q271" s="1714">
        <f t="shared" si="46"/>
        <v>0</v>
      </c>
      <c r="R271" s="1714">
        <f t="shared" si="42"/>
        <v>4.1219395971166986</v>
      </c>
    </row>
    <row r="272" spans="3:18">
      <c r="C272" s="1712">
        <f t="shared" si="38"/>
        <v>2019</v>
      </c>
      <c r="D272" s="1712">
        <f t="shared" si="39"/>
        <v>12</v>
      </c>
      <c r="E272" s="1723">
        <v>43800</v>
      </c>
      <c r="F272" s="1713">
        <v>40.046500000000002</v>
      </c>
      <c r="G272" s="1713">
        <v>25.1158</v>
      </c>
      <c r="H272" s="1713">
        <v>2.9449821477875546</v>
      </c>
      <c r="I272" s="1713">
        <v>0</v>
      </c>
      <c r="J272" s="1713">
        <f t="shared" si="40"/>
        <v>2.9449821477875546</v>
      </c>
      <c r="K272">
        <f t="shared" si="41"/>
        <v>13598.214858478959</v>
      </c>
      <c r="L272">
        <f t="shared" si="41"/>
        <v>8528.3369268871393</v>
      </c>
      <c r="N272" s="1714">
        <f t="shared" si="43"/>
        <v>58.340188620634471</v>
      </c>
      <c r="O272" s="1714">
        <f t="shared" si="44"/>
        <v>36.588978046973672</v>
      </c>
      <c r="P272" s="1714">
        <f t="shared" si="45"/>
        <v>4.2902828957918206</v>
      </c>
      <c r="Q272" s="1714">
        <f t="shared" si="46"/>
        <v>0</v>
      </c>
      <c r="R272" s="1714">
        <f t="shared" si="42"/>
        <v>4.2902828957918206</v>
      </c>
    </row>
    <row r="273" spans="3:18">
      <c r="C273" s="1712">
        <f t="shared" si="38"/>
        <v>2020</v>
      </c>
      <c r="D273" s="1712">
        <f t="shared" si="39"/>
        <v>1</v>
      </c>
      <c r="E273" s="1723">
        <v>43831</v>
      </c>
      <c r="F273" s="1713">
        <v>41.3399</v>
      </c>
      <c r="G273" s="1713">
        <v>23.299700000000001</v>
      </c>
      <c r="H273" s="1713">
        <v>2.8334585218355985</v>
      </c>
      <c r="I273" s="1713">
        <v>0</v>
      </c>
      <c r="J273" s="1713">
        <f t="shared" si="40"/>
        <v>2.8334585218355985</v>
      </c>
      <c r="K273">
        <f t="shared" si="41"/>
        <v>14589.908298081873</v>
      </c>
      <c r="L273">
        <f t="shared" si="41"/>
        <v>8223.0602002621745</v>
      </c>
      <c r="N273" s="1714">
        <f t="shared" si="43"/>
        <v>61.428916755005567</v>
      </c>
      <c r="O273" s="1714">
        <f t="shared" si="44"/>
        <v>34.622128542076865</v>
      </c>
      <c r="P273" s="1714">
        <f t="shared" si="45"/>
        <v>4.2103703121342848</v>
      </c>
      <c r="Q273" s="1714">
        <f t="shared" si="46"/>
        <v>0</v>
      </c>
      <c r="R273" s="1714">
        <f t="shared" si="42"/>
        <v>4.2103703121342848</v>
      </c>
    </row>
    <row r="274" spans="3:18">
      <c r="C274" s="1712">
        <f t="shared" si="38"/>
        <v>2020</v>
      </c>
      <c r="D274" s="1712">
        <f t="shared" si="39"/>
        <v>2</v>
      </c>
      <c r="E274" s="1723">
        <v>43862</v>
      </c>
      <c r="F274" s="1713">
        <v>30.977399999999999</v>
      </c>
      <c r="G274" s="1713">
        <v>19.267099999999999</v>
      </c>
      <c r="H274" s="1713">
        <v>2.6126363297844493</v>
      </c>
      <c r="I274" s="1713">
        <v>0</v>
      </c>
      <c r="J274" s="1713">
        <f t="shared" si="40"/>
        <v>2.6126363297844493</v>
      </c>
      <c r="K274">
        <f t="shared" si="41"/>
        <v>11856.759261460524</v>
      </c>
      <c r="L274">
        <f t="shared" si="41"/>
        <v>7374.5816745913489</v>
      </c>
      <c r="N274" s="1714">
        <f t="shared" si="43"/>
        <v>46.030786864179866</v>
      </c>
      <c r="O274" s="1714">
        <f t="shared" si="44"/>
        <v>28.629897073054547</v>
      </c>
      <c r="P274" s="1714">
        <f t="shared" si="45"/>
        <v>3.8822401508816471</v>
      </c>
      <c r="Q274" s="1714">
        <f t="shared" si="46"/>
        <v>0</v>
      </c>
      <c r="R274" s="1714">
        <f t="shared" si="42"/>
        <v>3.8822401508816471</v>
      </c>
    </row>
    <row r="275" spans="3:18">
      <c r="C275" s="1712">
        <f t="shared" si="38"/>
        <v>2020</v>
      </c>
      <c r="D275" s="1712">
        <f t="shared" si="39"/>
        <v>3</v>
      </c>
      <c r="E275" s="1723">
        <v>43891</v>
      </c>
      <c r="F275" s="1713">
        <v>29.738800000000001</v>
      </c>
      <c r="G275" s="1713">
        <v>20.640499999999999</v>
      </c>
      <c r="H275" s="1713">
        <v>2.4686306251541379</v>
      </c>
      <c r="I275" s="1713">
        <v>0</v>
      </c>
      <c r="J275" s="1713">
        <f t="shared" si="40"/>
        <v>2.4686306251541379</v>
      </c>
      <c r="K275">
        <f t="shared" si="41"/>
        <v>12046.678712066594</v>
      </c>
      <c r="L275">
        <f t="shared" si="41"/>
        <v>8361.1131571015158</v>
      </c>
      <c r="N275" s="1714">
        <f t="shared" si="43"/>
        <v>44.190292419521086</v>
      </c>
      <c r="O275" s="1714">
        <f t="shared" si="44"/>
        <v>30.670697226691221</v>
      </c>
      <c r="P275" s="1714">
        <f t="shared" si="45"/>
        <v>3.6682552490802078</v>
      </c>
      <c r="Q275" s="1714">
        <f t="shared" si="46"/>
        <v>0</v>
      </c>
      <c r="R275" s="1714">
        <f t="shared" si="42"/>
        <v>3.6682552490802078</v>
      </c>
    </row>
    <row r="276" spans="3:18">
      <c r="C276" s="1712">
        <f t="shared" si="38"/>
        <v>2020</v>
      </c>
      <c r="D276" s="1712">
        <f t="shared" si="39"/>
        <v>4</v>
      </c>
      <c r="E276" s="1723">
        <v>43922</v>
      </c>
      <c r="F276" s="1713">
        <v>28.839099999999998</v>
      </c>
      <c r="G276" s="1713">
        <v>20.1083</v>
      </c>
      <c r="H276" s="1713">
        <v>2.3905487327748509</v>
      </c>
      <c r="I276" s="1713">
        <v>0</v>
      </c>
      <c r="J276" s="1713">
        <f t="shared" si="40"/>
        <v>2.3905487327748509</v>
      </c>
      <c r="K276">
        <f t="shared" si="41"/>
        <v>12063.799246010247</v>
      </c>
      <c r="L276">
        <f t="shared" si="41"/>
        <v>8411.5833843132368</v>
      </c>
      <c r="N276" s="1714">
        <f t="shared" si="43"/>
        <v>42.853385547359352</v>
      </c>
      <c r="O276" s="1714">
        <f t="shared" si="44"/>
        <v>29.879876022551539</v>
      </c>
      <c r="P276" s="1714">
        <f t="shared" si="45"/>
        <v>3.5522296644261444</v>
      </c>
      <c r="Q276" s="1714">
        <f t="shared" si="46"/>
        <v>0</v>
      </c>
      <c r="R276" s="1714">
        <f t="shared" si="42"/>
        <v>3.5522296644261444</v>
      </c>
    </row>
    <row r="277" spans="3:18">
      <c r="C277" s="1712">
        <f t="shared" si="38"/>
        <v>2020</v>
      </c>
      <c r="D277" s="1712">
        <f t="shared" si="39"/>
        <v>5</v>
      </c>
      <c r="E277" s="1723">
        <v>43952</v>
      </c>
      <c r="F277" s="1713">
        <v>33.477699999999999</v>
      </c>
      <c r="G277" s="1713">
        <v>20.0106</v>
      </c>
      <c r="H277" s="1713">
        <v>2.3686641885439781</v>
      </c>
      <c r="I277" s="1713">
        <v>0</v>
      </c>
      <c r="J277" s="1713">
        <f t="shared" si="40"/>
        <v>2.3686641885439781</v>
      </c>
      <c r="K277">
        <f t="shared" si="41"/>
        <v>14133.577972730191</v>
      </c>
      <c r="L277">
        <f t="shared" si="41"/>
        <v>8448.0527449948695</v>
      </c>
      <c r="N277" s="1714">
        <f t="shared" si="43"/>
        <v>49.746101138344549</v>
      </c>
      <c r="O277" s="1714">
        <f t="shared" si="44"/>
        <v>29.734698961964455</v>
      </c>
      <c r="P277" s="1714">
        <f t="shared" si="45"/>
        <v>3.5197103829141057</v>
      </c>
      <c r="Q277" s="1714">
        <f t="shared" si="46"/>
        <v>0</v>
      </c>
      <c r="R277" s="1714">
        <f t="shared" si="42"/>
        <v>3.5197103829141057</v>
      </c>
    </row>
    <row r="278" spans="3:18">
      <c r="C278" s="1712">
        <f t="shared" si="38"/>
        <v>2020</v>
      </c>
      <c r="D278" s="1712">
        <f t="shared" si="39"/>
        <v>6</v>
      </c>
      <c r="E278" s="1723">
        <v>43983</v>
      </c>
      <c r="F278" s="1713">
        <v>32.495199999999997</v>
      </c>
      <c r="G278" s="1713">
        <v>19.5182</v>
      </c>
      <c r="H278" s="1713">
        <v>2.3932505283589096</v>
      </c>
      <c r="I278" s="1713">
        <v>0</v>
      </c>
      <c r="J278" s="1713">
        <f t="shared" si="40"/>
        <v>2.3932505283589096</v>
      </c>
      <c r="K278">
        <f t="shared" si="41"/>
        <v>13577.851384527836</v>
      </c>
      <c r="L278">
        <f t="shared" si="41"/>
        <v>8155.5189349039629</v>
      </c>
      <c r="N278" s="1714">
        <f t="shared" si="43"/>
        <v>48.286157821795811</v>
      </c>
      <c r="O278" s="1714">
        <f t="shared" si="44"/>
        <v>29.003018464184713</v>
      </c>
      <c r="P278" s="1714">
        <f t="shared" si="45"/>
        <v>3.5562443905387422</v>
      </c>
      <c r="Q278" s="1714">
        <f t="shared" si="46"/>
        <v>0</v>
      </c>
      <c r="R278" s="1714">
        <f t="shared" si="42"/>
        <v>3.5562443905387422</v>
      </c>
    </row>
    <row r="279" spans="3:18">
      <c r="C279" s="1712">
        <f t="shared" si="38"/>
        <v>2020</v>
      </c>
      <c r="D279" s="1712">
        <f t="shared" si="39"/>
        <v>7</v>
      </c>
      <c r="E279" s="1723">
        <v>44013</v>
      </c>
      <c r="F279" s="1713">
        <v>48.241100000000003</v>
      </c>
      <c r="G279" s="1713">
        <v>23.0063</v>
      </c>
      <c r="H279" s="1713">
        <v>2.4545812881170348</v>
      </c>
      <c r="I279" s="1713">
        <v>0</v>
      </c>
      <c r="J279" s="1713">
        <f t="shared" si="40"/>
        <v>2.4545812881170348</v>
      </c>
      <c r="K279">
        <f t="shared" si="41"/>
        <v>19653.494562816799</v>
      </c>
      <c r="L279">
        <f t="shared" si="41"/>
        <v>9372.8002048156468</v>
      </c>
      <c r="N279" s="1714">
        <f t="shared" si="43"/>
        <v>71.683736924131395</v>
      </c>
      <c r="O279" s="1714">
        <f t="shared" si="44"/>
        <v>34.186151576096812</v>
      </c>
      <c r="P279" s="1714">
        <f t="shared" si="45"/>
        <v>3.6473786732947024</v>
      </c>
      <c r="Q279" s="1714">
        <f t="shared" si="46"/>
        <v>0</v>
      </c>
      <c r="R279" s="1714">
        <f t="shared" si="42"/>
        <v>3.6473786732947024</v>
      </c>
    </row>
    <row r="280" spans="3:18">
      <c r="C280" s="1712">
        <f t="shared" si="38"/>
        <v>2020</v>
      </c>
      <c r="D280" s="1712">
        <f t="shared" si="39"/>
        <v>8</v>
      </c>
      <c r="E280" s="1723">
        <v>44044</v>
      </c>
      <c r="F280" s="1713">
        <v>59.861499999999999</v>
      </c>
      <c r="G280" s="1713">
        <v>24.5961</v>
      </c>
      <c r="H280" s="1713">
        <v>2.5429300037157438</v>
      </c>
      <c r="I280" s="1713">
        <v>0</v>
      </c>
      <c r="J280" s="1713">
        <f t="shared" si="40"/>
        <v>2.5429300037157438</v>
      </c>
      <c r="K280">
        <f t="shared" si="41"/>
        <v>23540.364820317522</v>
      </c>
      <c r="L280">
        <f t="shared" si="41"/>
        <v>9672.3464523443581</v>
      </c>
      <c r="N280" s="1714">
        <f t="shared" si="43"/>
        <v>88.951040044358251</v>
      </c>
      <c r="O280" s="1714">
        <f t="shared" si="44"/>
        <v>36.548510746223201</v>
      </c>
      <c r="P280" s="1714">
        <f t="shared" si="45"/>
        <v>3.7786602171766361</v>
      </c>
      <c r="Q280" s="1714">
        <f t="shared" si="46"/>
        <v>0</v>
      </c>
      <c r="R280" s="1714">
        <f t="shared" si="42"/>
        <v>3.7786602171766361</v>
      </c>
    </row>
    <row r="281" spans="3:18">
      <c r="C281" s="1712">
        <f t="shared" si="38"/>
        <v>2020</v>
      </c>
      <c r="D281" s="1712">
        <f t="shared" si="39"/>
        <v>9</v>
      </c>
      <c r="E281" s="1723">
        <v>44075</v>
      </c>
      <c r="F281" s="1713">
        <v>50.271599999999999</v>
      </c>
      <c r="G281" s="1713">
        <v>23.675699999999999</v>
      </c>
      <c r="H281" s="1713">
        <v>2.6485702110524261</v>
      </c>
      <c r="I281" s="1713">
        <v>0</v>
      </c>
      <c r="J281" s="1713">
        <f t="shared" si="40"/>
        <v>2.6485702110524261</v>
      </c>
      <c r="K281">
        <f t="shared" si="41"/>
        <v>18980.655974388636</v>
      </c>
      <c r="L281">
        <f t="shared" si="41"/>
        <v>8939.0494166255503</v>
      </c>
      <c r="N281" s="1714">
        <f t="shared" si="43"/>
        <v>74.700953111665427</v>
      </c>
      <c r="O281" s="1714">
        <f t="shared" si="44"/>
        <v>35.180844762964718</v>
      </c>
      <c r="P281" s="1714">
        <f t="shared" si="45"/>
        <v>3.9356360081791926</v>
      </c>
      <c r="Q281" s="1714">
        <f t="shared" si="46"/>
        <v>0</v>
      </c>
      <c r="R281" s="1714">
        <f t="shared" si="42"/>
        <v>3.9356360081791926</v>
      </c>
    </row>
    <row r="282" spans="3:18">
      <c r="C282" s="1712">
        <f t="shared" si="38"/>
        <v>2020</v>
      </c>
      <c r="D282" s="1712">
        <f t="shared" si="39"/>
        <v>10</v>
      </c>
      <c r="E282" s="1723">
        <v>44105</v>
      </c>
      <c r="F282" s="1713">
        <v>40.557299999999998</v>
      </c>
      <c r="G282" s="1713">
        <v>22.581499999999998</v>
      </c>
      <c r="H282" s="1713">
        <v>2.7617754460244726</v>
      </c>
      <c r="I282" s="1713">
        <v>0</v>
      </c>
      <c r="J282" s="1713">
        <f t="shared" si="40"/>
        <v>2.7617754460244726</v>
      </c>
      <c r="K282">
        <f t="shared" si="41"/>
        <v>14685.227236117811</v>
      </c>
      <c r="L282">
        <f t="shared" si="41"/>
        <v>8176.4431762566619</v>
      </c>
      <c r="N282" s="1714">
        <f t="shared" si="43"/>
        <v>60.266014322912902</v>
      </c>
      <c r="O282" s="1714">
        <f t="shared" si="44"/>
        <v>33.554921122285201</v>
      </c>
      <c r="P282" s="1714">
        <f t="shared" si="45"/>
        <v>4.1038530322970228</v>
      </c>
      <c r="Q282" s="1714">
        <f t="shared" si="46"/>
        <v>0</v>
      </c>
      <c r="R282" s="1714">
        <f t="shared" si="42"/>
        <v>4.1038530322970228</v>
      </c>
    </row>
    <row r="283" spans="3:18">
      <c r="C283" s="1712">
        <f t="shared" si="38"/>
        <v>2020</v>
      </c>
      <c r="D283" s="1712">
        <f t="shared" si="39"/>
        <v>11</v>
      </c>
      <c r="E283" s="1723">
        <v>44136</v>
      </c>
      <c r="F283" s="1713">
        <v>41.967599999999997</v>
      </c>
      <c r="G283" s="1713">
        <v>24.531199999999998</v>
      </c>
      <c r="H283" s="1713">
        <v>2.8728192445292708</v>
      </c>
      <c r="I283" s="1713">
        <v>0</v>
      </c>
      <c r="J283" s="1713">
        <f t="shared" si="40"/>
        <v>2.8728192445292708</v>
      </c>
      <c r="K283">
        <f t="shared" si="41"/>
        <v>14608.506984878768</v>
      </c>
      <c r="L283">
        <f t="shared" si="41"/>
        <v>8539.0683896019309</v>
      </c>
      <c r="N283" s="1714">
        <f t="shared" si="43"/>
        <v>62.361645935461176</v>
      </c>
      <c r="O283" s="1714">
        <f t="shared" si="44"/>
        <v>36.452072760224198</v>
      </c>
      <c r="P283" s="1714">
        <f t="shared" si="45"/>
        <v>4.2688582755247726</v>
      </c>
      <c r="Q283" s="1714">
        <f t="shared" si="46"/>
        <v>0</v>
      </c>
      <c r="R283" s="1714">
        <f t="shared" si="42"/>
        <v>4.2688582755247726</v>
      </c>
    </row>
    <row r="284" spans="3:18">
      <c r="C284" s="1712">
        <f t="shared" si="38"/>
        <v>2020</v>
      </c>
      <c r="D284" s="1712">
        <f t="shared" si="39"/>
        <v>12</v>
      </c>
      <c r="E284" s="1723">
        <v>44166</v>
      </c>
      <c r="F284" s="1713">
        <v>39.968200000000003</v>
      </c>
      <c r="G284" s="1713">
        <v>25.048400000000001</v>
      </c>
      <c r="H284" s="1713">
        <v>2.9901474723518531</v>
      </c>
      <c r="I284" s="1713">
        <v>0</v>
      </c>
      <c r="J284" s="1713">
        <f t="shared" si="40"/>
        <v>2.9901474723518531</v>
      </c>
      <c r="K284">
        <f t="shared" si="41"/>
        <v>13366.631702804827</v>
      </c>
      <c r="L284">
        <f t="shared" si="41"/>
        <v>8376.9781362317153</v>
      </c>
      <c r="N284" s="1714">
        <f t="shared" si="43"/>
        <v>59.390642711942064</v>
      </c>
      <c r="O284" s="1714">
        <f t="shared" si="44"/>
        <v>37.220604753424212</v>
      </c>
      <c r="P284" s="1714">
        <f t="shared" si="45"/>
        <v>4.4432018501324944</v>
      </c>
      <c r="Q284" s="1714">
        <f t="shared" si="46"/>
        <v>0</v>
      </c>
      <c r="R284" s="1714">
        <f t="shared" si="42"/>
        <v>4.4432018501324944</v>
      </c>
    </row>
    <row r="285" spans="3:18">
      <c r="C285" s="1712">
        <f t="shared" si="38"/>
        <v>2021</v>
      </c>
      <c r="D285" s="1712">
        <f t="shared" si="39"/>
        <v>1</v>
      </c>
      <c r="E285" s="1723">
        <v>44197</v>
      </c>
      <c r="F285">
        <v>44.022399999999998</v>
      </c>
      <c r="G285">
        <v>24.3218</v>
      </c>
      <c r="H285" s="1715">
        <v>2.8553932964173976</v>
      </c>
      <c r="I285" s="1713">
        <v>0</v>
      </c>
      <c r="J285" s="1713">
        <f t="shared" si="40"/>
        <v>2.8553932964173976</v>
      </c>
      <c r="K285">
        <f t="shared" ref="K285:K297" si="47">F285/$J285*1000</f>
        <v>15417.280714090764</v>
      </c>
      <c r="L285">
        <f t="shared" ref="L285:L297" si="48">G285/$J285*1000</f>
        <v>8517.8458710105024</v>
      </c>
      <c r="N285" s="1718">
        <f t="shared" ref="N285:Q294" si="49">N273*(1+$D$4)</f>
        <v>62.657495090105677</v>
      </c>
      <c r="O285" s="1718">
        <f t="shared" si="49"/>
        <v>35.314571112918401</v>
      </c>
      <c r="P285" s="1718">
        <f t="shared" si="49"/>
        <v>4.2945777183769707</v>
      </c>
      <c r="Q285" s="1718">
        <f t="shared" si="49"/>
        <v>0</v>
      </c>
      <c r="R285" s="1719">
        <f t="shared" si="42"/>
        <v>4.2945777183769707</v>
      </c>
    </row>
    <row r="286" spans="3:18">
      <c r="C286" s="1712">
        <f t="shared" si="38"/>
        <v>2021</v>
      </c>
      <c r="D286" s="1712">
        <f t="shared" si="39"/>
        <v>2</v>
      </c>
      <c r="E286" s="1723">
        <v>44228</v>
      </c>
      <c r="F286">
        <v>33.054600000000001</v>
      </c>
      <c r="G286">
        <v>21.111999999999998</v>
      </c>
      <c r="H286" s="1715">
        <v>2.6328616440131238</v>
      </c>
      <c r="I286" s="1713">
        <v>0</v>
      </c>
      <c r="J286" s="1713">
        <f t="shared" si="40"/>
        <v>2.6328616440131238</v>
      </c>
      <c r="K286">
        <f t="shared" si="47"/>
        <v>12554.628563625061</v>
      </c>
      <c r="L286">
        <f t="shared" si="48"/>
        <v>8018.6515109924876</v>
      </c>
      <c r="N286" s="1718">
        <f t="shared" si="49"/>
        <v>46.951402601463464</v>
      </c>
      <c r="O286" s="1718">
        <f t="shared" si="49"/>
        <v>29.202495014515637</v>
      </c>
      <c r="P286" s="1718">
        <f t="shared" si="49"/>
        <v>3.9598849538992802</v>
      </c>
      <c r="Q286" s="1718">
        <f t="shared" si="49"/>
        <v>0</v>
      </c>
      <c r="R286" s="1719">
        <f t="shared" ref="R286:R296" si="50">SUM(P286:Q286)</f>
        <v>3.9598849538992802</v>
      </c>
    </row>
    <row r="287" spans="3:18">
      <c r="C287" s="1712">
        <f t="shared" si="38"/>
        <v>2021</v>
      </c>
      <c r="D287" s="1712">
        <f t="shared" si="39"/>
        <v>3</v>
      </c>
      <c r="E287" s="1723">
        <v>44256</v>
      </c>
      <c r="F287">
        <v>30.4207</v>
      </c>
      <c r="G287">
        <v>20.679200000000002</v>
      </c>
      <c r="H287" s="1715">
        <v>2.4877411418146758</v>
      </c>
      <c r="I287" s="1713">
        <v>0</v>
      </c>
      <c r="J287" s="1713">
        <f t="shared" si="40"/>
        <v>2.4877411418146758</v>
      </c>
      <c r="K287">
        <f t="shared" si="47"/>
        <v>12228.241712403287</v>
      </c>
      <c r="L287">
        <f t="shared" si="48"/>
        <v>8312.4404112702887</v>
      </c>
      <c r="N287" s="1718">
        <f t="shared" si="49"/>
        <v>45.074098267911509</v>
      </c>
      <c r="O287" s="1718">
        <f t="shared" si="49"/>
        <v>31.284111171225046</v>
      </c>
      <c r="P287" s="1718">
        <f t="shared" si="49"/>
        <v>3.741620354061812</v>
      </c>
      <c r="Q287" s="1718">
        <f t="shared" si="49"/>
        <v>0</v>
      </c>
      <c r="R287" s="1719">
        <f t="shared" si="50"/>
        <v>3.741620354061812</v>
      </c>
    </row>
    <row r="288" spans="3:18">
      <c r="C288" s="1712">
        <f t="shared" si="38"/>
        <v>2021</v>
      </c>
      <c r="D288" s="1712">
        <f t="shared" si="39"/>
        <v>4</v>
      </c>
      <c r="E288" s="1723">
        <v>44287</v>
      </c>
      <c r="F288">
        <v>29.842400000000001</v>
      </c>
      <c r="G288">
        <v>20.283300000000001</v>
      </c>
      <c r="H288" s="1715">
        <v>2.4090547907164552</v>
      </c>
      <c r="I288" s="1713">
        <v>0</v>
      </c>
      <c r="J288" s="1713">
        <f t="shared" si="40"/>
        <v>2.4090547907164552</v>
      </c>
      <c r="K288">
        <f t="shared" si="47"/>
        <v>12387.597042209589</v>
      </c>
      <c r="L288">
        <f t="shared" si="48"/>
        <v>8419.6092501357052</v>
      </c>
      <c r="N288" s="1718">
        <f t="shared" si="49"/>
        <v>43.710453258306536</v>
      </c>
      <c r="O288" s="1718">
        <f t="shared" si="49"/>
        <v>30.477473543002571</v>
      </c>
      <c r="P288" s="1718">
        <f t="shared" si="49"/>
        <v>3.6232742577146673</v>
      </c>
      <c r="Q288" s="1718">
        <f t="shared" si="49"/>
        <v>0</v>
      </c>
      <c r="R288" s="1719">
        <f t="shared" si="50"/>
        <v>3.6232742577146673</v>
      </c>
    </row>
    <row r="289" spans="3:18">
      <c r="C289" s="1712">
        <f t="shared" si="38"/>
        <v>2021</v>
      </c>
      <c r="D289" s="1712">
        <f t="shared" si="39"/>
        <v>5</v>
      </c>
      <c r="E289" s="1723">
        <v>44317</v>
      </c>
      <c r="F289">
        <v>32.061700000000002</v>
      </c>
      <c r="G289">
        <v>20.5931</v>
      </c>
      <c r="H289" s="1715">
        <v>2.3870008307200683</v>
      </c>
      <c r="I289" s="1713">
        <v>0</v>
      </c>
      <c r="J289" s="1713">
        <f t="shared" si="40"/>
        <v>2.3870008307200683</v>
      </c>
      <c r="K289">
        <f t="shared" si="47"/>
        <v>13431.792560511256</v>
      </c>
      <c r="L289">
        <f t="shared" si="48"/>
        <v>8627.1859376721859</v>
      </c>
      <c r="N289" s="1718">
        <f t="shared" si="49"/>
        <v>50.741023161111443</v>
      </c>
      <c r="O289" s="1718">
        <f t="shared" si="49"/>
        <v>30.329392941203743</v>
      </c>
      <c r="P289" s="1718">
        <f t="shared" si="49"/>
        <v>3.5901045905723876</v>
      </c>
      <c r="Q289" s="1718">
        <f t="shared" si="49"/>
        <v>0</v>
      </c>
      <c r="R289" s="1719">
        <f t="shared" si="50"/>
        <v>3.5901045905723876</v>
      </c>
    </row>
    <row r="290" spans="3:18">
      <c r="C290" s="1712">
        <f t="shared" si="38"/>
        <v>2021</v>
      </c>
      <c r="D290" s="1712">
        <f t="shared" si="39"/>
        <v>6</v>
      </c>
      <c r="E290" s="1723">
        <v>44348</v>
      </c>
      <c r="F290">
        <v>35.5929</v>
      </c>
      <c r="G290">
        <v>19.8233</v>
      </c>
      <c r="H290" s="1715">
        <v>2.4117775018271206</v>
      </c>
      <c r="I290" s="1713">
        <v>0</v>
      </c>
      <c r="J290" s="1713">
        <f t="shared" si="40"/>
        <v>2.4117775018271206</v>
      </c>
      <c r="K290">
        <f t="shared" si="47"/>
        <v>14757.953406993573</v>
      </c>
      <c r="L290">
        <f t="shared" si="48"/>
        <v>8219.3734641699793</v>
      </c>
      <c r="N290" s="1718">
        <f t="shared" si="49"/>
        <v>49.251880978231725</v>
      </c>
      <c r="O290" s="1718">
        <f t="shared" si="49"/>
        <v>29.583078833468409</v>
      </c>
      <c r="P290" s="1718">
        <f t="shared" si="49"/>
        <v>3.6273692783495171</v>
      </c>
      <c r="Q290" s="1718">
        <f t="shared" si="49"/>
        <v>0</v>
      </c>
      <c r="R290" s="1719">
        <f t="shared" si="50"/>
        <v>3.6273692783495171</v>
      </c>
    </row>
    <row r="291" spans="3:18">
      <c r="C291" s="1712">
        <f t="shared" si="38"/>
        <v>2021</v>
      </c>
      <c r="D291" s="1712">
        <f t="shared" si="39"/>
        <v>7</v>
      </c>
      <c r="E291" s="1723">
        <v>44378</v>
      </c>
      <c r="F291">
        <v>50.3827</v>
      </c>
      <c r="G291">
        <v>23.3003</v>
      </c>
      <c r="H291" s="1715">
        <v>2.4735830440392177</v>
      </c>
      <c r="I291" s="1713">
        <v>0</v>
      </c>
      <c r="J291" s="1713">
        <f t="shared" si="40"/>
        <v>2.4735830440392177</v>
      </c>
      <c r="K291">
        <f t="shared" si="47"/>
        <v>20368.307472599736</v>
      </c>
      <c r="L291">
        <f t="shared" si="48"/>
        <v>9419.6554492676169</v>
      </c>
      <c r="N291" s="1718">
        <f t="shared" si="49"/>
        <v>73.117411662614018</v>
      </c>
      <c r="O291" s="1718">
        <f t="shared" si="49"/>
        <v>34.869874607618748</v>
      </c>
      <c r="P291" s="1718">
        <f t="shared" si="49"/>
        <v>3.7203262467605964</v>
      </c>
      <c r="Q291" s="1718">
        <f t="shared" si="49"/>
        <v>0</v>
      </c>
      <c r="R291" s="1719">
        <f t="shared" si="50"/>
        <v>3.7203262467605964</v>
      </c>
    </row>
    <row r="292" spans="3:18">
      <c r="C292" s="1712">
        <f t="shared" si="38"/>
        <v>2021</v>
      </c>
      <c r="D292" s="1712">
        <f t="shared" si="39"/>
        <v>8</v>
      </c>
      <c r="E292" s="1723">
        <v>44409</v>
      </c>
      <c r="F292">
        <v>59.879100000000001</v>
      </c>
      <c r="G292">
        <v>25.8857</v>
      </c>
      <c r="H292" s="1715">
        <v>2.5626156973579657</v>
      </c>
      <c r="I292" s="1713">
        <v>0</v>
      </c>
      <c r="J292" s="1713">
        <f t="shared" si="40"/>
        <v>2.5626156973579657</v>
      </c>
      <c r="K292">
        <f t="shared" si="47"/>
        <v>23366.398661233063</v>
      </c>
      <c r="L292">
        <f t="shared" si="48"/>
        <v>10101.280510646966</v>
      </c>
      <c r="N292" s="1718">
        <f t="shared" si="49"/>
        <v>90.730060845245418</v>
      </c>
      <c r="O292" s="1718">
        <f t="shared" si="49"/>
        <v>37.279480961147662</v>
      </c>
      <c r="P292" s="1718">
        <f t="shared" si="49"/>
        <v>3.8542334215201688</v>
      </c>
      <c r="Q292" s="1718">
        <f t="shared" si="49"/>
        <v>0</v>
      </c>
      <c r="R292" s="1719">
        <f t="shared" si="50"/>
        <v>3.8542334215201688</v>
      </c>
    </row>
    <row r="293" spans="3:18">
      <c r="C293" s="1712">
        <f t="shared" si="38"/>
        <v>2021</v>
      </c>
      <c r="D293" s="1712">
        <f t="shared" si="39"/>
        <v>9</v>
      </c>
      <c r="E293" s="1723">
        <v>44440</v>
      </c>
      <c r="F293">
        <v>50.958799999999997</v>
      </c>
      <c r="G293">
        <v>24.396100000000001</v>
      </c>
      <c r="H293" s="1715">
        <v>2.6690737017849697</v>
      </c>
      <c r="I293" s="1713">
        <v>0</v>
      </c>
      <c r="J293" s="1713">
        <f t="shared" si="40"/>
        <v>2.6690737017849697</v>
      </c>
      <c r="K293">
        <f t="shared" si="47"/>
        <v>19092.316546343696</v>
      </c>
      <c r="L293">
        <f t="shared" si="48"/>
        <v>9140.2871279593619</v>
      </c>
      <c r="N293" s="1718">
        <f t="shared" si="49"/>
        <v>76.194972173898734</v>
      </c>
      <c r="O293" s="1718">
        <f t="shared" si="49"/>
        <v>35.884461658224012</v>
      </c>
      <c r="P293" s="1718">
        <f t="shared" si="49"/>
        <v>4.0143487283427763</v>
      </c>
      <c r="Q293" s="1718">
        <f t="shared" si="49"/>
        <v>0</v>
      </c>
      <c r="R293" s="1719">
        <f t="shared" si="50"/>
        <v>4.0143487283427763</v>
      </c>
    </row>
    <row r="294" spans="3:18">
      <c r="C294" s="1712">
        <f t="shared" si="38"/>
        <v>2021</v>
      </c>
      <c r="D294" s="1712">
        <f t="shared" si="39"/>
        <v>10</v>
      </c>
      <c r="E294" s="1723">
        <v>44470</v>
      </c>
      <c r="F294">
        <v>40.355400000000003</v>
      </c>
      <c r="G294">
        <v>23.1813</v>
      </c>
      <c r="H294" s="1715">
        <v>2.7831552973218368</v>
      </c>
      <c r="I294" s="1713">
        <v>0</v>
      </c>
      <c r="J294" s="1713">
        <f t="shared" si="40"/>
        <v>2.7831552973218368</v>
      </c>
      <c r="K294">
        <f t="shared" si="47"/>
        <v>14499.873592692809</v>
      </c>
      <c r="L294">
        <f t="shared" si="48"/>
        <v>8329.1435523942218</v>
      </c>
      <c r="N294" s="1718">
        <f t="shared" si="49"/>
        <v>61.471334609371162</v>
      </c>
      <c r="O294" s="1718">
        <f t="shared" si="49"/>
        <v>34.226019544730903</v>
      </c>
      <c r="P294" s="1718">
        <f t="shared" si="49"/>
        <v>4.1859300929429635</v>
      </c>
      <c r="Q294" s="1718">
        <f t="shared" si="49"/>
        <v>0</v>
      </c>
      <c r="R294" s="1719">
        <f t="shared" si="50"/>
        <v>4.1859300929429635</v>
      </c>
    </row>
    <row r="295" spans="3:18">
      <c r="C295" s="1712">
        <f t="shared" si="38"/>
        <v>2021</v>
      </c>
      <c r="D295" s="1712">
        <f t="shared" si="39"/>
        <v>11</v>
      </c>
      <c r="E295" s="1723">
        <v>44501</v>
      </c>
      <c r="F295">
        <v>40.4666</v>
      </c>
      <c r="G295">
        <v>24.4009</v>
      </c>
      <c r="H295" s="1715">
        <v>2.8950587239701702</v>
      </c>
      <c r="I295" s="1713">
        <v>0</v>
      </c>
      <c r="J295" s="1713">
        <f t="shared" si="40"/>
        <v>2.8950587239701702</v>
      </c>
      <c r="K295">
        <f t="shared" si="47"/>
        <v>13977.816638035476</v>
      </c>
      <c r="L295">
        <f t="shared" si="48"/>
        <v>8428.4646103957311</v>
      </c>
      <c r="N295" s="1718">
        <f>N283*(1+$D$4)</f>
        <v>63.608878854170399</v>
      </c>
      <c r="O295" s="1718">
        <f>O283*(1+$D$4)</f>
        <v>37.181114215428686</v>
      </c>
      <c r="P295" s="1718">
        <f>P283*(1+$D$4)</f>
        <v>4.3542354410352679</v>
      </c>
      <c r="Q295" s="1718">
        <f>Q283*(1+$D$4)</f>
        <v>0</v>
      </c>
      <c r="R295" s="1719">
        <f t="shared" si="50"/>
        <v>4.3542354410352679</v>
      </c>
    </row>
    <row r="296" spans="3:18">
      <c r="C296" s="1712">
        <f t="shared" si="38"/>
        <v>2021</v>
      </c>
      <c r="D296" s="1712">
        <f t="shared" si="39"/>
        <v>12</v>
      </c>
      <c r="E296" s="1723">
        <v>44531</v>
      </c>
      <c r="F296">
        <v>41.121699999999997</v>
      </c>
      <c r="G296">
        <v>25.4298</v>
      </c>
      <c r="H296" s="1715">
        <v>3.0132952298598346</v>
      </c>
      <c r="I296" s="1713">
        <v>0</v>
      </c>
      <c r="J296" s="1713">
        <f t="shared" si="40"/>
        <v>3.0132952298598346</v>
      </c>
      <c r="K296">
        <f t="shared" si="47"/>
        <v>13646.754421043835</v>
      </c>
      <c r="L296">
        <f t="shared" si="48"/>
        <v>8439.1996336790689</v>
      </c>
      <c r="N296" s="1718">
        <f t="shared" ref="N296:Q308" si="51">N284*(1+$D$4)</f>
        <v>60.578455566180907</v>
      </c>
      <c r="O296" s="1718">
        <f t="shared" si="51"/>
        <v>37.965016848492695</v>
      </c>
      <c r="P296" s="1718">
        <f t="shared" si="51"/>
        <v>4.5320658871351442</v>
      </c>
      <c r="Q296" s="1718">
        <f t="shared" si="51"/>
        <v>0</v>
      </c>
      <c r="R296" s="1719">
        <f t="shared" si="50"/>
        <v>4.5320658871351442</v>
      </c>
    </row>
    <row r="297" spans="3:18">
      <c r="C297" s="1712">
        <f t="shared" si="38"/>
        <v>2022</v>
      </c>
      <c r="D297" s="1712">
        <f t="shared" si="39"/>
        <v>1</v>
      </c>
      <c r="E297" s="1857">
        <v>44562</v>
      </c>
      <c r="F297" s="1858">
        <f t="shared" ref="F297:I318" si="52">F285+F285-F273</f>
        <v>46.704899999999995</v>
      </c>
      <c r="G297" s="1858">
        <f t="shared" si="52"/>
        <v>25.343899999999998</v>
      </c>
      <c r="H297" s="1858">
        <f t="shared" si="52"/>
        <v>2.8773280709991966</v>
      </c>
      <c r="I297" s="1858">
        <f t="shared" si="52"/>
        <v>0</v>
      </c>
      <c r="J297" s="1713">
        <f t="shared" si="40"/>
        <v>2.8773280709991966</v>
      </c>
      <c r="K297">
        <f t="shared" si="47"/>
        <v>16232.038491106436</v>
      </c>
      <c r="L297">
        <f t="shared" si="48"/>
        <v>8808.1370544579349</v>
      </c>
      <c r="N297" s="1718">
        <f t="shared" si="51"/>
        <v>63.910644991907795</v>
      </c>
      <c r="O297" s="1718">
        <f t="shared" si="51"/>
        <v>36.020862535176768</v>
      </c>
      <c r="P297" s="1718">
        <f t="shared" si="51"/>
        <v>4.3804692727445103</v>
      </c>
      <c r="Q297" s="1718">
        <f t="shared" si="51"/>
        <v>0</v>
      </c>
      <c r="R297" s="1719">
        <f t="shared" ref="R297:R308" si="53">SUM(P297:Q297)</f>
        <v>4.3804692727445103</v>
      </c>
    </row>
    <row r="298" spans="3:18">
      <c r="C298" s="1712">
        <f t="shared" si="38"/>
        <v>2022</v>
      </c>
      <c r="D298" s="1712">
        <f t="shared" si="39"/>
        <v>2</v>
      </c>
      <c r="E298" s="1857">
        <v>44593</v>
      </c>
      <c r="F298" s="1858">
        <f t="shared" si="52"/>
        <v>35.131799999999998</v>
      </c>
      <c r="G298" s="1858">
        <f t="shared" si="52"/>
        <v>22.956899999999997</v>
      </c>
      <c r="H298" s="1858">
        <f t="shared" si="52"/>
        <v>2.6530869582417984</v>
      </c>
      <c r="I298" s="1858">
        <f t="shared" si="52"/>
        <v>0</v>
      </c>
      <c r="J298" s="1713">
        <f t="shared" ref="J298:J320" si="54">SUM(H298:I298)</f>
        <v>2.6530869582417984</v>
      </c>
      <c r="K298">
        <f t="shared" ref="K298:K320" si="55">F298/$J298*1000</f>
        <v>13241.857712527393</v>
      </c>
      <c r="L298">
        <f t="shared" ref="L298:L320" si="56">G298/$J298*1000</f>
        <v>8652.9014545431801</v>
      </c>
      <c r="N298" s="1718">
        <f t="shared" si="51"/>
        <v>47.890430653492736</v>
      </c>
      <c r="O298" s="1718">
        <f t="shared" si="51"/>
        <v>29.786544914805951</v>
      </c>
      <c r="P298" s="1718">
        <f t="shared" si="51"/>
        <v>4.0390826529772657</v>
      </c>
      <c r="Q298" s="1718">
        <f t="shared" si="51"/>
        <v>0</v>
      </c>
      <c r="R298" s="1719">
        <f t="shared" si="53"/>
        <v>4.0390826529772657</v>
      </c>
    </row>
    <row r="299" spans="3:18">
      <c r="C299" s="1712">
        <f t="shared" si="38"/>
        <v>2022</v>
      </c>
      <c r="D299" s="1712">
        <f t="shared" si="39"/>
        <v>3</v>
      </c>
      <c r="E299" s="1857">
        <v>44621</v>
      </c>
      <c r="F299" s="1858">
        <f t="shared" si="52"/>
        <v>31.102599999999999</v>
      </c>
      <c r="G299" s="1858">
        <f t="shared" si="52"/>
        <v>20.717900000000004</v>
      </c>
      <c r="H299" s="1858">
        <f t="shared" si="52"/>
        <v>2.5068516584752136</v>
      </c>
      <c r="I299" s="1858">
        <f t="shared" si="52"/>
        <v>0</v>
      </c>
      <c r="J299" s="1713">
        <f t="shared" si="54"/>
        <v>2.5068516584752136</v>
      </c>
      <c r="K299">
        <f t="shared" si="55"/>
        <v>12407.036489314281</v>
      </c>
      <c r="L299">
        <f t="shared" si="56"/>
        <v>8264.5097606619511</v>
      </c>
      <c r="N299" s="1718">
        <f t="shared" si="51"/>
        <v>45.975580233269739</v>
      </c>
      <c r="O299" s="1718">
        <f t="shared" si="51"/>
        <v>31.909793394649547</v>
      </c>
      <c r="P299" s="1718">
        <f t="shared" si="51"/>
        <v>3.8164527611430485</v>
      </c>
      <c r="Q299" s="1718">
        <f t="shared" si="51"/>
        <v>0</v>
      </c>
      <c r="R299" s="1719">
        <f t="shared" si="53"/>
        <v>3.8164527611430485</v>
      </c>
    </row>
    <row r="300" spans="3:18">
      <c r="C300" s="1712">
        <f t="shared" si="38"/>
        <v>2022</v>
      </c>
      <c r="D300" s="1712">
        <f t="shared" si="39"/>
        <v>4</v>
      </c>
      <c r="E300" s="1857">
        <v>44652</v>
      </c>
      <c r="F300" s="1858">
        <f t="shared" si="52"/>
        <v>30.845700000000004</v>
      </c>
      <c r="G300" s="1858">
        <f t="shared" si="52"/>
        <v>20.458300000000001</v>
      </c>
      <c r="H300" s="1858">
        <f t="shared" si="52"/>
        <v>2.4275608486580595</v>
      </c>
      <c r="I300" s="1858">
        <f t="shared" si="52"/>
        <v>0</v>
      </c>
      <c r="J300" s="1713">
        <f t="shared" si="54"/>
        <v>2.4275608486580595</v>
      </c>
      <c r="K300">
        <f t="shared" si="55"/>
        <v>12706.458014039614</v>
      </c>
      <c r="L300">
        <f t="shared" si="56"/>
        <v>8427.5127485719768</v>
      </c>
      <c r="N300" s="1718">
        <f t="shared" si="51"/>
        <v>44.584662323472671</v>
      </c>
      <c r="O300" s="1718">
        <f t="shared" si="51"/>
        <v>31.087023013862623</v>
      </c>
      <c r="P300" s="1718">
        <f t="shared" si="51"/>
        <v>3.6957397428689607</v>
      </c>
      <c r="Q300" s="1718">
        <f t="shared" si="51"/>
        <v>0</v>
      </c>
      <c r="R300" s="1719">
        <f t="shared" si="53"/>
        <v>3.6957397428689607</v>
      </c>
    </row>
    <row r="301" spans="3:18">
      <c r="C301" s="1712">
        <f t="shared" si="38"/>
        <v>2022</v>
      </c>
      <c r="D301" s="1712">
        <f t="shared" si="39"/>
        <v>5</v>
      </c>
      <c r="E301" s="1857">
        <v>44682</v>
      </c>
      <c r="F301" s="1858">
        <f t="shared" si="52"/>
        <v>30.645700000000005</v>
      </c>
      <c r="G301" s="1858">
        <f t="shared" si="52"/>
        <v>21.175599999999999</v>
      </c>
      <c r="H301" s="1858">
        <f t="shared" si="52"/>
        <v>2.4053374728961585</v>
      </c>
      <c r="I301" s="1858">
        <f t="shared" si="52"/>
        <v>0</v>
      </c>
      <c r="J301" s="1713">
        <f t="shared" si="54"/>
        <v>2.4053374728961585</v>
      </c>
      <c r="K301">
        <f t="shared" si="55"/>
        <v>12740.707009025597</v>
      </c>
      <c r="L301">
        <f t="shared" si="56"/>
        <v>8803.5879532959716</v>
      </c>
      <c r="N301" s="1718">
        <f t="shared" si="51"/>
        <v>51.755843624333671</v>
      </c>
      <c r="O301" s="1718">
        <f t="shared" si="51"/>
        <v>30.935980800027817</v>
      </c>
      <c r="P301" s="1718">
        <f t="shared" si="51"/>
        <v>3.6619066823838353</v>
      </c>
      <c r="Q301" s="1718">
        <f t="shared" si="51"/>
        <v>0</v>
      </c>
      <c r="R301" s="1719">
        <f t="shared" si="53"/>
        <v>3.6619066823838353</v>
      </c>
    </row>
    <row r="302" spans="3:18">
      <c r="C302" s="1712">
        <f t="shared" si="38"/>
        <v>2022</v>
      </c>
      <c r="D302" s="1712">
        <f t="shared" si="39"/>
        <v>6</v>
      </c>
      <c r="E302" s="1857">
        <v>44713</v>
      </c>
      <c r="F302" s="1858">
        <f t="shared" si="52"/>
        <v>38.690600000000003</v>
      </c>
      <c r="G302" s="1858">
        <f t="shared" si="52"/>
        <v>20.128399999999999</v>
      </c>
      <c r="H302" s="1858">
        <f t="shared" si="52"/>
        <v>2.4303044752953316</v>
      </c>
      <c r="I302" s="1858">
        <f t="shared" si="52"/>
        <v>0</v>
      </c>
      <c r="J302" s="1713">
        <f t="shared" si="54"/>
        <v>2.4303044752953316</v>
      </c>
      <c r="K302">
        <f t="shared" si="55"/>
        <v>15920.062853564184</v>
      </c>
      <c r="L302">
        <f t="shared" si="56"/>
        <v>8282.2544272169798</v>
      </c>
      <c r="N302" s="1718">
        <f t="shared" si="51"/>
        <v>50.236918597796361</v>
      </c>
      <c r="O302" s="1718">
        <f t="shared" si="51"/>
        <v>30.17474041013778</v>
      </c>
      <c r="P302" s="1718">
        <f t="shared" si="51"/>
        <v>3.6999166639165075</v>
      </c>
      <c r="Q302" s="1718">
        <f t="shared" si="51"/>
        <v>0</v>
      </c>
      <c r="R302" s="1719">
        <f t="shared" si="53"/>
        <v>3.6999166639165075</v>
      </c>
    </row>
    <row r="303" spans="3:18">
      <c r="C303" s="1712">
        <f t="shared" si="38"/>
        <v>2022</v>
      </c>
      <c r="D303" s="1712">
        <f t="shared" si="39"/>
        <v>7</v>
      </c>
      <c r="E303" s="1857">
        <v>44743</v>
      </c>
      <c r="F303" s="1858">
        <f t="shared" si="52"/>
        <v>52.524299999999997</v>
      </c>
      <c r="G303" s="1858">
        <f t="shared" si="52"/>
        <v>23.5943</v>
      </c>
      <c r="H303" s="1858">
        <f t="shared" si="52"/>
        <v>2.4925847999614006</v>
      </c>
      <c r="I303" s="1858">
        <f t="shared" si="52"/>
        <v>0</v>
      </c>
      <c r="J303" s="1713">
        <f t="shared" si="54"/>
        <v>2.4925847999614006</v>
      </c>
      <c r="K303">
        <f t="shared" si="55"/>
        <v>21072.221896247371</v>
      </c>
      <c r="L303">
        <f t="shared" si="56"/>
        <v>9465.7963092631308</v>
      </c>
      <c r="N303" s="1718">
        <f t="shared" si="51"/>
        <v>74.579759895866303</v>
      </c>
      <c r="O303" s="1718">
        <f t="shared" si="51"/>
        <v>35.567272099771124</v>
      </c>
      <c r="P303" s="1718">
        <f t="shared" si="51"/>
        <v>3.7947327716958084</v>
      </c>
      <c r="Q303" s="1718">
        <f t="shared" si="51"/>
        <v>0</v>
      </c>
      <c r="R303" s="1719">
        <f t="shared" si="53"/>
        <v>3.7947327716958084</v>
      </c>
    </row>
    <row r="304" spans="3:18">
      <c r="C304" s="1712">
        <f t="shared" si="38"/>
        <v>2022</v>
      </c>
      <c r="D304" s="1712">
        <f t="shared" si="39"/>
        <v>8</v>
      </c>
      <c r="E304" s="1857">
        <v>44774</v>
      </c>
      <c r="F304" s="1858">
        <f t="shared" si="52"/>
        <v>59.896700000000003</v>
      </c>
      <c r="G304" s="1858">
        <f t="shared" si="52"/>
        <v>27.1753</v>
      </c>
      <c r="H304" s="1858">
        <f t="shared" si="52"/>
        <v>2.5823013910001875</v>
      </c>
      <c r="I304" s="1858">
        <f t="shared" si="52"/>
        <v>0</v>
      </c>
      <c r="J304" s="1713">
        <f t="shared" si="54"/>
        <v>2.5823013910001875</v>
      </c>
      <c r="K304">
        <f t="shared" si="55"/>
        <v>23195.084899365898</v>
      </c>
      <c r="L304">
        <f t="shared" si="56"/>
        <v>10523.674771159982</v>
      </c>
      <c r="N304" s="1718">
        <f t="shared" si="51"/>
        <v>92.544662062150323</v>
      </c>
      <c r="O304" s="1718">
        <f t="shared" si="51"/>
        <v>38.025070580370617</v>
      </c>
      <c r="P304" s="1718">
        <f t="shared" si="51"/>
        <v>3.9313180899505724</v>
      </c>
      <c r="Q304" s="1718">
        <f t="shared" si="51"/>
        <v>0</v>
      </c>
      <c r="R304" s="1719">
        <f t="shared" si="53"/>
        <v>3.9313180899505724</v>
      </c>
    </row>
    <row r="305" spans="3:18">
      <c r="C305" s="1712">
        <f t="shared" si="38"/>
        <v>2022</v>
      </c>
      <c r="D305" s="1712">
        <f t="shared" si="39"/>
        <v>9</v>
      </c>
      <c r="E305" s="1857">
        <v>44805</v>
      </c>
      <c r="F305" s="1858">
        <f t="shared" si="52"/>
        <v>51.645999999999994</v>
      </c>
      <c r="G305" s="1858">
        <f t="shared" si="52"/>
        <v>25.116500000000002</v>
      </c>
      <c r="H305" s="1858">
        <f t="shared" si="52"/>
        <v>2.6895771925175134</v>
      </c>
      <c r="I305" s="1858">
        <f t="shared" si="52"/>
        <v>0</v>
      </c>
      <c r="J305" s="1713">
        <f t="shared" si="54"/>
        <v>2.6895771925175134</v>
      </c>
      <c r="K305">
        <f t="shared" si="55"/>
        <v>19202.274671156774</v>
      </c>
      <c r="L305">
        <f t="shared" si="56"/>
        <v>9338.4566428786202</v>
      </c>
      <c r="N305" s="1718">
        <f t="shared" si="51"/>
        <v>77.718871617376706</v>
      </c>
      <c r="O305" s="1718">
        <f t="shared" si="51"/>
        <v>36.60215089138849</v>
      </c>
      <c r="P305" s="1718">
        <f t="shared" si="51"/>
        <v>4.0946357029096321</v>
      </c>
      <c r="Q305" s="1718">
        <f t="shared" si="51"/>
        <v>0</v>
      </c>
      <c r="R305" s="1719">
        <f t="shared" si="53"/>
        <v>4.0946357029096321</v>
      </c>
    </row>
    <row r="306" spans="3:18">
      <c r="C306" s="1712">
        <f t="shared" si="38"/>
        <v>2022</v>
      </c>
      <c r="D306" s="1712">
        <f t="shared" si="39"/>
        <v>10</v>
      </c>
      <c r="E306" s="1857">
        <v>44835</v>
      </c>
      <c r="F306" s="1858">
        <f t="shared" si="52"/>
        <v>40.153500000000008</v>
      </c>
      <c r="G306" s="1858">
        <f t="shared" si="52"/>
        <v>23.781100000000002</v>
      </c>
      <c r="H306" s="1858">
        <f t="shared" si="52"/>
        <v>2.8045351486192009</v>
      </c>
      <c r="I306" s="1858">
        <f t="shared" si="52"/>
        <v>0</v>
      </c>
      <c r="J306" s="1713">
        <f t="shared" si="54"/>
        <v>2.8045351486192009</v>
      </c>
      <c r="K306">
        <f t="shared" si="55"/>
        <v>14317.345967216488</v>
      </c>
      <c r="L306">
        <f t="shared" si="56"/>
        <v>8479.5157627846129</v>
      </c>
      <c r="N306" s="1718">
        <f t="shared" si="51"/>
        <v>62.700761301558586</v>
      </c>
      <c r="O306" s="1718">
        <f t="shared" si="51"/>
        <v>34.910539935625522</v>
      </c>
      <c r="P306" s="1718">
        <f t="shared" si="51"/>
        <v>4.2696486948018224</v>
      </c>
      <c r="Q306" s="1718">
        <f t="shared" si="51"/>
        <v>0</v>
      </c>
      <c r="R306" s="1719">
        <f t="shared" si="53"/>
        <v>4.2696486948018224</v>
      </c>
    </row>
    <row r="307" spans="3:18">
      <c r="C307" s="1712">
        <f t="shared" si="38"/>
        <v>2022</v>
      </c>
      <c r="D307" s="1712">
        <f t="shared" si="39"/>
        <v>11</v>
      </c>
      <c r="E307" s="1857">
        <v>44866</v>
      </c>
      <c r="F307" s="1858">
        <f t="shared" si="52"/>
        <v>38.965600000000002</v>
      </c>
      <c r="G307" s="1858">
        <f t="shared" si="52"/>
        <v>24.270600000000002</v>
      </c>
      <c r="H307" s="1858">
        <f t="shared" si="52"/>
        <v>2.9172982034110695</v>
      </c>
      <c r="I307" s="1858">
        <f t="shared" si="52"/>
        <v>0</v>
      </c>
      <c r="J307" s="1713">
        <f t="shared" si="54"/>
        <v>2.9172982034110695</v>
      </c>
      <c r="K307">
        <f t="shared" si="55"/>
        <v>13356.742191949808</v>
      </c>
      <c r="L307">
        <f t="shared" si="56"/>
        <v>8319.5471658061724</v>
      </c>
      <c r="N307" s="1718">
        <f t="shared" si="51"/>
        <v>64.881056431253811</v>
      </c>
      <c r="O307" s="1718">
        <f t="shared" si="51"/>
        <v>37.924736499737257</v>
      </c>
      <c r="P307" s="1718">
        <f t="shared" si="51"/>
        <v>4.4413201498559731</v>
      </c>
      <c r="Q307" s="1718">
        <f t="shared" si="51"/>
        <v>0</v>
      </c>
      <c r="R307" s="1719">
        <f t="shared" si="53"/>
        <v>4.4413201498559731</v>
      </c>
    </row>
    <row r="308" spans="3:18">
      <c r="C308" s="1712">
        <f t="shared" si="38"/>
        <v>2022</v>
      </c>
      <c r="D308" s="1712">
        <f t="shared" si="39"/>
        <v>12</v>
      </c>
      <c r="E308" s="1857">
        <v>44896</v>
      </c>
      <c r="F308" s="1858">
        <f t="shared" si="52"/>
        <v>42.275199999999991</v>
      </c>
      <c r="G308" s="1858">
        <f t="shared" si="52"/>
        <v>25.811199999999999</v>
      </c>
      <c r="H308" s="1858">
        <f t="shared" si="52"/>
        <v>3.036442987367816</v>
      </c>
      <c r="I308" s="1858">
        <f t="shared" si="52"/>
        <v>0</v>
      </c>
      <c r="J308" s="1713">
        <f t="shared" si="54"/>
        <v>3.036442987367816</v>
      </c>
      <c r="K308">
        <f t="shared" si="55"/>
        <v>13922.606212556242</v>
      </c>
      <c r="L308">
        <f t="shared" si="56"/>
        <v>8500.4724631351655</v>
      </c>
      <c r="N308" s="1718">
        <f t="shared" si="51"/>
        <v>61.790024677504526</v>
      </c>
      <c r="O308" s="1718">
        <f t="shared" si="51"/>
        <v>38.724317185462553</v>
      </c>
      <c r="P308" s="1718">
        <f t="shared" si="51"/>
        <v>4.6227072048778473</v>
      </c>
      <c r="Q308" s="1718">
        <f t="shared" si="51"/>
        <v>0</v>
      </c>
      <c r="R308" s="1719">
        <f t="shared" si="53"/>
        <v>4.6227072048778473</v>
      </c>
    </row>
    <row r="309" spans="3:18">
      <c r="C309" s="1712">
        <f t="shared" si="38"/>
        <v>2023</v>
      </c>
      <c r="D309" s="1712">
        <f t="shared" si="39"/>
        <v>1</v>
      </c>
      <c r="E309" s="1857">
        <v>44927</v>
      </c>
      <c r="F309" s="1858">
        <f t="shared" si="52"/>
        <v>49.387399999999992</v>
      </c>
      <c r="G309" s="1858">
        <f t="shared" si="52"/>
        <v>26.365999999999996</v>
      </c>
      <c r="H309" s="1858">
        <f t="shared" si="52"/>
        <v>2.8992628455809957</v>
      </c>
      <c r="I309" s="1858">
        <f t="shared" si="52"/>
        <v>0</v>
      </c>
      <c r="J309" s="1713">
        <f t="shared" si="54"/>
        <v>2.8992628455809957</v>
      </c>
      <c r="K309">
        <f t="shared" si="55"/>
        <v>17034.467942523865</v>
      </c>
      <c r="L309">
        <f t="shared" si="56"/>
        <v>9094.0357616028432</v>
      </c>
      <c r="N309" s="1718">
        <f t="shared" ref="N309:Q320" si="57">N297*(1+$D$4)</f>
        <v>65.188857891745954</v>
      </c>
      <c r="O309" s="1718">
        <f t="shared" si="57"/>
        <v>36.741279785880302</v>
      </c>
      <c r="P309" s="1718">
        <f t="shared" si="57"/>
        <v>4.468078658199401</v>
      </c>
      <c r="Q309" s="1718">
        <f t="shared" si="57"/>
        <v>0</v>
      </c>
      <c r="R309" s="1719">
        <f t="shared" ref="R309:R320" si="58">SUM(P309:Q309)</f>
        <v>4.468078658199401</v>
      </c>
    </row>
    <row r="310" spans="3:18">
      <c r="C310" s="1712">
        <f t="shared" si="38"/>
        <v>2023</v>
      </c>
      <c r="D310" s="1712">
        <f t="shared" si="39"/>
        <v>2</v>
      </c>
      <c r="E310" s="1857">
        <v>44958</v>
      </c>
      <c r="F310" s="1858">
        <f t="shared" si="52"/>
        <v>37.208999999999996</v>
      </c>
      <c r="G310" s="1858">
        <f t="shared" si="52"/>
        <v>24.801799999999997</v>
      </c>
      <c r="H310" s="1858">
        <f t="shared" si="52"/>
        <v>2.673312272470473</v>
      </c>
      <c r="I310" s="1858">
        <f t="shared" si="52"/>
        <v>0</v>
      </c>
      <c r="J310" s="1713">
        <f t="shared" si="54"/>
        <v>2.673312272470473</v>
      </c>
      <c r="K310">
        <f t="shared" si="55"/>
        <v>13918.688206826751</v>
      </c>
      <c r="L310">
        <f t="shared" si="56"/>
        <v>9277.5543865214258</v>
      </c>
      <c r="N310" s="1718">
        <f t="shared" si="57"/>
        <v>48.848239266562594</v>
      </c>
      <c r="O310" s="1718">
        <f t="shared" si="57"/>
        <v>30.382275813102069</v>
      </c>
      <c r="P310" s="1718">
        <f t="shared" si="57"/>
        <v>4.1198643060368108</v>
      </c>
      <c r="Q310" s="1718">
        <f t="shared" si="57"/>
        <v>0</v>
      </c>
      <c r="R310" s="1719">
        <f t="shared" si="58"/>
        <v>4.1198643060368108</v>
      </c>
    </row>
    <row r="311" spans="3:18">
      <c r="C311" s="1712">
        <f t="shared" si="38"/>
        <v>2023</v>
      </c>
      <c r="D311" s="1712">
        <f t="shared" si="39"/>
        <v>3</v>
      </c>
      <c r="E311" s="1857">
        <v>44986</v>
      </c>
      <c r="F311" s="1858">
        <f t="shared" si="52"/>
        <v>31.784499999999998</v>
      </c>
      <c r="G311" s="1858">
        <f t="shared" si="52"/>
        <v>20.756600000000006</v>
      </c>
      <c r="H311" s="1858">
        <f t="shared" si="52"/>
        <v>2.5259621751357515</v>
      </c>
      <c r="I311" s="1858">
        <f t="shared" si="52"/>
        <v>0</v>
      </c>
      <c r="J311" s="1713">
        <f t="shared" si="54"/>
        <v>2.5259621751357515</v>
      </c>
      <c r="K311">
        <f t="shared" si="55"/>
        <v>12583.125872932686</v>
      </c>
      <c r="L311">
        <f t="shared" si="56"/>
        <v>8217.3043620039534</v>
      </c>
      <c r="N311" s="1718">
        <f t="shared" si="57"/>
        <v>46.895091837935134</v>
      </c>
      <c r="O311" s="1718">
        <f t="shared" si="57"/>
        <v>32.547989262542536</v>
      </c>
      <c r="P311" s="1718">
        <f t="shared" si="57"/>
        <v>3.8927818163659094</v>
      </c>
      <c r="Q311" s="1718">
        <f t="shared" si="57"/>
        <v>0</v>
      </c>
      <c r="R311" s="1719">
        <f t="shared" si="58"/>
        <v>3.8927818163659094</v>
      </c>
    </row>
    <row r="312" spans="3:18">
      <c r="C312" s="1712">
        <f t="shared" si="38"/>
        <v>2023</v>
      </c>
      <c r="D312" s="1712">
        <f t="shared" si="39"/>
        <v>4</v>
      </c>
      <c r="E312" s="1857">
        <v>45017</v>
      </c>
      <c r="F312" s="1858">
        <f t="shared" si="52"/>
        <v>31.849000000000007</v>
      </c>
      <c r="G312" s="1858">
        <f t="shared" si="52"/>
        <v>20.633300000000002</v>
      </c>
      <c r="H312" s="1858">
        <f t="shared" si="52"/>
        <v>2.4460669065996639</v>
      </c>
      <c r="I312" s="1858">
        <f t="shared" si="52"/>
        <v>0</v>
      </c>
      <c r="J312" s="1713">
        <f t="shared" si="54"/>
        <v>2.4460669065996639</v>
      </c>
      <c r="K312">
        <f t="shared" si="55"/>
        <v>13020.494212185742</v>
      </c>
      <c r="L312">
        <f t="shared" si="56"/>
        <v>8435.2966569842702</v>
      </c>
      <c r="N312" s="1718">
        <f t="shared" si="57"/>
        <v>45.476355569942122</v>
      </c>
      <c r="O312" s="1718">
        <f t="shared" si="57"/>
        <v>31.708763474139875</v>
      </c>
      <c r="P312" s="1718">
        <f t="shared" si="57"/>
        <v>3.76965453772634</v>
      </c>
      <c r="Q312" s="1718">
        <f t="shared" si="57"/>
        <v>0</v>
      </c>
      <c r="R312" s="1719">
        <f t="shared" si="58"/>
        <v>3.76965453772634</v>
      </c>
    </row>
    <row r="313" spans="3:18">
      <c r="C313" s="1712">
        <f t="shared" si="38"/>
        <v>2023</v>
      </c>
      <c r="D313" s="1712">
        <f t="shared" si="39"/>
        <v>5</v>
      </c>
      <c r="E313" s="1857">
        <v>45047</v>
      </c>
      <c r="F313" s="1858">
        <f t="shared" si="52"/>
        <v>29.229700000000008</v>
      </c>
      <c r="G313" s="1858">
        <f t="shared" si="52"/>
        <v>21.758099999999999</v>
      </c>
      <c r="H313" s="1858">
        <f t="shared" si="52"/>
        <v>2.4236741150722487</v>
      </c>
      <c r="I313" s="1858">
        <f t="shared" si="52"/>
        <v>0</v>
      </c>
      <c r="J313" s="1713">
        <f t="shared" si="54"/>
        <v>2.4236741150722487</v>
      </c>
      <c r="K313">
        <f t="shared" si="55"/>
        <v>12060.07846443856</v>
      </c>
      <c r="L313">
        <f t="shared" si="56"/>
        <v>8977.3207811609609</v>
      </c>
      <c r="N313" s="1718">
        <f t="shared" si="57"/>
        <v>52.790960496820347</v>
      </c>
      <c r="O313" s="1718">
        <f t="shared" si="57"/>
        <v>31.554700416028375</v>
      </c>
      <c r="P313" s="1718">
        <f t="shared" si="57"/>
        <v>3.7351448160315122</v>
      </c>
      <c r="Q313" s="1718">
        <f t="shared" si="57"/>
        <v>0</v>
      </c>
      <c r="R313" s="1719">
        <f t="shared" si="58"/>
        <v>3.7351448160315122</v>
      </c>
    </row>
    <row r="314" spans="3:18">
      <c r="C314" s="1712">
        <f t="shared" ref="C314:C320" si="59">C302+1</f>
        <v>2023</v>
      </c>
      <c r="D314" s="1712">
        <f t="shared" ref="D314:D320" si="60">D302</f>
        <v>6</v>
      </c>
      <c r="E314" s="1857">
        <v>45078</v>
      </c>
      <c r="F314" s="1858">
        <f t="shared" si="52"/>
        <v>41.788300000000007</v>
      </c>
      <c r="G314" s="1858">
        <f t="shared" si="52"/>
        <v>20.433499999999999</v>
      </c>
      <c r="H314" s="1858">
        <f t="shared" si="52"/>
        <v>2.4488314487635425</v>
      </c>
      <c r="I314" s="1858">
        <f t="shared" si="52"/>
        <v>0</v>
      </c>
      <c r="J314" s="1713">
        <f t="shared" si="54"/>
        <v>2.4488314487635425</v>
      </c>
      <c r="K314">
        <f t="shared" si="55"/>
        <v>17064.588100213939</v>
      </c>
      <c r="L314">
        <f t="shared" si="56"/>
        <v>8344.1839209951468</v>
      </c>
      <c r="N314" s="1718">
        <f t="shared" si="57"/>
        <v>51.241656969752292</v>
      </c>
      <c r="O314" s="1718">
        <f t="shared" si="57"/>
        <v>30.778235218340537</v>
      </c>
      <c r="P314" s="1718">
        <f t="shared" si="57"/>
        <v>3.7739149971948378</v>
      </c>
      <c r="Q314" s="1718">
        <f t="shared" si="57"/>
        <v>0</v>
      </c>
      <c r="R314" s="1719">
        <f t="shared" si="58"/>
        <v>3.7739149971948378</v>
      </c>
    </row>
    <row r="315" spans="3:18">
      <c r="C315" s="1712">
        <f t="shared" si="59"/>
        <v>2023</v>
      </c>
      <c r="D315" s="1712">
        <f t="shared" si="60"/>
        <v>7</v>
      </c>
      <c r="E315" s="1857">
        <v>45108</v>
      </c>
      <c r="F315" s="1858">
        <f t="shared" si="52"/>
        <v>54.665899999999993</v>
      </c>
      <c r="G315" s="1858">
        <f t="shared" si="52"/>
        <v>23.888300000000001</v>
      </c>
      <c r="H315" s="1858">
        <f t="shared" si="52"/>
        <v>2.5115865558835835</v>
      </c>
      <c r="I315" s="1858">
        <f t="shared" si="52"/>
        <v>0</v>
      </c>
      <c r="J315" s="1713">
        <f t="shared" si="54"/>
        <v>2.5115865558835835</v>
      </c>
      <c r="K315">
        <f t="shared" si="55"/>
        <v>21765.485195778318</v>
      </c>
      <c r="L315">
        <f t="shared" si="56"/>
        <v>9511.2389991258042</v>
      </c>
      <c r="N315" s="1718">
        <f t="shared" si="57"/>
        <v>76.071355093783637</v>
      </c>
      <c r="O315" s="1718">
        <f t="shared" si="57"/>
        <v>36.27861754176655</v>
      </c>
      <c r="P315" s="1718">
        <f t="shared" si="57"/>
        <v>3.8706274271297247</v>
      </c>
      <c r="Q315" s="1718">
        <f t="shared" si="57"/>
        <v>0</v>
      </c>
      <c r="R315" s="1719">
        <f t="shared" si="58"/>
        <v>3.8706274271297247</v>
      </c>
    </row>
    <row r="316" spans="3:18">
      <c r="C316" s="1712">
        <f t="shared" si="59"/>
        <v>2023</v>
      </c>
      <c r="D316" s="1712">
        <f t="shared" si="60"/>
        <v>8</v>
      </c>
      <c r="E316" s="1857">
        <v>45139</v>
      </c>
      <c r="F316" s="1858">
        <f t="shared" si="52"/>
        <v>59.914300000000004</v>
      </c>
      <c r="G316" s="1858">
        <f t="shared" si="52"/>
        <v>28.4649</v>
      </c>
      <c r="H316" s="1858">
        <f t="shared" si="52"/>
        <v>2.6019870846424094</v>
      </c>
      <c r="I316" s="1858">
        <f t="shared" si="52"/>
        <v>0</v>
      </c>
      <c r="J316" s="1713">
        <f t="shared" si="54"/>
        <v>2.6019870846424094</v>
      </c>
      <c r="K316">
        <f t="shared" si="55"/>
        <v>23026.363333480578</v>
      </c>
      <c r="L316">
        <f t="shared" si="56"/>
        <v>10939.677667121061</v>
      </c>
      <c r="N316" s="1718">
        <f t="shared" si="57"/>
        <v>94.395555303393337</v>
      </c>
      <c r="O316" s="1718">
        <f t="shared" si="57"/>
        <v>38.785571991978031</v>
      </c>
      <c r="P316" s="1718">
        <f t="shared" si="57"/>
        <v>4.0099444517495844</v>
      </c>
      <c r="Q316" s="1718">
        <f t="shared" si="57"/>
        <v>0</v>
      </c>
      <c r="R316" s="1719">
        <f t="shared" si="58"/>
        <v>4.0099444517495844</v>
      </c>
    </row>
    <row r="317" spans="3:18">
      <c r="C317" s="1712">
        <f t="shared" si="59"/>
        <v>2023</v>
      </c>
      <c r="D317" s="1712">
        <f t="shared" si="60"/>
        <v>9</v>
      </c>
      <c r="E317" s="1857">
        <v>45170</v>
      </c>
      <c r="F317" s="1858">
        <f t="shared" si="52"/>
        <v>52.333199999999991</v>
      </c>
      <c r="G317" s="1858">
        <f t="shared" si="52"/>
        <v>25.836900000000004</v>
      </c>
      <c r="H317" s="1858">
        <f t="shared" si="52"/>
        <v>2.710080683250057</v>
      </c>
      <c r="I317" s="1858">
        <f t="shared" si="52"/>
        <v>0</v>
      </c>
      <c r="J317" s="1713">
        <f t="shared" si="54"/>
        <v>2.710080683250057</v>
      </c>
      <c r="K317">
        <f t="shared" si="55"/>
        <v>19310.56898912675</v>
      </c>
      <c r="L317">
        <f t="shared" si="56"/>
        <v>9533.62759997801</v>
      </c>
      <c r="N317" s="1718">
        <f t="shared" si="57"/>
        <v>79.273249049724242</v>
      </c>
      <c r="O317" s="1718">
        <f t="shared" si="57"/>
        <v>37.33419390921626</v>
      </c>
      <c r="P317" s="1718">
        <f t="shared" si="57"/>
        <v>4.176528416967825</v>
      </c>
      <c r="Q317" s="1718">
        <f t="shared" si="57"/>
        <v>0</v>
      </c>
      <c r="R317" s="1719">
        <f t="shared" si="58"/>
        <v>4.176528416967825</v>
      </c>
    </row>
    <row r="318" spans="3:18">
      <c r="C318" s="1712">
        <f t="shared" si="59"/>
        <v>2023</v>
      </c>
      <c r="D318" s="1712">
        <f t="shared" si="60"/>
        <v>10</v>
      </c>
      <c r="E318" s="1857">
        <v>45200</v>
      </c>
      <c r="F318" s="1858">
        <f t="shared" si="52"/>
        <v>39.951600000000013</v>
      </c>
      <c r="G318" s="1858">
        <f t="shared" si="52"/>
        <v>24.380900000000004</v>
      </c>
      <c r="H318" s="1858">
        <f t="shared" si="52"/>
        <v>2.8259149999165651</v>
      </c>
      <c r="I318" s="1858">
        <f t="shared" si="52"/>
        <v>0</v>
      </c>
      <c r="J318" s="1713">
        <f t="shared" si="54"/>
        <v>2.8259149999165651</v>
      </c>
      <c r="K318">
        <f t="shared" si="55"/>
        <v>14137.580217798333</v>
      </c>
      <c r="L318">
        <f t="shared" si="56"/>
        <v>8627.612649609011</v>
      </c>
      <c r="N318" s="1718">
        <f t="shared" si="57"/>
        <v>63.954776527589758</v>
      </c>
      <c r="O318" s="1718">
        <f t="shared" si="57"/>
        <v>35.608750734338031</v>
      </c>
      <c r="P318" s="1718">
        <f t="shared" si="57"/>
        <v>4.3550416686978588</v>
      </c>
      <c r="Q318" s="1718">
        <f t="shared" si="57"/>
        <v>0</v>
      </c>
      <c r="R318" s="1719">
        <f t="shared" si="58"/>
        <v>4.3550416686978588</v>
      </c>
    </row>
    <row r="319" spans="3:18">
      <c r="C319" s="1712">
        <f t="shared" si="59"/>
        <v>2023</v>
      </c>
      <c r="D319" s="1712">
        <f t="shared" si="60"/>
        <v>11</v>
      </c>
      <c r="E319" s="1857">
        <v>45231</v>
      </c>
      <c r="F319" s="1858">
        <f t="shared" ref="F319:I320" si="61">F307+F307-F295</f>
        <v>37.464600000000004</v>
      </c>
      <c r="G319" s="1858">
        <f t="shared" si="61"/>
        <v>24.140300000000003</v>
      </c>
      <c r="H319" s="1858">
        <f t="shared" si="61"/>
        <v>2.9395376828519688</v>
      </c>
      <c r="I319" s="1858">
        <f t="shared" si="61"/>
        <v>0</v>
      </c>
      <c r="J319" s="1713">
        <f t="shared" si="54"/>
        <v>2.9395376828519688</v>
      </c>
      <c r="K319">
        <f t="shared" si="55"/>
        <v>12745.06539533505</v>
      </c>
      <c r="L319">
        <f t="shared" si="56"/>
        <v>8212.2777812390032</v>
      </c>
      <c r="N319" s="1718">
        <f t="shared" si="57"/>
        <v>66.178677559878892</v>
      </c>
      <c r="O319" s="1718">
        <f t="shared" si="57"/>
        <v>38.683231229732002</v>
      </c>
      <c r="P319" s="1718">
        <f t="shared" si="57"/>
        <v>4.5301465528530924</v>
      </c>
      <c r="Q319" s="1718">
        <f t="shared" si="57"/>
        <v>0</v>
      </c>
      <c r="R319" s="1719">
        <f t="shared" si="58"/>
        <v>4.5301465528530924</v>
      </c>
    </row>
    <row r="320" spans="3:18">
      <c r="C320" s="1712">
        <f t="shared" si="59"/>
        <v>2023</v>
      </c>
      <c r="D320" s="1712">
        <f t="shared" si="60"/>
        <v>12</v>
      </c>
      <c r="E320" s="1857">
        <v>45261</v>
      </c>
      <c r="F320" s="1858">
        <f t="shared" si="61"/>
        <v>43.428699999999985</v>
      </c>
      <c r="G320" s="1858">
        <f t="shared" si="61"/>
        <v>26.192599999999999</v>
      </c>
      <c r="H320" s="1858">
        <f t="shared" si="61"/>
        <v>3.0595907448757975</v>
      </c>
      <c r="I320" s="1858">
        <f t="shared" si="61"/>
        <v>0</v>
      </c>
      <c r="J320" s="1713">
        <f t="shared" si="54"/>
        <v>3.0595907448757975</v>
      </c>
      <c r="K320">
        <f t="shared" si="55"/>
        <v>14194.284014204963</v>
      </c>
      <c r="L320">
        <f t="shared" si="56"/>
        <v>8560.8181564372189</v>
      </c>
      <c r="N320" s="1718">
        <f t="shared" si="57"/>
        <v>63.02582517105462</v>
      </c>
      <c r="O320" s="1718">
        <f t="shared" si="57"/>
        <v>39.498803529171802</v>
      </c>
      <c r="P320" s="1718">
        <f t="shared" si="57"/>
        <v>4.7151613489754043</v>
      </c>
      <c r="Q320" s="1718">
        <f t="shared" si="57"/>
        <v>0</v>
      </c>
      <c r="R320" s="1719">
        <f t="shared" si="58"/>
        <v>4.7151613489754043</v>
      </c>
    </row>
  </sheetData>
  <pageMargins left="0.75" right="0.75" top="1" bottom="1" header="0.5" footer="0.5"/>
  <pageSetup orientation="portrait" horizont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7:AS29"/>
  <sheetViews>
    <sheetView workbookViewId="0">
      <selection activeCell="A7" sqref="A7:X29"/>
    </sheetView>
  </sheetViews>
  <sheetFormatPr defaultRowHeight="12.75"/>
  <sheetData>
    <row r="7" spans="1:45" ht="13.5" thickBot="1">
      <c r="A7" s="1690" t="s">
        <v>1240</v>
      </c>
    </row>
    <row r="8" spans="1:45" ht="14.25" thickTop="1" thickBot="1">
      <c r="E8" s="1597">
        <f>Returns!E3</f>
        <v>36280</v>
      </c>
      <c r="F8" s="1597">
        <f>Returns!F3</f>
        <v>36311</v>
      </c>
      <c r="G8" s="1597">
        <f>Returns!G3</f>
        <v>36341</v>
      </c>
      <c r="H8" s="1597">
        <f>Returns!H3</f>
        <v>36372</v>
      </c>
      <c r="I8" s="1597">
        <f>Returns!I3</f>
        <v>36403</v>
      </c>
      <c r="J8" s="1597">
        <f>Returns!J3</f>
        <v>36433</v>
      </c>
      <c r="K8" s="1597">
        <f>Returns!K3</f>
        <v>36464</v>
      </c>
      <c r="L8" s="1597">
        <f>Returns!L3</f>
        <v>36494</v>
      </c>
      <c r="M8" s="1597">
        <f>Returns!M3</f>
        <v>36525</v>
      </c>
      <c r="N8" s="1597">
        <f>Returns!N3</f>
        <v>36556</v>
      </c>
      <c r="O8" s="1597">
        <f>Returns!O3</f>
        <v>36585</v>
      </c>
      <c r="P8" s="1597">
        <f>Returns!P3</f>
        <v>36616</v>
      </c>
      <c r="Q8" s="1597">
        <f>Returns!Q3</f>
        <v>36646</v>
      </c>
      <c r="R8" s="1597">
        <f>Returns!R3</f>
        <v>36677</v>
      </c>
      <c r="S8" s="1597">
        <f>Returns!S3</f>
        <v>36707</v>
      </c>
      <c r="T8" s="1597">
        <f>Returns!T3</f>
        <v>36738</v>
      </c>
      <c r="U8" s="1597">
        <f>Returns!U3</f>
        <v>36769</v>
      </c>
      <c r="V8" s="1597">
        <f>Returns!V3</f>
        <v>36799</v>
      </c>
      <c r="W8" s="1597">
        <f>Returns!W3</f>
        <v>36830</v>
      </c>
      <c r="X8" s="1597">
        <f>Returns!X3</f>
        <v>36860</v>
      </c>
    </row>
    <row r="9" spans="1:45" ht="13.5" thickTop="1">
      <c r="A9" s="1596" t="s">
        <v>1048</v>
      </c>
      <c r="E9" s="1591">
        <f>Returns!E44</f>
        <v>500</v>
      </c>
      <c r="F9" s="1591">
        <f>Returns!F44</f>
        <v>0</v>
      </c>
      <c r="G9" s="1591">
        <f>Returns!G44</f>
        <v>0</v>
      </c>
      <c r="H9" s="1591">
        <f>Returns!H44</f>
        <v>0</v>
      </c>
      <c r="I9" s="1591">
        <f>Returns!I44</f>
        <v>0</v>
      </c>
      <c r="J9" s="1591">
        <f>Returns!J44</f>
        <v>0</v>
      </c>
      <c r="K9" s="1591">
        <f>Returns!K44</f>
        <v>0</v>
      </c>
      <c r="L9" s="1591">
        <f>Returns!L44</f>
        <v>0</v>
      </c>
      <c r="M9" s="1591">
        <f>Returns!M44</f>
        <v>0</v>
      </c>
      <c r="N9" s="1591">
        <f>Returns!N44</f>
        <v>0</v>
      </c>
      <c r="O9" s="1591">
        <f>Returns!O44</f>
        <v>0</v>
      </c>
      <c r="P9" s="1591">
        <f>Returns!P44</f>
        <v>0</v>
      </c>
      <c r="Q9" s="1591">
        <f>Returns!Q44</f>
        <v>0</v>
      </c>
      <c r="R9" s="1591">
        <f>Returns!R44</f>
        <v>0</v>
      </c>
      <c r="S9" s="1591">
        <f>Returns!S44</f>
        <v>0</v>
      </c>
      <c r="T9" s="1591">
        <f>Returns!T44</f>
        <v>0</v>
      </c>
      <c r="U9" s="1591">
        <f>Returns!U44</f>
        <v>0</v>
      </c>
      <c r="V9" s="1591">
        <f>Returns!V44</f>
        <v>0</v>
      </c>
      <c r="W9" s="1591">
        <f>Returns!W44</f>
        <v>0</v>
      </c>
      <c r="X9" s="1591">
        <f>Returns!X44</f>
        <v>0</v>
      </c>
      <c r="Y9" s="1591"/>
      <c r="Z9" s="1591"/>
      <c r="AA9" s="1591"/>
      <c r="AB9" s="1591"/>
      <c r="AC9" s="1591"/>
      <c r="AD9" s="1591"/>
      <c r="AE9" s="1591"/>
      <c r="AF9" s="1591"/>
      <c r="AG9" s="1591"/>
      <c r="AH9" s="1591"/>
      <c r="AI9" s="1591"/>
      <c r="AJ9" s="1591"/>
      <c r="AK9" s="1591"/>
      <c r="AL9" s="1591"/>
      <c r="AM9" s="1591"/>
      <c r="AN9" s="1591"/>
      <c r="AO9" s="1591"/>
      <c r="AP9" s="1591"/>
      <c r="AQ9" s="1591"/>
      <c r="AR9" s="1591"/>
      <c r="AS9" s="1591"/>
    </row>
    <row r="10" spans="1:45">
      <c r="A10" s="1596" t="s">
        <v>1204</v>
      </c>
      <c r="E10" s="1591">
        <f>Returns!E45</f>
        <v>0</v>
      </c>
      <c r="F10" s="1591">
        <f>Returns!F45</f>
        <v>0</v>
      </c>
      <c r="G10" s="1591">
        <f>Returns!G45</f>
        <v>0</v>
      </c>
      <c r="H10" s="1591">
        <f>Returns!H45</f>
        <v>0</v>
      </c>
      <c r="I10" s="1591">
        <f>Returns!I45</f>
        <v>0</v>
      </c>
      <c r="J10" s="1591">
        <f>Returns!J45</f>
        <v>0</v>
      </c>
      <c r="K10" s="1591">
        <f>Returns!K45</f>
        <v>0</v>
      </c>
      <c r="L10" s="1591">
        <f>Returns!L45</f>
        <v>0</v>
      </c>
      <c r="M10" s="1591">
        <f>Returns!M45</f>
        <v>250</v>
      </c>
      <c r="N10" s="1591">
        <f>Returns!N45</f>
        <v>0</v>
      </c>
      <c r="O10" s="1591">
        <f>Returns!O45</f>
        <v>0</v>
      </c>
      <c r="P10" s="1591">
        <f>Returns!P45</f>
        <v>0</v>
      </c>
      <c r="Q10" s="1591">
        <f>Returns!Q45</f>
        <v>0</v>
      </c>
      <c r="R10" s="1591">
        <f>Returns!R45</f>
        <v>0</v>
      </c>
      <c r="S10" s="1591">
        <f>Returns!S45</f>
        <v>0</v>
      </c>
      <c r="T10" s="1591">
        <f>Returns!T45</f>
        <v>0</v>
      </c>
      <c r="U10" s="1591">
        <f>Returns!U45</f>
        <v>0</v>
      </c>
      <c r="V10" s="1591">
        <f>Returns!V45</f>
        <v>0</v>
      </c>
      <c r="W10" s="1591">
        <f>Returns!W45</f>
        <v>0</v>
      </c>
      <c r="X10" s="1591">
        <f>Returns!X45</f>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c r="AS10" s="1591"/>
    </row>
    <row r="11" spans="1:45">
      <c r="A11" s="1596" t="s">
        <v>1049</v>
      </c>
      <c r="E11" s="1591">
        <f>Returns!E46</f>
        <v>0</v>
      </c>
      <c r="F11" s="1591">
        <f>Returns!F46</f>
        <v>0</v>
      </c>
      <c r="G11" s="1591">
        <f>Returns!G46</f>
        <v>0</v>
      </c>
      <c r="H11" s="1591">
        <f>Returns!H46</f>
        <v>0</v>
      </c>
      <c r="I11" s="1591">
        <f>Returns!I46</f>
        <v>0</v>
      </c>
      <c r="J11" s="1591">
        <f>Returns!J46</f>
        <v>0</v>
      </c>
      <c r="K11" s="1591">
        <f>Returns!K46</f>
        <v>0</v>
      </c>
      <c r="L11" s="1591">
        <f>Returns!L46</f>
        <v>0</v>
      </c>
      <c r="M11" s="1591">
        <f>Returns!M46</f>
        <v>0</v>
      </c>
      <c r="N11" s="1591">
        <f>Returns!N46</f>
        <v>0</v>
      </c>
      <c r="O11" s="1591">
        <f>Returns!O46</f>
        <v>0</v>
      </c>
      <c r="P11" s="1591">
        <f>Returns!P46</f>
        <v>0</v>
      </c>
      <c r="Q11" s="1591">
        <f>Returns!Q46</f>
        <v>0</v>
      </c>
      <c r="R11" s="1591">
        <f>Returns!R46</f>
        <v>0</v>
      </c>
      <c r="S11" s="1591">
        <f>Returns!S46</f>
        <v>0</v>
      </c>
      <c r="T11" s="1591">
        <f>Returns!T46</f>
        <v>0</v>
      </c>
      <c r="U11" s="1591">
        <f>Returns!U46</f>
        <v>0</v>
      </c>
      <c r="V11" s="1591">
        <f>Returns!V46</f>
        <v>0</v>
      </c>
      <c r="W11" s="1591">
        <f>Returns!W46</f>
        <v>1000</v>
      </c>
      <c r="X11" s="1591">
        <f>Returns!X46</f>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c r="AS11" s="1591"/>
    </row>
    <row r="12" spans="1:45">
      <c r="A12" s="1596" t="s">
        <v>1050</v>
      </c>
      <c r="E12" s="1591">
        <f>Returns!E47</f>
        <v>0</v>
      </c>
      <c r="F12" s="1591">
        <f>Returns!F47</f>
        <v>100</v>
      </c>
      <c r="G12" s="1591">
        <f>Returns!G47</f>
        <v>100</v>
      </c>
      <c r="H12" s="1591">
        <f>Returns!H47</f>
        <v>100</v>
      </c>
      <c r="I12" s="1591">
        <f>Returns!I47</f>
        <v>100</v>
      </c>
      <c r="J12" s="1591">
        <f>Returns!J47</f>
        <v>100</v>
      </c>
      <c r="K12" s="1591">
        <f>Returns!K47</f>
        <v>100</v>
      </c>
      <c r="L12" s="1591">
        <f>Returns!L47</f>
        <v>100</v>
      </c>
      <c r="M12" s="1591">
        <f>Returns!M47</f>
        <v>100</v>
      </c>
      <c r="N12" s="1591">
        <f>Returns!N47</f>
        <v>100</v>
      </c>
      <c r="O12" s="1591">
        <f>Returns!O47</f>
        <v>100</v>
      </c>
      <c r="P12" s="1591">
        <f>Returns!P47</f>
        <v>100</v>
      </c>
      <c r="Q12" s="1591">
        <f>Returns!Q47</f>
        <v>100</v>
      </c>
      <c r="R12" s="1591">
        <f>Returns!R47</f>
        <v>100</v>
      </c>
      <c r="S12" s="1591">
        <f>Returns!S47</f>
        <v>100</v>
      </c>
      <c r="T12" s="1591">
        <f>Returns!T47</f>
        <v>100</v>
      </c>
      <c r="U12" s="1591">
        <f>Returns!U47</f>
        <v>100</v>
      </c>
      <c r="V12" s="1591">
        <f>Returns!V47</f>
        <v>100</v>
      </c>
      <c r="W12" s="1591">
        <f>Returns!W47</f>
        <v>100</v>
      </c>
      <c r="X12" s="1591">
        <f>Returns!X47</f>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c r="AS12" s="1591"/>
    </row>
    <row r="13" spans="1:45">
      <c r="A13" s="1599" t="s">
        <v>1108</v>
      </c>
      <c r="B13" s="1830"/>
      <c r="C13" s="1830"/>
      <c r="D13" s="1830"/>
      <c r="E13" s="1600">
        <f ca="1">Returns!E48</f>
        <v>0</v>
      </c>
      <c r="F13" s="1600">
        <f ca="1">Returns!F48</f>
        <v>0</v>
      </c>
      <c r="G13" s="1600">
        <f ca="1">Returns!G48</f>
        <v>0</v>
      </c>
      <c r="H13" s="1600">
        <f ca="1">Returns!H48</f>
        <v>0</v>
      </c>
      <c r="I13" s="1600">
        <f ca="1">Returns!I48</f>
        <v>0</v>
      </c>
      <c r="J13" s="1600">
        <f ca="1">Returns!J48</f>
        <v>0</v>
      </c>
      <c r="K13" s="1600">
        <f ca="1">Returns!K48</f>
        <v>0</v>
      </c>
      <c r="L13" s="1600">
        <f ca="1">Returns!L48</f>
        <v>0</v>
      </c>
      <c r="M13" s="1600">
        <f ca="1">Returns!M48</f>
        <v>0</v>
      </c>
      <c r="N13" s="1600">
        <f ca="1">Returns!N48</f>
        <v>0</v>
      </c>
      <c r="O13" s="1600">
        <f ca="1">Returns!O48</f>
        <v>0</v>
      </c>
      <c r="P13" s="1600">
        <f ca="1">Returns!P48</f>
        <v>0</v>
      </c>
      <c r="Q13" s="1600">
        <f ca="1">Returns!Q48</f>
        <v>0</v>
      </c>
      <c r="R13" s="1600">
        <f ca="1">Returns!R48</f>
        <v>0</v>
      </c>
      <c r="S13" s="1600">
        <f ca="1">Returns!S48</f>
        <v>0</v>
      </c>
      <c r="T13" s="1600">
        <f ca="1">Returns!T48</f>
        <v>0</v>
      </c>
      <c r="U13" s="1600">
        <f ca="1">Returns!U48</f>
        <v>0</v>
      </c>
      <c r="V13" s="1600">
        <f ca="1">Returns!V48</f>
        <v>0</v>
      </c>
      <c r="W13" s="1600">
        <f ca="1">Returns!W48</f>
        <v>0</v>
      </c>
      <c r="X13" s="1600">
        <f ca="1">Returns!X48</f>
        <v>1912.8632069997707</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c r="AS13" s="1591"/>
    </row>
    <row r="14" spans="1:45">
      <c r="A14" s="1650" t="s">
        <v>73</v>
      </c>
      <c r="E14" s="1591">
        <f ca="1">SUM(E9:E13)</f>
        <v>500</v>
      </c>
      <c r="F14" s="1591">
        <f t="shared" ref="F14:X14" ca="1" si="0">SUM(F9:F13)</f>
        <v>100</v>
      </c>
      <c r="G14" s="1591">
        <f t="shared" ca="1" si="0"/>
        <v>100</v>
      </c>
      <c r="H14" s="1591">
        <f t="shared" ca="1" si="0"/>
        <v>100</v>
      </c>
      <c r="I14" s="1591">
        <f t="shared" ca="1" si="0"/>
        <v>100</v>
      </c>
      <c r="J14" s="1591">
        <f t="shared" ca="1" si="0"/>
        <v>100</v>
      </c>
      <c r="K14" s="1591">
        <f t="shared" ca="1" si="0"/>
        <v>100</v>
      </c>
      <c r="L14" s="1591">
        <f t="shared" ca="1" si="0"/>
        <v>100</v>
      </c>
      <c r="M14" s="1591">
        <f t="shared" ca="1" si="0"/>
        <v>350</v>
      </c>
      <c r="N14" s="1591">
        <f t="shared" ca="1" si="0"/>
        <v>100</v>
      </c>
      <c r="O14" s="1591">
        <f t="shared" ca="1" si="0"/>
        <v>100</v>
      </c>
      <c r="P14" s="1591">
        <f t="shared" ca="1" si="0"/>
        <v>100</v>
      </c>
      <c r="Q14" s="1591">
        <f t="shared" ca="1" si="0"/>
        <v>100</v>
      </c>
      <c r="R14" s="1591">
        <f t="shared" ca="1" si="0"/>
        <v>100</v>
      </c>
      <c r="S14" s="1591">
        <f t="shared" ca="1" si="0"/>
        <v>100</v>
      </c>
      <c r="T14" s="1591">
        <f t="shared" ca="1" si="0"/>
        <v>100</v>
      </c>
      <c r="U14" s="1591">
        <f t="shared" ca="1" si="0"/>
        <v>100</v>
      </c>
      <c r="V14" s="1591">
        <f t="shared" ca="1" si="0"/>
        <v>100</v>
      </c>
      <c r="W14" s="1591">
        <f t="shared" ca="1" si="0"/>
        <v>1100</v>
      </c>
      <c r="X14" s="1591">
        <f t="shared" ca="1" si="0"/>
        <v>2012.8632069997707</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c r="AS14" s="1591"/>
    </row>
    <row r="15" spans="1:45">
      <c r="A15" s="1652" t="s">
        <v>1241</v>
      </c>
      <c r="B15" s="1631"/>
      <c r="C15" s="1594">
        <f ca="1">XNPV(0.12,E14:X14,E8:X8)</f>
        <v>4902.6707498220621</v>
      </c>
    </row>
    <row r="16" spans="1:45">
      <c r="E16" s="1594"/>
      <c r="F16" s="1594"/>
      <c r="G16" s="1594"/>
      <c r="H16" s="1594"/>
      <c r="I16" s="1594"/>
      <c r="J16" s="1594"/>
      <c r="K16" s="1594"/>
      <c r="L16" s="1594"/>
      <c r="M16" s="1594"/>
      <c r="N16" s="1594"/>
      <c r="O16" s="1594"/>
      <c r="P16" s="1594"/>
      <c r="Q16" s="1594"/>
      <c r="R16" s="1594"/>
      <c r="S16" s="1594"/>
      <c r="T16" s="1594"/>
      <c r="U16" s="1594"/>
      <c r="V16" s="1594"/>
      <c r="W16" s="1594"/>
      <c r="X16" s="1594"/>
      <c r="Y16" s="1594"/>
      <c r="Z16" s="1594"/>
      <c r="AA16" s="1594"/>
      <c r="AB16" s="1594"/>
      <c r="AC16" s="1594"/>
      <c r="AD16" s="1594"/>
      <c r="AE16" s="1594"/>
      <c r="AF16" s="1594"/>
      <c r="AG16" s="1594"/>
      <c r="AH16" s="1594"/>
      <c r="AI16" s="1594"/>
      <c r="AJ16" s="1594"/>
      <c r="AK16" s="1594"/>
      <c r="AL16" s="1594"/>
      <c r="AM16" s="1594"/>
      <c r="AN16" s="1594"/>
      <c r="AO16" s="1594"/>
      <c r="AP16" s="1594"/>
      <c r="AQ16" s="1594"/>
      <c r="AR16" s="1594"/>
      <c r="AS16" s="1594"/>
    </row>
    <row r="18" spans="1:25" ht="13.5" thickBot="1">
      <c r="A18" s="1690" t="s">
        <v>1242</v>
      </c>
    </row>
    <row r="19" spans="1:25" ht="14.25" thickTop="1" thickBot="1">
      <c r="D19" s="1831">
        <v>36280</v>
      </c>
      <c r="E19" s="1597">
        <f>Returns!Z3</f>
        <v>37986</v>
      </c>
      <c r="F19" s="1597">
        <f>Returns!AA3</f>
        <v>38352</v>
      </c>
      <c r="G19" s="1597">
        <f>Returns!AB3</f>
        <v>38717</v>
      </c>
      <c r="H19" s="1597">
        <f>Returns!AC3</f>
        <v>39082</v>
      </c>
      <c r="I19" s="1597">
        <f>Returns!AD3</f>
        <v>39447</v>
      </c>
      <c r="J19" s="1597">
        <f>Returns!AE3</f>
        <v>39813</v>
      </c>
      <c r="K19" s="1597">
        <f>Returns!AF3</f>
        <v>40178</v>
      </c>
      <c r="L19" s="1597">
        <f>Returns!AG3</f>
        <v>40543</v>
      </c>
      <c r="M19" s="1597">
        <f>Returns!AH3</f>
        <v>40908</v>
      </c>
      <c r="N19" s="1597">
        <f>Returns!AI3</f>
        <v>41274</v>
      </c>
      <c r="O19" s="1597">
        <f>Returns!AJ3</f>
        <v>41639</v>
      </c>
      <c r="P19" s="1597">
        <f>Returns!AK3</f>
        <v>42004</v>
      </c>
      <c r="Q19" s="1597">
        <f>Returns!AL3</f>
        <v>42369</v>
      </c>
      <c r="R19" s="1597">
        <f>Returns!AM3</f>
        <v>42735</v>
      </c>
      <c r="S19" s="1597">
        <f>Returns!AN3</f>
        <v>43100</v>
      </c>
      <c r="T19" s="1597">
        <f>Returns!AO3</f>
        <v>43465</v>
      </c>
      <c r="U19" s="1597">
        <f>Returns!AP3</f>
        <v>43830</v>
      </c>
      <c r="V19" s="1597">
        <f>Returns!AQ3</f>
        <v>44196</v>
      </c>
      <c r="W19" s="1597">
        <f>Returns!AR3</f>
        <v>44561</v>
      </c>
      <c r="X19" s="1597">
        <f>Returns!AS3</f>
        <v>44926</v>
      </c>
    </row>
    <row r="20" spans="1:25" ht="13.5" thickTop="1">
      <c r="A20" s="1596" t="s">
        <v>1126</v>
      </c>
      <c r="D20" s="1832"/>
      <c r="E20" s="1591">
        <f ca="1">Returns!Z49</f>
        <v>2600</v>
      </c>
      <c r="F20" s="1591">
        <f ca="1">Returns!AA49</f>
        <v>2654.2090799332291</v>
      </c>
      <c r="G20" s="1591">
        <f ca="1">Returns!AB49</f>
        <v>2707.2932615318937</v>
      </c>
      <c r="H20" s="1591">
        <f ca="1">Returns!AC49</f>
        <v>2761.4391267625319</v>
      </c>
      <c r="I20" s="1591">
        <f ca="1">Returns!AD49</f>
        <v>2816.6679092977824</v>
      </c>
      <c r="J20" s="1591">
        <f ca="1">Returns!AE49</f>
        <v>2873.0012674837385</v>
      </c>
      <c r="K20" s="1591">
        <f ca="1">Returns!AF49</f>
        <v>2930.4612928334132</v>
      </c>
      <c r="L20" s="1591">
        <f ca="1">Returns!AG49</f>
        <v>2989.0705186900814</v>
      </c>
      <c r="M20" s="1591">
        <f ca="1">Returns!AH49</f>
        <v>3048.8519290638833</v>
      </c>
      <c r="N20" s="1591">
        <f ca="1">Returns!AI49</f>
        <v>3109.8289676451609</v>
      </c>
      <c r="O20" s="1591">
        <f ca="1">Returns!AJ49</f>
        <v>3172.0255469980639</v>
      </c>
      <c r="P20" s="1591">
        <f ca="1">Returns!AK49</f>
        <v>3235.4660579380252</v>
      </c>
      <c r="Q20" s="1591">
        <f ca="1">Returns!AL49</f>
        <v>3300.1753790967859</v>
      </c>
      <c r="R20" s="1591">
        <f ca="1">Returns!AM49</f>
        <v>3366.1788866787215</v>
      </c>
      <c r="S20" s="1591">
        <f ca="1">Returns!AN49</f>
        <v>3433.5024644122959</v>
      </c>
      <c r="T20" s="1591">
        <f ca="1">Returns!AO49</f>
        <v>3502.1725137005424</v>
      </c>
      <c r="U20" s="1591">
        <f ca="1">Returns!AP49</f>
        <v>3572.2159639745532</v>
      </c>
      <c r="V20" s="1591">
        <f ca="1">Returns!AQ49</f>
        <v>3643.6602832540448</v>
      </c>
      <c r="W20" s="1591">
        <f ca="1">Returns!AR49</f>
        <v>3716.5334889191254</v>
      </c>
      <c r="X20" s="1591">
        <f ca="1">Returns!AS49</f>
        <v>3790.8641586975082</v>
      </c>
    </row>
    <row r="21" spans="1:25">
      <c r="A21" s="1650" t="s">
        <v>1127</v>
      </c>
      <c r="D21" s="1832"/>
      <c r="E21" s="1591">
        <f ca="1">Returns!Z50</f>
        <v>563.33157758849529</v>
      </c>
      <c r="F21" s="1591">
        <f ca="1">Returns!AA50</f>
        <v>1027.6480640546306</v>
      </c>
      <c r="G21" s="1591">
        <f ca="1">Returns!AB50</f>
        <v>1211.6867013922201</v>
      </c>
      <c r="H21" s="1591">
        <f ca="1">Returns!AC50</f>
        <v>1279.9011849642502</v>
      </c>
      <c r="I21" s="1591">
        <f ca="1">Returns!AD50</f>
        <v>1277.5557212494791</v>
      </c>
      <c r="J21" s="1591">
        <f ca="1">Returns!AE50</f>
        <v>1213.3331488568444</v>
      </c>
      <c r="K21" s="1591">
        <f ca="1">Returns!AF50</f>
        <v>1171.6533511612045</v>
      </c>
      <c r="L21" s="1591">
        <f ca="1">Returns!AG50</f>
        <v>1376.9636891633838</v>
      </c>
      <c r="M21" s="1591">
        <f ca="1">Returns!AH50</f>
        <v>1356.8155863281736</v>
      </c>
      <c r="N21" s="1591">
        <f ca="1">Returns!AI50</f>
        <v>1375.9863772826643</v>
      </c>
      <c r="O21" s="1591">
        <f ca="1">Returns!AJ50</f>
        <v>1402.8450329888631</v>
      </c>
      <c r="P21" s="1591">
        <f ca="1">Returns!AK50</f>
        <v>1316.9575505336875</v>
      </c>
      <c r="Q21" s="1591">
        <f ca="1">Returns!AL50</f>
        <v>1391.8721430881837</v>
      </c>
      <c r="R21" s="1591">
        <f ca="1">Returns!AM50</f>
        <v>1293.0597995125149</v>
      </c>
      <c r="S21" s="1591">
        <f ca="1">Returns!AN50</f>
        <v>1274.9717574819908</v>
      </c>
      <c r="T21" s="1591">
        <f ca="1">Returns!AO50</f>
        <v>1252.8315649988035</v>
      </c>
      <c r="U21" s="1591">
        <f ca="1">Returns!AP50</f>
        <v>1275.9431224632472</v>
      </c>
      <c r="V21" s="1591">
        <f ca="1">Returns!AQ50</f>
        <v>1241.6395859874606</v>
      </c>
      <c r="W21" s="1591">
        <f ca="1">Returns!AR50</f>
        <v>1228.6868798225205</v>
      </c>
      <c r="X21" s="1591">
        <f ca="1">Returns!AS50</f>
        <v>1089.172581472852</v>
      </c>
    </row>
    <row r="22" spans="1:25">
      <c r="A22" s="1599" t="s">
        <v>1243</v>
      </c>
      <c r="B22" s="1830"/>
      <c r="C22" s="1830"/>
      <c r="D22" s="1833"/>
      <c r="E22" s="1600">
        <v>0</v>
      </c>
      <c r="F22" s="1600">
        <f>E22*1.02</f>
        <v>0</v>
      </c>
      <c r="G22" s="1600">
        <f t="shared" ref="G22:X22" si="1">F22*1.02</f>
        <v>0</v>
      </c>
      <c r="H22" s="1600">
        <f t="shared" si="1"/>
        <v>0</v>
      </c>
      <c r="I22" s="1600">
        <f t="shared" si="1"/>
        <v>0</v>
      </c>
      <c r="J22" s="1600">
        <f t="shared" si="1"/>
        <v>0</v>
      </c>
      <c r="K22" s="1600">
        <f t="shared" si="1"/>
        <v>0</v>
      </c>
      <c r="L22" s="1600">
        <f t="shared" si="1"/>
        <v>0</v>
      </c>
      <c r="M22" s="1600">
        <f t="shared" si="1"/>
        <v>0</v>
      </c>
      <c r="N22" s="1600">
        <f t="shared" si="1"/>
        <v>0</v>
      </c>
      <c r="O22" s="1600">
        <f t="shared" si="1"/>
        <v>0</v>
      </c>
      <c r="P22" s="1600">
        <f t="shared" si="1"/>
        <v>0</v>
      </c>
      <c r="Q22" s="1600">
        <f t="shared" si="1"/>
        <v>0</v>
      </c>
      <c r="R22" s="1600">
        <f t="shared" si="1"/>
        <v>0</v>
      </c>
      <c r="S22" s="1600">
        <f t="shared" si="1"/>
        <v>0</v>
      </c>
      <c r="T22" s="1600">
        <f t="shared" si="1"/>
        <v>0</v>
      </c>
      <c r="U22" s="1600">
        <f t="shared" si="1"/>
        <v>0</v>
      </c>
      <c r="V22" s="1600">
        <f t="shared" si="1"/>
        <v>0</v>
      </c>
      <c r="W22" s="1600">
        <f t="shared" si="1"/>
        <v>0</v>
      </c>
      <c r="X22" s="1600">
        <f t="shared" si="1"/>
        <v>0</v>
      </c>
      <c r="Y22" s="1830"/>
    </row>
    <row r="23" spans="1:25">
      <c r="A23" s="1554" t="s">
        <v>981</v>
      </c>
      <c r="D23" s="1832">
        <v>0</v>
      </c>
      <c r="E23" s="1591">
        <f ca="1">SUM(E20:E22)</f>
        <v>3163.3315775884953</v>
      </c>
      <c r="F23" s="1591">
        <f t="shared" ref="F23:X23" ca="1" si="2">SUM(F20:F22)</f>
        <v>3681.8571439878597</v>
      </c>
      <c r="G23" s="1591">
        <f t="shared" ca="1" si="2"/>
        <v>3918.9799629241138</v>
      </c>
      <c r="H23" s="1591">
        <f t="shared" ca="1" si="2"/>
        <v>4041.3403117267821</v>
      </c>
      <c r="I23" s="1591">
        <f t="shared" ca="1" si="2"/>
        <v>4094.2236305472616</v>
      </c>
      <c r="J23" s="1591">
        <f t="shared" ca="1" si="2"/>
        <v>4086.3344163405827</v>
      </c>
      <c r="K23" s="1591">
        <f t="shared" ca="1" si="2"/>
        <v>4102.1146439946178</v>
      </c>
      <c r="L23" s="1591">
        <f t="shared" ca="1" si="2"/>
        <v>4366.034207853465</v>
      </c>
      <c r="M23" s="1591">
        <f t="shared" ca="1" si="2"/>
        <v>4405.6675153920569</v>
      </c>
      <c r="N23" s="1591">
        <f t="shared" ca="1" si="2"/>
        <v>4485.8153449278252</v>
      </c>
      <c r="O23" s="1591">
        <f t="shared" ca="1" si="2"/>
        <v>4574.8705799869267</v>
      </c>
      <c r="P23" s="1591">
        <f t="shared" ca="1" si="2"/>
        <v>4552.4236084717122</v>
      </c>
      <c r="Q23" s="1591">
        <f t="shared" ca="1" si="2"/>
        <v>4692.0475221849701</v>
      </c>
      <c r="R23" s="1591">
        <f t="shared" ca="1" si="2"/>
        <v>4659.2386861912364</v>
      </c>
      <c r="S23" s="1591">
        <f t="shared" ca="1" si="2"/>
        <v>4708.4742218942865</v>
      </c>
      <c r="T23" s="1591">
        <f t="shared" ca="1" si="2"/>
        <v>4755.0040786993459</v>
      </c>
      <c r="U23" s="1591">
        <f t="shared" ca="1" si="2"/>
        <v>4848.1590864378004</v>
      </c>
      <c r="V23" s="1591">
        <f t="shared" ca="1" si="2"/>
        <v>4885.2998692415058</v>
      </c>
      <c r="W23" s="1591">
        <f t="shared" ca="1" si="2"/>
        <v>4945.2203687416459</v>
      </c>
      <c r="X23" s="1591">
        <f t="shared" ca="1" si="2"/>
        <v>4880.0367401703606</v>
      </c>
    </row>
    <row r="24" spans="1:25">
      <c r="A24" s="1652" t="s">
        <v>1241</v>
      </c>
      <c r="C24" s="1594">
        <f ca="1">XNPV(0.12,D23:X23,D19:X19)</f>
        <v>20253.480419520463</v>
      </c>
    </row>
    <row r="27" spans="1:25">
      <c r="A27" s="1554" t="s">
        <v>1244</v>
      </c>
      <c r="E27" s="1594">
        <f ca="1">C15</f>
        <v>4902.6707498220621</v>
      </c>
    </row>
    <row r="28" spans="1:25">
      <c r="A28" s="1834" t="s">
        <v>1245</v>
      </c>
      <c r="B28" s="1830"/>
      <c r="C28" s="1830"/>
      <c r="D28" s="1830"/>
      <c r="E28" s="1808">
        <f ca="1">C24</f>
        <v>20253.480419520463</v>
      </c>
    </row>
    <row r="29" spans="1:25">
      <c r="A29" s="1652" t="s">
        <v>1246</v>
      </c>
      <c r="E29" s="1593">
        <f ca="1">SUM(E27:E28)</f>
        <v>25156.151169342527</v>
      </c>
    </row>
  </sheetData>
  <pageMargins left="0.25" right="0.25" top="1" bottom="1" header="0.5" footer="0.5"/>
  <pageSetup scale="62" orientation="landscape" horizont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T51"/>
  <sheetViews>
    <sheetView workbookViewId="0">
      <pane xSplit="2" ySplit="3" topLeftCell="C4" activePane="bottomRight" state="frozen"/>
      <selection pane="topRight" activeCell="C1" sqref="C1"/>
      <selection pane="bottomLeft" activeCell="A4" sqref="A4"/>
      <selection pane="bottomRight" activeCell="C17" sqref="C17"/>
    </sheetView>
  </sheetViews>
  <sheetFormatPr defaultRowHeight="11.25"/>
  <cols>
    <col min="1" max="2" width="9.140625" style="1596"/>
    <col min="3" max="3" width="10.42578125" style="1596" bestFit="1" customWidth="1"/>
    <col min="4" max="24" width="9.140625" style="1596"/>
    <col min="25" max="25" width="10.28515625" style="1596" bestFit="1" customWidth="1"/>
    <col min="26" max="16384" width="9.140625" style="1596"/>
  </cols>
  <sheetData>
    <row r="1" spans="1:46">
      <c r="A1" s="1554" t="s">
        <v>1111</v>
      </c>
    </row>
    <row r="2" spans="1:46" ht="12" thickBot="1"/>
    <row r="3" spans="1:46" ht="12.75" thickTop="1" thickBot="1">
      <c r="D3" s="1597">
        <f>Budget!D5</f>
        <v>36279</v>
      </c>
      <c r="E3" s="1597">
        <f>Budget!E5</f>
        <v>36280</v>
      </c>
      <c r="F3" s="1597">
        <f>Budget!F5</f>
        <v>36311</v>
      </c>
      <c r="G3" s="1597">
        <f>Budget!G5</f>
        <v>36341</v>
      </c>
      <c r="H3" s="1597">
        <f>Budget!H5</f>
        <v>36372</v>
      </c>
      <c r="I3" s="1597">
        <f>Budget!I5</f>
        <v>36403</v>
      </c>
      <c r="J3" s="1597">
        <f>Budget!J5</f>
        <v>36433</v>
      </c>
      <c r="K3" s="1597">
        <f>Budget!K5</f>
        <v>36464</v>
      </c>
      <c r="L3" s="1597">
        <f>Budget!L5</f>
        <v>36494</v>
      </c>
      <c r="M3" s="1597">
        <f>Budget!M5</f>
        <v>36525</v>
      </c>
      <c r="N3" s="1597">
        <f>Budget!N5</f>
        <v>36556</v>
      </c>
      <c r="O3" s="1597">
        <f>Budget!O5</f>
        <v>36585</v>
      </c>
      <c r="P3" s="1597">
        <f>Budget!P5</f>
        <v>36616</v>
      </c>
      <c r="Q3" s="1597">
        <f>Budget!Q5</f>
        <v>36646</v>
      </c>
      <c r="R3" s="1597">
        <f>Budget!R5</f>
        <v>36677</v>
      </c>
      <c r="S3" s="1597">
        <f>Budget!S5</f>
        <v>36707</v>
      </c>
      <c r="T3" s="1597">
        <f>Budget!T5</f>
        <v>36738</v>
      </c>
      <c r="U3" s="1597">
        <f>Budget!U5</f>
        <v>36769</v>
      </c>
      <c r="V3" s="1597">
        <f>Budget!V5</f>
        <v>36799</v>
      </c>
      <c r="W3" s="1597">
        <f>Budget!W5</f>
        <v>36830</v>
      </c>
      <c r="X3" s="1597">
        <f>Budget!X5</f>
        <v>36860</v>
      </c>
      <c r="Y3" s="1597">
        <f>Budget!Y5</f>
        <v>37802</v>
      </c>
      <c r="Z3" s="1597">
        <f>Budget!Z5</f>
        <v>37986</v>
      </c>
      <c r="AA3" s="1597">
        <f>Budget!AA5</f>
        <v>38352</v>
      </c>
      <c r="AB3" s="1597">
        <f>Budget!AB5</f>
        <v>38717</v>
      </c>
      <c r="AC3" s="1597">
        <f>Budget!AC5</f>
        <v>39082</v>
      </c>
      <c r="AD3" s="1597">
        <f>Budget!AD5</f>
        <v>39447</v>
      </c>
      <c r="AE3" s="1597">
        <f>Budget!AE5</f>
        <v>39813</v>
      </c>
      <c r="AF3" s="1597">
        <f>Budget!AF5</f>
        <v>40178</v>
      </c>
      <c r="AG3" s="1597">
        <f>Budget!AG5</f>
        <v>40543</v>
      </c>
      <c r="AH3" s="1597">
        <f>Budget!AH5</f>
        <v>40908</v>
      </c>
      <c r="AI3" s="1597">
        <f>Budget!AI5</f>
        <v>41274</v>
      </c>
      <c r="AJ3" s="1597">
        <f>Budget!AJ5</f>
        <v>41639</v>
      </c>
      <c r="AK3" s="1597">
        <f>Budget!AK5</f>
        <v>42004</v>
      </c>
      <c r="AL3" s="1597">
        <f>Budget!AL5</f>
        <v>42369</v>
      </c>
      <c r="AM3" s="1597">
        <f>Budget!AM5</f>
        <v>42735</v>
      </c>
      <c r="AN3" s="1597">
        <f>Budget!AN5</f>
        <v>43100</v>
      </c>
      <c r="AO3" s="1597">
        <f>Budget!AO5</f>
        <v>43465</v>
      </c>
      <c r="AP3" s="1597">
        <f>Budget!AP5</f>
        <v>43830</v>
      </c>
      <c r="AQ3" s="1597">
        <f>Budget!AQ5</f>
        <v>44196</v>
      </c>
      <c r="AR3" s="1597">
        <f>Budget!AR5</f>
        <v>44561</v>
      </c>
      <c r="AS3" s="1597">
        <f>Budget!AS5</f>
        <v>44926</v>
      </c>
      <c r="AT3" s="1597">
        <f>Budget!AT5</f>
        <v>45291</v>
      </c>
    </row>
    <row r="4" spans="1:46" ht="12" thickTop="1"/>
    <row r="5" spans="1:46">
      <c r="A5" s="1690" t="s">
        <v>1112</v>
      </c>
    </row>
    <row r="7" spans="1:46" ht="12" thickBot="1">
      <c r="A7" s="1596" t="s">
        <v>1113</v>
      </c>
      <c r="D7" s="1591">
        <v>0</v>
      </c>
      <c r="E7" s="1591">
        <v>0</v>
      </c>
      <c r="F7" s="1591">
        <v>0</v>
      </c>
      <c r="G7" s="1591">
        <v>0</v>
      </c>
      <c r="H7" s="1591">
        <v>0</v>
      </c>
      <c r="I7" s="1591">
        <v>0</v>
      </c>
      <c r="J7" s="1591">
        <v>0</v>
      </c>
      <c r="K7" s="1591">
        <v>0</v>
      </c>
      <c r="L7" s="1591">
        <v>0</v>
      </c>
      <c r="M7" s="1591">
        <v>0</v>
      </c>
      <c r="N7" s="1591">
        <v>0</v>
      </c>
      <c r="O7" s="1591">
        <v>0</v>
      </c>
      <c r="P7" s="1591">
        <v>0</v>
      </c>
      <c r="Q7" s="1591">
        <v>0</v>
      </c>
      <c r="R7" s="1591">
        <v>0</v>
      </c>
      <c r="S7" s="1591">
        <v>0</v>
      </c>
      <c r="T7" s="1591">
        <v>0</v>
      </c>
      <c r="U7" s="1591">
        <v>0</v>
      </c>
      <c r="V7" s="1591">
        <v>0</v>
      </c>
      <c r="W7" s="1591">
        <v>0</v>
      </c>
      <c r="X7" s="1591">
        <v>0</v>
      </c>
      <c r="Y7" s="1591">
        <f ca="1">Budget!Y44</f>
        <v>-238460.26041541412</v>
      </c>
      <c r="Z7" s="1591">
        <f ca="1">Budget!Z44</f>
        <v>18384.826698781428</v>
      </c>
      <c r="AA7" s="1591">
        <f ca="1">Budget!AA44</f>
        <v>22616.831615538184</v>
      </c>
      <c r="AB7" s="1591">
        <f ca="1">Budget!AB44</f>
        <v>43540.187244550623</v>
      </c>
      <c r="AC7" s="1591">
        <f ca="1">Budget!AC44</f>
        <v>45709.923624669595</v>
      </c>
      <c r="AD7" s="1591">
        <f ca="1">Budget!AD44</f>
        <v>43602.748089362576</v>
      </c>
      <c r="AE7" s="1591">
        <f ca="1">Budget!AE44</f>
        <v>37765.16970633695</v>
      </c>
      <c r="AF7" s="1591">
        <f ca="1">Budget!AF44</f>
        <v>34392.862733265436</v>
      </c>
      <c r="AG7" s="1591">
        <f ca="1">Budget!AG44</f>
        <v>43998.548576434623</v>
      </c>
      <c r="AH7" s="1591">
        <f ca="1">Budget!AH44</f>
        <v>39593.553304041314</v>
      </c>
      <c r="AI7" s="1591">
        <f ca="1">Budget!AI44</f>
        <v>39439.941242448971</v>
      </c>
      <c r="AJ7" s="1591">
        <f ca="1">Budget!AJ44</f>
        <v>39885.452256738332</v>
      </c>
      <c r="AK7" s="1591">
        <f ca="1">Budget!AK44</f>
        <v>32739.344289969515</v>
      </c>
      <c r="AL7" s="1591">
        <f ca="1">Budget!AL44</f>
        <v>36527.969965529104</v>
      </c>
      <c r="AM7" s="1591">
        <f ca="1">Budget!AM44</f>
        <v>30852.118208225027</v>
      </c>
      <c r="AN7" s="1591">
        <f ca="1">Budget!AN44</f>
        <v>27188.007275840937</v>
      </c>
      <c r="AO7" s="1591">
        <f ca="1">Budget!AO44</f>
        <v>24270.768729055937</v>
      </c>
      <c r="AP7" s="1591">
        <f ca="1">Budget!AP44</f>
        <v>79447.153096753944</v>
      </c>
      <c r="AQ7" s="1591">
        <f ca="1">Budget!AQ44</f>
        <v>57671.930005184477</v>
      </c>
      <c r="AR7" s="1591">
        <f ca="1">Budget!AR44</f>
        <v>57186.601221160883</v>
      </c>
      <c r="AS7" s="1591">
        <f ca="1">Budget!AS44</f>
        <v>174230.72968968775</v>
      </c>
      <c r="AT7" s="1591">
        <f ca="1">Budget!AT44</f>
        <v>-41652.284405556784</v>
      </c>
    </row>
    <row r="8" spans="1:46">
      <c r="B8" s="1691" t="s">
        <v>853</v>
      </c>
      <c r="C8" s="1692">
        <f ca="1">XIRR($Y$7:INDEX($D$3:$AS$7,5,MATCH(Assumptions!$C$18,Returns!$D$3:$AS$3)),$Y$3:INDEX($D$3:$AS$3,1,MATCH(Assumptions!$C$18,Returns!$D$3:$AS$3)))</f>
        <v>0.15666456818580632</v>
      </c>
    </row>
    <row r="9" spans="1:46" ht="12" thickBot="1">
      <c r="B9" s="1693" t="str">
        <f ca="1">"NPV "&amp;Assumptions!L44</f>
        <v>NPV 0.12</v>
      </c>
      <c r="C9" s="1694">
        <f ca="1">XNPV(Assumptions!$L$44,$Y$7:INDEX($D$3:$AS$7,5,MATCH(Assumptions!$C$18,Returns!$D$3:$AS$3)),$Y$3:INDEX($D$3:$AS$3,1,MATCH(Assumptions!$C$18,Returns!$D$3:$AS$3)))</f>
        <v>63778.511896243246</v>
      </c>
      <c r="D9" s="1598"/>
    </row>
    <row r="13" spans="1:46">
      <c r="C13" s="1596" t="s">
        <v>1175</v>
      </c>
    </row>
    <row r="15" spans="1:46">
      <c r="A15" s="1690" t="s">
        <v>1114</v>
      </c>
    </row>
    <row r="16" spans="1:46">
      <c r="C16" s="1695" t="s">
        <v>1058</v>
      </c>
    </row>
    <row r="17" spans="1:46">
      <c r="A17" s="1596" t="s">
        <v>1115</v>
      </c>
      <c r="C17" s="1689">
        <f ca="1">XNPV(Assumptions!$L$49,D17:X17,$D$3:$X$3)</f>
        <v>-2361.4801287863447</v>
      </c>
      <c r="D17" s="1591">
        <f ca="1">Budget!D44</f>
        <v>-48.2</v>
      </c>
      <c r="E17" s="1591">
        <f ca="1">Budget!E44</f>
        <v>-679.91555555555556</v>
      </c>
      <c r="F17" s="1591">
        <f ca="1">Budget!F44</f>
        <v>-279.91555555555556</v>
      </c>
      <c r="G17" s="1591">
        <f ca="1">Budget!G44</f>
        <v>-279.91555555555556</v>
      </c>
      <c r="H17" s="1591">
        <f ca="1">Budget!H44</f>
        <v>-279.91555555555556</v>
      </c>
      <c r="I17" s="1591">
        <f ca="1">Budget!I44</f>
        <v>-279.91555555555556</v>
      </c>
      <c r="J17" s="1591">
        <f ca="1">Budget!J44</f>
        <v>-279.91555555555556</v>
      </c>
      <c r="K17" s="1591">
        <f ca="1">Budget!K44</f>
        <v>-279.91555555555556</v>
      </c>
      <c r="L17" s="1591">
        <f ca="1">Budget!L44</f>
        <v>-279.91555555555556</v>
      </c>
      <c r="M17" s="1591">
        <f ca="1">Budget!M44</f>
        <v>-529.91555555555556</v>
      </c>
      <c r="N17" s="1591">
        <f ca="1">Budget!N44</f>
        <v>-629.63636363636363</v>
      </c>
      <c r="O17" s="1591">
        <f ca="1">Budget!O44</f>
        <v>-948.63636363636374</v>
      </c>
      <c r="P17" s="1591">
        <f ca="1">Budget!P44</f>
        <v>-8279.636363636364</v>
      </c>
      <c r="Q17" s="1591">
        <f ca="1">Budget!Q44</f>
        <v>-6672.8313636363637</v>
      </c>
      <c r="R17" s="1591">
        <f ca="1">Budget!R44</f>
        <v>-2237.8313636363637</v>
      </c>
      <c r="S17" s="1591">
        <f ca="1">Budget!S44</f>
        <v>-5421.8313636363637</v>
      </c>
      <c r="T17" s="1591">
        <f ca="1">Budget!T44</f>
        <v>-4437.8313636363637</v>
      </c>
      <c r="U17" s="1591">
        <f ca="1">Budget!U44</f>
        <v>-1358.0813636363637</v>
      </c>
      <c r="V17" s="1591">
        <f ca="1">Budget!V44</f>
        <v>-23114.081363636364</v>
      </c>
      <c r="W17" s="1591">
        <f ca="1">Budget!W44</f>
        <v>-2495.5813636363637</v>
      </c>
      <c r="X17" s="1591">
        <f ca="1">Budget!X44</f>
        <v>58813.418636363633</v>
      </c>
    </row>
    <row r="18" spans="1:46">
      <c r="A18" s="1596" t="s">
        <v>1116</v>
      </c>
      <c r="C18" s="1689">
        <f ca="1">XNPV(Assumptions!$L$49,D18:X18,$D$3:$X$3)</f>
        <v>39755.211488037065</v>
      </c>
      <c r="D18" s="1591">
        <f>IF(AND(MONTH(D$3)=MONTH(Assumptions!$C$16),YEAR(D$3)=YEAR(Assumptions!$C$16)),IF($C$9&lt;0,0,$C$9/(1+Assumptions!$L$44)^((Assumptions!$C$17-Assumptions!$C$16)/365.25)),0)</f>
        <v>0</v>
      </c>
      <c r="E18" s="1591">
        <f>IF(AND(MONTH(E$3)=MONTH(Assumptions!$C$16),YEAR(E$3)=YEAR(Assumptions!$C$16)),IF($C$9&lt;0,0,$C$9/(1+Assumptions!$L$44)^((Assumptions!$C$17-Assumptions!$C$16)/365.25)),0)</f>
        <v>0</v>
      </c>
      <c r="F18" s="1591">
        <f>IF(AND(MONTH(F$3)=MONTH(Assumptions!$C$16),YEAR(F$3)=YEAR(Assumptions!$C$16)),IF($C$9&lt;0,0,$C$9/(1+Assumptions!$L$44)^((Assumptions!$C$17-Assumptions!$C$16)/365.25)),0)</f>
        <v>0</v>
      </c>
      <c r="G18" s="1591">
        <f>IF(AND(MONTH(G$3)=MONTH(Assumptions!$C$16),YEAR(G$3)=YEAR(Assumptions!$C$16)),IF($C$9&lt;0,0,$C$9/(1+Assumptions!$L$44)^((Assumptions!$C$17-Assumptions!$C$16)/365.25)),0)</f>
        <v>0</v>
      </c>
      <c r="H18" s="1591">
        <f>IF(AND(MONTH(H$3)=MONTH(Assumptions!$C$16),YEAR(H$3)=YEAR(Assumptions!$C$16)),IF($C$9&lt;0,0,$C$9/(1+Assumptions!$L$44)^((Assumptions!$C$17-Assumptions!$C$16)/365.25)),0)</f>
        <v>0</v>
      </c>
      <c r="I18" s="1591">
        <f>IF(AND(MONTH(I$3)=MONTH(Assumptions!$C$16),YEAR(I$3)=YEAR(Assumptions!$C$16)),IF($C$9&lt;0,0,$C$9/(1+Assumptions!$L$44)^((Assumptions!$C$17-Assumptions!$C$16)/365.25)),0)</f>
        <v>0</v>
      </c>
      <c r="J18" s="1591">
        <f>IF(AND(MONTH(J$3)=MONTH(Assumptions!$C$16),YEAR(J$3)=YEAR(Assumptions!$C$16)),IF($C$9&lt;0,0,$C$9/(1+Assumptions!$L$44)^((Assumptions!$C$17-Assumptions!$C$16)/365.25)),0)</f>
        <v>0</v>
      </c>
      <c r="K18" s="1591">
        <f>IF(AND(MONTH(K$3)=MONTH(Assumptions!$C$16),YEAR(K$3)=YEAR(Assumptions!$C$16)),IF($C$9&lt;0,0,$C$9/(1+Assumptions!$L$44)^((Assumptions!$C$17-Assumptions!$C$16)/365.25)),0)</f>
        <v>0</v>
      </c>
      <c r="L18" s="1591">
        <f>IF(AND(MONTH(L$3)=MONTH(Assumptions!$C$16),YEAR(L$3)=YEAR(Assumptions!$C$16)),IF($C$9&lt;0,0,$C$9/(1+Assumptions!$L$44)^((Assumptions!$C$17-Assumptions!$C$16)/365.25)),0)</f>
        <v>0</v>
      </c>
      <c r="M18" s="1591">
        <f>IF(AND(MONTH(M$3)=MONTH(Assumptions!$C$16),YEAR(M$3)=YEAR(Assumptions!$C$16)),IF($C$9&lt;0,0,$C$9/(1+Assumptions!$L$44)^((Assumptions!$C$17-Assumptions!$C$16)/365.25)),0)</f>
        <v>0</v>
      </c>
      <c r="N18" s="1591">
        <f>IF(AND(MONTH(N$3)=MONTH(Assumptions!$C$16),YEAR(N$3)=YEAR(Assumptions!$C$16)),IF($C$9&lt;0,0,$C$9/(1+Assumptions!$L$44)^((Assumptions!$C$17-Assumptions!$C$16)/365.25)),0)</f>
        <v>0</v>
      </c>
      <c r="O18" s="1591">
        <f>IF(AND(MONTH(O$3)=MONTH(Assumptions!$C$16),YEAR(O$3)=YEAR(Assumptions!$C$16)),IF($C$9&lt;0,0,$C$9/(1+Assumptions!$L$44)^((Assumptions!$C$17-Assumptions!$C$16)/365.25)),0)</f>
        <v>0</v>
      </c>
      <c r="P18" s="1591">
        <f>IF(AND(MONTH(P$3)=MONTH(Assumptions!$C$16),YEAR(P$3)=YEAR(Assumptions!$C$16)),IF($C$9&lt;0,0,$C$9/(1+Assumptions!$L$44)^((Assumptions!$C$17-Assumptions!$C$16)/365.25)),0)</f>
        <v>0</v>
      </c>
      <c r="Q18" s="1591">
        <f>IF(AND(MONTH(Q$3)=MONTH(Assumptions!$C$16),YEAR(Q$3)=YEAR(Assumptions!$C$16)),IF($C$9&lt;0,0,$C$9/(1+Assumptions!$L$44)^((Assumptions!$C$17-Assumptions!$C$16)/365.25)),0)</f>
        <v>0</v>
      </c>
      <c r="R18" s="1591">
        <f>IF(AND(MONTH(R$3)=MONTH(Assumptions!$C$16),YEAR(R$3)=YEAR(Assumptions!$C$16)),IF($C$9&lt;0,0,$C$9/(1+Assumptions!$L$44)^((Assumptions!$C$17-Assumptions!$C$16)/365.25)),0)</f>
        <v>0</v>
      </c>
      <c r="S18" s="1591">
        <f>IF(AND(MONTH(S$3)=MONTH(Assumptions!$C$16),YEAR(S$3)=YEAR(Assumptions!$C$16)),IF($C$9&lt;0,0,$C$9/(1+Assumptions!$L$44)^((Assumptions!$C$17-Assumptions!$C$16)/365.25)),0)</f>
        <v>0</v>
      </c>
      <c r="T18" s="1591">
        <f>IF(AND(MONTH(T$3)=MONTH(Assumptions!$C$16),YEAR(T$3)=YEAR(Assumptions!$C$16)),IF($C$9&lt;0,0,$C$9/(1+Assumptions!$L$44)^((Assumptions!$C$17-Assumptions!$C$16)/365.25)),0)</f>
        <v>0</v>
      </c>
      <c r="U18" s="1591">
        <f>IF(AND(MONTH(U$3)=MONTH(Assumptions!$C$16),YEAR(U$3)=YEAR(Assumptions!$C$16)),IF($C$9&lt;0,0,$C$9/(1+Assumptions!$L$44)^((Assumptions!$C$17-Assumptions!$C$16)/365.25)),0)</f>
        <v>0</v>
      </c>
      <c r="V18" s="1591">
        <f>IF(AND(MONTH(V$3)=MONTH(Assumptions!$C$16),YEAR(V$3)=YEAR(Assumptions!$C$16)),IF($C$9&lt;0,0,$C$9/(1+Assumptions!$L$44)^((Assumptions!$C$17-Assumptions!$C$16)/365.25)),0)</f>
        <v>0</v>
      </c>
      <c r="W18" s="1591">
        <f>IF(AND(MONTH(W$3)=MONTH(Assumptions!$C$16),YEAR(W$3)=YEAR(Assumptions!$C$16)),IF($C$9&lt;0,0,$C$9/(1+Assumptions!$L$44)^((Assumptions!$C$17-Assumptions!$C$16)/365.25)),0)</f>
        <v>0</v>
      </c>
      <c r="X18" s="1591">
        <f ca="1">IF(AND(MONTH(X$3)=MONTH(Assumptions!$C$16),YEAR(X$3)=YEAR(Assumptions!$C$16)),IF($C$9&lt;0,0,$C$9/(1+Assumptions!$L$44)^((Assumptions!$C$17-Assumptions!$C$16)/365.25)),0)</f>
        <v>47614.406212404792</v>
      </c>
    </row>
    <row r="19" spans="1:46">
      <c r="A19" s="1596" t="s">
        <v>1117</v>
      </c>
      <c r="C19" s="1689">
        <f ca="1">XNPV(Assumptions!$L$49,D19:X19,$D$3:$X$3)</f>
        <v>8349.4082254626119</v>
      </c>
      <c r="D19" s="1651">
        <f>IF(AND(MONTH(D$3)=MONTH(Assumptions!$C$16),YEAR(D$3)=YEAR(Assumptions!$C$16)),IF($C$9&lt;0,0,Assumptions!$H$25),0)</f>
        <v>0</v>
      </c>
      <c r="E19" s="1651">
        <f>IF(AND(MONTH(E$3)=MONTH(Assumptions!$C$16),YEAR(E$3)=YEAR(Assumptions!$C$16)),IF($C$9&lt;0,0,Assumptions!$H$25),0)</f>
        <v>0</v>
      </c>
      <c r="F19" s="1651">
        <f>IF(AND(MONTH(F$3)=MONTH(Assumptions!$C$16),YEAR(F$3)=YEAR(Assumptions!$C$16)),IF($C$9&lt;0,0,Assumptions!$H$25),0)</f>
        <v>0</v>
      </c>
      <c r="G19" s="1651">
        <f>IF(AND(MONTH(G$3)=MONTH(Assumptions!$C$16),YEAR(G$3)=YEAR(Assumptions!$C$16)),IF($C$9&lt;0,0,Assumptions!$H$25),0)</f>
        <v>0</v>
      </c>
      <c r="H19" s="1651">
        <f>IF(AND(MONTH(H$3)=MONTH(Assumptions!$C$16),YEAR(H$3)=YEAR(Assumptions!$C$16)),IF($C$9&lt;0,0,Assumptions!$H$25),0)</f>
        <v>0</v>
      </c>
      <c r="I19" s="1651">
        <f>IF(AND(MONTH(I$3)=MONTH(Assumptions!$C$16),YEAR(I$3)=YEAR(Assumptions!$C$16)),IF($C$9&lt;0,0,Assumptions!$H$25),0)</f>
        <v>0</v>
      </c>
      <c r="J19" s="1651">
        <f>IF(AND(MONTH(J$3)=MONTH(Assumptions!$C$16),YEAR(J$3)=YEAR(Assumptions!$C$16)),IF($C$9&lt;0,0,Assumptions!$H$25),0)</f>
        <v>0</v>
      </c>
      <c r="K19" s="1651">
        <f>IF(AND(MONTH(K$3)=MONTH(Assumptions!$C$16),YEAR(K$3)=YEAR(Assumptions!$C$16)),IF($C$9&lt;0,0,Assumptions!$H$25),0)</f>
        <v>0</v>
      </c>
      <c r="L19" s="1651">
        <f>IF(AND(MONTH(L$3)=MONTH(Assumptions!$C$16),YEAR(L$3)=YEAR(Assumptions!$C$16)),IF($C$9&lt;0,0,Assumptions!$H$25),0)</f>
        <v>0</v>
      </c>
      <c r="M19" s="1651">
        <f>IF(AND(MONTH(M$3)=MONTH(Assumptions!$C$16),YEAR(M$3)=YEAR(Assumptions!$C$16)),IF($C$9&lt;0,0,Assumptions!$H$25),0)</f>
        <v>0</v>
      </c>
      <c r="N19" s="1651">
        <f>IF(AND(MONTH(N$3)=MONTH(Assumptions!$C$16),YEAR(N$3)=YEAR(Assumptions!$C$16)),IF($C$9&lt;0,0,Assumptions!$H$25),0)</f>
        <v>0</v>
      </c>
      <c r="O19" s="1651">
        <f>IF(AND(MONTH(O$3)=MONTH(Assumptions!$C$16),YEAR(O$3)=YEAR(Assumptions!$C$16)),IF($C$9&lt;0,0,Assumptions!$H$25),0)</f>
        <v>0</v>
      </c>
      <c r="P19" s="1651">
        <f>IF(AND(MONTH(P$3)=MONTH(Assumptions!$C$16),YEAR(P$3)=YEAR(Assumptions!$C$16)),IF($C$9&lt;0,0,Assumptions!$H$25),0)</f>
        <v>0</v>
      </c>
      <c r="Q19" s="1651">
        <f>IF(AND(MONTH(Q$3)=MONTH(Assumptions!$C$16),YEAR(Q$3)=YEAR(Assumptions!$C$16)),IF($C$9&lt;0,0,Assumptions!$H$25),0)</f>
        <v>0</v>
      </c>
      <c r="R19" s="1651">
        <f>IF(AND(MONTH(R$3)=MONTH(Assumptions!$C$16),YEAR(R$3)=YEAR(Assumptions!$C$16)),IF($C$9&lt;0,0,Assumptions!$H$25),0)</f>
        <v>0</v>
      </c>
      <c r="S19" s="1651">
        <f>IF(AND(MONTH(S$3)=MONTH(Assumptions!$C$16),YEAR(S$3)=YEAR(Assumptions!$C$16)),IF($C$9&lt;0,0,Assumptions!$H$25),0)</f>
        <v>0</v>
      </c>
      <c r="T19" s="1651">
        <f>IF(AND(MONTH(T$3)=MONTH(Assumptions!$C$16),YEAR(T$3)=YEAR(Assumptions!$C$16)),IF($C$9&lt;0,0,Assumptions!$H$25),0)</f>
        <v>0</v>
      </c>
      <c r="U19" s="1651">
        <f>IF(AND(MONTH(U$3)=MONTH(Assumptions!$C$16),YEAR(U$3)=YEAR(Assumptions!$C$16)),IF($C$9&lt;0,0,Assumptions!$H$25),0)</f>
        <v>0</v>
      </c>
      <c r="V19" s="1651">
        <f>IF(AND(MONTH(V$3)=MONTH(Assumptions!$C$16),YEAR(V$3)=YEAR(Assumptions!$C$16)),IF($C$9&lt;0,0,Assumptions!$H$25),0)</f>
        <v>0</v>
      </c>
      <c r="W19" s="1651">
        <f>IF(AND(MONTH(W$3)=MONTH(Assumptions!$C$16),YEAR(W$3)=YEAR(Assumptions!$C$16)),IF($C$9&lt;0,0,Assumptions!$H$25),0)</f>
        <v>0</v>
      </c>
      <c r="X19" s="1651">
        <f ca="1">IF(AND(MONTH(X$3)=MONTH(Assumptions!$C$16),YEAR(X$3)=YEAR(Assumptions!$C$16)),IF($C$9&lt;0,0,Assumptions!$H$25),0)</f>
        <v>10000</v>
      </c>
    </row>
    <row r="20" spans="1:46">
      <c r="A20" s="1596" t="s">
        <v>1118</v>
      </c>
      <c r="C20" s="1689">
        <f ca="1">XNPV(Assumptions!$L$49,D20:X20,$D$3:$X$3)</f>
        <v>0</v>
      </c>
      <c r="D20" s="1651">
        <f ca="1">IF($C$9&lt;0,-Budget!D37,0)</f>
        <v>0</v>
      </c>
      <c r="E20" s="1651">
        <f ca="1">IF($C$9&lt;0,-Budget!E37,0)</f>
        <v>0</v>
      </c>
      <c r="F20" s="1651">
        <f ca="1">IF($C$9&lt;0,-Budget!F37,0)</f>
        <v>0</v>
      </c>
      <c r="G20" s="1651">
        <f ca="1">IF($C$9&lt;0,-Budget!G37,0)</f>
        <v>0</v>
      </c>
      <c r="H20" s="1651">
        <f ca="1">IF($C$9&lt;0,-Budget!H37,0)</f>
        <v>0</v>
      </c>
      <c r="I20" s="1651">
        <f ca="1">IF($C$9&lt;0,-Budget!I37,0)</f>
        <v>0</v>
      </c>
      <c r="J20" s="1651">
        <f ca="1">IF($C$9&lt;0,-Budget!J37,0)</f>
        <v>0</v>
      </c>
      <c r="K20" s="1651">
        <f ca="1">IF($C$9&lt;0,-Budget!K37,0)</f>
        <v>0</v>
      </c>
      <c r="L20" s="1651">
        <f ca="1">IF($C$9&lt;0,-Budget!L37,0)</f>
        <v>0</v>
      </c>
      <c r="M20" s="1651">
        <f ca="1">IF($C$9&lt;0,-Budget!M37,0)</f>
        <v>0</v>
      </c>
      <c r="N20" s="1651">
        <f ca="1">IF($C$9&lt;0,-Budget!N37,0)</f>
        <v>0</v>
      </c>
      <c r="O20" s="1651">
        <f ca="1">IF($C$9&lt;0,-Budget!O37,0)</f>
        <v>0</v>
      </c>
      <c r="P20" s="1651">
        <f ca="1">IF($C$9&lt;0,-Budget!P37,0)</f>
        <v>0</v>
      </c>
      <c r="Q20" s="1651">
        <f ca="1">IF($C$9&lt;0,-Budget!Q37,0)</f>
        <v>0</v>
      </c>
      <c r="R20" s="1651">
        <f ca="1">IF($C$9&lt;0,-Budget!R37,0)</f>
        <v>0</v>
      </c>
      <c r="S20" s="1651">
        <f ca="1">IF($C$9&lt;0,-Budget!S37,0)</f>
        <v>0</v>
      </c>
      <c r="T20" s="1651">
        <f ca="1">IF($C$9&lt;0,-Budget!T37,0)</f>
        <v>0</v>
      </c>
      <c r="U20" s="1651">
        <f ca="1">IF($C$9&lt;0,-Budget!U37,0)</f>
        <v>0</v>
      </c>
      <c r="V20" s="1651">
        <f ca="1">IF($C$9&lt;0,-Budget!V37,0)</f>
        <v>0</v>
      </c>
      <c r="W20" s="1651">
        <f ca="1">IF($C$9&lt;0,-Budget!W37,0)</f>
        <v>0</v>
      </c>
      <c r="X20" s="1651">
        <f ca="1">IF($C$9&lt;0,-Budget!X37,0)</f>
        <v>0</v>
      </c>
    </row>
    <row r="21" spans="1:46">
      <c r="A21" s="1599" t="s">
        <v>1119</v>
      </c>
      <c r="B21" s="1599"/>
      <c r="C21" s="1696">
        <f ca="1">XNPV(Assumptions!$L$49,D21:X21,$D$3:$X$3)</f>
        <v>0</v>
      </c>
      <c r="D21" s="1600">
        <f>IF(AND(MONTH(D$3)=MONTH(Assumptions!$C$16),YEAR(D$3)=YEAR(Assumptions!$C$16)),IF($C$9&lt;0,-Budget!$B$25-Budget!$B$26,0),0)</f>
        <v>0</v>
      </c>
      <c r="E21" s="1600">
        <f>IF(AND(MONTH(E$3)=MONTH(Assumptions!$C$16),YEAR(E$3)=YEAR(Assumptions!$C$16)),IF($C$9&lt;0,-Budget!$B$25-Budget!$B$26,0),0)</f>
        <v>0</v>
      </c>
      <c r="F21" s="1600">
        <f>IF(AND(MONTH(F$3)=MONTH(Assumptions!$C$16),YEAR(F$3)=YEAR(Assumptions!$C$16)),IF($C$9&lt;0,-Budget!$B$25-Budget!$B$26,0),0)</f>
        <v>0</v>
      </c>
      <c r="G21" s="1600">
        <f>IF(AND(MONTH(G$3)=MONTH(Assumptions!$C$16),YEAR(G$3)=YEAR(Assumptions!$C$16)),IF($C$9&lt;0,-Budget!$B$25-Budget!$B$26,0),0)</f>
        <v>0</v>
      </c>
      <c r="H21" s="1600">
        <f>IF(AND(MONTH(H$3)=MONTH(Assumptions!$C$16),YEAR(H$3)=YEAR(Assumptions!$C$16)),IF($C$9&lt;0,-Budget!$B$25-Budget!$B$26,0),0)</f>
        <v>0</v>
      </c>
      <c r="I21" s="1600">
        <f>IF(AND(MONTH(I$3)=MONTH(Assumptions!$C$16),YEAR(I$3)=YEAR(Assumptions!$C$16)),IF($C$9&lt;0,-Budget!$B$25-Budget!$B$26,0),0)</f>
        <v>0</v>
      </c>
      <c r="J21" s="1600">
        <f>IF(AND(MONTH(J$3)=MONTH(Assumptions!$C$16),YEAR(J$3)=YEAR(Assumptions!$C$16)),IF($C$9&lt;0,-Budget!$B$25-Budget!$B$26,0),0)</f>
        <v>0</v>
      </c>
      <c r="K21" s="1600">
        <f>IF(AND(MONTH(K$3)=MONTH(Assumptions!$C$16),YEAR(K$3)=YEAR(Assumptions!$C$16)),IF($C$9&lt;0,-Budget!$B$25-Budget!$B$26,0),0)</f>
        <v>0</v>
      </c>
      <c r="L21" s="1600">
        <f>IF(AND(MONTH(L$3)=MONTH(Assumptions!$C$16),YEAR(L$3)=YEAR(Assumptions!$C$16)),IF($C$9&lt;0,-Budget!$B$25-Budget!$B$26,0),0)</f>
        <v>0</v>
      </c>
      <c r="M21" s="1600">
        <f>IF(AND(MONTH(M$3)=MONTH(Assumptions!$C$16),YEAR(M$3)=YEAR(Assumptions!$C$16)),IF($C$9&lt;0,-Budget!$B$25-Budget!$B$26,0),0)</f>
        <v>0</v>
      </c>
      <c r="N21" s="1600">
        <f>IF(AND(MONTH(N$3)=MONTH(Assumptions!$C$16),YEAR(N$3)=YEAR(Assumptions!$C$16)),IF($C$9&lt;0,-Budget!$B$25-Budget!$B$26,0),0)</f>
        <v>0</v>
      </c>
      <c r="O21" s="1600">
        <f>IF(AND(MONTH(O$3)=MONTH(Assumptions!$C$16),YEAR(O$3)=YEAR(Assumptions!$C$16)),IF($C$9&lt;0,-Budget!$B$25-Budget!$B$26,0),0)</f>
        <v>0</v>
      </c>
      <c r="P21" s="1600">
        <f>IF(AND(MONTH(P$3)=MONTH(Assumptions!$C$16),YEAR(P$3)=YEAR(Assumptions!$C$16)),IF($C$9&lt;0,-Budget!$B$25-Budget!$B$26,0),0)</f>
        <v>0</v>
      </c>
      <c r="Q21" s="1600">
        <f>IF(AND(MONTH(Q$3)=MONTH(Assumptions!$C$16),YEAR(Q$3)=YEAR(Assumptions!$C$16)),IF($C$9&lt;0,-Budget!$B$25-Budget!$B$26,0),0)</f>
        <v>0</v>
      </c>
      <c r="R21" s="1600">
        <f>IF(AND(MONTH(R$3)=MONTH(Assumptions!$C$16),YEAR(R$3)=YEAR(Assumptions!$C$16)),IF($C$9&lt;0,-Budget!$B$25-Budget!$B$26,0),0)</f>
        <v>0</v>
      </c>
      <c r="S21" s="1600">
        <f>IF(AND(MONTH(S$3)=MONTH(Assumptions!$C$16),YEAR(S$3)=YEAR(Assumptions!$C$16)),IF($C$9&lt;0,-Budget!$B$25-Budget!$B$26,0),0)</f>
        <v>0</v>
      </c>
      <c r="T21" s="1600">
        <f>IF(AND(MONTH(T$3)=MONTH(Assumptions!$C$16),YEAR(T$3)=YEAR(Assumptions!$C$16)),IF($C$9&lt;0,-Budget!$B$25-Budget!$B$26,0),0)</f>
        <v>0</v>
      </c>
      <c r="U21" s="1600">
        <f>IF(AND(MONTH(U$3)=MONTH(Assumptions!$C$16),YEAR(U$3)=YEAR(Assumptions!$C$16)),IF($C$9&lt;0,-Budget!$B$25-Budget!$B$26,0),0)</f>
        <v>0</v>
      </c>
      <c r="V21" s="1600">
        <f>IF(AND(MONTH(V$3)=MONTH(Assumptions!$C$16),YEAR(V$3)=YEAR(Assumptions!$C$16)),IF($C$9&lt;0,-Budget!$B$25-Budget!$B$26,0),0)</f>
        <v>0</v>
      </c>
      <c r="W21" s="1600">
        <f>IF(AND(MONTH(W$3)=MONTH(Assumptions!$C$16),YEAR(W$3)=YEAR(Assumptions!$C$16)),IF($C$9&lt;0,-Budget!$B$25-Budget!$B$26,0),0)</f>
        <v>0</v>
      </c>
      <c r="X21" s="1600">
        <f ca="1">IF(AND(MONTH(X$3)=MONTH(Assumptions!$C$16),YEAR(X$3)=YEAR(Assumptions!$C$16)),IF($C$9&lt;0,-Budget!$B$25-Budget!$B$26,0),0)</f>
        <v>0</v>
      </c>
    </row>
    <row r="22" spans="1:46" ht="12" thickBot="1">
      <c r="A22" s="1554" t="s">
        <v>73</v>
      </c>
      <c r="D22" s="1594">
        <f ca="1">SUM(D17:D21)</f>
        <v>-48.2</v>
      </c>
      <c r="E22" s="1594">
        <f t="shared" ref="E22:V22" ca="1" si="0">SUM(E17:E21)</f>
        <v>-679.91555555555556</v>
      </c>
      <c r="F22" s="1594">
        <f t="shared" ca="1" si="0"/>
        <v>-279.91555555555556</v>
      </c>
      <c r="G22" s="1594">
        <f t="shared" ca="1" si="0"/>
        <v>-279.91555555555556</v>
      </c>
      <c r="H22" s="1594">
        <f t="shared" ca="1" si="0"/>
        <v>-279.91555555555556</v>
      </c>
      <c r="I22" s="1594">
        <f t="shared" ca="1" si="0"/>
        <v>-279.91555555555556</v>
      </c>
      <c r="J22" s="1594">
        <f t="shared" ca="1" si="0"/>
        <v>-279.91555555555556</v>
      </c>
      <c r="K22" s="1594">
        <f t="shared" ca="1" si="0"/>
        <v>-279.91555555555556</v>
      </c>
      <c r="L22" s="1594">
        <f t="shared" ca="1" si="0"/>
        <v>-279.91555555555556</v>
      </c>
      <c r="M22" s="1594">
        <f t="shared" ca="1" si="0"/>
        <v>-529.91555555555556</v>
      </c>
      <c r="N22" s="1594">
        <f t="shared" ca="1" si="0"/>
        <v>-629.63636363636363</v>
      </c>
      <c r="O22" s="1594">
        <f t="shared" ca="1" si="0"/>
        <v>-948.63636363636374</v>
      </c>
      <c r="P22" s="1594">
        <f t="shared" ca="1" si="0"/>
        <v>-8279.636363636364</v>
      </c>
      <c r="Q22" s="1594">
        <f t="shared" ca="1" si="0"/>
        <v>-6672.8313636363637</v>
      </c>
      <c r="R22" s="1594">
        <f t="shared" ca="1" si="0"/>
        <v>-2237.8313636363637</v>
      </c>
      <c r="S22" s="1594">
        <f t="shared" ca="1" si="0"/>
        <v>-5421.8313636363637</v>
      </c>
      <c r="T22" s="1594">
        <f t="shared" ca="1" si="0"/>
        <v>-4437.8313636363637</v>
      </c>
      <c r="U22" s="1594">
        <f t="shared" ca="1" si="0"/>
        <v>-1358.0813636363637</v>
      </c>
      <c r="V22" s="1594">
        <f t="shared" ca="1" si="0"/>
        <v>-23114.081363636364</v>
      </c>
      <c r="W22" s="1594">
        <f ca="1">SUM(W17:W21)</f>
        <v>-2495.5813636363637</v>
      </c>
      <c r="X22" s="1594">
        <f ca="1">SUM(X17:X21)</f>
        <v>116427.82484876842</v>
      </c>
    </row>
    <row r="23" spans="1:46">
      <c r="B23" s="1691" t="s">
        <v>853</v>
      </c>
      <c r="C23" s="1731" t="str">
        <f ca="1">IF(ISERR(XIRR(D22:X22,D3:X3)),-1,IF(XIRR(D22:X22,D3:X3)&gt;1,"&gt;100%",XIRR(D22:X22,D3:X3,0.5)))</f>
        <v>&gt;100%</v>
      </c>
    </row>
    <row r="24" spans="1:46" ht="12" thickBot="1">
      <c r="B24" s="1693" t="s">
        <v>1058</v>
      </c>
      <c r="C24" s="1694">
        <f ca="1">XNPV(Assumptions!$L$49,D22:X22,D3:X3)</f>
        <v>45743.139584713324</v>
      </c>
    </row>
    <row r="30" spans="1:46">
      <c r="A30" s="1690" t="s">
        <v>1121</v>
      </c>
    </row>
    <row r="32" spans="1:46">
      <c r="A32" s="1596" t="s">
        <v>1115</v>
      </c>
      <c r="D32" s="1591">
        <f ca="1">D17</f>
        <v>-48.2</v>
      </c>
      <c r="E32" s="1591">
        <f t="shared" ref="E32:AR32" ca="1" si="1">E17</f>
        <v>-679.91555555555556</v>
      </c>
      <c r="F32" s="1591">
        <f t="shared" ca="1" si="1"/>
        <v>-279.91555555555556</v>
      </c>
      <c r="G32" s="1591">
        <f t="shared" ca="1" si="1"/>
        <v>-279.91555555555556</v>
      </c>
      <c r="H32" s="1591">
        <f t="shared" ca="1" si="1"/>
        <v>-279.91555555555556</v>
      </c>
      <c r="I32" s="1591">
        <f t="shared" ca="1" si="1"/>
        <v>-279.91555555555556</v>
      </c>
      <c r="J32" s="1591">
        <f t="shared" ca="1" si="1"/>
        <v>-279.91555555555556</v>
      </c>
      <c r="K32" s="1591">
        <f t="shared" ca="1" si="1"/>
        <v>-279.91555555555556</v>
      </c>
      <c r="L32" s="1591">
        <f t="shared" ca="1" si="1"/>
        <v>-279.91555555555556</v>
      </c>
      <c r="M32" s="1591">
        <f t="shared" ca="1" si="1"/>
        <v>-529.91555555555556</v>
      </c>
      <c r="N32" s="1591">
        <f t="shared" ca="1" si="1"/>
        <v>-629.63636363636363</v>
      </c>
      <c r="O32" s="1591">
        <f t="shared" ca="1" si="1"/>
        <v>-948.63636363636374</v>
      </c>
      <c r="P32" s="1591">
        <f t="shared" ca="1" si="1"/>
        <v>-8279.636363636364</v>
      </c>
      <c r="Q32" s="1591">
        <f t="shared" ca="1" si="1"/>
        <v>-6672.8313636363637</v>
      </c>
      <c r="R32" s="1591">
        <f t="shared" ca="1" si="1"/>
        <v>-2237.8313636363637</v>
      </c>
      <c r="S32" s="1591">
        <f t="shared" ca="1" si="1"/>
        <v>-5421.8313636363637</v>
      </c>
      <c r="T32" s="1591">
        <f t="shared" ca="1" si="1"/>
        <v>-4437.8313636363637</v>
      </c>
      <c r="U32" s="1591">
        <f t="shared" ca="1" si="1"/>
        <v>-1358.0813636363637</v>
      </c>
      <c r="V32" s="1591">
        <f ca="1">V17</f>
        <v>-23114.081363636364</v>
      </c>
      <c r="W32" s="1591">
        <f ca="1">W17</f>
        <v>-2495.5813636363637</v>
      </c>
      <c r="X32" s="1591">
        <f ca="1">X17</f>
        <v>58813.418636363633</v>
      </c>
      <c r="Y32" s="1591">
        <f t="shared" si="1"/>
        <v>0</v>
      </c>
      <c r="Z32" s="1591">
        <f t="shared" si="1"/>
        <v>0</v>
      </c>
      <c r="AA32" s="1591">
        <f t="shared" si="1"/>
        <v>0</v>
      </c>
      <c r="AB32" s="1591">
        <f t="shared" si="1"/>
        <v>0</v>
      </c>
      <c r="AC32" s="1591">
        <f t="shared" si="1"/>
        <v>0</v>
      </c>
      <c r="AD32" s="1591">
        <f t="shared" si="1"/>
        <v>0</v>
      </c>
      <c r="AE32" s="1591">
        <f t="shared" si="1"/>
        <v>0</v>
      </c>
      <c r="AF32" s="1591">
        <f t="shared" si="1"/>
        <v>0</v>
      </c>
      <c r="AG32" s="1591">
        <f t="shared" si="1"/>
        <v>0</v>
      </c>
      <c r="AH32" s="1591">
        <f t="shared" si="1"/>
        <v>0</v>
      </c>
      <c r="AI32" s="1591">
        <f t="shared" si="1"/>
        <v>0</v>
      </c>
      <c r="AJ32" s="1591">
        <f t="shared" si="1"/>
        <v>0</v>
      </c>
      <c r="AK32" s="1591">
        <f t="shared" si="1"/>
        <v>0</v>
      </c>
      <c r="AL32" s="1591">
        <f t="shared" si="1"/>
        <v>0</v>
      </c>
      <c r="AM32" s="1591">
        <f t="shared" si="1"/>
        <v>0</v>
      </c>
      <c r="AN32" s="1591">
        <f t="shared" si="1"/>
        <v>0</v>
      </c>
      <c r="AO32" s="1591">
        <f t="shared" si="1"/>
        <v>0</v>
      </c>
      <c r="AP32" s="1591">
        <f t="shared" si="1"/>
        <v>0</v>
      </c>
      <c r="AQ32" s="1591">
        <f t="shared" si="1"/>
        <v>0</v>
      </c>
      <c r="AR32" s="1591">
        <f t="shared" si="1"/>
        <v>0</v>
      </c>
      <c r="AS32" s="1591">
        <f>AS17</f>
        <v>0</v>
      </c>
      <c r="AT32" s="1591">
        <f>AT17</f>
        <v>0</v>
      </c>
    </row>
    <row r="33" spans="1:46">
      <c r="A33" s="1596" t="s">
        <v>1117</v>
      </c>
      <c r="D33" s="1591">
        <f>D19</f>
        <v>0</v>
      </c>
      <c r="E33" s="1591">
        <f t="shared" ref="E33:AR33" si="2">E19</f>
        <v>0</v>
      </c>
      <c r="F33" s="1591">
        <f t="shared" si="2"/>
        <v>0</v>
      </c>
      <c r="G33" s="1591">
        <f t="shared" si="2"/>
        <v>0</v>
      </c>
      <c r="H33" s="1591">
        <f t="shared" si="2"/>
        <v>0</v>
      </c>
      <c r="I33" s="1591">
        <f t="shared" si="2"/>
        <v>0</v>
      </c>
      <c r="J33" s="1591">
        <f t="shared" si="2"/>
        <v>0</v>
      </c>
      <c r="K33" s="1591">
        <f t="shared" si="2"/>
        <v>0</v>
      </c>
      <c r="L33" s="1591">
        <f t="shared" si="2"/>
        <v>0</v>
      </c>
      <c r="M33" s="1591">
        <f t="shared" si="2"/>
        <v>0</v>
      </c>
      <c r="N33" s="1591">
        <f t="shared" si="2"/>
        <v>0</v>
      </c>
      <c r="O33" s="1591">
        <f t="shared" si="2"/>
        <v>0</v>
      </c>
      <c r="P33" s="1591">
        <f t="shared" si="2"/>
        <v>0</v>
      </c>
      <c r="Q33" s="1591">
        <f t="shared" si="2"/>
        <v>0</v>
      </c>
      <c r="R33" s="1591">
        <f t="shared" si="2"/>
        <v>0</v>
      </c>
      <c r="S33" s="1591">
        <f t="shared" si="2"/>
        <v>0</v>
      </c>
      <c r="T33" s="1591">
        <f t="shared" si="2"/>
        <v>0</v>
      </c>
      <c r="U33" s="1591">
        <f t="shared" si="2"/>
        <v>0</v>
      </c>
      <c r="V33" s="1591">
        <f>V19</f>
        <v>0</v>
      </c>
      <c r="W33" s="1591">
        <f>W19</f>
        <v>0</v>
      </c>
      <c r="X33" s="1591">
        <f ca="1">X19</f>
        <v>10000</v>
      </c>
      <c r="Y33" s="1591">
        <f t="shared" si="2"/>
        <v>0</v>
      </c>
      <c r="Z33" s="1591">
        <f t="shared" si="2"/>
        <v>0</v>
      </c>
      <c r="AA33" s="1591">
        <f t="shared" si="2"/>
        <v>0</v>
      </c>
      <c r="AB33" s="1591">
        <f t="shared" si="2"/>
        <v>0</v>
      </c>
      <c r="AC33" s="1591">
        <f t="shared" si="2"/>
        <v>0</v>
      </c>
      <c r="AD33" s="1591">
        <f t="shared" si="2"/>
        <v>0</v>
      </c>
      <c r="AE33" s="1591">
        <f t="shared" si="2"/>
        <v>0</v>
      </c>
      <c r="AF33" s="1591">
        <f t="shared" si="2"/>
        <v>0</v>
      </c>
      <c r="AG33" s="1591">
        <f t="shared" si="2"/>
        <v>0</v>
      </c>
      <c r="AH33" s="1591">
        <f t="shared" si="2"/>
        <v>0</v>
      </c>
      <c r="AI33" s="1591">
        <f t="shared" si="2"/>
        <v>0</v>
      </c>
      <c r="AJ33" s="1591">
        <f t="shared" si="2"/>
        <v>0</v>
      </c>
      <c r="AK33" s="1591">
        <f t="shared" si="2"/>
        <v>0</v>
      </c>
      <c r="AL33" s="1591">
        <f t="shared" si="2"/>
        <v>0</v>
      </c>
      <c r="AM33" s="1591">
        <f t="shared" si="2"/>
        <v>0</v>
      </c>
      <c r="AN33" s="1591">
        <f t="shared" si="2"/>
        <v>0</v>
      </c>
      <c r="AO33" s="1591">
        <f t="shared" si="2"/>
        <v>0</v>
      </c>
      <c r="AP33" s="1591">
        <f t="shared" si="2"/>
        <v>0</v>
      </c>
      <c r="AQ33" s="1591">
        <f t="shared" si="2"/>
        <v>0</v>
      </c>
      <c r="AR33" s="1591">
        <f t="shared" si="2"/>
        <v>0</v>
      </c>
      <c r="AS33" s="1591">
        <f>AS19</f>
        <v>0</v>
      </c>
      <c r="AT33" s="1591">
        <f>AT19</f>
        <v>0</v>
      </c>
    </row>
    <row r="34" spans="1:46">
      <c r="A34" s="1599" t="s">
        <v>1124</v>
      </c>
      <c r="B34" s="1599"/>
      <c r="C34" s="1599"/>
      <c r="D34" s="1600">
        <f>D7</f>
        <v>0</v>
      </c>
      <c r="E34" s="1600">
        <f t="shared" ref="E34:AR34" si="3">E7</f>
        <v>0</v>
      </c>
      <c r="F34" s="1600">
        <f t="shared" si="3"/>
        <v>0</v>
      </c>
      <c r="G34" s="1600">
        <f t="shared" si="3"/>
        <v>0</v>
      </c>
      <c r="H34" s="1600">
        <f t="shared" si="3"/>
        <v>0</v>
      </c>
      <c r="I34" s="1600">
        <f t="shared" si="3"/>
        <v>0</v>
      </c>
      <c r="J34" s="1600">
        <f t="shared" si="3"/>
        <v>0</v>
      </c>
      <c r="K34" s="1600">
        <f t="shared" si="3"/>
        <v>0</v>
      </c>
      <c r="L34" s="1600">
        <f t="shared" si="3"/>
        <v>0</v>
      </c>
      <c r="M34" s="1600">
        <f t="shared" si="3"/>
        <v>0</v>
      </c>
      <c r="N34" s="1600">
        <f t="shared" si="3"/>
        <v>0</v>
      </c>
      <c r="O34" s="1600">
        <f t="shared" si="3"/>
        <v>0</v>
      </c>
      <c r="P34" s="1600">
        <f t="shared" si="3"/>
        <v>0</v>
      </c>
      <c r="Q34" s="1600">
        <f t="shared" si="3"/>
        <v>0</v>
      </c>
      <c r="R34" s="1600">
        <f t="shared" si="3"/>
        <v>0</v>
      </c>
      <c r="S34" s="1600">
        <f t="shared" si="3"/>
        <v>0</v>
      </c>
      <c r="T34" s="1600">
        <f t="shared" si="3"/>
        <v>0</v>
      </c>
      <c r="U34" s="1600">
        <f t="shared" si="3"/>
        <v>0</v>
      </c>
      <c r="V34" s="1600">
        <f>V7</f>
        <v>0</v>
      </c>
      <c r="W34" s="1600">
        <f>W7</f>
        <v>0</v>
      </c>
      <c r="X34" s="1600">
        <f>X7</f>
        <v>0</v>
      </c>
      <c r="Y34" s="1600">
        <f t="shared" ca="1" si="3"/>
        <v>-238460.26041541412</v>
      </c>
      <c r="Z34" s="1600">
        <f t="shared" ca="1" si="3"/>
        <v>18384.826698781428</v>
      </c>
      <c r="AA34" s="1600">
        <f t="shared" ca="1" si="3"/>
        <v>22616.831615538184</v>
      </c>
      <c r="AB34" s="1600">
        <f t="shared" ca="1" si="3"/>
        <v>43540.187244550623</v>
      </c>
      <c r="AC34" s="1600">
        <f t="shared" ca="1" si="3"/>
        <v>45709.923624669595</v>
      </c>
      <c r="AD34" s="1600">
        <f t="shared" ca="1" si="3"/>
        <v>43602.748089362576</v>
      </c>
      <c r="AE34" s="1600">
        <f t="shared" ca="1" si="3"/>
        <v>37765.16970633695</v>
      </c>
      <c r="AF34" s="1600">
        <f t="shared" ca="1" si="3"/>
        <v>34392.862733265436</v>
      </c>
      <c r="AG34" s="1600">
        <f t="shared" ca="1" si="3"/>
        <v>43998.548576434623</v>
      </c>
      <c r="AH34" s="1600">
        <f t="shared" ca="1" si="3"/>
        <v>39593.553304041314</v>
      </c>
      <c r="AI34" s="1600">
        <f t="shared" ca="1" si="3"/>
        <v>39439.941242448971</v>
      </c>
      <c r="AJ34" s="1600">
        <f t="shared" ca="1" si="3"/>
        <v>39885.452256738332</v>
      </c>
      <c r="AK34" s="1600">
        <f t="shared" ca="1" si="3"/>
        <v>32739.344289969515</v>
      </c>
      <c r="AL34" s="1600">
        <f t="shared" ca="1" si="3"/>
        <v>36527.969965529104</v>
      </c>
      <c r="AM34" s="1600">
        <f t="shared" ca="1" si="3"/>
        <v>30852.118208225027</v>
      </c>
      <c r="AN34" s="1600">
        <f t="shared" ca="1" si="3"/>
        <v>27188.007275840937</v>
      </c>
      <c r="AO34" s="1600">
        <f t="shared" ca="1" si="3"/>
        <v>24270.768729055937</v>
      </c>
      <c r="AP34" s="1600">
        <f t="shared" ca="1" si="3"/>
        <v>79447.153096753944</v>
      </c>
      <c r="AQ34" s="1600">
        <f t="shared" ca="1" si="3"/>
        <v>57671.930005184477</v>
      </c>
      <c r="AR34" s="1600">
        <f t="shared" ca="1" si="3"/>
        <v>57186.601221160883</v>
      </c>
      <c r="AS34" s="1600">
        <f ca="1">AS7</f>
        <v>174230.72968968775</v>
      </c>
      <c r="AT34" s="1600">
        <f ca="1">AT7</f>
        <v>-41652.284405556784</v>
      </c>
    </row>
    <row r="35" spans="1:46" ht="12" thickBot="1">
      <c r="A35" s="1554" t="s">
        <v>73</v>
      </c>
      <c r="D35" s="1594">
        <f ca="1">SUM(D32:D34)</f>
        <v>-48.2</v>
      </c>
      <c r="E35" s="1594">
        <f t="shared" ref="E35:AT35" ca="1" si="4">SUM(E32:E34)</f>
        <v>-679.91555555555556</v>
      </c>
      <c r="F35" s="1594">
        <f t="shared" ca="1" si="4"/>
        <v>-279.91555555555556</v>
      </c>
      <c r="G35" s="1594">
        <f t="shared" ca="1" si="4"/>
        <v>-279.91555555555556</v>
      </c>
      <c r="H35" s="1594">
        <f t="shared" ca="1" si="4"/>
        <v>-279.91555555555556</v>
      </c>
      <c r="I35" s="1594">
        <f t="shared" ca="1" si="4"/>
        <v>-279.91555555555556</v>
      </c>
      <c r="J35" s="1594">
        <f t="shared" ca="1" si="4"/>
        <v>-279.91555555555556</v>
      </c>
      <c r="K35" s="1594">
        <f t="shared" ca="1" si="4"/>
        <v>-279.91555555555556</v>
      </c>
      <c r="L35" s="1594">
        <f t="shared" ca="1" si="4"/>
        <v>-279.91555555555556</v>
      </c>
      <c r="M35" s="1594">
        <f t="shared" ca="1" si="4"/>
        <v>-529.91555555555556</v>
      </c>
      <c r="N35" s="1594">
        <f t="shared" ca="1" si="4"/>
        <v>-629.63636363636363</v>
      </c>
      <c r="O35" s="1594">
        <f t="shared" ca="1" si="4"/>
        <v>-948.63636363636374</v>
      </c>
      <c r="P35" s="1594">
        <f t="shared" ca="1" si="4"/>
        <v>-8279.636363636364</v>
      </c>
      <c r="Q35" s="1594">
        <f t="shared" ca="1" si="4"/>
        <v>-6672.8313636363637</v>
      </c>
      <c r="R35" s="1594">
        <f t="shared" ca="1" si="4"/>
        <v>-2237.8313636363637</v>
      </c>
      <c r="S35" s="1594">
        <f t="shared" ca="1" si="4"/>
        <v>-5421.8313636363637</v>
      </c>
      <c r="T35" s="1594">
        <f t="shared" ca="1" si="4"/>
        <v>-4437.8313636363637</v>
      </c>
      <c r="U35" s="1594">
        <f t="shared" ca="1" si="4"/>
        <v>-1358.0813636363637</v>
      </c>
      <c r="V35" s="1594">
        <f t="shared" ca="1" si="4"/>
        <v>-23114.081363636364</v>
      </c>
      <c r="W35" s="1594">
        <f ca="1">SUM(W32:W34)</f>
        <v>-2495.5813636363637</v>
      </c>
      <c r="X35" s="1594">
        <f ca="1">SUM(X32:X34)</f>
        <v>68813.41863636364</v>
      </c>
      <c r="Y35" s="1594">
        <f t="shared" ca="1" si="4"/>
        <v>-238460.26041541412</v>
      </c>
      <c r="Z35" s="1594">
        <f t="shared" ca="1" si="4"/>
        <v>18384.826698781428</v>
      </c>
      <c r="AA35" s="1594">
        <f t="shared" ca="1" si="4"/>
        <v>22616.831615538184</v>
      </c>
      <c r="AB35" s="1594">
        <f t="shared" ca="1" si="4"/>
        <v>43540.187244550623</v>
      </c>
      <c r="AC35" s="1594">
        <f t="shared" ca="1" si="4"/>
        <v>45709.923624669595</v>
      </c>
      <c r="AD35" s="1594">
        <f t="shared" ca="1" si="4"/>
        <v>43602.748089362576</v>
      </c>
      <c r="AE35" s="1594">
        <f t="shared" ca="1" si="4"/>
        <v>37765.16970633695</v>
      </c>
      <c r="AF35" s="1594">
        <f t="shared" ca="1" si="4"/>
        <v>34392.862733265436</v>
      </c>
      <c r="AG35" s="1594">
        <f t="shared" ca="1" si="4"/>
        <v>43998.548576434623</v>
      </c>
      <c r="AH35" s="1594">
        <f t="shared" ca="1" si="4"/>
        <v>39593.553304041314</v>
      </c>
      <c r="AI35" s="1594">
        <f t="shared" ca="1" si="4"/>
        <v>39439.941242448971</v>
      </c>
      <c r="AJ35" s="1594">
        <f t="shared" ca="1" si="4"/>
        <v>39885.452256738332</v>
      </c>
      <c r="AK35" s="1594">
        <f t="shared" ca="1" si="4"/>
        <v>32739.344289969515</v>
      </c>
      <c r="AL35" s="1594">
        <f t="shared" ca="1" si="4"/>
        <v>36527.969965529104</v>
      </c>
      <c r="AM35" s="1594">
        <f t="shared" ca="1" si="4"/>
        <v>30852.118208225027</v>
      </c>
      <c r="AN35" s="1594">
        <f t="shared" ca="1" si="4"/>
        <v>27188.007275840937</v>
      </c>
      <c r="AO35" s="1594">
        <f t="shared" ca="1" si="4"/>
        <v>24270.768729055937</v>
      </c>
      <c r="AP35" s="1594">
        <f t="shared" ca="1" si="4"/>
        <v>79447.153096753944</v>
      </c>
      <c r="AQ35" s="1594">
        <f t="shared" ca="1" si="4"/>
        <v>57671.930005184477</v>
      </c>
      <c r="AR35" s="1594">
        <f t="shared" ca="1" si="4"/>
        <v>57186.601221160883</v>
      </c>
      <c r="AS35" s="1594">
        <f t="shared" ca="1" si="4"/>
        <v>174230.72968968775</v>
      </c>
      <c r="AT35" s="1594">
        <f t="shared" ca="1" si="4"/>
        <v>-41652.284405556784</v>
      </c>
    </row>
    <row r="36" spans="1:46">
      <c r="B36" s="1691" t="s">
        <v>853</v>
      </c>
      <c r="C36" s="1692">
        <f ca="1">XIRR($D$35:INDEX($D$3:$AS$35,33,MATCH(Assumptions!$C$18,$D$3:$AS$3)),$D$3:INDEX($D$3:$AS$3,1,MATCH(Assumptions!$C$18,$D$3:$AS$3)))</f>
        <v>0.16332181096076973</v>
      </c>
    </row>
    <row r="37" spans="1:46" ht="12" thickBot="1">
      <c r="B37" s="1693" t="str">
        <f ca="1">"NPV "&amp;Assumptions!L49</f>
        <v>NPV 0.12</v>
      </c>
      <c r="C37" s="1694">
        <f ca="1">XNPV(Assumptions!$L$49,$D$35:INDEX($D$3:$AS$35,33,MATCH(Assumptions!$C$18,$D$3:$AS$3)),$D$3:INDEX($D$3:$AS$3,1,MATCH(Assumptions!$C$18,$D$3:$AS$3)))</f>
        <v>45735.181688501558</v>
      </c>
    </row>
    <row r="43" spans="1:46">
      <c r="A43" s="1690" t="s">
        <v>1125</v>
      </c>
    </row>
    <row r="44" spans="1:46" ht="12" customHeight="1">
      <c r="A44" s="1596" t="s">
        <v>1048</v>
      </c>
      <c r="C44" s="1689">
        <f ca="1">XNPV(Assumptions!$L$57,D44:INDEX($D$3:$AS$50,42,MATCH(Assumptions!$C$18,Returns!$D$3:$AS$3)),$D$3:INDEX(Returns!$D$3:$AS$3,1,MATCH(Assumptions!$C$18,Returns!$D$3:$AS$3)))</f>
        <v>499.84477932405264</v>
      </c>
      <c r="D44" s="1591">
        <f>-Budget!D9</f>
        <v>0</v>
      </c>
      <c r="E44" s="1591">
        <f>-Budget!E9</f>
        <v>500</v>
      </c>
      <c r="F44" s="1591">
        <f>-Budget!F9</f>
        <v>0</v>
      </c>
      <c r="G44" s="1591">
        <f>-Budget!G9</f>
        <v>0</v>
      </c>
      <c r="H44" s="1591">
        <f>-Budget!H9</f>
        <v>0</v>
      </c>
      <c r="I44" s="1591">
        <f>-Budget!I9</f>
        <v>0</v>
      </c>
      <c r="J44" s="1591">
        <f>-Budget!J9</f>
        <v>0</v>
      </c>
      <c r="K44" s="1591">
        <f>-Budget!K9</f>
        <v>0</v>
      </c>
      <c r="L44" s="1591">
        <f>-Budget!L9</f>
        <v>0</v>
      </c>
      <c r="M44" s="1591">
        <f>-Budget!M9</f>
        <v>0</v>
      </c>
      <c r="N44" s="1591">
        <f>-Budget!N9</f>
        <v>0</v>
      </c>
      <c r="O44" s="1591">
        <f>-Budget!O9</f>
        <v>0</v>
      </c>
      <c r="P44" s="1591">
        <f>-Budget!P9</f>
        <v>0</v>
      </c>
      <c r="Q44" s="1591">
        <f>-Budget!Q9</f>
        <v>0</v>
      </c>
      <c r="R44" s="1591">
        <f>-Budget!R9</f>
        <v>0</v>
      </c>
      <c r="S44" s="1591">
        <f>-Budget!S9</f>
        <v>0</v>
      </c>
      <c r="T44" s="1591">
        <f>-Budget!T9</f>
        <v>0</v>
      </c>
      <c r="U44" s="1591">
        <f>-Budget!U9</f>
        <v>0</v>
      </c>
      <c r="V44" s="1591">
        <f>-Budget!V9</f>
        <v>0</v>
      </c>
      <c r="W44" s="1591">
        <f>-Budget!W9</f>
        <v>0</v>
      </c>
      <c r="X44" s="1591">
        <f>-Budget!X9</f>
        <v>0</v>
      </c>
      <c r="Y44" s="1591">
        <f>Budget!Y9</f>
        <v>0</v>
      </c>
      <c r="Z44" s="1591">
        <v>0</v>
      </c>
      <c r="AA44" s="1591">
        <v>0</v>
      </c>
      <c r="AB44" s="1591">
        <v>0</v>
      </c>
      <c r="AC44" s="1591">
        <v>0</v>
      </c>
      <c r="AD44" s="1591">
        <v>0</v>
      </c>
      <c r="AE44" s="1591">
        <v>0</v>
      </c>
      <c r="AF44" s="1591">
        <v>0</v>
      </c>
      <c r="AG44" s="1591">
        <v>0</v>
      </c>
      <c r="AH44" s="1591">
        <v>0</v>
      </c>
      <c r="AI44" s="1591">
        <v>0</v>
      </c>
      <c r="AJ44" s="1591">
        <v>0</v>
      </c>
      <c r="AK44" s="1591">
        <v>0</v>
      </c>
      <c r="AL44" s="1591">
        <v>0</v>
      </c>
      <c r="AM44" s="1591">
        <v>0</v>
      </c>
      <c r="AN44" s="1591">
        <v>0</v>
      </c>
      <c r="AO44" s="1591">
        <v>0</v>
      </c>
      <c r="AP44" s="1591">
        <v>0</v>
      </c>
      <c r="AQ44" s="1591">
        <v>0</v>
      </c>
      <c r="AR44" s="1591">
        <v>0</v>
      </c>
      <c r="AS44" s="1591">
        <v>0</v>
      </c>
      <c r="AT44" s="1591">
        <v>0</v>
      </c>
    </row>
    <row r="45" spans="1:46" ht="12" customHeight="1">
      <c r="A45" s="1596" t="s">
        <v>1204</v>
      </c>
      <c r="C45" s="1689">
        <f ca="1">XNPV(Assumptions!$L$57,D45:INDEX($D$3:$AS$50,43,MATCH(Assumptions!$C$18,Returns!$D$3:$AS$3)),$D$3:INDEX(Returns!$D$3:$AS$3,1,MATCH(Assumptions!$C$18,Returns!$D$3:$AS$3)))</f>
        <v>231.61592146355275</v>
      </c>
      <c r="D45" s="1591">
        <f>-Budget!D10</f>
        <v>0</v>
      </c>
      <c r="E45" s="1591">
        <f>-Budget!E10</f>
        <v>0</v>
      </c>
      <c r="F45" s="1591">
        <f>-Budget!F10</f>
        <v>0</v>
      </c>
      <c r="G45" s="1591">
        <f>-Budget!G10</f>
        <v>0</v>
      </c>
      <c r="H45" s="1591">
        <f>-Budget!H10</f>
        <v>0</v>
      </c>
      <c r="I45" s="1591">
        <f>-Budget!I10</f>
        <v>0</v>
      </c>
      <c r="J45" s="1591">
        <f>-Budget!J10</f>
        <v>0</v>
      </c>
      <c r="K45" s="1591">
        <f>-Budget!K10</f>
        <v>0</v>
      </c>
      <c r="L45" s="1591">
        <f>-Budget!L10</f>
        <v>0</v>
      </c>
      <c r="M45" s="1591">
        <f>-Budget!M10</f>
        <v>250</v>
      </c>
      <c r="N45" s="1591">
        <f>-Budget!N10</f>
        <v>0</v>
      </c>
      <c r="O45" s="1591">
        <f>-Budget!O10</f>
        <v>0</v>
      </c>
      <c r="P45" s="1591">
        <f>-Budget!P10</f>
        <v>0</v>
      </c>
      <c r="Q45" s="1591">
        <f>-Budget!Q10</f>
        <v>0</v>
      </c>
      <c r="R45" s="1591">
        <f>-Budget!R10</f>
        <v>0</v>
      </c>
      <c r="S45" s="1591">
        <f>-Budget!S10</f>
        <v>0</v>
      </c>
      <c r="T45" s="1591">
        <f>-Budget!T10</f>
        <v>0</v>
      </c>
      <c r="U45" s="1591">
        <f>-Budget!U10</f>
        <v>0</v>
      </c>
      <c r="V45" s="1591">
        <f>-Budget!V10</f>
        <v>0</v>
      </c>
      <c r="W45" s="1591">
        <f>-Budget!W10</f>
        <v>0</v>
      </c>
      <c r="X45" s="1591">
        <f>-Budget!X10</f>
        <v>0</v>
      </c>
      <c r="Y45" s="1591">
        <f>-Budget!Y10</f>
        <v>0</v>
      </c>
      <c r="Z45" s="1591">
        <f>-Budget!Z10</f>
        <v>0</v>
      </c>
      <c r="AA45" s="1591">
        <f>-Budget!AA10</f>
        <v>0</v>
      </c>
      <c r="AB45" s="1591">
        <f>-Budget!AB10</f>
        <v>0</v>
      </c>
      <c r="AC45" s="1591">
        <f>-Budget!AC10</f>
        <v>0</v>
      </c>
      <c r="AD45" s="1591">
        <f>-Budget!AD10</f>
        <v>0</v>
      </c>
      <c r="AE45" s="1591">
        <f>-Budget!AE10</f>
        <v>0</v>
      </c>
      <c r="AF45" s="1591">
        <f>-Budget!AF10</f>
        <v>0</v>
      </c>
      <c r="AG45" s="1591">
        <f>-Budget!AG10</f>
        <v>0</v>
      </c>
      <c r="AH45" s="1591">
        <f>-Budget!AH10</f>
        <v>0</v>
      </c>
      <c r="AI45" s="1591">
        <f>-Budget!AI10</f>
        <v>0</v>
      </c>
      <c r="AJ45" s="1591">
        <f>-Budget!AJ10</f>
        <v>0</v>
      </c>
      <c r="AK45" s="1591">
        <f>-Budget!AK10</f>
        <v>0</v>
      </c>
      <c r="AL45" s="1591">
        <f>-Budget!AL10</f>
        <v>0</v>
      </c>
      <c r="AM45" s="1591">
        <f>-Budget!AM10</f>
        <v>0</v>
      </c>
      <c r="AN45" s="1591">
        <f>-Budget!AN10</f>
        <v>0</v>
      </c>
      <c r="AO45" s="1591">
        <f>-Budget!AO10</f>
        <v>0</v>
      </c>
      <c r="AP45" s="1591">
        <f>-Budget!AP10</f>
        <v>0</v>
      </c>
      <c r="AQ45" s="1591">
        <f>-Budget!AQ10</f>
        <v>0</v>
      </c>
      <c r="AR45" s="1591">
        <f>-Budget!AR10</f>
        <v>0</v>
      </c>
      <c r="AS45" s="1591">
        <f>-Budget!AS10</f>
        <v>0</v>
      </c>
      <c r="AT45" s="1591">
        <f>-Budget!AT10</f>
        <v>0</v>
      </c>
    </row>
    <row r="46" spans="1:46">
      <c r="A46" s="1596" t="s">
        <v>1049</v>
      </c>
      <c r="C46" s="1689">
        <f ca="1">XNPV(Assumptions!$L$57,D46:INDEX($D$3:$AS$50,44,MATCH(Assumptions!$C$18,Returns!$D$3:$AS$3)),$D$3:INDEX(Returns!$D$3:$AS$3,1,MATCH(Assumptions!$C$18,Returns!$D$3:$AS$3)))</f>
        <v>842.75436839474662</v>
      </c>
      <c r="D46" s="1591">
        <f>-Budget!D11</f>
        <v>0</v>
      </c>
      <c r="E46" s="1591">
        <f>-Budget!E11</f>
        <v>0</v>
      </c>
      <c r="F46" s="1591">
        <f>-Budget!F11</f>
        <v>0</v>
      </c>
      <c r="G46" s="1591">
        <f>-Budget!G11</f>
        <v>0</v>
      </c>
      <c r="H46" s="1591">
        <f>-Budget!H11</f>
        <v>0</v>
      </c>
      <c r="I46" s="1591">
        <f>-Budget!I11</f>
        <v>0</v>
      </c>
      <c r="J46" s="1591">
        <f>-Budget!J11</f>
        <v>0</v>
      </c>
      <c r="K46" s="1591">
        <f>-Budget!K11</f>
        <v>0</v>
      </c>
      <c r="L46" s="1591">
        <f>-Budget!L11</f>
        <v>0</v>
      </c>
      <c r="M46" s="1591">
        <f>-Budget!M11</f>
        <v>0</v>
      </c>
      <c r="N46" s="1591">
        <f>-Budget!N11</f>
        <v>0</v>
      </c>
      <c r="O46" s="1591">
        <f>-Budget!O11</f>
        <v>0</v>
      </c>
      <c r="P46" s="1591">
        <f>-Budget!P11</f>
        <v>0</v>
      </c>
      <c r="Q46" s="1591">
        <f>-Budget!Q11</f>
        <v>0</v>
      </c>
      <c r="R46" s="1591">
        <f>-Budget!R11</f>
        <v>0</v>
      </c>
      <c r="S46" s="1591">
        <f>-Budget!S11</f>
        <v>0</v>
      </c>
      <c r="T46" s="1591">
        <f>-Budget!T11</f>
        <v>0</v>
      </c>
      <c r="U46" s="1591">
        <f>-Budget!U11</f>
        <v>0</v>
      </c>
      <c r="V46" s="1591">
        <f>-Budget!V11</f>
        <v>0</v>
      </c>
      <c r="W46" s="1591">
        <f>-Budget!W11</f>
        <v>1000</v>
      </c>
      <c r="X46" s="1591">
        <f>-Budget!X11</f>
        <v>0</v>
      </c>
      <c r="Y46" s="1591">
        <f>Budget!Y11</f>
        <v>0</v>
      </c>
      <c r="Z46" s="1591">
        <v>0</v>
      </c>
      <c r="AA46" s="1591">
        <v>0</v>
      </c>
      <c r="AB46" s="1591">
        <v>0</v>
      </c>
      <c r="AC46" s="1591">
        <v>0</v>
      </c>
      <c r="AD46" s="1591">
        <v>0</v>
      </c>
      <c r="AE46" s="1591">
        <v>0</v>
      </c>
      <c r="AF46" s="1591">
        <v>0</v>
      </c>
      <c r="AG46" s="1591">
        <v>0</v>
      </c>
      <c r="AH46" s="1591">
        <v>0</v>
      </c>
      <c r="AI46" s="1591">
        <v>0</v>
      </c>
      <c r="AJ46" s="1591">
        <v>0</v>
      </c>
      <c r="AK46" s="1591">
        <v>0</v>
      </c>
      <c r="AL46" s="1591">
        <v>0</v>
      </c>
      <c r="AM46" s="1591">
        <v>0</v>
      </c>
      <c r="AN46" s="1591">
        <v>0</v>
      </c>
      <c r="AO46" s="1591">
        <v>0</v>
      </c>
      <c r="AP46" s="1591">
        <v>0</v>
      </c>
      <c r="AQ46" s="1591">
        <v>0</v>
      </c>
      <c r="AR46" s="1591">
        <v>0</v>
      </c>
      <c r="AS46" s="1591">
        <v>0</v>
      </c>
      <c r="AT46" s="1591">
        <v>0</v>
      </c>
    </row>
    <row r="47" spans="1:46">
      <c r="A47" s="1596" t="s">
        <v>1050</v>
      </c>
      <c r="C47" s="1689">
        <f ca="1">XNPV(Assumptions!$L$57,D47:INDEX($D$3:$AS$50,45,MATCH(Assumptions!$C$18,Returns!$D$3:$AS$3)),$D$3:INDEX(Returns!$D$3:$AS$3,1,MATCH(Assumptions!$C$18,Returns!$D$3:$AS$3)))</f>
        <v>1729.8061094333736</v>
      </c>
      <c r="D47" s="1591">
        <f>-Budget!D12</f>
        <v>0</v>
      </c>
      <c r="E47" s="1591">
        <f>-Budget!E12</f>
        <v>0</v>
      </c>
      <c r="F47" s="1591">
        <f>-Budget!F12</f>
        <v>100</v>
      </c>
      <c r="G47" s="1591">
        <f>-Budget!G12</f>
        <v>100</v>
      </c>
      <c r="H47" s="1591">
        <f>-Budget!H12</f>
        <v>100</v>
      </c>
      <c r="I47" s="1591">
        <f>-Budget!I12</f>
        <v>100</v>
      </c>
      <c r="J47" s="1591">
        <f>-Budget!J12</f>
        <v>100</v>
      </c>
      <c r="K47" s="1591">
        <f>-Budget!K12</f>
        <v>100</v>
      </c>
      <c r="L47" s="1591">
        <f>-Budget!L12</f>
        <v>100</v>
      </c>
      <c r="M47" s="1591">
        <f>-Budget!M12</f>
        <v>100</v>
      </c>
      <c r="N47" s="1591">
        <f>-Budget!N12</f>
        <v>100</v>
      </c>
      <c r="O47" s="1591">
        <f>-Budget!O12</f>
        <v>100</v>
      </c>
      <c r="P47" s="1591">
        <f>-Budget!P12</f>
        <v>100</v>
      </c>
      <c r="Q47" s="1591">
        <f>-Budget!Q12</f>
        <v>100</v>
      </c>
      <c r="R47" s="1591">
        <f>-Budget!R12</f>
        <v>100</v>
      </c>
      <c r="S47" s="1591">
        <f>-Budget!S12</f>
        <v>100</v>
      </c>
      <c r="T47" s="1591">
        <f>-Budget!T12</f>
        <v>100</v>
      </c>
      <c r="U47" s="1591">
        <f>-Budget!U12</f>
        <v>100</v>
      </c>
      <c r="V47" s="1591">
        <f>-Budget!V12</f>
        <v>100</v>
      </c>
      <c r="W47" s="1591">
        <f>-Budget!W12</f>
        <v>100</v>
      </c>
      <c r="X47" s="1591">
        <f>-Budget!X12</f>
        <v>100</v>
      </c>
      <c r="Y47" s="1591">
        <f>Budget!Y12</f>
        <v>0</v>
      </c>
      <c r="Z47" s="1591">
        <v>0</v>
      </c>
      <c r="AA47" s="1591">
        <v>0</v>
      </c>
      <c r="AB47" s="1591">
        <v>0</v>
      </c>
      <c r="AC47" s="1591">
        <v>0</v>
      </c>
      <c r="AD47" s="1591">
        <v>0</v>
      </c>
      <c r="AE47" s="1591">
        <v>0</v>
      </c>
      <c r="AF47" s="1591">
        <v>0</v>
      </c>
      <c r="AG47" s="1591">
        <v>0</v>
      </c>
      <c r="AH47" s="1591">
        <v>0</v>
      </c>
      <c r="AI47" s="1591">
        <v>0</v>
      </c>
      <c r="AJ47" s="1591">
        <v>0</v>
      </c>
      <c r="AK47" s="1591">
        <v>0</v>
      </c>
      <c r="AL47" s="1591">
        <v>0</v>
      </c>
      <c r="AM47" s="1591">
        <v>0</v>
      </c>
      <c r="AN47" s="1591">
        <v>0</v>
      </c>
      <c r="AO47" s="1591">
        <v>0</v>
      </c>
      <c r="AP47" s="1591">
        <v>0</v>
      </c>
      <c r="AQ47" s="1591">
        <v>0</v>
      </c>
      <c r="AR47" s="1591">
        <v>0</v>
      </c>
      <c r="AS47" s="1591">
        <v>0</v>
      </c>
      <c r="AT47" s="1591">
        <v>0</v>
      </c>
    </row>
    <row r="48" spans="1:46">
      <c r="A48" s="1650" t="s">
        <v>1108</v>
      </c>
      <c r="C48" s="1689">
        <f ca="1">XNPV(Assumptions!$L$57,D48:INDEX($D$3:$AS$50,46,MATCH(Assumptions!$C$18,Returns!$D$3:$AS$3)),$D$3:INDEX(Returns!$D$3:$AS$3,1,MATCH(Assumptions!$C$18,Returns!$D$3:$AS$3)))</f>
        <v>1597.1275794708677</v>
      </c>
      <c r="D48" s="1591">
        <f ca="1">IF($C$9&lt;0,0,-Budget!D32)</f>
        <v>0</v>
      </c>
      <c r="E48" s="1591">
        <f ca="1">IF($C$9&lt;0,0,-Budget!E32)</f>
        <v>0</v>
      </c>
      <c r="F48" s="1591">
        <f ca="1">IF($C$9&lt;0,0,-Budget!F32)</f>
        <v>0</v>
      </c>
      <c r="G48" s="1591">
        <f ca="1">IF($C$9&lt;0,0,-Budget!G32)</f>
        <v>0</v>
      </c>
      <c r="H48" s="1591">
        <f ca="1">IF($C$9&lt;0,0,-Budget!H32)</f>
        <v>0</v>
      </c>
      <c r="I48" s="1591">
        <f ca="1">IF($C$9&lt;0,0,-Budget!I32)</f>
        <v>0</v>
      </c>
      <c r="J48" s="1591">
        <f ca="1">IF($C$9&lt;0,0,-Budget!J32)</f>
        <v>0</v>
      </c>
      <c r="K48" s="1591">
        <f ca="1">IF($C$9&lt;0,0,-Budget!K32)</f>
        <v>0</v>
      </c>
      <c r="L48" s="1591">
        <f ca="1">IF($C$9&lt;0,0,-Budget!L32)</f>
        <v>0</v>
      </c>
      <c r="M48" s="1591">
        <f ca="1">IF($C$9&lt;0,0,-Budget!M32)</f>
        <v>0</v>
      </c>
      <c r="N48" s="1591">
        <f ca="1">IF($C$9&lt;0,0,-Budget!N32)</f>
        <v>0</v>
      </c>
      <c r="O48" s="1591">
        <f ca="1">IF($C$9&lt;0,0,-Budget!O32)</f>
        <v>0</v>
      </c>
      <c r="P48" s="1591">
        <f ca="1">IF($C$9&lt;0,0,-Budget!P32)</f>
        <v>0</v>
      </c>
      <c r="Q48" s="1591">
        <f ca="1">IF($C$9&lt;0,0,-Budget!Q32)</f>
        <v>0</v>
      </c>
      <c r="R48" s="1591">
        <f ca="1">IF($C$9&lt;0,0,-Budget!R32)</f>
        <v>0</v>
      </c>
      <c r="S48" s="1591">
        <f ca="1">IF($C$9&lt;0,0,-Budget!S32)</f>
        <v>0</v>
      </c>
      <c r="T48" s="1591">
        <f ca="1">IF($C$9&lt;0,0,-Budget!T32)</f>
        <v>0</v>
      </c>
      <c r="U48" s="1591">
        <f ca="1">IF($C$9&lt;0,0,-Budget!U32)</f>
        <v>0</v>
      </c>
      <c r="V48" s="1591">
        <f ca="1">IF($C$9&lt;0,0,-Budget!V32)</f>
        <v>0</v>
      </c>
      <c r="W48" s="1591">
        <f ca="1">IF($C$9&lt;0,0,-Budget!W32)</f>
        <v>0</v>
      </c>
      <c r="X48" s="1591">
        <f ca="1">IF($C$9&lt;0,0,-Budget!X32)</f>
        <v>1912.8632069997707</v>
      </c>
      <c r="Y48" s="1591">
        <f ca="1">Budget!Y32</f>
        <v>0</v>
      </c>
      <c r="Z48" s="1591">
        <v>0</v>
      </c>
      <c r="AA48" s="1591">
        <v>0</v>
      </c>
      <c r="AB48" s="1591">
        <v>0</v>
      </c>
      <c r="AC48" s="1591">
        <v>0</v>
      </c>
      <c r="AD48" s="1591">
        <v>0</v>
      </c>
      <c r="AE48" s="1591">
        <v>0</v>
      </c>
      <c r="AF48" s="1591">
        <v>0</v>
      </c>
      <c r="AG48" s="1591">
        <v>0</v>
      </c>
      <c r="AH48" s="1591">
        <v>0</v>
      </c>
      <c r="AI48" s="1591">
        <v>0</v>
      </c>
      <c r="AJ48" s="1591">
        <v>0</v>
      </c>
      <c r="AK48" s="1591">
        <v>0</v>
      </c>
      <c r="AL48" s="1591">
        <v>0</v>
      </c>
      <c r="AM48" s="1591">
        <v>0</v>
      </c>
      <c r="AN48" s="1591">
        <v>0</v>
      </c>
      <c r="AO48" s="1591">
        <v>0</v>
      </c>
      <c r="AP48" s="1591">
        <v>0</v>
      </c>
      <c r="AQ48" s="1591">
        <v>0</v>
      </c>
      <c r="AR48" s="1591">
        <v>0</v>
      </c>
      <c r="AS48" s="1591">
        <v>0</v>
      </c>
      <c r="AT48" s="1591">
        <v>0</v>
      </c>
    </row>
    <row r="49" spans="1:46">
      <c r="A49" s="1596" t="s">
        <v>1126</v>
      </c>
      <c r="C49" s="1689">
        <f ca="1">XNPV(Assumptions!$L$57,D49:INDEX($D$3:$AS$50,47,MATCH(Assumptions!$C$18,Returns!$D$3:$AS$3)),$D$3:INDEX(Returns!$D$3:$AS$3,1,MATCH(Assumptions!$C$18,Returns!$D$3:$AS$3)))</f>
        <v>14501.525916407045</v>
      </c>
      <c r="D49" s="1591">
        <v>0</v>
      </c>
      <c r="E49" s="1591">
        <v>0</v>
      </c>
      <c r="F49" s="1591">
        <v>0</v>
      </c>
      <c r="G49" s="1591">
        <v>0</v>
      </c>
      <c r="H49" s="1591">
        <v>0</v>
      </c>
      <c r="I49" s="1591">
        <v>0</v>
      </c>
      <c r="J49" s="1591">
        <v>0</v>
      </c>
      <c r="K49" s="1591">
        <v>0</v>
      </c>
      <c r="L49" s="1591">
        <v>0</v>
      </c>
      <c r="M49" s="1591">
        <v>0</v>
      </c>
      <c r="N49" s="1591">
        <v>0</v>
      </c>
      <c r="O49" s="1591">
        <v>0</v>
      </c>
      <c r="P49" s="1591">
        <v>0</v>
      </c>
      <c r="Q49" s="1591">
        <v>0</v>
      </c>
      <c r="R49" s="1591">
        <v>0</v>
      </c>
      <c r="S49" s="1591">
        <v>0</v>
      </c>
      <c r="T49" s="1591">
        <v>0</v>
      </c>
      <c r="U49" s="1591">
        <v>0</v>
      </c>
      <c r="V49" s="1591">
        <v>0</v>
      </c>
      <c r="W49" s="1591">
        <v>0</v>
      </c>
      <c r="X49" s="1591">
        <v>0</v>
      </c>
      <c r="Y49" s="1591">
        <v>0</v>
      </c>
      <c r="Z49" s="1591">
        <f ca="1">IF($C$9&lt;0,0,Assumptions!$C$41)</f>
        <v>2600</v>
      </c>
      <c r="AA49" s="1591">
        <f ca="1">$Z$49*Template!J129</f>
        <v>2654.2090799332291</v>
      </c>
      <c r="AB49" s="1591">
        <f ca="1">$Z$49*Template!K129</f>
        <v>2707.2932615318937</v>
      </c>
      <c r="AC49" s="1591">
        <f ca="1">$Z$49*Template!L129</f>
        <v>2761.4391267625319</v>
      </c>
      <c r="AD49" s="1591">
        <f ca="1">$Z$49*Template!M129</f>
        <v>2816.6679092977824</v>
      </c>
      <c r="AE49" s="1591">
        <f ca="1">$Z$49*Template!N129</f>
        <v>2873.0012674837385</v>
      </c>
      <c r="AF49" s="1591">
        <f ca="1">$Z$49*Template!O129</f>
        <v>2930.4612928334132</v>
      </c>
      <c r="AG49" s="1591">
        <f ca="1">$Z$49*Template!P129</f>
        <v>2989.0705186900814</v>
      </c>
      <c r="AH49" s="1591">
        <f ca="1">$Z$49*Template!Q129</f>
        <v>3048.8519290638833</v>
      </c>
      <c r="AI49" s="1591">
        <f ca="1">$Z$49*Template!R129</f>
        <v>3109.8289676451609</v>
      </c>
      <c r="AJ49" s="1591">
        <f ca="1">$Z$49*Template!S129</f>
        <v>3172.0255469980639</v>
      </c>
      <c r="AK49" s="1591">
        <f ca="1">$Z$49*Template!T129</f>
        <v>3235.4660579380252</v>
      </c>
      <c r="AL49" s="1591">
        <f ca="1">$Z$49*Template!U129</f>
        <v>3300.1753790967859</v>
      </c>
      <c r="AM49" s="1591">
        <f ca="1">$Z$49*Template!V129</f>
        <v>3366.1788866787215</v>
      </c>
      <c r="AN49" s="1591">
        <f ca="1">$Z$49*Template!W129</f>
        <v>3433.5024644122959</v>
      </c>
      <c r="AO49" s="1591">
        <f ca="1">$Z$49*Template!X129</f>
        <v>3502.1725137005424</v>
      </c>
      <c r="AP49" s="1591">
        <f ca="1">$Z$49*Template!Y129</f>
        <v>3572.2159639745532</v>
      </c>
      <c r="AQ49" s="1591">
        <f ca="1">$Z$49*Template!Z129</f>
        <v>3643.6602832540448</v>
      </c>
      <c r="AR49" s="1591">
        <f ca="1">$Z$49*Template!AA129</f>
        <v>3716.5334889191254</v>
      </c>
      <c r="AS49" s="1591">
        <f ca="1">$Z$49*Template!AB129</f>
        <v>3790.8641586975082</v>
      </c>
      <c r="AT49" s="1591">
        <f ca="1">$Z$49*Template!AC129</f>
        <v>3866.6814418714584</v>
      </c>
    </row>
    <row r="50" spans="1:46">
      <c r="A50" s="1599" t="s">
        <v>1127</v>
      </c>
      <c r="B50" s="1599"/>
      <c r="C50" s="1696">
        <f ca="1">XNPV(Assumptions!$L$57,D50:INDEX($D$3:$AS$50,48,MATCH(Assumptions!$C$18,Returns!$D$3:$AS$3)),$D$3:INDEX(Returns!$D$3:$AS$3,1,MATCH(Assumptions!$C$18,Returns!$D$3:$AS$3)))</f>
        <v>5745.6669852714067</v>
      </c>
      <c r="D50" s="1600">
        <v>0</v>
      </c>
      <c r="E50" s="1600">
        <v>0</v>
      </c>
      <c r="F50" s="1600">
        <v>0</v>
      </c>
      <c r="G50" s="1600">
        <v>0</v>
      </c>
      <c r="H50" s="1600">
        <v>0</v>
      </c>
      <c r="I50" s="1600">
        <v>0</v>
      </c>
      <c r="J50" s="1600">
        <v>0</v>
      </c>
      <c r="K50" s="1600">
        <v>0</v>
      </c>
      <c r="L50" s="1600">
        <v>0</v>
      </c>
      <c r="M50" s="1600">
        <v>0</v>
      </c>
      <c r="N50" s="1600">
        <v>0</v>
      </c>
      <c r="O50" s="1600">
        <v>0</v>
      </c>
      <c r="P50" s="1600">
        <v>0</v>
      </c>
      <c r="Q50" s="1600">
        <v>0</v>
      </c>
      <c r="R50" s="1600">
        <v>0</v>
      </c>
      <c r="S50" s="1600">
        <v>0</v>
      </c>
      <c r="T50" s="1600">
        <v>0</v>
      </c>
      <c r="U50" s="1600">
        <v>0</v>
      </c>
      <c r="V50" s="1600">
        <v>0</v>
      </c>
      <c r="W50" s="1600">
        <v>0</v>
      </c>
      <c r="X50" s="1600">
        <v>0</v>
      </c>
      <c r="Y50" s="1600">
        <v>0</v>
      </c>
      <c r="Z50" s="1600">
        <f ca="1">IF($C$9&lt;0,0,Template!I234)</f>
        <v>563.33157758849529</v>
      </c>
      <c r="AA50" s="1600">
        <f ca="1">IF($C$9&lt;0,0,Template!J234)</f>
        <v>1027.6480640546306</v>
      </c>
      <c r="AB50" s="1600">
        <f ca="1">IF($C$9&lt;0,0,Template!K234)</f>
        <v>1211.6867013922201</v>
      </c>
      <c r="AC50" s="1600">
        <f ca="1">IF($C$9&lt;0,0,Template!L234)</f>
        <v>1279.9011849642502</v>
      </c>
      <c r="AD50" s="1600">
        <f ca="1">IF($C$9&lt;0,0,Template!M234)</f>
        <v>1277.5557212494791</v>
      </c>
      <c r="AE50" s="1600">
        <f ca="1">IF($C$9&lt;0,0,Template!N234)</f>
        <v>1213.3331488568444</v>
      </c>
      <c r="AF50" s="1600">
        <f ca="1">IF($C$9&lt;0,0,Template!O234)</f>
        <v>1171.6533511612045</v>
      </c>
      <c r="AG50" s="1600">
        <f ca="1">IF($C$9&lt;0,0,Template!P234)</f>
        <v>1376.9636891633838</v>
      </c>
      <c r="AH50" s="1600">
        <f ca="1">IF($C$9&lt;0,0,Template!Q234)</f>
        <v>1356.8155863281736</v>
      </c>
      <c r="AI50" s="1600">
        <f ca="1">IF($C$9&lt;0,0,Template!R234)</f>
        <v>1375.9863772826643</v>
      </c>
      <c r="AJ50" s="1600">
        <f ca="1">IF($C$9&lt;0,0,Template!S234)</f>
        <v>1402.8450329888631</v>
      </c>
      <c r="AK50" s="1600">
        <f ca="1">IF($C$9&lt;0,0,Template!T234)</f>
        <v>1316.9575505336875</v>
      </c>
      <c r="AL50" s="1600">
        <f ca="1">IF($C$9&lt;0,0,Template!U234)</f>
        <v>1391.8721430881837</v>
      </c>
      <c r="AM50" s="1600">
        <f ca="1">IF($C$9&lt;0,0,Template!V234)</f>
        <v>1293.0597995125149</v>
      </c>
      <c r="AN50" s="1600">
        <f ca="1">IF($C$9&lt;0,0,Template!W234)</f>
        <v>1274.9717574819908</v>
      </c>
      <c r="AO50" s="1600">
        <f ca="1">IF($C$9&lt;0,0,Template!X234)</f>
        <v>1252.8315649988035</v>
      </c>
      <c r="AP50" s="1600">
        <f ca="1">IF($C$9&lt;0,0,Template!Y234)</f>
        <v>1275.9431224632472</v>
      </c>
      <c r="AQ50" s="1600">
        <f ca="1">IF($C$9&lt;0,0,Template!Z234)</f>
        <v>1241.6395859874606</v>
      </c>
      <c r="AR50" s="1600">
        <f ca="1">IF($C$9&lt;0,0,Template!AA234)</f>
        <v>1228.6868798225205</v>
      </c>
      <c r="AS50" s="1600">
        <f ca="1">IF($C$9&lt;0,0,Template!AB234)</f>
        <v>1089.172581472852</v>
      </c>
      <c r="AT50" s="1600">
        <f ca="1">IF($C$9&lt;0,0,Template!AC234)</f>
        <v>225.50512559270743</v>
      </c>
    </row>
    <row r="51" spans="1:46">
      <c r="A51" s="1554" t="s">
        <v>981</v>
      </c>
      <c r="C51" s="1689">
        <f ca="1">SUM(C44:C50)</f>
        <v>25148.341659765047</v>
      </c>
      <c r="D51" s="1594">
        <f ca="1">SUM(D44:D50)</f>
        <v>0</v>
      </c>
      <c r="E51" s="1594">
        <f t="shared" ref="E51:AT51" ca="1" si="5">SUM(E44:E50)</f>
        <v>500</v>
      </c>
      <c r="F51" s="1594">
        <f t="shared" ca="1" si="5"/>
        <v>100</v>
      </c>
      <c r="G51" s="1594">
        <f t="shared" ca="1" si="5"/>
        <v>100</v>
      </c>
      <c r="H51" s="1594">
        <f t="shared" ca="1" si="5"/>
        <v>100</v>
      </c>
      <c r="I51" s="1594">
        <f t="shared" ca="1" si="5"/>
        <v>100</v>
      </c>
      <c r="J51" s="1594">
        <f t="shared" ca="1" si="5"/>
        <v>100</v>
      </c>
      <c r="K51" s="1594">
        <f t="shared" ca="1" si="5"/>
        <v>100</v>
      </c>
      <c r="L51" s="1594">
        <f t="shared" ca="1" si="5"/>
        <v>100</v>
      </c>
      <c r="M51" s="1594">
        <f t="shared" ca="1" si="5"/>
        <v>350</v>
      </c>
      <c r="N51" s="1594">
        <f t="shared" ca="1" si="5"/>
        <v>100</v>
      </c>
      <c r="O51" s="1594">
        <f t="shared" ca="1" si="5"/>
        <v>100</v>
      </c>
      <c r="P51" s="1594">
        <f t="shared" ca="1" si="5"/>
        <v>100</v>
      </c>
      <c r="Q51" s="1594">
        <f t="shared" ca="1" si="5"/>
        <v>100</v>
      </c>
      <c r="R51" s="1594">
        <f t="shared" ca="1" si="5"/>
        <v>100</v>
      </c>
      <c r="S51" s="1594">
        <f t="shared" ca="1" si="5"/>
        <v>100</v>
      </c>
      <c r="T51" s="1594">
        <f t="shared" ca="1" si="5"/>
        <v>100</v>
      </c>
      <c r="U51" s="1594">
        <f t="shared" ca="1" si="5"/>
        <v>100</v>
      </c>
      <c r="V51" s="1594">
        <f t="shared" ca="1" si="5"/>
        <v>100</v>
      </c>
      <c r="W51" s="1594">
        <f ca="1">SUM(W44:W50)</f>
        <v>1100</v>
      </c>
      <c r="X51" s="1594">
        <f ca="1">SUM(X44:X50)</f>
        <v>2012.8632069997707</v>
      </c>
      <c r="Y51" s="1594">
        <f t="shared" ca="1" si="5"/>
        <v>0</v>
      </c>
      <c r="Z51" s="1594">
        <f t="shared" ca="1" si="5"/>
        <v>3163.3315775884953</v>
      </c>
      <c r="AA51" s="1594">
        <f t="shared" ca="1" si="5"/>
        <v>3681.8571439878597</v>
      </c>
      <c r="AB51" s="1594">
        <f t="shared" ca="1" si="5"/>
        <v>3918.9799629241138</v>
      </c>
      <c r="AC51" s="1594">
        <f t="shared" ca="1" si="5"/>
        <v>4041.3403117267821</v>
      </c>
      <c r="AD51" s="1594">
        <f t="shared" ca="1" si="5"/>
        <v>4094.2236305472616</v>
      </c>
      <c r="AE51" s="1594">
        <f t="shared" ca="1" si="5"/>
        <v>4086.3344163405827</v>
      </c>
      <c r="AF51" s="1594">
        <f t="shared" ca="1" si="5"/>
        <v>4102.1146439946178</v>
      </c>
      <c r="AG51" s="1594">
        <f t="shared" ca="1" si="5"/>
        <v>4366.034207853465</v>
      </c>
      <c r="AH51" s="1594">
        <f t="shared" ca="1" si="5"/>
        <v>4405.6675153920569</v>
      </c>
      <c r="AI51" s="1594">
        <f t="shared" ca="1" si="5"/>
        <v>4485.8153449278252</v>
      </c>
      <c r="AJ51" s="1594">
        <f t="shared" ca="1" si="5"/>
        <v>4574.8705799869267</v>
      </c>
      <c r="AK51" s="1594">
        <f t="shared" ca="1" si="5"/>
        <v>4552.4236084717122</v>
      </c>
      <c r="AL51" s="1594">
        <f t="shared" ca="1" si="5"/>
        <v>4692.0475221849701</v>
      </c>
      <c r="AM51" s="1594">
        <f t="shared" ca="1" si="5"/>
        <v>4659.2386861912364</v>
      </c>
      <c r="AN51" s="1594">
        <f t="shared" ca="1" si="5"/>
        <v>4708.4742218942865</v>
      </c>
      <c r="AO51" s="1594">
        <f t="shared" ca="1" si="5"/>
        <v>4755.0040786993459</v>
      </c>
      <c r="AP51" s="1594">
        <f t="shared" ca="1" si="5"/>
        <v>4848.1590864378004</v>
      </c>
      <c r="AQ51" s="1594">
        <f t="shared" ca="1" si="5"/>
        <v>4885.2998692415058</v>
      </c>
      <c r="AR51" s="1594">
        <f t="shared" ca="1" si="5"/>
        <v>4945.2203687416459</v>
      </c>
      <c r="AS51" s="1594">
        <f t="shared" ca="1" si="5"/>
        <v>4880.0367401703606</v>
      </c>
      <c r="AT51" s="1594">
        <f t="shared" ca="1" si="5"/>
        <v>4092.1865674641658</v>
      </c>
    </row>
  </sheetData>
  <pageMargins left="0.25" right="0.25" top="1" bottom="1" header="0.5" footer="0.5"/>
  <pageSetup scale="59" orientation="landscape" horizontalDpi="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AT139"/>
  <sheetViews>
    <sheetView showGridLines="0" topLeftCell="R28" workbookViewId="0">
      <selection activeCell="Y46" sqref="Y46"/>
    </sheetView>
  </sheetViews>
  <sheetFormatPr defaultRowHeight="11.25"/>
  <cols>
    <col min="1" max="1" width="33" style="1596" customWidth="1"/>
    <col min="2" max="2" width="11.7109375" style="1596" bestFit="1" customWidth="1"/>
    <col min="3" max="8" width="9.140625" style="1596"/>
    <col min="9" max="9" width="9.7109375" style="1596" customWidth="1"/>
    <col min="10" max="10" width="9.42578125" style="1596" customWidth="1"/>
    <col min="11" max="11" width="9.7109375" style="1596" customWidth="1"/>
    <col min="12" max="12" width="9.28515625" style="1596" customWidth="1"/>
    <col min="13" max="13" width="9.7109375" style="1596" customWidth="1"/>
    <col min="14" max="14" width="9.42578125" style="1596" customWidth="1"/>
    <col min="15" max="15" width="9.5703125" style="1596" customWidth="1"/>
    <col min="16" max="16" width="9.42578125" style="1596" customWidth="1"/>
    <col min="17" max="17" width="9.5703125" style="1596" customWidth="1"/>
    <col min="18" max="18" width="9.7109375" style="1596" customWidth="1"/>
    <col min="19" max="20" width="9.5703125" style="1596" customWidth="1"/>
    <col min="21" max="24" width="9.140625" style="1596"/>
    <col min="25" max="25" width="10.28515625" style="1596" customWidth="1"/>
    <col min="26" max="26" width="9.7109375" style="1596" customWidth="1"/>
    <col min="27" max="43" width="9.140625" style="1596"/>
    <col min="44" max="44" width="9.7109375" style="1596" customWidth="1"/>
    <col min="45" max="16384" width="9.140625" style="1596"/>
  </cols>
  <sheetData>
    <row r="1" spans="1:46">
      <c r="V1" s="1587"/>
      <c r="W1" s="1587"/>
      <c r="X1" s="1587" t="s">
        <v>1036</v>
      </c>
    </row>
    <row r="2" spans="1:46">
      <c r="D2" s="1587"/>
      <c r="E2" s="1587" t="s">
        <v>1037</v>
      </c>
      <c r="V2" s="1587"/>
      <c r="W2" s="1587"/>
      <c r="X2" s="1587" t="s">
        <v>1038</v>
      </c>
      <c r="Y2" s="1587" t="s">
        <v>1039</v>
      </c>
    </row>
    <row r="3" spans="1:46">
      <c r="C3" s="1587" t="s">
        <v>1040</v>
      </c>
      <c r="D3" s="1587"/>
      <c r="E3" s="1587" t="s">
        <v>1041</v>
      </c>
      <c r="G3" s="1587"/>
      <c r="I3" s="1587"/>
      <c r="L3" s="1587" t="s">
        <v>1066</v>
      </c>
      <c r="V3" s="1587"/>
      <c r="W3" s="1587"/>
      <c r="X3" s="1587" t="s">
        <v>1042</v>
      </c>
      <c r="Y3" s="1587" t="s">
        <v>1043</v>
      </c>
    </row>
    <row r="4" spans="1:46" ht="12" thickBot="1">
      <c r="C4" s="1587" t="s">
        <v>1044</v>
      </c>
      <c r="D4" s="1587"/>
      <c r="E4" s="1587" t="s">
        <v>1016</v>
      </c>
      <c r="G4" s="1587"/>
      <c r="I4" s="1587"/>
      <c r="L4" s="1587" t="s">
        <v>1067</v>
      </c>
      <c r="V4" s="1587"/>
      <c r="W4" s="1587"/>
      <c r="X4" s="1587" t="s">
        <v>316</v>
      </c>
      <c r="Y4" s="1587" t="s">
        <v>316</v>
      </c>
    </row>
    <row r="5" spans="1:46" s="1598" customFormat="1" ht="13.5" customHeight="1" thickTop="1" thickBot="1">
      <c r="A5" s="1596"/>
      <c r="B5" s="1588" t="s">
        <v>1045</v>
      </c>
      <c r="C5" s="1597">
        <v>36220</v>
      </c>
      <c r="D5" s="1597">
        <v>36279</v>
      </c>
      <c r="E5" s="1597">
        <v>36280</v>
      </c>
      <c r="F5" s="1597">
        <v>36311</v>
      </c>
      <c r="G5" s="1597">
        <v>36341</v>
      </c>
      <c r="H5" s="1597">
        <v>36372</v>
      </c>
      <c r="I5" s="1597">
        <v>36403</v>
      </c>
      <c r="J5" s="1597">
        <v>36433</v>
      </c>
      <c r="K5" s="1597">
        <v>36464</v>
      </c>
      <c r="L5" s="1597">
        <v>36494</v>
      </c>
      <c r="M5" s="1597">
        <v>36525</v>
      </c>
      <c r="N5" s="1597">
        <v>36556</v>
      </c>
      <c r="O5" s="1597">
        <v>36585</v>
      </c>
      <c r="P5" s="1597">
        <v>36616</v>
      </c>
      <c r="Q5" s="1597">
        <v>36646</v>
      </c>
      <c r="R5" s="1597">
        <v>36677</v>
      </c>
      <c r="S5" s="1597">
        <v>36707</v>
      </c>
      <c r="T5" s="1597">
        <v>36738</v>
      </c>
      <c r="U5" s="1597">
        <v>36769</v>
      </c>
      <c r="V5" s="1597">
        <v>36799</v>
      </c>
      <c r="W5" s="1597">
        <v>36830</v>
      </c>
      <c r="X5" s="1597">
        <v>36860</v>
      </c>
      <c r="Y5" s="1597">
        <f>Assumptions!C17</f>
        <v>37802</v>
      </c>
      <c r="Z5" s="1597">
        <f>DATE(YEAR(Y5),12,31)</f>
        <v>37986</v>
      </c>
      <c r="AA5" s="1597">
        <f>DATE(YEAR(Z5)+1,12,31)</f>
        <v>38352</v>
      </c>
      <c r="AB5" s="1597">
        <f t="shared" ref="AB5:AT5" si="0">DATE(YEAR(AA5)+1,12,31)</f>
        <v>38717</v>
      </c>
      <c r="AC5" s="1597">
        <f t="shared" si="0"/>
        <v>39082</v>
      </c>
      <c r="AD5" s="1597">
        <f t="shared" si="0"/>
        <v>39447</v>
      </c>
      <c r="AE5" s="1597">
        <f t="shared" si="0"/>
        <v>39813</v>
      </c>
      <c r="AF5" s="1597">
        <f t="shared" si="0"/>
        <v>40178</v>
      </c>
      <c r="AG5" s="1597">
        <f t="shared" si="0"/>
        <v>40543</v>
      </c>
      <c r="AH5" s="1597">
        <f t="shared" si="0"/>
        <v>40908</v>
      </c>
      <c r="AI5" s="1597">
        <f t="shared" si="0"/>
        <v>41274</v>
      </c>
      <c r="AJ5" s="1597">
        <f t="shared" si="0"/>
        <v>41639</v>
      </c>
      <c r="AK5" s="1597">
        <f t="shared" si="0"/>
        <v>42004</v>
      </c>
      <c r="AL5" s="1597">
        <f t="shared" si="0"/>
        <v>42369</v>
      </c>
      <c r="AM5" s="1597">
        <f t="shared" si="0"/>
        <v>42735</v>
      </c>
      <c r="AN5" s="1597">
        <f t="shared" si="0"/>
        <v>43100</v>
      </c>
      <c r="AO5" s="1597">
        <f t="shared" si="0"/>
        <v>43465</v>
      </c>
      <c r="AP5" s="1597">
        <f t="shared" si="0"/>
        <v>43830</v>
      </c>
      <c r="AQ5" s="1597">
        <f t="shared" si="0"/>
        <v>44196</v>
      </c>
      <c r="AR5" s="1597">
        <v>44561</v>
      </c>
      <c r="AS5" s="1597">
        <f t="shared" si="0"/>
        <v>44926</v>
      </c>
      <c r="AT5" s="1597">
        <f t="shared" si="0"/>
        <v>45291</v>
      </c>
    </row>
    <row r="6" spans="1:46" customFormat="1" ht="13.5" customHeight="1" thickTop="1">
      <c r="A6" s="1554" t="s">
        <v>1096</v>
      </c>
      <c r="B6" s="1509"/>
      <c r="J6" s="1735"/>
    </row>
    <row r="7" spans="1:46">
      <c r="A7" s="1596" t="s">
        <v>1046</v>
      </c>
      <c r="B7" s="1589">
        <f>SUM(C7:X7)</f>
        <v>-9900</v>
      </c>
      <c r="C7" s="1590">
        <v>0</v>
      </c>
      <c r="D7" s="1590">
        <v>0</v>
      </c>
      <c r="E7" s="1590">
        <v>0</v>
      </c>
      <c r="F7" s="1590">
        <v>0</v>
      </c>
      <c r="G7" s="1590">
        <v>0</v>
      </c>
      <c r="H7" s="1590">
        <v>0</v>
      </c>
      <c r="I7" s="1590">
        <v>0</v>
      </c>
      <c r="J7" s="1590">
        <v>0</v>
      </c>
      <c r="K7" s="1590">
        <v>0</v>
      </c>
      <c r="L7" s="1590">
        <v>0</v>
      </c>
      <c r="M7" s="1590">
        <v>0</v>
      </c>
      <c r="N7" s="1590">
        <v>0</v>
      </c>
      <c r="O7" s="1590">
        <v>0</v>
      </c>
      <c r="P7" s="1590">
        <v>0</v>
      </c>
      <c r="Q7" s="1590">
        <v>-3000</v>
      </c>
      <c r="R7" s="1590">
        <v>0</v>
      </c>
      <c r="S7" s="1590">
        <v>-1600</v>
      </c>
      <c r="T7" s="1590">
        <v>0</v>
      </c>
      <c r="U7" s="1590">
        <v>0</v>
      </c>
      <c r="V7" s="1590">
        <v>-5300</v>
      </c>
      <c r="W7" s="1590">
        <v>0</v>
      </c>
      <c r="X7" s="1590">
        <v>0</v>
      </c>
      <c r="Y7" s="1591"/>
      <c r="Z7" s="1591"/>
      <c r="AA7" s="1591"/>
      <c r="AB7" s="1591"/>
      <c r="AC7" s="1591"/>
      <c r="AD7" s="1591"/>
      <c r="AE7" s="1591"/>
      <c r="AF7" s="1591"/>
      <c r="AG7" s="1591"/>
      <c r="AH7" s="1591"/>
      <c r="AI7" s="1591"/>
      <c r="AJ7" s="1591"/>
      <c r="AK7" s="1591"/>
      <c r="AL7" s="1591"/>
      <c r="AM7" s="1591"/>
      <c r="AN7" s="1591"/>
      <c r="AO7" s="1591"/>
      <c r="AP7" s="1591"/>
      <c r="AQ7" s="1591"/>
      <c r="AR7" s="1591"/>
    </row>
    <row r="8" spans="1:46">
      <c r="A8" s="1596" t="s">
        <v>1047</v>
      </c>
      <c r="B8" s="1589">
        <f t="shared" ref="B8:B21" si="1">SUM(C8:X8)</f>
        <v>-999.99999999999977</v>
      </c>
      <c r="C8" s="1590">
        <v>0</v>
      </c>
      <c r="D8" s="1590">
        <v>0</v>
      </c>
      <c r="E8" s="1590">
        <f>-51.44/COUNT($E$5:$M$5)</f>
        <v>-5.7155555555555555</v>
      </c>
      <c r="F8" s="1590">
        <f t="shared" ref="F8:M8" si="2">-51.44/COUNT($E$5:$M$5)</f>
        <v>-5.7155555555555555</v>
      </c>
      <c r="G8" s="1590">
        <f t="shared" si="2"/>
        <v>-5.7155555555555555</v>
      </c>
      <c r="H8" s="1590">
        <f t="shared" si="2"/>
        <v>-5.7155555555555555</v>
      </c>
      <c r="I8" s="1590">
        <f t="shared" si="2"/>
        <v>-5.7155555555555555</v>
      </c>
      <c r="J8" s="1590">
        <f t="shared" si="2"/>
        <v>-5.7155555555555555</v>
      </c>
      <c r="K8" s="1590">
        <f t="shared" si="2"/>
        <v>-5.7155555555555555</v>
      </c>
      <c r="L8" s="1590">
        <f t="shared" si="2"/>
        <v>-5.7155555555555555</v>
      </c>
      <c r="M8" s="1590">
        <f t="shared" si="2"/>
        <v>-5.7155555555555555</v>
      </c>
      <c r="N8" s="1590">
        <v>-39</v>
      </c>
      <c r="O8" s="1590">
        <v>-31</v>
      </c>
      <c r="P8" s="1590">
        <v>-55</v>
      </c>
      <c r="Q8" s="1590">
        <f>(-1000-SUM($E$8:$P$8))/COUNT($Q$5:$X$5)</f>
        <v>-102.94499999999999</v>
      </c>
      <c r="R8" s="1590">
        <f t="shared" ref="R8:X8" si="3">(-1000-SUM($E$8:$P$8))/COUNT($Q$5:$X$5)</f>
        <v>-102.94499999999999</v>
      </c>
      <c r="S8" s="1590">
        <f t="shared" si="3"/>
        <v>-102.94499999999999</v>
      </c>
      <c r="T8" s="1590">
        <f t="shared" si="3"/>
        <v>-102.94499999999999</v>
      </c>
      <c r="U8" s="1590">
        <f t="shared" si="3"/>
        <v>-102.94499999999999</v>
      </c>
      <c r="V8" s="1590">
        <f t="shared" si="3"/>
        <v>-102.94499999999999</v>
      </c>
      <c r="W8" s="1590">
        <f t="shared" si="3"/>
        <v>-102.94499999999999</v>
      </c>
      <c r="X8" s="1590">
        <f t="shared" si="3"/>
        <v>-102.94499999999999</v>
      </c>
      <c r="Y8" s="1591"/>
      <c r="Z8" s="1591"/>
      <c r="AA8" s="1591"/>
      <c r="AB8" s="1591"/>
      <c r="AC8" s="1591"/>
      <c r="AD8" s="1591"/>
      <c r="AE8" s="1591"/>
      <c r="AF8" s="1591"/>
      <c r="AG8" s="1591"/>
      <c r="AH8" s="1591"/>
      <c r="AI8" s="1591"/>
      <c r="AJ8" s="1591"/>
      <c r="AK8" s="1591"/>
      <c r="AL8" s="1591"/>
      <c r="AM8" s="1591"/>
      <c r="AN8" s="1591"/>
      <c r="AO8" s="1591"/>
      <c r="AP8" s="1591"/>
      <c r="AQ8" s="1591"/>
      <c r="AR8" s="1591"/>
    </row>
    <row r="9" spans="1:46">
      <c r="A9" s="1596" t="s">
        <v>1048</v>
      </c>
      <c r="B9" s="1589">
        <f t="shared" si="1"/>
        <v>-500</v>
      </c>
      <c r="C9" s="1590">
        <v>0</v>
      </c>
      <c r="D9" s="1590">
        <v>0</v>
      </c>
      <c r="E9" s="1590">
        <v>-500</v>
      </c>
      <c r="F9" s="1590">
        <v>0</v>
      </c>
      <c r="G9" s="1590">
        <v>0</v>
      </c>
      <c r="H9" s="1590">
        <v>0</v>
      </c>
      <c r="I9" s="1590">
        <v>0</v>
      </c>
      <c r="J9" s="1590">
        <v>0</v>
      </c>
      <c r="K9" s="1590">
        <v>0</v>
      </c>
      <c r="L9" s="1590">
        <v>0</v>
      </c>
      <c r="M9" s="1590">
        <v>0</v>
      </c>
      <c r="N9" s="1590">
        <v>0</v>
      </c>
      <c r="O9" s="1590">
        <v>0</v>
      </c>
      <c r="P9" s="1590">
        <v>0</v>
      </c>
      <c r="Q9" s="1590">
        <v>0</v>
      </c>
      <c r="R9" s="1590">
        <v>0</v>
      </c>
      <c r="S9" s="1590">
        <v>0</v>
      </c>
      <c r="T9" s="1590">
        <v>0</v>
      </c>
      <c r="U9" s="1590">
        <v>0</v>
      </c>
      <c r="V9" s="1590">
        <v>0</v>
      </c>
      <c r="W9" s="1590">
        <v>0</v>
      </c>
      <c r="X9" s="1590">
        <v>0</v>
      </c>
      <c r="Y9" s="1591"/>
      <c r="Z9" s="1591"/>
      <c r="AA9" s="1591"/>
      <c r="AB9" s="1591"/>
      <c r="AC9" s="1591"/>
      <c r="AD9" s="1591"/>
      <c r="AE9" s="1591"/>
      <c r="AF9" s="1591"/>
      <c r="AG9" s="1591"/>
      <c r="AH9" s="1591"/>
      <c r="AI9" s="1591"/>
      <c r="AJ9" s="1591"/>
      <c r="AK9" s="1591"/>
      <c r="AL9" s="1591"/>
      <c r="AM9" s="1591"/>
      <c r="AN9" s="1591"/>
      <c r="AO9" s="1591"/>
      <c r="AP9" s="1591"/>
      <c r="AQ9" s="1591"/>
      <c r="AR9" s="1591"/>
    </row>
    <row r="10" spans="1:46">
      <c r="A10" s="1596" t="s">
        <v>1201</v>
      </c>
      <c r="B10" s="1589">
        <f t="shared" si="1"/>
        <v>-250</v>
      </c>
      <c r="C10" s="1590">
        <v>0</v>
      </c>
      <c r="D10" s="1590">
        <v>0</v>
      </c>
      <c r="E10" s="1590">
        <v>0</v>
      </c>
      <c r="F10" s="1590">
        <v>0</v>
      </c>
      <c r="G10" s="1590">
        <v>0</v>
      </c>
      <c r="H10" s="1590">
        <v>0</v>
      </c>
      <c r="I10" s="1590">
        <v>0</v>
      </c>
      <c r="J10" s="1590">
        <v>0</v>
      </c>
      <c r="K10" s="1590">
        <v>0</v>
      </c>
      <c r="L10" s="1590">
        <v>0</v>
      </c>
      <c r="M10" s="1590">
        <v>-250</v>
      </c>
      <c r="N10" s="1590">
        <v>0</v>
      </c>
      <c r="O10" s="1590">
        <v>0</v>
      </c>
      <c r="P10" s="1590">
        <v>0</v>
      </c>
      <c r="Q10" s="1590">
        <v>0</v>
      </c>
      <c r="R10" s="1590">
        <v>0</v>
      </c>
      <c r="S10" s="1590">
        <v>0</v>
      </c>
      <c r="T10" s="1590">
        <v>0</v>
      </c>
      <c r="U10" s="1590">
        <v>0</v>
      </c>
      <c r="V10" s="1590">
        <v>0</v>
      </c>
      <c r="W10" s="1590">
        <v>0</v>
      </c>
      <c r="X10" s="1590">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row>
    <row r="11" spans="1:46">
      <c r="A11" s="1596" t="s">
        <v>1202</v>
      </c>
      <c r="B11" s="1589">
        <f t="shared" si="1"/>
        <v>-1000</v>
      </c>
      <c r="C11" s="1590">
        <v>0</v>
      </c>
      <c r="D11" s="1590">
        <v>0</v>
      </c>
      <c r="E11" s="1590">
        <v>0</v>
      </c>
      <c r="F11" s="1590">
        <v>0</v>
      </c>
      <c r="G11" s="1590">
        <v>0</v>
      </c>
      <c r="H11" s="1590">
        <v>0</v>
      </c>
      <c r="I11" s="1590">
        <v>0</v>
      </c>
      <c r="J11" s="1590">
        <v>0</v>
      </c>
      <c r="K11" s="1590">
        <v>0</v>
      </c>
      <c r="L11" s="1590">
        <v>0</v>
      </c>
      <c r="M11" s="1590">
        <v>0</v>
      </c>
      <c r="N11" s="1590">
        <v>0</v>
      </c>
      <c r="O11" s="1590">
        <v>0</v>
      </c>
      <c r="P11" s="1590">
        <v>0</v>
      </c>
      <c r="Q11" s="1590">
        <v>0</v>
      </c>
      <c r="R11" s="1590">
        <v>0</v>
      </c>
      <c r="S11" s="1590">
        <v>0</v>
      </c>
      <c r="T11" s="1590">
        <v>0</v>
      </c>
      <c r="U11" s="1590">
        <v>0</v>
      </c>
      <c r="V11" s="1590">
        <v>0</v>
      </c>
      <c r="W11" s="1590">
        <v>-1000</v>
      </c>
      <c r="X11" s="1590">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row>
    <row r="12" spans="1:46">
      <c r="A12" s="1596" t="s">
        <v>1050</v>
      </c>
      <c r="B12" s="1589">
        <f t="shared" si="1"/>
        <v>-1900</v>
      </c>
      <c r="C12" s="1590">
        <v>0</v>
      </c>
      <c r="D12" s="1590">
        <v>0</v>
      </c>
      <c r="E12" s="1590">
        <v>0</v>
      </c>
      <c r="F12" s="1590">
        <v>-100</v>
      </c>
      <c r="G12" s="1590">
        <v>-100</v>
      </c>
      <c r="H12" s="1590">
        <v>-100</v>
      </c>
      <c r="I12" s="1590">
        <v>-100</v>
      </c>
      <c r="J12" s="1590">
        <v>-100</v>
      </c>
      <c r="K12" s="1590">
        <v>-100</v>
      </c>
      <c r="L12" s="1590">
        <v>-100</v>
      </c>
      <c r="M12" s="1590">
        <v>-100</v>
      </c>
      <c r="N12" s="1590">
        <v>-100</v>
      </c>
      <c r="O12" s="1590">
        <v>-100</v>
      </c>
      <c r="P12" s="1590">
        <v>-100</v>
      </c>
      <c r="Q12" s="1590">
        <v>-100</v>
      </c>
      <c r="R12" s="1590">
        <v>-100</v>
      </c>
      <c r="S12" s="1590">
        <v>-100</v>
      </c>
      <c r="T12" s="1590">
        <v>-100</v>
      </c>
      <c r="U12" s="1590">
        <v>-100</v>
      </c>
      <c r="V12" s="1590">
        <v>-100</v>
      </c>
      <c r="W12" s="1590">
        <v>-100</v>
      </c>
      <c r="X12" s="1590">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row>
    <row r="13" spans="1:46">
      <c r="A13" s="1596" t="s">
        <v>1264</v>
      </c>
      <c r="B13" s="1589">
        <f t="shared" si="1"/>
        <v>-4000</v>
      </c>
      <c r="C13" s="1590">
        <v>0</v>
      </c>
      <c r="D13" s="1590">
        <v>0</v>
      </c>
      <c r="E13" s="1590">
        <v>0</v>
      </c>
      <c r="F13" s="1590">
        <v>0</v>
      </c>
      <c r="G13" s="1590">
        <v>0</v>
      </c>
      <c r="H13" s="1590">
        <v>0</v>
      </c>
      <c r="I13" s="1590">
        <v>0</v>
      </c>
      <c r="J13" s="1590">
        <v>0</v>
      </c>
      <c r="K13" s="1590">
        <v>0</v>
      </c>
      <c r="L13" s="1590">
        <v>0</v>
      </c>
      <c r="M13" s="1590">
        <v>0</v>
      </c>
      <c r="N13" s="1590">
        <v>0</v>
      </c>
      <c r="O13" s="1590">
        <v>0</v>
      </c>
      <c r="P13" s="1590">
        <v>-4000</v>
      </c>
      <c r="Q13" s="1590">
        <v>0</v>
      </c>
      <c r="R13" s="1590">
        <v>0</v>
      </c>
      <c r="S13" s="1590">
        <v>0</v>
      </c>
      <c r="T13" s="1590">
        <v>0</v>
      </c>
      <c r="U13" s="1590">
        <v>0</v>
      </c>
      <c r="V13" s="1590">
        <v>0</v>
      </c>
      <c r="W13" s="1590">
        <v>0</v>
      </c>
      <c r="X13" s="1590">
        <v>0</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row>
    <row r="14" spans="1:46">
      <c r="A14" s="1804" t="s">
        <v>1255</v>
      </c>
      <c r="B14" s="1784">
        <f t="shared" si="1"/>
        <v>-1800</v>
      </c>
      <c r="C14" s="1805">
        <v>0</v>
      </c>
      <c r="D14" s="1805">
        <v>0</v>
      </c>
      <c r="E14" s="1805">
        <f>-672/COUNT($E$5:$M$5)</f>
        <v>-74.666666666666671</v>
      </c>
      <c r="F14" s="1805">
        <f t="shared" ref="F14:M14" si="4">-672/COUNT($E$5:$M$5)</f>
        <v>-74.666666666666671</v>
      </c>
      <c r="G14" s="1805">
        <f t="shared" si="4"/>
        <v>-74.666666666666671</v>
      </c>
      <c r="H14" s="1805">
        <f t="shared" si="4"/>
        <v>-74.666666666666671</v>
      </c>
      <c r="I14" s="1805">
        <f t="shared" si="4"/>
        <v>-74.666666666666671</v>
      </c>
      <c r="J14" s="1805">
        <f t="shared" si="4"/>
        <v>-74.666666666666671</v>
      </c>
      <c r="K14" s="1805">
        <f t="shared" si="4"/>
        <v>-74.666666666666671</v>
      </c>
      <c r="L14" s="1805">
        <f t="shared" si="4"/>
        <v>-74.666666666666671</v>
      </c>
      <c r="M14" s="1805">
        <f t="shared" si="4"/>
        <v>-74.666666666666671</v>
      </c>
      <c r="N14" s="1805">
        <f>-228</f>
        <v>-228</v>
      </c>
      <c r="O14" s="1805">
        <v>-98</v>
      </c>
      <c r="P14" s="1805">
        <v>-131</v>
      </c>
      <c r="Q14" s="1805">
        <f>(-1800-SUM($E$14:$P$14))/COUNT($Q$5:$X$5)</f>
        <v>-83.875</v>
      </c>
      <c r="R14" s="1805">
        <f t="shared" ref="R14:X14" si="5">(-1800-SUM($E$14:$P$14))/COUNT($Q$5:$X$5)</f>
        <v>-83.875</v>
      </c>
      <c r="S14" s="1805">
        <f t="shared" si="5"/>
        <v>-83.875</v>
      </c>
      <c r="T14" s="1805">
        <f t="shared" si="5"/>
        <v>-83.875</v>
      </c>
      <c r="U14" s="1805">
        <f t="shared" si="5"/>
        <v>-83.875</v>
      </c>
      <c r="V14" s="1805">
        <f t="shared" si="5"/>
        <v>-83.875</v>
      </c>
      <c r="W14" s="1805">
        <f t="shared" si="5"/>
        <v>-83.875</v>
      </c>
      <c r="X14" s="1805">
        <f t="shared" si="5"/>
        <v>-83.875</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row>
    <row r="15" spans="1:46">
      <c r="A15" s="1804" t="s">
        <v>1256</v>
      </c>
      <c r="B15" s="1784">
        <f t="shared" si="1"/>
        <v>-830</v>
      </c>
      <c r="C15" s="1805">
        <v>0</v>
      </c>
      <c r="D15" s="1805">
        <v>0</v>
      </c>
      <c r="E15" s="1805">
        <f>-427/COUNT($E$5:$M$5)</f>
        <v>-47.444444444444443</v>
      </c>
      <c r="F15" s="1805">
        <f t="shared" ref="F15:M15" si="6">-427/COUNT($E$5:$M$5)</f>
        <v>-47.444444444444443</v>
      </c>
      <c r="G15" s="1805">
        <f t="shared" si="6"/>
        <v>-47.444444444444443</v>
      </c>
      <c r="H15" s="1805">
        <f t="shared" si="6"/>
        <v>-47.444444444444443</v>
      </c>
      <c r="I15" s="1805">
        <f t="shared" si="6"/>
        <v>-47.444444444444443</v>
      </c>
      <c r="J15" s="1805">
        <f t="shared" si="6"/>
        <v>-47.444444444444443</v>
      </c>
      <c r="K15" s="1805">
        <f t="shared" si="6"/>
        <v>-47.444444444444443</v>
      </c>
      <c r="L15" s="1805">
        <f t="shared" si="6"/>
        <v>-47.444444444444443</v>
      </c>
      <c r="M15" s="1805">
        <f t="shared" si="6"/>
        <v>-47.444444444444443</v>
      </c>
      <c r="N15" s="1805">
        <v>-27</v>
      </c>
      <c r="O15" s="1805">
        <v>-55</v>
      </c>
      <c r="P15" s="1805">
        <v>-198</v>
      </c>
      <c r="Q15" s="1805">
        <f>(-830-SUM($E$15:$P$15))/COUNT($Q$5:$X$5)</f>
        <v>-15.375</v>
      </c>
      <c r="R15" s="1805">
        <f t="shared" ref="R15:X15" si="7">(-830-SUM($E$15:$P$15))/COUNT($Q$5:$X$5)</f>
        <v>-15.375</v>
      </c>
      <c r="S15" s="1805">
        <f t="shared" si="7"/>
        <v>-15.375</v>
      </c>
      <c r="T15" s="1805">
        <f t="shared" si="7"/>
        <v>-15.375</v>
      </c>
      <c r="U15" s="1805">
        <f t="shared" si="7"/>
        <v>-15.375</v>
      </c>
      <c r="V15" s="1805">
        <f t="shared" si="7"/>
        <v>-15.375</v>
      </c>
      <c r="W15" s="1805">
        <f t="shared" si="7"/>
        <v>-15.375</v>
      </c>
      <c r="X15" s="1805">
        <f t="shared" si="7"/>
        <v>-15.375</v>
      </c>
      <c r="Y15" s="1591"/>
      <c r="Z15" s="1591"/>
      <c r="AA15" s="1591"/>
      <c r="AB15" s="1591"/>
      <c r="AC15" s="1591"/>
      <c r="AD15" s="1591"/>
      <c r="AE15" s="1591"/>
      <c r="AF15" s="1591"/>
      <c r="AG15" s="1591"/>
      <c r="AH15" s="1591"/>
      <c r="AI15" s="1591"/>
      <c r="AJ15" s="1591"/>
      <c r="AK15" s="1591"/>
      <c r="AL15" s="1591"/>
      <c r="AM15" s="1591"/>
      <c r="AN15" s="1591"/>
      <c r="AO15" s="1591"/>
      <c r="AP15" s="1591"/>
      <c r="AQ15" s="1591"/>
      <c r="AR15" s="1591"/>
    </row>
    <row r="16" spans="1:46">
      <c r="A16" s="1596" t="s">
        <v>1091</v>
      </c>
      <c r="B16" s="1589">
        <f t="shared" si="1"/>
        <v>-100</v>
      </c>
      <c r="C16" s="1590">
        <v>0</v>
      </c>
      <c r="D16" s="1590">
        <v>0</v>
      </c>
      <c r="E16" s="1590">
        <v>0</v>
      </c>
      <c r="F16" s="1590">
        <v>0</v>
      </c>
      <c r="G16" s="1590">
        <v>0</v>
      </c>
      <c r="H16" s="1590">
        <v>0</v>
      </c>
      <c r="I16" s="1590">
        <v>0</v>
      </c>
      <c r="J16" s="1590">
        <v>0</v>
      </c>
      <c r="K16" s="1590">
        <v>0</v>
      </c>
      <c r="L16" s="1590">
        <v>0</v>
      </c>
      <c r="M16" s="1590">
        <v>0</v>
      </c>
      <c r="N16" s="1590">
        <v>0</v>
      </c>
      <c r="O16" s="1590">
        <v>0</v>
      </c>
      <c r="P16" s="1590">
        <v>0</v>
      </c>
      <c r="Q16" s="1590">
        <v>0</v>
      </c>
      <c r="R16" s="1590">
        <v>0</v>
      </c>
      <c r="S16" s="1590">
        <v>-100</v>
      </c>
      <c r="T16" s="1590">
        <v>0</v>
      </c>
      <c r="U16" s="1590">
        <v>0</v>
      </c>
      <c r="V16" s="1590">
        <v>0</v>
      </c>
      <c r="W16" s="1590">
        <v>0</v>
      </c>
      <c r="X16" s="1590">
        <v>0</v>
      </c>
      <c r="Y16" s="1591"/>
      <c r="Z16" s="1591"/>
      <c r="AA16" s="1591"/>
      <c r="AB16" s="1591"/>
      <c r="AC16" s="1591"/>
      <c r="AD16" s="1591"/>
      <c r="AE16" s="1591"/>
      <c r="AF16" s="1591"/>
      <c r="AG16" s="1591"/>
      <c r="AH16" s="1591"/>
      <c r="AI16" s="1591"/>
      <c r="AJ16" s="1591"/>
      <c r="AK16" s="1591"/>
      <c r="AL16" s="1591"/>
      <c r="AM16" s="1591"/>
      <c r="AN16" s="1591"/>
      <c r="AO16" s="1591"/>
      <c r="AP16" s="1591"/>
      <c r="AQ16" s="1591"/>
      <c r="AR16" s="1591"/>
    </row>
    <row r="17" spans="1:44">
      <c r="A17" s="1596" t="s">
        <v>1068</v>
      </c>
      <c r="B17" s="1589">
        <f t="shared" si="1"/>
        <v>-1999.9999999999995</v>
      </c>
      <c r="C17" s="1590">
        <v>0</v>
      </c>
      <c r="D17" s="1590">
        <f>-294/COUNT($D$5:$M$5)</f>
        <v>-29.4</v>
      </c>
      <c r="E17" s="1590">
        <f t="shared" ref="E17:M17" si="8">-294/COUNT($D$5:$M$5)</f>
        <v>-29.4</v>
      </c>
      <c r="F17" s="1590">
        <f t="shared" si="8"/>
        <v>-29.4</v>
      </c>
      <c r="G17" s="1590">
        <f t="shared" si="8"/>
        <v>-29.4</v>
      </c>
      <c r="H17" s="1590">
        <f t="shared" si="8"/>
        <v>-29.4</v>
      </c>
      <c r="I17" s="1590">
        <f t="shared" si="8"/>
        <v>-29.4</v>
      </c>
      <c r="J17" s="1590">
        <f t="shared" si="8"/>
        <v>-29.4</v>
      </c>
      <c r="K17" s="1590">
        <f t="shared" si="8"/>
        <v>-29.4</v>
      </c>
      <c r="L17" s="1590">
        <f t="shared" si="8"/>
        <v>-29.4</v>
      </c>
      <c r="M17" s="1590">
        <f t="shared" si="8"/>
        <v>-29.4</v>
      </c>
      <c r="N17" s="1590">
        <f t="shared" ref="N17:X17" si="9">(-2000-SUM($D$17:$M$17))/COUNT($N$5:$X$5)</f>
        <v>-155.09090909090909</v>
      </c>
      <c r="O17" s="1590">
        <f t="shared" si="9"/>
        <v>-155.09090909090909</v>
      </c>
      <c r="P17" s="1590">
        <f t="shared" si="9"/>
        <v>-155.09090909090909</v>
      </c>
      <c r="Q17" s="1590">
        <f t="shared" si="9"/>
        <v>-155.09090909090909</v>
      </c>
      <c r="R17" s="1590">
        <f t="shared" si="9"/>
        <v>-155.09090909090909</v>
      </c>
      <c r="S17" s="1590">
        <f t="shared" si="9"/>
        <v>-155.09090909090909</v>
      </c>
      <c r="T17" s="1590">
        <f t="shared" si="9"/>
        <v>-155.09090909090909</v>
      </c>
      <c r="U17" s="1590">
        <f t="shared" si="9"/>
        <v>-155.09090909090909</v>
      </c>
      <c r="V17" s="1590">
        <f t="shared" si="9"/>
        <v>-155.09090909090909</v>
      </c>
      <c r="W17" s="1590">
        <f t="shared" si="9"/>
        <v>-155.09090909090909</v>
      </c>
      <c r="X17" s="1590">
        <f t="shared" si="9"/>
        <v>-155.09090909090909</v>
      </c>
      <c r="Y17" s="1591"/>
      <c r="Z17" s="1591"/>
      <c r="AA17" s="1591"/>
      <c r="AB17" s="1591"/>
      <c r="AC17" s="1591"/>
      <c r="AD17" s="1591"/>
      <c r="AE17" s="1591"/>
      <c r="AF17" s="1591"/>
      <c r="AG17" s="1591"/>
      <c r="AH17" s="1591"/>
      <c r="AI17" s="1591"/>
      <c r="AJ17" s="1591"/>
      <c r="AK17" s="1591"/>
      <c r="AL17" s="1591"/>
      <c r="AM17" s="1591"/>
      <c r="AN17" s="1591"/>
      <c r="AO17" s="1591"/>
      <c r="AP17" s="1591"/>
      <c r="AQ17" s="1591"/>
      <c r="AR17" s="1591"/>
    </row>
    <row r="18" spans="1:44">
      <c r="A18" s="1596" t="s">
        <v>1052</v>
      </c>
      <c r="B18" s="1589">
        <f t="shared" si="1"/>
        <v>-567</v>
      </c>
      <c r="C18" s="1590">
        <v>0</v>
      </c>
      <c r="D18" s="1590">
        <v>0</v>
      </c>
      <c r="E18" s="1590">
        <v>0</v>
      </c>
      <c r="F18" s="1590">
        <v>0</v>
      </c>
      <c r="G18" s="1590">
        <v>0</v>
      </c>
      <c r="H18" s="1590">
        <v>0</v>
      </c>
      <c r="I18" s="1590">
        <v>0</v>
      </c>
      <c r="J18" s="1590">
        <v>0</v>
      </c>
      <c r="K18" s="1590">
        <v>0</v>
      </c>
      <c r="L18" s="1590">
        <v>0</v>
      </c>
      <c r="M18" s="1590">
        <v>0</v>
      </c>
      <c r="N18" s="1590">
        <f>-567/COUNT($N$5:$X$5)</f>
        <v>-51.545454545454547</v>
      </c>
      <c r="O18" s="1590">
        <f t="shared" ref="O18:X18" si="10">-567/COUNT($N$5:$X$5)</f>
        <v>-51.545454545454547</v>
      </c>
      <c r="P18" s="1590">
        <f t="shared" si="10"/>
        <v>-51.545454545454547</v>
      </c>
      <c r="Q18" s="1590">
        <f t="shared" si="10"/>
        <v>-51.545454545454547</v>
      </c>
      <c r="R18" s="1590">
        <f t="shared" si="10"/>
        <v>-51.545454545454547</v>
      </c>
      <c r="S18" s="1590">
        <f t="shared" si="10"/>
        <v>-51.545454545454547</v>
      </c>
      <c r="T18" s="1590">
        <f t="shared" si="10"/>
        <v>-51.545454545454547</v>
      </c>
      <c r="U18" s="1590">
        <f t="shared" si="10"/>
        <v>-51.545454545454547</v>
      </c>
      <c r="V18" s="1590">
        <f t="shared" si="10"/>
        <v>-51.545454545454547</v>
      </c>
      <c r="W18" s="1590">
        <f t="shared" si="10"/>
        <v>-51.545454545454547</v>
      </c>
      <c r="X18" s="1590">
        <f t="shared" si="10"/>
        <v>-51.545454545454547</v>
      </c>
      <c r="Y18" s="1591"/>
      <c r="Z18" s="1591"/>
      <c r="AA18" s="1591"/>
      <c r="AB18" s="1591"/>
      <c r="AC18" s="1591"/>
      <c r="AD18" s="1591"/>
      <c r="AE18" s="1591"/>
      <c r="AF18" s="1591"/>
      <c r="AG18" s="1591"/>
      <c r="AH18" s="1591"/>
      <c r="AI18" s="1591"/>
      <c r="AJ18" s="1591"/>
      <c r="AK18" s="1591"/>
      <c r="AL18" s="1591"/>
      <c r="AM18" s="1591"/>
      <c r="AN18" s="1591"/>
      <c r="AO18" s="1591"/>
      <c r="AP18" s="1591"/>
      <c r="AQ18" s="1591"/>
      <c r="AR18" s="1591"/>
    </row>
    <row r="19" spans="1:44">
      <c r="A19" s="1596" t="s">
        <v>1272</v>
      </c>
      <c r="B19" s="1589">
        <f t="shared" si="1"/>
        <v>-500</v>
      </c>
      <c r="C19" s="1590">
        <v>0</v>
      </c>
      <c r="D19" s="1590">
        <v>0</v>
      </c>
      <c r="E19" s="1590">
        <v>0</v>
      </c>
      <c r="F19" s="1590">
        <v>0</v>
      </c>
      <c r="G19" s="1590">
        <v>0</v>
      </c>
      <c r="H19" s="1590">
        <v>0</v>
      </c>
      <c r="I19" s="1590">
        <v>0</v>
      </c>
      <c r="J19" s="1590">
        <v>0</v>
      </c>
      <c r="K19" s="1590">
        <v>0</v>
      </c>
      <c r="L19" s="1590">
        <v>0</v>
      </c>
      <c r="M19" s="1590">
        <v>0</v>
      </c>
      <c r="N19" s="1590">
        <v>0</v>
      </c>
      <c r="O19" s="1590">
        <v>0</v>
      </c>
      <c r="P19" s="1590">
        <v>0</v>
      </c>
      <c r="Q19" s="1590">
        <v>0</v>
      </c>
      <c r="R19" s="1590">
        <v>0</v>
      </c>
      <c r="S19" s="1590">
        <v>-500</v>
      </c>
      <c r="T19" s="1590">
        <v>0</v>
      </c>
      <c r="U19" s="1590">
        <v>0</v>
      </c>
      <c r="V19" s="1590">
        <v>0</v>
      </c>
      <c r="W19" s="1590">
        <v>0</v>
      </c>
      <c r="X19" s="1590">
        <v>0</v>
      </c>
      <c r="Y19" s="1591"/>
      <c r="Z19" s="1591"/>
      <c r="AA19" s="1591"/>
      <c r="AB19" s="1591"/>
      <c r="AC19" s="1591"/>
      <c r="AD19" s="1591"/>
      <c r="AE19" s="1591"/>
      <c r="AF19" s="1591"/>
      <c r="AG19" s="1591"/>
      <c r="AH19" s="1591"/>
      <c r="AI19" s="1591"/>
      <c r="AJ19" s="1591"/>
      <c r="AK19" s="1591"/>
      <c r="AL19" s="1591"/>
      <c r="AM19" s="1591"/>
      <c r="AN19" s="1591"/>
      <c r="AO19" s="1591"/>
      <c r="AP19" s="1591"/>
      <c r="AQ19" s="1591"/>
      <c r="AR19" s="1591"/>
    </row>
    <row r="20" spans="1:44">
      <c r="A20" s="1596" t="s">
        <v>1053</v>
      </c>
      <c r="B20" s="1589">
        <f t="shared" si="1"/>
        <v>-500</v>
      </c>
      <c r="C20" s="1590">
        <v>0</v>
      </c>
      <c r="D20" s="1590">
        <f>-188/COUNT($D$5:$M$5)</f>
        <v>-18.8</v>
      </c>
      <c r="E20" s="1590">
        <f t="shared" ref="E20:M20" si="11">-188/COUNT($D$5:$M$5)</f>
        <v>-18.8</v>
      </c>
      <c r="F20" s="1590">
        <f t="shared" si="11"/>
        <v>-18.8</v>
      </c>
      <c r="G20" s="1590">
        <f t="shared" si="11"/>
        <v>-18.8</v>
      </c>
      <c r="H20" s="1590">
        <f t="shared" si="11"/>
        <v>-18.8</v>
      </c>
      <c r="I20" s="1590">
        <f t="shared" si="11"/>
        <v>-18.8</v>
      </c>
      <c r="J20" s="1590">
        <f t="shared" si="11"/>
        <v>-18.8</v>
      </c>
      <c r="K20" s="1590">
        <f t="shared" si="11"/>
        <v>-18.8</v>
      </c>
      <c r="L20" s="1590">
        <f t="shared" si="11"/>
        <v>-18.8</v>
      </c>
      <c r="M20" s="1590">
        <f t="shared" si="11"/>
        <v>-18.8</v>
      </c>
      <c r="N20" s="1590">
        <f>-16-8-5</f>
        <v>-29</v>
      </c>
      <c r="O20" s="1590">
        <f>-2-75-10-17-1</f>
        <v>-105</v>
      </c>
      <c r="P20" s="1590">
        <f>-2-11-16-2-3</f>
        <v>-34</v>
      </c>
      <c r="Q20" s="1590">
        <f>(-500-SUM($D$20:$P$20))/COUNT($Q$5:$X$5)</f>
        <v>-18</v>
      </c>
      <c r="R20" s="1590">
        <f t="shared" ref="R20:X20" si="12">(-500-SUM($D$20:$P$20))/COUNT($Q$5:$X$5)</f>
        <v>-18</v>
      </c>
      <c r="S20" s="1590">
        <f t="shared" si="12"/>
        <v>-18</v>
      </c>
      <c r="T20" s="1590">
        <f t="shared" si="12"/>
        <v>-18</v>
      </c>
      <c r="U20" s="1590">
        <f t="shared" si="12"/>
        <v>-18</v>
      </c>
      <c r="V20" s="1590">
        <f t="shared" si="12"/>
        <v>-18</v>
      </c>
      <c r="W20" s="1590">
        <f t="shared" si="12"/>
        <v>-18</v>
      </c>
      <c r="X20" s="1590">
        <f t="shared" si="12"/>
        <v>-18</v>
      </c>
      <c r="Y20" s="1591"/>
      <c r="Z20" s="1591"/>
      <c r="AA20" s="1591"/>
      <c r="AB20" s="1591"/>
      <c r="AC20" s="1591"/>
      <c r="AD20" s="1591"/>
      <c r="AE20" s="1591"/>
      <c r="AF20" s="1591"/>
      <c r="AG20" s="1591"/>
      <c r="AH20" s="1591"/>
      <c r="AI20" s="1591"/>
      <c r="AJ20" s="1591"/>
      <c r="AK20" s="1591"/>
      <c r="AL20" s="1591"/>
      <c r="AM20" s="1591"/>
      <c r="AN20" s="1591"/>
      <c r="AO20" s="1591"/>
      <c r="AP20" s="1591"/>
      <c r="AQ20" s="1591"/>
      <c r="AR20" s="1591"/>
    </row>
    <row r="21" spans="1:44">
      <c r="A21" s="1599" t="s">
        <v>1054</v>
      </c>
      <c r="B21" s="1592">
        <f t="shared" si="1"/>
        <v>-5000</v>
      </c>
      <c r="C21" s="1865">
        <v>0</v>
      </c>
      <c r="D21" s="1866">
        <v>0</v>
      </c>
      <c r="E21" s="1866">
        <v>0</v>
      </c>
      <c r="F21" s="1866">
        <v>0</v>
      </c>
      <c r="G21" s="1866">
        <v>0</v>
      </c>
      <c r="H21" s="1866">
        <v>0</v>
      </c>
      <c r="I21" s="1866">
        <v>0</v>
      </c>
      <c r="J21" s="1866">
        <v>0</v>
      </c>
      <c r="K21" s="1866">
        <v>0</v>
      </c>
      <c r="L21" s="1866">
        <v>0</v>
      </c>
      <c r="M21" s="1866">
        <v>0</v>
      </c>
      <c r="N21" s="1866">
        <v>0</v>
      </c>
      <c r="O21" s="1866">
        <v>0</v>
      </c>
      <c r="P21" s="1866">
        <v>0</v>
      </c>
      <c r="Q21" s="1866">
        <f>-5000/COUNT($Q$5:$X$5)</f>
        <v>-625</v>
      </c>
      <c r="R21" s="1866">
        <f t="shared" ref="R21:X21" si="13">-5000/COUNT($Q$5:$X$5)</f>
        <v>-625</v>
      </c>
      <c r="S21" s="1866">
        <f t="shared" si="13"/>
        <v>-625</v>
      </c>
      <c r="T21" s="1866">
        <f t="shared" si="13"/>
        <v>-625</v>
      </c>
      <c r="U21" s="1866">
        <f t="shared" si="13"/>
        <v>-625</v>
      </c>
      <c r="V21" s="1866">
        <f t="shared" si="13"/>
        <v>-625</v>
      </c>
      <c r="W21" s="1866">
        <f t="shared" si="13"/>
        <v>-625</v>
      </c>
      <c r="X21" s="1866">
        <f t="shared" si="13"/>
        <v>-625</v>
      </c>
      <c r="Y21" s="1591"/>
      <c r="Z21" s="1591"/>
      <c r="AA21" s="1591"/>
      <c r="AB21" s="1591"/>
      <c r="AC21" s="1591"/>
      <c r="AD21" s="1591"/>
      <c r="AE21" s="1591"/>
      <c r="AF21" s="1591"/>
      <c r="AG21" s="1591"/>
      <c r="AH21" s="1591"/>
      <c r="AI21" s="1591"/>
      <c r="AJ21" s="1591"/>
      <c r="AK21" s="1591"/>
      <c r="AL21" s="1591"/>
      <c r="AM21" s="1591"/>
      <c r="AN21" s="1591"/>
      <c r="AO21" s="1591"/>
      <c r="AP21" s="1591"/>
      <c r="AQ21" s="1591"/>
      <c r="AR21" s="1591"/>
    </row>
    <row r="22" spans="1:44">
      <c r="A22" s="1554" t="s">
        <v>1099</v>
      </c>
      <c r="B22" s="1589">
        <f>SUM(C22:X22)</f>
        <v>-29847</v>
      </c>
      <c r="C22" s="1594">
        <f>SUM(C7:C21)</f>
        <v>0</v>
      </c>
      <c r="D22" s="1594">
        <f t="shared" ref="D22:V22" si="14">SUM(D7:D21)</f>
        <v>-48.2</v>
      </c>
      <c r="E22" s="1594">
        <f t="shared" si="14"/>
        <v>-676.02666666666664</v>
      </c>
      <c r="F22" s="1594">
        <f t="shared" si="14"/>
        <v>-276.02666666666664</v>
      </c>
      <c r="G22" s="1594">
        <f t="shared" si="14"/>
        <v>-276.02666666666664</v>
      </c>
      <c r="H22" s="1594">
        <f t="shared" si="14"/>
        <v>-276.02666666666664</v>
      </c>
      <c r="I22" s="1594">
        <f t="shared" si="14"/>
        <v>-276.02666666666664</v>
      </c>
      <c r="J22" s="1594">
        <f t="shared" si="14"/>
        <v>-276.02666666666664</v>
      </c>
      <c r="K22" s="1594">
        <f t="shared" si="14"/>
        <v>-276.02666666666664</v>
      </c>
      <c r="L22" s="1594">
        <f t="shared" si="14"/>
        <v>-276.02666666666664</v>
      </c>
      <c r="M22" s="1594">
        <f t="shared" si="14"/>
        <v>-526.02666666666664</v>
      </c>
      <c r="N22" s="1594">
        <f t="shared" si="14"/>
        <v>-629.63636363636363</v>
      </c>
      <c r="O22" s="1594">
        <f t="shared" si="14"/>
        <v>-595.63636363636374</v>
      </c>
      <c r="P22" s="1594">
        <f t="shared" si="14"/>
        <v>-4724.636363636364</v>
      </c>
      <c r="Q22" s="1594">
        <f t="shared" si="14"/>
        <v>-4151.8313636363637</v>
      </c>
      <c r="R22" s="1594">
        <f t="shared" si="14"/>
        <v>-1151.8313636363637</v>
      </c>
      <c r="S22" s="1594">
        <f t="shared" si="14"/>
        <v>-3351.8313636363637</v>
      </c>
      <c r="T22" s="1594">
        <f t="shared" si="14"/>
        <v>-1151.8313636363637</v>
      </c>
      <c r="U22" s="1594">
        <f t="shared" si="14"/>
        <v>-1151.8313636363637</v>
      </c>
      <c r="V22" s="1594">
        <f t="shared" si="14"/>
        <v>-6451.8313636363637</v>
      </c>
      <c r="W22" s="1594">
        <f>SUM(W7:W21)</f>
        <v>-2151.8313636363637</v>
      </c>
      <c r="X22" s="1594">
        <f>SUM(X7:X21)</f>
        <v>-1151.8313636363637</v>
      </c>
      <c r="Y22" s="1651"/>
      <c r="Z22" s="1651"/>
      <c r="AA22" s="1651"/>
      <c r="AB22" s="1651"/>
      <c r="AC22" s="1651"/>
      <c r="AD22" s="1651"/>
      <c r="AE22" s="1651"/>
      <c r="AF22" s="1651"/>
      <c r="AG22" s="1651"/>
      <c r="AH22" s="1651"/>
      <c r="AI22" s="1651"/>
      <c r="AJ22" s="1651"/>
      <c r="AK22" s="1651"/>
      <c r="AL22" s="1651"/>
      <c r="AM22" s="1651"/>
      <c r="AN22" s="1651"/>
      <c r="AO22" s="1651"/>
      <c r="AP22" s="1651"/>
      <c r="AQ22" s="1651"/>
      <c r="AR22" s="1651"/>
    </row>
    <row r="23" spans="1:44">
      <c r="A23" s="1650"/>
      <c r="B23" s="1589"/>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c r="AL23" s="1651"/>
      <c r="AM23" s="1651"/>
      <c r="AN23" s="1651"/>
      <c r="AO23" s="1651"/>
      <c r="AP23" s="1651"/>
      <c r="AQ23" s="1651"/>
      <c r="AR23" s="1651"/>
    </row>
    <row r="24" spans="1:44">
      <c r="A24" s="1652" t="s">
        <v>1109</v>
      </c>
      <c r="B24" s="1589"/>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c r="AL24" s="1651"/>
      <c r="AM24" s="1651"/>
      <c r="AN24" s="1651"/>
      <c r="AO24" s="1651"/>
      <c r="AP24" s="1651"/>
      <c r="AQ24" s="1651"/>
      <c r="AR24" s="1651"/>
    </row>
    <row r="25" spans="1:44">
      <c r="A25" s="1596" t="s">
        <v>1110</v>
      </c>
      <c r="B25" s="1589">
        <f>SUM(C25:X25)</f>
        <v>-29362</v>
      </c>
      <c r="C25" s="1590">
        <v>0</v>
      </c>
      <c r="D25" s="1590">
        <v>0</v>
      </c>
      <c r="E25" s="1590">
        <f>-35/COUNT($E$5:$M$5)</f>
        <v>-3.8888888888888888</v>
      </c>
      <c r="F25" s="1590">
        <f t="shared" ref="F25:M25" si="15">-35/COUNT($E$5:$M$5)</f>
        <v>-3.8888888888888888</v>
      </c>
      <c r="G25" s="1590">
        <f t="shared" si="15"/>
        <v>-3.8888888888888888</v>
      </c>
      <c r="H25" s="1590">
        <f t="shared" si="15"/>
        <v>-3.8888888888888888</v>
      </c>
      <c r="I25" s="1590">
        <f t="shared" si="15"/>
        <v>-3.8888888888888888</v>
      </c>
      <c r="J25" s="1590">
        <f t="shared" si="15"/>
        <v>-3.8888888888888888</v>
      </c>
      <c r="K25" s="1590">
        <f t="shared" si="15"/>
        <v>-3.8888888888888888</v>
      </c>
      <c r="L25" s="1590">
        <f t="shared" si="15"/>
        <v>-3.8888888888888888</v>
      </c>
      <c r="M25" s="1590">
        <f t="shared" si="15"/>
        <v>-3.8888888888888888</v>
      </c>
      <c r="N25" s="1590">
        <v>0</v>
      </c>
      <c r="O25" s="1590">
        <f>-150-203</f>
        <v>-353</v>
      </c>
      <c r="P25" s="1590">
        <f>-3435-120</f>
        <v>-3555</v>
      </c>
      <c r="Q25" s="1590">
        <f>-698-1823</f>
        <v>-2521</v>
      </c>
      <c r="R25" s="1590">
        <f>-698-288-100</f>
        <v>-1086</v>
      </c>
      <c r="S25" s="1590">
        <v>-2070</v>
      </c>
      <c r="T25" s="1590">
        <f>-698-2588</f>
        <v>-3286</v>
      </c>
      <c r="U25" s="1590">
        <v>0</v>
      </c>
      <c r="V25" s="1590">
        <f>-15897-559</f>
        <v>-16456</v>
      </c>
      <c r="W25" s="1590">
        <v>0</v>
      </c>
      <c r="X25" s="1590">
        <v>0</v>
      </c>
      <c r="Y25" s="1651"/>
      <c r="Z25" s="1651"/>
      <c r="AA25" s="1651"/>
      <c r="AB25" s="1651"/>
      <c r="AC25" s="1651"/>
      <c r="AD25" s="1651"/>
      <c r="AE25" s="1651"/>
      <c r="AF25" s="1651"/>
      <c r="AG25" s="1651"/>
      <c r="AH25" s="1651"/>
      <c r="AI25" s="1651"/>
      <c r="AJ25" s="1651"/>
      <c r="AK25" s="1651"/>
      <c r="AL25" s="1651"/>
      <c r="AM25" s="1651"/>
      <c r="AN25" s="1651"/>
      <c r="AO25" s="1651"/>
      <c r="AP25" s="1651"/>
      <c r="AQ25" s="1651"/>
      <c r="AR25" s="1651"/>
    </row>
    <row r="26" spans="1:44">
      <c r="A26" s="1599" t="s">
        <v>1054</v>
      </c>
      <c r="B26" s="1592">
        <f>SUM(C26:X26)</f>
        <v>0</v>
      </c>
      <c r="C26" s="1600">
        <f>0</f>
        <v>0</v>
      </c>
      <c r="D26" s="1600">
        <f>0</f>
        <v>0</v>
      </c>
      <c r="E26" s="1600">
        <f>0</f>
        <v>0</v>
      </c>
      <c r="F26" s="1600">
        <f>0</f>
        <v>0</v>
      </c>
      <c r="G26" s="1600">
        <f>0</f>
        <v>0</v>
      </c>
      <c r="H26" s="1600">
        <f>0</f>
        <v>0</v>
      </c>
      <c r="I26" s="1600">
        <f>0</f>
        <v>0</v>
      </c>
      <c r="J26" s="1600">
        <f>0</f>
        <v>0</v>
      </c>
      <c r="K26" s="1600">
        <f>0</f>
        <v>0</v>
      </c>
      <c r="L26" s="1600">
        <f>0</f>
        <v>0</v>
      </c>
      <c r="M26" s="1600">
        <f>0</f>
        <v>0</v>
      </c>
      <c r="N26" s="1600">
        <f>0</f>
        <v>0</v>
      </c>
      <c r="O26" s="1600">
        <f>0</f>
        <v>0</v>
      </c>
      <c r="P26" s="1600">
        <f>0</f>
        <v>0</v>
      </c>
      <c r="Q26" s="1600">
        <f>0</f>
        <v>0</v>
      </c>
      <c r="R26" s="1600">
        <f>0</f>
        <v>0</v>
      </c>
      <c r="S26" s="1600">
        <f>0</f>
        <v>0</v>
      </c>
      <c r="T26" s="1600">
        <f>0</f>
        <v>0</v>
      </c>
      <c r="U26" s="1600">
        <f>0</f>
        <v>0</v>
      </c>
      <c r="V26" s="1600">
        <f>0</f>
        <v>0</v>
      </c>
      <c r="W26" s="1600">
        <f>0</f>
        <v>0</v>
      </c>
      <c r="X26" s="1600">
        <f>0</f>
        <v>0</v>
      </c>
      <c r="Y26" s="1651"/>
      <c r="Z26" s="1651"/>
      <c r="AA26" s="1651"/>
      <c r="AB26" s="1651"/>
      <c r="AC26" s="1651"/>
      <c r="AD26" s="1651"/>
      <c r="AE26" s="1651"/>
      <c r="AF26" s="1651"/>
      <c r="AG26" s="1651"/>
      <c r="AH26" s="1651"/>
      <c r="AI26" s="1651"/>
      <c r="AJ26" s="1651"/>
      <c r="AK26" s="1651"/>
      <c r="AL26" s="1651"/>
      <c r="AM26" s="1651"/>
      <c r="AN26" s="1651"/>
      <c r="AO26" s="1651"/>
      <c r="AP26" s="1651"/>
      <c r="AQ26" s="1651"/>
      <c r="AR26" s="1651"/>
    </row>
    <row r="27" spans="1:44">
      <c r="A27" s="1652" t="s">
        <v>1106</v>
      </c>
      <c r="B27" s="1589">
        <f>SUM(B25:B26)</f>
        <v>-29362</v>
      </c>
      <c r="C27" s="1593">
        <f>SUM(C25:C26)</f>
        <v>0</v>
      </c>
      <c r="D27" s="1593">
        <f t="shared" ref="D27:V27" si="16">SUM(D25:D26)</f>
        <v>0</v>
      </c>
      <c r="E27" s="1593">
        <f t="shared" si="16"/>
        <v>-3.8888888888888888</v>
      </c>
      <c r="F27" s="1593">
        <f t="shared" si="16"/>
        <v>-3.8888888888888888</v>
      </c>
      <c r="G27" s="1593">
        <f t="shared" si="16"/>
        <v>-3.8888888888888888</v>
      </c>
      <c r="H27" s="1593">
        <f t="shared" si="16"/>
        <v>-3.8888888888888888</v>
      </c>
      <c r="I27" s="1593">
        <f t="shared" si="16"/>
        <v>-3.8888888888888888</v>
      </c>
      <c r="J27" s="1593">
        <f t="shared" si="16"/>
        <v>-3.8888888888888888</v>
      </c>
      <c r="K27" s="1593">
        <f t="shared" si="16"/>
        <v>-3.8888888888888888</v>
      </c>
      <c r="L27" s="1593">
        <f t="shared" si="16"/>
        <v>-3.8888888888888888</v>
      </c>
      <c r="M27" s="1593">
        <f t="shared" si="16"/>
        <v>-3.8888888888888888</v>
      </c>
      <c r="N27" s="1593">
        <f t="shared" si="16"/>
        <v>0</v>
      </c>
      <c r="O27" s="1593">
        <f t="shared" si="16"/>
        <v>-353</v>
      </c>
      <c r="P27" s="1593">
        <f t="shared" si="16"/>
        <v>-3555</v>
      </c>
      <c r="Q27" s="1593">
        <f t="shared" si="16"/>
        <v>-2521</v>
      </c>
      <c r="R27" s="1593">
        <f t="shared" si="16"/>
        <v>-1086</v>
      </c>
      <c r="S27" s="1593">
        <f t="shared" si="16"/>
        <v>-2070</v>
      </c>
      <c r="T27" s="1593">
        <f t="shared" si="16"/>
        <v>-3286</v>
      </c>
      <c r="U27" s="1593">
        <f t="shared" si="16"/>
        <v>0</v>
      </c>
      <c r="V27" s="1593">
        <f t="shared" si="16"/>
        <v>-16456</v>
      </c>
      <c r="W27" s="1593">
        <f>SUM(W25:W26)</f>
        <v>0</v>
      </c>
      <c r="X27" s="1593">
        <f>SUM(X25:X26)</f>
        <v>0</v>
      </c>
      <c r="Y27" s="1651"/>
      <c r="Z27" s="1651"/>
      <c r="AA27" s="1651"/>
      <c r="AB27" s="1651"/>
      <c r="AC27" s="1651"/>
      <c r="AD27" s="1651"/>
      <c r="AE27" s="1651"/>
      <c r="AF27" s="1651"/>
      <c r="AG27" s="1651"/>
      <c r="AH27" s="1651"/>
      <c r="AI27" s="1651"/>
      <c r="AJ27" s="1651"/>
      <c r="AK27" s="1651"/>
      <c r="AL27" s="1651"/>
      <c r="AM27" s="1651"/>
      <c r="AN27" s="1651"/>
      <c r="AO27" s="1651"/>
      <c r="AP27" s="1651"/>
      <c r="AQ27" s="1651"/>
      <c r="AR27" s="1651"/>
    </row>
    <row r="28" spans="1:44">
      <c r="A28" s="1650"/>
      <c r="B28" s="1589"/>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c r="AL28" s="1651"/>
      <c r="AM28" s="1651"/>
      <c r="AN28" s="1651"/>
      <c r="AO28" s="1651"/>
      <c r="AP28" s="1651"/>
      <c r="AQ28" s="1651"/>
      <c r="AR28" s="1651"/>
    </row>
    <row r="29" spans="1:44">
      <c r="A29" s="1652" t="s">
        <v>1152</v>
      </c>
      <c r="B29" s="1589">
        <f>X29</f>
        <v>-59209</v>
      </c>
      <c r="C29" s="1593">
        <f>SUM($C$22:C22)+SUM($C$27:C27)</f>
        <v>0</v>
      </c>
      <c r="D29" s="1593">
        <f>SUM($C$22:D22)+SUM($C$27:D27)</f>
        <v>-48.2</v>
      </c>
      <c r="E29" s="1593">
        <f>SUM($C$22:E22)+SUM($C$27:E27)</f>
        <v>-728.1155555555556</v>
      </c>
      <c r="F29" s="1593">
        <f>SUM($C$22:F22)+SUM($C$27:F27)</f>
        <v>-1008.0311111111112</v>
      </c>
      <c r="G29" s="1593">
        <f>SUM($C$22:G22)+SUM($C$27:G27)</f>
        <v>-1287.9466666666667</v>
      </c>
      <c r="H29" s="1593">
        <f>SUM($C$22:H22)+SUM($C$27:H27)</f>
        <v>-1567.8622222222223</v>
      </c>
      <c r="I29" s="1593">
        <f>SUM($C$22:I22)+SUM($C$27:I27)</f>
        <v>-1847.7777777777776</v>
      </c>
      <c r="J29" s="1593">
        <f>SUM($C$22:J22)+SUM($C$27:J27)</f>
        <v>-2127.6933333333332</v>
      </c>
      <c r="K29" s="1593">
        <f>SUM($C$22:K22)+SUM($C$27:K27)</f>
        <v>-2407.6088888888885</v>
      </c>
      <c r="L29" s="1593">
        <f>SUM($C$22:L22)+SUM($C$27:L27)</f>
        <v>-2687.5244444444443</v>
      </c>
      <c r="M29" s="1593">
        <f>SUM($C$22:M22)+SUM($C$27:M27)</f>
        <v>-3217.4399999999996</v>
      </c>
      <c r="N29" s="1593">
        <f>SUM($C$22:N22)+SUM($C$27:N27)</f>
        <v>-3847.0763636363631</v>
      </c>
      <c r="O29" s="1593">
        <f>SUM($C$22:O22)+SUM($C$27:O27)</f>
        <v>-4795.7127272727266</v>
      </c>
      <c r="P29" s="1593">
        <f>SUM($C$22:P22)+SUM($C$27:P27)</f>
        <v>-13075.349090909091</v>
      </c>
      <c r="Q29" s="1593">
        <f>SUM($C$22:Q22)+SUM($C$27:Q27)</f>
        <v>-19748.180454545454</v>
      </c>
      <c r="R29" s="1593">
        <f>SUM($C$22:R22)+SUM($C$27:R27)</f>
        <v>-21986.011818181818</v>
      </c>
      <c r="S29" s="1593">
        <f>SUM($C$22:S22)+SUM($C$27:S27)</f>
        <v>-27407.843181818182</v>
      </c>
      <c r="T29" s="1593">
        <f>SUM($C$22:T22)+SUM($C$27:T27)</f>
        <v>-31845.674545454545</v>
      </c>
      <c r="U29" s="1593">
        <f>SUM($C$22:U22)+SUM($C$27:U27)</f>
        <v>-32997.505909090905</v>
      </c>
      <c r="V29" s="1593">
        <f>SUM($C$22:V22)+SUM($C$27:V27)</f>
        <v>-55905.337272727273</v>
      </c>
      <c r="W29" s="1593">
        <f>SUM($C$22:W22)+SUM($C$27:W27)</f>
        <v>-58057.16863636364</v>
      </c>
      <c r="X29" s="1593">
        <f>SUM($C$22:X22)+SUM($C$27:X27)</f>
        <v>-59209</v>
      </c>
      <c r="Y29" s="1651"/>
      <c r="Z29" s="1651"/>
      <c r="AA29" s="1651"/>
      <c r="AB29" s="1651"/>
      <c r="AC29" s="1651"/>
      <c r="AD29" s="1651"/>
      <c r="AE29" s="1651"/>
      <c r="AF29" s="1651"/>
      <c r="AG29" s="1651"/>
      <c r="AH29" s="1651"/>
      <c r="AI29" s="1651"/>
      <c r="AJ29" s="1651"/>
      <c r="AK29" s="1651"/>
      <c r="AL29" s="1651"/>
      <c r="AM29" s="1651"/>
      <c r="AN29" s="1651"/>
      <c r="AO29" s="1651"/>
      <c r="AP29" s="1651"/>
      <c r="AQ29" s="1651"/>
      <c r="AR29" s="1651"/>
    </row>
    <row r="30" spans="1:44">
      <c r="A30" s="1650"/>
      <c r="B30" s="1589"/>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c r="AL30" s="1651"/>
      <c r="AM30" s="1651"/>
      <c r="AN30" s="1651"/>
      <c r="AO30" s="1651"/>
      <c r="AP30" s="1651"/>
      <c r="AQ30" s="1651"/>
      <c r="AR30" s="1651"/>
    </row>
    <row r="31" spans="1:44">
      <c r="A31" s="1652" t="s">
        <v>1097</v>
      </c>
      <c r="B31" s="1589"/>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c r="AL31" s="1651"/>
      <c r="AM31" s="1651"/>
      <c r="AN31" s="1651"/>
      <c r="AO31" s="1651"/>
      <c r="AP31" s="1651"/>
      <c r="AQ31" s="1651"/>
      <c r="AR31" s="1651"/>
    </row>
    <row r="32" spans="1:44">
      <c r="A32" s="1650" t="s">
        <v>1108</v>
      </c>
      <c r="B32" s="1589">
        <f t="shared" ref="B32:B37" ca="1" si="17">SUM(C32:X32)</f>
        <v>-1912.8632069997707</v>
      </c>
      <c r="C32" s="1651">
        <f ca="1">IF(AND(MONTH(C$5)=MONTH(Assumptions!$C$16),YEAR(C$5)=YEAR(Assumptions!$C$16)),-$C$57,0)</f>
        <v>0</v>
      </c>
      <c r="D32" s="1651">
        <f ca="1">IF(AND(MONTH(D$5)=MONTH(Assumptions!$C$16),YEAR(D$5)=YEAR(Assumptions!$C$16)),-$C$57,0)</f>
        <v>0</v>
      </c>
      <c r="E32" s="1651">
        <f ca="1">IF(AND(MONTH(E$5)=MONTH(Assumptions!$C$16),YEAR(E$5)=YEAR(Assumptions!$C$16)),-$C$57,0)</f>
        <v>0</v>
      </c>
      <c r="F32" s="1651">
        <f ca="1">IF(AND(MONTH(F$5)=MONTH(Assumptions!$C$16),YEAR(F$5)=YEAR(Assumptions!$C$16)),-$C$57,0)</f>
        <v>0</v>
      </c>
      <c r="G32" s="1651">
        <f ca="1">IF(AND(MONTH(G$5)=MONTH(Assumptions!$C$16),YEAR(G$5)=YEAR(Assumptions!$C$16)),-$C$57,0)</f>
        <v>0</v>
      </c>
      <c r="H32" s="1651">
        <f ca="1">IF(AND(MONTH(H$5)=MONTH(Assumptions!$C$16),YEAR(H$5)=YEAR(Assumptions!$C$16)),-$C$57,0)</f>
        <v>0</v>
      </c>
      <c r="I32" s="1651">
        <f ca="1">IF(AND(MONTH(I$5)=MONTH(Assumptions!$C$16),YEAR(I$5)=YEAR(Assumptions!$C$16)),-$C$57,0)</f>
        <v>0</v>
      </c>
      <c r="J32" s="1651">
        <f ca="1">IF(AND(MONTH(J$5)=MONTH(Assumptions!$C$16),YEAR(J$5)=YEAR(Assumptions!$C$16)),-$C$57,0)</f>
        <v>0</v>
      </c>
      <c r="K32" s="1651">
        <f ca="1">IF(AND(MONTH(K$5)=MONTH(Assumptions!$C$16),YEAR(K$5)=YEAR(Assumptions!$C$16)),-$C$57,0)</f>
        <v>0</v>
      </c>
      <c r="L32" s="1651">
        <f ca="1">IF(AND(MONTH(L$5)=MONTH(Assumptions!$C$16),YEAR(L$5)=YEAR(Assumptions!$C$16)),-$C$57,0)</f>
        <v>0</v>
      </c>
      <c r="M32" s="1651">
        <f ca="1">IF(AND(MONTH(M$5)=MONTH(Assumptions!$C$16),YEAR(M$5)=YEAR(Assumptions!$C$16)),-$C$57,0)</f>
        <v>0</v>
      </c>
      <c r="N32" s="1651">
        <f ca="1">IF(AND(MONTH(N$5)=MONTH(Assumptions!$C$16),YEAR(N$5)=YEAR(Assumptions!$C$16)),-$C$57,0)</f>
        <v>0</v>
      </c>
      <c r="O32" s="1651">
        <f ca="1">IF(AND(MONTH(O$5)=MONTH(Assumptions!$C$16),YEAR(O$5)=YEAR(Assumptions!$C$16)),-$C$57,0)</f>
        <v>0</v>
      </c>
      <c r="P32" s="1651">
        <f ca="1">IF(AND(MONTH(P$5)=MONTH(Assumptions!$C$16),YEAR(P$5)=YEAR(Assumptions!$C$16)),-$C$57,0)</f>
        <v>0</v>
      </c>
      <c r="Q32" s="1651">
        <f ca="1">IF(AND(MONTH(Q$5)=MONTH(Assumptions!$C$16),YEAR(Q$5)=YEAR(Assumptions!$C$16)),-$C$57,0)</f>
        <v>0</v>
      </c>
      <c r="R32" s="1651">
        <f ca="1">IF(AND(MONTH(R$5)=MONTH(Assumptions!$C$16),YEAR(R$5)=YEAR(Assumptions!$C$16)),-$C$57,0)</f>
        <v>0</v>
      </c>
      <c r="S32" s="1651">
        <f ca="1">IF(AND(MONTH(S$5)=MONTH(Assumptions!$C$16),YEAR(S$5)=YEAR(Assumptions!$C$16)),-$C$57,0)</f>
        <v>0</v>
      </c>
      <c r="T32" s="1651">
        <f ca="1">IF(AND(MONTH(T$5)=MONTH(Assumptions!$C$16),YEAR(T$5)=YEAR(Assumptions!$C$16)),-$C$57,0)</f>
        <v>0</v>
      </c>
      <c r="U32" s="1651">
        <f ca="1">IF(AND(MONTH(U$5)=MONTH(Assumptions!$C$16),YEAR(U$5)=YEAR(Assumptions!$C$16)),-$C$57,0)</f>
        <v>0</v>
      </c>
      <c r="V32" s="1651">
        <f ca="1">IF(AND(MONTH(V$5)=MONTH(Assumptions!$C$16),YEAR(V$5)=YEAR(Assumptions!$C$16)),-$C$57,0)</f>
        <v>0</v>
      </c>
      <c r="W32" s="1651">
        <f ca="1">IF(AND(MONTH(W$5)=MONTH(Assumptions!$C$16),YEAR(W$5)=YEAR(Assumptions!$C$16)),-$C$57,0)</f>
        <v>0</v>
      </c>
      <c r="X32" s="1651">
        <f ca="1">IF(AND(MONTH(X$5)=MONTH(Assumptions!$C$16),YEAR(X$5)=YEAR(Assumptions!$C$16)),-$C$57,0)</f>
        <v>-1912.8632069997707</v>
      </c>
      <c r="Y32" s="1651"/>
      <c r="Z32" s="1651"/>
      <c r="AA32" s="1651"/>
      <c r="AB32" s="1651"/>
      <c r="AC32" s="1651"/>
      <c r="AD32" s="1651"/>
      <c r="AE32" s="1651"/>
      <c r="AF32" s="1651"/>
      <c r="AG32" s="1651"/>
      <c r="AH32" s="1651"/>
      <c r="AI32" s="1651"/>
      <c r="AJ32" s="1651"/>
      <c r="AK32" s="1651"/>
      <c r="AL32" s="1651"/>
      <c r="AM32" s="1651"/>
      <c r="AN32" s="1651"/>
      <c r="AO32" s="1651"/>
      <c r="AP32" s="1651"/>
      <c r="AQ32" s="1651"/>
      <c r="AR32" s="1651"/>
    </row>
    <row r="33" spans="1:46">
      <c r="A33" s="1650" t="s">
        <v>1142</v>
      </c>
      <c r="B33" s="1589">
        <f t="shared" si="17"/>
        <v>-1000</v>
      </c>
      <c r="C33" s="1651">
        <f>IF(AND(MONTH(C$5)=MONTH(Assumptions!$C$16),YEAR(C$5)=YEAR(Assumptions!$C$16)),-Assumptions!$H$32,0)</f>
        <v>0</v>
      </c>
      <c r="D33" s="1651">
        <f>IF(AND(MONTH(D$5)=MONTH(Assumptions!$C$16),YEAR(D$5)=YEAR(Assumptions!$C$16)),-Assumptions!$H$32,0)</f>
        <v>0</v>
      </c>
      <c r="E33" s="1651">
        <f>IF(AND(MONTH(E$5)=MONTH(Assumptions!$C$16),YEAR(E$5)=YEAR(Assumptions!$C$16)),-Assumptions!$H$32,0)</f>
        <v>0</v>
      </c>
      <c r="F33" s="1651">
        <f>IF(AND(MONTH(F$5)=MONTH(Assumptions!$C$16),YEAR(F$5)=YEAR(Assumptions!$C$16)),-Assumptions!$H$32,0)</f>
        <v>0</v>
      </c>
      <c r="G33" s="1651">
        <f>IF(AND(MONTH(G$5)=MONTH(Assumptions!$C$16),YEAR(G$5)=YEAR(Assumptions!$C$16)),-Assumptions!$H$32,0)</f>
        <v>0</v>
      </c>
      <c r="H33" s="1651">
        <f>IF(AND(MONTH(H$5)=MONTH(Assumptions!$C$16),YEAR(H$5)=YEAR(Assumptions!$C$16)),-Assumptions!$H$32,0)</f>
        <v>0</v>
      </c>
      <c r="I33" s="1651">
        <f>IF(AND(MONTH(I$5)=MONTH(Assumptions!$C$16),YEAR(I$5)=YEAR(Assumptions!$C$16)),-Assumptions!$H$32,0)</f>
        <v>0</v>
      </c>
      <c r="J33" s="1651">
        <f>IF(AND(MONTH(J$5)=MONTH(Assumptions!$C$16),YEAR(J$5)=YEAR(Assumptions!$C$16)),-Assumptions!$H$32,0)</f>
        <v>0</v>
      </c>
      <c r="K33" s="1651">
        <f>IF(AND(MONTH(K$5)=MONTH(Assumptions!$C$16),YEAR(K$5)=YEAR(Assumptions!$C$16)),-Assumptions!$H$32,0)</f>
        <v>0</v>
      </c>
      <c r="L33" s="1651">
        <f>IF(AND(MONTH(L$5)=MONTH(Assumptions!$C$16),YEAR(L$5)=YEAR(Assumptions!$C$16)),-Assumptions!$H$32,0)</f>
        <v>0</v>
      </c>
      <c r="M33" s="1651">
        <f>IF(AND(MONTH(M$5)=MONTH(Assumptions!$C$16),YEAR(M$5)=YEAR(Assumptions!$C$16)),-Assumptions!$H$32,0)</f>
        <v>0</v>
      </c>
      <c r="N33" s="1651">
        <f>IF(AND(MONTH(N$5)=MONTH(Assumptions!$C$16),YEAR(N$5)=YEAR(Assumptions!$C$16)),-Assumptions!$H$32,0)</f>
        <v>0</v>
      </c>
      <c r="O33" s="1651">
        <f>IF(AND(MONTH(O$5)=MONTH(Assumptions!$C$16),YEAR(O$5)=YEAR(Assumptions!$C$16)),-Assumptions!$H$32,0)</f>
        <v>0</v>
      </c>
      <c r="P33" s="1651">
        <f>IF(AND(MONTH(P$5)=MONTH(Assumptions!$C$16),YEAR(P$5)=YEAR(Assumptions!$C$16)),-Assumptions!$H$32,0)</f>
        <v>0</v>
      </c>
      <c r="Q33" s="1651">
        <f>IF(AND(MONTH(Q$5)=MONTH(Assumptions!$C$16),YEAR(Q$5)=YEAR(Assumptions!$C$16)),-Assumptions!$H$32,0)</f>
        <v>0</v>
      </c>
      <c r="R33" s="1651">
        <f>IF(AND(MONTH(R$5)=MONTH(Assumptions!$C$16),YEAR(R$5)=YEAR(Assumptions!$C$16)),-Assumptions!$H$32,0)</f>
        <v>0</v>
      </c>
      <c r="S33" s="1651">
        <f>IF(AND(MONTH(S$5)=MONTH(Assumptions!$C$16),YEAR(S$5)=YEAR(Assumptions!$C$16)),-Assumptions!$H$32,0)</f>
        <v>0</v>
      </c>
      <c r="T33" s="1651">
        <f>IF(AND(MONTH(T$5)=MONTH(Assumptions!$C$16),YEAR(T$5)=YEAR(Assumptions!$C$16)),-Assumptions!$H$32,0)</f>
        <v>0</v>
      </c>
      <c r="U33" s="1651">
        <f>IF(AND(MONTH(U$5)=MONTH(Assumptions!$C$16),YEAR(U$5)=YEAR(Assumptions!$C$16)),-Assumptions!$H$32,0)</f>
        <v>0</v>
      </c>
      <c r="V33" s="1651">
        <f>IF(AND(MONTH(V$5)=MONTH(Assumptions!$C$16),YEAR(V$5)=YEAR(Assumptions!$C$16)),-Assumptions!$H$32,0)</f>
        <v>0</v>
      </c>
      <c r="W33" s="1651">
        <f>IF(AND(MONTH(W$5)=MONTH(Assumptions!$C$16),YEAR(W$5)=YEAR(Assumptions!$C$16)),-Assumptions!$H$32,0)</f>
        <v>0</v>
      </c>
      <c r="X33" s="1651">
        <f>IF(AND(MONTH(X$5)=MONTH(Assumptions!$C$16),YEAR(X$5)=YEAR(Assumptions!$C$16)),-Assumptions!$H$32,0)</f>
        <v>-1000</v>
      </c>
      <c r="Y33" s="1651"/>
      <c r="Z33" s="1651"/>
      <c r="AA33" s="1651"/>
      <c r="AB33" s="1651"/>
      <c r="AC33" s="1651"/>
      <c r="AD33" s="1651"/>
      <c r="AE33" s="1651"/>
      <c r="AF33" s="1651"/>
      <c r="AG33" s="1651"/>
      <c r="AH33" s="1651"/>
      <c r="AI33" s="1651"/>
      <c r="AJ33" s="1651"/>
      <c r="AK33" s="1651"/>
      <c r="AL33" s="1651"/>
      <c r="AM33" s="1651"/>
      <c r="AN33" s="1651"/>
      <c r="AO33" s="1651"/>
      <c r="AP33" s="1651"/>
      <c r="AQ33" s="1651"/>
      <c r="AR33" s="1651"/>
    </row>
    <row r="34" spans="1:46">
      <c r="A34" s="1596" t="s">
        <v>1069</v>
      </c>
      <c r="B34" s="1589">
        <f t="shared" si="17"/>
        <v>-750</v>
      </c>
      <c r="C34" s="1590">
        <v>0</v>
      </c>
      <c r="D34" s="1590">
        <v>0</v>
      </c>
      <c r="E34" s="1590">
        <v>0</v>
      </c>
      <c r="F34" s="1590">
        <v>0</v>
      </c>
      <c r="G34" s="1590">
        <v>0</v>
      </c>
      <c r="H34" s="1590">
        <v>0</v>
      </c>
      <c r="I34" s="1590">
        <v>0</v>
      </c>
      <c r="J34" s="1590">
        <v>0</v>
      </c>
      <c r="K34" s="1590">
        <v>0</v>
      </c>
      <c r="L34" s="1590">
        <v>0</v>
      </c>
      <c r="M34" s="1590">
        <v>0</v>
      </c>
      <c r="N34" s="1590">
        <v>0</v>
      </c>
      <c r="O34" s="1590">
        <v>0</v>
      </c>
      <c r="P34" s="1590">
        <v>0</v>
      </c>
      <c r="Q34" s="1590">
        <v>0</v>
      </c>
      <c r="R34" s="1590">
        <v>0</v>
      </c>
      <c r="S34" s="1590">
        <v>0</v>
      </c>
      <c r="T34" s="1590">
        <v>0</v>
      </c>
      <c r="U34" s="1590">
        <f>-750/COUNT($U$5:$X$5)</f>
        <v>-187.5</v>
      </c>
      <c r="V34" s="1590">
        <f>-750/COUNT($U$5:$X$5)</f>
        <v>-187.5</v>
      </c>
      <c r="W34" s="1590">
        <f>-750/COUNT($U$5:$X$5)</f>
        <v>-187.5</v>
      </c>
      <c r="X34" s="1590">
        <f>-750/COUNT($U$5:$X$5)</f>
        <v>-187.5</v>
      </c>
      <c r="Y34" s="1651"/>
      <c r="Z34" s="1651"/>
      <c r="AA34" s="1651"/>
      <c r="AB34" s="1651"/>
      <c r="AC34" s="1651"/>
      <c r="AD34" s="1651"/>
      <c r="AE34" s="1651"/>
      <c r="AF34" s="1651"/>
      <c r="AG34" s="1651"/>
      <c r="AH34" s="1651"/>
      <c r="AI34" s="1651"/>
      <c r="AJ34" s="1651"/>
      <c r="AK34" s="1651"/>
      <c r="AL34" s="1651"/>
      <c r="AM34" s="1651"/>
      <c r="AN34" s="1651"/>
      <c r="AO34" s="1651"/>
      <c r="AP34" s="1651"/>
      <c r="AQ34" s="1651"/>
      <c r="AR34" s="1651"/>
    </row>
    <row r="35" spans="1:46">
      <c r="A35" s="1596" t="s">
        <v>1051</v>
      </c>
      <c r="B35" s="1589">
        <f t="shared" si="17"/>
        <v>-250</v>
      </c>
      <c r="C35" s="1590">
        <v>0</v>
      </c>
      <c r="D35" s="1590">
        <v>0</v>
      </c>
      <c r="E35" s="1590">
        <v>0</v>
      </c>
      <c r="F35" s="1590">
        <v>0</v>
      </c>
      <c r="G35" s="1590">
        <v>0</v>
      </c>
      <c r="H35" s="1590">
        <v>0</v>
      </c>
      <c r="I35" s="1590">
        <v>0</v>
      </c>
      <c r="J35" s="1590">
        <v>0</v>
      </c>
      <c r="K35" s="1590">
        <v>0</v>
      </c>
      <c r="L35" s="1590">
        <v>0</v>
      </c>
      <c r="M35" s="1590">
        <v>0</v>
      </c>
      <c r="N35" s="1590">
        <v>0</v>
      </c>
      <c r="O35" s="1590">
        <v>0</v>
      </c>
      <c r="P35" s="1590">
        <v>0</v>
      </c>
      <c r="Q35" s="1590">
        <v>0</v>
      </c>
      <c r="R35" s="1590">
        <v>0</v>
      </c>
      <c r="S35" s="1590">
        <v>0</v>
      </c>
      <c r="T35" s="1590">
        <v>0</v>
      </c>
      <c r="U35" s="1590">
        <v>0</v>
      </c>
      <c r="V35" s="1590">
        <v>0</v>
      </c>
      <c r="W35" s="1590">
        <v>-125</v>
      </c>
      <c r="X35" s="1590">
        <v>-125</v>
      </c>
      <c r="Y35" s="1651"/>
      <c r="Z35" s="1651"/>
      <c r="AA35" s="1651"/>
      <c r="AB35" s="1651"/>
      <c r="AC35" s="1651"/>
      <c r="AD35" s="1651"/>
      <c r="AE35" s="1651"/>
      <c r="AF35" s="1651"/>
      <c r="AG35" s="1651"/>
      <c r="AH35" s="1651"/>
      <c r="AI35" s="1651"/>
      <c r="AJ35" s="1651"/>
      <c r="AK35" s="1651"/>
      <c r="AL35" s="1651"/>
      <c r="AM35" s="1651"/>
      <c r="AN35" s="1651"/>
      <c r="AO35" s="1651"/>
      <c r="AP35" s="1651"/>
      <c r="AQ35" s="1651"/>
      <c r="AR35" s="1651"/>
    </row>
    <row r="36" spans="1:46">
      <c r="A36" s="1599" t="s">
        <v>1054</v>
      </c>
      <c r="B36" s="1592">
        <f t="shared" si="17"/>
        <v>-100</v>
      </c>
      <c r="C36" s="1600">
        <f>SUM(C34:C35)*0.1</f>
        <v>0</v>
      </c>
      <c r="D36" s="1600">
        <f t="shared" ref="D36:V36" si="18">SUM(D34:D35)*0.1</f>
        <v>0</v>
      </c>
      <c r="E36" s="1600">
        <f t="shared" si="18"/>
        <v>0</v>
      </c>
      <c r="F36" s="1600">
        <f t="shared" si="18"/>
        <v>0</v>
      </c>
      <c r="G36" s="1600">
        <f t="shared" si="18"/>
        <v>0</v>
      </c>
      <c r="H36" s="1600">
        <f t="shared" si="18"/>
        <v>0</v>
      </c>
      <c r="I36" s="1600">
        <f t="shared" si="18"/>
        <v>0</v>
      </c>
      <c r="J36" s="1600">
        <f t="shared" si="18"/>
        <v>0</v>
      </c>
      <c r="K36" s="1600">
        <f t="shared" si="18"/>
        <v>0</v>
      </c>
      <c r="L36" s="1600">
        <f t="shared" si="18"/>
        <v>0</v>
      </c>
      <c r="M36" s="1600">
        <f t="shared" si="18"/>
        <v>0</v>
      </c>
      <c r="N36" s="1600">
        <f t="shared" si="18"/>
        <v>0</v>
      </c>
      <c r="O36" s="1600">
        <f t="shared" si="18"/>
        <v>0</v>
      </c>
      <c r="P36" s="1600">
        <f t="shared" si="18"/>
        <v>0</v>
      </c>
      <c r="Q36" s="1600">
        <f t="shared" si="18"/>
        <v>0</v>
      </c>
      <c r="R36" s="1600">
        <f t="shared" si="18"/>
        <v>0</v>
      </c>
      <c r="S36" s="1600">
        <f t="shared" si="18"/>
        <v>0</v>
      </c>
      <c r="T36" s="1600">
        <f t="shared" si="18"/>
        <v>0</v>
      </c>
      <c r="U36" s="1600">
        <f t="shared" si="18"/>
        <v>-18.75</v>
      </c>
      <c r="V36" s="1600">
        <f t="shared" si="18"/>
        <v>-18.75</v>
      </c>
      <c r="W36" s="1600">
        <f>SUM(W34:W35)*0.1</f>
        <v>-31.25</v>
      </c>
      <c r="X36" s="1600">
        <f>SUM(X34:X35)*0.1</f>
        <v>-31.25</v>
      </c>
      <c r="Y36" s="1651"/>
      <c r="Z36" s="1651"/>
      <c r="AA36" s="1651"/>
      <c r="AB36" s="1651"/>
      <c r="AC36" s="1651"/>
      <c r="AD36" s="1651"/>
      <c r="AE36" s="1651"/>
      <c r="AF36" s="1651"/>
      <c r="AG36" s="1651"/>
      <c r="AH36" s="1651"/>
      <c r="AI36" s="1651"/>
      <c r="AJ36" s="1651"/>
      <c r="AK36" s="1651"/>
      <c r="AL36" s="1651"/>
      <c r="AM36" s="1651"/>
      <c r="AN36" s="1651"/>
      <c r="AO36" s="1651"/>
      <c r="AP36" s="1651"/>
      <c r="AQ36" s="1651"/>
      <c r="AR36" s="1651"/>
    </row>
    <row r="37" spans="1:46">
      <c r="A37" s="1652" t="s">
        <v>1098</v>
      </c>
      <c r="B37" s="1589">
        <f t="shared" ca="1" si="17"/>
        <v>-4012.8632069997707</v>
      </c>
      <c r="C37" s="1593">
        <f ca="1">SUM(C32:C36)</f>
        <v>0</v>
      </c>
      <c r="D37" s="1593">
        <f t="shared" ref="D37:V37" ca="1" si="19">SUM(D32:D36)</f>
        <v>0</v>
      </c>
      <c r="E37" s="1593">
        <f t="shared" ca="1" si="19"/>
        <v>0</v>
      </c>
      <c r="F37" s="1593">
        <f t="shared" ca="1" si="19"/>
        <v>0</v>
      </c>
      <c r="G37" s="1593">
        <f t="shared" ca="1" si="19"/>
        <v>0</v>
      </c>
      <c r="H37" s="1593">
        <f t="shared" ca="1" si="19"/>
        <v>0</v>
      </c>
      <c r="I37" s="1593">
        <f t="shared" ca="1" si="19"/>
        <v>0</v>
      </c>
      <c r="J37" s="1593">
        <f t="shared" ca="1" si="19"/>
        <v>0</v>
      </c>
      <c r="K37" s="1593">
        <f t="shared" ca="1" si="19"/>
        <v>0</v>
      </c>
      <c r="L37" s="1593">
        <f t="shared" ca="1" si="19"/>
        <v>0</v>
      </c>
      <c r="M37" s="1593">
        <f t="shared" ca="1" si="19"/>
        <v>0</v>
      </c>
      <c r="N37" s="1593">
        <f t="shared" ca="1" si="19"/>
        <v>0</v>
      </c>
      <c r="O37" s="1593">
        <f t="shared" ca="1" si="19"/>
        <v>0</v>
      </c>
      <c r="P37" s="1593">
        <f t="shared" ca="1" si="19"/>
        <v>0</v>
      </c>
      <c r="Q37" s="1593">
        <f t="shared" ca="1" si="19"/>
        <v>0</v>
      </c>
      <c r="R37" s="1593">
        <f t="shared" ca="1" si="19"/>
        <v>0</v>
      </c>
      <c r="S37" s="1593">
        <f t="shared" ca="1" si="19"/>
        <v>0</v>
      </c>
      <c r="T37" s="1593">
        <f t="shared" ca="1" si="19"/>
        <v>0</v>
      </c>
      <c r="U37" s="1593">
        <f t="shared" ca="1" si="19"/>
        <v>-206.25</v>
      </c>
      <c r="V37" s="1593">
        <f t="shared" ca="1" si="19"/>
        <v>-206.25</v>
      </c>
      <c r="W37" s="1593">
        <f ca="1">SUM(W32:W36)</f>
        <v>-343.75</v>
      </c>
      <c r="X37" s="1593">
        <f ca="1">SUM(X32:X36)</f>
        <v>-3256.6132069997707</v>
      </c>
      <c r="Y37" s="1651"/>
      <c r="Z37" s="1651"/>
      <c r="AA37" s="1651"/>
      <c r="AB37" s="1651"/>
      <c r="AC37" s="1651"/>
      <c r="AD37" s="1651"/>
      <c r="AE37" s="1651"/>
      <c r="AF37" s="1651"/>
      <c r="AG37" s="1651"/>
      <c r="AH37" s="1651"/>
      <c r="AI37" s="1651"/>
      <c r="AJ37" s="1651"/>
      <c r="AK37" s="1651"/>
      <c r="AL37" s="1651"/>
      <c r="AM37" s="1651"/>
      <c r="AN37" s="1651"/>
      <c r="AO37" s="1651"/>
      <c r="AP37" s="1651"/>
      <c r="AQ37" s="1651"/>
      <c r="AR37" s="1651"/>
    </row>
    <row r="38" spans="1:46">
      <c r="A38" s="1650"/>
      <c r="B38" s="1589"/>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c r="AL38" s="1651"/>
      <c r="AM38" s="1651"/>
      <c r="AN38" s="1651"/>
      <c r="AO38" s="1651"/>
      <c r="AP38" s="1651"/>
      <c r="AQ38" s="1651"/>
      <c r="AR38" s="1651"/>
    </row>
    <row r="39" spans="1:46">
      <c r="A39" s="1652"/>
      <c r="B39" s="1589"/>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c r="AL39" s="1651"/>
      <c r="AM39" s="1651"/>
      <c r="AN39" s="1651"/>
      <c r="AO39" s="1651"/>
      <c r="AP39" s="1651"/>
      <c r="AQ39" s="1651"/>
      <c r="AR39" s="1651"/>
    </row>
    <row r="40" spans="1:46">
      <c r="A40" s="1652" t="s">
        <v>1123</v>
      </c>
      <c r="B40" s="1784">
        <f ca="1">SUM(C40:X40)</f>
        <v>63221.863206999769</v>
      </c>
      <c r="C40" s="1651">
        <f ca="1">IF(AND(MONTH(C$5)=MONTH(Assumptions!$C$16),YEAR(C$5)=YEAR(Assumptions!$C$16)),IF($Y$46&gt;0,-($B$22+$B$37+$B$27),0),0)</f>
        <v>0</v>
      </c>
      <c r="D40" s="1651">
        <f ca="1">IF(AND(MONTH(D$5)=MONTH(Assumptions!$C$16),YEAR(D$5)=YEAR(Assumptions!$C$16)),IF($Y$46&gt;0,-($B$22+$B$37+$B$27),0),0)</f>
        <v>0</v>
      </c>
      <c r="E40" s="1651">
        <f ca="1">IF(AND(MONTH(E$5)=MONTH(Assumptions!$C$16),YEAR(E$5)=YEAR(Assumptions!$C$16)),IF($Y$46&gt;0,-($B$22+$B$37+$B$27),0),0)</f>
        <v>0</v>
      </c>
      <c r="F40" s="1651">
        <f ca="1">IF(AND(MONTH(F$5)=MONTH(Assumptions!$C$16),YEAR(F$5)=YEAR(Assumptions!$C$16)),IF($Y$46&gt;0,-($B$22+$B$37+$B$27),0),0)</f>
        <v>0</v>
      </c>
      <c r="G40" s="1651">
        <f ca="1">IF(AND(MONTH(G$5)=MONTH(Assumptions!$C$16),YEAR(G$5)=YEAR(Assumptions!$C$16)),IF($Y$46&gt;0,-($B$22+$B$37+$B$27),0),0)</f>
        <v>0</v>
      </c>
      <c r="H40" s="1651">
        <f ca="1">IF(AND(MONTH(H$5)=MONTH(Assumptions!$C$16),YEAR(H$5)=YEAR(Assumptions!$C$16)),IF($Y$46&gt;0,-($B$22+$B$37+$B$27),0),0)</f>
        <v>0</v>
      </c>
      <c r="I40" s="1651">
        <f ca="1">IF(AND(MONTH(I$5)=MONTH(Assumptions!$C$16),YEAR(I$5)=YEAR(Assumptions!$C$16)),IF($Y$46&gt;0,-($B$22+$B$37+$B$27),0),0)</f>
        <v>0</v>
      </c>
      <c r="J40" s="1651">
        <f ca="1">IF(AND(MONTH(J$5)=MONTH(Assumptions!$C$16),YEAR(J$5)=YEAR(Assumptions!$C$16)),IF($Y$46&gt;0,-($B$22+$B$37+$B$27),0),0)</f>
        <v>0</v>
      </c>
      <c r="K40" s="1651">
        <f ca="1">IF(AND(MONTH(K$5)=MONTH(Assumptions!$C$16),YEAR(K$5)=YEAR(Assumptions!$C$16)),IF($Y$46&gt;0,-($B$22+$B$37+$B$27),0),0)</f>
        <v>0</v>
      </c>
      <c r="L40" s="1651">
        <f ca="1">IF(AND(MONTH(L$5)=MONTH(Assumptions!$C$16),YEAR(L$5)=YEAR(Assumptions!$C$16)),IF($Y$46&gt;0,-($B$22+$B$37+$B$27),0),0)</f>
        <v>0</v>
      </c>
      <c r="M40" s="1651">
        <f ca="1">IF(AND(MONTH(M$5)=MONTH(Assumptions!$C$16),YEAR(M$5)=YEAR(Assumptions!$C$16)),IF($Y$46&gt;0,-($B$22+$B$37+$B$27),0),0)</f>
        <v>0</v>
      </c>
      <c r="N40" s="1651">
        <f ca="1">IF(AND(MONTH(N$5)=MONTH(Assumptions!$C$16),YEAR(N$5)=YEAR(Assumptions!$C$16)),IF($Y$46&gt;0,-($B$22+$B$37+$B$27),0),0)</f>
        <v>0</v>
      </c>
      <c r="O40" s="1651">
        <f ca="1">IF(AND(MONTH(O$5)=MONTH(Assumptions!$C$16),YEAR(O$5)=YEAR(Assumptions!$C$16)),IF($Y$46&gt;0,-($B$22+$B$37+$B$27),0),0)</f>
        <v>0</v>
      </c>
      <c r="P40" s="1651">
        <f ca="1">IF(AND(MONTH(P$5)=MONTH(Assumptions!$C$16),YEAR(P$5)=YEAR(Assumptions!$C$16)),IF($Y$46&gt;0,-($B$22+$B$37+$B$27),0),0)</f>
        <v>0</v>
      </c>
      <c r="Q40" s="1651">
        <f ca="1">IF(AND(MONTH(Q$5)=MONTH(Assumptions!$C$16),YEAR(Q$5)=YEAR(Assumptions!$C$16)),IF($Y$46&gt;0,-($B$22+$B$37+$B$27),0),0)</f>
        <v>0</v>
      </c>
      <c r="R40" s="1651">
        <f ca="1">IF(AND(MONTH(R$5)=MONTH(Assumptions!$C$16),YEAR(R$5)=YEAR(Assumptions!$C$16)),IF($Y$46&gt;0,-($B$22+$B$37+$B$27),0),0)</f>
        <v>0</v>
      </c>
      <c r="S40" s="1651">
        <f ca="1">IF(AND(MONTH(S$5)=MONTH(Assumptions!$C$16),YEAR(S$5)=YEAR(Assumptions!$C$16)),IF($Y$46&gt;0,-($B$22+$B$37+$B$27),0),0)</f>
        <v>0</v>
      </c>
      <c r="T40" s="1651">
        <f ca="1">IF(AND(MONTH(T$5)=MONTH(Assumptions!$C$16),YEAR(T$5)=YEAR(Assumptions!$C$16)),IF($Y$46&gt;0,-($B$22+$B$37+$B$27),0),0)</f>
        <v>0</v>
      </c>
      <c r="U40" s="1651">
        <f ca="1">IF(AND(MONTH(U$5)=MONTH(Assumptions!$C$16),YEAR(U$5)=YEAR(Assumptions!$C$16)),IF($Y$46&gt;0,-($B$22+$B$37+$B$27),0),0)</f>
        <v>0</v>
      </c>
      <c r="V40" s="1651">
        <f ca="1">IF(AND(MONTH(V$5)=MONTH(Assumptions!$C$16),YEAR(V$5)=YEAR(Assumptions!$C$16)),IF($Y$46&gt;0,-($B$22+$B$37+$B$27),0),0)</f>
        <v>0</v>
      </c>
      <c r="W40" s="1651">
        <f ca="1">IF(AND(MONTH(W$5)=MONTH(Assumptions!$C$16),YEAR(W$5)=YEAR(Assumptions!$C$16)),IF($Y$46&gt;0,-($B$22+$B$37+$B$27),0),0)</f>
        <v>0</v>
      </c>
      <c r="X40" s="1651">
        <f ca="1">IF(AND(MONTH(X$5)=MONTH(Assumptions!$C$16),YEAR(X$5)=YEAR(Assumptions!$C$16)),IF($Y$46&gt;0,-($B$22+$B$37+$B$27),0),0)</f>
        <v>63221.863206999769</v>
      </c>
      <c r="Y40" s="1651"/>
      <c r="Z40" s="1651"/>
      <c r="AA40" s="1651"/>
      <c r="AB40" s="1651"/>
      <c r="AC40" s="1651"/>
      <c r="AD40" s="1651"/>
      <c r="AE40" s="1651"/>
      <c r="AF40" s="1651"/>
      <c r="AG40" s="1651"/>
      <c r="AH40" s="1651"/>
      <c r="AI40" s="1651"/>
      <c r="AJ40" s="1651"/>
      <c r="AK40" s="1651"/>
      <c r="AL40" s="1651"/>
      <c r="AM40" s="1651"/>
      <c r="AN40" s="1651"/>
      <c r="AO40" s="1651"/>
      <c r="AP40" s="1651"/>
      <c r="AQ40" s="1651"/>
      <c r="AR40" s="1651"/>
    </row>
    <row r="41" spans="1:46">
      <c r="A41" s="1650"/>
      <c r="B41" s="1784"/>
      <c r="C41" s="1785"/>
      <c r="D41" s="1785"/>
      <c r="E41" s="1785"/>
      <c r="F41" s="1785"/>
      <c r="G41" s="1785"/>
      <c r="H41" s="1785"/>
      <c r="I41" s="1651"/>
      <c r="J41" s="1651"/>
      <c r="K41" s="1651"/>
      <c r="L41" s="1651"/>
      <c r="M41" s="1651"/>
      <c r="N41" s="1651"/>
      <c r="O41" s="1651"/>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c r="AL41" s="1651"/>
      <c r="AM41" s="1651"/>
      <c r="AN41" s="1651"/>
      <c r="AO41" s="1651"/>
      <c r="AP41" s="1651"/>
      <c r="AQ41" s="1651"/>
      <c r="AR41" s="1651"/>
    </row>
    <row r="42" spans="1:46">
      <c r="A42" s="1554" t="s">
        <v>1107</v>
      </c>
      <c r="B42" s="1589">
        <f ca="1">B27+B37+B22</f>
        <v>-63221.863206999769</v>
      </c>
    </row>
    <row r="43" spans="1:46">
      <c r="A43" s="1554" t="s">
        <v>1055</v>
      </c>
      <c r="B43" s="1589">
        <f>B22</f>
        <v>-29847</v>
      </c>
      <c r="Y43" s="1744" t="s">
        <v>1165</v>
      </c>
    </row>
    <row r="44" spans="1:46">
      <c r="A44" s="1554" t="s">
        <v>1056</v>
      </c>
      <c r="B44" s="1589"/>
      <c r="C44" s="1594">
        <f t="shared" ref="C44:V44" ca="1" si="20">C22+C37+C27+C40</f>
        <v>0</v>
      </c>
      <c r="D44" s="1594">
        <f t="shared" ca="1" si="20"/>
        <v>-48.2</v>
      </c>
      <c r="E44" s="1594">
        <f t="shared" ca="1" si="20"/>
        <v>-679.91555555555556</v>
      </c>
      <c r="F44" s="1594">
        <f t="shared" ca="1" si="20"/>
        <v>-279.91555555555556</v>
      </c>
      <c r="G44" s="1594">
        <f t="shared" ca="1" si="20"/>
        <v>-279.91555555555556</v>
      </c>
      <c r="H44" s="1594">
        <f t="shared" ca="1" si="20"/>
        <v>-279.91555555555556</v>
      </c>
      <c r="I44" s="1594">
        <f t="shared" ca="1" si="20"/>
        <v>-279.91555555555556</v>
      </c>
      <c r="J44" s="1594">
        <f t="shared" ca="1" si="20"/>
        <v>-279.91555555555556</v>
      </c>
      <c r="K44" s="1594">
        <f t="shared" ca="1" si="20"/>
        <v>-279.91555555555556</v>
      </c>
      <c r="L44" s="1594">
        <f t="shared" ca="1" si="20"/>
        <v>-279.91555555555556</v>
      </c>
      <c r="M44" s="1594">
        <f t="shared" ca="1" si="20"/>
        <v>-529.91555555555556</v>
      </c>
      <c r="N44" s="1594">
        <f t="shared" ca="1" si="20"/>
        <v>-629.63636363636363</v>
      </c>
      <c r="O44" s="1594">
        <f t="shared" ca="1" si="20"/>
        <v>-948.63636363636374</v>
      </c>
      <c r="P44" s="1594">
        <f t="shared" ca="1" si="20"/>
        <v>-8279.636363636364</v>
      </c>
      <c r="Q44" s="1594">
        <f t="shared" ca="1" si="20"/>
        <v>-6672.8313636363637</v>
      </c>
      <c r="R44" s="1594">
        <f t="shared" ca="1" si="20"/>
        <v>-2237.8313636363637</v>
      </c>
      <c r="S44" s="1594">
        <f t="shared" ca="1" si="20"/>
        <v>-5421.8313636363637</v>
      </c>
      <c r="T44" s="1594">
        <f t="shared" ca="1" si="20"/>
        <v>-4437.8313636363637</v>
      </c>
      <c r="U44" s="1594">
        <f t="shared" ca="1" si="20"/>
        <v>-1358.0813636363637</v>
      </c>
      <c r="V44" s="1594">
        <f t="shared" ca="1" si="20"/>
        <v>-23114.081363636364</v>
      </c>
      <c r="W44" s="1594">
        <f ca="1">W22+W37+W27+W40</f>
        <v>-2495.5813636363637</v>
      </c>
      <c r="X44" s="1594">
        <f ca="1">X22+X37+X27+X40</f>
        <v>58813.418636363633</v>
      </c>
      <c r="Y44" s="1594">
        <f ca="1">Template!H697+IF(Y5=Assumptions!$C$18,Template!$E$715,0)</f>
        <v>-238460.26041541412</v>
      </c>
      <c r="Z44" s="1594">
        <f ca="1">Template!I697+IF(Z5=Assumptions!$C$18,Template!$E$715,0)</f>
        <v>18384.826698781428</v>
      </c>
      <c r="AA44" s="1594">
        <f ca="1">Template!J697+IF(AA5=Assumptions!$C$18,Template!$E$715,0)</f>
        <v>22616.831615538184</v>
      </c>
      <c r="AB44" s="1594">
        <f ca="1">Template!K697+IF(AB5=Assumptions!$C$18,Template!$E$715,0)</f>
        <v>43540.187244550623</v>
      </c>
      <c r="AC44" s="1594">
        <f ca="1">Template!L697+IF(AC5=Assumptions!$C$18,Template!$E$715,0)</f>
        <v>45709.923624669595</v>
      </c>
      <c r="AD44" s="1594">
        <f ca="1">Template!M697+IF(AD5=Assumptions!$C$18,Template!$E$715,0)</f>
        <v>43602.748089362576</v>
      </c>
      <c r="AE44" s="1594">
        <f ca="1">Template!N697+IF(AE5=Assumptions!$C$18,Template!$E$715,0)</f>
        <v>37765.16970633695</v>
      </c>
      <c r="AF44" s="1594">
        <f ca="1">Template!O697+IF(AF5=Assumptions!$C$18,Template!$E$715,0)</f>
        <v>34392.862733265436</v>
      </c>
      <c r="AG44" s="1594">
        <f ca="1">Template!P697+IF(AG5=Assumptions!$C$18,Template!$E$715,0)</f>
        <v>43998.548576434623</v>
      </c>
      <c r="AH44" s="1594">
        <f ca="1">Template!Q697+IF(AH5=Assumptions!$C$18,Template!$E$715,0)</f>
        <v>39593.553304041314</v>
      </c>
      <c r="AI44" s="1594">
        <f ca="1">Template!R697+IF(AI5=Assumptions!$C$18,Template!$E$715,0)</f>
        <v>39439.941242448971</v>
      </c>
      <c r="AJ44" s="1594">
        <f ca="1">Template!S697+IF(AJ5=Assumptions!$C$18,Template!$E$715,0)</f>
        <v>39885.452256738332</v>
      </c>
      <c r="AK44" s="1594">
        <f ca="1">Template!T697+IF(AK5=Assumptions!$C$18,Template!$E$715,0)</f>
        <v>32739.344289969515</v>
      </c>
      <c r="AL44" s="1594">
        <f ca="1">Template!U697+IF(AL5=Assumptions!$C$18,Template!$E$715,0)</f>
        <v>36527.969965529104</v>
      </c>
      <c r="AM44" s="1594">
        <f ca="1">Template!V697+IF(AM5=Assumptions!$C$18,Template!$E$715,0)</f>
        <v>30852.118208225027</v>
      </c>
      <c r="AN44" s="1594">
        <f ca="1">Template!W697+IF(AN5=Assumptions!$C$18,Template!$E$715,0)</f>
        <v>27188.007275840937</v>
      </c>
      <c r="AO44" s="1594">
        <f ca="1">Template!X697+IF(AO5=Assumptions!$C$18,Template!$E$715,0)</f>
        <v>24270.768729055937</v>
      </c>
      <c r="AP44" s="1594">
        <f ca="1">Template!Y697+IF(AP5=Assumptions!$C$18,Template!$E$715,0)</f>
        <v>79447.153096753944</v>
      </c>
      <c r="AQ44" s="1594">
        <f ca="1">Template!Z697+IF(AQ5=Assumptions!$C$18,Template!$E$715,0)</f>
        <v>57671.930005184477</v>
      </c>
      <c r="AR44" s="1594">
        <f ca="1">Template!AA697+IF(AR5=Assumptions!$C$18,Template!$E$715,0)</f>
        <v>57186.601221160883</v>
      </c>
      <c r="AS44" s="1594">
        <f ca="1">Template!AB697+IF(AS5=Assumptions!$C$18,Template!$E$715,0)</f>
        <v>174230.72968968775</v>
      </c>
      <c r="AT44" s="1594">
        <f ca="1">Template!AC697+IF(AT5=Assumptions!$C$18,Template!$E$715,0)</f>
        <v>-41652.284405556784</v>
      </c>
    </row>
    <row r="45" spans="1:46" ht="12" thickBot="1">
      <c r="A45" s="1554" t="s">
        <v>1057</v>
      </c>
      <c r="B45" s="1589"/>
      <c r="C45" s="1594">
        <f ca="1">SUM($C$44:C44)</f>
        <v>0</v>
      </c>
      <c r="D45" s="1594">
        <f ca="1">SUM($C$44:D44)</f>
        <v>-48.2</v>
      </c>
      <c r="E45" s="1594">
        <f ca="1">SUM($C$44:E44)</f>
        <v>-728.1155555555556</v>
      </c>
      <c r="F45" s="1594">
        <f ca="1">SUM($C$44:F44)</f>
        <v>-1008.0311111111112</v>
      </c>
      <c r="G45" s="1594">
        <f ca="1">SUM($C$44:G44)</f>
        <v>-1287.9466666666667</v>
      </c>
      <c r="H45" s="1594">
        <f ca="1">SUM($C$44:H44)</f>
        <v>-1567.8622222222223</v>
      </c>
      <c r="I45" s="1594">
        <f ca="1">SUM($C$44:I44)</f>
        <v>-1847.7777777777778</v>
      </c>
      <c r="J45" s="1594">
        <f ca="1">SUM($C$44:J44)</f>
        <v>-2127.6933333333336</v>
      </c>
      <c r="K45" s="1594">
        <f ca="1">SUM($C$44:K44)</f>
        <v>-2407.6088888888889</v>
      </c>
      <c r="L45" s="1594">
        <f ca="1">SUM($C$44:L44)</f>
        <v>-2687.5244444444443</v>
      </c>
      <c r="M45" s="1594">
        <f ca="1">SUM($C$44:M44)</f>
        <v>-3217.4399999999996</v>
      </c>
      <c r="N45" s="1594">
        <f ca="1">SUM($C$44:N44)</f>
        <v>-3847.0763636363631</v>
      </c>
      <c r="O45" s="1594">
        <f ca="1">SUM($C$44:O44)</f>
        <v>-4795.7127272727266</v>
      </c>
      <c r="P45" s="1594">
        <f ca="1">SUM($C$44:P44)</f>
        <v>-13075.349090909091</v>
      </c>
      <c r="Q45" s="1594">
        <f ca="1">SUM($C$44:Q44)</f>
        <v>-19748.180454545454</v>
      </c>
      <c r="R45" s="1594">
        <f ca="1">SUM($C$44:R44)</f>
        <v>-21986.011818181818</v>
      </c>
      <c r="S45" s="1594">
        <f ca="1">SUM($C$44:S44)</f>
        <v>-27407.843181818182</v>
      </c>
      <c r="T45" s="1594">
        <f ca="1">SUM($C$44:T44)</f>
        <v>-31845.674545454545</v>
      </c>
      <c r="U45" s="1594">
        <f ca="1">SUM($C$44:U44)</f>
        <v>-33203.755909090905</v>
      </c>
      <c r="V45" s="1594">
        <f ca="1">SUM($C$44:V44)</f>
        <v>-56317.837272727265</v>
      </c>
      <c r="W45" s="1594">
        <f ca="1">SUM($C$44:W44)</f>
        <v>-58813.418636363625</v>
      </c>
      <c r="X45" s="1594">
        <f ca="1">SUM($C$44:X44)</f>
        <v>0</v>
      </c>
      <c r="Z45" s="1594"/>
      <c r="AA45" s="1594"/>
      <c r="AB45" s="1594"/>
      <c r="AC45" s="1594"/>
      <c r="AD45" s="1594"/>
      <c r="AE45" s="1594"/>
      <c r="AF45" s="1594"/>
      <c r="AG45" s="1594"/>
      <c r="AH45" s="1594"/>
      <c r="AI45" s="1594"/>
      <c r="AJ45" s="1594"/>
      <c r="AK45" s="1594"/>
      <c r="AL45" s="1594"/>
      <c r="AM45" s="1594"/>
      <c r="AN45" s="1594"/>
      <c r="AO45" s="1594"/>
      <c r="AP45" s="1594"/>
      <c r="AQ45" s="1594"/>
      <c r="AR45" s="1594"/>
    </row>
    <row r="46" spans="1:46" ht="12" thickBot="1">
      <c r="A46" s="1554" t="s">
        <v>853</v>
      </c>
      <c r="B46" s="1663">
        <f ca="1">IF(ISERR(XIRR(D44:AR44,C5:AR5,0.1)),-1,XIRR(D44:AR44,C5:AR5,0.1))</f>
        <v>-1</v>
      </c>
      <c r="D46" s="1554"/>
      <c r="E46" s="1554"/>
      <c r="F46" s="1554"/>
      <c r="G46" s="1554"/>
      <c r="H46" s="1554"/>
      <c r="I46" s="1554"/>
      <c r="J46" s="1554"/>
      <c r="K46" s="1554"/>
      <c r="L46" s="1554"/>
      <c r="M46" s="1554"/>
      <c r="N46" s="1554"/>
      <c r="O46" s="1554"/>
      <c r="P46" s="1554"/>
      <c r="Q46" s="1554"/>
      <c r="R46" s="1554"/>
      <c r="S46" s="1554"/>
      <c r="T46" s="1554"/>
      <c r="V46" s="1660" t="s">
        <v>1105</v>
      </c>
      <c r="W46" s="1780"/>
      <c r="X46" s="1780"/>
      <c r="Y46" s="1648">
        <f ca="1">XNPV(Assumptions!L44,$Y$44:INDEX($Y$5:$AT$44,40,MATCH(Assumptions!$C$18,Budget!$Y$5:$AT$5)),Budget!Y5:INDEX(Budget!$Y$5:$AT$5,1,MATCH(Assumptions!$C$18,Budget!$Y$5:$AT$5)))</f>
        <v>63778.511896243246</v>
      </c>
      <c r="Z46" s="1554"/>
      <c r="AA46" s="1554"/>
      <c r="AB46" s="1554"/>
      <c r="AC46" s="1554"/>
      <c r="AD46" s="1554"/>
      <c r="AE46" s="1554"/>
      <c r="AF46" s="1554"/>
      <c r="AG46" s="1554"/>
      <c r="AH46" s="1554"/>
      <c r="AI46" s="1554"/>
      <c r="AJ46" s="1554"/>
      <c r="AK46" s="1554"/>
      <c r="AL46" s="1554"/>
      <c r="AM46" s="1554"/>
      <c r="AN46" s="1554"/>
      <c r="AO46" s="1554"/>
      <c r="AP46" s="1554"/>
      <c r="AQ46" s="1554"/>
      <c r="AR46" s="1554"/>
      <c r="AS46" s="1596" t="s">
        <v>1174</v>
      </c>
    </row>
    <row r="47" spans="1:46">
      <c r="A47" s="1554" t="s">
        <v>1058</v>
      </c>
      <c r="B47" s="1589">
        <f ca="1">XNPV(Assumptions!L44,D44:X44,D5:X5)</f>
        <v>-2361.4801287863447</v>
      </c>
      <c r="C47" s="1554"/>
      <c r="D47" s="1554"/>
      <c r="E47" s="1554"/>
      <c r="F47" s="1554"/>
      <c r="G47" s="1554"/>
      <c r="H47" s="1554"/>
      <c r="I47" s="1554"/>
      <c r="J47" s="1554"/>
      <c r="K47" s="1554"/>
      <c r="L47" s="1554"/>
      <c r="M47" s="1554"/>
      <c r="N47" s="1554"/>
      <c r="O47" s="1554"/>
      <c r="P47" s="1554"/>
      <c r="Q47" s="1554"/>
      <c r="R47" s="1554"/>
      <c r="S47" s="1554"/>
      <c r="T47" s="1554"/>
      <c r="U47" s="1554"/>
      <c r="V47" s="1745" t="s">
        <v>1166</v>
      </c>
      <c r="W47" s="1745"/>
      <c r="X47" s="1745"/>
      <c r="Y47" s="1554"/>
      <c r="Z47" s="1554"/>
      <c r="AA47" s="1554"/>
      <c r="AB47" s="1554"/>
      <c r="AC47" s="1554"/>
      <c r="AD47" s="1554"/>
      <c r="AE47" s="1554"/>
      <c r="AF47" s="1554"/>
      <c r="AG47" s="1554"/>
      <c r="AH47" s="1554"/>
      <c r="AI47" s="1554"/>
      <c r="AJ47" s="1554"/>
      <c r="AK47" s="1554"/>
      <c r="AL47" s="1554"/>
      <c r="AM47" s="1554"/>
      <c r="AN47" s="1554"/>
      <c r="AO47" s="1554"/>
      <c r="AP47" s="1554"/>
      <c r="AQ47" s="1554"/>
      <c r="AR47" s="1554"/>
    </row>
    <row r="48" spans="1:46">
      <c r="V48" s="1596" t="s">
        <v>1167</v>
      </c>
    </row>
    <row r="49" spans="1:28">
      <c r="V49" s="1596" t="s">
        <v>1168</v>
      </c>
      <c r="Y49" s="1596" t="s">
        <v>1169</v>
      </c>
      <c r="Z49" s="1596" t="s">
        <v>1058</v>
      </c>
    </row>
    <row r="50" spans="1:28">
      <c r="A50" s="1596" t="s">
        <v>1059</v>
      </c>
      <c r="C50" s="1602">
        <f ca="1">-(XNPV(0.1,$D$12:$X$12,$D$5:$X$5))</f>
        <v>1755.4938523527371</v>
      </c>
      <c r="V50" s="1596" t="s">
        <v>296</v>
      </c>
      <c r="Y50" s="1596" t="s">
        <v>296</v>
      </c>
      <c r="Z50" s="1746">
        <v>123784</v>
      </c>
    </row>
    <row r="51" spans="1:28">
      <c r="A51" s="1596" t="s">
        <v>1060</v>
      </c>
      <c r="C51" s="1602">
        <f>-(XNPV(0.1,$D$9:$X$9,$D$5:$X$5))</f>
        <v>499.86945515478061</v>
      </c>
      <c r="V51" s="1596" t="s">
        <v>296</v>
      </c>
      <c r="Y51" s="1596" t="s">
        <v>1170</v>
      </c>
      <c r="Z51" s="1746">
        <v>93202</v>
      </c>
      <c r="AB51" s="1596" t="s">
        <v>1171</v>
      </c>
    </row>
    <row r="52" spans="1:28">
      <c r="A52" s="1596" t="s">
        <v>1205</v>
      </c>
      <c r="C52" s="1602">
        <f>-(XNPV(0.1,$D$10:$X$10,$D$5:$X$5))</f>
        <v>234.44580862859866</v>
      </c>
      <c r="Z52" s="1746"/>
    </row>
    <row r="53" spans="1:28">
      <c r="A53" s="1595" t="s">
        <v>1061</v>
      </c>
      <c r="B53" s="1595"/>
      <c r="C53" s="1603">
        <f>-(XNPV(0.1,$D$11:$X$11,$D$5:$X$5))</f>
        <v>865.99235107337711</v>
      </c>
      <c r="V53" s="1596" t="s">
        <v>1170</v>
      </c>
      <c r="Y53" s="1596" t="s">
        <v>296</v>
      </c>
      <c r="Z53" s="1746">
        <v>63096</v>
      </c>
    </row>
    <row r="54" spans="1:28">
      <c r="A54" s="1596" t="s">
        <v>1062</v>
      </c>
      <c r="C54" s="1602">
        <f ca="1">SUM(C50:C53)</f>
        <v>3355.8014672094932</v>
      </c>
      <c r="V54" s="1596" t="s">
        <v>1172</v>
      </c>
      <c r="Y54" s="1596" t="s">
        <v>1170</v>
      </c>
      <c r="Z54" s="1746">
        <v>33083</v>
      </c>
    </row>
    <row r="55" spans="1:28">
      <c r="A55" s="1596" t="s">
        <v>1063</v>
      </c>
      <c r="C55" s="1602">
        <v>5000</v>
      </c>
      <c r="V55" s="1596" t="s">
        <v>1173</v>
      </c>
    </row>
    <row r="56" spans="1:28">
      <c r="A56" s="1596" t="s">
        <v>1064</v>
      </c>
      <c r="C56" s="1602">
        <f ca="1">C55-C54</f>
        <v>1644.1985327905068</v>
      </c>
    </row>
    <row r="57" spans="1:28">
      <c r="A57" s="1554" t="s">
        <v>1065</v>
      </c>
      <c r="B57" s="1554"/>
      <c r="C57" s="1601">
        <f ca="1">C56*(1.1)^((Assumptions!$C$16-Assumptions!$C$14)/365.25)</f>
        <v>1912.8632069997707</v>
      </c>
    </row>
    <row r="58" spans="1:28">
      <c r="A58" s="1554"/>
      <c r="B58" s="1554"/>
      <c r="C58" s="1601"/>
    </row>
    <row r="59" spans="1:28">
      <c r="A59" s="1554"/>
      <c r="C59" s="1554"/>
      <c r="D59" s="1601"/>
      <c r="J59" s="1587" t="s">
        <v>1036</v>
      </c>
    </row>
    <row r="60" spans="1:28">
      <c r="A60" s="1554"/>
      <c r="C60" s="1554"/>
      <c r="D60" s="1601"/>
      <c r="J60" s="1587" t="s">
        <v>1038</v>
      </c>
    </row>
    <row r="61" spans="1:28" ht="12" thickBot="1">
      <c r="E61" s="1587"/>
      <c r="J61" s="1587" t="s">
        <v>1042</v>
      </c>
    </row>
    <row r="62" spans="1:28" ht="12.75" thickTop="1" thickBot="1">
      <c r="B62" s="1806" t="s">
        <v>981</v>
      </c>
      <c r="E62" s="1587"/>
      <c r="J62" s="1587" t="s">
        <v>316</v>
      </c>
    </row>
    <row r="63" spans="1:28" ht="12.75" thickTop="1" thickBot="1">
      <c r="A63" s="1554"/>
      <c r="B63" s="1807" t="s">
        <v>1265</v>
      </c>
      <c r="C63" s="1588" t="s">
        <v>981</v>
      </c>
      <c r="D63" s="1588">
        <v>36341</v>
      </c>
      <c r="E63" s="1588">
        <v>36433</v>
      </c>
      <c r="F63" s="1588">
        <v>36525</v>
      </c>
      <c r="G63" s="1588">
        <v>36616</v>
      </c>
      <c r="H63" s="1588">
        <v>36707</v>
      </c>
      <c r="I63" s="1588">
        <v>36799</v>
      </c>
      <c r="J63" s="1588">
        <v>36860</v>
      </c>
    </row>
    <row r="64" spans="1:28" ht="13.5" thickTop="1">
      <c r="A64" s="1554" t="s">
        <v>1096</v>
      </c>
      <c r="C64"/>
      <c r="D64"/>
      <c r="E64"/>
      <c r="F64"/>
      <c r="G64"/>
      <c r="H64"/>
      <c r="I64"/>
    </row>
    <row r="65" spans="1:10" ht="12.75" customHeight="1">
      <c r="A65" s="1596" t="str">
        <f>A7</f>
        <v>EPC Turnkey</v>
      </c>
      <c r="B65" s="1594">
        <f>SUM(D65:G65)</f>
        <v>0</v>
      </c>
      <c r="C65" s="1589">
        <f>SUM(D65:J65)</f>
        <v>-9900</v>
      </c>
      <c r="D65" s="1591">
        <f t="shared" ref="D65:D70" si="21">SUM(C7:G7)</f>
        <v>0</v>
      </c>
      <c r="E65" s="1591">
        <f t="shared" ref="E65:E70" si="22">SUM(H7:J7)</f>
        <v>0</v>
      </c>
      <c r="F65" s="1591">
        <f t="shared" ref="F65:F70" si="23">SUM(K7:M7)</f>
        <v>0</v>
      </c>
      <c r="G65" s="1591">
        <f t="shared" ref="G65:G70" si="24">SUM(N7:P7)</f>
        <v>0</v>
      </c>
      <c r="H65" s="1591">
        <f t="shared" ref="H65:H70" si="25">SUM(Q7:S7)</f>
        <v>-4600</v>
      </c>
      <c r="I65" s="1591">
        <f t="shared" ref="I65:I70" si="26">SUM(T7:V7)</f>
        <v>-5300</v>
      </c>
      <c r="J65" s="1591">
        <f t="shared" ref="J65:J70" si="27">SUM(W7:X7)</f>
        <v>0</v>
      </c>
    </row>
    <row r="66" spans="1:10">
      <c r="A66" s="1596" t="str">
        <f>A8</f>
        <v>Internal Costs</v>
      </c>
      <c r="B66" s="1594">
        <f t="shared" ref="B66:B74" si="28">SUM(D66:G66)</f>
        <v>-176.44</v>
      </c>
      <c r="C66" s="1589">
        <f t="shared" ref="C66:C74" si="29">SUM(D66:J66)</f>
        <v>-999.99999999999989</v>
      </c>
      <c r="D66" s="1591">
        <f t="shared" si="21"/>
        <v>-17.146666666666668</v>
      </c>
      <c r="E66" s="1591">
        <f t="shared" si="22"/>
        <v>-17.146666666666668</v>
      </c>
      <c r="F66" s="1591">
        <f t="shared" si="23"/>
        <v>-17.146666666666668</v>
      </c>
      <c r="G66" s="1591">
        <f t="shared" si="24"/>
        <v>-125</v>
      </c>
      <c r="H66" s="1591">
        <f t="shared" si="25"/>
        <v>-308.83499999999998</v>
      </c>
      <c r="I66" s="1591">
        <f t="shared" si="26"/>
        <v>-308.83499999999998</v>
      </c>
      <c r="J66" s="1591">
        <f t="shared" si="27"/>
        <v>-205.89</v>
      </c>
    </row>
    <row r="67" spans="1:10">
      <c r="A67" s="1596" t="str">
        <f>A9</f>
        <v>Tejon Payment (Signing of Land Lease Option)</v>
      </c>
      <c r="B67" s="1594">
        <f t="shared" si="28"/>
        <v>-500</v>
      </c>
      <c r="C67" s="1589">
        <f t="shared" si="29"/>
        <v>-500</v>
      </c>
      <c r="D67" s="1591">
        <f t="shared" si="21"/>
        <v>-500</v>
      </c>
      <c r="E67" s="1591">
        <f t="shared" si="22"/>
        <v>0</v>
      </c>
      <c r="F67" s="1591">
        <f t="shared" si="23"/>
        <v>0</v>
      </c>
      <c r="G67" s="1591">
        <f t="shared" si="24"/>
        <v>0</v>
      </c>
      <c r="H67" s="1591">
        <f t="shared" si="25"/>
        <v>0</v>
      </c>
      <c r="I67" s="1591">
        <f t="shared" si="26"/>
        <v>0</v>
      </c>
      <c r="J67" s="1591">
        <f t="shared" si="27"/>
        <v>0</v>
      </c>
    </row>
    <row r="68" spans="1:10">
      <c r="A68" s="1596" t="s">
        <v>1201</v>
      </c>
      <c r="B68" s="1594">
        <f t="shared" si="28"/>
        <v>-250</v>
      </c>
      <c r="C68" s="1589">
        <f t="shared" si="29"/>
        <v>-250</v>
      </c>
      <c r="D68" s="1591">
        <f t="shared" si="21"/>
        <v>0</v>
      </c>
      <c r="E68" s="1591">
        <f t="shared" si="22"/>
        <v>0</v>
      </c>
      <c r="F68" s="1591">
        <f t="shared" si="23"/>
        <v>-250</v>
      </c>
      <c r="G68" s="1591">
        <f t="shared" si="24"/>
        <v>0</v>
      </c>
      <c r="H68" s="1591">
        <f t="shared" si="25"/>
        <v>0</v>
      </c>
      <c r="I68" s="1591">
        <f t="shared" si="26"/>
        <v>0</v>
      </c>
      <c r="J68" s="1591">
        <f t="shared" si="27"/>
        <v>0</v>
      </c>
    </row>
    <row r="69" spans="1:10">
      <c r="A69" s="1596" t="str">
        <f t="shared" ref="A69:A79" si="30">A11</f>
        <v>Tejon Payment (Data Adequacy and Water)</v>
      </c>
      <c r="B69" s="1594">
        <f t="shared" si="28"/>
        <v>0</v>
      </c>
      <c r="C69" s="1589">
        <f t="shared" si="29"/>
        <v>-1000</v>
      </c>
      <c r="D69" s="1591">
        <f t="shared" si="21"/>
        <v>0</v>
      </c>
      <c r="E69" s="1591">
        <f t="shared" si="22"/>
        <v>0</v>
      </c>
      <c r="F69" s="1591">
        <f t="shared" si="23"/>
        <v>0</v>
      </c>
      <c r="G69" s="1591">
        <f t="shared" si="24"/>
        <v>0</v>
      </c>
      <c r="H69" s="1591">
        <f t="shared" si="25"/>
        <v>0</v>
      </c>
      <c r="I69" s="1591">
        <f t="shared" si="26"/>
        <v>0</v>
      </c>
      <c r="J69" s="1591">
        <f t="shared" si="27"/>
        <v>-1000</v>
      </c>
    </row>
    <row r="70" spans="1:10">
      <c r="A70" s="1596" t="str">
        <f t="shared" si="30"/>
        <v>Tejon Monthly Payments</v>
      </c>
      <c r="B70" s="1594">
        <f t="shared" si="28"/>
        <v>-1100</v>
      </c>
      <c r="C70" s="1589">
        <f t="shared" si="29"/>
        <v>-1900</v>
      </c>
      <c r="D70" s="1591">
        <f t="shared" si="21"/>
        <v>-200</v>
      </c>
      <c r="E70" s="1591">
        <f t="shared" si="22"/>
        <v>-300</v>
      </c>
      <c r="F70" s="1591">
        <f t="shared" si="23"/>
        <v>-300</v>
      </c>
      <c r="G70" s="1591">
        <f t="shared" si="24"/>
        <v>-300</v>
      </c>
      <c r="H70" s="1591">
        <f t="shared" si="25"/>
        <v>-300</v>
      </c>
      <c r="I70" s="1591">
        <f t="shared" si="26"/>
        <v>-300</v>
      </c>
      <c r="J70" s="1591">
        <f t="shared" si="27"/>
        <v>-200</v>
      </c>
    </row>
    <row r="71" spans="1:10">
      <c r="A71" s="1596" t="str">
        <f t="shared" si="30"/>
        <v>Transmission Queue Position</v>
      </c>
      <c r="B71" s="1594">
        <f t="shared" si="28"/>
        <v>-4000</v>
      </c>
      <c r="C71" s="1589">
        <f>SUM(D71:J71)</f>
        <v>-4000</v>
      </c>
      <c r="D71" s="1591">
        <f t="shared" ref="D71:D79" si="31">SUM(C13:G13)</f>
        <v>0</v>
      </c>
      <c r="E71" s="1591">
        <f t="shared" ref="E71:E79" si="32">SUM(H13:J13)</f>
        <v>0</v>
      </c>
      <c r="F71" s="1591">
        <f t="shared" ref="F71:F79" si="33">SUM(K13:M13)</f>
        <v>0</v>
      </c>
      <c r="G71" s="1591">
        <f t="shared" ref="G71:G79" si="34">SUM(N13:P13)</f>
        <v>-4000</v>
      </c>
      <c r="H71" s="1591">
        <f t="shared" ref="H71:H79" si="35">SUM(Q13:S13)</f>
        <v>0</v>
      </c>
      <c r="I71" s="1591">
        <f t="shared" ref="I71:I79" si="36">SUM(T13:V13)</f>
        <v>0</v>
      </c>
      <c r="J71" s="1591">
        <f t="shared" ref="J71:J79" si="37">SUM(W13:X13)</f>
        <v>0</v>
      </c>
    </row>
    <row r="72" spans="1:10">
      <c r="A72" s="1596" t="str">
        <f t="shared" si="30"/>
        <v>Environmental Permitting-Woody Clyde</v>
      </c>
      <c r="B72" s="1594">
        <f t="shared" si="28"/>
        <v>-1129</v>
      </c>
      <c r="C72" s="1589">
        <f t="shared" si="29"/>
        <v>-1800</v>
      </c>
      <c r="D72" s="1591">
        <f t="shared" si="31"/>
        <v>-224</v>
      </c>
      <c r="E72" s="1591">
        <f t="shared" si="32"/>
        <v>-224</v>
      </c>
      <c r="F72" s="1591">
        <f t="shared" si="33"/>
        <v>-224</v>
      </c>
      <c r="G72" s="1591">
        <f t="shared" si="34"/>
        <v>-457</v>
      </c>
      <c r="H72" s="1591">
        <f t="shared" si="35"/>
        <v>-251.625</v>
      </c>
      <c r="I72" s="1591">
        <f t="shared" si="36"/>
        <v>-251.625</v>
      </c>
      <c r="J72" s="1591">
        <f t="shared" si="37"/>
        <v>-167.75</v>
      </c>
    </row>
    <row r="73" spans="1:10">
      <c r="A73" s="1596" t="str">
        <f t="shared" si="30"/>
        <v>Environmental Permitting-Patch</v>
      </c>
      <c r="B73" s="1594">
        <f t="shared" si="28"/>
        <v>-707</v>
      </c>
      <c r="C73" s="1589">
        <f>SUM(D73:J73)</f>
        <v>-830</v>
      </c>
      <c r="D73" s="1591">
        <f t="shared" si="31"/>
        <v>-142.33333333333331</v>
      </c>
      <c r="E73" s="1591">
        <f t="shared" si="32"/>
        <v>-142.33333333333331</v>
      </c>
      <c r="F73" s="1591">
        <f t="shared" si="33"/>
        <v>-142.33333333333331</v>
      </c>
      <c r="G73" s="1591">
        <f t="shared" si="34"/>
        <v>-280</v>
      </c>
      <c r="H73" s="1591">
        <f t="shared" si="35"/>
        <v>-46.125</v>
      </c>
      <c r="I73" s="1591">
        <f t="shared" si="36"/>
        <v>-46.125</v>
      </c>
      <c r="J73" s="1591">
        <f t="shared" si="37"/>
        <v>-30.75</v>
      </c>
    </row>
    <row r="74" spans="1:10">
      <c r="A74" s="1596" t="str">
        <f t="shared" si="30"/>
        <v>Air District Filing Fee</v>
      </c>
      <c r="B74" s="1594">
        <f t="shared" si="28"/>
        <v>0</v>
      </c>
      <c r="C74" s="1589">
        <f t="shared" si="29"/>
        <v>-100</v>
      </c>
      <c r="D74" s="1591">
        <f t="shared" si="31"/>
        <v>0</v>
      </c>
      <c r="E74" s="1591">
        <f t="shared" si="32"/>
        <v>0</v>
      </c>
      <c r="F74" s="1591">
        <f t="shared" si="33"/>
        <v>0</v>
      </c>
      <c r="G74" s="1591">
        <f t="shared" si="34"/>
        <v>0</v>
      </c>
      <c r="H74" s="1591">
        <f t="shared" si="35"/>
        <v>-100</v>
      </c>
      <c r="I74" s="1591">
        <f t="shared" si="36"/>
        <v>0</v>
      </c>
      <c r="J74" s="1591">
        <f t="shared" si="37"/>
        <v>0</v>
      </c>
    </row>
    <row r="75" spans="1:10">
      <c r="A75" s="1596" t="str">
        <f t="shared" si="30"/>
        <v>Pre-Financial Closing Legal Fees</v>
      </c>
      <c r="B75" s="1594">
        <f>SUM(D75:G75)</f>
        <v>-759.27272727272725</v>
      </c>
      <c r="C75" s="1589">
        <f>SUM(D75:J75)</f>
        <v>-2000</v>
      </c>
      <c r="D75" s="1591">
        <f t="shared" si="31"/>
        <v>-117.6</v>
      </c>
      <c r="E75" s="1591">
        <f t="shared" si="32"/>
        <v>-88.199999999999989</v>
      </c>
      <c r="F75" s="1591">
        <f t="shared" si="33"/>
        <v>-88.199999999999989</v>
      </c>
      <c r="G75" s="1591">
        <f t="shared" si="34"/>
        <v>-465.27272727272725</v>
      </c>
      <c r="H75" s="1591">
        <f t="shared" si="35"/>
        <v>-465.27272727272725</v>
      </c>
      <c r="I75" s="1591">
        <f t="shared" si="36"/>
        <v>-465.27272727272725</v>
      </c>
      <c r="J75" s="1591">
        <f t="shared" si="37"/>
        <v>-310.18181818181819</v>
      </c>
    </row>
    <row r="76" spans="1:10">
      <c r="A76" s="1596" t="str">
        <f t="shared" si="30"/>
        <v>Engineering</v>
      </c>
      <c r="B76" s="1594">
        <f>SUM(D76:G76)</f>
        <v>-154.63636363636363</v>
      </c>
      <c r="C76" s="1589">
        <f>SUM(D76:J76)</f>
        <v>-567</v>
      </c>
      <c r="D76" s="1591">
        <f t="shared" si="31"/>
        <v>0</v>
      </c>
      <c r="E76" s="1591">
        <f t="shared" si="32"/>
        <v>0</v>
      </c>
      <c r="F76" s="1591">
        <f t="shared" si="33"/>
        <v>0</v>
      </c>
      <c r="G76" s="1591">
        <f t="shared" si="34"/>
        <v>-154.63636363636363</v>
      </c>
      <c r="H76" s="1591">
        <f t="shared" si="35"/>
        <v>-154.63636363636363</v>
      </c>
      <c r="I76" s="1591">
        <f t="shared" si="36"/>
        <v>-154.63636363636363</v>
      </c>
      <c r="J76" s="1591">
        <f t="shared" si="37"/>
        <v>-103.09090909090909</v>
      </c>
    </row>
    <row r="77" spans="1:10">
      <c r="A77" s="1596" t="str">
        <f t="shared" si="30"/>
        <v>Advance Water Payments</v>
      </c>
      <c r="B77" s="1594">
        <f>SUM(D77:G77)</f>
        <v>0</v>
      </c>
      <c r="C77" s="1589">
        <f>SUM(D77:J77)</f>
        <v>-500</v>
      </c>
      <c r="D77" s="1591">
        <f t="shared" si="31"/>
        <v>0</v>
      </c>
      <c r="E77" s="1591">
        <f t="shared" si="32"/>
        <v>0</v>
      </c>
      <c r="F77" s="1591">
        <f t="shared" si="33"/>
        <v>0</v>
      </c>
      <c r="G77" s="1591">
        <f t="shared" si="34"/>
        <v>0</v>
      </c>
      <c r="H77" s="1591">
        <f t="shared" si="35"/>
        <v>-500</v>
      </c>
      <c r="I77" s="1591">
        <f t="shared" si="36"/>
        <v>0</v>
      </c>
      <c r="J77" s="1591">
        <f t="shared" si="37"/>
        <v>0</v>
      </c>
    </row>
    <row r="78" spans="1:10">
      <c r="A78" s="1650" t="str">
        <f t="shared" si="30"/>
        <v>Miscellaneous</v>
      </c>
      <c r="B78" s="1594">
        <f>SUM(D78:G78)</f>
        <v>-356</v>
      </c>
      <c r="C78" s="1589">
        <f>SUM(D78:J78)</f>
        <v>-500</v>
      </c>
      <c r="D78" s="1651">
        <f t="shared" si="31"/>
        <v>-75.2</v>
      </c>
      <c r="E78" s="1651">
        <f t="shared" si="32"/>
        <v>-56.400000000000006</v>
      </c>
      <c r="F78" s="1651">
        <f t="shared" si="33"/>
        <v>-56.400000000000006</v>
      </c>
      <c r="G78" s="1651">
        <f t="shared" si="34"/>
        <v>-168</v>
      </c>
      <c r="H78" s="1651">
        <f t="shared" si="35"/>
        <v>-54</v>
      </c>
      <c r="I78" s="1651">
        <f t="shared" si="36"/>
        <v>-54</v>
      </c>
      <c r="J78" s="1651">
        <f t="shared" si="37"/>
        <v>-36</v>
      </c>
    </row>
    <row r="79" spans="1:10">
      <c r="A79" s="1599" t="str">
        <f t="shared" si="30"/>
        <v>Contingency</v>
      </c>
      <c r="B79" s="1808">
        <f>SUM(D79:G79)</f>
        <v>0</v>
      </c>
      <c r="C79" s="1592">
        <f>SUM(D79:J79)</f>
        <v>-5000</v>
      </c>
      <c r="D79" s="1600">
        <f t="shared" si="31"/>
        <v>0</v>
      </c>
      <c r="E79" s="1600">
        <f t="shared" si="32"/>
        <v>0</v>
      </c>
      <c r="F79" s="1600">
        <f t="shared" si="33"/>
        <v>0</v>
      </c>
      <c r="G79" s="1600">
        <f t="shared" si="34"/>
        <v>0</v>
      </c>
      <c r="H79" s="1600">
        <f t="shared" si="35"/>
        <v>-1875</v>
      </c>
      <c r="I79" s="1600">
        <f t="shared" si="36"/>
        <v>-1875</v>
      </c>
      <c r="J79" s="1600">
        <f t="shared" si="37"/>
        <v>-1250</v>
      </c>
    </row>
    <row r="80" spans="1:10">
      <c r="A80" s="1652" t="s">
        <v>1099</v>
      </c>
      <c r="B80" s="1593">
        <f t="shared" ref="B80:J80" si="38">SUM(B65:B79)</f>
        <v>-9132.3490909090924</v>
      </c>
      <c r="C80" s="1589">
        <f t="shared" si="38"/>
        <v>-29847</v>
      </c>
      <c r="D80" s="1593">
        <f t="shared" si="38"/>
        <v>-1276.28</v>
      </c>
      <c r="E80" s="1593">
        <f t="shared" si="38"/>
        <v>-828.08</v>
      </c>
      <c r="F80" s="1593">
        <f t="shared" si="38"/>
        <v>-1078.0800000000002</v>
      </c>
      <c r="G80" s="1593">
        <f t="shared" si="38"/>
        <v>-5949.909090909091</v>
      </c>
      <c r="H80" s="1593">
        <f t="shared" si="38"/>
        <v>-8655.494090909091</v>
      </c>
      <c r="I80" s="1593">
        <f t="shared" si="38"/>
        <v>-8755.494090909091</v>
      </c>
      <c r="J80" s="1593">
        <f t="shared" si="38"/>
        <v>-3303.6627272727274</v>
      </c>
    </row>
    <row r="81" spans="1:10">
      <c r="B81" s="1554"/>
      <c r="C81" s="1781"/>
    </row>
    <row r="82" spans="1:10">
      <c r="A82" s="1652" t="s">
        <v>1102</v>
      </c>
      <c r="B82" s="1594">
        <f>SUM(D82:G82)</f>
        <v>-3943</v>
      </c>
      <c r="C82" s="1589">
        <f>SUM(D82:J82)</f>
        <v>-29362</v>
      </c>
      <c r="D82" s="1591">
        <f>SUM(C25:G25)</f>
        <v>-11.666666666666666</v>
      </c>
      <c r="E82" s="1591">
        <f>SUM(H25:J25)</f>
        <v>-11.666666666666666</v>
      </c>
      <c r="F82" s="1591">
        <f>SUM(K25:M25)</f>
        <v>-11.666666666666666</v>
      </c>
      <c r="G82" s="1591">
        <f>SUM(N25:P25)</f>
        <v>-3908</v>
      </c>
      <c r="H82" s="1591">
        <f>SUM(Q25:S25)</f>
        <v>-5677</v>
      </c>
      <c r="I82" s="1591">
        <f>SUM(T25:V25)</f>
        <v>-19742</v>
      </c>
      <c r="J82" s="1591">
        <f>SUM(W25:X25)</f>
        <v>0</v>
      </c>
    </row>
    <row r="83" spans="1:10">
      <c r="A83" s="1554"/>
      <c r="B83" s="1594"/>
      <c r="C83" s="1589"/>
      <c r="D83" s="1593"/>
      <c r="E83" s="1594"/>
      <c r="F83" s="1593"/>
      <c r="G83" s="1593"/>
      <c r="H83" s="1593"/>
      <c r="I83" s="1594"/>
      <c r="J83" s="1594"/>
    </row>
    <row r="84" spans="1:10">
      <c r="A84" s="1652" t="s">
        <v>1152</v>
      </c>
      <c r="B84" s="1594">
        <f>G84</f>
        <v>-13075.349090909091</v>
      </c>
      <c r="C84" s="1589">
        <f>J84</f>
        <v>-59209</v>
      </c>
      <c r="D84" s="1594">
        <f>SUM($D$80:D80)+SUM($D$82:D82)</f>
        <v>-1287.9466666666667</v>
      </c>
      <c r="E84" s="1594">
        <f>SUM($D$80:E80)+SUM($D$82:E82)</f>
        <v>-2127.6933333333336</v>
      </c>
      <c r="F84" s="1594">
        <f>SUM($D$80:F80)+SUM($D$82:F82)</f>
        <v>-3217.4400000000005</v>
      </c>
      <c r="G84" s="1594">
        <f>SUM($D$80:G80)+SUM($D$82:G82)</f>
        <v>-13075.349090909091</v>
      </c>
      <c r="H84" s="1594">
        <f>SUM($D$80:H80)+SUM($D$82:H82)</f>
        <v>-27407.843181818182</v>
      </c>
      <c r="I84" s="1594">
        <f>SUM($D$80:I80)+SUM($D$82:I82)</f>
        <v>-55905.337272727273</v>
      </c>
      <c r="J84" s="1594">
        <f>SUM($D$80:J80)+SUM($D$82:J82)</f>
        <v>-59209</v>
      </c>
    </row>
    <row r="85" spans="1:10">
      <c r="B85" s="1554"/>
      <c r="C85" s="1781"/>
    </row>
    <row r="86" spans="1:10">
      <c r="A86" s="1554" t="s">
        <v>1097</v>
      </c>
      <c r="B86" s="1554"/>
      <c r="C86" s="1781"/>
    </row>
    <row r="87" spans="1:10">
      <c r="A87" s="1596" t="str">
        <f>A32</f>
        <v>Tejon Makeup Payment</v>
      </c>
      <c r="B87" s="1594">
        <f ca="1">SUM(D87:G87)</f>
        <v>0</v>
      </c>
      <c r="C87" s="1589">
        <f ca="1">SUM(D87:J87)</f>
        <v>-1912.8632069997707</v>
      </c>
      <c r="D87" s="1591">
        <f t="shared" ref="D87:D92" ca="1" si="39">SUM(C32:G32)</f>
        <v>0</v>
      </c>
      <c r="E87" s="1591">
        <f t="shared" ref="E87:E92" ca="1" si="40">SUM(H32:J32)</f>
        <v>0</v>
      </c>
      <c r="F87" s="1591">
        <f t="shared" ref="F87:F92" ca="1" si="41">SUM(K32:M32)</f>
        <v>0</v>
      </c>
      <c r="G87" s="1591">
        <f t="shared" ref="G87:G92" ca="1" si="42">SUM(N32:P32)</f>
        <v>0</v>
      </c>
      <c r="H87" s="1591">
        <f t="shared" ref="H87:H92" ca="1" si="43">SUM(Q32:S32)</f>
        <v>0</v>
      </c>
      <c r="I87" s="1591">
        <f t="shared" ref="I87:I92" ca="1" si="44">SUM(T32:V32)</f>
        <v>0</v>
      </c>
      <c r="J87" s="1591">
        <f t="shared" ref="J87:J92" ca="1" si="45">SUM(W32:X32)</f>
        <v>-1912.8632069997707</v>
      </c>
    </row>
    <row r="88" spans="1:10">
      <c r="A88" s="1596" t="str">
        <f>A33</f>
        <v>Patch/Thompson</v>
      </c>
      <c r="B88" s="1594">
        <f>SUM(D88:G88)</f>
        <v>0</v>
      </c>
      <c r="C88" s="1589">
        <f>SUM(D88:J88)</f>
        <v>-1000</v>
      </c>
      <c r="D88" s="1591">
        <f t="shared" si="39"/>
        <v>0</v>
      </c>
      <c r="E88" s="1591">
        <f t="shared" si="40"/>
        <v>0</v>
      </c>
      <c r="F88" s="1591">
        <f t="shared" si="41"/>
        <v>0</v>
      </c>
      <c r="G88" s="1591">
        <f t="shared" si="42"/>
        <v>0</v>
      </c>
      <c r="H88" s="1591">
        <f t="shared" si="43"/>
        <v>0</v>
      </c>
      <c r="I88" s="1591">
        <f t="shared" si="44"/>
        <v>0</v>
      </c>
      <c r="J88" s="1591">
        <f t="shared" si="45"/>
        <v>-1000</v>
      </c>
    </row>
    <row r="89" spans="1:10">
      <c r="A89" s="1596" t="str">
        <f>A34</f>
        <v>Financial Closing Legal Fees</v>
      </c>
      <c r="B89" s="1594">
        <f>SUM(D89:G89)</f>
        <v>0</v>
      </c>
      <c r="C89" s="1589">
        <f>SUM(D89:J89)</f>
        <v>-750</v>
      </c>
      <c r="D89" s="1591">
        <f t="shared" si="39"/>
        <v>0</v>
      </c>
      <c r="E89" s="1591">
        <f t="shared" si="40"/>
        <v>0</v>
      </c>
      <c r="F89" s="1591">
        <f t="shared" si="41"/>
        <v>0</v>
      </c>
      <c r="G89" s="1591">
        <f t="shared" si="42"/>
        <v>0</v>
      </c>
      <c r="H89" s="1591">
        <f t="shared" si="43"/>
        <v>0</v>
      </c>
      <c r="I89" s="1591">
        <f t="shared" si="44"/>
        <v>-375</v>
      </c>
      <c r="J89" s="1591">
        <f t="shared" si="45"/>
        <v>-375</v>
      </c>
    </row>
    <row r="90" spans="1:10" ht="12" customHeight="1">
      <c r="A90" s="1596" t="str">
        <f>A35</f>
        <v>Lender's Legal Fees</v>
      </c>
      <c r="B90" s="1594">
        <f>SUM(D90:G90)</f>
        <v>0</v>
      </c>
      <c r="C90" s="1589">
        <f>SUM(D90:J90)</f>
        <v>-250</v>
      </c>
      <c r="D90" s="1591">
        <f t="shared" si="39"/>
        <v>0</v>
      </c>
      <c r="E90" s="1591">
        <f t="shared" si="40"/>
        <v>0</v>
      </c>
      <c r="F90" s="1591">
        <f t="shared" si="41"/>
        <v>0</v>
      </c>
      <c r="G90" s="1591">
        <f t="shared" si="42"/>
        <v>0</v>
      </c>
      <c r="H90" s="1591">
        <f t="shared" si="43"/>
        <v>0</v>
      </c>
      <c r="I90" s="1591">
        <f t="shared" si="44"/>
        <v>0</v>
      </c>
      <c r="J90" s="1591">
        <f t="shared" si="45"/>
        <v>-250</v>
      </c>
    </row>
    <row r="91" spans="1:10" ht="12" customHeight="1">
      <c r="A91" s="1599" t="s">
        <v>1054</v>
      </c>
      <c r="B91" s="1808">
        <f>SUM(D91:G91)</f>
        <v>0</v>
      </c>
      <c r="C91" s="1592">
        <f>SUM(D91:J91)</f>
        <v>-100</v>
      </c>
      <c r="D91" s="1600">
        <f t="shared" si="39"/>
        <v>0</v>
      </c>
      <c r="E91" s="1600">
        <f t="shared" si="40"/>
        <v>0</v>
      </c>
      <c r="F91" s="1600">
        <f t="shared" si="41"/>
        <v>0</v>
      </c>
      <c r="G91" s="1600">
        <f t="shared" si="42"/>
        <v>0</v>
      </c>
      <c r="H91" s="1600">
        <f t="shared" si="43"/>
        <v>0</v>
      </c>
      <c r="I91" s="1600">
        <f t="shared" si="44"/>
        <v>-37.5</v>
      </c>
      <c r="J91" s="1600">
        <f t="shared" si="45"/>
        <v>-62.5</v>
      </c>
    </row>
    <row r="92" spans="1:10">
      <c r="A92" s="1652" t="s">
        <v>1098</v>
      </c>
      <c r="B92" s="1594">
        <f ca="1">SUM(B87:B91)</f>
        <v>0</v>
      </c>
      <c r="C92" s="1589">
        <f ca="1">SUM(C87:C91)</f>
        <v>-4012.8632069997707</v>
      </c>
      <c r="D92" s="1593">
        <f t="shared" ca="1" si="39"/>
        <v>0</v>
      </c>
      <c r="E92" s="1594">
        <f t="shared" ca="1" si="40"/>
        <v>0</v>
      </c>
      <c r="F92" s="1593">
        <f t="shared" ca="1" si="41"/>
        <v>0</v>
      </c>
      <c r="G92" s="1593">
        <f t="shared" ca="1" si="42"/>
        <v>0</v>
      </c>
      <c r="H92" s="1593">
        <f t="shared" ca="1" si="43"/>
        <v>0</v>
      </c>
      <c r="I92" s="1594">
        <f t="shared" ca="1" si="44"/>
        <v>-412.5</v>
      </c>
      <c r="J92" s="1594">
        <f t="shared" ca="1" si="45"/>
        <v>-3600.3632069997707</v>
      </c>
    </row>
    <row r="93" spans="1:10">
      <c r="A93" s="1652"/>
      <c r="B93" s="1554"/>
      <c r="C93" s="1589"/>
      <c r="D93" s="1593"/>
      <c r="E93" s="1593"/>
      <c r="F93" s="1593"/>
      <c r="G93" s="1593"/>
      <c r="H93" s="1593"/>
      <c r="I93" s="1593"/>
    </row>
    <row r="94" spans="1:10">
      <c r="A94" s="1554" t="s">
        <v>1100</v>
      </c>
      <c r="B94" s="1594">
        <f ca="1">SUM(D94:F94)</f>
        <v>-3217.4400000000005</v>
      </c>
      <c r="C94" s="1589">
        <f ca="1">SUM(D94:J94)</f>
        <v>-63221.863206999777</v>
      </c>
      <c r="D94" s="1594">
        <f t="shared" ref="D94:J94" ca="1" si="46">D80+D92+D82</f>
        <v>-1287.9466666666667</v>
      </c>
      <c r="E94" s="1594">
        <f t="shared" ca="1" si="46"/>
        <v>-839.74666666666667</v>
      </c>
      <c r="F94" s="1594">
        <f t="shared" ca="1" si="46"/>
        <v>-1089.7466666666669</v>
      </c>
      <c r="G94" s="1594">
        <f t="shared" ca="1" si="46"/>
        <v>-9857.9090909090919</v>
      </c>
      <c r="H94" s="1594">
        <f t="shared" ca="1" si="46"/>
        <v>-14332.494090909091</v>
      </c>
      <c r="I94" s="1594">
        <f t="shared" ca="1" si="46"/>
        <v>-28909.994090909091</v>
      </c>
      <c r="J94" s="1594">
        <f t="shared" ca="1" si="46"/>
        <v>-6904.0259342724985</v>
      </c>
    </row>
    <row r="95" spans="1:10" ht="12.75">
      <c r="A95" s="1554" t="s">
        <v>1101</v>
      </c>
      <c r="B95" s="1554"/>
      <c r="C95" s="1509"/>
      <c r="D95" s="1594">
        <f ca="1">SUM($D$94:D94)</f>
        <v>-1287.9466666666667</v>
      </c>
      <c r="E95" s="1594">
        <f ca="1">SUM($D$94:E94)</f>
        <v>-2127.6933333333336</v>
      </c>
      <c r="F95" s="1594">
        <f ca="1">SUM($D$94:F94)</f>
        <v>-3217.4400000000005</v>
      </c>
      <c r="G95" s="1594">
        <f ca="1">SUM($D$94:G94)</f>
        <v>-13075.349090909092</v>
      </c>
      <c r="H95" s="1594">
        <f ca="1">SUM($D$94:H94)</f>
        <v>-27407.843181818185</v>
      </c>
      <c r="I95" s="1594">
        <f ca="1">SUM($D$94:I94)</f>
        <v>-56317.83727272728</v>
      </c>
      <c r="J95" s="1594">
        <f ca="1">SUM($D$94:J94)</f>
        <v>-63221.863206999777</v>
      </c>
    </row>
    <row r="98" spans="1:9">
      <c r="E98" s="1591"/>
      <c r="I98" s="1591"/>
    </row>
    <row r="99" spans="1:9">
      <c r="C99" s="1649"/>
    </row>
    <row r="103" spans="1:9" ht="12.75">
      <c r="A103"/>
      <c r="B103"/>
      <c r="C103"/>
      <c r="D103"/>
      <c r="E103"/>
    </row>
    <row r="104" spans="1:9" ht="12.75">
      <c r="A104"/>
      <c r="B104"/>
      <c r="C104"/>
      <c r="D104"/>
      <c r="E104"/>
    </row>
    <row r="105" spans="1:9" ht="12.75">
      <c r="A105"/>
      <c r="B105"/>
      <c r="C105"/>
      <c r="D105"/>
      <c r="E105"/>
    </row>
    <row r="106" spans="1:9" ht="12.75">
      <c r="A106"/>
      <c r="B106"/>
      <c r="C106"/>
      <c r="D106"/>
      <c r="E106"/>
    </row>
    <row r="107" spans="1:9" ht="12.75">
      <c r="A107"/>
      <c r="B107"/>
      <c r="C107"/>
      <c r="D107"/>
      <c r="E107"/>
    </row>
    <row r="108" spans="1:9" ht="12.75">
      <c r="A108"/>
      <c r="B108"/>
      <c r="C108"/>
      <c r="D108"/>
      <c r="E108"/>
    </row>
    <row r="109" spans="1:9" ht="12.75">
      <c r="A109"/>
      <c r="B109"/>
      <c r="C109"/>
      <c r="D109"/>
      <c r="E109"/>
    </row>
    <row r="110" spans="1:9" ht="12.75">
      <c r="A110"/>
      <c r="B110"/>
      <c r="C110"/>
      <c r="D110"/>
      <c r="E110"/>
    </row>
    <row r="111" spans="1:9" ht="12.75">
      <c r="A111"/>
      <c r="B111"/>
      <c r="C111"/>
      <c r="D111"/>
      <c r="E111"/>
    </row>
    <row r="112" spans="1:9" ht="12.75">
      <c r="A112"/>
      <c r="B112"/>
      <c r="C112"/>
      <c r="D112"/>
      <c r="E112"/>
    </row>
    <row r="113" spans="1:6" ht="12.75">
      <c r="A113"/>
      <c r="B113"/>
      <c r="C113"/>
      <c r="D113"/>
      <c r="E113"/>
    </row>
    <row r="114" spans="1:6" ht="12.75">
      <c r="A114"/>
      <c r="B114"/>
      <c r="C114"/>
      <c r="D114"/>
      <c r="E114"/>
    </row>
    <row r="115" spans="1:6" ht="12.75">
      <c r="A115"/>
      <c r="B115"/>
      <c r="C115"/>
      <c r="D115"/>
      <c r="E115"/>
    </row>
    <row r="116" spans="1:6" ht="12.75">
      <c r="A116"/>
      <c r="B116"/>
      <c r="C116"/>
      <c r="D116"/>
      <c r="E116"/>
    </row>
    <row r="117" spans="1:6" ht="12.75">
      <c r="A117"/>
      <c r="B117"/>
      <c r="C117"/>
      <c r="D117"/>
      <c r="E117"/>
    </row>
    <row r="118" spans="1:6" ht="12.75">
      <c r="A118"/>
      <c r="B118"/>
      <c r="C118"/>
      <c r="D118"/>
      <c r="E118"/>
      <c r="F118"/>
    </row>
    <row r="119" spans="1:6" ht="12.75">
      <c r="A119"/>
      <c r="B119"/>
      <c r="C119"/>
      <c r="D119"/>
      <c r="E119"/>
      <c r="F119"/>
    </row>
    <row r="120" spans="1:6" ht="12.75">
      <c r="A120"/>
      <c r="B120"/>
      <c r="C120"/>
      <c r="D120"/>
      <c r="E120"/>
      <c r="F120"/>
    </row>
    <row r="121" spans="1:6" ht="12.75">
      <c r="A121"/>
      <c r="B121"/>
      <c r="C121"/>
      <c r="D121"/>
      <c r="E121"/>
      <c r="F121"/>
    </row>
    <row r="122" spans="1:6" ht="12.75">
      <c r="A122"/>
      <c r="B122"/>
      <c r="C122"/>
      <c r="D122"/>
      <c r="E122"/>
      <c r="F122"/>
    </row>
    <row r="123" spans="1:6" ht="12.75">
      <c r="A123"/>
      <c r="B123"/>
      <c r="C123"/>
      <c r="D123"/>
      <c r="E123"/>
      <c r="F123"/>
    </row>
    <row r="124" spans="1:6" ht="12.75">
      <c r="A124"/>
      <c r="B124"/>
      <c r="C124"/>
      <c r="D124"/>
      <c r="E124"/>
      <c r="F124"/>
    </row>
    <row r="125" spans="1:6" ht="12.75">
      <c r="A125"/>
      <c r="B125"/>
      <c r="C125"/>
      <c r="D125"/>
      <c r="E125"/>
      <c r="F125"/>
    </row>
    <row r="126" spans="1:6" ht="12.75">
      <c r="A126"/>
      <c r="B126"/>
      <c r="C126"/>
      <c r="D126"/>
      <c r="E126"/>
      <c r="F126"/>
    </row>
    <row r="127" spans="1:6" ht="12.75">
      <c r="A127"/>
      <c r="B127"/>
      <c r="C127"/>
      <c r="D127"/>
      <c r="E127"/>
      <c r="F127"/>
    </row>
    <row r="128" spans="1:6" ht="12.75">
      <c r="A128"/>
      <c r="B128"/>
      <c r="C128"/>
      <c r="D128"/>
      <c r="E128"/>
      <c r="F128"/>
    </row>
    <row r="129" spans="1:6" ht="12.75">
      <c r="A129"/>
      <c r="B129"/>
      <c r="C129"/>
      <c r="D129"/>
      <c r="E129"/>
      <c r="F129"/>
    </row>
    <row r="130" spans="1:6" ht="12.75">
      <c r="A130"/>
      <c r="B130"/>
      <c r="C130"/>
      <c r="D130"/>
      <c r="E130"/>
      <c r="F130"/>
    </row>
    <row r="131" spans="1:6" ht="12.75">
      <c r="A131"/>
      <c r="B131"/>
      <c r="C131"/>
      <c r="D131"/>
      <c r="E131"/>
      <c r="F131"/>
    </row>
    <row r="132" spans="1:6" ht="12.75">
      <c r="A132"/>
      <c r="B132"/>
      <c r="C132"/>
      <c r="D132"/>
      <c r="E132"/>
      <c r="F132"/>
    </row>
    <row r="133" spans="1:6" ht="12.75">
      <c r="A133"/>
      <c r="B133"/>
      <c r="C133"/>
      <c r="D133"/>
      <c r="E133"/>
      <c r="F133"/>
    </row>
    <row r="134" spans="1:6" ht="12.75">
      <c r="A134"/>
      <c r="B134"/>
      <c r="C134"/>
      <c r="D134"/>
      <c r="E134"/>
      <c r="F134"/>
    </row>
    <row r="135" spans="1:6" ht="12.75">
      <c r="A135"/>
      <c r="B135"/>
      <c r="C135"/>
      <c r="D135"/>
      <c r="E135"/>
      <c r="F135"/>
    </row>
    <row r="136" spans="1:6" ht="12.75">
      <c r="A136"/>
      <c r="B136"/>
      <c r="C136"/>
      <c r="D136"/>
      <c r="E136"/>
      <c r="F136"/>
    </row>
    <row r="137" spans="1:6" ht="12.75">
      <c r="A137"/>
      <c r="B137"/>
      <c r="C137"/>
      <c r="D137"/>
      <c r="E137"/>
      <c r="F137"/>
    </row>
    <row r="138" spans="1:6" ht="12.75">
      <c r="A138"/>
      <c r="B138"/>
      <c r="C138"/>
      <c r="D138"/>
      <c r="E138"/>
      <c r="F138"/>
    </row>
    <row r="139" spans="1:6" ht="12.75">
      <c r="A139"/>
      <c r="B139"/>
      <c r="C139"/>
      <c r="D139"/>
      <c r="E139"/>
      <c r="F139"/>
    </row>
  </sheetData>
  <pageMargins left="0.75" right="0.75" top="1" bottom="1" header="0.5" footer="0.5"/>
  <pageSetup orientation="landscape" r:id="rId1"/>
  <headerFooter alignWithMargins="0">
    <oddFooter>&amp;C&amp;D  &amp;T&amp;R&amp;F</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Y175"/>
  <sheetViews>
    <sheetView topLeftCell="A10" zoomScale="75" zoomScaleNormal="75" workbookViewId="0">
      <selection activeCell="C19" sqref="C19"/>
    </sheetView>
  </sheetViews>
  <sheetFormatPr defaultColWidth="8" defaultRowHeight="11.25"/>
  <cols>
    <col min="1" max="1" width="23.85546875" style="665" customWidth="1"/>
    <col min="2" max="2" width="9.28515625" style="665" customWidth="1"/>
    <col min="3" max="3" width="12.140625" style="665" customWidth="1"/>
    <col min="4" max="4" width="9.42578125" style="665" customWidth="1"/>
    <col min="5" max="5" width="10.140625" style="665" customWidth="1"/>
    <col min="6" max="6" width="10.85546875" style="665" customWidth="1"/>
    <col min="7" max="7" width="10.140625" style="665" customWidth="1"/>
    <col min="8" max="8" width="11.42578125" style="665" customWidth="1"/>
    <col min="9" max="9" width="9.85546875" style="665" customWidth="1"/>
    <col min="10" max="10" width="11.140625" style="665" customWidth="1"/>
    <col min="11" max="11" width="10.42578125" style="665" customWidth="1"/>
    <col min="12" max="12" width="12.42578125" style="665" customWidth="1"/>
    <col min="13" max="13" width="8.140625" style="665" customWidth="1"/>
    <col min="14" max="14" width="10" style="665" customWidth="1"/>
    <col min="15" max="15" width="9.7109375" style="665" customWidth="1"/>
    <col min="16" max="16" width="9.42578125" style="665" customWidth="1"/>
    <col min="17" max="17" width="12.140625" style="665" customWidth="1"/>
    <col min="18" max="18" width="8.140625" style="665" bestFit="1" customWidth="1"/>
    <col min="19" max="19" width="7.5703125" style="665" customWidth="1"/>
    <col min="20" max="21" width="8.28515625" style="665" customWidth="1"/>
    <col min="22" max="23" width="8.140625" style="665" bestFit="1" customWidth="1"/>
    <col min="24" max="24" width="7.5703125" style="665" customWidth="1"/>
    <col min="25" max="25" width="13.42578125" style="665" bestFit="1" customWidth="1"/>
    <col min="26" max="16384" width="8" style="665"/>
  </cols>
  <sheetData>
    <row r="1" spans="1:24" ht="12.75">
      <c r="A1"/>
      <c r="B1" s="692"/>
      <c r="C1" s="692"/>
      <c r="D1" s="815"/>
      <c r="E1" s="815"/>
      <c r="F1" s="815"/>
      <c r="G1" s="815"/>
      <c r="H1" s="815"/>
      <c r="I1" s="815"/>
      <c r="J1" s="815"/>
      <c r="K1" s="815"/>
      <c r="L1" s="815"/>
      <c r="M1" s="815"/>
      <c r="N1" s="815"/>
      <c r="O1" s="815"/>
      <c r="P1" s="815"/>
      <c r="Q1" s="815"/>
      <c r="R1" s="815"/>
      <c r="S1" s="815"/>
      <c r="T1" s="815"/>
      <c r="U1" s="815"/>
      <c r="V1" s="815"/>
      <c r="W1" s="1433"/>
      <c r="X1" s="815"/>
    </row>
    <row r="2" spans="1:24">
      <c r="A2" s="703"/>
      <c r="B2" s="692"/>
      <c r="C2" s="692"/>
      <c r="D2" s="692"/>
      <c r="E2" s="692"/>
      <c r="F2" s="692"/>
      <c r="G2" s="692"/>
      <c r="H2" s="692"/>
      <c r="I2" s="692"/>
      <c r="J2" s="692"/>
      <c r="K2" s="692"/>
      <c r="L2" s="692"/>
      <c r="M2" s="692"/>
      <c r="N2" s="692"/>
      <c r="O2" s="692"/>
      <c r="P2" s="692"/>
      <c r="Q2" s="692"/>
      <c r="R2" s="692"/>
      <c r="S2" s="692"/>
      <c r="T2" s="692"/>
      <c r="U2" s="692"/>
      <c r="V2" s="692"/>
      <c r="W2" s="697"/>
    </row>
    <row r="3" spans="1:24" ht="18.75" thickBot="1">
      <c r="A3" s="664" t="s">
        <v>1034</v>
      </c>
      <c r="B3" s="692"/>
      <c r="C3" s="692"/>
      <c r="D3" s="692"/>
      <c r="E3" s="692"/>
      <c r="F3" s="692"/>
      <c r="G3" s="692"/>
      <c r="H3" s="692"/>
      <c r="I3" s="692"/>
      <c r="J3" s="692"/>
      <c r="K3" s="692"/>
      <c r="L3" s="692"/>
      <c r="M3" s="692"/>
      <c r="N3" s="692"/>
      <c r="O3" s="692"/>
      <c r="P3" s="692"/>
      <c r="Q3" s="692"/>
      <c r="R3" s="692"/>
      <c r="S3" s="692"/>
      <c r="T3" s="692"/>
      <c r="U3" s="692"/>
      <c r="V3" s="692"/>
      <c r="W3" s="697"/>
    </row>
    <row r="4" spans="1:24" ht="14.25" thickTop="1" thickBot="1">
      <c r="A4" s="1434"/>
      <c r="B4" s="804"/>
      <c r="C4" s="1642">
        <f>+Template!I3</f>
        <v>37986</v>
      </c>
      <c r="D4" s="1643">
        <f>+Template!J3</f>
        <v>2004</v>
      </c>
      <c r="E4" s="1643">
        <f>+Template!K3</f>
        <v>2005</v>
      </c>
      <c r="F4" s="1643">
        <f>+Template!L3</f>
        <v>2006</v>
      </c>
      <c r="G4" s="1643">
        <f>+Template!M3</f>
        <v>2007</v>
      </c>
      <c r="H4" s="1643">
        <f>+Template!N3</f>
        <v>2008</v>
      </c>
      <c r="I4" s="1643">
        <f>+Template!O3</f>
        <v>2009</v>
      </c>
      <c r="J4" s="1643">
        <f>+Template!P3</f>
        <v>2010</v>
      </c>
      <c r="K4" s="1643">
        <f>+Template!Q3</f>
        <v>2011</v>
      </c>
      <c r="L4" s="1643">
        <f>+Template!R3</f>
        <v>2012</v>
      </c>
      <c r="M4" s="1643">
        <f>+Template!S3</f>
        <v>2013</v>
      </c>
      <c r="N4" s="1643">
        <f>+Template!T3</f>
        <v>2014</v>
      </c>
      <c r="O4" s="1643">
        <f>+Template!U3</f>
        <v>2015</v>
      </c>
      <c r="P4" s="1643">
        <f>+Template!V3</f>
        <v>2016</v>
      </c>
      <c r="Q4" s="1643">
        <f>+Template!W3</f>
        <v>2017</v>
      </c>
      <c r="R4" s="1643">
        <f>+Template!X3</f>
        <v>2018</v>
      </c>
      <c r="S4" s="1643">
        <f>+Template!Y3</f>
        <v>2019</v>
      </c>
      <c r="T4" s="1643">
        <f>+Template!Z3</f>
        <v>2020</v>
      </c>
      <c r="U4" s="1643">
        <f>+Template!AA3</f>
        <v>2021</v>
      </c>
      <c r="V4" s="1643">
        <f>+Template!AB3</f>
        <v>2022</v>
      </c>
      <c r="W4" s="1644">
        <f>+Template!AC3</f>
        <v>2023</v>
      </c>
    </row>
    <row r="5" spans="1:24" ht="13.5" thickTop="1">
      <c r="A5" s="703"/>
      <c r="B5" s="804"/>
      <c r="C5" s="803"/>
      <c r="D5" s="803"/>
      <c r="E5" s="803"/>
      <c r="F5" s="803"/>
      <c r="G5" s="803"/>
      <c r="H5" s="803"/>
      <c r="I5" s="803"/>
      <c r="J5" s="803"/>
      <c r="K5" s="803"/>
      <c r="L5" s="803"/>
      <c r="M5" s="803"/>
      <c r="N5" s="803"/>
      <c r="O5" s="804"/>
      <c r="P5" s="804"/>
      <c r="Q5" s="804"/>
      <c r="R5" s="804"/>
      <c r="S5" s="804"/>
      <c r="T5" s="804"/>
      <c r="U5" s="804"/>
      <c r="V5" s="804"/>
      <c r="W5" s="1435"/>
    </row>
    <row r="6" spans="1:24" ht="12.75">
      <c r="A6" s="1436"/>
      <c r="B6" s="814"/>
      <c r="C6" s="805"/>
      <c r="D6" s="805"/>
      <c r="E6" s="805"/>
      <c r="F6" s="805"/>
      <c r="G6" s="805"/>
      <c r="H6" s="805"/>
      <c r="I6" s="805"/>
      <c r="J6" s="805"/>
      <c r="K6" s="805"/>
      <c r="L6" s="805"/>
      <c r="M6" s="805"/>
      <c r="N6" s="805"/>
      <c r="O6" s="805"/>
      <c r="P6" s="805"/>
      <c r="Q6" s="805"/>
      <c r="R6" s="805"/>
      <c r="S6" s="805"/>
      <c r="T6" s="805"/>
      <c r="U6" s="805"/>
      <c r="V6" s="805"/>
      <c r="W6" s="1437"/>
    </row>
    <row r="7" spans="1:24" ht="12.75">
      <c r="A7" s="1438" t="s">
        <v>492</v>
      </c>
      <c r="B7" s="1439">
        <f>+SUM(C7:W7)</f>
        <v>0</v>
      </c>
      <c r="C7" s="1486">
        <v>0</v>
      </c>
      <c r="D7" s="1486">
        <v>0</v>
      </c>
      <c r="E7" s="1486">
        <v>0</v>
      </c>
      <c r="F7" s="1486">
        <v>0</v>
      </c>
      <c r="G7" s="1486">
        <v>0</v>
      </c>
      <c r="H7" s="1486">
        <v>0</v>
      </c>
      <c r="I7" s="1486">
        <v>0</v>
      </c>
      <c r="J7" s="1486">
        <v>0</v>
      </c>
      <c r="K7" s="1486">
        <v>0</v>
      </c>
      <c r="L7" s="1486">
        <v>0</v>
      </c>
      <c r="M7" s="1486">
        <v>0</v>
      </c>
      <c r="N7" s="1486">
        <v>0</v>
      </c>
      <c r="O7" s="1486">
        <v>0</v>
      </c>
      <c r="P7" s="1486">
        <v>0</v>
      </c>
      <c r="Q7" s="1486">
        <v>0</v>
      </c>
      <c r="R7" s="1486">
        <v>0</v>
      </c>
      <c r="S7" s="1486">
        <v>0</v>
      </c>
      <c r="T7" s="1486">
        <v>0</v>
      </c>
      <c r="U7" s="1486">
        <v>0</v>
      </c>
      <c r="V7" s="1486">
        <v>0</v>
      </c>
      <c r="W7" s="1640">
        <v>0</v>
      </c>
    </row>
    <row r="8" spans="1:24" ht="12.75">
      <c r="A8" s="1438" t="s">
        <v>493</v>
      </c>
      <c r="B8" s="1439">
        <f>+SUM(C8:W8)</f>
        <v>0</v>
      </c>
      <c r="C8" s="1486">
        <v>0</v>
      </c>
      <c r="D8" s="1486">
        <v>0</v>
      </c>
      <c r="E8" s="1486">
        <v>0</v>
      </c>
      <c r="F8" s="1486">
        <v>0</v>
      </c>
      <c r="G8" s="1486">
        <v>0</v>
      </c>
      <c r="H8" s="1486">
        <v>0</v>
      </c>
      <c r="I8" s="1486">
        <v>0</v>
      </c>
      <c r="J8" s="1486">
        <v>0</v>
      </c>
      <c r="K8" s="1486">
        <v>0</v>
      </c>
      <c r="L8" s="1486">
        <v>0</v>
      </c>
      <c r="M8" s="1486">
        <v>0</v>
      </c>
      <c r="N8" s="1486">
        <v>0</v>
      </c>
      <c r="O8" s="1486">
        <v>0</v>
      </c>
      <c r="P8" s="1486">
        <v>0</v>
      </c>
      <c r="Q8" s="1486">
        <v>0</v>
      </c>
      <c r="R8" s="1486">
        <v>0</v>
      </c>
      <c r="S8" s="1486">
        <v>0</v>
      </c>
      <c r="T8" s="1486">
        <v>0</v>
      </c>
      <c r="U8" s="1486">
        <v>0</v>
      </c>
      <c r="V8" s="1486">
        <v>0</v>
      </c>
      <c r="W8" s="1641">
        <v>0</v>
      </c>
    </row>
    <row r="9" spans="1:24" ht="12.75">
      <c r="A9" s="1440" t="s">
        <v>73</v>
      </c>
      <c r="B9" s="1439">
        <f>+SUM(C9:W9)</f>
        <v>0</v>
      </c>
      <c r="C9" s="808">
        <f t="shared" ref="C9:W9" si="0">+SUM(C7:C8)</f>
        <v>0</v>
      </c>
      <c r="D9" s="808">
        <f t="shared" si="0"/>
        <v>0</v>
      </c>
      <c r="E9" s="808">
        <f t="shared" si="0"/>
        <v>0</v>
      </c>
      <c r="F9" s="808">
        <f t="shared" si="0"/>
        <v>0</v>
      </c>
      <c r="G9" s="808">
        <f t="shared" si="0"/>
        <v>0</v>
      </c>
      <c r="H9" s="808">
        <f t="shared" si="0"/>
        <v>0</v>
      </c>
      <c r="I9" s="808">
        <f t="shared" si="0"/>
        <v>0</v>
      </c>
      <c r="J9" s="808">
        <f t="shared" si="0"/>
        <v>0</v>
      </c>
      <c r="K9" s="808">
        <f t="shared" si="0"/>
        <v>0</v>
      </c>
      <c r="L9" s="808">
        <f t="shared" si="0"/>
        <v>0</v>
      </c>
      <c r="M9" s="808">
        <f t="shared" si="0"/>
        <v>0</v>
      </c>
      <c r="N9" s="808">
        <f t="shared" si="0"/>
        <v>0</v>
      </c>
      <c r="O9" s="808">
        <f t="shared" si="0"/>
        <v>0</v>
      </c>
      <c r="P9" s="808">
        <f t="shared" si="0"/>
        <v>0</v>
      </c>
      <c r="Q9" s="808">
        <f t="shared" si="0"/>
        <v>0</v>
      </c>
      <c r="R9" s="808">
        <f t="shared" si="0"/>
        <v>0</v>
      </c>
      <c r="S9" s="808">
        <f t="shared" si="0"/>
        <v>0</v>
      </c>
      <c r="T9" s="808">
        <f t="shared" si="0"/>
        <v>0</v>
      </c>
      <c r="U9" s="808">
        <f t="shared" si="0"/>
        <v>0</v>
      </c>
      <c r="V9" s="808">
        <f t="shared" si="0"/>
        <v>0</v>
      </c>
      <c r="W9" s="1441">
        <f t="shared" si="0"/>
        <v>0</v>
      </c>
    </row>
    <row r="10" spans="1:24" ht="12.75">
      <c r="A10" s="1440"/>
      <c r="B10" s="814"/>
      <c r="C10" s="806"/>
      <c r="D10" s="806"/>
      <c r="E10" s="806"/>
      <c r="F10" s="806"/>
      <c r="G10" s="806"/>
      <c r="H10" s="806"/>
      <c r="I10" s="806"/>
      <c r="J10" s="806"/>
      <c r="K10" s="806"/>
      <c r="L10" s="806"/>
      <c r="M10" s="806"/>
      <c r="N10" s="807"/>
      <c r="O10" s="814"/>
      <c r="P10" s="814"/>
      <c r="Q10" s="814"/>
      <c r="R10" s="814"/>
      <c r="S10" s="814"/>
      <c r="T10" s="814"/>
      <c r="U10" s="814"/>
      <c r="V10" s="814"/>
      <c r="W10" s="1432"/>
    </row>
    <row r="11" spans="1:24" ht="12.75">
      <c r="A11" s="1434" t="s">
        <v>494</v>
      </c>
      <c r="B11" s="814"/>
      <c r="C11" s="809">
        <v>1</v>
      </c>
      <c r="D11" s="810">
        <f t="shared" ref="D11:W11" si="1">+$C$11</f>
        <v>1</v>
      </c>
      <c r="E11" s="810">
        <f t="shared" si="1"/>
        <v>1</v>
      </c>
      <c r="F11" s="810">
        <f t="shared" si="1"/>
        <v>1</v>
      </c>
      <c r="G11" s="810">
        <f t="shared" si="1"/>
        <v>1</v>
      </c>
      <c r="H11" s="810">
        <f t="shared" si="1"/>
        <v>1</v>
      </c>
      <c r="I11" s="810">
        <f t="shared" si="1"/>
        <v>1</v>
      </c>
      <c r="J11" s="810">
        <f t="shared" si="1"/>
        <v>1</v>
      </c>
      <c r="K11" s="810">
        <f t="shared" si="1"/>
        <v>1</v>
      </c>
      <c r="L11" s="810">
        <f t="shared" si="1"/>
        <v>1</v>
      </c>
      <c r="M11" s="810">
        <f t="shared" si="1"/>
        <v>1</v>
      </c>
      <c r="N11" s="810">
        <f t="shared" si="1"/>
        <v>1</v>
      </c>
      <c r="O11" s="810">
        <f t="shared" si="1"/>
        <v>1</v>
      </c>
      <c r="P11" s="810">
        <f t="shared" si="1"/>
        <v>1</v>
      </c>
      <c r="Q11" s="810">
        <f t="shared" si="1"/>
        <v>1</v>
      </c>
      <c r="R11" s="810">
        <f t="shared" si="1"/>
        <v>1</v>
      </c>
      <c r="S11" s="810">
        <f t="shared" si="1"/>
        <v>1</v>
      </c>
      <c r="T11" s="810">
        <f t="shared" si="1"/>
        <v>1</v>
      </c>
      <c r="U11" s="810">
        <f t="shared" si="1"/>
        <v>1</v>
      </c>
      <c r="V11" s="810">
        <f t="shared" si="1"/>
        <v>1</v>
      </c>
      <c r="W11" s="1442">
        <f t="shared" si="1"/>
        <v>1</v>
      </c>
    </row>
    <row r="12" spans="1:24" ht="12.75">
      <c r="A12" s="1440"/>
      <c r="B12" s="814"/>
      <c r="C12" s="806"/>
      <c r="D12" s="806"/>
      <c r="E12" s="806"/>
      <c r="F12" s="806"/>
      <c r="G12" s="806"/>
      <c r="H12" s="806"/>
      <c r="I12" s="806"/>
      <c r="J12" s="806"/>
      <c r="K12" s="806"/>
      <c r="L12" s="806"/>
      <c r="M12" s="806"/>
      <c r="N12" s="807"/>
      <c r="O12" s="814"/>
      <c r="P12" s="814"/>
      <c r="Q12" s="814"/>
      <c r="R12" s="814"/>
      <c r="S12" s="814"/>
      <c r="T12" s="814"/>
      <c r="U12" s="814"/>
      <c r="V12" s="814"/>
      <c r="W12" s="1432"/>
    </row>
    <row r="13" spans="1:24" ht="13.5" thickBot="1">
      <c r="A13" s="1434" t="s">
        <v>495</v>
      </c>
      <c r="B13" s="814"/>
      <c r="C13" s="811">
        <f t="shared" ref="C13:W13" si="2">SUM(C7:C8)*C11</f>
        <v>0</v>
      </c>
      <c r="D13" s="811">
        <f t="shared" si="2"/>
        <v>0</v>
      </c>
      <c r="E13" s="811">
        <f t="shared" si="2"/>
        <v>0</v>
      </c>
      <c r="F13" s="811">
        <f t="shared" si="2"/>
        <v>0</v>
      </c>
      <c r="G13" s="811">
        <f t="shared" si="2"/>
        <v>0</v>
      </c>
      <c r="H13" s="811">
        <f t="shared" si="2"/>
        <v>0</v>
      </c>
      <c r="I13" s="811">
        <f t="shared" si="2"/>
        <v>0</v>
      </c>
      <c r="J13" s="811">
        <f t="shared" si="2"/>
        <v>0</v>
      </c>
      <c r="K13" s="811">
        <f t="shared" si="2"/>
        <v>0</v>
      </c>
      <c r="L13" s="811">
        <f t="shared" si="2"/>
        <v>0</v>
      </c>
      <c r="M13" s="811">
        <f t="shared" si="2"/>
        <v>0</v>
      </c>
      <c r="N13" s="811">
        <f t="shared" si="2"/>
        <v>0</v>
      </c>
      <c r="O13" s="811">
        <f t="shared" si="2"/>
        <v>0</v>
      </c>
      <c r="P13" s="811">
        <f t="shared" si="2"/>
        <v>0</v>
      </c>
      <c r="Q13" s="811">
        <f t="shared" si="2"/>
        <v>0</v>
      </c>
      <c r="R13" s="811">
        <f t="shared" si="2"/>
        <v>0</v>
      </c>
      <c r="S13" s="811">
        <f t="shared" si="2"/>
        <v>0</v>
      </c>
      <c r="T13" s="811">
        <f t="shared" si="2"/>
        <v>0</v>
      </c>
      <c r="U13" s="811">
        <f t="shared" si="2"/>
        <v>0</v>
      </c>
      <c r="V13" s="811">
        <f t="shared" si="2"/>
        <v>0</v>
      </c>
      <c r="W13" s="1443">
        <f t="shared" si="2"/>
        <v>0</v>
      </c>
    </row>
    <row r="14" spans="1:24" ht="14.25" thickTop="1" thickBot="1">
      <c r="A14" s="1444"/>
      <c r="B14" s="1445"/>
      <c r="C14" s="1446"/>
      <c r="D14" s="1446"/>
      <c r="E14" s="1446"/>
      <c r="F14" s="1446"/>
      <c r="G14" s="1446"/>
      <c r="H14" s="1446"/>
      <c r="I14" s="1446"/>
      <c r="J14" s="1446"/>
      <c r="K14" s="1446"/>
      <c r="L14" s="1446"/>
      <c r="M14" s="1446"/>
      <c r="N14" s="1446"/>
      <c r="O14" s="1446"/>
      <c r="P14" s="1446"/>
      <c r="Q14" s="1446"/>
      <c r="R14" s="1446"/>
      <c r="S14" s="1446"/>
      <c r="T14" s="1446"/>
      <c r="U14" s="1446"/>
      <c r="V14" s="1446"/>
      <c r="W14" s="1447"/>
    </row>
    <row r="15" spans="1:24" ht="13.5" thickBot="1">
      <c r="A15" s="803"/>
      <c r="B15" s="799"/>
      <c r="C15" s="799"/>
      <c r="D15" s="812"/>
      <c r="E15" s="812"/>
      <c r="F15" s="812"/>
      <c r="G15" s="812"/>
      <c r="H15" s="812"/>
      <c r="I15" s="812"/>
      <c r="J15" s="812"/>
      <c r="K15" s="812"/>
      <c r="L15" s="812"/>
      <c r="M15" s="812"/>
      <c r="N15" s="812"/>
      <c r="O15" s="813"/>
      <c r="P15" s="799"/>
      <c r="Q15" s="799"/>
      <c r="R15" s="799"/>
      <c r="S15" s="799"/>
      <c r="T15" s="799"/>
      <c r="U15" s="799"/>
      <c r="V15" s="799"/>
      <c r="W15" s="799"/>
      <c r="X15" s="799"/>
    </row>
    <row r="16" spans="1:24" ht="18">
      <c r="A16" s="684" t="s">
        <v>429</v>
      </c>
      <c r="B16" s="685"/>
      <c r="C16" s="686"/>
      <c r="D16" s="686"/>
      <c r="E16" s="686"/>
      <c r="F16" s="686"/>
      <c r="G16" s="686"/>
      <c r="H16" s="687"/>
      <c r="J16" s="684" t="s">
        <v>430</v>
      </c>
      <c r="K16" s="685"/>
      <c r="L16" s="686"/>
      <c r="M16" s="686"/>
      <c r="N16" s="686"/>
      <c r="O16" s="686"/>
      <c r="P16" s="686"/>
      <c r="Q16" s="687"/>
      <c r="R16" s="686"/>
      <c r="S16" s="688" t="s">
        <v>431</v>
      </c>
      <c r="T16" s="686"/>
      <c r="U16" s="687"/>
      <c r="V16" s="686"/>
      <c r="W16" s="687"/>
    </row>
    <row r="17" spans="1:23">
      <c r="A17" s="689" t="s">
        <v>432</v>
      </c>
      <c r="B17" s="690"/>
      <c r="C17" s="691"/>
      <c r="D17" s="692"/>
      <c r="E17" s="693" t="s">
        <v>433</v>
      </c>
      <c r="F17" s="694"/>
      <c r="G17" s="694"/>
      <c r="H17" s="695"/>
      <c r="J17" s="689" t="s">
        <v>432</v>
      </c>
      <c r="K17" s="690"/>
      <c r="L17" s="691"/>
      <c r="M17" s="692"/>
      <c r="N17" s="693" t="s">
        <v>433</v>
      </c>
      <c r="O17" s="694"/>
      <c r="P17" s="694"/>
      <c r="Q17" s="695"/>
      <c r="R17" s="692"/>
      <c r="S17" s="696" t="s">
        <v>434</v>
      </c>
      <c r="T17" s="692"/>
      <c r="U17" s="697"/>
      <c r="V17" s="692"/>
      <c r="W17" s="697"/>
    </row>
    <row r="18" spans="1:23">
      <c r="A18" s="698" t="s">
        <v>418</v>
      </c>
      <c r="B18" s="690"/>
      <c r="C18" s="699">
        <f ca="1">(Assumptions!$H$54-Assumptions!H25+C29+I86+H20+H21)*Assumptions!$L$9</f>
        <v>302842.67078322335</v>
      </c>
      <c r="D18" s="692"/>
      <c r="E18" s="700" t="s">
        <v>435</v>
      </c>
      <c r="F18" s="701"/>
      <c r="G18" s="701"/>
      <c r="H18" s="702">
        <f ca="1">Assumptions!$H$54</f>
        <v>479637.11633199977</v>
      </c>
      <c r="J18" s="698" t="s">
        <v>418</v>
      </c>
      <c r="K18" s="690"/>
      <c r="L18" s="699">
        <f>+N32*(Q18+Q20)</f>
        <v>0</v>
      </c>
      <c r="M18" s="692"/>
      <c r="N18" s="700" t="s">
        <v>435</v>
      </c>
      <c r="O18" s="701"/>
      <c r="P18" s="701"/>
      <c r="Q18" s="702">
        <f>+N31</f>
        <v>0</v>
      </c>
      <c r="R18" s="692"/>
      <c r="S18" s="703" t="s">
        <v>436</v>
      </c>
      <c r="T18" s="704">
        <f ca="1">+C18+SUM(C50:V50)</f>
        <v>302842.67078322335</v>
      </c>
      <c r="U18" s="705">
        <v>0.78299982847683913</v>
      </c>
      <c r="V18" s="692"/>
      <c r="W18" s="697"/>
    </row>
    <row r="19" spans="1:23">
      <c r="A19" s="698" t="s">
        <v>437</v>
      </c>
      <c r="B19" s="690"/>
      <c r="C19" s="699">
        <f ca="1">+SUM(H18:H22)-C18</f>
        <v>238460.26041541412</v>
      </c>
      <c r="D19" s="692"/>
      <c r="E19" s="700" t="s">
        <v>438</v>
      </c>
      <c r="F19" s="694"/>
      <c r="G19" s="694"/>
      <c r="H19" s="702">
        <f ca="1">+C29</f>
        <v>6056.8534156644673</v>
      </c>
      <c r="J19" s="698" t="s">
        <v>437</v>
      </c>
      <c r="K19" s="690"/>
      <c r="L19" s="699">
        <f>+Q23-L18</f>
        <v>0</v>
      </c>
      <c r="M19" s="692"/>
      <c r="N19" s="700" t="s">
        <v>438</v>
      </c>
      <c r="O19" s="694"/>
      <c r="P19" s="694"/>
      <c r="Q19" s="702">
        <f>+N36*L18</f>
        <v>0</v>
      </c>
      <c r="R19" s="692"/>
      <c r="S19" s="703" t="s">
        <v>439</v>
      </c>
      <c r="T19" s="704">
        <f ca="1">+C19+SUM(C49:V49)</f>
        <v>238460.26041541412</v>
      </c>
      <c r="U19" s="705">
        <v>0.21700017152316087</v>
      </c>
      <c r="V19" s="692"/>
      <c r="W19" s="697"/>
    </row>
    <row r="20" spans="1:23" ht="12" thickBot="1">
      <c r="A20" s="706" t="s">
        <v>73</v>
      </c>
      <c r="B20" s="690"/>
      <c r="C20" s="1429">
        <f ca="1">+SUM(C18:C19)</f>
        <v>541302.93119863747</v>
      </c>
      <c r="D20" s="692"/>
      <c r="E20" s="700" t="s">
        <v>322</v>
      </c>
      <c r="F20" s="694"/>
      <c r="G20" s="694"/>
      <c r="H20" s="702">
        <f>IF(Assumptions!$M$21="Yes",Assumptions!M20*IF(Assumptions!M19="No",-D44+INTEXP2,INTEXP1+-C44),0)</f>
        <v>0</v>
      </c>
      <c r="J20" s="706" t="s">
        <v>73</v>
      </c>
      <c r="K20" s="690"/>
      <c r="L20" s="707">
        <f>+SUM(L18:L19)</f>
        <v>0</v>
      </c>
      <c r="M20" s="692"/>
      <c r="N20" s="700" t="s">
        <v>440</v>
      </c>
      <c r="O20" s="694"/>
      <c r="P20" s="694"/>
      <c r="Q20" s="1488">
        <v>0</v>
      </c>
      <c r="R20" s="692"/>
      <c r="S20" s="703" t="s">
        <v>441</v>
      </c>
      <c r="T20" s="709">
        <f ca="1">+T18+T19</f>
        <v>541302.93119863747</v>
      </c>
      <c r="U20" s="697"/>
      <c r="V20" s="692"/>
      <c r="W20" s="697"/>
    </row>
    <row r="21" spans="1:23" ht="12.75" thickTop="1" thickBot="1">
      <c r="A21" s="703"/>
      <c r="B21" s="692"/>
      <c r="C21" s="692"/>
      <c r="D21" s="692"/>
      <c r="E21" s="690" t="s">
        <v>442</v>
      </c>
      <c r="F21" s="690"/>
      <c r="G21" s="690"/>
      <c r="H21" s="702">
        <f ca="1">+F76</f>
        <v>7045.7034223582523</v>
      </c>
      <c r="J21" s="703"/>
      <c r="K21" s="692"/>
      <c r="L21" s="692"/>
      <c r="M21" s="692"/>
      <c r="N21" s="690"/>
      <c r="O21" s="690"/>
      <c r="P21" s="690"/>
      <c r="Q21" s="708"/>
      <c r="R21" s="692"/>
      <c r="S21" s="710" t="s">
        <v>443</v>
      </c>
      <c r="T21" s="711">
        <f ca="1">+T20-H23-Q23</f>
        <v>0</v>
      </c>
      <c r="U21" s="712"/>
      <c r="V21" s="692"/>
      <c r="W21" s="697"/>
    </row>
    <row r="22" spans="1:23">
      <c r="A22" s="703"/>
      <c r="B22" s="692"/>
      <c r="C22" s="692"/>
      <c r="D22" s="692"/>
      <c r="E22" s="690" t="s">
        <v>440</v>
      </c>
      <c r="F22" s="690"/>
      <c r="G22" s="690"/>
      <c r="H22" s="1489">
        <f ca="1">I86</f>
        <v>48563.258028614982</v>
      </c>
      <c r="J22" s="703"/>
      <c r="K22" s="692"/>
      <c r="L22" s="692"/>
      <c r="M22" s="692"/>
      <c r="N22" s="690"/>
      <c r="O22" s="690"/>
      <c r="P22" s="690"/>
      <c r="Q22" s="708"/>
      <c r="R22" s="692"/>
      <c r="S22" s="692"/>
      <c r="T22" s="692"/>
      <c r="U22" s="692"/>
      <c r="V22" s="692"/>
      <c r="W22" s="697"/>
    </row>
    <row r="23" spans="1:23" ht="12" thickBot="1">
      <c r="A23" s="703"/>
      <c r="B23" s="692"/>
      <c r="C23" s="692"/>
      <c r="D23" s="692"/>
      <c r="E23" s="713" t="s">
        <v>73</v>
      </c>
      <c r="F23" s="690"/>
      <c r="G23" s="690"/>
      <c r="H23" s="1430">
        <f ca="1">+SUM(H18:H22)</f>
        <v>541302.93119863747</v>
      </c>
      <c r="J23" s="703"/>
      <c r="K23" s="692"/>
      <c r="L23" s="692"/>
      <c r="M23" s="692"/>
      <c r="N23" s="713" t="s">
        <v>73</v>
      </c>
      <c r="O23" s="690"/>
      <c r="P23" s="690"/>
      <c r="Q23" s="714">
        <f>+SUM(Q18:Q20)</f>
        <v>0</v>
      </c>
      <c r="R23" s="692"/>
      <c r="S23" s="692"/>
      <c r="T23" s="692"/>
      <c r="U23" s="692"/>
      <c r="V23" s="692"/>
      <c r="W23" s="697"/>
    </row>
    <row r="24" spans="1:23" ht="12.75" thickTop="1" thickBot="1">
      <c r="A24" s="703"/>
      <c r="B24" s="692"/>
      <c r="C24" s="692"/>
      <c r="D24" s="692"/>
      <c r="E24" s="692"/>
      <c r="F24" s="692"/>
      <c r="G24" s="692"/>
      <c r="H24" s="697"/>
      <c r="J24" s="703"/>
      <c r="K24" s="692"/>
      <c r="L24" s="692"/>
      <c r="M24" s="692"/>
      <c r="N24" s="692"/>
      <c r="O24" s="692"/>
      <c r="P24" s="692"/>
      <c r="Q24" s="697"/>
      <c r="R24" s="692"/>
      <c r="S24" s="692"/>
      <c r="T24" s="692"/>
      <c r="U24" s="692"/>
      <c r="V24" s="692"/>
      <c r="W24" s="697"/>
    </row>
    <row r="25" spans="1:23" ht="12" thickBot="1">
      <c r="A25" s="732" t="s">
        <v>454</v>
      </c>
      <c r="B25" s="733"/>
      <c r="C25" s="734"/>
      <c r="D25" s="692"/>
      <c r="E25" s="1421" t="s">
        <v>444</v>
      </c>
      <c r="F25" s="1421"/>
      <c r="G25" s="1421"/>
      <c r="H25" s="1422">
        <f ca="1">+SUM(C18:C19)-SUM(H18:H22)</f>
        <v>0</v>
      </c>
      <c r="J25" s="710"/>
      <c r="K25" s="715"/>
      <c r="L25" s="715"/>
      <c r="M25" s="715"/>
      <c r="N25" s="716" t="s">
        <v>444</v>
      </c>
      <c r="O25" s="716"/>
      <c r="P25" s="716"/>
      <c r="Q25" s="717">
        <f>+L20-Q23</f>
        <v>0</v>
      </c>
      <c r="R25" s="692"/>
      <c r="S25" s="692"/>
      <c r="T25" s="692"/>
      <c r="U25" s="692"/>
      <c r="V25" s="692"/>
      <c r="W25" s="697"/>
    </row>
    <row r="26" spans="1:23">
      <c r="A26" s="689" t="s">
        <v>418</v>
      </c>
      <c r="B26" s="690"/>
      <c r="C26" s="735">
        <f ca="1">Assumptions!M11*C18</f>
        <v>6056.8534156644673</v>
      </c>
      <c r="D26" s="692"/>
      <c r="E26" s="692"/>
      <c r="F26" s="692"/>
      <c r="G26" s="692"/>
      <c r="H26" s="697"/>
      <c r="J26" s="703"/>
      <c r="K26" s="692"/>
      <c r="L26" s="692"/>
      <c r="M26" s="692"/>
      <c r="N26" s="692"/>
      <c r="O26" s="692"/>
      <c r="P26" s="692"/>
      <c r="Q26" s="692"/>
      <c r="R26" s="692"/>
      <c r="S26" s="692"/>
      <c r="T26" s="692"/>
      <c r="U26" s="692"/>
      <c r="V26" s="692"/>
      <c r="W26" s="697"/>
    </row>
    <row r="27" spans="1:23" ht="12" thickBot="1">
      <c r="A27" s="698" t="s">
        <v>455</v>
      </c>
      <c r="B27" s="690"/>
      <c r="C27" s="736">
        <v>0</v>
      </c>
      <c r="D27" s="692"/>
      <c r="E27" s="692"/>
      <c r="F27" s="692"/>
      <c r="G27" s="692"/>
      <c r="H27" s="697"/>
      <c r="J27" s="703"/>
      <c r="K27" s="692"/>
      <c r="L27" s="692"/>
      <c r="M27" s="692"/>
      <c r="N27" s="692"/>
      <c r="O27" s="692"/>
      <c r="P27" s="692"/>
      <c r="Q27" s="1420"/>
      <c r="R27" s="692"/>
      <c r="S27" s="692"/>
      <c r="T27" s="692"/>
      <c r="U27" s="692"/>
      <c r="V27" s="692"/>
      <c r="W27" s="697"/>
    </row>
    <row r="28" spans="1:23" ht="12.75">
      <c r="A28" s="698" t="s">
        <v>456</v>
      </c>
      <c r="B28" s="690"/>
      <c r="C28" s="736">
        <v>0</v>
      </c>
      <c r="D28"/>
      <c r="E28"/>
      <c r="F28" s="692"/>
      <c r="G28" s="692"/>
      <c r="H28" s="697"/>
      <c r="J28" s="718" t="s">
        <v>445</v>
      </c>
      <c r="K28" s="719"/>
      <c r="L28" s="719"/>
      <c r="M28" s="719"/>
      <c r="N28" s="720"/>
      <c r="O28" s="692"/>
      <c r="P28" s="692"/>
      <c r="Q28" s="692"/>
      <c r="R28" s="692"/>
      <c r="S28" s="692"/>
      <c r="T28" s="692"/>
      <c r="U28" s="692"/>
      <c r="V28" s="692"/>
      <c r="W28" s="697"/>
    </row>
    <row r="29" spans="1:23" ht="13.5" thickBot="1">
      <c r="A29" s="737" t="s">
        <v>73</v>
      </c>
      <c r="B29" s="738"/>
      <c r="C29" s="1431">
        <f ca="1">+SUM(C26:C28)</f>
        <v>6056.8534156644673</v>
      </c>
      <c r="D29"/>
      <c r="E29"/>
      <c r="F29" s="692"/>
      <c r="G29" s="692"/>
      <c r="H29" s="697"/>
      <c r="J29" s="721"/>
      <c r="K29" s="694"/>
      <c r="L29" s="694"/>
      <c r="M29" s="694"/>
      <c r="N29" s="695"/>
      <c r="O29" s="692"/>
      <c r="P29" s="692"/>
      <c r="Q29" s="692"/>
      <c r="R29" s="692"/>
      <c r="S29" s="692"/>
      <c r="T29" s="692"/>
      <c r="U29" s="692"/>
      <c r="V29" s="692"/>
      <c r="W29" s="697"/>
    </row>
    <row r="30" spans="1:23" ht="13.5" thickBot="1">
      <c r="A30"/>
      <c r="B30"/>
      <c r="C30"/>
      <c r="D30"/>
      <c r="E30"/>
      <c r="F30" s="692"/>
      <c r="G30" s="692"/>
      <c r="H30" s="697"/>
      <c r="J30" s="722" t="s">
        <v>446</v>
      </c>
      <c r="K30" s="694"/>
      <c r="L30" s="694"/>
      <c r="M30" s="694"/>
      <c r="N30" s="723" t="s">
        <v>447</v>
      </c>
      <c r="O30" s="692"/>
      <c r="P30" s="692"/>
      <c r="Q30" s="692"/>
      <c r="R30" s="692"/>
      <c r="S30" s="692"/>
      <c r="T30" s="692"/>
      <c r="U30" s="692"/>
      <c r="V30" s="692"/>
      <c r="W30" s="697"/>
    </row>
    <row r="31" spans="1:23" ht="13.5" thickBot="1">
      <c r="A31"/>
      <c r="B31"/>
      <c r="C31"/>
      <c r="D31"/>
      <c r="E31"/>
      <c r="F31" s="692"/>
      <c r="G31" s="692"/>
      <c r="H31" s="697"/>
      <c r="J31" s="698" t="s">
        <v>435</v>
      </c>
      <c r="K31" s="690"/>
      <c r="L31" s="690"/>
      <c r="M31" s="690"/>
      <c r="N31" s="724">
        <v>0</v>
      </c>
      <c r="O31" s="692"/>
      <c r="P31" s="692"/>
      <c r="Q31" s="692"/>
      <c r="R31" s="692"/>
      <c r="S31" s="692"/>
      <c r="T31" s="692"/>
      <c r="U31" s="692"/>
      <c r="V31" s="692"/>
      <c r="W31" s="697"/>
    </row>
    <row r="32" spans="1:23" ht="13.5" thickBot="1">
      <c r="A32"/>
      <c r="B32"/>
      <c r="C32"/>
      <c r="D32"/>
      <c r="E32"/>
      <c r="F32" s="692"/>
      <c r="G32" s="692"/>
      <c r="H32" s="697"/>
      <c r="J32" s="698" t="s">
        <v>448</v>
      </c>
      <c r="K32" s="690"/>
      <c r="L32" s="690"/>
      <c r="M32" s="690"/>
      <c r="N32" s="725">
        <v>0.8</v>
      </c>
      <c r="O32" s="692"/>
      <c r="P32" s="692"/>
      <c r="Q32" s="692"/>
      <c r="R32" s="692"/>
      <c r="S32" s="692"/>
      <c r="T32" s="692"/>
      <c r="U32" s="692"/>
      <c r="V32" s="692"/>
      <c r="W32" s="697"/>
    </row>
    <row r="33" spans="1:23" ht="13.5" thickBot="1">
      <c r="A33"/>
      <c r="B33"/>
      <c r="C33"/>
      <c r="D33"/>
      <c r="E33"/>
      <c r="F33" s="692"/>
      <c r="G33" s="692"/>
      <c r="H33" s="697"/>
      <c r="J33" s="698" t="s">
        <v>449</v>
      </c>
      <c r="K33" s="690"/>
      <c r="L33" s="690"/>
      <c r="M33" s="690"/>
      <c r="N33" s="726" t="s">
        <v>450</v>
      </c>
      <c r="O33" s="692"/>
      <c r="P33" s="692"/>
      <c r="Q33" s="692"/>
      <c r="R33" s="692"/>
      <c r="S33" s="692"/>
      <c r="T33" s="692"/>
      <c r="U33" s="692"/>
      <c r="V33" s="692"/>
      <c r="W33" s="697"/>
    </row>
    <row r="34" spans="1:23" ht="13.5" thickBot="1">
      <c r="A34"/>
      <c r="B34"/>
      <c r="C34"/>
      <c r="D34"/>
      <c r="E34"/>
      <c r="F34" s="692"/>
      <c r="G34" s="692"/>
      <c r="H34" s="697"/>
      <c r="I34" s="692"/>
      <c r="J34" s="698" t="s">
        <v>420</v>
      </c>
      <c r="K34" s="690"/>
      <c r="L34" s="690"/>
      <c r="M34" s="690"/>
      <c r="N34" s="724">
        <v>17</v>
      </c>
      <c r="O34" s="692"/>
      <c r="P34" s="692"/>
      <c r="Q34" s="692"/>
      <c r="R34" s="692"/>
      <c r="S34" s="692"/>
      <c r="T34" s="692"/>
      <c r="U34" s="692"/>
      <c r="V34" s="692"/>
      <c r="W34" s="697"/>
    </row>
    <row r="35" spans="1:23" ht="13.5" thickBot="1">
      <c r="A35"/>
      <c r="B35"/>
      <c r="C35"/>
      <c r="D35"/>
      <c r="E35"/>
      <c r="F35" s="692"/>
      <c r="G35" s="692"/>
      <c r="H35" s="697"/>
      <c r="J35" s="727" t="s">
        <v>419</v>
      </c>
      <c r="K35" s="701"/>
      <c r="L35" s="701"/>
      <c r="M35" s="701"/>
      <c r="N35" s="728">
        <v>7.4999999999999997E-2</v>
      </c>
      <c r="O35" s="692"/>
      <c r="P35" s="692"/>
      <c r="Q35" s="692"/>
      <c r="R35" s="692"/>
      <c r="S35" s="692"/>
      <c r="T35" s="692"/>
      <c r="U35" s="692"/>
      <c r="V35" s="692"/>
      <c r="W35" s="697"/>
    </row>
    <row r="36" spans="1:23" ht="13.5" thickBot="1">
      <c r="A36"/>
      <c r="B36"/>
      <c r="C36"/>
      <c r="D36"/>
      <c r="E36"/>
      <c r="F36" s="692"/>
      <c r="G36" s="692"/>
      <c r="H36" s="697"/>
      <c r="J36" s="727" t="s">
        <v>451</v>
      </c>
      <c r="K36" s="701"/>
      <c r="L36" s="701"/>
      <c r="M36" s="701"/>
      <c r="N36" s="728">
        <v>0.02</v>
      </c>
      <c r="O36" s="692"/>
      <c r="P36" s="692"/>
      <c r="Q36" s="692"/>
      <c r="R36" s="692"/>
      <c r="S36" s="692"/>
      <c r="T36" s="692"/>
      <c r="U36" s="692"/>
      <c r="V36" s="692"/>
      <c r="W36" s="697"/>
    </row>
    <row r="37" spans="1:23" ht="13.5" thickBot="1">
      <c r="A37" s="148"/>
      <c r="B37" s="148"/>
      <c r="C37" s="148"/>
      <c r="D37" s="148"/>
      <c r="E37" s="148"/>
      <c r="F37" s="715"/>
      <c r="G37" s="715"/>
      <c r="H37" s="712"/>
      <c r="J37" s="729" t="s">
        <v>452</v>
      </c>
      <c r="K37" s="730"/>
      <c r="L37" s="730"/>
      <c r="M37" s="730"/>
      <c r="N37" s="731" t="s">
        <v>124</v>
      </c>
      <c r="O37" s="715"/>
      <c r="P37" s="715"/>
      <c r="Q37" s="715"/>
      <c r="R37" s="715"/>
      <c r="S37" s="715"/>
      <c r="T37" s="715"/>
      <c r="U37" s="715"/>
      <c r="V37" s="715"/>
      <c r="W37" s="712"/>
    </row>
    <row r="39" spans="1:23" ht="18">
      <c r="A39" s="664" t="s">
        <v>412</v>
      </c>
    </row>
    <row r="40" spans="1:23" ht="12" thickBot="1">
      <c r="A40" s="666" t="s">
        <v>413</v>
      </c>
      <c r="B40" s="666"/>
      <c r="C40" s="666">
        <v>1</v>
      </c>
      <c r="D40" s="666">
        <f>C40+1</f>
        <v>2</v>
      </c>
      <c r="E40" s="666">
        <f t="shared" ref="E40:W40" si="3">D40+1</f>
        <v>3</v>
      </c>
      <c r="F40" s="666">
        <f t="shared" si="3"/>
        <v>4</v>
      </c>
      <c r="G40" s="666">
        <f t="shared" si="3"/>
        <v>5</v>
      </c>
      <c r="H40" s="666">
        <f t="shared" si="3"/>
        <v>6</v>
      </c>
      <c r="I40" s="666">
        <f t="shared" si="3"/>
        <v>7</v>
      </c>
      <c r="J40" s="666">
        <f t="shared" si="3"/>
        <v>8</v>
      </c>
      <c r="K40" s="666">
        <f t="shared" si="3"/>
        <v>9</v>
      </c>
      <c r="L40" s="666">
        <f t="shared" si="3"/>
        <v>10</v>
      </c>
      <c r="M40" s="666">
        <f t="shared" si="3"/>
        <v>11</v>
      </c>
      <c r="N40" s="666">
        <f t="shared" si="3"/>
        <v>12</v>
      </c>
      <c r="O40" s="666">
        <f t="shared" si="3"/>
        <v>13</v>
      </c>
      <c r="P40" s="666">
        <f t="shared" si="3"/>
        <v>14</v>
      </c>
      <c r="Q40" s="666">
        <f t="shared" si="3"/>
        <v>15</v>
      </c>
      <c r="R40" s="666">
        <f t="shared" si="3"/>
        <v>16</v>
      </c>
      <c r="S40" s="666">
        <f t="shared" si="3"/>
        <v>17</v>
      </c>
      <c r="T40" s="666">
        <f t="shared" si="3"/>
        <v>18</v>
      </c>
      <c r="U40" s="666">
        <f t="shared" si="3"/>
        <v>19</v>
      </c>
      <c r="V40" s="666">
        <f t="shared" si="3"/>
        <v>20</v>
      </c>
      <c r="W40" s="666">
        <f t="shared" si="3"/>
        <v>21</v>
      </c>
    </row>
    <row r="41" spans="1:23" ht="12.75" thickTop="1" thickBot="1">
      <c r="B41" s="667">
        <f>+Template!H$3</f>
        <v>37802</v>
      </c>
      <c r="C41" s="668">
        <f>+Template!I$3</f>
        <v>37986</v>
      </c>
      <c r="D41" s="669">
        <f>+Template!J$3</f>
        <v>2004</v>
      </c>
      <c r="E41" s="669">
        <f>+Template!K$3</f>
        <v>2005</v>
      </c>
      <c r="F41" s="669">
        <f>+Template!L$3</f>
        <v>2006</v>
      </c>
      <c r="G41" s="669">
        <f>+Template!M$3</f>
        <v>2007</v>
      </c>
      <c r="H41" s="669">
        <f>+Template!N$3</f>
        <v>2008</v>
      </c>
      <c r="I41" s="669">
        <f>+Template!O$3</f>
        <v>2009</v>
      </c>
      <c r="J41" s="669">
        <f>+Template!P$3</f>
        <v>2010</v>
      </c>
      <c r="K41" s="669">
        <f>+Template!Q$3</f>
        <v>2011</v>
      </c>
      <c r="L41" s="669">
        <f>+Template!R$3</f>
        <v>2012</v>
      </c>
      <c r="M41" s="669">
        <f>+Template!S$3</f>
        <v>2013</v>
      </c>
      <c r="N41" s="669">
        <f>+Template!T$3</f>
        <v>2014</v>
      </c>
      <c r="O41" s="669">
        <f>+Template!U$3</f>
        <v>2015</v>
      </c>
      <c r="P41" s="669">
        <f>+Template!V$3</f>
        <v>2016</v>
      </c>
      <c r="Q41" s="669">
        <f>+Template!W$3</f>
        <v>2017</v>
      </c>
      <c r="R41" s="669">
        <f>+Template!X$3</f>
        <v>2018</v>
      </c>
      <c r="S41" s="669">
        <f>+Template!Y$3</f>
        <v>2019</v>
      </c>
      <c r="T41" s="669">
        <f>+Template!Z$3</f>
        <v>2020</v>
      </c>
      <c r="U41" s="669">
        <f>+Template!AA$3</f>
        <v>2021</v>
      </c>
      <c r="V41" s="669">
        <f>+Template!AB$3</f>
        <v>2022</v>
      </c>
      <c r="W41" s="669">
        <f>+Template!AC$3</f>
        <v>2023</v>
      </c>
    </row>
    <row r="42" spans="1:23" ht="12" thickTop="1">
      <c r="A42" s="670"/>
      <c r="B42" s="670"/>
      <c r="C42" s="670"/>
      <c r="D42" s="670"/>
      <c r="E42" s="670"/>
      <c r="F42" s="670"/>
      <c r="G42" s="670"/>
      <c r="H42" s="670"/>
      <c r="I42" s="671"/>
      <c r="J42" s="671"/>
      <c r="K42" s="671"/>
      <c r="L42" s="671"/>
      <c r="M42" s="671"/>
      <c r="N42" s="671"/>
      <c r="O42" s="671"/>
      <c r="P42" s="671"/>
      <c r="Q42" s="671"/>
      <c r="R42" s="671"/>
      <c r="S42" s="671"/>
      <c r="T42" s="671"/>
      <c r="U42" s="671"/>
      <c r="V42" s="671"/>
      <c r="W42" s="671"/>
    </row>
    <row r="43" spans="1:23">
      <c r="A43" s="670"/>
      <c r="B43" s="670"/>
      <c r="C43" s="670"/>
      <c r="D43" s="670"/>
      <c r="E43" s="670"/>
      <c r="F43" s="670"/>
      <c r="G43" s="670"/>
      <c r="H43" s="670"/>
      <c r="I43" s="671"/>
      <c r="J43" s="671"/>
      <c r="K43" s="671"/>
      <c r="L43" s="671"/>
      <c r="M43" s="671"/>
      <c r="N43" s="671"/>
      <c r="O43" s="671"/>
      <c r="P43" s="671"/>
      <c r="Q43" s="671"/>
      <c r="R43" s="671"/>
      <c r="S43" s="671"/>
      <c r="T43" s="671"/>
      <c r="U43" s="671"/>
      <c r="V43" s="671"/>
      <c r="W43" s="671"/>
    </row>
    <row r="44" spans="1:23">
      <c r="A44" s="665" t="s">
        <v>414</v>
      </c>
      <c r="C44" s="672">
        <f ca="1">IF(Assumptions!$M$19="Yes",IF(ISERR(PPMT(Assumptions!$M$17,C40,Assumptions!$M$18,$C$18)),0,PPMT(Assumptions!$M$17,C40,Assumptions!$M$18,$C$18)),IF(ISERR(PPMT(Assumptions!$M$17,C40-1,Assumptions!$M$18,$C$18)),0,PPMT(Assumptions!$M$17,C40-1,Assumptions!$M$18,$C$18)))</f>
        <v>0</v>
      </c>
      <c r="D44" s="672">
        <f ca="1">IF(Assumptions!$M$19="Yes",IF(ISERR(PPMT(Assumptions!$M$17,D40,Assumptions!$M$18,$C$18)),0,PPMT(Assumptions!$M$17,D40,Assumptions!$M$18,$C$18)),IF(ISERR(PPMT(Assumptions!$M$17,D40-1,Assumptions!$M$18,$C$18)),0,PPMT(Assumptions!$M$17,D40-1,Assumptions!$M$18,$C$18)))</f>
        <v>-10014.463211196358</v>
      </c>
      <c r="E44" s="672">
        <f ca="1">IF(Assumptions!$M$19="Yes",IF(ISERR(PPMT(Assumptions!$M$17,E40,Assumptions!$M$18,$C$18)),0,PPMT(Assumptions!$M$17,E40,Assumptions!$M$18,$C$18)),IF(ISERR(PPMT(Assumptions!$M$17,E40-1,Assumptions!$M$18,$C$18)),0,PPMT(Assumptions!$M$17,E40-1,Assumptions!$M$18,$C$18)))</f>
        <v>-10953.319137246017</v>
      </c>
      <c r="F44" s="672">
        <f ca="1">IF(Assumptions!$M$19="Yes",IF(ISERR(PPMT(Assumptions!$M$17,F40,Assumptions!$M$18,$C$18)),0,PPMT(Assumptions!$M$17,F40,Assumptions!$M$18,$C$18)),IF(ISERR(PPMT(Assumptions!$M$17,F40-1,Assumptions!$M$18,$C$18)),0,PPMT(Assumptions!$M$17,F40-1,Assumptions!$M$18,$C$18)))</f>
        <v>-11980.192806362837</v>
      </c>
      <c r="G44" s="672">
        <f ca="1">IF(Assumptions!$M$19="Yes",IF(ISERR(PPMT(Assumptions!$M$17,G40,Assumptions!$M$18,$C$18)),0,PPMT(Assumptions!$M$17,G40,Assumptions!$M$18,$C$18)),IF(ISERR(PPMT(Assumptions!$M$17,G40-1,Assumptions!$M$18,$C$18)),0,PPMT(Assumptions!$M$17,G40-1,Assumptions!$M$18,$C$18)))</f>
        <v>-13103.335881959341</v>
      </c>
      <c r="H44" s="672">
        <f ca="1">IF(Assumptions!$M$19="Yes",IF(ISERR(PPMT(Assumptions!$M$17,H40,Assumptions!$M$18,$C$18)),0,PPMT(Assumptions!$M$17,H40,Assumptions!$M$18,$C$18)),IF(ISERR(PPMT(Assumptions!$M$17,H40-1,Assumptions!$M$18,$C$18)),0,PPMT(Assumptions!$M$17,H40-1,Assumptions!$M$18,$C$18)))</f>
        <v>-14331.773620893036</v>
      </c>
      <c r="I44" s="672">
        <f ca="1">IF(Assumptions!$M$19="Yes",IF(ISERR(PPMT(Assumptions!$M$17,I40,Assumptions!$M$18,$C$18)),0,PPMT(Assumptions!$M$17,I40,Assumptions!$M$18,$C$18)),IF(ISERR(PPMT(Assumptions!$M$17,I40-1,Assumptions!$M$18,$C$18)),0,PPMT(Assumptions!$M$17,I40-1,Assumptions!$M$18,$C$18)))</f>
        <v>-15675.377397851757</v>
      </c>
      <c r="J44" s="672">
        <f ca="1">IF(Assumptions!$M$19="Yes",IF(ISERR(PPMT(Assumptions!$M$17,J40,Assumptions!$M$18,$C$18)),0,PPMT(Assumptions!$M$17,J40,Assumptions!$M$18,$C$18)),IF(ISERR(PPMT(Assumptions!$M$17,J40-1,Assumptions!$M$18,$C$18)),0,PPMT(Assumptions!$M$17,J40-1,Assumptions!$M$18,$C$18)))</f>
        <v>-17144.944028900358</v>
      </c>
      <c r="K44" s="672">
        <f ca="1">IF(Assumptions!$M$19="Yes",IF(ISERR(PPMT(Assumptions!$M$17,K40,Assumptions!$M$18,$C$18)),0,PPMT(Assumptions!$M$17,K40,Assumptions!$M$18,$C$18)),IF(ISERR(PPMT(Assumptions!$M$17,K40-1,Assumptions!$M$18,$C$18)),0,PPMT(Assumptions!$M$17,K40-1,Assumptions!$M$18,$C$18)))</f>
        <v>-18752.282531609766</v>
      </c>
      <c r="L44" s="672">
        <f ca="1">IF(Assumptions!$M$19="Yes",IF(ISERR(PPMT(Assumptions!$M$17,L40,Assumptions!$M$18,$C$18)),0,PPMT(Assumptions!$M$17,L40,Assumptions!$M$18,$C$18)),IF(ISERR(PPMT(Assumptions!$M$17,L40-1,Assumptions!$M$18,$C$18)),0,PPMT(Assumptions!$M$17,L40-1,Assumptions!$M$18,$C$18)))</f>
        <v>-20510.309018948181</v>
      </c>
      <c r="M44" s="672">
        <f ca="1">IF(Assumptions!$M$19="Yes",IF(ISERR(PPMT(Assumptions!$M$17,M40,Assumptions!$M$18,$C$18)),0,PPMT(Assumptions!$M$17,M40,Assumptions!$M$18,$C$18)),IF(ISERR(PPMT(Assumptions!$M$17,M40-1,Assumptions!$M$18,$C$18)),0,PPMT(Assumptions!$M$17,M40-1,Assumptions!$M$18,$C$18)))</f>
        <v>-22433.150489474574</v>
      </c>
      <c r="N44" s="672">
        <f ca="1">IF(Assumptions!$M$19="Yes",IF(ISERR(PPMT(Assumptions!$M$17,N40,Assumptions!$M$18,$C$18)),0,PPMT(Assumptions!$M$17,N40,Assumptions!$M$18,$C$18)),IF(ISERR(PPMT(Assumptions!$M$17,N40-1,Assumptions!$M$18,$C$18)),0,PPMT(Assumptions!$M$17,N40-1,Assumptions!$M$18,$C$18)))</f>
        <v>-24536.258347862815</v>
      </c>
      <c r="O44" s="672">
        <f ca="1">IF(Assumptions!$M$19="Yes",IF(ISERR(PPMT(Assumptions!$M$17,O40,Assumptions!$M$18,$C$18)),0,PPMT(Assumptions!$M$17,O40,Assumptions!$M$18,$C$18)),IF(ISERR(PPMT(Assumptions!$M$17,O40-1,Assumptions!$M$18,$C$18)),0,PPMT(Assumptions!$M$17,O40-1,Assumptions!$M$18,$C$18)))</f>
        <v>-26836.532567974959</v>
      </c>
      <c r="P44" s="672">
        <f ca="1">IF(Assumptions!$M$19="Yes",IF(ISERR(PPMT(Assumptions!$M$17,P40,Assumptions!$M$18,$C$18)),0,PPMT(Assumptions!$M$17,P40,Assumptions!$M$18,$C$18)),IF(ISERR(PPMT(Assumptions!$M$17,P40-1,Assumptions!$M$18,$C$18)),0,PPMT(Assumptions!$M$17,P40-1,Assumptions!$M$18,$C$18)))</f>
        <v>-29352.457496222614</v>
      </c>
      <c r="Q44" s="672">
        <f ca="1">IF(Assumptions!$M$19="Yes",IF(ISERR(PPMT(Assumptions!$M$17,Q40,Assumptions!$M$18,$C$18)),0,PPMT(Assumptions!$M$17,Q40,Assumptions!$M$18,$C$18)),IF(ISERR(PPMT(Assumptions!$M$17,Q40-1,Assumptions!$M$18,$C$18)),0,PPMT(Assumptions!$M$17,Q40-1,Assumptions!$M$18,$C$18)))</f>
        <v>-32104.250386493481</v>
      </c>
      <c r="R44" s="672">
        <f ca="1">IF(Assumptions!$M$19="Yes",IF(ISERR(PPMT(Assumptions!$M$17,R40,Assumptions!$M$18,$C$18)),0,PPMT(Assumptions!$M$17,R40,Assumptions!$M$18,$C$18)),IF(ISERR(PPMT(Assumptions!$M$17,R40-1,Assumptions!$M$18,$C$18)),0,PPMT(Assumptions!$M$17,R40-1,Assumptions!$M$18,$C$18)))</f>
        <v>-35114.023860227237</v>
      </c>
      <c r="S44" s="672">
        <f ca="1">IF(Assumptions!$M$19="Yes",IF(ISERR(PPMT(Assumptions!$M$17,S40,Assumptions!$M$18,$C$18)),0,PPMT(Assumptions!$M$17,S40,Assumptions!$M$18,$C$18)),IF(ISERR(PPMT(Assumptions!$M$17,S40-1,Assumptions!$M$18,$C$18)),0,PPMT(Assumptions!$M$17,S40-1,Assumptions!$M$18,$C$18)))</f>
        <v>0</v>
      </c>
      <c r="T44" s="672">
        <f ca="1">IF(Assumptions!$M$19="Yes",IF(ISERR(PPMT(Assumptions!$M$17,T40,Assumptions!$M$18,$C$18)),0,PPMT(Assumptions!$M$17,T40,Assumptions!$M$18,$C$18)),IF(ISERR(PPMT(Assumptions!$M$17,T40-1,Assumptions!$M$18,$C$18)),0,PPMT(Assumptions!$M$17,T40-1,Assumptions!$M$18,$C$18)))</f>
        <v>0</v>
      </c>
      <c r="U44" s="672">
        <f ca="1">IF(Assumptions!$M$19="Yes",IF(ISERR(PPMT(Assumptions!$M$17,U40,Assumptions!$M$18,$C$18)),0,PPMT(Assumptions!$M$17,U40,Assumptions!$M$18,$C$18)),IF(ISERR(PPMT(Assumptions!$M$17,U40-1,Assumptions!$M$18,$C$18)),0,PPMT(Assumptions!$M$17,U40-1,Assumptions!$M$18,$C$18)))</f>
        <v>0</v>
      </c>
      <c r="V44" s="672">
        <f ca="1">IF(Assumptions!$M$19="Yes",IF(ISERR(PPMT(Assumptions!$M$17,V40,Assumptions!$M$18,$C$18)),0,PPMT(Assumptions!$M$17,V40,Assumptions!$M$18,$C$18)),IF(ISERR(PPMT(Assumptions!$M$17,V40-1,Assumptions!$M$18,$C$18)),0,PPMT(Assumptions!$M$17,V40-1,Assumptions!$M$18,$C$18)))</f>
        <v>0</v>
      </c>
      <c r="W44" s="672">
        <f ca="1">IF(Assumptions!$M$19="Yes",IF(ISERR(PPMT(Assumptions!$M$17,W40,Assumptions!$M$18,$C$18)),0,PPMT(Assumptions!$M$17,W40,Assumptions!$M$18,$C$18)),IF(ISERR(PPMT(Assumptions!$M$17,W40-1,Assumptions!$M$18,$C$18)),0,PPMT(Assumptions!$M$17,W40-1,Assumptions!$M$18,$C$18)))</f>
        <v>0</v>
      </c>
    </row>
    <row r="45" spans="1:23">
      <c r="A45" s="1004" t="s">
        <v>1270</v>
      </c>
      <c r="C45" s="1868">
        <f ca="1">$C$18+C44</f>
        <v>302842.67078322335</v>
      </c>
      <c r="D45" s="1868">
        <f ca="1">C45+D44</f>
        <v>292828.20757202699</v>
      </c>
      <c r="E45" s="1868">
        <f t="shared" ref="E45:W45" ca="1" si="4">D45+E44</f>
        <v>281874.88843478099</v>
      </c>
      <c r="F45" s="1868">
        <f t="shared" ca="1" si="4"/>
        <v>269894.69562841818</v>
      </c>
      <c r="G45" s="1868">
        <f t="shared" ca="1" si="4"/>
        <v>256791.35974645882</v>
      </c>
      <c r="H45" s="1868">
        <f t="shared" ca="1" si="4"/>
        <v>242459.58612556578</v>
      </c>
      <c r="I45" s="1868">
        <f t="shared" ca="1" si="4"/>
        <v>226784.20872771402</v>
      </c>
      <c r="J45" s="1868">
        <f t="shared" ca="1" si="4"/>
        <v>209639.26469881367</v>
      </c>
      <c r="K45" s="1868">
        <f t="shared" ca="1" si="4"/>
        <v>190886.98216720391</v>
      </c>
      <c r="L45" s="1868">
        <f t="shared" ca="1" si="4"/>
        <v>170376.67314825574</v>
      </c>
      <c r="M45" s="1868">
        <f t="shared" ca="1" si="4"/>
        <v>147943.52265878115</v>
      </c>
      <c r="N45" s="1868">
        <f t="shared" ca="1" si="4"/>
        <v>123407.26431091834</v>
      </c>
      <c r="O45" s="1868">
        <f t="shared" ca="1" si="4"/>
        <v>96570.731742943375</v>
      </c>
      <c r="P45" s="1868">
        <f t="shared" ca="1" si="4"/>
        <v>67218.274246720757</v>
      </c>
      <c r="Q45" s="1868">
        <f t="shared" ca="1" si="4"/>
        <v>35114.023860227273</v>
      </c>
      <c r="R45" s="1868">
        <f t="shared" ca="1" si="4"/>
        <v>0</v>
      </c>
      <c r="S45" s="1868">
        <f t="shared" ca="1" si="4"/>
        <v>0</v>
      </c>
      <c r="T45" s="1868">
        <f t="shared" ca="1" si="4"/>
        <v>0</v>
      </c>
      <c r="U45" s="1868">
        <f t="shared" ca="1" si="4"/>
        <v>0</v>
      </c>
      <c r="V45" s="1868">
        <f t="shared" ca="1" si="4"/>
        <v>0</v>
      </c>
      <c r="W45" s="1868">
        <f t="shared" ca="1" si="4"/>
        <v>0</v>
      </c>
    </row>
    <row r="46" spans="1:23">
      <c r="A46" s="670"/>
      <c r="B46" s="670"/>
      <c r="C46" s="670"/>
      <c r="D46" s="670"/>
      <c r="E46" s="670"/>
      <c r="F46" s="670"/>
      <c r="G46" s="670"/>
      <c r="H46" s="670"/>
      <c r="I46" s="671"/>
      <c r="J46" s="671"/>
      <c r="K46" s="671"/>
      <c r="L46" s="671"/>
      <c r="M46" s="671"/>
      <c r="N46" s="671"/>
      <c r="O46" s="671"/>
      <c r="P46" s="671"/>
      <c r="Q46" s="671"/>
      <c r="R46" s="671"/>
      <c r="S46" s="671"/>
      <c r="T46" s="671"/>
      <c r="U46" s="671"/>
      <c r="V46" s="671"/>
      <c r="W46" s="671"/>
    </row>
    <row r="47" spans="1:23">
      <c r="A47" s="673" t="s">
        <v>415</v>
      </c>
      <c r="B47" s="673">
        <f ca="1">+C20</f>
        <v>541302.93119863747</v>
      </c>
      <c r="C47" s="673">
        <f>+Debt!C13</f>
        <v>0</v>
      </c>
      <c r="D47" s="673">
        <f>+Debt!D13</f>
        <v>0</v>
      </c>
      <c r="E47" s="673">
        <f>+Debt!E13</f>
        <v>0</v>
      </c>
      <c r="F47" s="673">
        <f>+Debt!F13</f>
        <v>0</v>
      </c>
      <c r="G47" s="673">
        <f>+Debt!G13</f>
        <v>0</v>
      </c>
      <c r="H47" s="673">
        <f>+Debt!H13</f>
        <v>0</v>
      </c>
      <c r="I47" s="673">
        <f>+Debt!I13</f>
        <v>0</v>
      </c>
      <c r="J47" s="673">
        <f>+Debt!J13</f>
        <v>0</v>
      </c>
      <c r="K47" s="673">
        <f>+Debt!K13</f>
        <v>0</v>
      </c>
      <c r="L47" s="673">
        <f>+Debt!L13</f>
        <v>0</v>
      </c>
      <c r="M47" s="673">
        <f>+Debt!M13</f>
        <v>0</v>
      </c>
      <c r="N47" s="673">
        <f>+Debt!N13</f>
        <v>0</v>
      </c>
      <c r="O47" s="673">
        <f>+Debt!O13</f>
        <v>0</v>
      </c>
      <c r="P47" s="673">
        <f>+Debt!P13</f>
        <v>0</v>
      </c>
      <c r="Q47" s="673">
        <f>+Debt!Q13</f>
        <v>0</v>
      </c>
      <c r="R47" s="673">
        <f>+Debt!R13</f>
        <v>0</v>
      </c>
      <c r="S47" s="673">
        <f>+Debt!S13</f>
        <v>0</v>
      </c>
      <c r="T47" s="673">
        <f>+Debt!T13</f>
        <v>0</v>
      </c>
      <c r="U47" s="673">
        <f>+Debt!U13</f>
        <v>0</v>
      </c>
      <c r="V47" s="673">
        <f>+Debt!V13</f>
        <v>0</v>
      </c>
      <c r="W47" s="673">
        <f>+Debt!W13</f>
        <v>0</v>
      </c>
    </row>
    <row r="48" spans="1:23">
      <c r="A48" s="665" t="s">
        <v>416</v>
      </c>
      <c r="B48" s="674">
        <f>Assumptions!$L$9</f>
        <v>0.56999999999999995</v>
      </c>
      <c r="C48" s="675">
        <v>0</v>
      </c>
      <c r="D48" s="676">
        <v>0</v>
      </c>
      <c r="E48" s="676">
        <f>+N32</f>
        <v>0.8</v>
      </c>
      <c r="F48" s="676">
        <v>0</v>
      </c>
      <c r="G48" s="676">
        <v>0</v>
      </c>
      <c r="H48" s="676">
        <v>0</v>
      </c>
      <c r="I48" s="676">
        <v>0</v>
      </c>
      <c r="J48" s="676">
        <v>0</v>
      </c>
      <c r="K48" s="676">
        <v>0</v>
      </c>
      <c r="L48" s="676">
        <v>0</v>
      </c>
      <c r="M48" s="676">
        <v>0</v>
      </c>
      <c r="N48" s="676">
        <v>0</v>
      </c>
      <c r="O48" s="676">
        <v>0</v>
      </c>
      <c r="P48" s="676">
        <v>0</v>
      </c>
      <c r="Q48" s="676">
        <v>0</v>
      </c>
      <c r="R48" s="676">
        <v>0</v>
      </c>
      <c r="S48" s="676">
        <v>0</v>
      </c>
      <c r="T48" s="676">
        <v>0</v>
      </c>
      <c r="U48" s="676">
        <v>0</v>
      </c>
      <c r="V48" s="676">
        <v>0</v>
      </c>
      <c r="W48" s="676">
        <v>0</v>
      </c>
    </row>
    <row r="49" spans="1:23">
      <c r="A49" s="665" t="s">
        <v>417</v>
      </c>
      <c r="B49" s="665">
        <f ca="1">+C19</f>
        <v>238460.26041541412</v>
      </c>
      <c r="C49" s="1448">
        <v>0</v>
      </c>
      <c r="D49" s="1448">
        <v>0</v>
      </c>
      <c r="E49" s="677">
        <f>+L19</f>
        <v>0</v>
      </c>
      <c r="F49" s="1448">
        <v>0</v>
      </c>
      <c r="G49" s="1448">
        <v>0</v>
      </c>
      <c r="H49" s="1448">
        <v>0</v>
      </c>
      <c r="I49" s="1448">
        <v>0</v>
      </c>
      <c r="J49" s="1448">
        <v>0</v>
      </c>
      <c r="K49" s="1448">
        <v>0</v>
      </c>
      <c r="L49" s="1448">
        <v>0</v>
      </c>
      <c r="M49" s="1448">
        <v>0</v>
      </c>
      <c r="N49" s="1448">
        <v>0</v>
      </c>
      <c r="O49" s="1448">
        <v>0</v>
      </c>
      <c r="P49" s="1448">
        <v>0</v>
      </c>
      <c r="Q49" s="1448">
        <v>0</v>
      </c>
      <c r="R49" s="1448">
        <v>0</v>
      </c>
      <c r="S49" s="1448">
        <v>0</v>
      </c>
      <c r="T49" s="1448">
        <v>0</v>
      </c>
      <c r="U49" s="1448">
        <v>0</v>
      </c>
      <c r="V49" s="1448">
        <v>0</v>
      </c>
      <c r="W49" s="1448">
        <v>0</v>
      </c>
    </row>
    <row r="50" spans="1:23">
      <c r="A50" s="665" t="s">
        <v>418</v>
      </c>
      <c r="B50" s="665">
        <f ca="1">+C18</f>
        <v>302842.67078322335</v>
      </c>
      <c r="C50" s="1448">
        <f t="shared" ref="C50:H50" si="5">+C47*C48</f>
        <v>0</v>
      </c>
      <c r="D50" s="1448">
        <v>0</v>
      </c>
      <c r="E50" s="677">
        <f>+L18</f>
        <v>0</v>
      </c>
      <c r="F50" s="1448">
        <f t="shared" si="5"/>
        <v>0</v>
      </c>
      <c r="G50" s="1448">
        <f t="shared" si="5"/>
        <v>0</v>
      </c>
      <c r="H50" s="1448">
        <f t="shared" si="5"/>
        <v>0</v>
      </c>
      <c r="I50" s="1448">
        <f t="shared" ref="I50:V50" si="6">+I47*I48</f>
        <v>0</v>
      </c>
      <c r="J50" s="1448">
        <f t="shared" si="6"/>
        <v>0</v>
      </c>
      <c r="K50" s="1448">
        <f t="shared" si="6"/>
        <v>0</v>
      </c>
      <c r="L50" s="1448">
        <f t="shared" si="6"/>
        <v>0</v>
      </c>
      <c r="M50" s="1448">
        <f t="shared" si="6"/>
        <v>0</v>
      </c>
      <c r="N50" s="1448">
        <f t="shared" si="6"/>
        <v>0</v>
      </c>
      <c r="O50" s="1448">
        <f t="shared" si="6"/>
        <v>0</v>
      </c>
      <c r="P50" s="1448">
        <f t="shared" si="6"/>
        <v>0</v>
      </c>
      <c r="Q50" s="1448">
        <f t="shared" si="6"/>
        <v>0</v>
      </c>
      <c r="R50" s="1448">
        <f t="shared" si="6"/>
        <v>0</v>
      </c>
      <c r="S50" s="1448">
        <f t="shared" si="6"/>
        <v>0</v>
      </c>
      <c r="T50" s="1448">
        <f t="shared" si="6"/>
        <v>0</v>
      </c>
      <c r="U50" s="1448">
        <f t="shared" si="6"/>
        <v>0</v>
      </c>
      <c r="V50" s="1448">
        <f t="shared" si="6"/>
        <v>0</v>
      </c>
      <c r="W50" s="1448">
        <f>+W47*W48</f>
        <v>0</v>
      </c>
    </row>
    <row r="51" spans="1:23">
      <c r="A51" s="665" t="s">
        <v>419</v>
      </c>
      <c r="C51" s="678">
        <v>7.4999999999999997E-2</v>
      </c>
      <c r="D51" s="678">
        <v>7.4999999999999997E-2</v>
      </c>
      <c r="E51" s="679">
        <f>+N35</f>
        <v>7.4999999999999997E-2</v>
      </c>
      <c r="F51" s="678">
        <v>7.4999999999999997E-2</v>
      </c>
      <c r="G51" s="678">
        <v>7.4999999999999997E-2</v>
      </c>
      <c r="H51" s="678">
        <v>7.4999999999999997E-2</v>
      </c>
      <c r="I51" s="678">
        <v>7.4999999999999997E-2</v>
      </c>
      <c r="J51" s="678">
        <v>7.4999999999999997E-2</v>
      </c>
      <c r="K51" s="678">
        <v>7.4999999999999997E-2</v>
      </c>
      <c r="L51" s="678">
        <v>7.4999999999999997E-2</v>
      </c>
      <c r="M51" s="678">
        <v>7.4999999999999997E-2</v>
      </c>
      <c r="N51" s="678">
        <v>7.4999999999999997E-2</v>
      </c>
      <c r="O51" s="678">
        <v>7.4999999999999997E-2</v>
      </c>
      <c r="P51" s="678">
        <v>7.4999999999999997E-2</v>
      </c>
      <c r="Q51" s="678">
        <v>7.4999999999999997E-2</v>
      </c>
      <c r="R51" s="678">
        <v>7.4999999999999997E-2</v>
      </c>
      <c r="S51" s="678">
        <v>7.4999999999999997E-2</v>
      </c>
      <c r="T51" s="678">
        <v>7.4999999999999997E-2</v>
      </c>
      <c r="U51" s="678">
        <v>7.4999999999999997E-2</v>
      </c>
      <c r="V51" s="678">
        <v>7.4999999999999997E-2</v>
      </c>
      <c r="W51" s="678">
        <v>7.4999999999999997E-2</v>
      </c>
    </row>
    <row r="52" spans="1:23">
      <c r="A52" s="665" t="s">
        <v>420</v>
      </c>
      <c r="C52" s="680">
        <v>10</v>
      </c>
      <c r="D52" s="680">
        <v>10</v>
      </c>
      <c r="E52" s="677">
        <f>+N34</f>
        <v>17</v>
      </c>
      <c r="F52" s="680">
        <v>10</v>
      </c>
      <c r="G52" s="680">
        <v>10</v>
      </c>
      <c r="H52" s="680">
        <v>10</v>
      </c>
      <c r="I52" s="680">
        <v>10</v>
      </c>
      <c r="J52" s="680">
        <v>10</v>
      </c>
      <c r="K52" s="680">
        <v>10</v>
      </c>
      <c r="L52" s="680">
        <v>10</v>
      </c>
      <c r="M52" s="680">
        <v>10</v>
      </c>
      <c r="N52" s="680">
        <v>10</v>
      </c>
      <c r="O52" s="680">
        <v>10</v>
      </c>
      <c r="P52" s="680">
        <v>10</v>
      </c>
      <c r="Q52" s="680">
        <v>10</v>
      </c>
      <c r="R52" s="680">
        <v>10</v>
      </c>
      <c r="S52" s="680">
        <v>10</v>
      </c>
      <c r="T52" s="680">
        <v>10</v>
      </c>
      <c r="U52" s="680">
        <v>10</v>
      </c>
      <c r="V52" s="680">
        <v>10</v>
      </c>
      <c r="W52" s="680">
        <v>10</v>
      </c>
    </row>
    <row r="53" spans="1:23">
      <c r="A53" s="681" t="s">
        <v>421</v>
      </c>
    </row>
    <row r="54" spans="1:23">
      <c r="A54" s="665" t="s">
        <v>422</v>
      </c>
      <c r="C54" s="677"/>
      <c r="D54" s="682">
        <f t="shared" ref="D54:W54" si="7">+IF(ISERROR(PPMT($C$51,D$41-1999,$C$52,$C$50)),0,PPMT($C$51,D$41-1999,$C$52,$C$50))</f>
        <v>0</v>
      </c>
      <c r="E54" s="682">
        <f t="shared" si="7"/>
        <v>0</v>
      </c>
      <c r="F54" s="682">
        <f t="shared" si="7"/>
        <v>0</v>
      </c>
      <c r="G54" s="682">
        <f t="shared" si="7"/>
        <v>0</v>
      </c>
      <c r="H54" s="682">
        <f t="shared" si="7"/>
        <v>0</v>
      </c>
      <c r="I54" s="682">
        <f t="shared" si="7"/>
        <v>0</v>
      </c>
      <c r="J54" s="682">
        <f t="shared" si="7"/>
        <v>0</v>
      </c>
      <c r="K54" s="682">
        <f t="shared" si="7"/>
        <v>0</v>
      </c>
      <c r="L54" s="682">
        <f t="shared" si="7"/>
        <v>0</v>
      </c>
      <c r="M54" s="682">
        <f t="shared" si="7"/>
        <v>0</v>
      </c>
      <c r="N54" s="682">
        <f t="shared" si="7"/>
        <v>0</v>
      </c>
      <c r="O54" s="682">
        <f t="shared" si="7"/>
        <v>0</v>
      </c>
      <c r="P54" s="682">
        <f t="shared" si="7"/>
        <v>0</v>
      </c>
      <c r="Q54" s="682">
        <f t="shared" si="7"/>
        <v>0</v>
      </c>
      <c r="R54" s="682">
        <f t="shared" si="7"/>
        <v>0</v>
      </c>
      <c r="S54" s="682">
        <f t="shared" si="7"/>
        <v>0</v>
      </c>
      <c r="T54" s="682">
        <f t="shared" si="7"/>
        <v>0</v>
      </c>
      <c r="U54" s="682">
        <f t="shared" si="7"/>
        <v>0</v>
      </c>
      <c r="V54" s="682">
        <f t="shared" si="7"/>
        <v>0</v>
      </c>
      <c r="W54" s="682">
        <f t="shared" si="7"/>
        <v>0</v>
      </c>
    </row>
    <row r="55" spans="1:23">
      <c r="A55" s="665" t="s">
        <v>423</v>
      </c>
      <c r="C55" s="677"/>
      <c r="D55" s="682"/>
      <c r="E55" s="682">
        <f t="shared" ref="E55:W55" si="8">+IF(ISERROR(PPMT($D$51,E$41-2000,$D$52,$D$50)),0,PPMT($D$51,E$41-2000,$D$52,$D$50))</f>
        <v>0</v>
      </c>
      <c r="F55" s="682">
        <f t="shared" si="8"/>
        <v>0</v>
      </c>
      <c r="G55" s="682">
        <f t="shared" si="8"/>
        <v>0</v>
      </c>
      <c r="H55" s="682">
        <f t="shared" si="8"/>
        <v>0</v>
      </c>
      <c r="I55" s="682">
        <f t="shared" si="8"/>
        <v>0</v>
      </c>
      <c r="J55" s="682">
        <f t="shared" si="8"/>
        <v>0</v>
      </c>
      <c r="K55" s="682">
        <f t="shared" si="8"/>
        <v>0</v>
      </c>
      <c r="L55" s="682">
        <f t="shared" si="8"/>
        <v>0</v>
      </c>
      <c r="M55" s="682">
        <f t="shared" si="8"/>
        <v>0</v>
      </c>
      <c r="N55" s="682">
        <f t="shared" si="8"/>
        <v>0</v>
      </c>
      <c r="O55" s="682">
        <f t="shared" si="8"/>
        <v>0</v>
      </c>
      <c r="P55" s="682">
        <f t="shared" si="8"/>
        <v>0</v>
      </c>
      <c r="Q55" s="682">
        <f t="shared" si="8"/>
        <v>0</v>
      </c>
      <c r="R55" s="682">
        <f t="shared" si="8"/>
        <v>0</v>
      </c>
      <c r="S55" s="682">
        <f t="shared" si="8"/>
        <v>0</v>
      </c>
      <c r="T55" s="682">
        <f t="shared" si="8"/>
        <v>0</v>
      </c>
      <c r="U55" s="682">
        <f t="shared" si="8"/>
        <v>0</v>
      </c>
      <c r="V55" s="682">
        <f t="shared" si="8"/>
        <v>0</v>
      </c>
      <c r="W55" s="682">
        <f t="shared" si="8"/>
        <v>0</v>
      </c>
    </row>
    <row r="56" spans="1:23">
      <c r="A56" s="665" t="s">
        <v>424</v>
      </c>
      <c r="C56" s="677"/>
      <c r="D56" s="677"/>
      <c r="E56" s="682"/>
      <c r="F56" s="682">
        <f t="shared" ref="F56:W56" si="9">+IF(ISERROR(PPMT($E$51,F$41-2001,$E$52,$E$50)),0,PPMT($E$51,F$41-2001,$E$52,$E$50))</f>
        <v>0</v>
      </c>
      <c r="G56" s="682">
        <f t="shared" si="9"/>
        <v>0</v>
      </c>
      <c r="H56" s="682">
        <f t="shared" si="9"/>
        <v>0</v>
      </c>
      <c r="I56" s="682">
        <f t="shared" si="9"/>
        <v>0</v>
      </c>
      <c r="J56" s="682">
        <f t="shared" si="9"/>
        <v>0</v>
      </c>
      <c r="K56" s="682">
        <f t="shared" si="9"/>
        <v>0</v>
      </c>
      <c r="L56" s="682">
        <f t="shared" si="9"/>
        <v>0</v>
      </c>
      <c r="M56" s="682">
        <f t="shared" si="9"/>
        <v>0</v>
      </c>
      <c r="N56" s="682">
        <f t="shared" si="9"/>
        <v>0</v>
      </c>
      <c r="O56" s="682">
        <f t="shared" si="9"/>
        <v>0</v>
      </c>
      <c r="P56" s="682">
        <f t="shared" si="9"/>
        <v>0</v>
      </c>
      <c r="Q56" s="682">
        <f t="shared" si="9"/>
        <v>0</v>
      </c>
      <c r="R56" s="682">
        <f t="shared" si="9"/>
        <v>0</v>
      </c>
      <c r="S56" s="682">
        <f t="shared" si="9"/>
        <v>0</v>
      </c>
      <c r="T56" s="682">
        <f t="shared" si="9"/>
        <v>0</v>
      </c>
      <c r="U56" s="682">
        <f t="shared" si="9"/>
        <v>0</v>
      </c>
      <c r="V56" s="682">
        <f t="shared" si="9"/>
        <v>0</v>
      </c>
      <c r="W56" s="682">
        <f t="shared" si="9"/>
        <v>0</v>
      </c>
    </row>
    <row r="57" spans="1:23">
      <c r="A57" s="665" t="s">
        <v>425</v>
      </c>
      <c r="C57" s="677"/>
      <c r="D57" s="677"/>
      <c r="E57" s="677"/>
      <c r="F57" s="682"/>
      <c r="G57" s="682">
        <f t="shared" ref="G57:W57" si="10">+IF(ISERROR(PPMT($F$51,G$41-2002,$F$52,$F$50)),0,PPMT($F$51,G$41-2002,$F$52,$F$50))</f>
        <v>0</v>
      </c>
      <c r="H57" s="682">
        <f t="shared" si="10"/>
        <v>0</v>
      </c>
      <c r="I57" s="682">
        <f t="shared" si="10"/>
        <v>0</v>
      </c>
      <c r="J57" s="682">
        <f t="shared" si="10"/>
        <v>0</v>
      </c>
      <c r="K57" s="682">
        <f t="shared" si="10"/>
        <v>0</v>
      </c>
      <c r="L57" s="682">
        <f t="shared" si="10"/>
        <v>0</v>
      </c>
      <c r="M57" s="682">
        <f t="shared" si="10"/>
        <v>0</v>
      </c>
      <c r="N57" s="682">
        <f t="shared" si="10"/>
        <v>0</v>
      </c>
      <c r="O57" s="682">
        <f t="shared" si="10"/>
        <v>0</v>
      </c>
      <c r="P57" s="682">
        <f t="shared" si="10"/>
        <v>0</v>
      </c>
      <c r="Q57" s="682">
        <f t="shared" si="10"/>
        <v>0</v>
      </c>
      <c r="R57" s="682">
        <f t="shared" si="10"/>
        <v>0</v>
      </c>
      <c r="S57" s="682">
        <f t="shared" si="10"/>
        <v>0</v>
      </c>
      <c r="T57" s="682">
        <f t="shared" si="10"/>
        <v>0</v>
      </c>
      <c r="U57" s="682">
        <f t="shared" si="10"/>
        <v>0</v>
      </c>
      <c r="V57" s="682">
        <f t="shared" si="10"/>
        <v>0</v>
      </c>
      <c r="W57" s="682">
        <f t="shared" si="10"/>
        <v>0</v>
      </c>
    </row>
    <row r="58" spans="1:23">
      <c r="A58" s="665" t="s">
        <v>426</v>
      </c>
      <c r="C58" s="677"/>
      <c r="D58" s="677"/>
      <c r="E58" s="677"/>
      <c r="F58" s="677"/>
      <c r="G58" s="682"/>
      <c r="H58" s="682">
        <f t="shared" ref="H58:W58" si="11">+IF(ISERROR(PPMT($G$51,H$41-2003,$G$52,$G$50)),0,PPMT($G$51,H$41-2003,$G$52,$G$50))</f>
        <v>0</v>
      </c>
      <c r="I58" s="682">
        <f t="shared" si="11"/>
        <v>0</v>
      </c>
      <c r="J58" s="682">
        <f t="shared" si="11"/>
        <v>0</v>
      </c>
      <c r="K58" s="682">
        <f t="shared" si="11"/>
        <v>0</v>
      </c>
      <c r="L58" s="682">
        <f t="shared" si="11"/>
        <v>0</v>
      </c>
      <c r="M58" s="682">
        <f t="shared" si="11"/>
        <v>0</v>
      </c>
      <c r="N58" s="682">
        <f t="shared" si="11"/>
        <v>0</v>
      </c>
      <c r="O58" s="682">
        <f t="shared" si="11"/>
        <v>0</v>
      </c>
      <c r="P58" s="682">
        <f t="shared" si="11"/>
        <v>0</v>
      </c>
      <c r="Q58" s="682">
        <f t="shared" si="11"/>
        <v>0</v>
      </c>
      <c r="R58" s="682">
        <f t="shared" si="11"/>
        <v>0</v>
      </c>
      <c r="S58" s="682">
        <f t="shared" si="11"/>
        <v>0</v>
      </c>
      <c r="T58" s="682">
        <f t="shared" si="11"/>
        <v>0</v>
      </c>
      <c r="U58" s="682">
        <f t="shared" si="11"/>
        <v>0</v>
      </c>
      <c r="V58" s="682">
        <f t="shared" si="11"/>
        <v>0</v>
      </c>
      <c r="W58" s="682">
        <f t="shared" si="11"/>
        <v>0</v>
      </c>
    </row>
    <row r="59" spans="1:23">
      <c r="A59" s="665" t="s">
        <v>427</v>
      </c>
      <c r="C59" s="677"/>
      <c r="D59" s="677"/>
      <c r="E59" s="677"/>
      <c r="F59" s="677"/>
      <c r="G59" s="677"/>
      <c r="H59" s="682"/>
      <c r="I59" s="682">
        <f t="shared" ref="I59:W59" si="12">+IF(ISERROR(PPMT($H$51,I$41-2004,$H$52,$H$50)),0,PPMT($H$51,I$41-2004,$H$52,$H$50))</f>
        <v>0</v>
      </c>
      <c r="J59" s="682">
        <f t="shared" si="12"/>
        <v>0</v>
      </c>
      <c r="K59" s="682">
        <f t="shared" si="12"/>
        <v>0</v>
      </c>
      <c r="L59" s="682">
        <f t="shared" si="12"/>
        <v>0</v>
      </c>
      <c r="M59" s="682">
        <f t="shared" si="12"/>
        <v>0</v>
      </c>
      <c r="N59" s="682">
        <f t="shared" si="12"/>
        <v>0</v>
      </c>
      <c r="O59" s="682">
        <f t="shared" si="12"/>
        <v>0</v>
      </c>
      <c r="P59" s="682">
        <f t="shared" si="12"/>
        <v>0</v>
      </c>
      <c r="Q59" s="682">
        <f t="shared" si="12"/>
        <v>0</v>
      </c>
      <c r="R59" s="682">
        <f t="shared" si="12"/>
        <v>0</v>
      </c>
      <c r="S59" s="682">
        <f t="shared" si="12"/>
        <v>0</v>
      </c>
      <c r="T59" s="682">
        <f t="shared" si="12"/>
        <v>0</v>
      </c>
      <c r="U59" s="682">
        <f t="shared" si="12"/>
        <v>0</v>
      </c>
      <c r="V59" s="682">
        <f t="shared" si="12"/>
        <v>0</v>
      </c>
      <c r="W59" s="682">
        <f t="shared" si="12"/>
        <v>0</v>
      </c>
    </row>
    <row r="60" spans="1:23">
      <c r="A60" s="665" t="s">
        <v>428</v>
      </c>
      <c r="C60" s="683">
        <f t="shared" ref="C60:S60" si="13">+SUM(C54:C59)</f>
        <v>0</v>
      </c>
      <c r="D60" s="683">
        <f t="shared" si="13"/>
        <v>0</v>
      </c>
      <c r="E60" s="683">
        <f t="shared" si="13"/>
        <v>0</v>
      </c>
      <c r="F60" s="683">
        <f t="shared" si="13"/>
        <v>0</v>
      </c>
      <c r="G60" s="683">
        <f t="shared" si="13"/>
        <v>0</v>
      </c>
      <c r="H60" s="683">
        <f t="shared" si="13"/>
        <v>0</v>
      </c>
      <c r="I60" s="683">
        <f t="shared" si="13"/>
        <v>0</v>
      </c>
      <c r="J60" s="683">
        <f t="shared" si="13"/>
        <v>0</v>
      </c>
      <c r="K60" s="683">
        <f t="shared" si="13"/>
        <v>0</v>
      </c>
      <c r="L60" s="683">
        <f t="shared" si="13"/>
        <v>0</v>
      </c>
      <c r="M60" s="683">
        <f t="shared" si="13"/>
        <v>0</v>
      </c>
      <c r="N60" s="683">
        <f t="shared" si="13"/>
        <v>0</v>
      </c>
      <c r="O60" s="683">
        <f t="shared" si="13"/>
        <v>0</v>
      </c>
      <c r="P60" s="683">
        <f t="shared" si="13"/>
        <v>0</v>
      </c>
      <c r="Q60" s="683">
        <f t="shared" si="13"/>
        <v>0</v>
      </c>
      <c r="R60" s="683">
        <f t="shared" si="13"/>
        <v>0</v>
      </c>
      <c r="S60" s="683">
        <f t="shared" si="13"/>
        <v>0</v>
      </c>
      <c r="T60" s="683">
        <f>+SUM(T54:T59)</f>
        <v>0</v>
      </c>
      <c r="U60" s="683">
        <f>+SUM(U54:U59)</f>
        <v>0</v>
      </c>
      <c r="V60" s="683">
        <f>+SUM(V54:V59)</f>
        <v>0</v>
      </c>
      <c r="W60" s="683">
        <f>+SUM(W54:W59)</f>
        <v>0</v>
      </c>
    </row>
    <row r="62" spans="1:23" ht="12" thickBot="1">
      <c r="B62" s="692"/>
      <c r="C62" s="692"/>
    </row>
    <row r="63" spans="1:23" ht="18">
      <c r="A63" s="684" t="s">
        <v>457</v>
      </c>
      <c r="B63" s="686"/>
      <c r="C63" s="686"/>
      <c r="D63" s="686"/>
      <c r="E63" s="686"/>
      <c r="F63" s="686"/>
      <c r="G63" s="687"/>
    </row>
    <row r="64" spans="1:23">
      <c r="A64" s="703"/>
      <c r="B64" s="692"/>
      <c r="C64" s="692"/>
      <c r="D64" s="692"/>
      <c r="E64" s="692"/>
      <c r="F64" s="692"/>
      <c r="G64" s="697"/>
    </row>
    <row r="65" spans="1:14">
      <c r="A65" s="703" t="s">
        <v>458</v>
      </c>
      <c r="B65" s="692"/>
      <c r="C65" s="692"/>
      <c r="D65" s="692"/>
      <c r="E65" s="1455">
        <f ca="1">+Template!J252</f>
        <v>215048.05097985614</v>
      </c>
      <c r="F65" s="692"/>
      <c r="G65" s="697"/>
    </row>
    <row r="66" spans="1:14">
      <c r="A66" s="703" t="s">
        <v>459</v>
      </c>
      <c r="B66" s="692"/>
      <c r="C66" s="692"/>
      <c r="D66" s="692"/>
      <c r="E66" s="1455">
        <f ca="1">+Template!J255</f>
        <v>122157.05764183549</v>
      </c>
      <c r="F66" s="692"/>
      <c r="G66" s="697"/>
    </row>
    <row r="67" spans="1:14" ht="12" thickBot="1">
      <c r="A67" s="703"/>
      <c r="B67" s="692"/>
      <c r="C67" s="692"/>
      <c r="D67" s="692"/>
      <c r="E67" s="739"/>
      <c r="F67" s="692"/>
      <c r="G67" s="697"/>
    </row>
    <row r="68" spans="1:14" ht="12.75" thickTop="1" thickBot="1">
      <c r="A68" s="740" t="s">
        <v>460</v>
      </c>
      <c r="B68" s="741"/>
      <c r="C68" s="741"/>
      <c r="D68" s="742"/>
      <c r="E68" s="743">
        <f>+Template!H$3</f>
        <v>37802</v>
      </c>
      <c r="F68" s="744" t="s">
        <v>461</v>
      </c>
      <c r="G68" s="697"/>
    </row>
    <row r="69" spans="1:14" ht="12" thickTop="1">
      <c r="A69" s="745" t="s">
        <v>462</v>
      </c>
      <c r="B69" s="746"/>
      <c r="C69" s="746"/>
      <c r="D69" s="746"/>
      <c r="E69" s="747">
        <v>30</v>
      </c>
      <c r="F69" s="748">
        <f ca="1">+$E$65*E69/365</f>
        <v>17675.182272316943</v>
      </c>
      <c r="G69" s="697"/>
    </row>
    <row r="70" spans="1:14">
      <c r="A70" s="745" t="s">
        <v>463</v>
      </c>
      <c r="B70" s="746"/>
      <c r="C70" s="746"/>
      <c r="D70" s="746"/>
      <c r="E70" s="747">
        <v>30</v>
      </c>
      <c r="F70" s="748">
        <f ca="1">+$E$65*E70/365</f>
        <v>17675.182272316943</v>
      </c>
      <c r="G70" s="697"/>
    </row>
    <row r="71" spans="1:14">
      <c r="A71" s="745" t="s">
        <v>464</v>
      </c>
      <c r="B71" s="746"/>
      <c r="C71" s="746"/>
      <c r="D71" s="746"/>
      <c r="E71" s="747">
        <v>0</v>
      </c>
      <c r="F71" s="748">
        <f>IF(E71=0,0,+E66/E71)</f>
        <v>0</v>
      </c>
      <c r="G71" s="697">
        <f ca="1">+SUM(F69:F71)</f>
        <v>35350.364544633885</v>
      </c>
    </row>
    <row r="72" spans="1:14">
      <c r="A72" s="745" t="s">
        <v>465</v>
      </c>
      <c r="B72" s="746"/>
      <c r="C72" s="746"/>
      <c r="D72" s="746"/>
      <c r="E72" s="749">
        <v>0</v>
      </c>
      <c r="F72" s="750">
        <f>+E72/SUM($E$69:$E$75)</f>
        <v>0</v>
      </c>
      <c r="G72" s="697"/>
      <c r="L72" s="692"/>
      <c r="M72" s="692"/>
    </row>
    <row r="73" spans="1:14">
      <c r="A73" s="745" t="s">
        <v>466</v>
      </c>
      <c r="B73" s="746"/>
      <c r="C73" s="746"/>
      <c r="D73" s="746"/>
      <c r="E73" s="747">
        <v>30</v>
      </c>
      <c r="F73" s="751">
        <f ca="1">+E73*$E$66/365</f>
        <v>10040.306107548124</v>
      </c>
      <c r="G73" s="697"/>
      <c r="H73" s="692"/>
      <c r="I73" s="692"/>
      <c r="J73" s="692"/>
      <c r="K73" s="692"/>
      <c r="L73" s="692"/>
      <c r="M73" s="692"/>
    </row>
    <row r="74" spans="1:14">
      <c r="A74" s="745" t="s">
        <v>467</v>
      </c>
      <c r="B74" s="746"/>
      <c r="C74" s="746"/>
      <c r="D74" s="746"/>
      <c r="E74" s="747">
        <v>31</v>
      </c>
      <c r="F74" s="748">
        <f ca="1">+E74/365*E65</f>
        <v>18264.355014727509</v>
      </c>
      <c r="G74" s="697"/>
      <c r="H74" s="692"/>
      <c r="I74" s="692"/>
      <c r="J74" s="692"/>
      <c r="K74" s="752"/>
      <c r="L74" s="692"/>
      <c r="M74" s="692"/>
      <c r="N74" s="692"/>
    </row>
    <row r="75" spans="1:14">
      <c r="A75" s="745" t="s">
        <v>468</v>
      </c>
      <c r="B75" s="746"/>
      <c r="C75" s="746"/>
      <c r="D75" s="746"/>
      <c r="E75" s="749">
        <v>0</v>
      </c>
      <c r="F75" s="751">
        <f ca="1">+E75*$E$66/365</f>
        <v>0</v>
      </c>
      <c r="G75" s="697">
        <f ca="1">+SUM(F73:F75)</f>
        <v>28304.661122275633</v>
      </c>
      <c r="H75" s="692"/>
      <c r="I75" s="692"/>
      <c r="J75" s="692"/>
      <c r="K75" s="752"/>
      <c r="L75" s="692"/>
      <c r="M75" s="692"/>
      <c r="N75" s="692"/>
    </row>
    <row r="76" spans="1:14" ht="14.25" customHeight="1" thickBot="1">
      <c r="A76" s="753" t="s">
        <v>469</v>
      </c>
      <c r="B76" s="709"/>
      <c r="C76" s="709"/>
      <c r="D76" s="709"/>
      <c r="E76" s="754">
        <f>+SUM(E69:E71)-SUM(E73:E74)</f>
        <v>-1</v>
      </c>
      <c r="F76" s="709">
        <f ca="1">+SUM(F69:F71)-SUM(F73:F74)</f>
        <v>7045.7034223582523</v>
      </c>
      <c r="G76" s="697"/>
      <c r="H76" s="692"/>
      <c r="I76" s="692"/>
      <c r="J76" s="692"/>
      <c r="K76" s="692"/>
      <c r="L76" s="692"/>
      <c r="M76" s="692"/>
      <c r="N76" s="692"/>
    </row>
    <row r="77" spans="1:14" ht="12" thickTop="1">
      <c r="A77" s="703" t="s">
        <v>470</v>
      </c>
      <c r="B77" s="692"/>
      <c r="C77" s="692"/>
      <c r="D77" s="692"/>
      <c r="E77" s="692">
        <f>+SUM(E69:E71)</f>
        <v>60</v>
      </c>
      <c r="F77" s="755">
        <f>+E77/E78</f>
        <v>0.98360655737704916</v>
      </c>
      <c r="G77" s="697"/>
      <c r="L77" s="692"/>
      <c r="M77" s="692"/>
    </row>
    <row r="78" spans="1:14" ht="12" thickBot="1">
      <c r="A78" s="710" t="s">
        <v>471</v>
      </c>
      <c r="B78" s="715"/>
      <c r="C78" s="715"/>
      <c r="D78" s="715"/>
      <c r="E78" s="715">
        <f>+SUM(E73:E74)</f>
        <v>61</v>
      </c>
      <c r="F78" s="756">
        <v>1</v>
      </c>
      <c r="G78" s="712"/>
    </row>
    <row r="80" spans="1:14">
      <c r="A80" s="1374" t="s">
        <v>930</v>
      </c>
      <c r="B80" s="1072"/>
      <c r="C80" s="1375"/>
      <c r="D80" s="1375"/>
      <c r="E80" s="1376"/>
      <c r="F80" s="1376"/>
      <c r="G80" s="1377"/>
      <c r="H80" s="1377"/>
      <c r="I80" s="1378"/>
      <c r="J80" s="1378"/>
      <c r="K80" s="1379"/>
      <c r="L80" s="1380"/>
    </row>
    <row r="81" spans="1:12">
      <c r="A81" s="1381"/>
      <c r="B81" s="1382"/>
      <c r="C81" s="1383"/>
      <c r="D81" s="1383"/>
      <c r="E81" s="1383"/>
      <c r="F81" s="1384"/>
      <c r="G81" s="1385"/>
      <c r="H81" s="1386" t="s">
        <v>472</v>
      </c>
      <c r="I81" s="1386" t="s">
        <v>473</v>
      </c>
      <c r="J81" s="1386" t="s">
        <v>73</v>
      </c>
      <c r="K81" s="1387"/>
      <c r="L81" s="1388"/>
    </row>
    <row r="82" spans="1:12">
      <c r="A82" s="1381"/>
      <c r="B82" s="1389"/>
      <c r="C82" s="758" t="s">
        <v>474</v>
      </c>
      <c r="D82" s="759"/>
      <c r="E82" s="760">
        <f ca="1">Assumptions!$H$54</f>
        <v>479637.11633199977</v>
      </c>
      <c r="F82" s="1389"/>
      <c r="G82" s="1390" t="s">
        <v>475</v>
      </c>
      <c r="H82" s="761">
        <f ca="1">+MAX(D94:D99)</f>
        <v>119909.27908299994</v>
      </c>
      <c r="I82" s="761">
        <f ca="1">+MAX(F94:F99)</f>
        <v>4046.9381690512482</v>
      </c>
      <c r="J82" s="761">
        <f ca="1">+SUM(H82:I82)</f>
        <v>123956.2172520512</v>
      </c>
      <c r="K82" s="692"/>
      <c r="L82" s="1008"/>
    </row>
    <row r="83" spans="1:12">
      <c r="A83" s="1381"/>
      <c r="B83" s="1389"/>
      <c r="C83" s="762" t="s">
        <v>476</v>
      </c>
      <c r="D83" s="1383"/>
      <c r="E83" s="1568">
        <f>Assumptions!F56</f>
        <v>9.375E-2</v>
      </c>
      <c r="F83" s="1383"/>
      <c r="G83" s="1390" t="s">
        <v>477</v>
      </c>
      <c r="H83" s="761">
        <f ca="1">+MAX(D100:D111)-H82</f>
        <v>239818.55816599992</v>
      </c>
      <c r="I83" s="761">
        <f ca="1">+MAX(F100:F111)-I82</f>
        <v>24281.629014307488</v>
      </c>
      <c r="J83" s="761">
        <f ca="1">+SUM(H83:I83)</f>
        <v>264100.1871803074</v>
      </c>
      <c r="K83" s="692"/>
      <c r="L83" s="1008"/>
    </row>
    <row r="84" spans="1:12">
      <c r="A84" s="1381"/>
      <c r="B84" s="1389"/>
      <c r="C84" s="762" t="s">
        <v>478</v>
      </c>
      <c r="D84" s="1383"/>
      <c r="E84" s="1569">
        <f>Assumptions!G58</f>
        <v>37.5</v>
      </c>
      <c r="F84" s="1389"/>
      <c r="G84" s="1390" t="s">
        <v>479</v>
      </c>
      <c r="H84" s="761">
        <f ca="1">+MAX(D112:D123)-SUM(H82:H83)</f>
        <v>119909.27908299991</v>
      </c>
      <c r="I84" s="761">
        <f ca="1">+MAX(F112:F123)-SUM(I82:I83)</f>
        <v>20234.690845256246</v>
      </c>
      <c r="J84" s="761">
        <f ca="1">+SUM(H84:I84)</f>
        <v>140143.96992825615</v>
      </c>
      <c r="K84" s="692"/>
      <c r="L84" s="1008"/>
    </row>
    <row r="85" spans="1:12">
      <c r="A85" s="1381"/>
      <c r="B85" s="1389"/>
      <c r="C85" s="762" t="s">
        <v>480</v>
      </c>
      <c r="D85" s="1383"/>
      <c r="E85" s="1570">
        <f>+E83/12</f>
        <v>7.8125E-3</v>
      </c>
      <c r="F85" s="1389"/>
      <c r="G85" s="1390" t="s">
        <v>481</v>
      </c>
      <c r="H85" s="761">
        <v>0</v>
      </c>
      <c r="I85" s="761">
        <v>0</v>
      </c>
      <c r="J85" s="761">
        <f>+SUM(H85:I85)</f>
        <v>0</v>
      </c>
      <c r="K85" s="692"/>
      <c r="L85" s="1008"/>
    </row>
    <row r="86" spans="1:12">
      <c r="A86" s="1381"/>
      <c r="B86" s="1389"/>
      <c r="C86" s="762" t="s">
        <v>482</v>
      </c>
      <c r="D86" s="1383"/>
      <c r="E86" s="1571">
        <f>Assumptions!H56</f>
        <v>24</v>
      </c>
      <c r="F86" s="1389"/>
      <c r="G86" s="1390" t="s">
        <v>73</v>
      </c>
      <c r="H86" s="1391">
        <f ca="1">+SUM(H82:H85)</f>
        <v>479637.11633199977</v>
      </c>
      <c r="I86" s="1391">
        <f ca="1">SUM(I82:I85)</f>
        <v>48563.258028614982</v>
      </c>
      <c r="J86" s="1392">
        <f ca="1">SUM(J82:J85)</f>
        <v>528200.37436061469</v>
      </c>
      <c r="K86" s="692"/>
      <c r="L86" s="1008"/>
    </row>
    <row r="87" spans="1:12">
      <c r="A87" s="1381"/>
      <c r="B87" s="1389"/>
      <c r="C87" s="762" t="s">
        <v>483</v>
      </c>
      <c r="D87" s="1383"/>
      <c r="E87" s="1572">
        <f>Assumptions!H57</f>
        <v>0</v>
      </c>
      <c r="F87" s="1389"/>
      <c r="G87" s="1389"/>
      <c r="H87" s="1389"/>
      <c r="I87" s="1389"/>
      <c r="J87" s="1389"/>
      <c r="K87" s="788"/>
      <c r="L87" s="1393"/>
    </row>
    <row r="88" spans="1:12">
      <c r="A88" s="1381"/>
      <c r="B88" s="1389"/>
      <c r="C88" s="764" t="s">
        <v>484</v>
      </c>
      <c r="D88" s="765"/>
      <c r="E88" s="766"/>
      <c r="F88" s="788"/>
      <c r="G88" s="1389"/>
      <c r="H88" s="1389"/>
      <c r="I88" s="1389"/>
      <c r="J88" s="1389"/>
      <c r="K88" s="1394"/>
      <c r="L88" s="1395"/>
    </row>
    <row r="89" spans="1:12">
      <c r="A89" s="1381"/>
      <c r="B89" s="1389"/>
      <c r="C89" s="767" t="s">
        <v>485</v>
      </c>
      <c r="D89" s="768"/>
      <c r="E89" s="769">
        <v>17369.151215419031</v>
      </c>
      <c r="F89" s="788"/>
      <c r="G89" s="1389"/>
      <c r="H89" s="1389"/>
      <c r="I89" s="1389"/>
      <c r="J89" s="1389"/>
      <c r="K89" s="1394"/>
      <c r="L89" s="1395"/>
    </row>
    <row r="90" spans="1:12" ht="12" thickBot="1">
      <c r="A90" s="1381"/>
      <c r="B90" s="1389"/>
      <c r="C90" s="1389"/>
      <c r="D90" s="1383"/>
      <c r="E90" s="1389"/>
      <c r="F90" s="1389"/>
      <c r="G90" s="1389"/>
      <c r="H90" s="1389"/>
      <c r="I90" s="1389"/>
      <c r="J90" s="1389"/>
      <c r="K90" s="788"/>
      <c r="L90" s="1393"/>
    </row>
    <row r="91" spans="1:12">
      <c r="A91" s="1381"/>
      <c r="B91" s="770" t="s">
        <v>486</v>
      </c>
      <c r="C91" s="771"/>
      <c r="D91" s="772"/>
      <c r="E91" s="773" t="s">
        <v>167</v>
      </c>
      <c r="F91" s="774" t="s">
        <v>487</v>
      </c>
      <c r="G91" s="1389"/>
      <c r="H91" s="1383"/>
      <c r="I91" s="775" t="s">
        <v>488</v>
      </c>
      <c r="J91" s="775" t="s">
        <v>207</v>
      </c>
      <c r="K91" s="788"/>
      <c r="L91" s="1393"/>
    </row>
    <row r="92" spans="1:12">
      <c r="A92" s="1381"/>
      <c r="B92" s="776" t="s">
        <v>489</v>
      </c>
      <c r="C92" s="777" t="s">
        <v>172</v>
      </c>
      <c r="D92" s="778" t="s">
        <v>490</v>
      </c>
      <c r="E92" s="779" t="s">
        <v>100</v>
      </c>
      <c r="F92" s="780" t="s">
        <v>100</v>
      </c>
      <c r="G92" s="1389"/>
      <c r="H92" s="1383"/>
      <c r="I92" s="777" t="s">
        <v>491</v>
      </c>
      <c r="J92" s="777" t="s">
        <v>491</v>
      </c>
      <c r="K92" s="788"/>
      <c r="L92" s="1393"/>
    </row>
    <row r="93" spans="1:12">
      <c r="A93" s="1381"/>
      <c r="B93" s="781">
        <f t="shared" ref="B93:B129" si="14">IF($E$87=1,J93,I93)</f>
        <v>0</v>
      </c>
      <c r="C93" s="782">
        <v>0</v>
      </c>
      <c r="D93" s="783"/>
      <c r="E93" s="784"/>
      <c r="F93" s="785"/>
      <c r="G93" s="788"/>
      <c r="H93" s="1383"/>
      <c r="I93" s="786">
        <v>0</v>
      </c>
      <c r="J93" s="786">
        <v>0</v>
      </c>
      <c r="K93" s="788"/>
      <c r="L93" s="1396"/>
    </row>
    <row r="94" spans="1:12">
      <c r="A94" s="1381"/>
      <c r="B94" s="787">
        <f t="shared" si="14"/>
        <v>4.1666666666666664E-2</v>
      </c>
      <c r="C94" s="788">
        <v>1</v>
      </c>
      <c r="D94" s="789">
        <f t="shared" ref="D94:D129" ca="1" si="15">$E$82*B94</f>
        <v>19984.879847166656</v>
      </c>
      <c r="E94" s="790">
        <f ca="1">D94*$E$85+($E$82-D94)*(Debt!$E$84/10000)/12</f>
        <v>299.77319770749983</v>
      </c>
      <c r="F94" s="791">
        <f ca="1">E94</f>
        <v>299.77319770749983</v>
      </c>
      <c r="G94" s="788"/>
      <c r="H94" s="1383"/>
      <c r="I94" s="792">
        <f t="shared" ref="I94:I129" si="16">MINA(C94/E$86,1)</f>
        <v>4.1666666666666664E-2</v>
      </c>
      <c r="J94" s="792">
        <v>0</v>
      </c>
      <c r="K94" s="788"/>
      <c r="L94" s="1396"/>
    </row>
    <row r="95" spans="1:12">
      <c r="A95" s="1381"/>
      <c r="B95" s="781">
        <f t="shared" si="14"/>
        <v>8.3333333333333329E-2</v>
      </c>
      <c r="C95" s="793">
        <f t="shared" ref="C95:C129" si="17">C94+1</f>
        <v>2</v>
      </c>
      <c r="D95" s="789">
        <f t="shared" ca="1" si="15"/>
        <v>39969.759694333312</v>
      </c>
      <c r="E95" s="790">
        <f ca="1">D95*$E$85+($E$82-D95)*(Debt!$E$84/10000)/12</f>
        <v>449.65979656124978</v>
      </c>
      <c r="F95" s="791">
        <f t="shared" ref="F95:F129" ca="1" si="18">IF(C95&lt;=$E$86,E95+F94,F94)</f>
        <v>749.43299426874955</v>
      </c>
      <c r="G95" s="788"/>
      <c r="H95" s="1383"/>
      <c r="I95" s="792">
        <f t="shared" si="16"/>
        <v>8.3333333333333329E-2</v>
      </c>
      <c r="J95" s="792">
        <v>0</v>
      </c>
      <c r="K95" s="788"/>
      <c r="L95" s="1393"/>
    </row>
    <row r="96" spans="1:12">
      <c r="A96" s="1381"/>
      <c r="B96" s="781">
        <f t="shared" si="14"/>
        <v>0.125</v>
      </c>
      <c r="C96" s="793">
        <f t="shared" si="17"/>
        <v>3</v>
      </c>
      <c r="D96" s="789">
        <f t="shared" ca="1" si="15"/>
        <v>59954.639541499972</v>
      </c>
      <c r="E96" s="790">
        <f ca="1">D96*$E$85+($E$82-D96)*(Debt!$E$84/10000)/12</f>
        <v>599.54639541499978</v>
      </c>
      <c r="F96" s="791">
        <f t="shared" ca="1" si="18"/>
        <v>1348.9793896837493</v>
      </c>
      <c r="G96" s="788"/>
      <c r="H96" s="1383"/>
      <c r="I96" s="792">
        <f t="shared" si="16"/>
        <v>0.125</v>
      </c>
      <c r="J96" s="792">
        <v>0</v>
      </c>
      <c r="K96" s="788"/>
      <c r="L96" s="1393"/>
    </row>
    <row r="97" spans="1:12">
      <c r="A97" s="1381"/>
      <c r="B97" s="781">
        <f t="shared" si="14"/>
        <v>0.16666666666666666</v>
      </c>
      <c r="C97" s="793">
        <f t="shared" si="17"/>
        <v>4</v>
      </c>
      <c r="D97" s="789">
        <f t="shared" ca="1" si="15"/>
        <v>79939.519388666624</v>
      </c>
      <c r="E97" s="790">
        <f ca="1">D97*$E$85+($E$82-D97)*(Debt!$E$84/10000)/12</f>
        <v>749.43299426874955</v>
      </c>
      <c r="F97" s="791">
        <f t="shared" ca="1" si="18"/>
        <v>2098.4123839524991</v>
      </c>
      <c r="G97" s="1397"/>
      <c r="H97" s="1383"/>
      <c r="I97" s="792">
        <f t="shared" si="16"/>
        <v>0.16666666666666666</v>
      </c>
      <c r="J97" s="792">
        <v>0</v>
      </c>
      <c r="K97" s="788"/>
      <c r="L97" s="1393"/>
    </row>
    <row r="98" spans="1:12">
      <c r="A98" s="1381"/>
      <c r="B98" s="781">
        <f t="shared" si="14"/>
        <v>0.20833333333333334</v>
      </c>
      <c r="C98" s="793">
        <f t="shared" si="17"/>
        <v>5</v>
      </c>
      <c r="D98" s="789">
        <f t="shared" ca="1" si="15"/>
        <v>99924.399235833291</v>
      </c>
      <c r="E98" s="790">
        <f ca="1">D98*$E$85+($E$82-D98)*(Debt!$E$84/10000)/12</f>
        <v>899.31959312249955</v>
      </c>
      <c r="F98" s="791">
        <f t="shared" ca="1" si="18"/>
        <v>2997.7319770749987</v>
      </c>
      <c r="G98" s="788"/>
      <c r="H98" s="1383"/>
      <c r="I98" s="792">
        <f t="shared" si="16"/>
        <v>0.20833333333333334</v>
      </c>
      <c r="J98" s="792">
        <v>0</v>
      </c>
      <c r="K98" s="788"/>
      <c r="L98" s="1393"/>
    </row>
    <row r="99" spans="1:12" ht="12" thickBot="1">
      <c r="A99" s="1381"/>
      <c r="B99" s="794">
        <f t="shared" si="14"/>
        <v>0.25</v>
      </c>
      <c r="C99" s="795">
        <f t="shared" si="17"/>
        <v>6</v>
      </c>
      <c r="D99" s="796">
        <f t="shared" ca="1" si="15"/>
        <v>119909.27908299994</v>
      </c>
      <c r="E99" s="797">
        <f ca="1">D99*$E$85+($E$82-D99)*(Debt!$E$84/10000)/12</f>
        <v>1049.2061919762496</v>
      </c>
      <c r="F99" s="798">
        <f t="shared" ca="1" si="18"/>
        <v>4046.9381690512482</v>
      </c>
      <c r="G99" s="788"/>
      <c r="H99" s="1383"/>
      <c r="I99" s="792">
        <f t="shared" si="16"/>
        <v>0.25</v>
      </c>
      <c r="J99" s="792">
        <v>0</v>
      </c>
      <c r="K99" s="788"/>
      <c r="L99" s="1398"/>
    </row>
    <row r="100" spans="1:12">
      <c r="A100" s="1381"/>
      <c r="B100" s="781">
        <f t="shared" si="14"/>
        <v>0.29166666666666669</v>
      </c>
      <c r="C100" s="793">
        <f t="shared" si="17"/>
        <v>7</v>
      </c>
      <c r="D100" s="789">
        <f t="shared" ca="1" si="15"/>
        <v>139894.1589301666</v>
      </c>
      <c r="E100" s="790">
        <f ca="1">D100*$E$85+($E$82-D100)*(Debt!$E$84/10000)/12</f>
        <v>1199.0927908299993</v>
      </c>
      <c r="F100" s="791">
        <f t="shared" ca="1" si="18"/>
        <v>5246.0309598812473</v>
      </c>
      <c r="G100" s="1397"/>
      <c r="H100" s="1383"/>
      <c r="I100" s="792">
        <f t="shared" si="16"/>
        <v>0.29166666666666669</v>
      </c>
      <c r="J100" s="792">
        <v>0</v>
      </c>
      <c r="K100" s="788"/>
      <c r="L100" s="1393"/>
    </row>
    <row r="101" spans="1:12">
      <c r="A101" s="1381"/>
      <c r="B101" s="781">
        <f t="shared" si="14"/>
        <v>0.33333333333333331</v>
      </c>
      <c r="C101" s="793">
        <f t="shared" si="17"/>
        <v>8</v>
      </c>
      <c r="D101" s="789">
        <f t="shared" ca="1" si="15"/>
        <v>159879.03877733325</v>
      </c>
      <c r="E101" s="790">
        <f ca="1">D101*$E$85+($E$82-D101)*(Debt!$E$84/10000)/12</f>
        <v>1348.9793896837493</v>
      </c>
      <c r="F101" s="791">
        <f t="shared" ca="1" si="18"/>
        <v>6595.0103495649964</v>
      </c>
      <c r="G101" s="788"/>
      <c r="H101" s="1383"/>
      <c r="I101" s="792">
        <f t="shared" si="16"/>
        <v>0.33333333333333331</v>
      </c>
      <c r="J101" s="792">
        <v>0</v>
      </c>
      <c r="K101" s="788"/>
      <c r="L101" s="1393"/>
    </row>
    <row r="102" spans="1:12" s="670" customFormat="1">
      <c r="A102" s="1381"/>
      <c r="B102" s="781">
        <f t="shared" si="14"/>
        <v>0.375</v>
      </c>
      <c r="C102" s="793">
        <f t="shared" si="17"/>
        <v>9</v>
      </c>
      <c r="D102" s="789">
        <f t="shared" ca="1" si="15"/>
        <v>179863.91862449993</v>
      </c>
      <c r="E102" s="790">
        <f ca="1">D102*$E$85+($E$82-D102)*(Debt!$E$84/10000)/12</f>
        <v>1498.8659885374993</v>
      </c>
      <c r="F102" s="791">
        <f t="shared" ca="1" si="18"/>
        <v>8093.8763381024955</v>
      </c>
      <c r="G102" s="788"/>
      <c r="H102" s="1383"/>
      <c r="I102" s="792">
        <f t="shared" si="16"/>
        <v>0.375</v>
      </c>
      <c r="J102" s="792">
        <v>0</v>
      </c>
      <c r="K102" s="788"/>
      <c r="L102" s="1399"/>
    </row>
    <row r="103" spans="1:12" s="670" customFormat="1">
      <c r="A103" s="1381"/>
      <c r="B103" s="781">
        <f t="shared" si="14"/>
        <v>0.41666666666666669</v>
      </c>
      <c r="C103" s="793">
        <f t="shared" si="17"/>
        <v>10</v>
      </c>
      <c r="D103" s="789">
        <f t="shared" ca="1" si="15"/>
        <v>199848.79847166658</v>
      </c>
      <c r="E103" s="790">
        <f ca="1">D103*$E$85+($E$82-D103)*(Debt!$E$84/10000)/12</f>
        <v>1648.7525873912493</v>
      </c>
      <c r="F103" s="791">
        <f t="shared" ca="1" si="18"/>
        <v>9742.6289254937456</v>
      </c>
      <c r="G103" s="788"/>
      <c r="H103" s="1383"/>
      <c r="I103" s="792">
        <f t="shared" si="16"/>
        <v>0.41666666666666669</v>
      </c>
      <c r="J103" s="792">
        <v>0</v>
      </c>
      <c r="K103" s="788"/>
      <c r="L103" s="1399"/>
    </row>
    <row r="104" spans="1:12">
      <c r="A104" s="1381"/>
      <c r="B104" s="781">
        <f t="shared" si="14"/>
        <v>0.45833333333333331</v>
      </c>
      <c r="C104" s="793">
        <f t="shared" si="17"/>
        <v>11</v>
      </c>
      <c r="D104" s="789">
        <f t="shared" ca="1" si="15"/>
        <v>219833.67831883323</v>
      </c>
      <c r="E104" s="790">
        <f ca="1">D104*$E$85+($E$82-D104)*(Debt!$E$84/10000)/12</f>
        <v>1798.6391862449991</v>
      </c>
      <c r="F104" s="791">
        <f t="shared" ca="1" si="18"/>
        <v>11541.268111738744</v>
      </c>
      <c r="G104" s="788"/>
      <c r="H104" s="1383"/>
      <c r="I104" s="792">
        <f t="shared" si="16"/>
        <v>0.45833333333333331</v>
      </c>
      <c r="J104" s="792">
        <v>0</v>
      </c>
      <c r="K104" s="788"/>
      <c r="L104" s="1393"/>
    </row>
    <row r="105" spans="1:12" s="670" customFormat="1">
      <c r="A105" s="1381"/>
      <c r="B105" s="781">
        <f t="shared" si="14"/>
        <v>0.5</v>
      </c>
      <c r="C105" s="793">
        <f t="shared" si="17"/>
        <v>12</v>
      </c>
      <c r="D105" s="789">
        <f t="shared" ca="1" si="15"/>
        <v>239818.55816599989</v>
      </c>
      <c r="E105" s="790">
        <f ca="1">D105*$E$85+($E$82-D105)*(Debt!$E$84/10000)/12</f>
        <v>1948.5257850987491</v>
      </c>
      <c r="F105" s="791">
        <f t="shared" ca="1" si="18"/>
        <v>13489.793896837493</v>
      </c>
      <c r="G105" s="788"/>
      <c r="H105" s="1383"/>
      <c r="I105" s="792">
        <f t="shared" si="16"/>
        <v>0.5</v>
      </c>
      <c r="J105" s="792">
        <v>0</v>
      </c>
      <c r="K105" s="788"/>
      <c r="L105" s="1393"/>
    </row>
    <row r="106" spans="1:12">
      <c r="A106" s="1381"/>
      <c r="B106" s="781">
        <f t="shared" si="14"/>
        <v>0.54166666666666663</v>
      </c>
      <c r="C106" s="793">
        <f t="shared" si="17"/>
        <v>13</v>
      </c>
      <c r="D106" s="789">
        <f t="shared" ca="1" si="15"/>
        <v>259803.43801316654</v>
      </c>
      <c r="E106" s="790">
        <f ca="1">D106*$E$85+($E$82-D106)*(Debt!$E$84/10000)/12</f>
        <v>2098.4123839524991</v>
      </c>
      <c r="F106" s="791">
        <f t="shared" ca="1" si="18"/>
        <v>15588.206280789993</v>
      </c>
      <c r="G106" s="788"/>
      <c r="H106" s="1383"/>
      <c r="I106" s="792">
        <f t="shared" si="16"/>
        <v>0.54166666666666663</v>
      </c>
      <c r="J106" s="792">
        <f t="shared" ref="J106:J117" si="19">J105+0.4/12</f>
        <v>3.3333333333333333E-2</v>
      </c>
      <c r="K106" s="788"/>
      <c r="L106" s="1393"/>
    </row>
    <row r="107" spans="1:12">
      <c r="A107" s="1381"/>
      <c r="B107" s="781">
        <f t="shared" si="14"/>
        <v>0.58333333333333337</v>
      </c>
      <c r="C107" s="793">
        <f t="shared" si="17"/>
        <v>14</v>
      </c>
      <c r="D107" s="789">
        <f t="shared" ca="1" si="15"/>
        <v>279788.31786033319</v>
      </c>
      <c r="E107" s="790">
        <f ca="1">D107*$E$85+($E$82-D107)*(Debt!$E$84/10000)/12</f>
        <v>2248.2989828062487</v>
      </c>
      <c r="F107" s="791">
        <f t="shared" ca="1" si="18"/>
        <v>17836.505263596242</v>
      </c>
      <c r="G107" s="788"/>
      <c r="H107" s="1383"/>
      <c r="I107" s="792">
        <f t="shared" si="16"/>
        <v>0.58333333333333337</v>
      </c>
      <c r="J107" s="792">
        <f t="shared" si="19"/>
        <v>6.6666666666666666E-2</v>
      </c>
      <c r="K107" s="788"/>
      <c r="L107" s="1393"/>
    </row>
    <row r="108" spans="1:12">
      <c r="A108" s="1381"/>
      <c r="B108" s="781">
        <f t="shared" si="14"/>
        <v>0.625</v>
      </c>
      <c r="C108" s="793">
        <f t="shared" si="17"/>
        <v>15</v>
      </c>
      <c r="D108" s="789">
        <f t="shared" ca="1" si="15"/>
        <v>299773.19770749984</v>
      </c>
      <c r="E108" s="790">
        <f ca="1">D108*$E$85+($E$82-D108)*(Debt!$E$84/10000)/12</f>
        <v>2398.1855816599987</v>
      </c>
      <c r="F108" s="791">
        <f t="shared" ca="1" si="18"/>
        <v>20234.690845256242</v>
      </c>
      <c r="G108" s="788"/>
      <c r="H108" s="1383"/>
      <c r="I108" s="792">
        <f t="shared" si="16"/>
        <v>0.625</v>
      </c>
      <c r="J108" s="792">
        <f t="shared" si="19"/>
        <v>0.1</v>
      </c>
      <c r="K108" s="788"/>
      <c r="L108" s="1393"/>
    </row>
    <row r="109" spans="1:12">
      <c r="A109" s="1381"/>
      <c r="B109" s="781">
        <f t="shared" si="14"/>
        <v>0.66666666666666663</v>
      </c>
      <c r="C109" s="793">
        <f t="shared" si="17"/>
        <v>16</v>
      </c>
      <c r="D109" s="789">
        <f t="shared" ca="1" si="15"/>
        <v>319758.0775546665</v>
      </c>
      <c r="E109" s="790">
        <f ca="1">D109*$E$85+($E$82-D109)*(Debt!$E$84/10000)/12</f>
        <v>2548.0721805137487</v>
      </c>
      <c r="F109" s="791">
        <f t="shared" ca="1" si="18"/>
        <v>22782.763025769989</v>
      </c>
      <c r="G109" s="788"/>
      <c r="H109" s="1383"/>
      <c r="I109" s="792">
        <f t="shared" si="16"/>
        <v>0.66666666666666663</v>
      </c>
      <c r="J109" s="792">
        <f t="shared" si="19"/>
        <v>0.13333333333333333</v>
      </c>
      <c r="K109" s="788"/>
      <c r="L109" s="1393"/>
    </row>
    <row r="110" spans="1:12">
      <c r="A110" s="1381"/>
      <c r="B110" s="781">
        <f t="shared" si="14"/>
        <v>0.70833333333333337</v>
      </c>
      <c r="C110" s="793">
        <f t="shared" si="17"/>
        <v>17</v>
      </c>
      <c r="D110" s="789">
        <f t="shared" ca="1" si="15"/>
        <v>339742.95740183321</v>
      </c>
      <c r="E110" s="790">
        <f ca="1">D110*$E$85+($E$82-D110)*(Debt!$E$84/10000)/12</f>
        <v>2697.9587793674991</v>
      </c>
      <c r="F110" s="791">
        <f t="shared" ca="1" si="18"/>
        <v>25480.721805137488</v>
      </c>
      <c r="G110" s="788"/>
      <c r="H110" s="1383"/>
      <c r="I110" s="792">
        <f t="shared" si="16"/>
        <v>0.70833333333333337</v>
      </c>
      <c r="J110" s="792">
        <f t="shared" si="19"/>
        <v>0.16666666666666666</v>
      </c>
      <c r="K110" s="788"/>
      <c r="L110" s="1393"/>
    </row>
    <row r="111" spans="1:12" ht="12" thickBot="1">
      <c r="A111" s="1381"/>
      <c r="B111" s="794">
        <f t="shared" si="14"/>
        <v>0.75</v>
      </c>
      <c r="C111" s="795">
        <f t="shared" si="17"/>
        <v>18</v>
      </c>
      <c r="D111" s="796">
        <f t="shared" ca="1" si="15"/>
        <v>359727.83724899986</v>
      </c>
      <c r="E111" s="797">
        <f ca="1">D111*$E$85+($E$82-D111)*(Debt!$E$84/10000)/12</f>
        <v>2847.8453782212487</v>
      </c>
      <c r="F111" s="798">
        <f t="shared" ca="1" si="18"/>
        <v>28328.567183358737</v>
      </c>
      <c r="G111" s="788"/>
      <c r="H111" s="1383"/>
      <c r="I111" s="792">
        <f t="shared" si="16"/>
        <v>0.75</v>
      </c>
      <c r="J111" s="792">
        <f t="shared" si="19"/>
        <v>0.19999999999999998</v>
      </c>
      <c r="K111" s="788"/>
      <c r="L111" s="1393"/>
    </row>
    <row r="112" spans="1:12">
      <c r="A112" s="1381"/>
      <c r="B112" s="781">
        <f t="shared" si="14"/>
        <v>0.79166666666666663</v>
      </c>
      <c r="C112" s="793">
        <f t="shared" si="17"/>
        <v>19</v>
      </c>
      <c r="D112" s="789">
        <f t="shared" ca="1" si="15"/>
        <v>379712.71709616645</v>
      </c>
      <c r="E112" s="790">
        <f ca="1">D112*$E$85+($E$82-D112)*(Debt!$E$84/10000)/12</f>
        <v>2997.7319770749982</v>
      </c>
      <c r="F112" s="791">
        <f t="shared" ca="1" si="18"/>
        <v>31326.299160433737</v>
      </c>
      <c r="G112" s="788"/>
      <c r="H112" s="1400"/>
      <c r="I112" s="792">
        <f t="shared" si="16"/>
        <v>0.79166666666666663</v>
      </c>
      <c r="J112" s="792">
        <f t="shared" si="19"/>
        <v>0.23333333333333331</v>
      </c>
      <c r="K112" s="788"/>
      <c r="L112" s="1393"/>
    </row>
    <row r="113" spans="1:12">
      <c r="A113" s="1381"/>
      <c r="B113" s="781">
        <f t="shared" si="14"/>
        <v>0.83333333333333337</v>
      </c>
      <c r="C113" s="793">
        <f t="shared" si="17"/>
        <v>20</v>
      </c>
      <c r="D113" s="789">
        <f t="shared" ca="1" si="15"/>
        <v>399697.59694333316</v>
      </c>
      <c r="E113" s="790">
        <f ca="1">D113*$E$85+($E$82-D113)*(Debt!$E$84/10000)/12</f>
        <v>3147.6185759287487</v>
      </c>
      <c r="F113" s="791">
        <f t="shared" ca="1" si="18"/>
        <v>34473.917736362484</v>
      </c>
      <c r="G113" s="788"/>
      <c r="H113" s="1400"/>
      <c r="I113" s="792">
        <f t="shared" si="16"/>
        <v>0.83333333333333337</v>
      </c>
      <c r="J113" s="792">
        <f t="shared" si="19"/>
        <v>0.26666666666666666</v>
      </c>
      <c r="K113" s="788"/>
      <c r="L113" s="1393"/>
    </row>
    <row r="114" spans="1:12">
      <c r="A114" s="1381"/>
      <c r="B114" s="781">
        <f t="shared" si="14"/>
        <v>0.875</v>
      </c>
      <c r="C114" s="793">
        <f t="shared" si="17"/>
        <v>21</v>
      </c>
      <c r="D114" s="789">
        <f t="shared" ca="1" si="15"/>
        <v>419682.47679049982</v>
      </c>
      <c r="E114" s="790">
        <f ca="1">D114*$E$85+($E$82-D114)*(Debt!$E$84/10000)/12</f>
        <v>3297.5051747824987</v>
      </c>
      <c r="F114" s="791">
        <f t="shared" ca="1" si="18"/>
        <v>37771.422911144982</v>
      </c>
      <c r="G114" s="788"/>
      <c r="H114" s="1400"/>
      <c r="I114" s="792">
        <f t="shared" si="16"/>
        <v>0.875</v>
      </c>
      <c r="J114" s="792">
        <f t="shared" si="19"/>
        <v>0.3</v>
      </c>
      <c r="K114" s="788"/>
      <c r="L114" s="1393"/>
    </row>
    <row r="115" spans="1:12">
      <c r="A115" s="1381"/>
      <c r="B115" s="781">
        <f t="shared" si="14"/>
        <v>0.91666666666666663</v>
      </c>
      <c r="C115" s="793">
        <f t="shared" si="17"/>
        <v>22</v>
      </c>
      <c r="D115" s="789">
        <f t="shared" ca="1" si="15"/>
        <v>439667.35663766647</v>
      </c>
      <c r="E115" s="790">
        <f ca="1">D115*$E$85+($E$82-D115)*(Debt!$E$84/10000)/12</f>
        <v>3447.3917736362482</v>
      </c>
      <c r="F115" s="791">
        <f t="shared" ca="1" si="18"/>
        <v>41218.814684781231</v>
      </c>
      <c r="G115" s="788"/>
      <c r="H115" s="1400"/>
      <c r="I115" s="792">
        <f t="shared" si="16"/>
        <v>0.91666666666666663</v>
      </c>
      <c r="J115" s="792">
        <f t="shared" si="19"/>
        <v>0.33333333333333331</v>
      </c>
      <c r="K115" s="788"/>
      <c r="L115" s="1393"/>
    </row>
    <row r="116" spans="1:12">
      <c r="A116" s="1381"/>
      <c r="B116" s="781">
        <f t="shared" si="14"/>
        <v>0.95833333333333337</v>
      </c>
      <c r="C116" s="793">
        <f t="shared" si="17"/>
        <v>23</v>
      </c>
      <c r="D116" s="789">
        <f t="shared" ca="1" si="15"/>
        <v>459652.23648483312</v>
      </c>
      <c r="E116" s="790">
        <f ca="1">D116*$E$85+($E$82-D116)*(Debt!$E$84/10000)/12</f>
        <v>3597.2783724899982</v>
      </c>
      <c r="F116" s="791">
        <f t="shared" ca="1" si="18"/>
        <v>44816.093057271231</v>
      </c>
      <c r="G116" s="788"/>
      <c r="H116" s="1400"/>
      <c r="I116" s="792">
        <f t="shared" si="16"/>
        <v>0.95833333333333337</v>
      </c>
      <c r="J116" s="792">
        <f t="shared" si="19"/>
        <v>0.36666666666666664</v>
      </c>
      <c r="K116" s="788"/>
      <c r="L116" s="1393"/>
    </row>
    <row r="117" spans="1:12">
      <c r="A117" s="1381"/>
      <c r="B117" s="781">
        <f t="shared" si="14"/>
        <v>1</v>
      </c>
      <c r="C117" s="793">
        <f t="shared" si="17"/>
        <v>24</v>
      </c>
      <c r="D117" s="789">
        <f t="shared" ca="1" si="15"/>
        <v>479637.11633199977</v>
      </c>
      <c r="E117" s="790">
        <f ca="1">D117*$E$85+($E$82-D117)*(Debt!$E$84/10000)/12</f>
        <v>3747.1649713437482</v>
      </c>
      <c r="F117" s="791">
        <f t="shared" ca="1" si="18"/>
        <v>48563.258028614982</v>
      </c>
      <c r="G117" s="788"/>
      <c r="H117" s="1400"/>
      <c r="I117" s="792">
        <f t="shared" si="16"/>
        <v>1</v>
      </c>
      <c r="J117" s="792">
        <f t="shared" si="19"/>
        <v>0.39999999999999997</v>
      </c>
      <c r="K117" s="788"/>
      <c r="L117" s="1393"/>
    </row>
    <row r="118" spans="1:12">
      <c r="A118" s="1381"/>
      <c r="B118" s="781">
        <f t="shared" si="14"/>
        <v>1</v>
      </c>
      <c r="C118" s="793">
        <f t="shared" si="17"/>
        <v>25</v>
      </c>
      <c r="D118" s="789">
        <f t="shared" ca="1" si="15"/>
        <v>479637.11633199977</v>
      </c>
      <c r="E118" s="790">
        <f ca="1">D118*$E$85+($E$82-D118)*(Debt!$E$84/10000)/12</f>
        <v>3747.1649713437482</v>
      </c>
      <c r="F118" s="791">
        <f t="shared" ca="1" si="18"/>
        <v>48563.258028614982</v>
      </c>
      <c r="G118" s="1401"/>
      <c r="H118" s="1383"/>
      <c r="I118" s="792">
        <f t="shared" si="16"/>
        <v>1</v>
      </c>
      <c r="J118" s="792">
        <f t="shared" ref="J118:J129" si="20">J117+0.6/12</f>
        <v>0.44999999999999996</v>
      </c>
      <c r="K118" s="788"/>
      <c r="L118" s="1393"/>
    </row>
    <row r="119" spans="1:12">
      <c r="A119" s="1381"/>
      <c r="B119" s="781">
        <f t="shared" si="14"/>
        <v>1</v>
      </c>
      <c r="C119" s="793">
        <f t="shared" si="17"/>
        <v>26</v>
      </c>
      <c r="D119" s="789">
        <f t="shared" ca="1" si="15"/>
        <v>479637.11633199977</v>
      </c>
      <c r="E119" s="790">
        <f ca="1">D119*$E$85+($E$82-D119)*(Debt!$E$84/10000)/12</f>
        <v>3747.1649713437482</v>
      </c>
      <c r="F119" s="791">
        <f t="shared" ca="1" si="18"/>
        <v>48563.258028614982</v>
      </c>
      <c r="G119" s="1383"/>
      <c r="H119" s="1383"/>
      <c r="I119" s="792">
        <f t="shared" si="16"/>
        <v>1</v>
      </c>
      <c r="J119" s="792">
        <f t="shared" si="20"/>
        <v>0.49999999999999994</v>
      </c>
      <c r="K119" s="788"/>
      <c r="L119" s="1393"/>
    </row>
    <row r="120" spans="1:12">
      <c r="A120" s="1381"/>
      <c r="B120" s="781">
        <f t="shared" si="14"/>
        <v>1</v>
      </c>
      <c r="C120" s="793">
        <f t="shared" si="17"/>
        <v>27</v>
      </c>
      <c r="D120" s="789">
        <f t="shared" ca="1" si="15"/>
        <v>479637.11633199977</v>
      </c>
      <c r="E120" s="790">
        <f ca="1">D120*$E$85+($E$82-D120)*(Debt!$E$84/10000)/12</f>
        <v>3747.1649713437482</v>
      </c>
      <c r="F120" s="791">
        <f t="shared" ca="1" si="18"/>
        <v>48563.258028614982</v>
      </c>
      <c r="G120" s="1383"/>
      <c r="H120" s="1383"/>
      <c r="I120" s="792">
        <f t="shared" si="16"/>
        <v>1</v>
      </c>
      <c r="J120" s="792">
        <f t="shared" si="20"/>
        <v>0.54999999999999993</v>
      </c>
      <c r="K120" s="788"/>
      <c r="L120" s="1393"/>
    </row>
    <row r="121" spans="1:12">
      <c r="A121" s="1381"/>
      <c r="B121" s="781">
        <f t="shared" si="14"/>
        <v>1</v>
      </c>
      <c r="C121" s="793">
        <f t="shared" si="17"/>
        <v>28</v>
      </c>
      <c r="D121" s="789">
        <f t="shared" ca="1" si="15"/>
        <v>479637.11633199977</v>
      </c>
      <c r="E121" s="790">
        <f ca="1">D121*$E$85+($E$82-D121)*(Debt!$E$84/10000)/12</f>
        <v>3747.1649713437482</v>
      </c>
      <c r="F121" s="791">
        <f t="shared" ca="1" si="18"/>
        <v>48563.258028614982</v>
      </c>
      <c r="G121" s="1383"/>
      <c r="H121" s="1383"/>
      <c r="I121" s="792">
        <f t="shared" si="16"/>
        <v>1</v>
      </c>
      <c r="J121" s="792">
        <f t="shared" si="20"/>
        <v>0.6</v>
      </c>
      <c r="K121" s="788"/>
      <c r="L121" s="1393"/>
    </row>
    <row r="122" spans="1:12">
      <c r="A122" s="1381"/>
      <c r="B122" s="781">
        <f t="shared" si="14"/>
        <v>1</v>
      </c>
      <c r="C122" s="793">
        <f t="shared" si="17"/>
        <v>29</v>
      </c>
      <c r="D122" s="789">
        <f t="shared" ca="1" si="15"/>
        <v>479637.11633199977</v>
      </c>
      <c r="E122" s="790">
        <f ca="1">D122*$E$85+($E$82-D122)*(Debt!$E$84/10000)/12</f>
        <v>3747.1649713437482</v>
      </c>
      <c r="F122" s="791">
        <f t="shared" ca="1" si="18"/>
        <v>48563.258028614982</v>
      </c>
      <c r="G122" s="1383"/>
      <c r="H122" s="1383"/>
      <c r="I122" s="792">
        <f t="shared" si="16"/>
        <v>1</v>
      </c>
      <c r="J122" s="792">
        <f t="shared" si="20"/>
        <v>0.65</v>
      </c>
      <c r="K122" s="788"/>
      <c r="L122" s="1393"/>
    </row>
    <row r="123" spans="1:12" ht="12" thickBot="1">
      <c r="A123" s="1381"/>
      <c r="B123" s="794">
        <f t="shared" si="14"/>
        <v>1</v>
      </c>
      <c r="C123" s="795">
        <f t="shared" si="17"/>
        <v>30</v>
      </c>
      <c r="D123" s="796">
        <f t="shared" ca="1" si="15"/>
        <v>479637.11633199977</v>
      </c>
      <c r="E123" s="797">
        <f ca="1">D123*$E$85+($E$82-D123)*(Debt!$E$84/10000)/12</f>
        <v>3747.1649713437482</v>
      </c>
      <c r="F123" s="798">
        <f t="shared" ca="1" si="18"/>
        <v>48563.258028614982</v>
      </c>
      <c r="G123" s="1383"/>
      <c r="H123" s="1383"/>
      <c r="I123" s="792">
        <f t="shared" si="16"/>
        <v>1</v>
      </c>
      <c r="J123" s="792">
        <f t="shared" si="20"/>
        <v>0.70000000000000007</v>
      </c>
      <c r="K123" s="788"/>
      <c r="L123" s="1393"/>
    </row>
    <row r="124" spans="1:12">
      <c r="A124" s="1381"/>
      <c r="B124" s="781">
        <f t="shared" si="14"/>
        <v>1</v>
      </c>
      <c r="C124" s="793">
        <f t="shared" si="17"/>
        <v>31</v>
      </c>
      <c r="D124" s="789">
        <f t="shared" ca="1" si="15"/>
        <v>479637.11633199977</v>
      </c>
      <c r="E124" s="790">
        <f ca="1">D124*$E$85+($E$82-D124)*(Debt!$E$84/10000)/12</f>
        <v>3747.1649713437482</v>
      </c>
      <c r="F124" s="791">
        <f t="shared" ca="1" si="18"/>
        <v>48563.258028614982</v>
      </c>
      <c r="G124" s="1383"/>
      <c r="H124" s="1383"/>
      <c r="I124" s="792">
        <f t="shared" si="16"/>
        <v>1</v>
      </c>
      <c r="J124" s="792">
        <f t="shared" si="20"/>
        <v>0.75000000000000011</v>
      </c>
      <c r="K124" s="788"/>
      <c r="L124" s="1393"/>
    </row>
    <row r="125" spans="1:12">
      <c r="A125" s="1381"/>
      <c r="B125" s="781">
        <f t="shared" si="14"/>
        <v>1</v>
      </c>
      <c r="C125" s="793">
        <f t="shared" si="17"/>
        <v>32</v>
      </c>
      <c r="D125" s="789">
        <f t="shared" ca="1" si="15"/>
        <v>479637.11633199977</v>
      </c>
      <c r="E125" s="790">
        <f ca="1">D125*$E$85+($E$82-D125)*(Debt!$E$84/10000)/12</f>
        <v>3747.1649713437482</v>
      </c>
      <c r="F125" s="791">
        <f t="shared" ca="1" si="18"/>
        <v>48563.258028614982</v>
      </c>
      <c r="G125" s="1383"/>
      <c r="H125" s="1383"/>
      <c r="I125" s="792">
        <f t="shared" si="16"/>
        <v>1</v>
      </c>
      <c r="J125" s="792">
        <f t="shared" si="20"/>
        <v>0.80000000000000016</v>
      </c>
      <c r="K125" s="788"/>
      <c r="L125" s="1393"/>
    </row>
    <row r="126" spans="1:12">
      <c r="A126" s="1381"/>
      <c r="B126" s="781">
        <f t="shared" si="14"/>
        <v>1</v>
      </c>
      <c r="C126" s="793">
        <f t="shared" si="17"/>
        <v>33</v>
      </c>
      <c r="D126" s="789">
        <f t="shared" ca="1" si="15"/>
        <v>479637.11633199977</v>
      </c>
      <c r="E126" s="790">
        <f ca="1">D126*$E$85+($E$82-D126)*(Debt!$E$84/10000)/12</f>
        <v>3747.1649713437482</v>
      </c>
      <c r="F126" s="791">
        <f t="shared" ca="1" si="18"/>
        <v>48563.258028614982</v>
      </c>
      <c r="G126" s="1383"/>
      <c r="H126" s="1383"/>
      <c r="I126" s="792">
        <f t="shared" si="16"/>
        <v>1</v>
      </c>
      <c r="J126" s="792">
        <f t="shared" si="20"/>
        <v>0.8500000000000002</v>
      </c>
      <c r="K126" s="788"/>
      <c r="L126" s="1393"/>
    </row>
    <row r="127" spans="1:12">
      <c r="A127" s="1381"/>
      <c r="B127" s="781">
        <f t="shared" si="14"/>
        <v>1</v>
      </c>
      <c r="C127" s="793">
        <f t="shared" si="17"/>
        <v>34</v>
      </c>
      <c r="D127" s="789">
        <f t="shared" ca="1" si="15"/>
        <v>479637.11633199977</v>
      </c>
      <c r="E127" s="790">
        <f ca="1">D127*$E$85+($E$82-D127)*(Debt!$E$84/10000)/12</f>
        <v>3747.1649713437482</v>
      </c>
      <c r="F127" s="791">
        <f t="shared" ca="1" si="18"/>
        <v>48563.258028614982</v>
      </c>
      <c r="G127" s="1383"/>
      <c r="H127" s="1383"/>
      <c r="I127" s="792">
        <f t="shared" si="16"/>
        <v>1</v>
      </c>
      <c r="J127" s="792">
        <f t="shared" si="20"/>
        <v>0.90000000000000024</v>
      </c>
      <c r="K127" s="788"/>
      <c r="L127" s="1393"/>
    </row>
    <row r="128" spans="1:12">
      <c r="A128" s="1381"/>
      <c r="B128" s="781">
        <f t="shared" si="14"/>
        <v>1</v>
      </c>
      <c r="C128" s="793">
        <f t="shared" si="17"/>
        <v>35</v>
      </c>
      <c r="D128" s="789">
        <f t="shared" ca="1" si="15"/>
        <v>479637.11633199977</v>
      </c>
      <c r="E128" s="790">
        <f ca="1">D128*$E$85+($E$82-D128)*(Debt!$E$84/10000)/12</f>
        <v>3747.1649713437482</v>
      </c>
      <c r="F128" s="791">
        <f t="shared" ca="1" si="18"/>
        <v>48563.258028614982</v>
      </c>
      <c r="G128" s="1383"/>
      <c r="H128" s="1383"/>
      <c r="I128" s="792">
        <f t="shared" si="16"/>
        <v>1</v>
      </c>
      <c r="J128" s="792">
        <f t="shared" si="20"/>
        <v>0.95000000000000029</v>
      </c>
      <c r="K128" s="788"/>
      <c r="L128" s="1393"/>
    </row>
    <row r="129" spans="1:24">
      <c r="A129" s="1402"/>
      <c r="B129" s="1403">
        <f t="shared" si="14"/>
        <v>1</v>
      </c>
      <c r="C129" s="1404">
        <f t="shared" si="17"/>
        <v>36</v>
      </c>
      <c r="D129" s="1405">
        <f t="shared" ca="1" si="15"/>
        <v>479637.11633199977</v>
      </c>
      <c r="E129" s="1406">
        <f ca="1">D129*$E$85+($E$82-D129)*(Debt!$E$84/10000)/12</f>
        <v>3747.1649713437482</v>
      </c>
      <c r="F129" s="1407">
        <f t="shared" ca="1" si="18"/>
        <v>48563.258028614982</v>
      </c>
      <c r="G129" s="1408"/>
      <c r="H129" s="1408"/>
      <c r="I129" s="1409">
        <f t="shared" si="16"/>
        <v>1</v>
      </c>
      <c r="J129" s="1409">
        <f t="shared" si="20"/>
        <v>1.0000000000000002</v>
      </c>
      <c r="K129" s="1410"/>
      <c r="L129" s="1411"/>
    </row>
    <row r="130" spans="1:24">
      <c r="A130" s="757"/>
      <c r="B130" s="763"/>
      <c r="C130" s="763"/>
      <c r="D130" s="763"/>
      <c r="E130" s="763"/>
      <c r="F130" s="763"/>
      <c r="G130" s="763"/>
      <c r="H130" s="763"/>
      <c r="I130" s="763"/>
      <c r="J130" s="763"/>
      <c r="K130" s="763"/>
      <c r="L130" s="763"/>
    </row>
    <row r="131" spans="1:24" ht="12.75">
      <c r="A131" s="665" t="str">
        <f ca="1">+CELL("filename",B155)</f>
        <v>P:\Cheng\Tejon\Proformas\[CFTejon8a revised 21 - 750 MW.xls]Debt</v>
      </c>
      <c r="B131" s="799"/>
      <c r="C131" s="800"/>
      <c r="D131" s="801"/>
      <c r="E131" s="801"/>
      <c r="F131" s="801"/>
      <c r="G131" s="801"/>
      <c r="H131" s="801"/>
      <c r="I131" s="801"/>
      <c r="J131" s="802"/>
      <c r="K131" s="800"/>
      <c r="L131" s="800"/>
      <c r="M131" s="800"/>
      <c r="N131" s="800"/>
      <c r="O131" s="800"/>
      <c r="P131" s="800"/>
      <c r="Q131" s="800"/>
      <c r="R131" s="800"/>
      <c r="S131" s="800"/>
      <c r="T131" s="800"/>
      <c r="U131" s="800"/>
      <c r="V131" s="800"/>
      <c r="W131" s="800"/>
      <c r="X131" s="800"/>
    </row>
    <row r="155" ht="16.5" customHeight="1"/>
    <row r="168" spans="1:25" ht="12.75">
      <c r="A168"/>
      <c r="B168"/>
      <c r="C168"/>
      <c r="D168"/>
      <c r="E168"/>
      <c r="F168"/>
      <c r="G168"/>
      <c r="H168"/>
      <c r="I168"/>
      <c r="J168"/>
      <c r="K168"/>
      <c r="L168"/>
      <c r="M168"/>
      <c r="N168"/>
      <c r="O168"/>
      <c r="P168"/>
      <c r="Q168"/>
      <c r="R168"/>
      <c r="S168"/>
      <c r="T168"/>
      <c r="U168"/>
      <c r="V168"/>
      <c r="W168"/>
      <c r="X168"/>
      <c r="Y168"/>
    </row>
    <row r="169" spans="1:25" ht="12.75">
      <c r="A169"/>
      <c r="B169"/>
      <c r="C169"/>
      <c r="D169"/>
      <c r="E169"/>
      <c r="F169"/>
      <c r="G169"/>
      <c r="H169"/>
      <c r="I169"/>
      <c r="J169"/>
      <c r="K169"/>
      <c r="L169"/>
      <c r="M169"/>
      <c r="N169"/>
      <c r="O169"/>
      <c r="P169"/>
      <c r="Q169"/>
      <c r="R169"/>
      <c r="S169"/>
      <c r="T169"/>
      <c r="U169"/>
      <c r="V169"/>
      <c r="W169"/>
      <c r="X169"/>
      <c r="Y169"/>
    </row>
    <row r="170" spans="1:25" ht="12.75">
      <c r="A170"/>
      <c r="B170"/>
      <c r="C170"/>
      <c r="D170"/>
      <c r="E170"/>
      <c r="F170"/>
      <c r="G170"/>
      <c r="H170"/>
      <c r="I170"/>
      <c r="J170"/>
      <c r="K170"/>
      <c r="L170"/>
      <c r="M170"/>
      <c r="N170"/>
      <c r="O170"/>
      <c r="P170"/>
      <c r="Q170"/>
      <c r="R170"/>
      <c r="S170"/>
      <c r="T170"/>
      <c r="U170"/>
      <c r="V170"/>
      <c r="W170"/>
      <c r="X170"/>
      <c r="Y170"/>
    </row>
    <row r="171" spans="1:25" ht="12.75">
      <c r="A171"/>
      <c r="B171"/>
      <c r="C171"/>
      <c r="D171"/>
      <c r="E171"/>
      <c r="F171"/>
      <c r="G171"/>
      <c r="H171"/>
      <c r="I171"/>
      <c r="J171"/>
      <c r="K171"/>
      <c r="L171"/>
      <c r="M171"/>
      <c r="N171"/>
      <c r="O171"/>
      <c r="P171"/>
      <c r="Q171"/>
      <c r="R171"/>
      <c r="S171"/>
      <c r="T171"/>
      <c r="U171"/>
      <c r="V171"/>
      <c r="W171"/>
      <c r="X171"/>
      <c r="Y171"/>
    </row>
    <row r="172" spans="1:25" ht="12.75">
      <c r="A172"/>
      <c r="B172"/>
      <c r="C172"/>
      <c r="D172"/>
      <c r="E172"/>
      <c r="F172"/>
      <c r="G172"/>
      <c r="H172"/>
      <c r="I172"/>
      <c r="J172"/>
      <c r="K172"/>
      <c r="L172"/>
      <c r="M172"/>
      <c r="N172"/>
      <c r="O172"/>
      <c r="P172"/>
      <c r="Q172"/>
      <c r="R172"/>
      <c r="S172"/>
      <c r="T172"/>
      <c r="U172"/>
      <c r="V172"/>
      <c r="W172"/>
      <c r="X172"/>
      <c r="Y172"/>
    </row>
    <row r="173" spans="1:25" ht="12.75">
      <c r="A173"/>
      <c r="B173"/>
      <c r="C173"/>
      <c r="D173"/>
      <c r="E173"/>
      <c r="F173"/>
      <c r="G173"/>
      <c r="H173"/>
      <c r="I173"/>
      <c r="J173"/>
      <c r="K173"/>
      <c r="L173"/>
      <c r="M173"/>
      <c r="N173"/>
      <c r="O173"/>
      <c r="P173"/>
      <c r="Q173"/>
      <c r="R173"/>
      <c r="S173"/>
      <c r="T173"/>
      <c r="U173"/>
      <c r="V173"/>
      <c r="W173"/>
      <c r="X173"/>
      <c r="Y173"/>
    </row>
    <row r="174" spans="1:25" ht="12.75">
      <c r="A174"/>
      <c r="B174"/>
      <c r="C174"/>
      <c r="D174"/>
      <c r="E174"/>
      <c r="F174"/>
      <c r="G174"/>
      <c r="H174"/>
      <c r="I174"/>
      <c r="J174"/>
      <c r="K174"/>
      <c r="L174"/>
      <c r="M174"/>
      <c r="N174"/>
      <c r="O174"/>
      <c r="P174"/>
      <c r="Q174"/>
      <c r="R174"/>
      <c r="S174"/>
      <c r="T174"/>
      <c r="U174"/>
      <c r="V174"/>
      <c r="W174"/>
      <c r="X174"/>
      <c r="Y174"/>
    </row>
    <row r="175" spans="1:25" ht="12.75">
      <c r="A175"/>
      <c r="B175"/>
      <c r="C175"/>
      <c r="D175"/>
      <c r="E175"/>
      <c r="F175"/>
      <c r="G175"/>
      <c r="H175"/>
      <c r="I175"/>
      <c r="J175"/>
      <c r="K175"/>
      <c r="L175"/>
      <c r="M175"/>
      <c r="N175"/>
      <c r="O175"/>
      <c r="P175"/>
      <c r="Q175"/>
      <c r="R175"/>
      <c r="S175"/>
      <c r="T175"/>
      <c r="U175"/>
      <c r="V175"/>
      <c r="W175"/>
      <c r="X175"/>
      <c r="Y175"/>
    </row>
  </sheetData>
  <pageMargins left="0.5" right="0.5" top="1" bottom="1" header="0.5" footer="0.5"/>
  <pageSetup paperSize="5" scale="75" orientation="landscape" horizontalDpi="0" r:id="rId1"/>
  <headerFooter alignWithMargins="0">
    <oddHeader xml:space="preserve">&amp;CAssumptions: Centralia
</oddHeader>
    <oddFooter>&amp;L&amp;F, &amp;A&amp;CPage &amp;P of &amp;N</oddFooter>
  </headerFooter>
  <rowBreaks count="3" manualBreakCount="3">
    <brk id="14" max="21" man="1"/>
    <brk id="38" max="21" man="1"/>
    <brk id="78" max="21"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AP130"/>
  <sheetViews>
    <sheetView tabSelected="1" topLeftCell="C29" workbookViewId="0">
      <selection activeCell="O40" sqref="O40"/>
    </sheetView>
  </sheetViews>
  <sheetFormatPr defaultColWidth="12.5703125" defaultRowHeight="12.75" outlineLevelCol="1"/>
  <cols>
    <col min="1" max="1" width="22.28515625" customWidth="1"/>
    <col min="2" max="2" width="9.42578125" customWidth="1"/>
    <col min="3" max="3" width="9.5703125" customWidth="1"/>
    <col min="4" max="4" width="2.7109375" customWidth="1"/>
    <col min="5" max="5" width="14.5703125" customWidth="1"/>
    <col min="6" max="6" width="8.5703125" customWidth="1"/>
    <col min="7" max="7" width="9.28515625" customWidth="1"/>
    <col min="8" max="8" width="9.7109375" customWidth="1"/>
    <col min="9" max="9" width="9.42578125" customWidth="1" outlineLevel="1"/>
    <col min="10" max="10" width="2.85546875" customWidth="1"/>
    <col min="11" max="11" width="18" style="1492" customWidth="1"/>
    <col min="12" max="12" width="9.85546875" style="1492" customWidth="1"/>
    <col min="13" max="13" width="10.7109375" style="1492" customWidth="1"/>
    <col min="14" max="14" width="11.42578125" style="1492" customWidth="1"/>
    <col min="15" max="15" width="8.5703125" style="1492" customWidth="1"/>
    <col min="16" max="16" width="8.28515625" style="1492" customWidth="1"/>
    <col min="17" max="17" width="6.140625" style="1492" customWidth="1"/>
    <col min="18" max="18" width="18.85546875" style="1492" customWidth="1"/>
    <col min="19" max="19" width="8.42578125" style="1492" customWidth="1"/>
    <col min="20" max="20" width="10.42578125" style="1492" customWidth="1"/>
    <col min="21" max="21" width="9.28515625" style="1492" customWidth="1"/>
    <col min="22" max="16384" width="12.5703125" style="1492"/>
  </cols>
  <sheetData>
    <row r="1" spans="1:20" ht="20.25">
      <c r="A1" s="1491" t="s">
        <v>948</v>
      </c>
      <c r="B1" s="1492"/>
      <c r="C1" s="1492"/>
      <c r="D1" s="1492"/>
      <c r="E1" s="1492"/>
      <c r="F1" s="1492"/>
      <c r="G1" s="1492"/>
      <c r="H1" s="1492"/>
      <c r="I1" s="1492"/>
      <c r="J1" s="1492"/>
    </row>
    <row r="2" spans="1:20" ht="20.25">
      <c r="A2" s="1491" t="s">
        <v>949</v>
      </c>
      <c r="B2" s="1492"/>
      <c r="C2" s="1492"/>
      <c r="D2" s="1492"/>
      <c r="E2" s="1493"/>
      <c r="F2" s="1492"/>
      <c r="G2" s="1492"/>
      <c r="H2" s="1492"/>
      <c r="I2" s="1492"/>
      <c r="J2" s="1492"/>
    </row>
    <row r="3" spans="1:20" ht="11.25">
      <c r="A3" s="1492"/>
      <c r="B3" s="1492"/>
      <c r="C3" s="1492"/>
      <c r="D3" s="1492"/>
      <c r="E3" s="1492"/>
      <c r="F3" s="1492"/>
      <c r="G3" s="1492"/>
      <c r="H3" s="1492"/>
      <c r="I3" s="1492"/>
      <c r="J3" s="1492"/>
    </row>
    <row r="4" spans="1:20">
      <c r="A4" s="1494" t="s">
        <v>324</v>
      </c>
      <c r="B4" s="1495" t="s">
        <v>947</v>
      </c>
      <c r="D4" s="1492"/>
      <c r="E4" s="1492"/>
      <c r="F4" s="1492"/>
      <c r="G4" s="1492"/>
      <c r="H4" s="1492"/>
      <c r="I4" s="1492"/>
      <c r="J4" s="1492"/>
    </row>
    <row r="5" spans="1:20">
      <c r="A5" s="1494" t="s">
        <v>950</v>
      </c>
      <c r="B5" s="1495" t="s">
        <v>1170</v>
      </c>
      <c r="D5" s="1492"/>
      <c r="E5" s="1492"/>
      <c r="F5" s="1492"/>
      <c r="G5" s="1492"/>
      <c r="H5" s="1492"/>
      <c r="I5" s="1492"/>
      <c r="J5" s="1492"/>
    </row>
    <row r="6" spans="1:20" ht="12" thickBot="1">
      <c r="A6" s="1496"/>
      <c r="B6" s="1497"/>
      <c r="C6" s="1496"/>
      <c r="D6" s="1492"/>
      <c r="E6" s="1492"/>
      <c r="F6" s="1492"/>
      <c r="G6" s="1492"/>
      <c r="H6" s="1492"/>
      <c r="I6" s="1492"/>
      <c r="J6" s="1492"/>
    </row>
    <row r="7" spans="1:20">
      <c r="A7" s="1498" t="s">
        <v>951</v>
      </c>
      <c r="B7" s="1499"/>
      <c r="C7" s="1500"/>
      <c r="D7" s="1492"/>
      <c r="E7" s="1498" t="s">
        <v>952</v>
      </c>
      <c r="F7" s="1499"/>
      <c r="G7" s="1501" t="s">
        <v>953</v>
      </c>
      <c r="H7" s="1502" t="s">
        <v>954</v>
      </c>
      <c r="I7" s="1809" t="s">
        <v>955</v>
      </c>
      <c r="K7" s="1498" t="s">
        <v>999</v>
      </c>
      <c r="L7" s="1499"/>
      <c r="M7" s="1542"/>
      <c r="O7"/>
      <c r="P7"/>
      <c r="Q7"/>
      <c r="R7"/>
      <c r="S7"/>
      <c r="T7"/>
    </row>
    <row r="8" spans="1:20">
      <c r="A8" s="1773" t="s">
        <v>1193</v>
      </c>
      <c r="B8" s="1522" t="s">
        <v>1015</v>
      </c>
      <c r="C8" s="1583" t="s">
        <v>73</v>
      </c>
      <c r="D8" s="1492"/>
      <c r="E8" s="1504" t="s">
        <v>956</v>
      </c>
      <c r="F8" s="1497"/>
      <c r="G8" s="1797">
        <f>H8/SUM($B$9:$C$9)</f>
        <v>383.33333333333331</v>
      </c>
      <c r="H8" s="1506">
        <f>215000*3/2+22500</f>
        <v>345000</v>
      </c>
      <c r="I8" s="1813">
        <f>-Budget!B7</f>
        <v>9900</v>
      </c>
      <c r="K8" s="1504" t="s">
        <v>1001</v>
      </c>
      <c r="L8" s="1754">
        <f>1-L9</f>
        <v>0.43000000000000005</v>
      </c>
      <c r="M8" s="1764">
        <f ca="1">Debt!C19</f>
        <v>238460.26041541412</v>
      </c>
      <c r="O8"/>
      <c r="P8"/>
      <c r="Q8"/>
      <c r="R8"/>
      <c r="S8"/>
      <c r="T8"/>
    </row>
    <row r="9" spans="1:20">
      <c r="A9" s="1566" t="s">
        <v>1012</v>
      </c>
      <c r="B9" s="1503">
        <v>150</v>
      </c>
      <c r="C9" s="1514">
        <v>750</v>
      </c>
      <c r="D9" s="1492"/>
      <c r="E9" s="349"/>
      <c r="F9" s="15"/>
      <c r="G9" s="15"/>
      <c r="H9" s="1509"/>
      <c r="I9" s="1810"/>
      <c r="K9" s="1504" t="s">
        <v>1002</v>
      </c>
      <c r="L9" s="1544">
        <v>0.56999999999999995</v>
      </c>
      <c r="M9" s="1764">
        <f ca="1">Debt!C18</f>
        <v>302842.67078322335</v>
      </c>
      <c r="O9"/>
      <c r="P9"/>
      <c r="Q9"/>
      <c r="R9"/>
      <c r="S9"/>
      <c r="T9"/>
    </row>
    <row r="10" spans="1:20">
      <c r="A10" s="1566" t="s">
        <v>1013</v>
      </c>
      <c r="B10" s="1503">
        <v>9000</v>
      </c>
      <c r="C10" s="1514">
        <v>7000</v>
      </c>
      <c r="D10" s="1492"/>
      <c r="E10" s="1512" t="s">
        <v>957</v>
      </c>
      <c r="F10" s="15"/>
      <c r="G10" s="15"/>
      <c r="H10" s="1509"/>
      <c r="I10" s="1810"/>
      <c r="K10" s="1507" t="s">
        <v>1004</v>
      </c>
      <c r="L10" s="1497"/>
      <c r="M10" s="1508"/>
      <c r="O10"/>
      <c r="P10"/>
      <c r="Q10"/>
      <c r="R10"/>
      <c r="S10"/>
      <c r="T10"/>
    </row>
    <row r="11" spans="1:20" ht="13.5" thickBot="1">
      <c r="A11" s="1765" t="s">
        <v>1014</v>
      </c>
      <c r="B11" s="1766">
        <f>B9*B10/1000</f>
        <v>1350</v>
      </c>
      <c r="C11" s="1767">
        <f>C9*C10/1000</f>
        <v>5250</v>
      </c>
      <c r="D11" s="1492"/>
      <c r="E11" s="1504" t="s">
        <v>958</v>
      </c>
      <c r="F11" s="1497"/>
      <c r="G11" s="1497"/>
      <c r="H11" s="1513">
        <f>1000</f>
        <v>1000</v>
      </c>
      <c r="I11" s="1811">
        <v>0</v>
      </c>
      <c r="K11" s="1504" t="s">
        <v>1018</v>
      </c>
      <c r="L11" s="1497"/>
      <c r="M11" s="1545">
        <v>0.02</v>
      </c>
      <c r="O11"/>
      <c r="P11"/>
      <c r="Q11"/>
      <c r="R11"/>
      <c r="S11"/>
      <c r="T11"/>
    </row>
    <row r="12" spans="1:20" ht="13.5" thickBot="1">
      <c r="A12" s="1771"/>
      <c r="B12" s="148"/>
      <c r="C12" s="1771"/>
      <c r="D12" s="1492"/>
      <c r="E12" s="1504" t="s">
        <v>1211</v>
      </c>
      <c r="F12" s="1497"/>
      <c r="G12" s="1497"/>
      <c r="H12" s="1513">
        <v>1000</v>
      </c>
      <c r="I12" s="1811">
        <v>0</v>
      </c>
      <c r="K12" s="1504" t="str">
        <f>"   "&amp;M18&amp;" Yr. LIBOR Swap Rate"</f>
        <v xml:space="preserve">   15 Yr. LIBOR Swap Rate</v>
      </c>
      <c r="L12" s="1497"/>
      <c r="M12" s="1545">
        <v>0.08</v>
      </c>
      <c r="O12"/>
      <c r="P12"/>
      <c r="Q12"/>
      <c r="R12"/>
      <c r="S12"/>
      <c r="T12"/>
    </row>
    <row r="13" spans="1:20">
      <c r="A13" s="1498" t="s">
        <v>967</v>
      </c>
      <c r="B13" s="1499"/>
      <c r="C13" s="1520"/>
      <c r="D13" s="1492"/>
      <c r="E13" s="1504" t="s">
        <v>959</v>
      </c>
      <c r="F13" s="1497"/>
      <c r="G13" s="1497"/>
      <c r="H13" s="1513">
        <v>0</v>
      </c>
      <c r="I13" s="1811">
        <v>0</v>
      </c>
      <c r="K13" s="1504" t="s">
        <v>1266</v>
      </c>
      <c r="L13" s="1867">
        <f>YEAR($C$17)</f>
        <v>2003</v>
      </c>
      <c r="M13" s="1545">
        <v>1.375E-2</v>
      </c>
      <c r="O13"/>
      <c r="P13"/>
      <c r="Q13"/>
      <c r="R13"/>
      <c r="S13"/>
      <c r="T13"/>
    </row>
    <row r="14" spans="1:20">
      <c r="A14" s="1521" t="s">
        <v>1207</v>
      </c>
      <c r="B14" s="1497"/>
      <c r="C14" s="1561">
        <v>36280</v>
      </c>
      <c r="D14" s="1492"/>
      <c r="E14" s="1504" t="s">
        <v>960</v>
      </c>
      <c r="F14" s="1497"/>
      <c r="G14" s="1497"/>
      <c r="H14" s="1513">
        <v>0</v>
      </c>
      <c r="I14" s="1811">
        <v>0</v>
      </c>
      <c r="K14" s="1504" t="s">
        <v>1267</v>
      </c>
      <c r="L14" s="1867">
        <f>L13+4</f>
        <v>2007</v>
      </c>
      <c r="M14" s="1545">
        <f>M13+0.00125</f>
        <v>1.4999999999999999E-2</v>
      </c>
      <c r="O14"/>
      <c r="P14"/>
      <c r="Q14"/>
      <c r="R14"/>
      <c r="S14"/>
      <c r="T14"/>
    </row>
    <row r="15" spans="1:20">
      <c r="A15" s="1504" t="s">
        <v>1208</v>
      </c>
      <c r="B15" s="1497"/>
      <c r="C15" s="1561">
        <v>36494</v>
      </c>
      <c r="D15" s="1492"/>
      <c r="E15" s="1504" t="s">
        <v>1236</v>
      </c>
      <c r="F15" s="1497"/>
      <c r="G15" s="1497"/>
      <c r="H15" s="1513">
        <v>9000</v>
      </c>
      <c r="I15" s="1811">
        <v>0</v>
      </c>
      <c r="K15" s="1504" t="s">
        <v>1268</v>
      </c>
      <c r="L15" s="1867">
        <f>L14+4</f>
        <v>2011</v>
      </c>
      <c r="M15" s="1545">
        <f>M14+0.00125</f>
        <v>1.6250000000000001E-2</v>
      </c>
      <c r="O15"/>
      <c r="P15"/>
      <c r="Q15"/>
      <c r="R15"/>
      <c r="S15"/>
      <c r="T15"/>
    </row>
    <row r="16" spans="1:20">
      <c r="A16" s="1521" t="s">
        <v>1209</v>
      </c>
      <c r="B16" s="1497"/>
      <c r="C16" s="1795">
        <v>36860</v>
      </c>
      <c r="D16" s="1492"/>
      <c r="E16" s="1504" t="s">
        <v>961</v>
      </c>
      <c r="F16" s="1497"/>
      <c r="G16" s="1497"/>
      <c r="H16" s="1513">
        <v>0</v>
      </c>
      <c r="I16" s="1811">
        <v>0</v>
      </c>
      <c r="K16" s="1504" t="s">
        <v>1269</v>
      </c>
      <c r="L16" s="1867">
        <f>L15+4</f>
        <v>2015</v>
      </c>
      <c r="M16" s="1545">
        <f>M15+0.00125</f>
        <v>1.7500000000000002E-2</v>
      </c>
      <c r="R16"/>
      <c r="S16"/>
      <c r="T16"/>
    </row>
    <row r="17" spans="1:25">
      <c r="A17" s="1504" t="s">
        <v>1214</v>
      </c>
      <c r="B17" s="1497"/>
      <c r="C17" s="1795">
        <v>37802</v>
      </c>
      <c r="D17" s="1492"/>
      <c r="E17" s="1504" t="s">
        <v>962</v>
      </c>
      <c r="F17" s="1497"/>
      <c r="G17" s="1497"/>
      <c r="H17" s="1513">
        <v>0</v>
      </c>
      <c r="I17" s="1811">
        <v>0</v>
      </c>
      <c r="K17" s="1504" t="s">
        <v>1008</v>
      </c>
      <c r="L17" s="1497"/>
      <c r="M17" s="1546">
        <f>M13+M12</f>
        <v>9.375E-2</v>
      </c>
      <c r="R17"/>
      <c r="S17"/>
      <c r="T17"/>
    </row>
    <row r="18" spans="1:25" ht="13.5" thickBot="1">
      <c r="A18" s="1518" t="s">
        <v>1017</v>
      </c>
      <c r="B18" s="1523"/>
      <c r="C18" s="1772">
        <v>44926</v>
      </c>
      <c r="D18" s="1492"/>
      <c r="E18" s="1504" t="s">
        <v>964</v>
      </c>
      <c r="F18" s="1497"/>
      <c r="G18" s="1497"/>
      <c r="H18" s="1513">
        <v>1500</v>
      </c>
      <c r="I18" s="1811">
        <v>0</v>
      </c>
      <c r="J18" s="1497"/>
      <c r="K18" s="1504" t="s">
        <v>1010</v>
      </c>
      <c r="L18" s="1497"/>
      <c r="M18" s="1538">
        <v>15</v>
      </c>
      <c r="N18" s="1615"/>
      <c r="R18"/>
      <c r="S18"/>
      <c r="T18"/>
    </row>
    <row r="19" spans="1:25" ht="13.5" thickBot="1">
      <c r="D19" s="1492"/>
      <c r="E19" s="1504" t="s">
        <v>965</v>
      </c>
      <c r="F19" s="1497"/>
      <c r="G19" s="1497"/>
      <c r="H19" s="1513">
        <v>0</v>
      </c>
      <c r="I19" s="1811">
        <v>0</v>
      </c>
      <c r="J19" s="1492"/>
      <c r="K19" s="1504" t="s">
        <v>1195</v>
      </c>
      <c r="L19" s="1511"/>
      <c r="M19" s="1759" t="s">
        <v>124</v>
      </c>
      <c r="O19"/>
      <c r="P19"/>
      <c r="Q19"/>
      <c r="R19"/>
      <c r="S19"/>
      <c r="T19"/>
    </row>
    <row r="20" spans="1:25">
      <c r="A20" s="1498" t="s">
        <v>971</v>
      </c>
      <c r="B20" s="1524"/>
      <c r="C20" s="1525"/>
      <c r="D20" s="1492"/>
      <c r="E20" s="1504" t="s">
        <v>1263</v>
      </c>
      <c r="F20" s="1497"/>
      <c r="G20" s="1497"/>
      <c r="H20" s="1513">
        <v>10000</v>
      </c>
      <c r="I20" s="1811">
        <v>0</v>
      </c>
      <c r="J20" s="1492"/>
      <c r="K20" s="1566" t="s">
        <v>1035</v>
      </c>
      <c r="L20" s="15"/>
      <c r="M20" s="1545">
        <v>0.5</v>
      </c>
      <c r="O20"/>
      <c r="P20"/>
      <c r="Q20"/>
      <c r="R20"/>
      <c r="S20"/>
      <c r="T20"/>
    </row>
    <row r="21" spans="1:25" ht="13.5" thickBot="1">
      <c r="A21" s="1504" t="s">
        <v>972</v>
      </c>
      <c r="B21" s="1511"/>
      <c r="C21" s="1526">
        <v>0.35</v>
      </c>
      <c r="D21" s="1492"/>
      <c r="E21" s="1504" t="s">
        <v>1203</v>
      </c>
      <c r="F21" s="1497"/>
      <c r="G21" s="1497"/>
      <c r="H21" s="1513">
        <v>0</v>
      </c>
      <c r="I21" s="1811">
        <v>0</v>
      </c>
      <c r="J21" s="1492"/>
      <c r="K21" s="1518" t="s">
        <v>1192</v>
      </c>
      <c r="L21" s="1523"/>
      <c r="M21" s="1733" t="s">
        <v>124</v>
      </c>
      <c r="O21"/>
      <c r="P21"/>
      <c r="Q21"/>
      <c r="R21"/>
      <c r="S21"/>
      <c r="T21"/>
      <c r="U21" s="1515"/>
    </row>
    <row r="22" spans="1:25" ht="13.5" thickBot="1">
      <c r="A22" s="1504" t="s">
        <v>973</v>
      </c>
      <c r="B22" s="1511"/>
      <c r="C22" s="1769">
        <v>8.8400000000000006E-2</v>
      </c>
      <c r="D22" s="1492"/>
      <c r="E22" s="1512" t="s">
        <v>73</v>
      </c>
      <c r="F22" s="15"/>
      <c r="G22" s="1505">
        <f>SUM(H11:H21)</f>
        <v>22500</v>
      </c>
      <c r="H22" s="1509"/>
      <c r="I22" s="1810"/>
      <c r="J22" s="1516"/>
      <c r="O22"/>
      <c r="P22"/>
      <c r="Q22"/>
      <c r="R22"/>
      <c r="S22"/>
      <c r="T22"/>
      <c r="U22" s="1497"/>
    </row>
    <row r="23" spans="1:25" ht="13.5" thickBot="1">
      <c r="A23" s="1535" t="s">
        <v>1194</v>
      </c>
      <c r="B23" s="1519"/>
      <c r="C23" s="1770">
        <f>C22+C21*(1-C22)</f>
        <v>0.40745999999999993</v>
      </c>
      <c r="D23" s="1492"/>
      <c r="E23" s="349"/>
      <c r="F23" s="15"/>
      <c r="G23" s="15"/>
      <c r="H23" s="1509"/>
      <c r="I23" s="1810"/>
      <c r="J23" s="1517"/>
      <c r="K23" s="1610" t="s">
        <v>1083</v>
      </c>
      <c r="L23" s="1611"/>
      <c r="M23" s="1612"/>
      <c r="N23"/>
      <c r="O23"/>
      <c r="P23"/>
      <c r="Q23"/>
      <c r="R23"/>
      <c r="S23"/>
      <c r="T23"/>
      <c r="U23" s="1497"/>
    </row>
    <row r="24" spans="1:25" ht="13.5" thickBot="1">
      <c r="A24" s="1771"/>
      <c r="D24" s="1492"/>
      <c r="E24" s="1512" t="s">
        <v>966</v>
      </c>
      <c r="F24" s="15"/>
      <c r="G24" s="15"/>
      <c r="H24" s="1509"/>
      <c r="I24" s="1810"/>
      <c r="J24" s="1517"/>
      <c r="K24" s="1613" t="s">
        <v>1146</v>
      </c>
      <c r="L24" s="1724" t="s">
        <v>124</v>
      </c>
      <c r="M24" s="1614"/>
      <c r="N24"/>
      <c r="O24"/>
      <c r="P24"/>
      <c r="Q24"/>
      <c r="R24"/>
      <c r="S24"/>
      <c r="T24"/>
    </row>
    <row r="25" spans="1:25">
      <c r="A25" s="1498" t="s">
        <v>977</v>
      </c>
      <c r="B25" s="1499"/>
      <c r="C25" s="1500"/>
      <c r="D25" s="1492"/>
      <c r="E25" s="1504" t="s">
        <v>968</v>
      </c>
      <c r="F25" s="1497"/>
      <c r="G25" s="1497"/>
      <c r="H25" s="1513">
        <v>10000</v>
      </c>
      <c r="I25" s="1811">
        <v>0</v>
      </c>
      <c r="J25" s="1517"/>
      <c r="K25" s="1613" t="s">
        <v>102</v>
      </c>
      <c r="L25" s="1616">
        <v>4</v>
      </c>
      <c r="M25" s="1614"/>
      <c r="N25"/>
      <c r="O25"/>
      <c r="P25"/>
      <c r="Q25"/>
      <c r="R25"/>
      <c r="S25"/>
      <c r="T25"/>
    </row>
    <row r="26" spans="1:25" ht="13.5" thickBot="1">
      <c r="A26" s="1518" t="s">
        <v>1011</v>
      </c>
      <c r="B26" s="1523"/>
      <c r="C26" s="1768">
        <v>0.02</v>
      </c>
      <c r="D26" s="1492"/>
      <c r="E26" s="1504" t="s">
        <v>1070</v>
      </c>
      <c r="F26" s="1497"/>
      <c r="G26" s="1497"/>
      <c r="H26" s="1604">
        <f>-Budget!B8</f>
        <v>999.99999999999977</v>
      </c>
      <c r="I26" s="1814">
        <f>-Budget!B8</f>
        <v>999.99999999999977</v>
      </c>
      <c r="J26" s="1517"/>
      <c r="K26" s="1613" t="s">
        <v>1093</v>
      </c>
      <c r="L26" s="1617"/>
      <c r="M26" s="1614"/>
      <c r="N26"/>
      <c r="O26"/>
      <c r="P26"/>
      <c r="Q26"/>
      <c r="R26"/>
      <c r="S26"/>
      <c r="T26"/>
    </row>
    <row r="27" spans="1:25" ht="13.5" thickBot="1">
      <c r="A27" s="1771"/>
      <c r="B27" s="148"/>
      <c r="C27" s="1771"/>
      <c r="D27" s="1492"/>
      <c r="E27" s="1504" t="s">
        <v>969</v>
      </c>
      <c r="F27" s="1497"/>
      <c r="G27" s="1497"/>
      <c r="H27" s="1604">
        <f>-Budget!B9</f>
        <v>500</v>
      </c>
      <c r="I27" s="1814">
        <f>-Budget!B9</f>
        <v>500</v>
      </c>
      <c r="J27" s="1517"/>
      <c r="K27" s="1613"/>
      <c r="L27" s="1617"/>
      <c r="M27" s="1614"/>
      <c r="N27"/>
      <c r="O27"/>
      <c r="P27"/>
      <c r="Q27"/>
      <c r="R27"/>
      <c r="S27"/>
      <c r="T27"/>
    </row>
    <row r="28" spans="1:25">
      <c r="A28" s="1498" t="s">
        <v>982</v>
      </c>
      <c r="B28" s="1499"/>
      <c r="C28" s="1500"/>
      <c r="E28" s="1504" t="s">
        <v>1222</v>
      </c>
      <c r="H28" s="1604">
        <f>-Budget!B10</f>
        <v>250</v>
      </c>
      <c r="I28" s="1814">
        <f>-Budget!B10</f>
        <v>250</v>
      </c>
      <c r="J28" s="1517"/>
      <c r="K28" s="1504" t="s">
        <v>1141</v>
      </c>
      <c r="L28" s="1497"/>
      <c r="M28" s="1749">
        <v>0</v>
      </c>
      <c r="N28"/>
      <c r="O28"/>
      <c r="P28"/>
      <c r="Q28"/>
      <c r="R28"/>
      <c r="S28"/>
      <c r="T28"/>
      <c r="U28"/>
      <c r="X28"/>
      <c r="Y28"/>
    </row>
    <row r="29" spans="1:25">
      <c r="A29" s="1532" t="s">
        <v>983</v>
      </c>
      <c r="B29" s="1533"/>
      <c r="C29" s="1509"/>
      <c r="D29" s="1534"/>
      <c r="E29" s="1504" t="s">
        <v>1223</v>
      </c>
      <c r="F29" s="1497"/>
      <c r="G29" s="1497"/>
      <c r="H29" s="1604">
        <f>-Budget!B11</f>
        <v>1000</v>
      </c>
      <c r="I29" s="1814">
        <f>-Budget!B11</f>
        <v>1000</v>
      </c>
      <c r="J29" s="1517"/>
      <c r="K29" s="1613"/>
      <c r="L29" s="1617"/>
      <c r="M29" s="1614"/>
      <c r="N29" s="1720"/>
      <c r="O29"/>
      <c r="P29"/>
      <c r="Q29"/>
      <c r="R29"/>
      <c r="S29"/>
      <c r="T29"/>
      <c r="U29"/>
      <c r="X29"/>
      <c r="Y29"/>
    </row>
    <row r="30" spans="1:25">
      <c r="A30" s="1510" t="s">
        <v>1020</v>
      </c>
      <c r="B30" s="1497"/>
      <c r="C30" s="1508"/>
      <c r="D30" s="1563"/>
      <c r="E30" s="1504" t="s">
        <v>970</v>
      </c>
      <c r="F30" s="1497"/>
      <c r="G30" s="1511"/>
      <c r="H30" s="1604">
        <f>-Budget!B12</f>
        <v>1900</v>
      </c>
      <c r="I30" s="1814">
        <f>-Budget!B12</f>
        <v>1900</v>
      </c>
      <c r="J30" s="1517"/>
      <c r="K30" s="1613" t="s">
        <v>1080</v>
      </c>
      <c r="L30" s="1783">
        <v>4</v>
      </c>
      <c r="M30" s="1614"/>
      <c r="N30"/>
      <c r="O30"/>
      <c r="P30"/>
      <c r="Q30"/>
      <c r="X30"/>
      <c r="Y30"/>
    </row>
    <row r="31" spans="1:25">
      <c r="A31" s="1504" t="s">
        <v>1003</v>
      </c>
      <c r="B31" s="1497"/>
      <c r="C31" s="1579">
        <v>1.8</v>
      </c>
      <c r="D31" s="1564"/>
      <c r="E31" s="1504" t="s">
        <v>1094</v>
      </c>
      <c r="F31" s="1497"/>
      <c r="G31" s="1511"/>
      <c r="H31" s="1604">
        <f ca="1">-Budget!B32</f>
        <v>1912.8632069997707</v>
      </c>
      <c r="I31" s="1811">
        <v>0</v>
      </c>
      <c r="J31" s="1517"/>
      <c r="K31" s="1613" t="s">
        <v>1093</v>
      </c>
      <c r="L31" s="1617"/>
      <c r="M31" s="1614"/>
      <c r="N31"/>
      <c r="O31"/>
      <c r="P31"/>
      <c r="Q31"/>
      <c r="X31"/>
      <c r="Y31"/>
    </row>
    <row r="32" spans="1:25">
      <c r="A32" s="1504" t="s">
        <v>1021</v>
      </c>
      <c r="B32" s="1497"/>
      <c r="C32" s="1579">
        <v>0</v>
      </c>
      <c r="D32" s="1564"/>
      <c r="E32" s="1504" t="s">
        <v>1143</v>
      </c>
      <c r="F32" s="1511"/>
      <c r="G32" s="1497"/>
      <c r="H32" s="1513">
        <v>1000</v>
      </c>
      <c r="I32" s="1811">
        <v>0</v>
      </c>
      <c r="J32" s="1517"/>
      <c r="K32" s="1613" t="s">
        <v>1260</v>
      </c>
      <c r="L32" s="1847">
        <f>0.06+0.022</f>
        <v>8.199999999999999E-2</v>
      </c>
      <c r="M32" s="1509"/>
      <c r="N32"/>
      <c r="O32"/>
      <c r="P32"/>
      <c r="Q32"/>
      <c r="R32"/>
      <c r="T32" s="1497"/>
      <c r="U32" s="1497"/>
      <c r="V32"/>
      <c r="W32"/>
      <c r="X32"/>
      <c r="Y32"/>
    </row>
    <row r="33" spans="1:25" ht="13.5" thickBot="1">
      <c r="A33" s="1504" t="s">
        <v>989</v>
      </c>
      <c r="B33" s="1497"/>
      <c r="C33" s="1752">
        <v>0</v>
      </c>
      <c r="D33" s="1564"/>
      <c r="E33" s="1504" t="s">
        <v>1120</v>
      </c>
      <c r="F33" s="1511"/>
      <c r="G33" s="1497"/>
      <c r="H33" s="1604">
        <f>-Budget!B25</f>
        <v>29362</v>
      </c>
      <c r="I33" s="1814">
        <f>-Budget!B25</f>
        <v>29362</v>
      </c>
      <c r="J33" s="1517"/>
      <c r="K33" s="1518" t="s">
        <v>1261</v>
      </c>
      <c r="L33" s="1848">
        <v>1.2E-2</v>
      </c>
      <c r="M33" s="1849"/>
      <c r="N33"/>
      <c r="O33"/>
      <c r="P33"/>
      <c r="Q33"/>
      <c r="R33"/>
      <c r="T33" s="1497"/>
      <c r="U33" s="1497"/>
      <c r="V33"/>
      <c r="W33"/>
      <c r="X33"/>
      <c r="Y33"/>
    </row>
    <row r="34" spans="1:25" ht="13.5" thickBot="1">
      <c r="A34" s="1510" t="s">
        <v>1022</v>
      </c>
      <c r="B34" s="1497"/>
      <c r="C34" s="1753">
        <f>SUM(C31:C33)</f>
        <v>1.8</v>
      </c>
      <c r="D34" s="1564"/>
      <c r="E34" s="1504" t="s">
        <v>1247</v>
      </c>
      <c r="F34" s="1511"/>
      <c r="G34" s="1497"/>
      <c r="H34" s="1604">
        <f>-Budget!B13</f>
        <v>4000</v>
      </c>
      <c r="I34" s="1814">
        <f>-Budget!B13</f>
        <v>4000</v>
      </c>
      <c r="J34" s="1517"/>
      <c r="N34"/>
      <c r="O34"/>
      <c r="P34"/>
      <c r="Q34"/>
      <c r="R34"/>
      <c r="T34" s="1497"/>
      <c r="U34" s="1497"/>
      <c r="V34"/>
      <c r="W34"/>
      <c r="X34"/>
      <c r="Y34"/>
    </row>
    <row r="35" spans="1:25">
      <c r="A35" s="1504"/>
      <c r="B35" s="1497"/>
      <c r="C35" s="1508"/>
      <c r="D35" s="1564"/>
      <c r="E35" s="1504" t="s">
        <v>1257</v>
      </c>
      <c r="F35" s="1497"/>
      <c r="G35" s="1511"/>
      <c r="H35" s="1604">
        <f>-Budget!B14</f>
        <v>1800</v>
      </c>
      <c r="I35" s="1814">
        <f>-Budget!B14</f>
        <v>1800</v>
      </c>
      <c r="J35" s="1517"/>
      <c r="K35" s="1653" t="s">
        <v>1103</v>
      </c>
      <c r="L35" s="1661"/>
      <c r="M35" s="1654"/>
      <c r="N35"/>
      <c r="O35"/>
      <c r="P35"/>
      <c r="Q35"/>
      <c r="R35"/>
      <c r="T35" s="1497"/>
      <c r="U35" s="1497"/>
      <c r="V35"/>
      <c r="W35"/>
      <c r="X35"/>
      <c r="Y35"/>
    </row>
    <row r="36" spans="1:25">
      <c r="A36" s="1510" t="s">
        <v>1023</v>
      </c>
      <c r="B36" s="1497"/>
      <c r="C36" s="1508"/>
      <c r="D36" s="1564"/>
      <c r="E36" s="1504" t="s">
        <v>1258</v>
      </c>
      <c r="F36" s="1497"/>
      <c r="G36" s="1511"/>
      <c r="H36" s="1604">
        <f>-Budget!B15</f>
        <v>830</v>
      </c>
      <c r="I36" s="1814">
        <f>-Budget!B15</f>
        <v>830</v>
      </c>
      <c r="J36" s="1492"/>
      <c r="K36" s="1697" t="s">
        <v>1148</v>
      </c>
      <c r="L36" s="1698"/>
      <c r="M36" s="1699"/>
      <c r="N36"/>
      <c r="O36"/>
      <c r="P36"/>
      <c r="Q36"/>
      <c r="R36"/>
      <c r="T36" s="1528"/>
      <c r="U36" s="1497"/>
      <c r="V36"/>
      <c r="W36"/>
      <c r="X36"/>
      <c r="Y36"/>
    </row>
    <row r="37" spans="1:25">
      <c r="A37" s="1504"/>
      <c r="B37" s="1497"/>
      <c r="C37" s="1508"/>
      <c r="D37" s="1564"/>
      <c r="E37" s="1504" t="s">
        <v>1092</v>
      </c>
      <c r="F37" s="1497"/>
      <c r="G37" s="1511"/>
      <c r="H37" s="1604">
        <f>-SUM(Budget!C16:U16)</f>
        <v>100</v>
      </c>
      <c r="I37" s="1814">
        <f>-Budget!B16</f>
        <v>100</v>
      </c>
      <c r="J37" s="1492"/>
      <c r="K37" s="1728" t="s">
        <v>1149</v>
      </c>
      <c r="L37" s="1698"/>
      <c r="M37" s="1699"/>
      <c r="N37"/>
      <c r="O37"/>
      <c r="P37"/>
      <c r="Q37"/>
      <c r="R37"/>
      <c r="T37" s="1528"/>
      <c r="U37" s="1497"/>
      <c r="V37"/>
      <c r="W37"/>
      <c r="X37"/>
      <c r="Y37"/>
    </row>
    <row r="38" spans="1:25">
      <c r="A38" s="1504" t="s">
        <v>1000</v>
      </c>
      <c r="B38" s="1497"/>
      <c r="C38" s="1582">
        <v>2400</v>
      </c>
      <c r="D38" s="1564"/>
      <c r="E38" s="1504" t="s">
        <v>1071</v>
      </c>
      <c r="F38" s="1497"/>
      <c r="G38" s="1497"/>
      <c r="H38" s="1604">
        <f>-Budget!B17</f>
        <v>1999.9999999999995</v>
      </c>
      <c r="I38" s="1814">
        <f>-Budget!B17</f>
        <v>1999.9999999999995</v>
      </c>
      <c r="J38" s="1517"/>
      <c r="K38" s="1727"/>
      <c r="L38" s="1730" t="s">
        <v>268</v>
      </c>
      <c r="M38" s="1729">
        <f ca="1">IF($M$19="Yes",MIN(Template!$I$706:$W$706),MIN(Template!$J$706:$X$706))</f>
        <v>1.9513725801787993</v>
      </c>
      <c r="N38"/>
      <c r="O38"/>
      <c r="P38"/>
      <c r="Q38"/>
      <c r="R38"/>
      <c r="T38" s="1527"/>
      <c r="U38" s="1497"/>
      <c r="V38"/>
      <c r="W38"/>
      <c r="X38"/>
      <c r="Y38"/>
    </row>
    <row r="39" spans="1:25">
      <c r="A39" s="1504" t="s">
        <v>1095</v>
      </c>
      <c r="B39" s="1497"/>
      <c r="C39" s="1580">
        <f>3939*650/1000</f>
        <v>2560.35</v>
      </c>
      <c r="D39" s="1564"/>
      <c r="E39" s="1504" t="s">
        <v>1072</v>
      </c>
      <c r="F39" s="1497"/>
      <c r="G39" s="1497"/>
      <c r="H39" s="1604">
        <f>-Budget!B34</f>
        <v>750</v>
      </c>
      <c r="I39" s="1811">
        <v>0</v>
      </c>
      <c r="J39" s="1492"/>
      <c r="K39" s="1727"/>
      <c r="L39" s="1730" t="s">
        <v>1150</v>
      </c>
      <c r="M39" s="1729">
        <f ca="1">IF($M$19="Yes",MAX(Template!$I$706:$W$706),MAX(Template!$J$706:$X$706))</f>
        <v>2.7918762724457733</v>
      </c>
      <c r="N39"/>
      <c r="O39"/>
      <c r="P39"/>
      <c r="Q39"/>
      <c r="R39"/>
      <c r="T39" s="1528"/>
      <c r="U39" s="1497"/>
      <c r="V39"/>
      <c r="W39"/>
      <c r="X39"/>
      <c r="Y39"/>
    </row>
    <row r="40" spans="1:25">
      <c r="A40" s="1504" t="s">
        <v>993</v>
      </c>
      <c r="B40" s="1541">
        <v>1.1462750000000001E-2</v>
      </c>
      <c r="C40" s="1581">
        <f>B40*(G22+H8)*0.75</f>
        <v>3159.4204687500001</v>
      </c>
      <c r="D40" s="1564"/>
      <c r="E40" s="1504" t="s">
        <v>974</v>
      </c>
      <c r="F40" s="1497"/>
      <c r="G40" s="1497"/>
      <c r="H40" s="1604">
        <f>-Budget!B35</f>
        <v>250</v>
      </c>
      <c r="I40" s="1811">
        <v>0</v>
      </c>
      <c r="J40" s="1492"/>
      <c r="K40" s="1727"/>
      <c r="L40" s="1730" t="s">
        <v>1151</v>
      </c>
      <c r="M40" s="1729">
        <f ca="1">IF($M$19="Yes",AVERAGE(Template!$I$706:$W$706),AVERAGE(Template!$J$706:$X$706))</f>
        <v>2.5088799839655147</v>
      </c>
      <c r="N40"/>
      <c r="O40"/>
      <c r="P40"/>
      <c r="Q40"/>
      <c r="R40"/>
      <c r="T40" s="1528"/>
      <c r="U40" s="1497"/>
      <c r="V40"/>
      <c r="W40"/>
      <c r="X40"/>
      <c r="Y40"/>
    </row>
    <row r="41" spans="1:25">
      <c r="A41" s="1504" t="s">
        <v>995</v>
      </c>
      <c r="B41" s="15"/>
      <c r="C41" s="1580">
        <f>650*4000/1000</f>
        <v>2600</v>
      </c>
      <c r="E41" s="1504" t="s">
        <v>1073</v>
      </c>
      <c r="F41" s="1497"/>
      <c r="G41" s="1779"/>
      <c r="H41" s="1604">
        <f>-Budget!B18</f>
        <v>567</v>
      </c>
      <c r="I41" s="1814">
        <f>-Budget!B18</f>
        <v>567</v>
      </c>
      <c r="J41" s="1492"/>
      <c r="K41" s="1727"/>
      <c r="L41" s="1698"/>
      <c r="M41" s="1699"/>
      <c r="N41"/>
      <c r="O41"/>
      <c r="P41"/>
      <c r="Q41"/>
      <c r="R41"/>
      <c r="T41" s="1497"/>
      <c r="U41" s="1497"/>
      <c r="V41"/>
      <c r="W41"/>
      <c r="X41"/>
      <c r="Y41"/>
    </row>
    <row r="42" spans="1:25" ht="13.5" thickBot="1">
      <c r="A42" s="1504" t="s">
        <v>996</v>
      </c>
      <c r="B42" s="1497"/>
      <c r="C42" s="1580">
        <v>2080</v>
      </c>
      <c r="D42" s="1564"/>
      <c r="E42" s="1504" t="s">
        <v>975</v>
      </c>
      <c r="F42" s="1497"/>
      <c r="G42" s="1497"/>
      <c r="H42" s="1513">
        <v>1000</v>
      </c>
      <c r="I42" s="1811">
        <v>0</v>
      </c>
      <c r="J42" s="1492"/>
      <c r="K42" s="1697" t="s">
        <v>1238</v>
      </c>
      <c r="L42" s="1698"/>
      <c r="M42" s="1699"/>
      <c r="N42"/>
      <c r="O42"/>
      <c r="P42"/>
      <c r="Q42"/>
      <c r="R42"/>
      <c r="T42" s="1497"/>
      <c r="U42" s="1497"/>
      <c r="V42"/>
      <c r="W42"/>
      <c r="X42"/>
      <c r="Y42"/>
    </row>
    <row r="43" spans="1:25">
      <c r="A43" s="1504" t="s">
        <v>998</v>
      </c>
      <c r="B43" s="1497"/>
      <c r="C43" s="1580">
        <v>95</v>
      </c>
      <c r="D43" s="1564"/>
      <c r="E43" s="1504" t="s">
        <v>976</v>
      </c>
      <c r="F43" s="1497"/>
      <c r="G43" s="1511"/>
      <c r="H43" s="1513">
        <v>2900</v>
      </c>
      <c r="I43" s="1811">
        <v>0</v>
      </c>
      <c r="J43" s="1492"/>
      <c r="K43" s="1659" t="s">
        <v>853</v>
      </c>
      <c r="L43" s="1662"/>
      <c r="M43" s="1736">
        <f ca="1">Returns!C8</f>
        <v>0.15666456818580632</v>
      </c>
      <c r="N43"/>
      <c r="O43"/>
      <c r="P43"/>
      <c r="Q43"/>
      <c r="R43"/>
      <c r="T43" s="1497"/>
      <c r="U43" s="1497"/>
      <c r="V43"/>
      <c r="W43"/>
      <c r="X43"/>
      <c r="Y43"/>
    </row>
    <row r="44" spans="1:25" ht="13.5" thickBot="1">
      <c r="A44" s="1504" t="s">
        <v>986</v>
      </c>
      <c r="B44" s="1497"/>
      <c r="C44" s="1580">
        <v>500</v>
      </c>
      <c r="D44" s="1564"/>
      <c r="E44" s="1504" t="s">
        <v>1271</v>
      </c>
      <c r="F44" s="1497"/>
      <c r="G44" s="1511"/>
      <c r="H44" s="1513">
        <v>7000</v>
      </c>
      <c r="I44" s="1814">
        <f>-Budget!C77</f>
        <v>500</v>
      </c>
      <c r="J44" s="1492"/>
      <c r="K44" s="1659" t="s">
        <v>1232</v>
      </c>
      <c r="L44" s="1743">
        <v>0.12</v>
      </c>
      <c r="M44" s="1737">
        <f ca="1">Returns!C9</f>
        <v>63778.511896243246</v>
      </c>
      <c r="N44"/>
      <c r="O44"/>
      <c r="P44"/>
      <c r="Q44"/>
      <c r="R44"/>
      <c r="T44" s="1497"/>
      <c r="U44" s="1497"/>
      <c r="V44"/>
      <c r="W44"/>
      <c r="X44"/>
      <c r="Y44"/>
    </row>
    <row r="45" spans="1:25">
      <c r="A45" s="1504" t="s">
        <v>1005</v>
      </c>
      <c r="B45" s="15"/>
      <c r="C45" s="1580">
        <f>1500</f>
        <v>1500</v>
      </c>
      <c r="D45" s="1564"/>
      <c r="E45" s="1504" t="s">
        <v>1254</v>
      </c>
      <c r="F45" s="1497"/>
      <c r="G45" s="1529">
        <v>7.2499999999999995E-2</v>
      </c>
      <c r="H45" s="1530">
        <f>G45*(G22+H8)*0.75</f>
        <v>19982.812499999996</v>
      </c>
      <c r="I45" s="1811">
        <v>0</v>
      </c>
      <c r="J45" s="1492"/>
      <c r="K45" s="1655"/>
      <c r="L45" s="1656"/>
      <c r="M45" s="1700"/>
      <c r="Q45"/>
      <c r="R45"/>
      <c r="T45" s="1497"/>
      <c r="U45" s="1497"/>
      <c r="V45"/>
      <c r="W45"/>
      <c r="X45"/>
      <c r="Y45"/>
    </row>
    <row r="46" spans="1:25">
      <c r="A46" s="1504" t="s">
        <v>1006</v>
      </c>
      <c r="B46" s="15"/>
      <c r="C46" s="1580">
        <v>326</v>
      </c>
      <c r="D46" s="1564"/>
      <c r="E46" s="1504" t="s">
        <v>1074</v>
      </c>
      <c r="F46" s="1497"/>
      <c r="H46" s="1639">
        <v>1000</v>
      </c>
      <c r="I46" s="1812">
        <v>0</v>
      </c>
      <c r="J46" s="1492"/>
      <c r="K46" s="1655"/>
      <c r="L46" s="1656"/>
      <c r="M46" s="1700"/>
      <c r="O46"/>
      <c r="P46" s="1631"/>
      <c r="Q46"/>
      <c r="R46"/>
      <c r="T46" s="1527"/>
      <c r="U46" s="1497"/>
      <c r="V46"/>
      <c r="W46"/>
      <c r="X46"/>
      <c r="Y46"/>
    </row>
    <row r="47" spans="1:25">
      <c r="A47" s="1504" t="s">
        <v>1007</v>
      </c>
      <c r="B47" s="15"/>
      <c r="C47" s="1580">
        <v>100</v>
      </c>
      <c r="D47" s="1565"/>
      <c r="E47" s="1504" t="s">
        <v>978</v>
      </c>
      <c r="F47" s="1497"/>
      <c r="G47" s="1511"/>
      <c r="H47" s="1513">
        <v>1846</v>
      </c>
      <c r="I47" s="1811">
        <v>0</v>
      </c>
      <c r="J47" s="1492"/>
      <c r="K47" s="1701" t="s">
        <v>1237</v>
      </c>
      <c r="L47" s="1656"/>
      <c r="M47" s="1700"/>
      <c r="O47"/>
      <c r="P47" s="1631"/>
      <c r="Q47"/>
      <c r="R47"/>
      <c r="T47" s="1534"/>
      <c r="U47" s="1497"/>
      <c r="V47"/>
      <c r="W47"/>
      <c r="X47"/>
      <c r="Y47"/>
    </row>
    <row r="48" spans="1:25">
      <c r="A48" s="1504" t="s">
        <v>1009</v>
      </c>
      <c r="B48" s="15"/>
      <c r="C48" s="1580">
        <v>500</v>
      </c>
      <c r="D48" s="15"/>
      <c r="E48" s="1504" t="s">
        <v>1212</v>
      </c>
      <c r="F48" s="1497"/>
      <c r="G48" s="1511"/>
      <c r="H48" s="1513">
        <v>1500</v>
      </c>
      <c r="I48" s="1812">
        <v>0</v>
      </c>
      <c r="J48" s="1492"/>
      <c r="K48" s="1659" t="s">
        <v>853</v>
      </c>
      <c r="L48" s="1656"/>
      <c r="M48" s="1732" t="str">
        <f ca="1">Returns!C23</f>
        <v>&gt;100%</v>
      </c>
      <c r="O48"/>
      <c r="P48" s="1631"/>
      <c r="T48" s="1536"/>
      <c r="U48" s="1497"/>
      <c r="V48"/>
      <c r="W48"/>
      <c r="X48"/>
      <c r="Y48"/>
    </row>
    <row r="49" spans="1:25">
      <c r="A49" s="1504" t="s">
        <v>1213</v>
      </c>
      <c r="B49" s="15"/>
      <c r="C49" s="1580">
        <v>500</v>
      </c>
      <c r="D49" s="15"/>
      <c r="E49" s="1504" t="s">
        <v>1259</v>
      </c>
      <c r="F49" s="1497"/>
      <c r="G49" s="1511"/>
      <c r="H49" s="1513">
        <v>3000</v>
      </c>
      <c r="I49" s="1811">
        <v>0</v>
      </c>
      <c r="J49" s="1492"/>
      <c r="K49" s="1659" t="s">
        <v>1058</v>
      </c>
      <c r="L49" s="1757">
        <v>0.12</v>
      </c>
      <c r="M49" s="1699"/>
      <c r="O49"/>
      <c r="P49"/>
      <c r="T49" s="1536"/>
      <c r="U49" s="1497"/>
      <c r="V49"/>
      <c r="W49"/>
      <c r="X49"/>
      <c r="Y49"/>
    </row>
    <row r="50" spans="1:25">
      <c r="A50" s="1504" t="s">
        <v>1210</v>
      </c>
      <c r="B50" s="15"/>
      <c r="C50" s="1580">
        <f>1000</f>
        <v>1000</v>
      </c>
      <c r="D50" s="1534"/>
      <c r="E50" s="1504" t="s">
        <v>979</v>
      </c>
      <c r="F50" s="1497"/>
      <c r="G50" s="1511"/>
      <c r="H50" s="1604">
        <f>1000-Budget!B20</f>
        <v>1500</v>
      </c>
      <c r="I50" s="1815">
        <f>-Budget!B20</f>
        <v>500</v>
      </c>
      <c r="J50" s="1492"/>
      <c r="K50" s="1655"/>
      <c r="L50" s="1702" t="s">
        <v>1122</v>
      </c>
      <c r="M50" s="1658">
        <f ca="1">(Returns!C17+Returns!C20+Returns!C21)*(1+$L$49)^((C16-C14)/365.25)</f>
        <v>-2827.0938424307792</v>
      </c>
      <c r="O50"/>
      <c r="P50"/>
      <c r="T50" s="1536"/>
      <c r="U50" s="1497"/>
      <c r="V50"/>
      <c r="W50"/>
      <c r="X50"/>
      <c r="Y50"/>
    </row>
    <row r="51" spans="1:25" ht="13.5" thickBot="1">
      <c r="A51" s="1504" t="s">
        <v>979</v>
      </c>
      <c r="B51" s="15"/>
      <c r="C51" s="1774">
        <v>150</v>
      </c>
      <c r="D51" s="1555"/>
      <c r="E51" s="1504" t="s">
        <v>980</v>
      </c>
      <c r="F51" s="1497"/>
      <c r="G51" s="1531">
        <v>0.05</v>
      </c>
      <c r="H51" s="1530">
        <f>G51*SUM(H8:H21,H42:H49)+Budget!B21+Budget!B26+Budget!B36</f>
        <v>15186.440625000003</v>
      </c>
      <c r="I51" s="1815">
        <f>-Budget!B21-Budget!B26</f>
        <v>5000</v>
      </c>
      <c r="J51" s="1492"/>
      <c r="K51" s="1655"/>
      <c r="L51" s="1702" t="s">
        <v>1116</v>
      </c>
      <c r="M51" s="1658">
        <f ca="1">Returns!C18*(1+$L$49)^((C16-C14)/365.25)</f>
        <v>47593.757928475723</v>
      </c>
      <c r="O51"/>
      <c r="P51"/>
      <c r="T51" s="1528"/>
      <c r="U51" s="1497"/>
      <c r="V51"/>
      <c r="W51"/>
      <c r="X51"/>
      <c r="Y51"/>
    </row>
    <row r="52" spans="1:25" ht="13.5" thickBot="1">
      <c r="A52" s="1510" t="s">
        <v>1024</v>
      </c>
      <c r="B52" s="15"/>
      <c r="C52" s="1763">
        <f>SUM(C38:C51)</f>
        <v>17470.770468750001</v>
      </c>
      <c r="D52" s="15"/>
      <c r="E52" s="1512" t="s">
        <v>981</v>
      </c>
      <c r="F52" s="1778"/>
      <c r="G52" s="1505">
        <f ca="1">SUM(H25:H51)</f>
        <v>112137.11633199977</v>
      </c>
      <c r="H52" s="1509"/>
      <c r="I52" s="1816">
        <f>SUM(I8:I51)</f>
        <v>59209</v>
      </c>
      <c r="J52" s="1492"/>
      <c r="K52" s="1655"/>
      <c r="L52" s="1702" t="s">
        <v>1117</v>
      </c>
      <c r="M52" s="1658">
        <f ca="1">Returns!C19*(1+$L$49)^((C16-C14)/365.25)</f>
        <v>9995.6634376921647</v>
      </c>
      <c r="O52"/>
      <c r="T52" s="1527"/>
      <c r="U52" s="1497"/>
      <c r="V52"/>
      <c r="W52"/>
      <c r="X52"/>
      <c r="Y52"/>
    </row>
    <row r="53" spans="1:25" ht="13.5" thickBot="1">
      <c r="A53" s="1504"/>
      <c r="B53" s="1497"/>
      <c r="C53" s="1508"/>
      <c r="D53" s="15"/>
      <c r="E53" s="349"/>
      <c r="F53" s="15"/>
      <c r="G53" s="15"/>
      <c r="H53" s="1509"/>
      <c r="I53" s="1492"/>
      <c r="J53" s="1492"/>
      <c r="K53" s="1707"/>
      <c r="L53" s="1702" t="s">
        <v>73</v>
      </c>
      <c r="M53" s="1658">
        <f ca="1">SUM(M50:M52)</f>
        <v>54762.327523737105</v>
      </c>
      <c r="O53"/>
      <c r="P53"/>
      <c r="Q53" s="1497"/>
      <c r="R53" s="1497"/>
      <c r="T53" s="1497"/>
      <c r="U53" s="1497"/>
      <c r="V53"/>
      <c r="W53"/>
      <c r="X53"/>
      <c r="Y53"/>
    </row>
    <row r="54" spans="1:25" ht="13.5" thickBot="1">
      <c r="A54" s="1510" t="s">
        <v>1025</v>
      </c>
      <c r="B54" s="1497"/>
      <c r="C54" s="1508"/>
      <c r="D54" s="15"/>
      <c r="E54" s="1535" t="s">
        <v>985</v>
      </c>
      <c r="F54" s="1523"/>
      <c r="G54" s="1760">
        <f ca="1">H54/SUM($B$9:$C$9)</f>
        <v>532.93012925777748</v>
      </c>
      <c r="H54" s="1761">
        <f ca="1">SUM(H8:H51)</f>
        <v>479637.11633199977</v>
      </c>
      <c r="I54" s="1553">
        <f ca="1">H54-I52-H40-H39-H32-H31</f>
        <v>416515.25312499999</v>
      </c>
      <c r="J54" s="1492"/>
      <c r="K54" s="1708"/>
      <c r="L54" s="1705"/>
      <c r="M54" s="1709"/>
      <c r="O54"/>
      <c r="P54"/>
      <c r="Q54" s="1497"/>
      <c r="R54" s="1497"/>
      <c r="T54" s="1528"/>
      <c r="U54" s="1497"/>
      <c r="V54"/>
      <c r="W54"/>
      <c r="X54"/>
      <c r="Y54"/>
    </row>
    <row r="55" spans="1:25">
      <c r="A55" s="1510" t="s">
        <v>963</v>
      </c>
      <c r="B55" s="1497"/>
      <c r="C55" s="1508"/>
      <c r="D55" s="1497"/>
      <c r="E55" s="1498" t="s">
        <v>987</v>
      </c>
      <c r="F55" s="1499"/>
      <c r="G55" s="1499"/>
      <c r="H55" s="1500"/>
      <c r="I55" s="1553">
        <f ca="1">H40+H39+H32+H31</f>
        <v>3912.8632069997707</v>
      </c>
      <c r="J55" s="1492"/>
      <c r="K55" s="1707"/>
      <c r="L55" s="1705"/>
      <c r="M55" s="1710"/>
      <c r="O55"/>
      <c r="P55"/>
      <c r="Q55" s="1527"/>
      <c r="R55" s="1497"/>
      <c r="T55" s="1528"/>
      <c r="U55" s="1497"/>
      <c r="V55"/>
      <c r="W55"/>
      <c r="X55"/>
      <c r="Y55"/>
    </row>
    <row r="56" spans="1:25">
      <c r="A56" s="1504" t="s">
        <v>1029</v>
      </c>
      <c r="B56" s="1497"/>
      <c r="C56" s="1755">
        <f>C9</f>
        <v>750</v>
      </c>
      <c r="D56" s="1497"/>
      <c r="E56" s="1504" t="s">
        <v>110</v>
      </c>
      <c r="F56" s="1537">
        <f>M12+M13</f>
        <v>9.375E-2</v>
      </c>
      <c r="G56" s="1497" t="s">
        <v>988</v>
      </c>
      <c r="H56" s="1538">
        <v>24</v>
      </c>
      <c r="I56" s="1492"/>
      <c r="J56" s="1492"/>
      <c r="K56" s="1701" t="s">
        <v>1140</v>
      </c>
      <c r="L56" s="1656"/>
      <c r="M56" s="1700"/>
      <c r="O56"/>
      <c r="P56"/>
      <c r="Q56" s="1497"/>
      <c r="R56" s="1497"/>
      <c r="T56" s="1497"/>
      <c r="U56" s="1497"/>
      <c r="V56"/>
      <c r="W56"/>
      <c r="X56"/>
      <c r="Y56"/>
    </row>
    <row r="57" spans="1:25">
      <c r="A57" s="1504" t="s">
        <v>1030</v>
      </c>
      <c r="B57" s="1497"/>
      <c r="C57" s="1513">
        <v>7250</v>
      </c>
      <c r="D57" s="1497"/>
      <c r="E57" s="1504" t="s">
        <v>990</v>
      </c>
      <c r="F57" s="1497"/>
      <c r="G57" s="1497"/>
      <c r="H57" s="1539">
        <v>0</v>
      </c>
      <c r="I57" s="1553"/>
      <c r="J57" s="1492"/>
      <c r="K57" s="1659" t="s">
        <v>1058</v>
      </c>
      <c r="L57" s="1757">
        <v>0.12</v>
      </c>
      <c r="M57" s="1700"/>
      <c r="O57"/>
      <c r="P57"/>
      <c r="Q57" s="1497"/>
      <c r="R57" s="1497"/>
      <c r="T57" s="1497"/>
      <c r="U57" s="1543"/>
      <c r="V57"/>
      <c r="W57"/>
      <c r="X57"/>
      <c r="Y57"/>
    </row>
    <row r="58" spans="1:25" ht="13.5" thickBot="1">
      <c r="A58" s="1504" t="s">
        <v>1191</v>
      </c>
      <c r="B58" s="1497"/>
      <c r="C58" s="1748">
        <v>0</v>
      </c>
      <c r="D58" s="1497"/>
      <c r="E58" s="1566" t="s">
        <v>991</v>
      </c>
      <c r="F58" s="15"/>
      <c r="G58" s="1540">
        <v>37.5</v>
      </c>
      <c r="H58" s="1567" t="s">
        <v>992</v>
      </c>
      <c r="I58" s="1492"/>
      <c r="J58" s="1492"/>
      <c r="K58" s="1655"/>
      <c r="L58" s="1702" t="s">
        <v>1128</v>
      </c>
      <c r="M58" s="1658">
        <f ca="1">SUM(Returns!C44:C48)*(1+L57)^((C16-C14)/365.25)</f>
        <v>5867.5096630794033</v>
      </c>
      <c r="O58"/>
      <c r="P58"/>
      <c r="Q58" s="1497"/>
      <c r="R58" s="1497"/>
      <c r="T58" s="1497"/>
      <c r="V58"/>
      <c r="W58"/>
      <c r="X58"/>
      <c r="Y58"/>
    </row>
    <row r="59" spans="1:25" ht="13.5" thickBot="1">
      <c r="A59" s="1504" t="s">
        <v>1031</v>
      </c>
      <c r="B59" s="15"/>
      <c r="C59" s="1574">
        <v>0.01</v>
      </c>
      <c r="D59" s="1497"/>
      <c r="E59" s="1535" t="s">
        <v>994</v>
      </c>
      <c r="F59" s="1523"/>
      <c r="G59" s="1519"/>
      <c r="H59" s="1761">
        <f ca="1">Debt!H22</f>
        <v>48563.258028614982</v>
      </c>
      <c r="I59" s="1492"/>
      <c r="J59" s="1492"/>
      <c r="K59" s="1655"/>
      <c r="L59" s="1702" t="s">
        <v>1129</v>
      </c>
      <c r="M59" s="1658">
        <f ca="1">SUM(Returns!C49:C50)*(1+L57)^((C16-C14)/365.25)</f>
        <v>24239.337727674014</v>
      </c>
      <c r="O59"/>
      <c r="P59"/>
      <c r="Q59" s="1497"/>
      <c r="R59" s="1497"/>
      <c r="T59" s="1497"/>
      <c r="V59"/>
      <c r="W59"/>
      <c r="X59"/>
      <c r="Y59"/>
    </row>
    <row r="60" spans="1:25" ht="13.5" thickBot="1">
      <c r="A60" s="1518" t="s">
        <v>1189</v>
      </c>
      <c r="B60" s="148"/>
      <c r="C60" s="1747" t="s">
        <v>1190</v>
      </c>
      <c r="D60" s="1497"/>
      <c r="E60" s="1504" t="s">
        <v>1104</v>
      </c>
      <c r="F60" s="1497"/>
      <c r="G60" s="1497"/>
      <c r="H60" s="1755">
        <f ca="1">Debt!C26</f>
        <v>6056.8534156644673</v>
      </c>
      <c r="I60" s="1492"/>
      <c r="J60" s="1492"/>
      <c r="K60" s="1657"/>
      <c r="L60" s="1703" t="s">
        <v>73</v>
      </c>
      <c r="M60" s="1704">
        <f ca="1">SUM(M58:M59)</f>
        <v>30106.847390753417</v>
      </c>
      <c r="O60"/>
      <c r="P60"/>
      <c r="Q60" s="1497"/>
      <c r="R60" s="1497"/>
      <c r="T60" s="1497"/>
      <c r="V60"/>
      <c r="W60"/>
      <c r="X60"/>
      <c r="Y60"/>
    </row>
    <row r="61" spans="1:25" ht="13.5" thickBot="1">
      <c r="D61" s="1497"/>
      <c r="E61" s="1504" t="s">
        <v>322</v>
      </c>
      <c r="F61" s="1497"/>
      <c r="G61" s="1497"/>
      <c r="H61" s="1755">
        <f>Debt!H20</f>
        <v>0</v>
      </c>
      <c r="I61" s="1492"/>
      <c r="J61" s="1492"/>
      <c r="O61"/>
      <c r="P61"/>
      <c r="Q61" s="1497"/>
      <c r="R61" s="1497"/>
      <c r="T61" s="1497"/>
      <c r="V61"/>
      <c r="W61"/>
      <c r="X61"/>
      <c r="Y61"/>
    </row>
    <row r="62" spans="1:25" ht="13.5" thickBot="1">
      <c r="D62" s="1497"/>
      <c r="E62" s="1504" t="s">
        <v>442</v>
      </c>
      <c r="F62" s="1497"/>
      <c r="G62" s="1497"/>
      <c r="H62" s="1756">
        <f ca="1">Debt!H21</f>
        <v>7045.7034223582523</v>
      </c>
      <c r="I62" s="1492"/>
      <c r="J62" s="1492"/>
      <c r="K62" s="1817" t="s">
        <v>1226</v>
      </c>
      <c r="L62" s="1818"/>
      <c r="M62" s="1500"/>
      <c r="O62"/>
      <c r="P62"/>
      <c r="Q62" s="1497"/>
      <c r="R62" s="1497"/>
      <c r="V62"/>
      <c r="W62"/>
      <c r="X62"/>
      <c r="Y62"/>
    </row>
    <row r="63" spans="1:25" ht="13.5" thickBot="1">
      <c r="D63" s="1497"/>
      <c r="E63" s="1750" t="s">
        <v>997</v>
      </c>
      <c r="F63" s="1751"/>
      <c r="G63" s="1762">
        <v>593.29449037748918</v>
      </c>
      <c r="H63" s="1763">
        <f ca="1">H59+H54+SUM(H60:H62)</f>
        <v>541302.93119863747</v>
      </c>
      <c r="I63" s="1492"/>
      <c r="J63" s="1492"/>
      <c r="K63" s="1507" t="s">
        <v>102</v>
      </c>
      <c r="L63" s="1497"/>
      <c r="M63" s="1508"/>
      <c r="O63"/>
      <c r="P63"/>
      <c r="Q63" s="1497"/>
      <c r="R63" s="1497"/>
      <c r="V63"/>
      <c r="W63"/>
      <c r="X63"/>
      <c r="Y63"/>
    </row>
    <row r="64" spans="1:25" ht="13.5" thickBot="1">
      <c r="D64" s="1497"/>
      <c r="I64" s="1492"/>
      <c r="J64" s="1492"/>
      <c r="K64" s="1504" t="s">
        <v>1228</v>
      </c>
      <c r="L64" s="1497"/>
      <c r="M64" s="1819">
        <f ca="1">CALC!HS18</f>
        <v>6161052</v>
      </c>
      <c r="O64"/>
      <c r="P64"/>
      <c r="Q64" s="1497"/>
      <c r="R64" s="1497"/>
      <c r="V64"/>
      <c r="W64"/>
      <c r="X64"/>
      <c r="Y64"/>
    </row>
    <row r="65" spans="1:25">
      <c r="A65" s="1492"/>
      <c r="B65" s="1492"/>
      <c r="C65" s="1492"/>
      <c r="D65" s="15"/>
      <c r="E65" s="1817" t="s">
        <v>1249</v>
      </c>
      <c r="F65" s="145"/>
      <c r="G65" s="145"/>
      <c r="H65" s="130"/>
      <c r="I65" s="1492"/>
      <c r="J65" s="1492"/>
      <c r="K65" s="1504" t="s">
        <v>1225</v>
      </c>
      <c r="L65" s="1497"/>
      <c r="M65" s="1820">
        <f ca="1">M64/(8760*C9)</f>
        <v>0.93775525114155256</v>
      </c>
      <c r="O65"/>
      <c r="P65"/>
      <c r="Q65" s="1497"/>
      <c r="R65" s="1536"/>
      <c r="V65"/>
      <c r="W65"/>
      <c r="X65"/>
      <c r="Y65"/>
    </row>
    <row r="66" spans="1:25">
      <c r="A66" s="1492"/>
      <c r="B66" s="1492"/>
      <c r="C66" s="1492"/>
      <c r="D66" s="15"/>
      <c r="E66" s="1504" t="s">
        <v>1233</v>
      </c>
      <c r="F66" s="15"/>
      <c r="G66" s="15"/>
      <c r="H66" s="1828">
        <v>2003</v>
      </c>
      <c r="I66" s="1492"/>
      <c r="J66" s="1492"/>
      <c r="K66" s="1504" t="s">
        <v>1224</v>
      </c>
      <c r="L66" s="1497"/>
      <c r="M66" s="1821">
        <f ca="1">CALC!HT18</f>
        <v>34.904436933798991</v>
      </c>
      <c r="O66"/>
      <c r="P66"/>
      <c r="Q66" s="1497"/>
      <c r="R66" s="1536"/>
      <c r="V66"/>
      <c r="W66"/>
      <c r="X66"/>
      <c r="Y66"/>
    </row>
    <row r="67" spans="1:25">
      <c r="A67" s="1492"/>
      <c r="B67" s="1492"/>
      <c r="C67" s="1492"/>
      <c r="D67" s="1497"/>
      <c r="E67" s="1504" t="s">
        <v>1234</v>
      </c>
      <c r="F67" s="15"/>
      <c r="G67" s="15"/>
      <c r="H67" s="1829">
        <v>2008</v>
      </c>
      <c r="I67" s="1492"/>
      <c r="J67" s="1492"/>
      <c r="K67" s="1504"/>
      <c r="L67" s="1497"/>
      <c r="M67" s="1508"/>
      <c r="O67"/>
      <c r="P67"/>
      <c r="Q67" s="1497"/>
      <c r="R67" s="1497"/>
      <c r="V67"/>
      <c r="W67"/>
      <c r="X67"/>
      <c r="Y67"/>
    </row>
    <row r="68" spans="1:25" ht="13.5" thickBot="1">
      <c r="A68" s="1492"/>
      <c r="B68" s="1492"/>
      <c r="C68" s="1492"/>
      <c r="D68" s="1497"/>
      <c r="E68" s="1518" t="s">
        <v>1235</v>
      </c>
      <c r="F68" s="148"/>
      <c r="G68" s="148"/>
      <c r="H68" s="1827">
        <v>0</v>
      </c>
      <c r="I68" s="1492"/>
      <c r="J68" s="1492"/>
      <c r="K68" s="1507" t="s">
        <v>1080</v>
      </c>
      <c r="L68" s="1497"/>
      <c r="M68" s="1508"/>
      <c r="O68"/>
      <c r="P68"/>
      <c r="Q68" s="1497"/>
      <c r="R68" s="1536"/>
      <c r="V68"/>
      <c r="W68"/>
      <c r="X68"/>
      <c r="Y68"/>
    </row>
    <row r="69" spans="1:25" ht="13.5" thickBot="1">
      <c r="A69" s="1492"/>
      <c r="B69" s="1492"/>
      <c r="C69" s="1492"/>
      <c r="D69" s="1497"/>
      <c r="I69" s="1492"/>
      <c r="J69" s="1492"/>
      <c r="K69" s="1504" t="s">
        <v>1227</v>
      </c>
      <c r="L69" s="1497"/>
      <c r="M69" s="1819">
        <f ca="1">CALC!HZ18</f>
        <v>43552498.145280004</v>
      </c>
      <c r="Q69" s="1497"/>
      <c r="R69" s="1536"/>
      <c r="V69"/>
      <c r="W69"/>
      <c r="X69"/>
      <c r="Y69"/>
    </row>
    <row r="70" spans="1:25">
      <c r="A70" s="1492"/>
      <c r="B70" s="1492"/>
      <c r="C70" s="1492"/>
      <c r="D70" s="1492"/>
      <c r="E70" s="1817" t="s">
        <v>1250</v>
      </c>
      <c r="F70" s="1843"/>
      <c r="G70" s="1843"/>
      <c r="H70" s="1844"/>
      <c r="I70" s="1492"/>
      <c r="J70" s="1492"/>
      <c r="K70" s="1822" t="s">
        <v>1229</v>
      </c>
      <c r="L70" s="1497"/>
      <c r="M70" s="1821">
        <f ca="1">-CALC!IA18</f>
        <v>2.5450977760238613</v>
      </c>
      <c r="Q70" s="1527"/>
      <c r="R70" s="1497"/>
      <c r="V70"/>
      <c r="W70"/>
      <c r="X70"/>
      <c r="Y70"/>
    </row>
    <row r="71" spans="1:25">
      <c r="A71" s="1492"/>
      <c r="B71" s="1492"/>
      <c r="C71" s="1492"/>
      <c r="D71" s="1492"/>
      <c r="E71" s="1566" t="s">
        <v>1251</v>
      </c>
      <c r="F71" s="1650"/>
      <c r="G71" s="1650"/>
      <c r="H71" s="1845" t="s">
        <v>124</v>
      </c>
      <c r="I71" s="1492"/>
      <c r="J71" s="1492"/>
      <c r="K71" s="1504"/>
      <c r="L71" s="1497"/>
      <c r="M71" s="1508"/>
      <c r="Q71" s="1527"/>
      <c r="R71" s="1497"/>
      <c r="V71"/>
      <c r="W71"/>
      <c r="X71"/>
      <c r="Y71"/>
    </row>
    <row r="72" spans="1:25">
      <c r="E72" s="1566" t="s">
        <v>208</v>
      </c>
      <c r="F72" s="1650"/>
      <c r="G72" s="1650"/>
      <c r="H72" s="1846">
        <v>37803</v>
      </c>
      <c r="I72" s="1492"/>
      <c r="J72" s="1492"/>
      <c r="K72" s="1504" t="s">
        <v>395</v>
      </c>
      <c r="L72" s="1497"/>
      <c r="M72" s="1823">
        <f ca="1">Template!J188</f>
        <v>215048.05097985614</v>
      </c>
      <c r="O72"/>
      <c r="P72"/>
      <c r="Q72" s="1527"/>
      <c r="R72" s="1497"/>
      <c r="V72"/>
      <c r="W72"/>
      <c r="X72"/>
      <c r="Y72"/>
    </row>
    <row r="73" spans="1:25">
      <c r="E73" s="1566" t="s">
        <v>213</v>
      </c>
      <c r="F73" s="1650"/>
      <c r="G73" s="1650"/>
      <c r="H73" s="1846">
        <v>39629</v>
      </c>
      <c r="I73" s="1492"/>
      <c r="J73" s="1492"/>
      <c r="K73" s="1504" t="s">
        <v>1019</v>
      </c>
      <c r="L73" s="1497"/>
      <c r="M73" s="1823">
        <f ca="1">Template!J197</f>
        <v>110845.36616983548</v>
      </c>
      <c r="O73"/>
      <c r="P73"/>
      <c r="Q73" s="1527"/>
      <c r="R73" s="1497"/>
      <c r="V73"/>
      <c r="W73"/>
      <c r="X73"/>
      <c r="Y73"/>
    </row>
    <row r="74" spans="1:25" ht="13.5" thickBot="1">
      <c r="E74" s="1518" t="s">
        <v>1252</v>
      </c>
      <c r="F74" s="1523"/>
      <c r="G74" s="1519"/>
      <c r="H74" s="1827">
        <v>9.17</v>
      </c>
      <c r="I74" s="1492"/>
      <c r="J74" s="1492"/>
      <c r="K74" s="1504" t="s">
        <v>912</v>
      </c>
      <c r="L74" s="1497"/>
      <c r="M74" s="1823">
        <f ca="1">Template!J203</f>
        <v>11311.691472</v>
      </c>
      <c r="O74"/>
      <c r="P74"/>
      <c r="Q74" s="1527"/>
      <c r="R74" s="1497"/>
      <c r="V74"/>
      <c r="W74"/>
      <c r="X74"/>
      <c r="Y74"/>
    </row>
    <row r="75" spans="1:25">
      <c r="J75" s="1492"/>
      <c r="K75" s="1504" t="s">
        <v>1230</v>
      </c>
      <c r="L75" s="1497"/>
      <c r="M75" s="1823">
        <f>Template!J242</f>
        <v>18862.677914664469</v>
      </c>
      <c r="N75" s="1549"/>
      <c r="O75"/>
      <c r="P75"/>
      <c r="Q75" s="1527"/>
      <c r="R75" s="1497"/>
      <c r="V75"/>
      <c r="W75"/>
      <c r="X75"/>
      <c r="Y75"/>
    </row>
    <row r="76" spans="1:25" ht="13.5" thickBot="1">
      <c r="E76" s="1492"/>
      <c r="F76" s="1492"/>
      <c r="G76" s="1548"/>
      <c r="H76" s="1492"/>
      <c r="K76" s="1504" t="s">
        <v>528</v>
      </c>
      <c r="L76" s="1497"/>
      <c r="M76" s="1824">
        <f ca="1">Template!J295</f>
        <v>31525.149447968579</v>
      </c>
      <c r="N76"/>
      <c r="O76"/>
      <c r="P76"/>
      <c r="Q76" s="1497"/>
      <c r="R76" s="1497"/>
      <c r="V76"/>
      <c r="W76"/>
      <c r="X76"/>
      <c r="Y76"/>
    </row>
    <row r="77" spans="1:25" ht="13.5" thickBot="1">
      <c r="E77" s="1492"/>
      <c r="F77" s="1492"/>
      <c r="G77" s="1548"/>
      <c r="H77" s="1492"/>
      <c r="K77" s="1510" t="s">
        <v>622</v>
      </c>
      <c r="L77" s="1497"/>
      <c r="M77" s="1826">
        <f ca="1">M72-M73-M74-M75-M76</f>
        <v>42503.165975387601</v>
      </c>
      <c r="Q77" s="1497"/>
      <c r="R77" s="1527"/>
      <c r="V77"/>
      <c r="W77"/>
      <c r="X77"/>
      <c r="Y77"/>
    </row>
    <row r="78" spans="1:25">
      <c r="E78" s="1492"/>
      <c r="F78" s="1492"/>
      <c r="G78" s="1548"/>
      <c r="H78" s="1492"/>
      <c r="K78" s="1504" t="s">
        <v>100</v>
      </c>
      <c r="L78" s="1497"/>
      <c r="M78" s="1825">
        <f ca="1">INTEXP2</f>
        <v>27922.072422902362</v>
      </c>
      <c r="Q78" s="1497"/>
      <c r="R78" s="1527"/>
    </row>
    <row r="79" spans="1:25" ht="13.5" thickBot="1">
      <c r="A79" s="1492"/>
      <c r="B79" s="1492"/>
      <c r="C79" s="1492"/>
      <c r="D79" s="1492"/>
      <c r="E79" s="1492"/>
      <c r="F79" s="1492"/>
      <c r="G79" s="1548"/>
      <c r="H79" s="1492"/>
      <c r="K79" s="1504" t="s">
        <v>1231</v>
      </c>
      <c r="L79" s="1497"/>
      <c r="M79" s="1824">
        <f ca="1">Template!J316</f>
        <v>5941.2123788956351</v>
      </c>
      <c r="Q79" s="1497"/>
      <c r="R79" s="1536"/>
    </row>
    <row r="80" spans="1:25" ht="13.5" thickBot="1">
      <c r="A80" s="1492"/>
      <c r="B80" s="1492"/>
      <c r="C80" s="1492"/>
      <c r="D80" s="1492"/>
      <c r="E80" s="1492"/>
      <c r="F80" s="1492"/>
      <c r="G80" s="1548"/>
      <c r="H80" s="1492"/>
      <c r="K80" s="1535" t="s">
        <v>634</v>
      </c>
      <c r="L80" s="1523"/>
      <c r="M80" s="1826">
        <f ca="1">M77-M78-M79</f>
        <v>8639.8811735896052</v>
      </c>
      <c r="Q80" s="1497"/>
      <c r="R80" s="1550"/>
    </row>
    <row r="81" spans="1:42">
      <c r="A81" s="1492"/>
      <c r="B81" s="1492"/>
      <c r="C81" s="1492"/>
      <c r="D81" s="1492"/>
      <c r="E81" s="1492"/>
      <c r="F81" s="1492"/>
      <c r="G81" s="1548"/>
      <c r="H81" s="1492"/>
      <c r="Q81" s="1527"/>
      <c r="R81" s="1497"/>
    </row>
    <row r="82" spans="1:42">
      <c r="A82" s="1492"/>
      <c r="B82" s="1492"/>
      <c r="C82" s="1492"/>
      <c r="D82" s="1492"/>
      <c r="E82" s="1492"/>
      <c r="F82" s="1492"/>
      <c r="G82" s="1548"/>
      <c r="H82" s="1492"/>
      <c r="Q82" s="1497"/>
      <c r="R82" s="1497"/>
    </row>
    <row r="83" spans="1:42">
      <c r="A83" s="1492"/>
      <c r="B83" s="1492"/>
      <c r="C83" s="1492"/>
      <c r="D83" s="1492"/>
      <c r="E83" s="1492"/>
      <c r="F83" s="1492"/>
      <c r="G83" s="1548"/>
      <c r="H83" s="1492"/>
      <c r="Q83" s="1527"/>
      <c r="R83" s="1527"/>
    </row>
    <row r="84" spans="1:42">
      <c r="A84" s="1492"/>
      <c r="B84" s="1492"/>
      <c r="C84" s="1492"/>
      <c r="D84" s="1492"/>
      <c r="E84" s="1492"/>
      <c r="F84" s="1492"/>
      <c r="G84" s="1548"/>
      <c r="H84" s="1492"/>
      <c r="Q84" s="1527"/>
      <c r="U84" s="1536"/>
    </row>
    <row r="85" spans="1:42">
      <c r="A85" s="1492"/>
      <c r="B85" s="1492"/>
      <c r="C85" s="1492"/>
      <c r="D85" s="1492"/>
      <c r="E85" s="1492"/>
      <c r="F85" s="1492"/>
      <c r="G85" s="1548"/>
      <c r="H85" s="1492"/>
      <c r="O85" s="1549"/>
      <c r="P85"/>
      <c r="Q85" s="1527"/>
      <c r="U85" s="1497"/>
      <c r="V85" s="1551"/>
      <c r="W85" s="1552"/>
      <c r="X85" s="1553"/>
      <c r="Y85" s="1553"/>
      <c r="Z85" s="1553"/>
      <c r="AA85" s="1553"/>
      <c r="AB85" s="1553"/>
      <c r="AC85" s="1553"/>
      <c r="AD85" s="1553"/>
      <c r="AE85" s="1553"/>
      <c r="AF85" s="1553"/>
      <c r="AG85" s="1553"/>
      <c r="AH85" s="1553"/>
      <c r="AI85" s="1553"/>
      <c r="AJ85" s="1553"/>
      <c r="AK85" s="1553"/>
      <c r="AL85" s="1553"/>
      <c r="AM85" s="1553"/>
      <c r="AN85" s="1553"/>
      <c r="AO85" s="1553"/>
      <c r="AP85" s="1553"/>
    </row>
    <row r="86" spans="1:42">
      <c r="E86" s="1492"/>
      <c r="F86" s="1492"/>
      <c r="G86" s="1548"/>
      <c r="H86" s="1492"/>
      <c r="K86" s="1554"/>
      <c r="L86" s="1547"/>
      <c r="M86"/>
      <c r="N86" s="1555"/>
      <c r="O86" s="1556"/>
      <c r="P86"/>
      <c r="Q86" s="1527"/>
      <c r="U86" s="1497"/>
      <c r="W86" s="1552"/>
      <c r="X86" s="1553"/>
      <c r="Y86" s="1553"/>
      <c r="Z86" s="1553"/>
      <c r="AA86" s="1553"/>
      <c r="AB86" s="1553"/>
      <c r="AC86" s="1553"/>
      <c r="AD86" s="1553"/>
      <c r="AE86" s="1553"/>
      <c r="AF86" s="1553"/>
      <c r="AG86" s="1553"/>
      <c r="AH86" s="1553"/>
      <c r="AI86" s="1553"/>
      <c r="AJ86" s="1553"/>
      <c r="AK86" s="1553"/>
      <c r="AL86" s="1553"/>
      <c r="AM86" s="1553"/>
      <c r="AN86" s="1553"/>
      <c r="AO86" s="1553"/>
      <c r="AP86" s="1553"/>
    </row>
    <row r="87" spans="1:42">
      <c r="E87" s="1492"/>
      <c r="F87" s="1492"/>
      <c r="G87" s="1548"/>
      <c r="H87" s="1492"/>
      <c r="P87"/>
      <c r="Q87" s="1527"/>
      <c r="R87" s="1536"/>
    </row>
    <row r="88" spans="1:42">
      <c r="E88" s="1492"/>
      <c r="F88" s="1492"/>
      <c r="G88" s="1548"/>
      <c r="H88" s="1492"/>
      <c r="P88"/>
      <c r="Q88" s="1527"/>
      <c r="R88" s="1527"/>
    </row>
    <row r="89" spans="1:42">
      <c r="A89" s="1492"/>
      <c r="B89" s="1492"/>
      <c r="C89" s="1492"/>
      <c r="D89" s="1492"/>
      <c r="E89" s="1492"/>
      <c r="F89" s="1492"/>
      <c r="G89" s="1548"/>
      <c r="H89" s="1492"/>
      <c r="I89" s="1548"/>
      <c r="J89" s="1548"/>
      <c r="P89"/>
      <c r="Q89" s="1497"/>
      <c r="R89" s="1497"/>
    </row>
    <row r="90" spans="1:42">
      <c r="A90" s="1492"/>
      <c r="B90" s="1492"/>
      <c r="C90" s="1492"/>
      <c r="D90" s="1492"/>
      <c r="E90" s="1492"/>
      <c r="F90" s="1492"/>
      <c r="G90" s="1548"/>
      <c r="H90" s="1492"/>
      <c r="P90"/>
      <c r="Q90"/>
      <c r="R90" s="1497"/>
    </row>
    <row r="91" spans="1:42">
      <c r="A91" s="1492"/>
      <c r="B91" s="1492"/>
      <c r="C91" s="1492"/>
      <c r="D91" s="1492"/>
      <c r="E91" s="1492"/>
      <c r="F91" s="1492"/>
      <c r="G91" s="1548"/>
      <c r="H91" s="1492"/>
      <c r="P91"/>
      <c r="Q91"/>
      <c r="R91" s="1497"/>
    </row>
    <row r="92" spans="1:42">
      <c r="A92" s="1492"/>
      <c r="B92" s="1492"/>
      <c r="C92" s="1492"/>
      <c r="D92" s="1492"/>
      <c r="E92" s="1492"/>
      <c r="F92" s="1492"/>
      <c r="G92" s="1548"/>
      <c r="H92" s="1492"/>
      <c r="I92" s="1492"/>
      <c r="J92" s="1492"/>
      <c r="K92"/>
      <c r="Q92"/>
      <c r="R92"/>
      <c r="S92" s="1497"/>
    </row>
    <row r="93" spans="1:42">
      <c r="A93" s="1492"/>
      <c r="B93" s="1492"/>
      <c r="C93" s="1492"/>
      <c r="D93" s="1492"/>
      <c r="E93" s="1492"/>
      <c r="F93" s="1492"/>
      <c r="G93" s="1548"/>
      <c r="H93" s="1492"/>
      <c r="I93" s="1492"/>
      <c r="J93" s="1492"/>
      <c r="K93"/>
      <c r="Q93"/>
      <c r="R93"/>
      <c r="S93" s="1497"/>
    </row>
    <row r="94" spans="1:42">
      <c r="A94" s="1492"/>
      <c r="E94" s="1492"/>
      <c r="F94" s="1492"/>
      <c r="G94" s="1548"/>
      <c r="H94" s="1492"/>
      <c r="I94" s="1492"/>
      <c r="J94" s="1492"/>
      <c r="K94"/>
      <c r="R94" s="1527"/>
    </row>
    <row r="95" spans="1:42">
      <c r="A95" s="1557"/>
      <c r="E95" s="1492"/>
      <c r="F95" s="1492"/>
      <c r="G95" s="1548"/>
      <c r="H95" s="1492"/>
      <c r="I95" s="1492"/>
      <c r="J95" s="1492"/>
      <c r="K95"/>
      <c r="R95" s="1527"/>
    </row>
    <row r="96" spans="1:42">
      <c r="A96" s="1557"/>
      <c r="E96" s="1492"/>
      <c r="F96" s="1492"/>
      <c r="G96" s="1548"/>
      <c r="H96" s="1492"/>
      <c r="I96" s="1492"/>
      <c r="J96" s="1492"/>
      <c r="K96"/>
      <c r="R96" s="1527"/>
    </row>
    <row r="97" spans="11:18">
      <c r="K97"/>
      <c r="R97" s="1527"/>
    </row>
    <row r="98" spans="11:18">
      <c r="K98"/>
      <c r="R98" s="1527"/>
    </row>
    <row r="99" spans="11:18">
      <c r="K99"/>
      <c r="R99" s="1527"/>
    </row>
    <row r="100" spans="11:18">
      <c r="K100"/>
      <c r="R100" s="1536"/>
    </row>
    <row r="101" spans="11:18">
      <c r="K101"/>
      <c r="R101" s="1527"/>
    </row>
    <row r="102" spans="11:18">
      <c r="K102"/>
      <c r="R102" s="1497"/>
    </row>
    <row r="103" spans="11:18">
      <c r="K103"/>
      <c r="L103"/>
      <c r="M103"/>
      <c r="N103"/>
      <c r="O103"/>
      <c r="P103"/>
      <c r="Q103"/>
      <c r="R103" s="1497"/>
    </row>
    <row r="104" spans="11:18">
      <c r="K104"/>
      <c r="L104"/>
      <c r="M104"/>
      <c r="N104"/>
      <c r="O104"/>
      <c r="P104"/>
      <c r="Q104"/>
    </row>
    <row r="105" spans="11:18">
      <c r="K105"/>
      <c r="L105"/>
      <c r="M105"/>
      <c r="N105"/>
      <c r="O105"/>
      <c r="P105"/>
      <c r="Q105"/>
    </row>
    <row r="106" spans="11:18">
      <c r="K106"/>
      <c r="L106"/>
      <c r="M106"/>
      <c r="N106"/>
      <c r="O106"/>
      <c r="P106"/>
      <c r="Q106"/>
    </row>
    <row r="107" spans="11:18">
      <c r="K107"/>
      <c r="L107"/>
      <c r="M107"/>
      <c r="N107"/>
      <c r="O107"/>
      <c r="P107"/>
      <c r="Q107"/>
    </row>
    <row r="108" spans="11:18">
      <c r="K108"/>
      <c r="L108"/>
      <c r="M108"/>
      <c r="N108"/>
      <c r="O108"/>
      <c r="P108"/>
      <c r="Q108"/>
    </row>
    <row r="109" spans="11:18">
      <c r="K109"/>
      <c r="L109"/>
      <c r="M109"/>
      <c r="N109"/>
      <c r="O109"/>
      <c r="P109"/>
      <c r="Q109"/>
    </row>
    <row r="110" spans="11:18">
      <c r="K110"/>
      <c r="L110"/>
      <c r="M110"/>
      <c r="N110"/>
      <c r="O110"/>
      <c r="P110"/>
      <c r="Q110"/>
    </row>
    <row r="111" spans="11:18">
      <c r="K111"/>
      <c r="L111"/>
      <c r="M111"/>
      <c r="N111"/>
      <c r="O111"/>
      <c r="P111"/>
      <c r="Q111"/>
    </row>
    <row r="112" spans="11:18">
      <c r="L112"/>
      <c r="M112"/>
      <c r="N112"/>
      <c r="O112"/>
      <c r="P112"/>
      <c r="Q112"/>
    </row>
    <row r="113" spans="11:17">
      <c r="L113"/>
      <c r="M113"/>
      <c r="N113"/>
      <c r="O113"/>
      <c r="P113"/>
      <c r="Q113"/>
    </row>
    <row r="114" spans="11:17">
      <c r="L114"/>
      <c r="M114"/>
      <c r="N114"/>
      <c r="O114"/>
      <c r="P114"/>
      <c r="Q114"/>
    </row>
    <row r="115" spans="11:17">
      <c r="L115"/>
      <c r="M115"/>
      <c r="N115"/>
      <c r="O115"/>
      <c r="P115"/>
      <c r="Q115"/>
    </row>
    <row r="116" spans="11:17">
      <c r="K116"/>
      <c r="L116"/>
      <c r="M116"/>
      <c r="N116"/>
      <c r="O116"/>
      <c r="P116"/>
      <c r="Q116"/>
    </row>
    <row r="117" spans="11:17">
      <c r="K117"/>
      <c r="L117"/>
      <c r="M117"/>
      <c r="N117"/>
      <c r="O117"/>
      <c r="P117"/>
      <c r="Q117"/>
    </row>
    <row r="118" spans="11:17">
      <c r="K118"/>
      <c r="L118"/>
      <c r="M118"/>
      <c r="N118"/>
      <c r="O118"/>
      <c r="P118"/>
      <c r="Q118"/>
    </row>
    <row r="119" spans="11:17">
      <c r="K119"/>
      <c r="L119"/>
      <c r="M119"/>
      <c r="N119"/>
      <c r="O119"/>
    </row>
    <row r="120" spans="11:17">
      <c r="K120"/>
      <c r="L120"/>
      <c r="M120"/>
      <c r="N120"/>
      <c r="O120"/>
    </row>
    <row r="121" spans="11:17">
      <c r="K121"/>
      <c r="L121"/>
      <c r="M121"/>
      <c r="N121"/>
      <c r="O121"/>
      <c r="P121"/>
      <c r="Q121"/>
    </row>
    <row r="122" spans="11:17">
      <c r="K122"/>
      <c r="L122"/>
      <c r="M122"/>
      <c r="N122"/>
      <c r="O122"/>
      <c r="P122"/>
      <c r="Q122"/>
    </row>
    <row r="123" spans="11:17">
      <c r="K123"/>
      <c r="L123"/>
      <c r="M123"/>
      <c r="N123"/>
      <c r="O123"/>
      <c r="P123"/>
      <c r="Q123"/>
    </row>
    <row r="124" spans="11:17">
      <c r="K124"/>
    </row>
    <row r="125" spans="11:17">
      <c r="K125"/>
    </row>
    <row r="126" spans="11:17">
      <c r="K126"/>
    </row>
    <row r="127" spans="11:17">
      <c r="K127"/>
    </row>
    <row r="128" spans="11:17">
      <c r="K128"/>
    </row>
    <row r="129" spans="11:11">
      <c r="K129"/>
    </row>
    <row r="130" spans="11:11">
      <c r="K130"/>
    </row>
  </sheetData>
  <pageMargins left="0.25" right="0.25" top="0.5" bottom="0.5" header="0.5" footer="0.25"/>
  <pageSetup scale="68" orientation="portrait" r:id="rId1"/>
  <headerFooter alignWithMargins="0">
    <oddFooter>&amp;C&amp;D  &amp;T&amp;R&amp;F</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5073" r:id="rId4" name="Button 17">
              <controlPr defaultSize="0" print="0" autoFill="0" autoPict="0" macro="[0]!CFMODEL_Macros.Optimize">
                <anchor moveWithCells="1" sizeWithCells="1">
                  <from>
                    <xdr:col>13</xdr:col>
                    <xdr:colOff>428625</xdr:colOff>
                    <xdr:row>37</xdr:row>
                    <xdr:rowOff>19050</xdr:rowOff>
                  </from>
                  <to>
                    <xdr:col>15</xdr:col>
                    <xdr:colOff>123825</xdr:colOff>
                    <xdr:row>39</xdr:row>
                    <xdr:rowOff>38100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BF861"/>
  <sheetViews>
    <sheetView showGridLines="0" zoomScale="75" zoomScaleNormal="75" zoomScaleSheetLayoutView="50" workbookViewId="0">
      <pane xSplit="3" ySplit="3" topLeftCell="D680" activePane="bottomRight" state="frozenSplit"/>
      <selection pane="topRight"/>
      <selection pane="bottomLeft"/>
      <selection pane="bottomRight" activeCell="E717" sqref="E717"/>
    </sheetView>
  </sheetViews>
  <sheetFormatPr defaultColWidth="5.85546875" defaultRowHeight="11.25" outlineLevelRow="1"/>
  <cols>
    <col min="1" max="2" width="12.7109375" style="820" customWidth="1"/>
    <col min="3" max="3" width="13.42578125" style="820" customWidth="1"/>
    <col min="4" max="4" width="5.85546875" style="820"/>
    <col min="5" max="5" width="10" style="820" customWidth="1"/>
    <col min="6" max="7" width="5.85546875" style="820"/>
    <col min="8" max="8" width="9.140625" style="820" customWidth="1"/>
    <col min="9" max="9" width="11.140625" style="820" customWidth="1"/>
    <col min="10" max="10" width="12.85546875" style="820" customWidth="1"/>
    <col min="11" max="15" width="11.7109375" style="820" customWidth="1"/>
    <col min="16" max="16" width="11.5703125" style="820" customWidth="1"/>
    <col min="17" max="17" width="11.42578125" style="820" customWidth="1"/>
    <col min="18" max="18" width="10.85546875" style="820" customWidth="1"/>
    <col min="19" max="19" width="11" style="820" customWidth="1"/>
    <col min="20" max="20" width="11.140625" style="820" customWidth="1"/>
    <col min="21" max="21" width="11" style="820" customWidth="1"/>
    <col min="22" max="22" width="11.140625" style="820" customWidth="1"/>
    <col min="23" max="23" width="12" style="820" customWidth="1"/>
    <col min="24" max="24" width="11.140625" style="820" customWidth="1"/>
    <col min="25" max="25" width="11" style="820" customWidth="1"/>
    <col min="26" max="27" width="11.42578125" style="820" customWidth="1"/>
    <col min="28" max="28" width="11.7109375" style="820" customWidth="1"/>
    <col min="29" max="29" width="11.140625" style="820" customWidth="1"/>
    <col min="30" max="30" width="8.7109375" style="820" customWidth="1"/>
    <col min="31" max="31" width="8.42578125" style="820" customWidth="1"/>
    <col min="32" max="32" width="8.7109375" style="820" customWidth="1"/>
    <col min="33" max="16384" width="5.85546875" style="820"/>
  </cols>
  <sheetData>
    <row r="1" spans="1:32" ht="12" customHeight="1">
      <c r="A1" s="816">
        <v>99</v>
      </c>
      <c r="B1" s="817">
        <v>2</v>
      </c>
      <c r="C1" s="818">
        <v>1</v>
      </c>
      <c r="D1" s="819"/>
    </row>
    <row r="2" spans="1:32" ht="12" customHeight="1" thickBot="1">
      <c r="A2" s="821">
        <v>30</v>
      </c>
      <c r="B2" s="821">
        <v>1</v>
      </c>
      <c r="C2" s="818">
        <v>99</v>
      </c>
      <c r="E2" s="820" t="str">
        <f ca="1">+CELL("filename",E3)</f>
        <v>P:\Cheng\Tejon\Proformas\[CFTejon8a revised 21 - 750 MW.xls]Template</v>
      </c>
      <c r="H2" s="665"/>
      <c r="I2" s="665"/>
      <c r="J2" s="822"/>
      <c r="K2" s="818"/>
      <c r="L2" s="818"/>
      <c r="M2" s="818"/>
      <c r="N2"/>
      <c r="O2" s="823">
        <f ca="1">+NOW()</f>
        <v>36658.4586494213</v>
      </c>
      <c r="P2" s="824">
        <f ca="1">+NOW()</f>
        <v>36658.4586494213</v>
      </c>
      <c r="Q2" s="818"/>
      <c r="R2" s="818"/>
      <c r="S2"/>
      <c r="U2" s="665"/>
      <c r="V2" s="665"/>
      <c r="W2" s="665"/>
      <c r="X2"/>
      <c r="Y2" s="665"/>
      <c r="Z2" s="665"/>
      <c r="AA2" s="665"/>
      <c r="AB2" s="665"/>
      <c r="AC2"/>
      <c r="AD2" s="665"/>
      <c r="AE2" s="665"/>
      <c r="AF2" s="665"/>
    </row>
    <row r="3" spans="1:32" ht="13.5" customHeight="1" thickTop="1" thickBot="1">
      <c r="A3" s="816">
        <v>6</v>
      </c>
      <c r="B3" s="825" t="s">
        <v>444</v>
      </c>
      <c r="C3" s="826">
        <f ca="1">SUM(E410:AC410)</f>
        <v>0</v>
      </c>
      <c r="E3" s="827">
        <f>+E599</f>
        <v>36891</v>
      </c>
      <c r="F3" s="827">
        <f>+F599</f>
        <v>37256</v>
      </c>
      <c r="G3" s="827">
        <f>+G599</f>
        <v>37621</v>
      </c>
      <c r="H3" s="828">
        <f>+H599</f>
        <v>37802</v>
      </c>
      <c r="I3" s="829">
        <f>+I283</f>
        <v>37986</v>
      </c>
      <c r="J3" s="830">
        <f>+YEAR(J283)</f>
        <v>2004</v>
      </c>
      <c r="K3" s="830">
        <f t="shared" ref="K3:AF3" si="0">+YEAR(K283)</f>
        <v>2005</v>
      </c>
      <c r="L3" s="830">
        <f t="shared" si="0"/>
        <v>2006</v>
      </c>
      <c r="M3" s="830">
        <f t="shared" si="0"/>
        <v>2007</v>
      </c>
      <c r="N3" s="830">
        <f t="shared" si="0"/>
        <v>2008</v>
      </c>
      <c r="O3" s="830">
        <f t="shared" si="0"/>
        <v>2009</v>
      </c>
      <c r="P3" s="830">
        <f t="shared" si="0"/>
        <v>2010</v>
      </c>
      <c r="Q3" s="830">
        <f t="shared" si="0"/>
        <v>2011</v>
      </c>
      <c r="R3" s="830">
        <f t="shared" si="0"/>
        <v>2012</v>
      </c>
      <c r="S3" s="830">
        <f>+YEAR(S283)</f>
        <v>2013</v>
      </c>
      <c r="T3" s="830">
        <f t="shared" si="0"/>
        <v>2014</v>
      </c>
      <c r="U3" s="830">
        <f t="shared" si="0"/>
        <v>2015</v>
      </c>
      <c r="V3" s="830">
        <f t="shared" si="0"/>
        <v>2016</v>
      </c>
      <c r="W3" s="830">
        <f t="shared" si="0"/>
        <v>2017</v>
      </c>
      <c r="X3" s="830">
        <f t="shared" si="0"/>
        <v>2018</v>
      </c>
      <c r="Y3" s="830">
        <f t="shared" si="0"/>
        <v>2019</v>
      </c>
      <c r="Z3" s="830">
        <f t="shared" si="0"/>
        <v>2020</v>
      </c>
      <c r="AA3" s="830">
        <f t="shared" si="0"/>
        <v>2021</v>
      </c>
      <c r="AB3" s="830">
        <f t="shared" si="0"/>
        <v>2022</v>
      </c>
      <c r="AC3" s="830">
        <f t="shared" si="0"/>
        <v>2023</v>
      </c>
      <c r="AD3" s="830">
        <f t="shared" si="0"/>
        <v>2024</v>
      </c>
      <c r="AE3" s="830">
        <f t="shared" si="0"/>
        <v>2025</v>
      </c>
      <c r="AF3" s="830">
        <f t="shared" si="0"/>
        <v>2026</v>
      </c>
    </row>
    <row r="4" spans="1:32" ht="12" thickTop="1">
      <c r="A4" s="831" t="str">
        <f>+Template!A281</f>
        <v>Pastoria Energy Facility</v>
      </c>
      <c r="X4" s="832">
        <f ca="1">+NOW()</f>
        <v>36658.4586494213</v>
      </c>
    </row>
    <row r="5" spans="1:32">
      <c r="A5" s="833" t="str">
        <f>+Template!A282</f>
        <v xml:space="preserve">SCENARIO:    </v>
      </c>
      <c r="C5" s="834" t="str">
        <f>Assumptions!B5</f>
        <v>Henwood</v>
      </c>
      <c r="E5" s="835" t="str">
        <f>+Template!E282</f>
        <v>($ in</v>
      </c>
      <c r="F5" s="836" t="str">
        <f>+Template!F282</f>
        <v>Thousands</v>
      </c>
      <c r="G5" s="837" t="s">
        <v>496</v>
      </c>
      <c r="X5" s="838" t="str">
        <f ca="1">+CELL("filename",C5)</f>
        <v>P:\Cheng\Tejon\Proformas\[CFTejon8a revised 21 - 750 MW.xls]Template</v>
      </c>
    </row>
    <row r="6" spans="1:32" ht="12" thickBot="1">
      <c r="E6" s="925"/>
    </row>
    <row r="7" spans="1:32" ht="12.75" thickTop="1" thickBot="1">
      <c r="A7" s="839"/>
      <c r="B7" s="839"/>
      <c r="C7" s="839"/>
      <c r="D7" s="839"/>
      <c r="E7" s="839"/>
      <c r="F7" s="839"/>
      <c r="G7" s="839"/>
      <c r="H7" s="839"/>
      <c r="I7" s="839"/>
      <c r="J7" s="839"/>
      <c r="K7" s="839"/>
      <c r="L7" s="839"/>
      <c r="M7" s="839"/>
      <c r="N7" s="839"/>
      <c r="O7" s="839"/>
      <c r="P7" s="839"/>
      <c r="Q7" s="839"/>
      <c r="R7" s="839"/>
      <c r="S7" s="839"/>
      <c r="T7" s="839"/>
      <c r="U7" s="839"/>
      <c r="V7" s="839"/>
      <c r="W7" s="839"/>
      <c r="X7" s="839"/>
      <c r="Y7" s="839"/>
      <c r="Z7" s="839"/>
      <c r="AA7" s="839"/>
      <c r="AB7" s="839"/>
      <c r="AC7" s="839"/>
      <c r="AD7" s="839"/>
      <c r="AE7" s="839"/>
      <c r="AF7" s="839"/>
    </row>
    <row r="8" spans="1:32" ht="12.75" thickTop="1" thickBot="1">
      <c r="A8" s="840" t="s">
        <v>497</v>
      </c>
      <c r="B8" s="841"/>
      <c r="C8" s="841"/>
      <c r="D8" s="841" t="s">
        <v>498</v>
      </c>
      <c r="E8" s="841"/>
      <c r="F8" s="841"/>
      <c r="G8" s="841"/>
      <c r="I8" s="842">
        <f t="shared" ref="I8:R8" si="1">+I$3</f>
        <v>37986</v>
      </c>
      <c r="J8" s="843">
        <f t="shared" si="1"/>
        <v>2004</v>
      </c>
      <c r="K8" s="843">
        <f t="shared" si="1"/>
        <v>2005</v>
      </c>
      <c r="L8" s="843">
        <f t="shared" si="1"/>
        <v>2006</v>
      </c>
      <c r="M8" s="843">
        <f t="shared" si="1"/>
        <v>2007</v>
      </c>
      <c r="N8" s="843">
        <f t="shared" si="1"/>
        <v>2008</v>
      </c>
      <c r="O8" s="843">
        <f t="shared" si="1"/>
        <v>2009</v>
      </c>
      <c r="P8" s="843">
        <f t="shared" si="1"/>
        <v>2010</v>
      </c>
      <c r="Q8" s="843">
        <f t="shared" si="1"/>
        <v>2011</v>
      </c>
      <c r="R8" s="843">
        <f t="shared" si="1"/>
        <v>2012</v>
      </c>
      <c r="S8" s="843">
        <f t="shared" ref="S8:AF8" si="2">+S$3</f>
        <v>2013</v>
      </c>
      <c r="T8" s="843">
        <f t="shared" si="2"/>
        <v>2014</v>
      </c>
      <c r="U8" s="843">
        <f t="shared" si="2"/>
        <v>2015</v>
      </c>
      <c r="V8" s="843">
        <f t="shared" si="2"/>
        <v>2016</v>
      </c>
      <c r="W8" s="843">
        <f t="shared" si="2"/>
        <v>2017</v>
      </c>
      <c r="X8" s="843">
        <f t="shared" si="2"/>
        <v>2018</v>
      </c>
      <c r="Y8" s="843">
        <f t="shared" si="2"/>
        <v>2019</v>
      </c>
      <c r="Z8" s="843">
        <f t="shared" si="2"/>
        <v>2020</v>
      </c>
      <c r="AA8" s="843">
        <f t="shared" si="2"/>
        <v>2021</v>
      </c>
      <c r="AB8" s="843">
        <f t="shared" si="2"/>
        <v>2022</v>
      </c>
      <c r="AC8" s="843">
        <f t="shared" si="2"/>
        <v>2023</v>
      </c>
      <c r="AD8" s="843">
        <f t="shared" si="2"/>
        <v>2024</v>
      </c>
      <c r="AE8" s="843">
        <f t="shared" si="2"/>
        <v>2025</v>
      </c>
      <c r="AF8" s="843">
        <f t="shared" si="2"/>
        <v>2026</v>
      </c>
    </row>
    <row r="9" spans="1:32" ht="12" thickTop="1">
      <c r="A9" s="844" t="s">
        <v>499</v>
      </c>
      <c r="B9" s="841"/>
      <c r="C9" s="841"/>
      <c r="D9" s="845" t="s">
        <v>500</v>
      </c>
      <c r="E9" s="841"/>
      <c r="F9" s="841"/>
      <c r="G9" s="841"/>
      <c r="I9" s="841"/>
      <c r="J9" s="841"/>
      <c r="K9" s="841"/>
      <c r="L9" s="841"/>
      <c r="M9" s="841"/>
      <c r="N9" s="841"/>
      <c r="O9" s="841"/>
      <c r="P9" s="841"/>
      <c r="Q9" s="841"/>
      <c r="R9" s="841"/>
      <c r="S9" s="841"/>
      <c r="T9" s="841"/>
      <c r="U9" s="841"/>
      <c r="V9" s="841"/>
      <c r="W9" s="841"/>
      <c r="X9" s="841"/>
      <c r="Y9" s="841"/>
      <c r="Z9" s="841"/>
      <c r="AA9" s="841"/>
      <c r="AB9" s="841"/>
      <c r="AC9" s="841"/>
      <c r="AD9" s="841"/>
      <c r="AE9" s="841"/>
      <c r="AF9" s="841"/>
    </row>
    <row r="10" spans="1:32">
      <c r="A10" s="841"/>
      <c r="B10" s="831" t="s">
        <v>501</v>
      </c>
      <c r="C10" s="846" t="s">
        <v>435</v>
      </c>
      <c r="D10" s="847">
        <f t="shared" ref="D10:D19" ca="1" si="3">SUM(I10:AC10)</f>
        <v>479637.11633199977</v>
      </c>
      <c r="E10" s="847"/>
      <c r="F10" s="847"/>
      <c r="G10" s="847"/>
      <c r="H10" s="848"/>
      <c r="I10" s="849">
        <f ca="1">Assumptions!$H$54+Debt!C8</f>
        <v>479637.11633199977</v>
      </c>
      <c r="J10" s="849">
        <f>+Debt!D8</f>
        <v>0</v>
      </c>
      <c r="K10" s="1449">
        <f>+Debt!E8</f>
        <v>0</v>
      </c>
      <c r="L10" s="1449">
        <f>+Debt!F8</f>
        <v>0</v>
      </c>
      <c r="M10" s="1449">
        <f>+Debt!G8</f>
        <v>0</v>
      </c>
      <c r="N10" s="1449">
        <f>+Debt!H8</f>
        <v>0</v>
      </c>
      <c r="O10" s="1449">
        <f>+Debt!I8</f>
        <v>0</v>
      </c>
      <c r="P10" s="1449">
        <f>+Debt!J8</f>
        <v>0</v>
      </c>
      <c r="Q10" s="1449">
        <f>+Debt!K8</f>
        <v>0</v>
      </c>
      <c r="R10" s="1449">
        <f>+Debt!L8</f>
        <v>0</v>
      </c>
      <c r="S10" s="1449">
        <f>+Debt!M8</f>
        <v>0</v>
      </c>
      <c r="T10" s="1449">
        <f>+Debt!N8</f>
        <v>0</v>
      </c>
      <c r="U10" s="1449">
        <f>+Debt!O8</f>
        <v>0</v>
      </c>
      <c r="V10" s="1449">
        <f>+Debt!P8</f>
        <v>0</v>
      </c>
      <c r="W10" s="1449">
        <f>+Debt!Q8</f>
        <v>0</v>
      </c>
      <c r="X10" s="1449">
        <f>+Debt!R8</f>
        <v>0</v>
      </c>
      <c r="Y10" s="1449">
        <f>+Debt!S8</f>
        <v>0</v>
      </c>
      <c r="Z10" s="1449">
        <f>+Debt!T8</f>
        <v>0</v>
      </c>
      <c r="AA10" s="1449">
        <f>+Debt!U8</f>
        <v>0</v>
      </c>
      <c r="AB10" s="1449">
        <f>+Debt!V8</f>
        <v>0</v>
      </c>
      <c r="AC10" s="1449">
        <f>+Debt!W8</f>
        <v>0</v>
      </c>
      <c r="AD10" s="1449">
        <f>+Debt!X8</f>
        <v>0</v>
      </c>
      <c r="AE10" s="1449">
        <f>+Debt!Y8</f>
        <v>0</v>
      </c>
      <c r="AF10" s="1449">
        <f>+Debt!Z8</f>
        <v>0</v>
      </c>
    </row>
    <row r="11" spans="1:32">
      <c r="A11" s="841"/>
      <c r="B11" s="831"/>
      <c r="C11" s="846" t="s">
        <v>502</v>
      </c>
      <c r="D11" s="847">
        <f t="shared" si="3"/>
        <v>0</v>
      </c>
      <c r="E11" s="847"/>
      <c r="F11" s="847"/>
      <c r="G11" s="847"/>
      <c r="H11" s="848"/>
      <c r="I11" s="849">
        <v>0</v>
      </c>
      <c r="J11" s="849">
        <v>0</v>
      </c>
      <c r="K11" s="849">
        <f>+Debt!E7</f>
        <v>0</v>
      </c>
      <c r="L11" s="849">
        <v>0</v>
      </c>
      <c r="M11" s="849">
        <v>0</v>
      </c>
      <c r="N11" s="849">
        <v>0</v>
      </c>
      <c r="O11" s="849">
        <v>0</v>
      </c>
      <c r="P11" s="849">
        <v>0</v>
      </c>
      <c r="Q11" s="849">
        <v>0</v>
      </c>
      <c r="R11" s="849">
        <v>0</v>
      </c>
      <c r="S11" s="849">
        <v>0</v>
      </c>
      <c r="T11" s="849">
        <v>0</v>
      </c>
      <c r="U11" s="849">
        <v>0</v>
      </c>
      <c r="V11" s="849">
        <v>0</v>
      </c>
      <c r="W11" s="849">
        <v>0</v>
      </c>
      <c r="X11" s="849">
        <v>0</v>
      </c>
      <c r="Y11" s="849">
        <v>0</v>
      </c>
      <c r="Z11" s="849">
        <v>0</v>
      </c>
      <c r="AA11" s="849">
        <v>0</v>
      </c>
      <c r="AB11" s="849">
        <v>0</v>
      </c>
      <c r="AC11" s="849">
        <v>0</v>
      </c>
      <c r="AD11" s="849">
        <v>0</v>
      </c>
      <c r="AE11" s="849">
        <v>0</v>
      </c>
      <c r="AF11" s="849">
        <v>0</v>
      </c>
    </row>
    <row r="12" spans="1:32" hidden="1" outlineLevel="1">
      <c r="A12" s="841"/>
      <c r="C12" s="850" t="s">
        <v>503</v>
      </c>
      <c r="D12" s="847">
        <f t="shared" si="3"/>
        <v>0</v>
      </c>
      <c r="E12" s="847"/>
      <c r="F12" s="847"/>
      <c r="G12" s="847"/>
      <c r="H12" s="848"/>
      <c r="I12" s="849">
        <v>0</v>
      </c>
      <c r="J12" s="849">
        <v>0</v>
      </c>
      <c r="K12" s="849">
        <v>0</v>
      </c>
      <c r="L12" s="849">
        <v>0</v>
      </c>
      <c r="M12" s="849">
        <v>0</v>
      </c>
      <c r="N12" s="849">
        <v>0</v>
      </c>
      <c r="O12" s="849">
        <v>0</v>
      </c>
      <c r="P12" s="849">
        <v>0</v>
      </c>
      <c r="Q12" s="849">
        <v>0</v>
      </c>
      <c r="R12" s="849">
        <v>0</v>
      </c>
      <c r="S12" s="849">
        <v>0</v>
      </c>
      <c r="T12" s="849">
        <v>0</v>
      </c>
      <c r="U12" s="849">
        <v>0</v>
      </c>
      <c r="V12" s="849">
        <v>0</v>
      </c>
      <c r="W12" s="849">
        <v>0</v>
      </c>
      <c r="X12" s="849">
        <v>0</v>
      </c>
      <c r="Y12" s="849">
        <v>0</v>
      </c>
      <c r="Z12" s="849">
        <v>0</v>
      </c>
      <c r="AA12" s="849">
        <v>0</v>
      </c>
      <c r="AB12" s="849">
        <v>0</v>
      </c>
      <c r="AC12" s="849">
        <v>0</v>
      </c>
      <c r="AD12" s="849">
        <v>0</v>
      </c>
      <c r="AE12" s="849">
        <v>0</v>
      </c>
      <c r="AF12" s="849">
        <v>0</v>
      </c>
    </row>
    <row r="13" spans="1:32" hidden="1" outlineLevel="1">
      <c r="A13" s="841"/>
      <c r="C13" s="850" t="s">
        <v>504</v>
      </c>
      <c r="D13" s="847">
        <f t="shared" si="3"/>
        <v>0</v>
      </c>
      <c r="E13" s="847"/>
      <c r="F13" s="847"/>
      <c r="G13" s="847"/>
      <c r="H13" s="848"/>
      <c r="I13" s="849">
        <v>0</v>
      </c>
      <c r="J13" s="849">
        <v>0</v>
      </c>
      <c r="K13" s="849">
        <v>0</v>
      </c>
      <c r="L13" s="849">
        <v>0</v>
      </c>
      <c r="M13" s="849">
        <v>0</v>
      </c>
      <c r="N13" s="849">
        <v>0</v>
      </c>
      <c r="O13" s="849">
        <v>0</v>
      </c>
      <c r="P13" s="849">
        <v>0</v>
      </c>
      <c r="Q13" s="849">
        <v>0</v>
      </c>
      <c r="R13" s="849">
        <v>0</v>
      </c>
      <c r="S13" s="849">
        <v>0</v>
      </c>
      <c r="T13" s="849">
        <v>0</v>
      </c>
      <c r="U13" s="849">
        <v>0</v>
      </c>
      <c r="V13" s="849">
        <v>0</v>
      </c>
      <c r="W13" s="849">
        <v>0</v>
      </c>
      <c r="X13" s="849">
        <v>0</v>
      </c>
      <c r="Y13" s="849">
        <v>0</v>
      </c>
      <c r="Z13" s="849">
        <v>0</v>
      </c>
      <c r="AA13" s="849">
        <v>0</v>
      </c>
      <c r="AB13" s="849">
        <v>0</v>
      </c>
      <c r="AC13" s="849">
        <v>0</v>
      </c>
      <c r="AD13" s="849">
        <v>0</v>
      </c>
      <c r="AE13" s="849">
        <v>0</v>
      </c>
      <c r="AF13" s="849">
        <v>0</v>
      </c>
    </row>
    <row r="14" spans="1:32" hidden="1" outlineLevel="1">
      <c r="A14" s="841"/>
      <c r="C14" s="850" t="s">
        <v>505</v>
      </c>
      <c r="D14" s="851">
        <f t="shared" si="3"/>
        <v>0</v>
      </c>
      <c r="E14" s="847"/>
      <c r="F14" s="847"/>
      <c r="G14" s="847"/>
      <c r="H14" s="848"/>
      <c r="I14" s="849">
        <v>0</v>
      </c>
      <c r="J14" s="849">
        <v>0</v>
      </c>
      <c r="K14" s="849">
        <v>0</v>
      </c>
      <c r="L14" s="849">
        <v>0</v>
      </c>
      <c r="M14" s="849">
        <v>0</v>
      </c>
      <c r="N14" s="849">
        <v>0</v>
      </c>
      <c r="O14" s="849">
        <v>0</v>
      </c>
      <c r="P14" s="849">
        <v>0</v>
      </c>
      <c r="Q14" s="849">
        <v>0</v>
      </c>
      <c r="R14" s="849">
        <v>0</v>
      </c>
      <c r="S14" s="849">
        <v>0</v>
      </c>
      <c r="T14" s="849">
        <v>0</v>
      </c>
      <c r="U14" s="849">
        <v>0</v>
      </c>
      <c r="V14" s="849">
        <v>0</v>
      </c>
      <c r="W14" s="849">
        <v>0</v>
      </c>
      <c r="X14" s="849">
        <v>0</v>
      </c>
      <c r="Y14" s="849">
        <v>0</v>
      </c>
      <c r="Z14" s="849">
        <v>0</v>
      </c>
      <c r="AA14" s="849">
        <v>0</v>
      </c>
      <c r="AB14" s="849">
        <v>0</v>
      </c>
      <c r="AC14" s="849">
        <v>0</v>
      </c>
      <c r="AD14" s="849">
        <v>0</v>
      </c>
      <c r="AE14" s="849">
        <v>0</v>
      </c>
      <c r="AF14" s="849">
        <v>0</v>
      </c>
    </row>
    <row r="15" spans="1:32" hidden="1" outlineLevel="1">
      <c r="A15" s="841"/>
      <c r="C15" s="850" t="s">
        <v>506</v>
      </c>
      <c r="D15" s="851">
        <f t="shared" si="3"/>
        <v>0</v>
      </c>
      <c r="E15" s="847"/>
      <c r="F15" s="847"/>
      <c r="G15" s="847"/>
      <c r="H15" s="848"/>
      <c r="I15" s="849">
        <v>0</v>
      </c>
      <c r="J15" s="849">
        <v>0</v>
      </c>
      <c r="K15" s="849">
        <v>0</v>
      </c>
      <c r="L15" s="849">
        <v>0</v>
      </c>
      <c r="M15" s="849">
        <v>0</v>
      </c>
      <c r="N15" s="849">
        <v>0</v>
      </c>
      <c r="O15" s="849">
        <v>0</v>
      </c>
      <c r="P15" s="849">
        <v>0</v>
      </c>
      <c r="Q15" s="849">
        <v>0</v>
      </c>
      <c r="R15" s="849">
        <v>0</v>
      </c>
      <c r="S15" s="849">
        <v>0</v>
      </c>
      <c r="T15" s="849">
        <v>0</v>
      </c>
      <c r="U15" s="849">
        <v>0</v>
      </c>
      <c r="V15" s="849">
        <v>0</v>
      </c>
      <c r="W15" s="849">
        <v>0</v>
      </c>
      <c r="X15" s="849">
        <v>0</v>
      </c>
      <c r="Y15" s="849">
        <v>0</v>
      </c>
      <c r="Z15" s="849">
        <v>0</v>
      </c>
      <c r="AA15" s="849">
        <v>0</v>
      </c>
      <c r="AB15" s="849">
        <v>0</v>
      </c>
      <c r="AC15" s="849">
        <v>0</v>
      </c>
      <c r="AD15" s="849">
        <v>0</v>
      </c>
      <c r="AE15" s="849">
        <v>0</v>
      </c>
      <c r="AF15" s="849">
        <v>0</v>
      </c>
    </row>
    <row r="16" spans="1:32" hidden="1" outlineLevel="1">
      <c r="A16" s="841"/>
      <c r="C16" s="850" t="s">
        <v>507</v>
      </c>
      <c r="D16" s="851">
        <f t="shared" si="3"/>
        <v>0</v>
      </c>
      <c r="E16" s="847"/>
      <c r="F16" s="847"/>
      <c r="G16" s="847"/>
      <c r="H16" s="848"/>
      <c r="I16" s="849">
        <v>0</v>
      </c>
      <c r="J16" s="849">
        <v>0</v>
      </c>
      <c r="K16" s="849">
        <v>0</v>
      </c>
      <c r="L16" s="849">
        <v>0</v>
      </c>
      <c r="M16" s="849">
        <v>0</v>
      </c>
      <c r="N16" s="849">
        <v>0</v>
      </c>
      <c r="O16" s="849">
        <v>0</v>
      </c>
      <c r="P16" s="849">
        <v>0</v>
      </c>
      <c r="Q16" s="849">
        <v>0</v>
      </c>
      <c r="R16" s="849">
        <v>0</v>
      </c>
      <c r="S16" s="849">
        <v>0</v>
      </c>
      <c r="T16" s="849">
        <v>0</v>
      </c>
      <c r="U16" s="849">
        <v>0</v>
      </c>
      <c r="V16" s="849">
        <v>0</v>
      </c>
      <c r="W16" s="849">
        <v>0</v>
      </c>
      <c r="X16" s="849">
        <v>0</v>
      </c>
      <c r="Y16" s="849">
        <v>0</v>
      </c>
      <c r="Z16" s="849">
        <v>0</v>
      </c>
      <c r="AA16" s="849">
        <v>0</v>
      </c>
      <c r="AB16" s="849">
        <v>0</v>
      </c>
      <c r="AC16" s="849">
        <v>0</v>
      </c>
      <c r="AD16" s="849">
        <v>0</v>
      </c>
      <c r="AE16" s="849">
        <v>0</v>
      </c>
      <c r="AF16" s="849">
        <v>0</v>
      </c>
    </row>
    <row r="17" spans="1:32" hidden="1" outlineLevel="1">
      <c r="A17" s="841"/>
      <c r="C17" s="850" t="s">
        <v>508</v>
      </c>
      <c r="D17" s="851">
        <f t="shared" si="3"/>
        <v>0</v>
      </c>
      <c r="E17" s="847"/>
      <c r="F17" s="847"/>
      <c r="G17" s="847"/>
      <c r="H17" s="848"/>
      <c r="I17" s="849">
        <v>0</v>
      </c>
      <c r="J17" s="849">
        <v>0</v>
      </c>
      <c r="K17" s="849">
        <v>0</v>
      </c>
      <c r="L17" s="849">
        <v>0</v>
      </c>
      <c r="M17" s="849">
        <v>0</v>
      </c>
      <c r="N17" s="849">
        <v>0</v>
      </c>
      <c r="O17" s="849">
        <v>0</v>
      </c>
      <c r="P17" s="849">
        <v>0</v>
      </c>
      <c r="Q17" s="849">
        <v>0</v>
      </c>
      <c r="R17" s="849">
        <v>0</v>
      </c>
      <c r="S17" s="849">
        <v>0</v>
      </c>
      <c r="T17" s="849">
        <v>0</v>
      </c>
      <c r="U17" s="849">
        <v>0</v>
      </c>
      <c r="V17" s="849">
        <v>0</v>
      </c>
      <c r="W17" s="849">
        <v>0</v>
      </c>
      <c r="X17" s="849">
        <v>0</v>
      </c>
      <c r="Y17" s="849">
        <v>0</v>
      </c>
      <c r="Z17" s="849">
        <v>0</v>
      </c>
      <c r="AA17" s="849">
        <v>0</v>
      </c>
      <c r="AB17" s="849">
        <v>0</v>
      </c>
      <c r="AC17" s="849">
        <v>0</v>
      </c>
      <c r="AD17" s="849">
        <v>0</v>
      </c>
      <c r="AE17" s="849">
        <v>0</v>
      </c>
      <c r="AF17" s="849">
        <v>0</v>
      </c>
    </row>
    <row r="18" spans="1:32" hidden="1" outlineLevel="1">
      <c r="A18" s="841"/>
      <c r="C18" s="850" t="s">
        <v>509</v>
      </c>
      <c r="D18" s="851">
        <f t="shared" si="3"/>
        <v>0</v>
      </c>
      <c r="E18" s="847"/>
      <c r="F18" s="847"/>
      <c r="G18" s="847"/>
      <c r="H18" s="848"/>
      <c r="I18" s="849">
        <v>0</v>
      </c>
      <c r="J18" s="849">
        <v>0</v>
      </c>
      <c r="K18" s="849">
        <v>0</v>
      </c>
      <c r="L18" s="849">
        <v>0</v>
      </c>
      <c r="M18" s="849">
        <v>0</v>
      </c>
      <c r="N18" s="849">
        <v>0</v>
      </c>
      <c r="O18" s="849">
        <v>0</v>
      </c>
      <c r="P18" s="849">
        <v>0</v>
      </c>
      <c r="Q18" s="849">
        <v>0</v>
      </c>
      <c r="R18" s="849">
        <v>0</v>
      </c>
      <c r="S18" s="849">
        <v>0</v>
      </c>
      <c r="T18" s="849">
        <v>0</v>
      </c>
      <c r="U18" s="849">
        <v>0</v>
      </c>
      <c r="V18" s="849">
        <v>0</v>
      </c>
      <c r="W18" s="849">
        <v>0</v>
      </c>
      <c r="X18" s="849">
        <v>0</v>
      </c>
      <c r="Y18" s="849">
        <v>0</v>
      </c>
      <c r="Z18" s="849">
        <v>0</v>
      </c>
      <c r="AA18" s="849">
        <v>0</v>
      </c>
      <c r="AB18" s="849">
        <v>0</v>
      </c>
      <c r="AC18" s="849">
        <v>0</v>
      </c>
      <c r="AD18" s="849">
        <v>0</v>
      </c>
      <c r="AE18" s="849">
        <v>0</v>
      </c>
      <c r="AF18" s="849">
        <v>0</v>
      </c>
    </row>
    <row r="19" spans="1:32" hidden="1" outlineLevel="1">
      <c r="A19" s="841"/>
      <c r="C19" s="850" t="s">
        <v>510</v>
      </c>
      <c r="D19" s="852">
        <f t="shared" si="3"/>
        <v>0</v>
      </c>
      <c r="E19" s="847"/>
      <c r="F19" s="847"/>
      <c r="G19" s="847"/>
      <c r="H19" s="848"/>
      <c r="I19" s="853">
        <v>0</v>
      </c>
      <c r="J19" s="853">
        <v>0</v>
      </c>
      <c r="K19" s="853">
        <v>0</v>
      </c>
      <c r="L19" s="853">
        <v>0</v>
      </c>
      <c r="M19" s="853">
        <v>0</v>
      </c>
      <c r="N19" s="853">
        <v>0</v>
      </c>
      <c r="O19" s="853">
        <v>0</v>
      </c>
      <c r="P19" s="853">
        <v>0</v>
      </c>
      <c r="Q19" s="853">
        <v>0</v>
      </c>
      <c r="R19" s="853">
        <v>0</v>
      </c>
      <c r="S19" s="853">
        <v>0</v>
      </c>
      <c r="T19" s="853">
        <v>0</v>
      </c>
      <c r="U19" s="853">
        <v>0</v>
      </c>
      <c r="V19" s="853">
        <v>0</v>
      </c>
      <c r="W19" s="853">
        <v>0</v>
      </c>
      <c r="X19" s="853">
        <v>0</v>
      </c>
      <c r="Y19" s="853">
        <v>0</v>
      </c>
      <c r="Z19" s="853">
        <v>0</v>
      </c>
      <c r="AA19" s="853">
        <v>0</v>
      </c>
      <c r="AB19" s="853">
        <v>0</v>
      </c>
      <c r="AC19" s="853">
        <v>0</v>
      </c>
      <c r="AD19" s="853">
        <v>0</v>
      </c>
      <c r="AE19" s="853">
        <v>0</v>
      </c>
      <c r="AF19" s="853">
        <v>0</v>
      </c>
    </row>
    <row r="20" spans="1:32" collapsed="1">
      <c r="A20" s="841"/>
      <c r="C20" s="854" t="s">
        <v>511</v>
      </c>
      <c r="D20" s="847">
        <f ca="1">SUM(D10:D19)</f>
        <v>479637.11633199977</v>
      </c>
      <c r="E20" s="849">
        <v>0</v>
      </c>
      <c r="F20" s="849">
        <v>0</v>
      </c>
      <c r="G20" s="849">
        <v>0</v>
      </c>
      <c r="H20" s="855">
        <v>0</v>
      </c>
      <c r="I20" s="847">
        <f t="shared" ref="I20:R20" ca="1" si="4">SUM(I10:I19)</f>
        <v>479637.11633199977</v>
      </c>
      <c r="J20" s="847">
        <f t="shared" si="4"/>
        <v>0</v>
      </c>
      <c r="K20" s="847">
        <f t="shared" si="4"/>
        <v>0</v>
      </c>
      <c r="L20" s="847">
        <f t="shared" si="4"/>
        <v>0</v>
      </c>
      <c r="M20" s="847">
        <f t="shared" si="4"/>
        <v>0</v>
      </c>
      <c r="N20" s="847">
        <f t="shared" si="4"/>
        <v>0</v>
      </c>
      <c r="O20" s="847">
        <f t="shared" si="4"/>
        <v>0</v>
      </c>
      <c r="P20" s="847">
        <f t="shared" si="4"/>
        <v>0</v>
      </c>
      <c r="Q20" s="847">
        <f t="shared" si="4"/>
        <v>0</v>
      </c>
      <c r="R20" s="847">
        <f t="shared" si="4"/>
        <v>0</v>
      </c>
      <c r="S20" s="847">
        <f t="shared" ref="S20:AC20" si="5">SUM(S10:S19)</f>
        <v>0</v>
      </c>
      <c r="T20" s="847">
        <f t="shared" si="5"/>
        <v>0</v>
      </c>
      <c r="U20" s="847">
        <f t="shared" si="5"/>
        <v>0</v>
      </c>
      <c r="V20" s="847">
        <f t="shared" si="5"/>
        <v>0</v>
      </c>
      <c r="W20" s="847">
        <f t="shared" si="5"/>
        <v>0</v>
      </c>
      <c r="X20" s="847">
        <f t="shared" si="5"/>
        <v>0</v>
      </c>
      <c r="Y20" s="847">
        <f t="shared" si="5"/>
        <v>0</v>
      </c>
      <c r="Z20" s="847">
        <f t="shared" si="5"/>
        <v>0</v>
      </c>
      <c r="AA20" s="847">
        <f t="shared" si="5"/>
        <v>0</v>
      </c>
      <c r="AB20" s="847">
        <f t="shared" si="5"/>
        <v>0</v>
      </c>
      <c r="AC20" s="847">
        <f t="shared" si="5"/>
        <v>0</v>
      </c>
      <c r="AD20" s="847">
        <f>SUM(AD10:AD19)</f>
        <v>0</v>
      </c>
      <c r="AE20" s="847">
        <f>SUM(AE10:AE19)</f>
        <v>0</v>
      </c>
      <c r="AF20" s="847">
        <f>SUM(AF10:AF19)</f>
        <v>0</v>
      </c>
    </row>
    <row r="21" spans="1:32">
      <c r="A21" s="841"/>
      <c r="C21" s="856"/>
      <c r="D21" s="847"/>
      <c r="E21" s="847"/>
      <c r="F21" s="847"/>
      <c r="G21" s="847"/>
      <c r="H21" s="848"/>
      <c r="I21" s="847"/>
      <c r="J21" s="847"/>
      <c r="K21" s="847"/>
      <c r="L21" s="847"/>
      <c r="M21" s="847"/>
      <c r="N21" s="847"/>
      <c r="O21" s="847"/>
      <c r="P21" s="847"/>
      <c r="Q21" s="847"/>
      <c r="R21" s="847"/>
      <c r="S21" s="847"/>
      <c r="T21" s="847"/>
      <c r="U21" s="847"/>
      <c r="V21" s="847"/>
      <c r="W21" s="847"/>
      <c r="X21" s="847"/>
      <c r="Y21" s="847"/>
      <c r="Z21" s="847"/>
      <c r="AA21" s="847"/>
      <c r="AB21" s="847"/>
      <c r="AC21" s="847"/>
      <c r="AD21" s="847"/>
      <c r="AE21" s="847"/>
      <c r="AF21" s="847"/>
    </row>
    <row r="22" spans="1:32">
      <c r="A22" s="857" t="s">
        <v>512</v>
      </c>
      <c r="C22" s="856"/>
      <c r="D22" s="847"/>
      <c r="E22" s="847"/>
      <c r="F22" s="847"/>
      <c r="G22" s="847"/>
      <c r="H22" s="848"/>
      <c r="I22" s="847"/>
      <c r="J22" s="847"/>
      <c r="K22" s="847"/>
      <c r="L22" s="847"/>
      <c r="M22" s="847"/>
      <c r="N22" s="847"/>
      <c r="O22" s="847"/>
      <c r="P22" s="847"/>
      <c r="Q22" s="847"/>
      <c r="R22" s="847"/>
      <c r="S22" s="847"/>
      <c r="T22" s="847"/>
      <c r="U22" s="847"/>
      <c r="V22" s="847"/>
      <c r="W22" s="847"/>
      <c r="X22" s="847"/>
      <c r="Y22" s="847"/>
      <c r="Z22" s="847"/>
      <c r="AA22" s="847"/>
      <c r="AB22" s="847"/>
      <c r="AC22" s="847"/>
      <c r="AD22" s="847"/>
      <c r="AE22" s="847"/>
      <c r="AF22" s="847"/>
    </row>
    <row r="23" spans="1:32">
      <c r="A23" s="665"/>
      <c r="B23" s="665"/>
      <c r="C23" s="850" t="s">
        <v>513</v>
      </c>
      <c r="D23" s="847">
        <f ca="1">SUM(I23:AC23)</f>
        <v>48563.258028614982</v>
      </c>
      <c r="E23" s="847"/>
      <c r="F23" s="847"/>
      <c r="G23" s="847"/>
      <c r="H23" s="848"/>
      <c r="I23" s="849">
        <f ca="1">Debt!H22</f>
        <v>48563.258028614982</v>
      </c>
      <c r="J23" s="849">
        <v>0</v>
      </c>
      <c r="K23" s="849">
        <v>0</v>
      </c>
      <c r="L23" s="849">
        <v>0</v>
      </c>
      <c r="M23" s="849">
        <v>0</v>
      </c>
      <c r="N23" s="849">
        <v>0</v>
      </c>
      <c r="O23" s="849">
        <v>0</v>
      </c>
      <c r="P23" s="849">
        <v>0</v>
      </c>
      <c r="Q23" s="849">
        <v>0</v>
      </c>
      <c r="R23" s="849">
        <v>0</v>
      </c>
      <c r="S23" s="849">
        <v>0</v>
      </c>
      <c r="T23" s="849">
        <v>0</v>
      </c>
      <c r="U23" s="849">
        <v>0</v>
      </c>
      <c r="V23" s="849">
        <v>0</v>
      </c>
      <c r="W23" s="849">
        <v>0</v>
      </c>
      <c r="X23" s="849">
        <v>0</v>
      </c>
      <c r="Y23" s="849">
        <v>0</v>
      </c>
      <c r="Z23" s="849">
        <v>0</v>
      </c>
      <c r="AA23" s="849">
        <v>0</v>
      </c>
      <c r="AB23" s="849">
        <v>0</v>
      </c>
      <c r="AC23" s="849">
        <v>0</v>
      </c>
      <c r="AD23" s="849">
        <v>0</v>
      </c>
      <c r="AE23" s="849">
        <v>0</v>
      </c>
      <c r="AF23" s="849">
        <v>0</v>
      </c>
    </row>
    <row r="24" spans="1:32" hidden="1" outlineLevel="1">
      <c r="A24" s="858" t="s">
        <v>514</v>
      </c>
      <c r="B24" s="859">
        <v>0.13</v>
      </c>
      <c r="C24" s="860" t="s">
        <v>515</v>
      </c>
      <c r="D24" s="852">
        <f>SUM(I24:AC24)</f>
        <v>0</v>
      </c>
      <c r="E24" s="847"/>
      <c r="F24" s="847"/>
      <c r="G24" s="847"/>
      <c r="H24" s="848"/>
      <c r="I24" s="853">
        <v>0</v>
      </c>
      <c r="J24" s="853">
        <v>0</v>
      </c>
      <c r="K24" s="853">
        <v>0</v>
      </c>
      <c r="L24" s="853">
        <v>0</v>
      </c>
      <c r="M24" s="853">
        <v>0</v>
      </c>
      <c r="N24" s="853">
        <v>0</v>
      </c>
      <c r="O24" s="853">
        <v>0</v>
      </c>
      <c r="P24" s="853">
        <v>0</v>
      </c>
      <c r="Q24" s="853">
        <v>0</v>
      </c>
      <c r="R24" s="853">
        <v>0</v>
      </c>
      <c r="S24" s="853">
        <v>0</v>
      </c>
      <c r="T24" s="853">
        <v>0</v>
      </c>
      <c r="U24" s="853">
        <v>0</v>
      </c>
      <c r="V24" s="853">
        <v>0</v>
      </c>
      <c r="W24" s="853">
        <v>0</v>
      </c>
      <c r="X24" s="853">
        <v>0</v>
      </c>
      <c r="Y24" s="853">
        <v>0</v>
      </c>
      <c r="Z24" s="853">
        <v>0</v>
      </c>
      <c r="AA24" s="853">
        <v>0</v>
      </c>
      <c r="AB24" s="853">
        <v>0</v>
      </c>
      <c r="AC24" s="853">
        <v>0</v>
      </c>
      <c r="AD24" s="853">
        <v>0</v>
      </c>
      <c r="AE24" s="853">
        <v>0</v>
      </c>
      <c r="AF24" s="853">
        <v>0</v>
      </c>
    </row>
    <row r="25" spans="1:32" collapsed="1">
      <c r="A25" s="861"/>
      <c r="C25" s="856" t="s">
        <v>516</v>
      </c>
      <c r="D25" s="851">
        <f ca="1">SUM(D23:D24)</f>
        <v>48563.258028614982</v>
      </c>
      <c r="E25" s="849">
        <v>0</v>
      </c>
      <c r="F25" s="849">
        <v>0</v>
      </c>
      <c r="G25" s="849">
        <v>0</v>
      </c>
      <c r="H25" s="855">
        <v>0</v>
      </c>
      <c r="I25" s="851">
        <f t="shared" ref="I25:AC25" ca="1" si="6">SUM(I23:I24)</f>
        <v>48563.258028614982</v>
      </c>
      <c r="J25" s="851">
        <f t="shared" si="6"/>
        <v>0</v>
      </c>
      <c r="K25" s="851">
        <f t="shared" si="6"/>
        <v>0</v>
      </c>
      <c r="L25" s="851">
        <f t="shared" si="6"/>
        <v>0</v>
      </c>
      <c r="M25" s="851">
        <f t="shared" si="6"/>
        <v>0</v>
      </c>
      <c r="N25" s="851">
        <f t="shared" si="6"/>
        <v>0</v>
      </c>
      <c r="O25" s="851">
        <f t="shared" si="6"/>
        <v>0</v>
      </c>
      <c r="P25" s="851">
        <f t="shared" si="6"/>
        <v>0</v>
      </c>
      <c r="Q25" s="851">
        <f t="shared" si="6"/>
        <v>0</v>
      </c>
      <c r="R25" s="851">
        <f t="shared" si="6"/>
        <v>0</v>
      </c>
      <c r="S25" s="851">
        <f t="shared" si="6"/>
        <v>0</v>
      </c>
      <c r="T25" s="851">
        <f t="shared" si="6"/>
        <v>0</v>
      </c>
      <c r="U25" s="851">
        <f t="shared" si="6"/>
        <v>0</v>
      </c>
      <c r="V25" s="851">
        <f t="shared" si="6"/>
        <v>0</v>
      </c>
      <c r="W25" s="851">
        <f t="shared" si="6"/>
        <v>0</v>
      </c>
      <c r="X25" s="851">
        <f t="shared" si="6"/>
        <v>0</v>
      </c>
      <c r="Y25" s="851">
        <f t="shared" si="6"/>
        <v>0</v>
      </c>
      <c r="Z25" s="851">
        <f t="shared" si="6"/>
        <v>0</v>
      </c>
      <c r="AA25" s="851">
        <f t="shared" si="6"/>
        <v>0</v>
      </c>
      <c r="AB25" s="851">
        <f t="shared" si="6"/>
        <v>0</v>
      </c>
      <c r="AC25" s="851">
        <f t="shared" si="6"/>
        <v>0</v>
      </c>
      <c r="AD25" s="851">
        <f>SUM(AD23:AD24)</f>
        <v>0</v>
      </c>
      <c r="AE25" s="851">
        <f>SUM(AE23:AE24)</f>
        <v>0</v>
      </c>
      <c r="AF25" s="851">
        <f>SUM(AF23:AF24)</f>
        <v>0</v>
      </c>
    </row>
    <row r="26" spans="1:32">
      <c r="A26" s="861"/>
      <c r="B26" s="856"/>
      <c r="C26" s="841"/>
      <c r="D26" s="847"/>
      <c r="E26" s="847"/>
      <c r="F26" s="847"/>
      <c r="G26" s="847"/>
      <c r="H26" s="848"/>
      <c r="I26" s="849"/>
      <c r="J26" s="849"/>
      <c r="K26" s="849"/>
      <c r="L26" s="849"/>
      <c r="M26" s="849"/>
      <c r="N26" s="849"/>
      <c r="O26" s="849"/>
      <c r="P26" s="849"/>
      <c r="Q26" s="849"/>
      <c r="R26" s="849"/>
      <c r="S26" s="849"/>
      <c r="T26" s="849"/>
      <c r="U26" s="849"/>
      <c r="V26" s="849"/>
      <c r="W26" s="849"/>
      <c r="X26" s="849"/>
      <c r="Y26" s="849"/>
      <c r="Z26" s="849"/>
      <c r="AA26" s="849"/>
      <c r="AB26" s="849"/>
      <c r="AC26" s="849"/>
      <c r="AD26" s="849"/>
      <c r="AE26" s="849"/>
      <c r="AF26" s="849"/>
    </row>
    <row r="27" spans="1:32">
      <c r="A27" s="857" t="s">
        <v>517</v>
      </c>
      <c r="B27" s="856"/>
      <c r="C27" s="841"/>
      <c r="D27" s="847">
        <f>SUM(I27:AC27)</f>
        <v>0</v>
      </c>
      <c r="E27" s="849">
        <v>0</v>
      </c>
      <c r="F27" s="849">
        <v>0</v>
      </c>
      <c r="G27" s="849">
        <v>0</v>
      </c>
      <c r="H27" s="855">
        <v>0</v>
      </c>
      <c r="I27" s="849">
        <v>0</v>
      </c>
      <c r="J27" s="849">
        <v>0</v>
      </c>
      <c r="K27" s="849">
        <v>0</v>
      </c>
      <c r="L27" s="849">
        <v>0</v>
      </c>
      <c r="M27" s="849">
        <v>0</v>
      </c>
      <c r="N27" s="849">
        <v>0</v>
      </c>
      <c r="O27" s="849">
        <v>0</v>
      </c>
      <c r="P27" s="849">
        <v>0</v>
      </c>
      <c r="Q27" s="849">
        <v>0</v>
      </c>
      <c r="R27" s="849">
        <v>0</v>
      </c>
      <c r="S27" s="849">
        <v>0</v>
      </c>
      <c r="T27" s="849">
        <v>0</v>
      </c>
      <c r="U27" s="849">
        <v>0</v>
      </c>
      <c r="V27" s="849">
        <v>0</v>
      </c>
      <c r="W27" s="849">
        <v>0</v>
      </c>
      <c r="X27" s="849">
        <v>0</v>
      </c>
      <c r="Y27" s="849">
        <v>0</v>
      </c>
      <c r="Z27" s="849">
        <v>0</v>
      </c>
      <c r="AA27" s="849">
        <v>0</v>
      </c>
      <c r="AB27" s="849">
        <v>0</v>
      </c>
      <c r="AC27" s="849">
        <v>0</v>
      </c>
      <c r="AD27" s="849">
        <v>0</v>
      </c>
      <c r="AE27" s="849">
        <v>0</v>
      </c>
      <c r="AF27" s="849">
        <v>0</v>
      </c>
    </row>
    <row r="28" spans="1:32">
      <c r="A28" s="861"/>
      <c r="B28" s="856"/>
      <c r="C28" s="841"/>
      <c r="D28" s="847"/>
      <c r="E28" s="847"/>
      <c r="F28" s="847"/>
      <c r="G28" s="847"/>
      <c r="H28" s="848"/>
      <c r="I28" s="847"/>
      <c r="J28" s="847"/>
      <c r="K28" s="847"/>
      <c r="L28" s="847"/>
      <c r="M28" s="847"/>
      <c r="N28" s="847"/>
      <c r="O28" s="847"/>
      <c r="P28" s="847"/>
      <c r="Q28" s="847"/>
      <c r="R28" s="847"/>
      <c r="S28" s="847"/>
      <c r="T28" s="847"/>
      <c r="U28" s="847"/>
      <c r="V28" s="847"/>
      <c r="W28" s="847"/>
      <c r="X28" s="847"/>
      <c r="Y28" s="847"/>
      <c r="Z28" s="847"/>
      <c r="AA28" s="847"/>
      <c r="AB28" s="847"/>
      <c r="AC28" s="847"/>
      <c r="AD28" s="847"/>
      <c r="AE28" s="847"/>
      <c r="AF28" s="847"/>
    </row>
    <row r="29" spans="1:32">
      <c r="A29" s="862" t="s">
        <v>518</v>
      </c>
      <c r="B29" s="856"/>
      <c r="C29" s="841"/>
      <c r="D29" s="847">
        <f t="shared" ref="D29:M29" ca="1" si="7">+D27+D25+D20</f>
        <v>528200.37436061481</v>
      </c>
      <c r="E29" s="847">
        <f t="shared" si="7"/>
        <v>0</v>
      </c>
      <c r="F29" s="847">
        <f t="shared" si="7"/>
        <v>0</v>
      </c>
      <c r="G29" s="847">
        <f t="shared" si="7"/>
        <v>0</v>
      </c>
      <c r="H29" s="847">
        <f t="shared" si="7"/>
        <v>0</v>
      </c>
      <c r="I29" s="847">
        <f t="shared" ca="1" si="7"/>
        <v>528200.37436061481</v>
      </c>
      <c r="J29" s="847">
        <f t="shared" si="7"/>
        <v>0</v>
      </c>
      <c r="K29" s="847">
        <f t="shared" si="7"/>
        <v>0</v>
      </c>
      <c r="L29" s="847">
        <f t="shared" si="7"/>
        <v>0</v>
      </c>
      <c r="M29" s="847">
        <f t="shared" si="7"/>
        <v>0</v>
      </c>
      <c r="N29" s="847">
        <f t="shared" ref="N29:W29" si="8">+N27+N25+N20</f>
        <v>0</v>
      </c>
      <c r="O29" s="847">
        <f t="shared" si="8"/>
        <v>0</v>
      </c>
      <c r="P29" s="847">
        <f t="shared" si="8"/>
        <v>0</v>
      </c>
      <c r="Q29" s="847">
        <f t="shared" si="8"/>
        <v>0</v>
      </c>
      <c r="R29" s="847">
        <f t="shared" si="8"/>
        <v>0</v>
      </c>
      <c r="S29" s="847">
        <f t="shared" si="8"/>
        <v>0</v>
      </c>
      <c r="T29" s="847">
        <f t="shared" si="8"/>
        <v>0</v>
      </c>
      <c r="U29" s="847">
        <f t="shared" si="8"/>
        <v>0</v>
      </c>
      <c r="V29" s="847">
        <f t="shared" si="8"/>
        <v>0</v>
      </c>
      <c r="W29" s="847">
        <f t="shared" si="8"/>
        <v>0</v>
      </c>
      <c r="X29" s="847">
        <f t="shared" ref="X29:AC29" si="9">+X27+X25+X20</f>
        <v>0</v>
      </c>
      <c r="Y29" s="847">
        <f t="shared" si="9"/>
        <v>0</v>
      </c>
      <c r="Z29" s="847">
        <f t="shared" si="9"/>
        <v>0</v>
      </c>
      <c r="AA29" s="847">
        <f t="shared" si="9"/>
        <v>0</v>
      </c>
      <c r="AB29" s="847">
        <f t="shared" si="9"/>
        <v>0</v>
      </c>
      <c r="AC29" s="847">
        <f t="shared" si="9"/>
        <v>0</v>
      </c>
      <c r="AD29" s="847">
        <f>+AD27+AD25+AD20</f>
        <v>0</v>
      </c>
      <c r="AE29" s="847">
        <f>+AE27+AE25+AE20</f>
        <v>0</v>
      </c>
      <c r="AF29" s="847">
        <f>+AF27+AF25+AF20</f>
        <v>0</v>
      </c>
    </row>
    <row r="30" spans="1:32">
      <c r="A30" s="863"/>
      <c r="B30" s="856"/>
      <c r="C30" s="841"/>
      <c r="D30" s="847"/>
      <c r="E30" s="847"/>
      <c r="F30" s="847"/>
      <c r="G30" s="847"/>
      <c r="H30" s="847"/>
      <c r="I30" s="847"/>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7"/>
    </row>
    <row r="31" spans="1:32" ht="12" thickBot="1">
      <c r="A31" s="864"/>
      <c r="B31" s="865"/>
      <c r="C31" s="866"/>
      <c r="D31" s="867"/>
      <c r="E31" s="867"/>
      <c r="F31" s="867"/>
      <c r="G31" s="867"/>
      <c r="H31" s="867"/>
      <c r="I31" s="867"/>
      <c r="J31" s="867"/>
      <c r="K31" s="867"/>
      <c r="L31" s="867"/>
      <c r="M31" s="867"/>
      <c r="N31" s="867"/>
      <c r="O31" s="867"/>
      <c r="P31" s="867"/>
      <c r="Q31" s="867"/>
      <c r="R31" s="867"/>
      <c r="S31" s="867"/>
      <c r="T31" s="867"/>
      <c r="U31" s="867"/>
      <c r="V31" s="867"/>
      <c r="W31" s="867"/>
      <c r="X31" s="867"/>
      <c r="Y31" s="867"/>
      <c r="Z31" s="867"/>
      <c r="AA31" s="867"/>
      <c r="AB31" s="867"/>
      <c r="AC31" s="867"/>
      <c r="AD31" s="867"/>
      <c r="AE31" s="867"/>
      <c r="AF31" s="867"/>
    </row>
    <row r="32" spans="1:32" ht="12.75" thickTop="1" thickBot="1">
      <c r="A32" s="863"/>
      <c r="B32" s="856"/>
      <c r="C32" s="841"/>
      <c r="D32" s="847"/>
      <c r="E32" s="847"/>
      <c r="F32" s="847"/>
      <c r="G32" s="847"/>
      <c r="H32" s="847"/>
      <c r="I32" s="847"/>
      <c r="J32" s="847"/>
      <c r="K32" s="847"/>
      <c r="L32" s="847"/>
      <c r="M32" s="847"/>
      <c r="N32" s="847"/>
      <c r="O32" s="847"/>
      <c r="P32" s="847"/>
      <c r="Q32" s="847"/>
      <c r="R32" s="847"/>
      <c r="S32" s="847"/>
      <c r="T32" s="847"/>
      <c r="U32" s="847"/>
      <c r="V32" s="847"/>
      <c r="W32" s="847"/>
      <c r="X32" s="847"/>
      <c r="Y32" s="847"/>
      <c r="Z32" s="847"/>
      <c r="AA32" s="847"/>
      <c r="AB32" s="847"/>
      <c r="AC32" s="847"/>
      <c r="AD32" s="847"/>
      <c r="AE32" s="847"/>
      <c r="AF32" s="847"/>
    </row>
    <row r="33" spans="1:36" ht="12" thickTop="1">
      <c r="A33" s="839"/>
      <c r="B33" s="839"/>
      <c r="C33" s="839"/>
      <c r="D33" s="839"/>
      <c r="E33" s="839"/>
      <c r="F33" s="839"/>
      <c r="G33" s="839"/>
      <c r="H33" s="839"/>
      <c r="I33" s="839"/>
      <c r="J33" s="839"/>
      <c r="K33" s="839"/>
      <c r="L33" s="839"/>
      <c r="M33" s="839"/>
      <c r="N33" s="839"/>
      <c r="O33" s="839"/>
      <c r="P33" s="839"/>
      <c r="Q33" s="839"/>
      <c r="R33" s="839"/>
      <c r="S33" s="839"/>
      <c r="T33" s="839"/>
      <c r="U33" s="839"/>
      <c r="V33" s="839"/>
      <c r="W33" s="839"/>
      <c r="X33" s="839"/>
      <c r="Y33" s="839"/>
      <c r="Z33" s="839"/>
      <c r="AA33" s="839"/>
      <c r="AB33" s="839"/>
      <c r="AC33" s="839"/>
      <c r="AD33" s="839"/>
      <c r="AE33" s="839"/>
      <c r="AF33" s="839"/>
      <c r="AJ33" s="820" t="s">
        <v>519</v>
      </c>
    </row>
    <row r="34" spans="1:36">
      <c r="A34" s="868" t="s">
        <v>520</v>
      </c>
      <c r="AJ34" s="820" t="s">
        <v>521</v>
      </c>
    </row>
    <row r="35" spans="1:36">
      <c r="A35" s="868"/>
      <c r="AH35" s="869"/>
      <c r="AJ35" s="869" t="s">
        <v>522</v>
      </c>
    </row>
    <row r="36" spans="1:36">
      <c r="A36" s="868"/>
      <c r="C36" s="870" t="s">
        <v>523</v>
      </c>
      <c r="D36" s="871"/>
      <c r="E36" s="871"/>
      <c r="F36" s="871"/>
      <c r="G36" s="871"/>
      <c r="H36" s="872"/>
      <c r="I36" s="873"/>
      <c r="L36" s="870" t="s">
        <v>524</v>
      </c>
      <c r="M36" s="871"/>
      <c r="N36" s="871"/>
      <c r="O36" s="871"/>
      <c r="P36" s="871"/>
      <c r="Q36" s="872"/>
      <c r="R36" s="871"/>
      <c r="S36" s="874"/>
      <c r="AH36" s="869"/>
      <c r="AJ36" s="869" t="s">
        <v>525</v>
      </c>
    </row>
    <row r="37" spans="1:36">
      <c r="C37" s="875"/>
      <c r="I37" s="876"/>
      <c r="L37" s="877"/>
      <c r="S37" s="876"/>
    </row>
    <row r="38" spans="1:36">
      <c r="C38" s="875"/>
      <c r="F38" s="858" t="s">
        <v>139</v>
      </c>
      <c r="I38" s="876"/>
      <c r="L38" s="875"/>
      <c r="S38" s="876"/>
    </row>
    <row r="39" spans="1:36">
      <c r="C39" s="875"/>
      <c r="D39" s="878" t="s">
        <v>526</v>
      </c>
      <c r="E39" s="878" t="s">
        <v>527</v>
      </c>
      <c r="F39" s="879" t="s">
        <v>528</v>
      </c>
      <c r="G39" s="880"/>
      <c r="H39" s="881" t="s">
        <v>529</v>
      </c>
      <c r="I39" s="876" t="s">
        <v>530</v>
      </c>
      <c r="L39" s="875"/>
      <c r="M39" s="880"/>
      <c r="N39" s="878" t="s">
        <v>526</v>
      </c>
      <c r="O39" s="878" t="s">
        <v>527</v>
      </c>
      <c r="P39" s="878" t="s">
        <v>139</v>
      </c>
      <c r="Q39" s="880"/>
      <c r="R39" s="881" t="s">
        <v>529</v>
      </c>
      <c r="S39" s="876" t="s">
        <v>530</v>
      </c>
    </row>
    <row r="40" spans="1:36">
      <c r="A40" s="831" t="s">
        <v>499</v>
      </c>
      <c r="C40" s="882" t="s">
        <v>531</v>
      </c>
      <c r="D40" s="883" t="s">
        <v>398</v>
      </c>
      <c r="E40" s="883" t="s">
        <v>532</v>
      </c>
      <c r="F40" s="884" t="s">
        <v>533</v>
      </c>
      <c r="G40" s="884" t="s">
        <v>534</v>
      </c>
      <c r="H40" s="885" t="s">
        <v>535</v>
      </c>
      <c r="I40" s="886" t="s">
        <v>110</v>
      </c>
      <c r="L40" s="882" t="s">
        <v>531</v>
      </c>
      <c r="M40" s="880"/>
      <c r="N40" s="883" t="s">
        <v>536</v>
      </c>
      <c r="O40" s="883" t="s">
        <v>532</v>
      </c>
      <c r="P40" s="884" t="s">
        <v>533</v>
      </c>
      <c r="Q40" s="883" t="s">
        <v>537</v>
      </c>
      <c r="R40" s="885" t="s">
        <v>535</v>
      </c>
      <c r="S40" s="886" t="s">
        <v>110</v>
      </c>
    </row>
    <row r="41" spans="1:36">
      <c r="B41" s="831"/>
      <c r="C41" s="887" t="str">
        <f t="shared" ref="C41:C50" si="10">+C10</f>
        <v>Purchase Price</v>
      </c>
      <c r="D41" s="888">
        <f ca="1">SUM(I10:AF10)</f>
        <v>479637.11633199977</v>
      </c>
      <c r="E41" s="889">
        <v>0</v>
      </c>
      <c r="F41" s="890">
        <f>TDATE+1</f>
        <v>37803</v>
      </c>
      <c r="G41" s="891">
        <v>20</v>
      </c>
      <c r="H41" s="892" t="s">
        <v>159</v>
      </c>
      <c r="I41" s="893">
        <v>2</v>
      </c>
      <c r="L41" s="894" t="str">
        <f>+C41</f>
        <v>Purchase Price</v>
      </c>
      <c r="M41" s="880"/>
      <c r="N41" s="889">
        <f t="shared" ref="N41:O50" ca="1" si="11">+D41</f>
        <v>479637.11633199977</v>
      </c>
      <c r="O41" s="889">
        <f t="shared" si="11"/>
        <v>0</v>
      </c>
      <c r="P41" s="890">
        <f>TDATE+1</f>
        <v>37803</v>
      </c>
      <c r="Q41" s="891">
        <v>20</v>
      </c>
      <c r="R41" s="892" t="s">
        <v>538</v>
      </c>
      <c r="S41" s="893">
        <v>2</v>
      </c>
    </row>
    <row r="42" spans="1:36">
      <c r="C42" s="887" t="str">
        <f t="shared" si="10"/>
        <v>Scrubber</v>
      </c>
      <c r="D42" s="888">
        <f>SUM(I11:AF11)</f>
        <v>0</v>
      </c>
      <c r="E42" s="889">
        <v>0</v>
      </c>
      <c r="F42" s="890">
        <v>37257</v>
      </c>
      <c r="G42" s="891">
        <v>17</v>
      </c>
      <c r="H42" s="892" t="s">
        <v>159</v>
      </c>
      <c r="I42" s="893">
        <v>2</v>
      </c>
      <c r="L42" s="894" t="str">
        <f t="shared" ref="L42:L50" si="12">+C42</f>
        <v>Scrubber</v>
      </c>
      <c r="M42" s="880"/>
      <c r="N42" s="889">
        <f t="shared" si="11"/>
        <v>0</v>
      </c>
      <c r="O42" s="889">
        <f t="shared" si="11"/>
        <v>0</v>
      </c>
      <c r="P42" s="890">
        <v>37257</v>
      </c>
      <c r="Q42" s="891">
        <v>17</v>
      </c>
      <c r="R42" s="892" t="s">
        <v>538</v>
      </c>
      <c r="S42" s="893">
        <v>2</v>
      </c>
    </row>
    <row r="43" spans="1:36" hidden="1" outlineLevel="1">
      <c r="C43" s="887" t="str">
        <f t="shared" si="10"/>
        <v>Asset 3</v>
      </c>
      <c r="D43" s="888">
        <f t="shared" ref="D43:D50" si="13">SUM(I12:AF12)</f>
        <v>0</v>
      </c>
      <c r="E43" s="889">
        <v>0</v>
      </c>
      <c r="F43" s="890">
        <v>36965</v>
      </c>
      <c r="G43" s="891">
        <v>4</v>
      </c>
      <c r="H43" s="892" t="s">
        <v>538</v>
      </c>
      <c r="I43" s="893">
        <v>2</v>
      </c>
      <c r="L43" s="894" t="str">
        <f t="shared" si="12"/>
        <v>Asset 3</v>
      </c>
      <c r="M43" s="880"/>
      <c r="N43" s="889">
        <f t="shared" si="11"/>
        <v>0</v>
      </c>
      <c r="O43" s="889">
        <f t="shared" si="11"/>
        <v>0</v>
      </c>
      <c r="P43" s="890">
        <v>35596</v>
      </c>
      <c r="Q43" s="891">
        <v>5</v>
      </c>
      <c r="R43" s="892" t="s">
        <v>538</v>
      </c>
      <c r="S43" s="893">
        <v>2</v>
      </c>
    </row>
    <row r="44" spans="1:36" hidden="1" outlineLevel="1">
      <c r="C44" s="887" t="str">
        <f t="shared" si="10"/>
        <v>Asset 4</v>
      </c>
      <c r="D44" s="888">
        <f t="shared" si="13"/>
        <v>0</v>
      </c>
      <c r="E44" s="889">
        <v>0</v>
      </c>
      <c r="F44" s="890">
        <v>37636</v>
      </c>
      <c r="G44" s="891">
        <v>5</v>
      </c>
      <c r="H44" s="892" t="s">
        <v>538</v>
      </c>
      <c r="I44" s="893">
        <v>2</v>
      </c>
      <c r="L44" s="894" t="str">
        <f t="shared" si="12"/>
        <v>Asset 4</v>
      </c>
      <c r="M44" s="880"/>
      <c r="N44" s="889">
        <f t="shared" si="11"/>
        <v>0</v>
      </c>
      <c r="O44" s="889">
        <f t="shared" si="11"/>
        <v>0</v>
      </c>
      <c r="P44" s="890">
        <v>35596</v>
      </c>
      <c r="Q44" s="891">
        <v>5</v>
      </c>
      <c r="R44" s="892" t="s">
        <v>538</v>
      </c>
      <c r="S44" s="893">
        <v>2</v>
      </c>
    </row>
    <row r="45" spans="1:36" hidden="1" outlineLevel="1">
      <c r="C45" s="887" t="str">
        <f t="shared" si="10"/>
        <v>Asset 5</v>
      </c>
      <c r="D45" s="888">
        <f t="shared" si="13"/>
        <v>0</v>
      </c>
      <c r="E45" s="889">
        <v>0</v>
      </c>
      <c r="F45" s="890">
        <v>35596</v>
      </c>
      <c r="G45" s="891">
        <v>6</v>
      </c>
      <c r="H45" s="892" t="s">
        <v>538</v>
      </c>
      <c r="I45" s="893">
        <v>2</v>
      </c>
      <c r="L45" s="894" t="str">
        <f t="shared" si="12"/>
        <v>Asset 5</v>
      </c>
      <c r="M45" s="880"/>
      <c r="N45" s="889">
        <f t="shared" si="11"/>
        <v>0</v>
      </c>
      <c r="O45" s="889">
        <f t="shared" si="11"/>
        <v>0</v>
      </c>
      <c r="P45" s="890">
        <v>35596</v>
      </c>
      <c r="Q45" s="891">
        <v>5</v>
      </c>
      <c r="R45" s="892" t="s">
        <v>538</v>
      </c>
      <c r="S45" s="893">
        <v>2</v>
      </c>
    </row>
    <row r="46" spans="1:36" hidden="1" outlineLevel="1">
      <c r="C46" s="887" t="str">
        <f t="shared" si="10"/>
        <v>Asset 6</v>
      </c>
      <c r="D46" s="888">
        <f t="shared" si="13"/>
        <v>0</v>
      </c>
      <c r="E46" s="889">
        <v>0</v>
      </c>
      <c r="F46" s="890">
        <v>35596</v>
      </c>
      <c r="G46" s="891">
        <v>6</v>
      </c>
      <c r="H46" s="892" t="s">
        <v>538</v>
      </c>
      <c r="I46" s="893">
        <v>2</v>
      </c>
      <c r="L46" s="894" t="str">
        <f t="shared" si="12"/>
        <v>Asset 6</v>
      </c>
      <c r="M46" s="880"/>
      <c r="N46" s="889">
        <f t="shared" si="11"/>
        <v>0</v>
      </c>
      <c r="O46" s="889">
        <f t="shared" si="11"/>
        <v>0</v>
      </c>
      <c r="P46" s="890">
        <v>35596</v>
      </c>
      <c r="Q46" s="891">
        <v>5</v>
      </c>
      <c r="R46" s="892" t="s">
        <v>538</v>
      </c>
      <c r="S46" s="893">
        <v>2</v>
      </c>
    </row>
    <row r="47" spans="1:36" hidden="1" outlineLevel="1">
      <c r="C47" s="887" t="str">
        <f t="shared" si="10"/>
        <v>Asset 7</v>
      </c>
      <c r="D47" s="888">
        <f t="shared" si="13"/>
        <v>0</v>
      </c>
      <c r="E47" s="889">
        <v>0</v>
      </c>
      <c r="F47" s="890">
        <v>35596</v>
      </c>
      <c r="G47" s="891">
        <v>6</v>
      </c>
      <c r="H47" s="892" t="s">
        <v>538</v>
      </c>
      <c r="I47" s="893">
        <v>2</v>
      </c>
      <c r="L47" s="894" t="str">
        <f t="shared" si="12"/>
        <v>Asset 7</v>
      </c>
      <c r="M47" s="880"/>
      <c r="N47" s="889">
        <f t="shared" si="11"/>
        <v>0</v>
      </c>
      <c r="O47" s="889">
        <f t="shared" si="11"/>
        <v>0</v>
      </c>
      <c r="P47" s="890">
        <v>35596</v>
      </c>
      <c r="Q47" s="891">
        <v>5</v>
      </c>
      <c r="R47" s="892" t="s">
        <v>538</v>
      </c>
      <c r="S47" s="893">
        <v>2</v>
      </c>
    </row>
    <row r="48" spans="1:36" hidden="1" outlineLevel="1">
      <c r="C48" s="887" t="str">
        <f t="shared" si="10"/>
        <v>Asset 8</v>
      </c>
      <c r="D48" s="888">
        <f t="shared" si="13"/>
        <v>0</v>
      </c>
      <c r="E48" s="889">
        <v>0</v>
      </c>
      <c r="F48" s="890">
        <v>35596</v>
      </c>
      <c r="G48" s="891">
        <v>6</v>
      </c>
      <c r="H48" s="892" t="s">
        <v>538</v>
      </c>
      <c r="I48" s="893">
        <v>2</v>
      </c>
      <c r="L48" s="894" t="str">
        <f t="shared" si="12"/>
        <v>Asset 8</v>
      </c>
      <c r="M48" s="880"/>
      <c r="N48" s="889">
        <f t="shared" si="11"/>
        <v>0</v>
      </c>
      <c r="O48" s="889">
        <f t="shared" si="11"/>
        <v>0</v>
      </c>
      <c r="P48" s="890">
        <v>35596</v>
      </c>
      <c r="Q48" s="891">
        <v>5</v>
      </c>
      <c r="R48" s="892" t="s">
        <v>538</v>
      </c>
      <c r="S48" s="893">
        <v>2</v>
      </c>
    </row>
    <row r="49" spans="1:32" hidden="1" outlineLevel="1">
      <c r="C49" s="887" t="str">
        <f t="shared" si="10"/>
        <v>Asset 9</v>
      </c>
      <c r="D49" s="888">
        <f t="shared" si="13"/>
        <v>0</v>
      </c>
      <c r="E49" s="889">
        <v>0</v>
      </c>
      <c r="F49" s="890">
        <v>35596</v>
      </c>
      <c r="G49" s="891">
        <v>6</v>
      </c>
      <c r="H49" s="892" t="s">
        <v>538</v>
      </c>
      <c r="I49" s="893">
        <v>2</v>
      </c>
      <c r="L49" s="894" t="str">
        <f t="shared" si="12"/>
        <v>Asset 9</v>
      </c>
      <c r="M49" s="880"/>
      <c r="N49" s="889">
        <f t="shared" si="11"/>
        <v>0</v>
      </c>
      <c r="O49" s="889">
        <f t="shared" si="11"/>
        <v>0</v>
      </c>
      <c r="P49" s="890">
        <v>35596</v>
      </c>
      <c r="Q49" s="891">
        <v>5</v>
      </c>
      <c r="R49" s="892" t="s">
        <v>538</v>
      </c>
      <c r="S49" s="893">
        <v>2</v>
      </c>
    </row>
    <row r="50" spans="1:32" hidden="1" outlineLevel="1">
      <c r="C50" s="887" t="str">
        <f t="shared" si="10"/>
        <v>Asset 10</v>
      </c>
      <c r="D50" s="888">
        <f t="shared" si="13"/>
        <v>0</v>
      </c>
      <c r="E50" s="895">
        <v>0</v>
      </c>
      <c r="F50" s="890">
        <v>35596</v>
      </c>
      <c r="G50" s="891">
        <v>6</v>
      </c>
      <c r="H50" s="892" t="s">
        <v>538</v>
      </c>
      <c r="I50" s="893">
        <v>2</v>
      </c>
      <c r="L50" s="894" t="str">
        <f t="shared" si="12"/>
        <v>Asset 10</v>
      </c>
      <c r="M50" s="880"/>
      <c r="N50" s="895">
        <f t="shared" si="11"/>
        <v>0</v>
      </c>
      <c r="O50" s="895">
        <f t="shared" si="11"/>
        <v>0</v>
      </c>
      <c r="P50" s="890">
        <v>35596</v>
      </c>
      <c r="Q50" s="891">
        <v>5</v>
      </c>
      <c r="R50" s="892" t="s">
        <v>538</v>
      </c>
      <c r="S50" s="893">
        <v>2</v>
      </c>
    </row>
    <row r="51" spans="1:32" collapsed="1">
      <c r="C51" s="896" t="s">
        <v>539</v>
      </c>
      <c r="D51" s="888">
        <f ca="1">SUM(D41:D50)</f>
        <v>479637.11633199977</v>
      </c>
      <c r="E51" s="888">
        <f>SUM(E41:E50)</f>
        <v>0</v>
      </c>
      <c r="F51" s="880"/>
      <c r="G51" s="880"/>
      <c r="H51" s="880"/>
      <c r="I51" s="876"/>
      <c r="J51" s="897"/>
      <c r="L51" s="896" t="s">
        <v>539</v>
      </c>
      <c r="M51" s="898"/>
      <c r="N51" s="888">
        <f ca="1">SUM(N41:N50)</f>
        <v>479637.11633199977</v>
      </c>
      <c r="O51" s="888">
        <f>SUM(O41:O50)</f>
        <v>0</v>
      </c>
      <c r="P51" s="880"/>
      <c r="Q51" s="880"/>
      <c r="R51" s="880"/>
      <c r="S51" s="876"/>
    </row>
    <row r="52" spans="1:32">
      <c r="C52" s="896"/>
      <c r="D52" s="899"/>
      <c r="E52" s="899"/>
      <c r="F52" s="880"/>
      <c r="G52" s="880"/>
      <c r="H52" s="880"/>
      <c r="I52" s="876"/>
      <c r="J52" s="848"/>
      <c r="L52" s="896"/>
      <c r="M52" s="880"/>
      <c r="N52" s="899"/>
      <c r="O52" s="899"/>
      <c r="P52" s="880"/>
      <c r="Q52" s="899"/>
      <c r="R52" s="899"/>
      <c r="S52" s="900"/>
      <c r="W52" s="848"/>
      <c r="X52" s="848"/>
      <c r="Y52" s="848"/>
      <c r="Z52" s="848"/>
      <c r="AA52" s="848"/>
      <c r="AB52" s="848"/>
      <c r="AC52" s="848"/>
      <c r="AD52" s="848"/>
      <c r="AE52" s="848"/>
      <c r="AF52" s="848"/>
    </row>
    <row r="53" spans="1:32">
      <c r="A53" s="901" t="s">
        <v>512</v>
      </c>
      <c r="C53" s="896"/>
      <c r="D53" s="899"/>
      <c r="E53" s="899"/>
      <c r="F53" s="880"/>
      <c r="G53" s="880"/>
      <c r="H53" s="880"/>
      <c r="I53" s="876"/>
      <c r="J53" s="848"/>
      <c r="L53" s="896"/>
      <c r="M53" s="880"/>
      <c r="N53" s="899"/>
      <c r="O53" s="899"/>
      <c r="P53" s="880"/>
      <c r="Q53" s="899"/>
      <c r="R53" s="899"/>
      <c r="S53" s="900"/>
      <c r="W53" s="848"/>
      <c r="X53" s="848"/>
      <c r="Y53" s="848"/>
      <c r="Z53" s="848"/>
      <c r="AA53" s="848"/>
      <c r="AB53" s="848"/>
      <c r="AC53" s="848"/>
      <c r="AD53" s="848"/>
      <c r="AE53" s="848"/>
      <c r="AF53" s="848"/>
    </row>
    <row r="54" spans="1:32">
      <c r="C54" s="875" t="str">
        <f>+C23</f>
        <v>Funding 1</v>
      </c>
      <c r="D54" s="888">
        <f ca="1">SUM(I23:Y23)</f>
        <v>48563.258028614982</v>
      </c>
      <c r="E54" s="889">
        <v>0</v>
      </c>
      <c r="F54" s="890">
        <f>TDATE+1</f>
        <v>37803</v>
      </c>
      <c r="G54" s="891">
        <v>7</v>
      </c>
      <c r="H54" s="892" t="s">
        <v>159</v>
      </c>
      <c r="I54" s="893">
        <v>1.5</v>
      </c>
      <c r="L54" s="875" t="str">
        <f>+C54</f>
        <v>Funding 1</v>
      </c>
      <c r="M54" s="880"/>
      <c r="N54" s="889">
        <f ca="1">+D54</f>
        <v>48563.258028614982</v>
      </c>
      <c r="O54" s="889">
        <f>+E54</f>
        <v>0</v>
      </c>
      <c r="P54" s="890">
        <f>TDATE+1</f>
        <v>37803</v>
      </c>
      <c r="Q54" s="891">
        <v>5</v>
      </c>
      <c r="R54" s="892" t="s">
        <v>159</v>
      </c>
      <c r="S54" s="893">
        <v>2</v>
      </c>
    </row>
    <row r="55" spans="1:32" hidden="1" outlineLevel="1">
      <c r="C55" s="875" t="str">
        <f>+C24</f>
        <v>Funding 2</v>
      </c>
      <c r="D55" s="888">
        <f>SUM(I24:Y24)</f>
        <v>0</v>
      </c>
      <c r="E55" s="895">
        <v>0</v>
      </c>
      <c r="F55" s="890">
        <v>35565</v>
      </c>
      <c r="G55" s="891">
        <v>2</v>
      </c>
      <c r="H55" s="892" t="s">
        <v>159</v>
      </c>
      <c r="I55" s="893"/>
      <c r="L55" s="875" t="str">
        <f>+C55</f>
        <v>Funding 2</v>
      </c>
      <c r="M55" s="880"/>
      <c r="N55" s="895">
        <f>+D55</f>
        <v>0</v>
      </c>
      <c r="O55" s="895">
        <f>+E55</f>
        <v>0</v>
      </c>
      <c r="P55" s="890">
        <v>35746</v>
      </c>
      <c r="Q55" s="891">
        <v>2</v>
      </c>
      <c r="R55" s="892" t="s">
        <v>538</v>
      </c>
      <c r="S55" s="893">
        <v>1.5</v>
      </c>
    </row>
    <row r="56" spans="1:32" collapsed="1">
      <c r="C56" s="896" t="s">
        <v>539</v>
      </c>
      <c r="D56" s="888">
        <f ca="1">+D55+D54</f>
        <v>48563.258028614982</v>
      </c>
      <c r="E56" s="888">
        <f>+E55+E54</f>
        <v>0</v>
      </c>
      <c r="F56" s="890"/>
      <c r="G56" s="891"/>
      <c r="H56" s="892"/>
      <c r="I56" s="893"/>
      <c r="L56" s="896" t="s">
        <v>539</v>
      </c>
      <c r="M56" s="880"/>
      <c r="N56" s="888">
        <f ca="1">+N55+N54</f>
        <v>48563.258028614982</v>
      </c>
      <c r="O56" s="889"/>
      <c r="P56" s="890"/>
      <c r="Q56" s="891"/>
      <c r="R56" s="892"/>
      <c r="S56" s="893"/>
    </row>
    <row r="57" spans="1:32">
      <c r="C57" s="902"/>
      <c r="D57" s="903"/>
      <c r="E57" s="903"/>
      <c r="F57" s="903"/>
      <c r="G57" s="903"/>
      <c r="H57" s="903"/>
      <c r="I57" s="904"/>
      <c r="J57" s="880"/>
      <c r="K57" s="880"/>
      <c r="L57" s="902"/>
      <c r="M57" s="905" t="s">
        <v>540</v>
      </c>
      <c r="N57" s="906">
        <f ca="1">+N56+N51-D51-D56</f>
        <v>0</v>
      </c>
      <c r="O57" s="903"/>
      <c r="P57" s="903"/>
      <c r="Q57" s="903"/>
      <c r="R57" s="903"/>
      <c r="S57" s="904"/>
    </row>
    <row r="58" spans="1:32">
      <c r="A58" s="880"/>
      <c r="B58" s="880"/>
      <c r="C58" s="880"/>
      <c r="D58" s="880"/>
      <c r="E58" s="880"/>
      <c r="F58" s="880"/>
      <c r="G58" s="880"/>
      <c r="H58" s="880"/>
      <c r="I58" s="880"/>
      <c r="J58" s="880"/>
      <c r="K58" s="880"/>
      <c r="L58" s="880"/>
      <c r="M58" s="880"/>
      <c r="N58" s="880"/>
      <c r="O58" s="880"/>
      <c r="P58" s="880"/>
      <c r="Q58" s="907"/>
      <c r="R58" s="880"/>
      <c r="S58" s="880"/>
      <c r="T58" s="880"/>
      <c r="W58" s="880"/>
      <c r="X58" s="880"/>
      <c r="Y58" s="880"/>
      <c r="Z58" s="880"/>
      <c r="AA58" s="880"/>
      <c r="AB58" s="880"/>
      <c r="AC58" s="880"/>
      <c r="AD58" s="880"/>
      <c r="AE58" s="880"/>
      <c r="AF58" s="880"/>
    </row>
    <row r="59" spans="1:32" ht="12" thickBot="1">
      <c r="A59" s="880"/>
      <c r="B59" s="880"/>
      <c r="C59" s="880"/>
      <c r="D59" s="880"/>
      <c r="E59" s="880"/>
      <c r="F59" s="88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row>
    <row r="60" spans="1:32" ht="12.75" thickTop="1" thickBot="1">
      <c r="A60" s="839"/>
      <c r="B60" s="839"/>
      <c r="C60" s="839"/>
      <c r="D60" s="839"/>
      <c r="E60" s="839"/>
      <c r="F60" s="839"/>
      <c r="G60" s="839"/>
      <c r="H60" s="839"/>
      <c r="I60" s="839"/>
      <c r="J60" s="839"/>
      <c r="K60" s="839"/>
      <c r="L60" s="839"/>
      <c r="M60" s="839"/>
      <c r="N60" s="839"/>
      <c r="O60" s="839"/>
      <c r="P60" s="839"/>
      <c r="Q60" s="839"/>
      <c r="R60" s="839"/>
      <c r="S60" s="839"/>
      <c r="T60" s="839"/>
      <c r="U60" s="839"/>
      <c r="V60" s="839"/>
      <c r="W60" s="839"/>
      <c r="X60" s="839"/>
      <c r="Y60" s="839"/>
      <c r="Z60" s="839"/>
      <c r="AA60" s="839"/>
      <c r="AB60" s="839"/>
      <c r="AC60" s="839"/>
      <c r="AD60" s="839"/>
      <c r="AE60" s="839"/>
      <c r="AF60" s="839"/>
    </row>
    <row r="61" spans="1:32" ht="12.75" thickTop="1" thickBot="1">
      <c r="A61" s="868" t="s">
        <v>541</v>
      </c>
      <c r="I61" s="842">
        <f t="shared" ref="I61:R61" si="14">+I$3</f>
        <v>37986</v>
      </c>
      <c r="J61" s="843">
        <f t="shared" si="14"/>
        <v>2004</v>
      </c>
      <c r="K61" s="843">
        <f t="shared" si="14"/>
        <v>2005</v>
      </c>
      <c r="L61" s="843">
        <f t="shared" si="14"/>
        <v>2006</v>
      </c>
      <c r="M61" s="843">
        <f t="shared" si="14"/>
        <v>2007</v>
      </c>
      <c r="N61" s="843">
        <f t="shared" si="14"/>
        <v>2008</v>
      </c>
      <c r="O61" s="843">
        <f t="shared" si="14"/>
        <v>2009</v>
      </c>
      <c r="P61" s="843">
        <f t="shared" si="14"/>
        <v>2010</v>
      </c>
      <c r="Q61" s="843">
        <f t="shared" si="14"/>
        <v>2011</v>
      </c>
      <c r="R61" s="843">
        <f t="shared" si="14"/>
        <v>2012</v>
      </c>
      <c r="S61" s="843">
        <f t="shared" ref="S61:AF61" si="15">+S$3</f>
        <v>2013</v>
      </c>
      <c r="T61" s="843">
        <f t="shared" si="15"/>
        <v>2014</v>
      </c>
      <c r="U61" s="843">
        <f t="shared" si="15"/>
        <v>2015</v>
      </c>
      <c r="V61" s="843">
        <f t="shared" si="15"/>
        <v>2016</v>
      </c>
      <c r="W61" s="843">
        <f t="shared" si="15"/>
        <v>2017</v>
      </c>
      <c r="X61" s="843">
        <f t="shared" si="15"/>
        <v>2018</v>
      </c>
      <c r="Y61" s="843">
        <f t="shared" si="15"/>
        <v>2019</v>
      </c>
      <c r="Z61" s="843">
        <f t="shared" si="15"/>
        <v>2020</v>
      </c>
      <c r="AA61" s="843">
        <f t="shared" si="15"/>
        <v>2021</v>
      </c>
      <c r="AB61" s="843">
        <f t="shared" si="15"/>
        <v>2022</v>
      </c>
      <c r="AC61" s="843">
        <f t="shared" si="15"/>
        <v>2023</v>
      </c>
      <c r="AD61" s="843">
        <f t="shared" si="15"/>
        <v>2024</v>
      </c>
      <c r="AE61" s="843">
        <f t="shared" si="15"/>
        <v>2025</v>
      </c>
      <c r="AF61" s="843">
        <f t="shared" si="15"/>
        <v>2026</v>
      </c>
    </row>
    <row r="62" spans="1:32" ht="12" thickTop="1">
      <c r="A62" s="901" t="s">
        <v>499</v>
      </c>
      <c r="B62" s="831"/>
      <c r="C62" s="820" t="str">
        <f t="shared" ref="C62:C71" si="16">+C41</f>
        <v>Purchase Price</v>
      </c>
      <c r="I62" s="908">
        <f t="shared" ref="I62:I71" ca="1" si="17">IF(D41=0,0,IF($H41="SL",SLN($D41,$E41,$G41)*IF(YEAR($F41)&lt;(J$3-1),IF(YEAR($F41)+$G41=J$3-1,(MONTH($F41)-1)/12,IF(YEAR($F41)+$G41&lt;J$3-1,0,1)),IF(YEAR($F41)&gt;J$3-1,0,(12-MONTH($F41)+1)/12)),IF(YEAR($F41)&gt;J$3-1,0,VDB($D41,$E41,$G41,IF(YEAR($F41)=J$3-1,0,MIN($G41,(DATE(J$3-1,1,1)-$F41)/365)),MIN($G41,(DATE(J$3-1,12,31)-$F41)/365),$I41))))</f>
        <v>11990.927908299995</v>
      </c>
      <c r="J62" s="908">
        <f t="shared" ref="J62:S71" ca="1" si="18">IF($D41=0,0,IF($H41="SL",SLN($D41,$E41,$G41)*IF(YEAR($F41)&lt;J$3,IF(YEAR($F41)+$G41=J$3,(MONTH($F41)-1)/12,IF(YEAR($F41)+$G41&lt;J$3,0,1)),IF(YEAR($F41)&gt;J$3,0,(12-MONTH($F41)+1)/12)),IF(YEAR($F41)&gt;J$3,0,VDB($D41,$E41,$G41,IF(YEAR($F41)=J$3,0,MIN($G41,(DATE(J$3,1,1)-$F41)/365)),MIN($G41,(DATE(J$3,12,31)-$F41)/365),$I41))))</f>
        <v>23981.855816599989</v>
      </c>
      <c r="K62" s="908">
        <f t="shared" ca="1" si="18"/>
        <v>23981.855816599989</v>
      </c>
      <c r="L62" s="908">
        <f t="shared" ca="1" si="18"/>
        <v>23981.855816599989</v>
      </c>
      <c r="M62" s="908">
        <f t="shared" ca="1" si="18"/>
        <v>23981.855816599989</v>
      </c>
      <c r="N62" s="908">
        <f t="shared" ca="1" si="18"/>
        <v>23981.855816599989</v>
      </c>
      <c r="O62" s="908">
        <f t="shared" ca="1" si="18"/>
        <v>23981.855816599989</v>
      </c>
      <c r="P62" s="908">
        <f t="shared" ca="1" si="18"/>
        <v>23981.855816599989</v>
      </c>
      <c r="Q62" s="908">
        <f t="shared" ca="1" si="18"/>
        <v>23981.855816599989</v>
      </c>
      <c r="R62" s="908">
        <f t="shared" ca="1" si="18"/>
        <v>23981.855816599989</v>
      </c>
      <c r="S62" s="908">
        <f t="shared" ca="1" si="18"/>
        <v>23981.855816599989</v>
      </c>
      <c r="T62" s="908">
        <f t="shared" ref="T62:AC71" ca="1" si="19">IF($D41=0,0,IF($H41="SL",SLN($D41,$E41,$G41)*IF(YEAR($F41)&lt;T$3,IF(YEAR($F41)+$G41=T$3,(MONTH($F41)-1)/12,IF(YEAR($F41)+$G41&lt;T$3,0,1)),IF(YEAR($F41)&gt;T$3,0,(12-MONTH($F41)+1)/12)),IF(YEAR($F41)&gt;T$3,0,VDB($D41,$E41,$G41,IF(YEAR($F41)=T$3,0,MIN($G41,(DATE(T$3,1,1)-$F41)/365)),MIN($G41,(DATE(T$3,12,31)-$F41)/365),$I41))))</f>
        <v>23981.855816599989</v>
      </c>
      <c r="U62" s="908">
        <f t="shared" ca="1" si="19"/>
        <v>23981.855816599989</v>
      </c>
      <c r="V62" s="908">
        <f t="shared" ca="1" si="19"/>
        <v>23981.855816599989</v>
      </c>
      <c r="W62" s="908">
        <f t="shared" ca="1" si="19"/>
        <v>23981.855816599989</v>
      </c>
      <c r="X62" s="908">
        <f t="shared" ca="1" si="19"/>
        <v>23981.855816599989</v>
      </c>
      <c r="Y62" s="908">
        <f t="shared" ca="1" si="19"/>
        <v>23981.855816599989</v>
      </c>
      <c r="Z62" s="908">
        <f t="shared" ca="1" si="19"/>
        <v>23981.855816599989</v>
      </c>
      <c r="AA62" s="908">
        <f t="shared" ca="1" si="19"/>
        <v>23981.855816599989</v>
      </c>
      <c r="AB62" s="908">
        <f t="shared" ca="1" si="19"/>
        <v>23981.855816599989</v>
      </c>
      <c r="AC62" s="908">
        <f t="shared" ca="1" si="19"/>
        <v>11990.927908299995</v>
      </c>
      <c r="AD62" s="908">
        <f t="shared" ref="AD62:AF71" ca="1" si="20">IF($D41=0,0,IF($H41="SL",SLN($D41,$E41,$G41)*IF(YEAR($F41)&lt;AD$3,IF(YEAR($F41)+$G41=AD$3,(MONTH($F41)-1)/12,IF(YEAR($F41)+$G41&lt;AD$3,0,1)),IF(YEAR($F41)&gt;AD$3,0,(12-MONTH($F41)+1)/12)),IF(YEAR($F41)&gt;AD$3,0,VDB($D41,$E41,$G41,IF(YEAR($F41)=AD$3,0,MIN($G41,(DATE(AD$3,1,1)-$F41)/365)),MIN($G41,(DATE(AD$3,12,31)-$F41)/365),$I41))))</f>
        <v>0</v>
      </c>
      <c r="AE62" s="908">
        <f t="shared" ca="1" si="20"/>
        <v>0</v>
      </c>
      <c r="AF62" s="908">
        <f t="shared" ca="1" si="20"/>
        <v>0</v>
      </c>
    </row>
    <row r="63" spans="1:32" hidden="1" outlineLevel="1">
      <c r="C63" s="820" t="str">
        <f t="shared" si="16"/>
        <v>Scrubber</v>
      </c>
      <c r="I63" s="908">
        <f t="shared" si="17"/>
        <v>0</v>
      </c>
      <c r="J63" s="908">
        <f t="shared" si="18"/>
        <v>0</v>
      </c>
      <c r="K63" s="908">
        <f t="shared" si="18"/>
        <v>0</v>
      </c>
      <c r="L63" s="908">
        <f t="shared" si="18"/>
        <v>0</v>
      </c>
      <c r="M63" s="908">
        <f t="shared" si="18"/>
        <v>0</v>
      </c>
      <c r="N63" s="908">
        <f t="shared" si="18"/>
        <v>0</v>
      </c>
      <c r="O63" s="908">
        <f t="shared" si="18"/>
        <v>0</v>
      </c>
      <c r="P63" s="908">
        <f t="shared" si="18"/>
        <v>0</v>
      </c>
      <c r="Q63" s="908">
        <f t="shared" si="18"/>
        <v>0</v>
      </c>
      <c r="R63" s="908">
        <f t="shared" si="18"/>
        <v>0</v>
      </c>
      <c r="S63" s="908">
        <f t="shared" si="18"/>
        <v>0</v>
      </c>
      <c r="T63" s="908">
        <f t="shared" si="19"/>
        <v>0</v>
      </c>
      <c r="U63" s="908">
        <f t="shared" si="19"/>
        <v>0</v>
      </c>
      <c r="V63" s="908">
        <f t="shared" si="19"/>
        <v>0</v>
      </c>
      <c r="W63" s="908">
        <f t="shared" si="19"/>
        <v>0</v>
      </c>
      <c r="X63" s="908">
        <f t="shared" si="19"/>
        <v>0</v>
      </c>
      <c r="Y63" s="908">
        <f t="shared" si="19"/>
        <v>0</v>
      </c>
      <c r="Z63" s="908">
        <f t="shared" si="19"/>
        <v>0</v>
      </c>
      <c r="AA63" s="908">
        <f t="shared" si="19"/>
        <v>0</v>
      </c>
      <c r="AB63" s="908">
        <f t="shared" si="19"/>
        <v>0</v>
      </c>
      <c r="AC63" s="908">
        <f t="shared" si="19"/>
        <v>0</v>
      </c>
      <c r="AD63" s="908">
        <f t="shared" si="20"/>
        <v>0</v>
      </c>
      <c r="AE63" s="908">
        <f t="shared" si="20"/>
        <v>0</v>
      </c>
      <c r="AF63" s="908">
        <f t="shared" si="20"/>
        <v>0</v>
      </c>
    </row>
    <row r="64" spans="1:32" hidden="1" outlineLevel="1">
      <c r="C64" s="820" t="str">
        <f t="shared" si="16"/>
        <v>Asset 3</v>
      </c>
      <c r="I64" s="908">
        <f t="shared" si="17"/>
        <v>0</v>
      </c>
      <c r="J64" s="908">
        <f t="shared" si="18"/>
        <v>0</v>
      </c>
      <c r="K64" s="908">
        <f t="shared" si="18"/>
        <v>0</v>
      </c>
      <c r="L64" s="908">
        <f t="shared" si="18"/>
        <v>0</v>
      </c>
      <c r="M64" s="908">
        <f t="shared" si="18"/>
        <v>0</v>
      </c>
      <c r="N64" s="908">
        <f t="shared" si="18"/>
        <v>0</v>
      </c>
      <c r="O64" s="908">
        <f t="shared" si="18"/>
        <v>0</v>
      </c>
      <c r="P64" s="908">
        <f t="shared" si="18"/>
        <v>0</v>
      </c>
      <c r="Q64" s="908">
        <f t="shared" si="18"/>
        <v>0</v>
      </c>
      <c r="R64" s="908">
        <f t="shared" si="18"/>
        <v>0</v>
      </c>
      <c r="S64" s="908">
        <f t="shared" si="18"/>
        <v>0</v>
      </c>
      <c r="T64" s="908">
        <f t="shared" si="19"/>
        <v>0</v>
      </c>
      <c r="U64" s="908">
        <f t="shared" si="19"/>
        <v>0</v>
      </c>
      <c r="V64" s="908">
        <f t="shared" si="19"/>
        <v>0</v>
      </c>
      <c r="W64" s="908">
        <f t="shared" si="19"/>
        <v>0</v>
      </c>
      <c r="X64" s="908">
        <f t="shared" si="19"/>
        <v>0</v>
      </c>
      <c r="Y64" s="908">
        <f t="shared" si="19"/>
        <v>0</v>
      </c>
      <c r="Z64" s="908">
        <f t="shared" si="19"/>
        <v>0</v>
      </c>
      <c r="AA64" s="908">
        <f t="shared" si="19"/>
        <v>0</v>
      </c>
      <c r="AB64" s="908">
        <f t="shared" si="19"/>
        <v>0</v>
      </c>
      <c r="AC64" s="908">
        <f t="shared" si="19"/>
        <v>0</v>
      </c>
      <c r="AD64" s="908">
        <f t="shared" si="20"/>
        <v>0</v>
      </c>
      <c r="AE64" s="908">
        <f t="shared" si="20"/>
        <v>0</v>
      </c>
      <c r="AF64" s="908">
        <f t="shared" si="20"/>
        <v>0</v>
      </c>
    </row>
    <row r="65" spans="1:32" hidden="1" outlineLevel="1">
      <c r="C65" s="820" t="str">
        <f t="shared" si="16"/>
        <v>Asset 4</v>
      </c>
      <c r="I65" s="908">
        <f t="shared" si="17"/>
        <v>0</v>
      </c>
      <c r="J65" s="908">
        <f t="shared" si="18"/>
        <v>0</v>
      </c>
      <c r="K65" s="908">
        <f t="shared" si="18"/>
        <v>0</v>
      </c>
      <c r="L65" s="908">
        <f t="shared" si="18"/>
        <v>0</v>
      </c>
      <c r="M65" s="908">
        <f t="shared" si="18"/>
        <v>0</v>
      </c>
      <c r="N65" s="908">
        <f t="shared" si="18"/>
        <v>0</v>
      </c>
      <c r="O65" s="908">
        <f t="shared" si="18"/>
        <v>0</v>
      </c>
      <c r="P65" s="908">
        <f t="shared" si="18"/>
        <v>0</v>
      </c>
      <c r="Q65" s="908">
        <f t="shared" si="18"/>
        <v>0</v>
      </c>
      <c r="R65" s="908">
        <f t="shared" si="18"/>
        <v>0</v>
      </c>
      <c r="S65" s="908">
        <f t="shared" si="18"/>
        <v>0</v>
      </c>
      <c r="T65" s="908">
        <f t="shared" si="19"/>
        <v>0</v>
      </c>
      <c r="U65" s="908">
        <f t="shared" si="19"/>
        <v>0</v>
      </c>
      <c r="V65" s="908">
        <f t="shared" si="19"/>
        <v>0</v>
      </c>
      <c r="W65" s="908">
        <f t="shared" si="19"/>
        <v>0</v>
      </c>
      <c r="X65" s="908">
        <f t="shared" si="19"/>
        <v>0</v>
      </c>
      <c r="Y65" s="908">
        <f t="shared" si="19"/>
        <v>0</v>
      </c>
      <c r="Z65" s="908">
        <f t="shared" si="19"/>
        <v>0</v>
      </c>
      <c r="AA65" s="908">
        <f t="shared" si="19"/>
        <v>0</v>
      </c>
      <c r="AB65" s="908">
        <f t="shared" si="19"/>
        <v>0</v>
      </c>
      <c r="AC65" s="908">
        <f t="shared" si="19"/>
        <v>0</v>
      </c>
      <c r="AD65" s="908">
        <f t="shared" si="20"/>
        <v>0</v>
      </c>
      <c r="AE65" s="908">
        <f t="shared" si="20"/>
        <v>0</v>
      </c>
      <c r="AF65" s="908">
        <f t="shared" si="20"/>
        <v>0</v>
      </c>
    </row>
    <row r="66" spans="1:32" hidden="1" outlineLevel="1">
      <c r="C66" s="820" t="str">
        <f t="shared" si="16"/>
        <v>Asset 5</v>
      </c>
      <c r="I66" s="908">
        <f t="shared" si="17"/>
        <v>0</v>
      </c>
      <c r="J66" s="908">
        <f t="shared" si="18"/>
        <v>0</v>
      </c>
      <c r="K66" s="908">
        <f t="shared" si="18"/>
        <v>0</v>
      </c>
      <c r="L66" s="908">
        <f t="shared" si="18"/>
        <v>0</v>
      </c>
      <c r="M66" s="908">
        <f t="shared" si="18"/>
        <v>0</v>
      </c>
      <c r="N66" s="908">
        <f t="shared" si="18"/>
        <v>0</v>
      </c>
      <c r="O66" s="908">
        <f t="shared" si="18"/>
        <v>0</v>
      </c>
      <c r="P66" s="908">
        <f t="shared" si="18"/>
        <v>0</v>
      </c>
      <c r="Q66" s="908">
        <f t="shared" si="18"/>
        <v>0</v>
      </c>
      <c r="R66" s="908">
        <f t="shared" si="18"/>
        <v>0</v>
      </c>
      <c r="S66" s="908">
        <f t="shared" si="18"/>
        <v>0</v>
      </c>
      <c r="T66" s="908">
        <f t="shared" si="19"/>
        <v>0</v>
      </c>
      <c r="U66" s="908">
        <f t="shared" si="19"/>
        <v>0</v>
      </c>
      <c r="V66" s="908">
        <f t="shared" si="19"/>
        <v>0</v>
      </c>
      <c r="W66" s="908">
        <f t="shared" si="19"/>
        <v>0</v>
      </c>
      <c r="X66" s="908">
        <f t="shared" si="19"/>
        <v>0</v>
      </c>
      <c r="Y66" s="908">
        <f t="shared" si="19"/>
        <v>0</v>
      </c>
      <c r="Z66" s="908">
        <f t="shared" si="19"/>
        <v>0</v>
      </c>
      <c r="AA66" s="908">
        <f t="shared" si="19"/>
        <v>0</v>
      </c>
      <c r="AB66" s="908">
        <f t="shared" si="19"/>
        <v>0</v>
      </c>
      <c r="AC66" s="908">
        <f t="shared" si="19"/>
        <v>0</v>
      </c>
      <c r="AD66" s="908">
        <f t="shared" si="20"/>
        <v>0</v>
      </c>
      <c r="AE66" s="908">
        <f t="shared" si="20"/>
        <v>0</v>
      </c>
      <c r="AF66" s="908">
        <f t="shared" si="20"/>
        <v>0</v>
      </c>
    </row>
    <row r="67" spans="1:32" hidden="1" outlineLevel="1">
      <c r="C67" s="820" t="str">
        <f t="shared" si="16"/>
        <v>Asset 6</v>
      </c>
      <c r="I67" s="908">
        <f t="shared" si="17"/>
        <v>0</v>
      </c>
      <c r="J67" s="908">
        <f t="shared" si="18"/>
        <v>0</v>
      </c>
      <c r="K67" s="908">
        <f t="shared" si="18"/>
        <v>0</v>
      </c>
      <c r="L67" s="908">
        <f t="shared" si="18"/>
        <v>0</v>
      </c>
      <c r="M67" s="908">
        <f t="shared" si="18"/>
        <v>0</v>
      </c>
      <c r="N67" s="908">
        <f t="shared" si="18"/>
        <v>0</v>
      </c>
      <c r="O67" s="908">
        <f t="shared" si="18"/>
        <v>0</v>
      </c>
      <c r="P67" s="908">
        <f t="shared" si="18"/>
        <v>0</v>
      </c>
      <c r="Q67" s="908">
        <f t="shared" si="18"/>
        <v>0</v>
      </c>
      <c r="R67" s="908">
        <f t="shared" si="18"/>
        <v>0</v>
      </c>
      <c r="S67" s="908">
        <f t="shared" si="18"/>
        <v>0</v>
      </c>
      <c r="T67" s="908">
        <f t="shared" si="19"/>
        <v>0</v>
      </c>
      <c r="U67" s="908">
        <f t="shared" si="19"/>
        <v>0</v>
      </c>
      <c r="V67" s="908">
        <f t="shared" si="19"/>
        <v>0</v>
      </c>
      <c r="W67" s="908">
        <f t="shared" si="19"/>
        <v>0</v>
      </c>
      <c r="X67" s="908">
        <f t="shared" si="19"/>
        <v>0</v>
      </c>
      <c r="Y67" s="908">
        <f t="shared" si="19"/>
        <v>0</v>
      </c>
      <c r="Z67" s="908">
        <f t="shared" si="19"/>
        <v>0</v>
      </c>
      <c r="AA67" s="908">
        <f t="shared" si="19"/>
        <v>0</v>
      </c>
      <c r="AB67" s="908">
        <f t="shared" si="19"/>
        <v>0</v>
      </c>
      <c r="AC67" s="908">
        <f t="shared" si="19"/>
        <v>0</v>
      </c>
      <c r="AD67" s="908">
        <f t="shared" si="20"/>
        <v>0</v>
      </c>
      <c r="AE67" s="908">
        <f t="shared" si="20"/>
        <v>0</v>
      </c>
      <c r="AF67" s="908">
        <f t="shared" si="20"/>
        <v>0</v>
      </c>
    </row>
    <row r="68" spans="1:32" hidden="1" outlineLevel="1">
      <c r="C68" s="820" t="str">
        <f t="shared" si="16"/>
        <v>Asset 7</v>
      </c>
      <c r="I68" s="908">
        <f t="shared" si="17"/>
        <v>0</v>
      </c>
      <c r="J68" s="908">
        <f t="shared" si="18"/>
        <v>0</v>
      </c>
      <c r="K68" s="908">
        <f t="shared" si="18"/>
        <v>0</v>
      </c>
      <c r="L68" s="908">
        <f t="shared" si="18"/>
        <v>0</v>
      </c>
      <c r="M68" s="908">
        <f t="shared" si="18"/>
        <v>0</v>
      </c>
      <c r="N68" s="908">
        <f t="shared" si="18"/>
        <v>0</v>
      </c>
      <c r="O68" s="908">
        <f t="shared" si="18"/>
        <v>0</v>
      </c>
      <c r="P68" s="908">
        <f t="shared" si="18"/>
        <v>0</v>
      </c>
      <c r="Q68" s="908">
        <f t="shared" si="18"/>
        <v>0</v>
      </c>
      <c r="R68" s="908">
        <f t="shared" si="18"/>
        <v>0</v>
      </c>
      <c r="S68" s="908">
        <f t="shared" si="18"/>
        <v>0</v>
      </c>
      <c r="T68" s="908">
        <f t="shared" si="19"/>
        <v>0</v>
      </c>
      <c r="U68" s="908">
        <f t="shared" si="19"/>
        <v>0</v>
      </c>
      <c r="V68" s="908">
        <f t="shared" si="19"/>
        <v>0</v>
      </c>
      <c r="W68" s="908">
        <f t="shared" si="19"/>
        <v>0</v>
      </c>
      <c r="X68" s="908">
        <f t="shared" si="19"/>
        <v>0</v>
      </c>
      <c r="Y68" s="908">
        <f t="shared" si="19"/>
        <v>0</v>
      </c>
      <c r="Z68" s="908">
        <f t="shared" si="19"/>
        <v>0</v>
      </c>
      <c r="AA68" s="908">
        <f t="shared" si="19"/>
        <v>0</v>
      </c>
      <c r="AB68" s="908">
        <f t="shared" si="19"/>
        <v>0</v>
      </c>
      <c r="AC68" s="908">
        <f t="shared" si="19"/>
        <v>0</v>
      </c>
      <c r="AD68" s="908">
        <f t="shared" si="20"/>
        <v>0</v>
      </c>
      <c r="AE68" s="908">
        <f t="shared" si="20"/>
        <v>0</v>
      </c>
      <c r="AF68" s="908">
        <f t="shared" si="20"/>
        <v>0</v>
      </c>
    </row>
    <row r="69" spans="1:32" hidden="1" outlineLevel="1">
      <c r="C69" s="820" t="str">
        <f t="shared" si="16"/>
        <v>Asset 8</v>
      </c>
      <c r="I69" s="908">
        <f t="shared" si="17"/>
        <v>0</v>
      </c>
      <c r="J69" s="908">
        <f t="shared" si="18"/>
        <v>0</v>
      </c>
      <c r="K69" s="908">
        <f t="shared" si="18"/>
        <v>0</v>
      </c>
      <c r="L69" s="908">
        <f t="shared" si="18"/>
        <v>0</v>
      </c>
      <c r="M69" s="908">
        <f t="shared" si="18"/>
        <v>0</v>
      </c>
      <c r="N69" s="908">
        <f t="shared" si="18"/>
        <v>0</v>
      </c>
      <c r="O69" s="908">
        <f t="shared" si="18"/>
        <v>0</v>
      </c>
      <c r="P69" s="908">
        <f t="shared" si="18"/>
        <v>0</v>
      </c>
      <c r="Q69" s="908">
        <f t="shared" si="18"/>
        <v>0</v>
      </c>
      <c r="R69" s="908">
        <f t="shared" si="18"/>
        <v>0</v>
      </c>
      <c r="S69" s="908">
        <f t="shared" si="18"/>
        <v>0</v>
      </c>
      <c r="T69" s="908">
        <f t="shared" si="19"/>
        <v>0</v>
      </c>
      <c r="U69" s="908">
        <f t="shared" si="19"/>
        <v>0</v>
      </c>
      <c r="V69" s="908">
        <f t="shared" si="19"/>
        <v>0</v>
      </c>
      <c r="W69" s="908">
        <f t="shared" si="19"/>
        <v>0</v>
      </c>
      <c r="X69" s="908">
        <f t="shared" si="19"/>
        <v>0</v>
      </c>
      <c r="Y69" s="908">
        <f t="shared" si="19"/>
        <v>0</v>
      </c>
      <c r="Z69" s="908">
        <f t="shared" si="19"/>
        <v>0</v>
      </c>
      <c r="AA69" s="908">
        <f t="shared" si="19"/>
        <v>0</v>
      </c>
      <c r="AB69" s="908">
        <f t="shared" si="19"/>
        <v>0</v>
      </c>
      <c r="AC69" s="908">
        <f t="shared" si="19"/>
        <v>0</v>
      </c>
      <c r="AD69" s="908">
        <f t="shared" si="20"/>
        <v>0</v>
      </c>
      <c r="AE69" s="908">
        <f t="shared" si="20"/>
        <v>0</v>
      </c>
      <c r="AF69" s="908">
        <f t="shared" si="20"/>
        <v>0</v>
      </c>
    </row>
    <row r="70" spans="1:32" hidden="1" outlineLevel="1">
      <c r="C70" s="820" t="str">
        <f t="shared" si="16"/>
        <v>Asset 9</v>
      </c>
      <c r="I70" s="908">
        <f t="shared" si="17"/>
        <v>0</v>
      </c>
      <c r="J70" s="908">
        <f t="shared" si="18"/>
        <v>0</v>
      </c>
      <c r="K70" s="908">
        <f t="shared" si="18"/>
        <v>0</v>
      </c>
      <c r="L70" s="908">
        <f t="shared" si="18"/>
        <v>0</v>
      </c>
      <c r="M70" s="908">
        <f t="shared" si="18"/>
        <v>0</v>
      </c>
      <c r="N70" s="908">
        <f t="shared" si="18"/>
        <v>0</v>
      </c>
      <c r="O70" s="908">
        <f t="shared" si="18"/>
        <v>0</v>
      </c>
      <c r="P70" s="908">
        <f t="shared" si="18"/>
        <v>0</v>
      </c>
      <c r="Q70" s="908">
        <f t="shared" si="18"/>
        <v>0</v>
      </c>
      <c r="R70" s="908">
        <f t="shared" si="18"/>
        <v>0</v>
      </c>
      <c r="S70" s="908">
        <f t="shared" si="18"/>
        <v>0</v>
      </c>
      <c r="T70" s="908">
        <f t="shared" si="19"/>
        <v>0</v>
      </c>
      <c r="U70" s="908">
        <f t="shared" si="19"/>
        <v>0</v>
      </c>
      <c r="V70" s="908">
        <f t="shared" si="19"/>
        <v>0</v>
      </c>
      <c r="W70" s="908">
        <f t="shared" si="19"/>
        <v>0</v>
      </c>
      <c r="X70" s="908">
        <f t="shared" si="19"/>
        <v>0</v>
      </c>
      <c r="Y70" s="908">
        <f t="shared" si="19"/>
        <v>0</v>
      </c>
      <c r="Z70" s="908">
        <f t="shared" si="19"/>
        <v>0</v>
      </c>
      <c r="AA70" s="908">
        <f t="shared" si="19"/>
        <v>0</v>
      </c>
      <c r="AB70" s="908">
        <f t="shared" si="19"/>
        <v>0</v>
      </c>
      <c r="AC70" s="908">
        <f t="shared" si="19"/>
        <v>0</v>
      </c>
      <c r="AD70" s="908">
        <f t="shared" si="20"/>
        <v>0</v>
      </c>
      <c r="AE70" s="908">
        <f t="shared" si="20"/>
        <v>0</v>
      </c>
      <c r="AF70" s="908">
        <f t="shared" si="20"/>
        <v>0</v>
      </c>
    </row>
    <row r="71" spans="1:32" hidden="1" outlineLevel="1">
      <c r="C71" s="820" t="str">
        <f t="shared" si="16"/>
        <v>Asset 10</v>
      </c>
      <c r="I71" s="908">
        <f t="shared" si="17"/>
        <v>0</v>
      </c>
      <c r="J71" s="908">
        <f t="shared" si="18"/>
        <v>0</v>
      </c>
      <c r="K71" s="908">
        <f t="shared" si="18"/>
        <v>0</v>
      </c>
      <c r="L71" s="908">
        <f t="shared" si="18"/>
        <v>0</v>
      </c>
      <c r="M71" s="908">
        <f t="shared" si="18"/>
        <v>0</v>
      </c>
      <c r="N71" s="908">
        <f t="shared" si="18"/>
        <v>0</v>
      </c>
      <c r="O71" s="908">
        <f t="shared" si="18"/>
        <v>0</v>
      </c>
      <c r="P71" s="908">
        <f t="shared" si="18"/>
        <v>0</v>
      </c>
      <c r="Q71" s="908">
        <f t="shared" si="18"/>
        <v>0</v>
      </c>
      <c r="R71" s="908">
        <f t="shared" si="18"/>
        <v>0</v>
      </c>
      <c r="S71" s="908">
        <f t="shared" si="18"/>
        <v>0</v>
      </c>
      <c r="T71" s="908">
        <f t="shared" si="19"/>
        <v>0</v>
      </c>
      <c r="U71" s="908">
        <f t="shared" si="19"/>
        <v>0</v>
      </c>
      <c r="V71" s="908">
        <f t="shared" si="19"/>
        <v>0</v>
      </c>
      <c r="W71" s="908">
        <f t="shared" si="19"/>
        <v>0</v>
      </c>
      <c r="X71" s="908">
        <f t="shared" si="19"/>
        <v>0</v>
      </c>
      <c r="Y71" s="908">
        <f t="shared" si="19"/>
        <v>0</v>
      </c>
      <c r="Z71" s="908">
        <f t="shared" si="19"/>
        <v>0</v>
      </c>
      <c r="AA71" s="908">
        <f t="shared" si="19"/>
        <v>0</v>
      </c>
      <c r="AB71" s="908">
        <f t="shared" si="19"/>
        <v>0</v>
      </c>
      <c r="AC71" s="908">
        <f t="shared" si="19"/>
        <v>0</v>
      </c>
      <c r="AD71" s="908">
        <f t="shared" si="20"/>
        <v>0</v>
      </c>
      <c r="AE71" s="908">
        <f t="shared" si="20"/>
        <v>0</v>
      </c>
      <c r="AF71" s="908">
        <f t="shared" si="20"/>
        <v>0</v>
      </c>
    </row>
    <row r="72" spans="1:32" collapsed="1">
      <c r="B72" s="901" t="s">
        <v>542</v>
      </c>
      <c r="I72" s="909">
        <f t="shared" ref="I72:R72" ca="1" si="21">SUM(I62:I71)</f>
        <v>11990.927908299995</v>
      </c>
      <c r="J72" s="909">
        <f t="shared" ca="1" si="21"/>
        <v>23981.855816599989</v>
      </c>
      <c r="K72" s="909">
        <f t="shared" ca="1" si="21"/>
        <v>23981.855816599989</v>
      </c>
      <c r="L72" s="909">
        <f t="shared" ca="1" si="21"/>
        <v>23981.855816599989</v>
      </c>
      <c r="M72" s="909">
        <f t="shared" ca="1" si="21"/>
        <v>23981.855816599989</v>
      </c>
      <c r="N72" s="909">
        <f t="shared" ca="1" si="21"/>
        <v>23981.855816599989</v>
      </c>
      <c r="O72" s="909">
        <f t="shared" ca="1" si="21"/>
        <v>23981.855816599989</v>
      </c>
      <c r="P72" s="909">
        <f t="shared" ca="1" si="21"/>
        <v>23981.855816599989</v>
      </c>
      <c r="Q72" s="909">
        <f t="shared" ca="1" si="21"/>
        <v>23981.855816599989</v>
      </c>
      <c r="R72" s="909">
        <f t="shared" ca="1" si="21"/>
        <v>23981.855816599989</v>
      </c>
      <c r="S72" s="909">
        <f t="shared" ref="S72:AC72" ca="1" si="22">SUM(S62:S71)</f>
        <v>23981.855816599989</v>
      </c>
      <c r="T72" s="909">
        <f t="shared" ca="1" si="22"/>
        <v>23981.855816599989</v>
      </c>
      <c r="U72" s="909">
        <f t="shared" ca="1" si="22"/>
        <v>23981.855816599989</v>
      </c>
      <c r="V72" s="909">
        <f t="shared" ca="1" si="22"/>
        <v>23981.855816599989</v>
      </c>
      <c r="W72" s="909">
        <f t="shared" ca="1" si="22"/>
        <v>23981.855816599989</v>
      </c>
      <c r="X72" s="909">
        <f t="shared" ca="1" si="22"/>
        <v>23981.855816599989</v>
      </c>
      <c r="Y72" s="909">
        <f t="shared" ca="1" si="22"/>
        <v>23981.855816599989</v>
      </c>
      <c r="Z72" s="909">
        <f t="shared" ca="1" si="22"/>
        <v>23981.855816599989</v>
      </c>
      <c r="AA72" s="909">
        <f t="shared" ca="1" si="22"/>
        <v>23981.855816599989</v>
      </c>
      <c r="AB72" s="909">
        <f t="shared" ca="1" si="22"/>
        <v>23981.855816599989</v>
      </c>
      <c r="AC72" s="909">
        <f t="shared" ca="1" si="22"/>
        <v>11990.927908299995</v>
      </c>
      <c r="AD72" s="909">
        <f ca="1">SUM(AD62:AD71)</f>
        <v>0</v>
      </c>
      <c r="AE72" s="909">
        <f ca="1">SUM(AE62:AE71)</f>
        <v>0</v>
      </c>
      <c r="AF72" s="909">
        <f ca="1">SUM(AF62:AF71)</f>
        <v>0</v>
      </c>
    </row>
    <row r="73" spans="1:32">
      <c r="I73" s="848"/>
      <c r="J73" s="848"/>
      <c r="K73" s="848"/>
      <c r="L73" s="848"/>
      <c r="M73" s="848"/>
      <c r="N73" s="848"/>
      <c r="O73" s="848"/>
      <c r="P73" s="848"/>
      <c r="Q73" s="848"/>
      <c r="R73" s="848"/>
      <c r="S73" s="848"/>
      <c r="T73" s="848"/>
      <c r="U73" s="848"/>
      <c r="V73" s="848"/>
      <c r="W73" s="848"/>
      <c r="X73" s="848"/>
      <c r="Y73" s="848"/>
      <c r="Z73" s="848"/>
      <c r="AA73" s="848"/>
      <c r="AB73" s="848"/>
      <c r="AC73" s="848"/>
      <c r="AD73" s="848"/>
      <c r="AE73" s="848"/>
      <c r="AF73" s="848"/>
    </row>
    <row r="74" spans="1:32">
      <c r="A74" s="901" t="s">
        <v>512</v>
      </c>
      <c r="I74" s="848"/>
      <c r="J74" s="848"/>
      <c r="K74" s="848"/>
      <c r="L74" s="848"/>
      <c r="M74" s="848"/>
      <c r="N74" s="848"/>
      <c r="O74" s="848"/>
      <c r="P74" s="848"/>
      <c r="Q74" s="848"/>
      <c r="R74" s="848"/>
      <c r="S74" s="848"/>
      <c r="T74" s="848"/>
      <c r="U74" s="848"/>
      <c r="V74" s="848"/>
      <c r="W74" s="848"/>
      <c r="X74" s="848"/>
      <c r="Y74" s="848"/>
      <c r="Z74" s="848"/>
      <c r="AA74" s="848"/>
      <c r="AB74" s="848"/>
      <c r="AC74" s="848"/>
      <c r="AD74" s="848"/>
      <c r="AE74" s="848"/>
      <c r="AF74" s="848"/>
    </row>
    <row r="75" spans="1:32">
      <c r="C75" s="820" t="str">
        <f>+C54</f>
        <v>Funding 1</v>
      </c>
      <c r="I75" s="908">
        <f ca="1">IF(D54=0,0,IF($H54="SL",SLN($D54,$E54,$G54)*IF(YEAR($F54)&lt;(J$3-1),IF(YEAR($F54)+$G54=J$3-1,(MONTH($F54)-1)/12,IF(YEAR($F54)+$G54&lt;J$3-1,0,1)),IF(YEAR($F54)&gt;J$3-1,0,(12-MONTH($F54)+1)/12)),IF(YEAR($F54)&gt;J$3-1,0,VDB($D54,$E54,$G54,IF(YEAR($F54)=J$3-1,0,MIN($G54,(DATE(J$3-1,1,1)-$F54)/365)),MIN($G54,(DATE(J$3-1,12,31)-$F54)/365),$I54))))</f>
        <v>3468.8041449010702</v>
      </c>
      <c r="J75" s="908">
        <f ca="1">IF(D54=0,0,IF($H54="SL",SLN($D54,$E54,$G54)*IF(YEAR($F54)&lt;J$3,IF(YEAR($F54)+$G54=J$3,(MONTH($F54)-1)/12,IF(YEAR($F54)+$G54&lt;J$3,0,1)),IF(YEAR($F54)&gt;J$3,0,(12-MONTH($F54)+1)/12)),IF(YEAR($F54)&gt;J$3,0,VDB($D54,$E54,$G54,IF(YEAR($F54)=J$3,0,MIN($G54,(DATE(J$3,1,1)-$F54)/365)),MIN($G54,(DATE(J$3,12,31)-$F54)/365),$I54))))</f>
        <v>6937.6082898021405</v>
      </c>
      <c r="K75" s="908">
        <f ca="1">IF(D54=0,0,IF($H54="SL",SLN($D54,$E54,$G54)*IF(YEAR($F54)&lt;K$3,IF(YEAR($F54)+$G54=K$3,(MONTH($F54)-1)/12,IF(YEAR($F54)+$G54&lt;K$3,0,1)),IF(YEAR($F54)&gt;K$3,0,(12-MONTH($F54)+1)/12)),IF(YEAR($F54)&gt;K$3,0,VDB($D54,$E54,$G54,IF(YEAR($F54)=K$3,0,MIN($G54,(DATE(K$3,1,1)-$F54)/365)),MIN($G54,(DATE(K$3,12,31)-$F54)/365),$I54))))</f>
        <v>6937.6082898021405</v>
      </c>
      <c r="L75" s="908">
        <f ca="1">IF(D54=0,0,IF($H54="SL",SLN($D54,$E54,$G54)*IF(YEAR($F54)&lt;L$3,IF(YEAR($F54)+$G54=L$3,(MONTH($F54)-1)/12,IF(YEAR($F54)+$G54&lt;L$3,0,1)),IF(YEAR($F54)&gt;L$3,0,(12-MONTH($F54)+1)/12)),IF(YEAR($F54)&gt;L$3,0,VDB($D54,$E54,$G54,IF(YEAR($F54)=L$3,0,MIN($G54,(DATE(L$3,1,1)-$F54)/365)),MIN($G54,(DATE(L$3,12,31)-$F54)/365),$I54))))</f>
        <v>6937.6082898021405</v>
      </c>
      <c r="M75" s="908">
        <f ca="1">IF(D54=0,0,IF($H54="SL",SLN($D54,$E54,$G54)*IF(YEAR($F54)&lt;M$3,IF(YEAR($F54)+$G54=M$3,(MONTH($F54)-1)/12,IF(YEAR($F54)+$G54&lt;M$3,0,1)),IF(YEAR($F54)&gt;M$3,0,(12-MONTH($F54)+1)/12)),IF(YEAR($F54)&gt;M$3,0,VDB($D54,$E54,$G54,IF(YEAR($F54)=M$3,0,MIN($G54,(DATE(M$3,1,1)-$F54)/365)),MIN($G54,(DATE(M$3,12,31)-$F54)/365),$I54))))</f>
        <v>6937.6082898021405</v>
      </c>
      <c r="N75" s="908">
        <f ca="1">IF(D54=0,0,IF($H54="SL",SLN($D54,$E54,$G54)*IF(YEAR($F54)&lt;N$3,IF(YEAR($F54)+$G54=N$3,(MONTH($F54)-1)/12,IF(YEAR($F54)+$G54&lt;N$3,0,1)),IF(YEAR($F54)&gt;N$3,0,(12-MONTH($F54)+1)/12)),IF(YEAR($F54)&gt;N$3,0,VDB($D54,$E54,$G54,IF(YEAR($F54)=N$3,0,MIN($G54,(DATE(N$3,1,1)-$F54)/365)),MIN($G54,(DATE(N$3,12,31)-$F54)/365),$I54))))</f>
        <v>6937.6082898021405</v>
      </c>
      <c r="O75" s="908">
        <f ca="1">IF(D54=0,0,IF($H54="SL",SLN($D54,$E54,$G54)*IF(YEAR($F54)&lt;O$3,IF(YEAR($F54)+$G54=O$3,(MONTH($F54)-1)/12,IF(YEAR($F54)+$G54&lt;O$3,0,1)),IF(YEAR($F54)&gt;O$3,0,(12-MONTH($F54)+1)/12)),IF(YEAR($F54)&gt;O$3,0,VDB($D54,$E54,$G54,IF(YEAR($F54)=O$3,0,MIN($G54,(DATE(O$3,1,1)-$F54)/365)),MIN($G54,(DATE(O$3,12,31)-$F54)/365),$I54))))</f>
        <v>6937.6082898021405</v>
      </c>
      <c r="P75" s="908">
        <f ca="1">IF(D54=0,0,IF($H54="SL",SLN($D54,$E54,$G54)*IF(YEAR($F54)&lt;P$3,IF(YEAR($F54)+$G54=P$3,(MONTH($F54)-1)/12,IF(YEAR($F54)+$G54&lt;P$3,0,1)),IF(YEAR($F54)&gt;P$3,0,(12-MONTH($F54)+1)/12)),IF(YEAR($F54)&gt;P$3,0,VDB($D54,$E54,$G54,IF(YEAR($F54)=P$3,0,MIN($G54,(DATE(P$3,1,1)-$F54)/365)),MIN($G54,(DATE(P$3,12,31)-$F54)/365),$I54))))</f>
        <v>3468.8041449010702</v>
      </c>
      <c r="Q75" s="908">
        <f ca="1">IF(D54=0,0,IF($H54="SL",SLN($D54,$E54,$G54)*IF(YEAR($F54)&lt;Q$3,IF(YEAR($F54)+$G54=Q$3,(MONTH($F54)-1)/12,IF(YEAR($F54)+$G54&lt;Q$3,0,1)),IF(YEAR($F54)&gt;Q$3,0,(12-MONTH($F54)+1)/12)),IF(YEAR($F54)&gt;Q$3,0,VDB($D54,$E54,$G54,IF(YEAR($F54)=Q$3,0,MIN($G54,(DATE(Q$3,1,1)-$F54)/365)),MIN($G54,(DATE(Q$3,12,31)-$F54)/365),$I54))))</f>
        <v>0</v>
      </c>
      <c r="R75" s="908">
        <f ca="1">IF(D54=0,0,IF($H54="SL",SLN($D54,$E54,$G54)*IF(YEAR($F54)&lt;R$3,IF(YEAR($F54)+$G54=R$3,(MONTH($F54)-1)/12,IF(YEAR($F54)+$G54&lt;R$3,0,1)),IF(YEAR($F54)&gt;R$3,0,(12-MONTH($F54)+1)/12)),IF(YEAR($F54)&gt;R$3,0,VDB($D54,$E54,$G54,IF(YEAR($F54)=R$3,0,MIN($G54,(DATE(R$3,1,1)-$F54)/365)),MIN($G54,(DATE(R$3,12,31)-$F54)/365),$I54))))</f>
        <v>0</v>
      </c>
      <c r="S75" s="908">
        <f ca="1">IF(D54=0,0,IF($H54="SL",SLN($D54,$E54,$G54)*IF(YEAR($F54)&lt;S$3,IF(YEAR($F54)+$G54=S$3,(MONTH($F54)-1)/12,IF(YEAR($F54)+$G54&lt;S$3,0,1)),IF(YEAR($F54)&gt;S$3,0,(12-MONTH($F54)+1)/12)),IF(YEAR($F54)&gt;S$3,0,VDB($D54,$E54,$G54,IF(YEAR($F54)=S$3,0,MIN($G54,(DATE(S$3,1,1)-$F54)/365)),MIN($G54,(DATE(S$3,12,31)-$F54)/365),$I54))))</f>
        <v>0</v>
      </c>
      <c r="T75" s="908">
        <f ca="1">IF(D54=0,0,IF($H54="SL",SLN($D54,$E54,$G54)*IF(YEAR($F54)&lt;T$3,IF(YEAR($F54)+$G54=T$3,(MONTH($F54)-1)/12,IF(YEAR($F54)+$G54&lt;T$3,0,1)),IF(YEAR($F54)&gt;T$3,0,(12-MONTH($F54)+1)/12)),IF(YEAR($F54)&gt;T$3,0,VDB($D54,$E54,$G54,IF(YEAR($F54)=T$3,0,MIN($G54,(DATE(T$3,1,1)-$F54)/365)),MIN($G54,(DATE(T$3,12,31)-$F54)/365),$I54))))</f>
        <v>0</v>
      </c>
      <c r="U75" s="908">
        <f ca="1">IF(D54=0,0,IF($H54="SL",SLN($D54,$E54,$G54)*IF(YEAR($F54)&lt;U$3,IF(YEAR($F54)+$G54=U$3,(MONTH($F54)-1)/12,IF(YEAR($F54)+$G54&lt;U$3,0,1)),IF(YEAR($F54)&gt;U$3,0,(12-MONTH($F54)+1)/12)),IF(YEAR($F54)&gt;U$3,0,VDB($D54,$E54,$G54,IF(YEAR($F54)=U$3,0,MIN($G54,(DATE(U$3,1,1)-$F54)/365)),MIN($G54,(DATE(U$3,12,31)-$F54)/365),$I54))))</f>
        <v>0</v>
      </c>
      <c r="V75" s="908">
        <f ca="1">IF(D54=0,0,IF($H54="SL",SLN($D54,$E54,$G54)*IF(YEAR($F54)&lt;V$3,IF(YEAR($F54)+$G54=V$3,(MONTH($F54)-1)/12,IF(YEAR($F54)+$G54&lt;V$3,0,1)),IF(YEAR($F54)&gt;V$3,0,(12-MONTH($F54)+1)/12)),IF(YEAR($F54)&gt;V$3,0,VDB($D54,$E54,$G54,IF(YEAR($F54)=V$3,0,MIN($G54,(DATE(V$3,1,1)-$F54)/365)),MIN($G54,(DATE(V$3,12,31)-$F54)/365),$I54))))</f>
        <v>0</v>
      </c>
      <c r="W75" s="908">
        <f ca="1">IF(D54=0,0,IF($H54="SL",SLN($D54,$E54,$G54)*IF(YEAR($F54)&lt;W$3,IF(YEAR($F54)+$G54=W$3,(MONTH($F54)-1)/12,IF(YEAR($F54)+$G54&lt;W$3,0,1)),IF(YEAR($F54)&gt;W$3,0,(12-MONTH($F54)+1)/12)),IF(YEAR($F54)&gt;W$3,0,VDB($D54,$E54,$G54,IF(YEAR($F54)=W$3,0,MIN($G54,(DATE(W$3,1,1)-$F54)/365)),MIN($G54,(DATE(W$3,12,31)-$F54)/365),$I54))))</f>
        <v>0</v>
      </c>
      <c r="X75" s="908">
        <f ca="1">IF(D54=0,0,IF($H54="SL",SLN($D54,$E54,$G54)*IF(YEAR($F54)&lt;X$3,IF(YEAR($F54)+$G54=X$3,(MONTH($F54)-1)/12,IF(YEAR($F54)+$G54&lt;X$3,0,1)),IF(YEAR($F54)&gt;X$3,0,(12-MONTH($F54)+1)/12)),IF(YEAR($F54)&gt;X$3,0,VDB($D54,$E54,$G54,IF(YEAR($F54)=X$3,0,MIN($G54,(DATE(X$3,1,1)-$F54)/365)),MIN($G54,(DATE(X$3,12,31)-$F54)/365),$I54))))</f>
        <v>0</v>
      </c>
      <c r="Y75" s="908">
        <f ca="1">IF(D54=0,0,IF($H54="SL",SLN($D54,$E54,$G54)*IF(YEAR($F54)&lt;Y$3,IF(YEAR($F54)+$G54=Y$3,(MONTH($F54)-1)/12,IF(YEAR($F54)+$G54&lt;Y$3,0,1)),IF(YEAR($F54)&gt;Y$3,0,(12-MONTH($F54)+1)/12)),IF(YEAR($F54)&gt;Y$3,0,VDB($D54,$E54,$G54,IF(YEAR($F54)=Y$3,0,MIN($G54,(DATE(Y$3,1,1)-$F54)/365)),MIN($G54,(DATE(Y$3,12,31)-$F54)/365),$I54))))</f>
        <v>0</v>
      </c>
      <c r="Z75" s="908">
        <f ca="1">IF(D54=0,0,IF($H54="SL",SLN($D54,$E54,$G54)*IF(YEAR($F54)&lt;Z$3,IF(YEAR($F54)+$G54=Z$3,(MONTH($F54)-1)/12,IF(YEAR($F54)+$G54&lt;Z$3,0,1)),IF(YEAR($F54)&gt;Z$3,0,(12-MONTH($F54)+1)/12)),IF(YEAR($F54)&gt;Z$3,0,VDB($D54,$E54,$G54,IF(YEAR($F54)=Z$3,0,MIN($G54,(DATE(Z$3,1,1)-$F54)/365)),MIN($G54,(DATE(Z$3,12,31)-$F54)/365),$I54))))</f>
        <v>0</v>
      </c>
      <c r="AA75" s="908">
        <f ca="1">IF(D54=0,0,IF($H54="SL",SLN($D54,$E54,$G54)*IF(YEAR($F54)&lt;AA$3,IF(YEAR($F54)+$G54=AA$3,(MONTH($F54)-1)/12,IF(YEAR($F54)+$G54&lt;AA$3,0,1)),IF(YEAR($F54)&gt;AA$3,0,(12-MONTH($F54)+1)/12)),IF(YEAR($F54)&gt;AA$3,0,VDB($D54,$E54,$G54,IF(YEAR($F54)=AA$3,0,MIN($G54,(DATE(AA$3,1,1)-$F54)/365)),MIN($G54,(DATE(AA$3,12,31)-$F54)/365),$I54))))</f>
        <v>0</v>
      </c>
      <c r="AB75" s="908">
        <f ca="1">IF(D54=0,0,IF($H54="SL",SLN($D54,$E54,$G54)*IF(YEAR($F54)&lt;AB$3,IF(YEAR($F54)+$G54=AB$3,(MONTH($F54)-1)/12,IF(YEAR($F54)+$G54&lt;AB$3,0,1)),IF(YEAR($F54)&gt;AB$3,0,(12-MONTH($F54)+1)/12)),IF(YEAR($F54)&gt;AB$3,0,VDB($D54,$E54,$G54,IF(YEAR($F54)=AB$3,0,MIN($G54,(DATE(AB$3,1,1)-$F54)/365)),MIN($G54,(DATE(AB$3,12,31)-$F54)/365),$I54))))</f>
        <v>0</v>
      </c>
      <c r="AC75" s="908">
        <f t="shared" ref="AC75:AF76" ca="1" si="23">IF(D54=0,0,IF($H54="SL",SLN($D54,$E54,$G54)*IF(YEAR($F54)&lt;AC$3,IF(YEAR($F54)+$G54=AC$3,(MONTH($F54)-1)/12,IF(YEAR($F54)+$G54&lt;AC$3,0,1)),IF(YEAR($F54)&gt;AC$3,0,(12-MONTH($F54)+1)/12)),IF(YEAR($F54)&gt;AC$3,0,VDB($D54,$E54,$G54,IF(YEAR($F54)=AC$3,0,MIN($G54,(DATE(AC$3,1,1)-$F54)/365)),MIN($G54,(DATE(AC$3,12,31)-$F54)/365),$I54))))</f>
        <v>0</v>
      </c>
      <c r="AD75" s="908">
        <f t="shared" ca="1" si="23"/>
        <v>0</v>
      </c>
      <c r="AE75" s="908">
        <f t="shared" ca="1" si="23"/>
        <v>0</v>
      </c>
      <c r="AF75" s="908">
        <f t="shared" ca="1" si="23"/>
        <v>0</v>
      </c>
    </row>
    <row r="76" spans="1:32" hidden="1" outlineLevel="1">
      <c r="A76" s="869"/>
      <c r="C76" s="820" t="str">
        <f>+C55</f>
        <v>Funding 2</v>
      </c>
      <c r="I76" s="908">
        <f>IF(D55=0,0,IF($H55="SL",SLN($D55,$E55,$G55)*IF(YEAR($F55)&lt;(J$3-1),IF(YEAR($F55)+$G55=J$3-1,(MONTH($F55)-1)/12,IF(YEAR($F55)+$G55&lt;J$3-1,0,1)),IF(YEAR($F55)&gt;J$3-1,0,(12-MONTH($F55)+1)/12)),IF(YEAR($F55)&gt;J$3-1,0,VDB($D55,$E55,$G55,IF(YEAR($F55)=J$3-1,0,MIN($G55,(DATE(J$3-1,1,1)-$F55)/365)),MIN($G55,(DATE(J$3-1,12,31)-$F55)/365),$I55))))</f>
        <v>0</v>
      </c>
      <c r="J76" s="908">
        <f>IF(D55=0,0,IF($H55="SL",SLN($D55,$E55,$G55)*IF(YEAR($F55)&lt;J$3,IF(YEAR($F55)+$G55=J$3,(MONTH($F55)-1)/12,IF(YEAR($F55)+$G55&lt;J$3,0,1)),IF(YEAR($F55)&gt;J$3,0,(12-MONTH($F55)+1)/12)),IF(YEAR($F55)&gt;J$3,0,VDB($D55,$E55,$G55,IF(YEAR($F55)=J$3,0,MIN($G55,(DATE(J$3,1,1)-$F55)/365)),MIN($G55,(DATE(J$3,12,31)-$F55)/365),$I55))))</f>
        <v>0</v>
      </c>
      <c r="K76" s="908">
        <f>IF(D55=0,0,IF($H55="SL",SLN($D55,$E55,$G55)*IF(YEAR($F55)&lt;K$3,IF(YEAR($F55)+$G55=K$3,(MONTH($F55)-1)/12,IF(YEAR($F55)+$G55&lt;K$3,0,1)),IF(YEAR($F55)&gt;K$3,0,(12-MONTH($F55)+1)/12)),IF(YEAR($F55)&gt;K$3,0,VDB($D55,$E55,$G55,IF(YEAR($F55)=K$3,0,MIN($G55,(DATE(K$3,1,1)-$F55)/365)),MIN($G55,(DATE(K$3,12,31)-$F55)/365),$I55))))</f>
        <v>0</v>
      </c>
      <c r="L76" s="908">
        <f>IF(D55=0,0,IF($H55="SL",SLN($D55,$E55,$G55)*IF(YEAR($F55)&lt;L$3,IF(YEAR($F55)+$G55=L$3,(MONTH($F55)-1)/12,IF(YEAR($F55)+$G55&lt;L$3,0,1)),IF(YEAR($F55)&gt;L$3,0,(12-MONTH($F55)+1)/12)),IF(YEAR($F55)&gt;L$3,0,VDB($D55,$E55,$G55,IF(YEAR($F55)=L$3,0,MIN($G55,(DATE(L$3,1,1)-$F55)/365)),MIN($G55,(DATE(L$3,12,31)-$F55)/365),$I55))))</f>
        <v>0</v>
      </c>
      <c r="M76" s="908">
        <f>IF(D55=0,0,IF($H55="SL",SLN($D55,$E55,$G55)*IF(YEAR($F55)&lt;M$3,IF(YEAR($F55)+$G55=M$3,(MONTH($F55)-1)/12,IF(YEAR($F55)+$G55&lt;M$3,0,1)),IF(YEAR($F55)&gt;M$3,0,(12-MONTH($F55)+1)/12)),IF(YEAR($F55)&gt;M$3,0,VDB($D55,$E55,$G55,IF(YEAR($F55)=M$3,0,MIN($G55,(DATE(M$3,1,1)-$F55)/365)),MIN($G55,(DATE(M$3,12,31)-$F55)/365),$I55))))</f>
        <v>0</v>
      </c>
      <c r="N76" s="908">
        <f>IF(D55=0,0,IF($H55="SL",SLN($D55,$E55,$G55)*IF(YEAR($F55)&lt;N$3,IF(YEAR($F55)+$G55=N$3,(MONTH($F55)-1)/12,IF(YEAR($F55)+$G55&lt;N$3,0,1)),IF(YEAR($F55)&gt;N$3,0,(12-MONTH($F55)+1)/12)),IF(YEAR($F55)&gt;N$3,0,VDB($D55,$E55,$G55,IF(YEAR($F55)=N$3,0,MIN($G55,(DATE(N$3,1,1)-$F55)/365)),MIN($G55,(DATE(N$3,12,31)-$F55)/365),$I55))))</f>
        <v>0</v>
      </c>
      <c r="O76" s="908">
        <f>IF(D55=0,0,IF($H55="SL",SLN($D55,$E55,$G55)*IF(YEAR($F55)&lt;O$3,IF(YEAR($F55)+$G55=O$3,(MONTH($F55)-1)/12,IF(YEAR($F55)+$G55&lt;O$3,0,1)),IF(YEAR($F55)&gt;O$3,0,(12-MONTH($F55)+1)/12)),IF(YEAR($F55)&gt;O$3,0,VDB($D55,$E55,$G55,IF(YEAR($F55)=O$3,0,MIN($G55,(DATE(O$3,1,1)-$F55)/365)),MIN($G55,(DATE(O$3,12,31)-$F55)/365),$I55))))</f>
        <v>0</v>
      </c>
      <c r="P76" s="908">
        <f>IF(D55=0,0,IF($H55="SL",SLN($D55,$E55,$G55)*IF(YEAR($F55)&lt;P$3,IF(YEAR($F55)+$G55=P$3,(MONTH($F55)-1)/12,IF(YEAR($F55)+$G55&lt;P$3,0,1)),IF(YEAR($F55)&gt;P$3,0,(12-MONTH($F55)+1)/12)),IF(YEAR($F55)&gt;P$3,0,VDB($D55,$E55,$G55,IF(YEAR($F55)=P$3,0,MIN($G55,(DATE(P$3,1,1)-$F55)/365)),MIN($G55,(DATE(P$3,12,31)-$F55)/365),$I55))))</f>
        <v>0</v>
      </c>
      <c r="Q76" s="908">
        <f>IF(D55=0,0,IF($H55="SL",SLN($D55,$E55,$G55)*IF(YEAR($F55)&lt;Q$3,IF(YEAR($F55)+$G55=Q$3,(MONTH($F55)-1)/12,IF(YEAR($F55)+$G55&lt;Q$3,0,1)),IF(YEAR($F55)&gt;Q$3,0,(12-MONTH($F55)+1)/12)),IF(YEAR($F55)&gt;Q$3,0,VDB($D55,$E55,$G55,IF(YEAR($F55)=Q$3,0,MIN($G55,(DATE(Q$3,1,1)-$F55)/365)),MIN($G55,(DATE(Q$3,12,31)-$F55)/365),$I55))))</f>
        <v>0</v>
      </c>
      <c r="R76" s="908">
        <f>IF(D55=0,0,IF($H55="SL",SLN($D55,$E55,$G55)*IF(YEAR($F55)&lt;R$3,IF(YEAR($F55)+$G55=R$3,(MONTH($F55)-1)/12,IF(YEAR($F55)+$G55&lt;R$3,0,1)),IF(YEAR($F55)&gt;R$3,0,(12-MONTH($F55)+1)/12)),IF(YEAR($F55)&gt;R$3,0,VDB($D55,$E55,$G55,IF(YEAR($F55)=R$3,0,MIN($G55,(DATE(R$3,1,1)-$F55)/365)),MIN($G55,(DATE(R$3,12,31)-$F55)/365),$I55))))</f>
        <v>0</v>
      </c>
      <c r="S76" s="908">
        <f>IF(D55=0,0,IF($H55="SL",SLN($D55,$E55,$G55)*IF(YEAR($F55)&lt;S$3,IF(YEAR($F55)+$G55=S$3,(MONTH($F55)-1)/12,IF(YEAR($F55)+$G55&lt;S$3,0,1)),IF(YEAR($F55)&gt;S$3,0,(12-MONTH($F55)+1)/12)),IF(YEAR($F55)&gt;S$3,0,VDB($D55,$E55,$G55,IF(YEAR($F55)=S$3,0,MIN($G55,(DATE(S$3,1,1)-$F55)/365)),MIN($G55,(DATE(S$3,12,31)-$F55)/365),$I55))))</f>
        <v>0</v>
      </c>
      <c r="T76" s="908">
        <f>IF(D55=0,0,IF($H55="SL",SLN($D55,$E55,$G55)*IF(YEAR($F55)&lt;T$3,IF(YEAR($F55)+$G55=T$3,(MONTH($F55)-1)/12,IF(YEAR($F55)+$G55&lt;T$3,0,1)),IF(YEAR($F55)&gt;T$3,0,(12-MONTH($F55)+1)/12)),IF(YEAR($F55)&gt;T$3,0,VDB($D55,$E55,$G55,IF(YEAR($F55)=T$3,0,MIN($G55,(DATE(T$3,1,1)-$F55)/365)),MIN($G55,(DATE(T$3,12,31)-$F55)/365),$I55))))</f>
        <v>0</v>
      </c>
      <c r="U76" s="908">
        <f>IF(D55=0,0,IF($H55="SL",SLN($D55,$E55,$G55)*IF(YEAR($F55)&lt;U$3,IF(YEAR($F55)+$G55=U$3,(MONTH($F55)-1)/12,IF(YEAR($F55)+$G55&lt;U$3,0,1)),IF(YEAR($F55)&gt;U$3,0,(12-MONTH($F55)+1)/12)),IF(YEAR($F55)&gt;U$3,0,VDB($D55,$E55,$G55,IF(YEAR($F55)=U$3,0,MIN($G55,(DATE(U$3,1,1)-$F55)/365)),MIN($G55,(DATE(U$3,12,31)-$F55)/365),$I55))))</f>
        <v>0</v>
      </c>
      <c r="V76" s="908">
        <f>IF(D55=0,0,IF($H55="SL",SLN($D55,$E55,$G55)*IF(YEAR($F55)&lt;V$3,IF(YEAR($F55)+$G55=V$3,(MONTH($F55)-1)/12,IF(YEAR($F55)+$G55&lt;V$3,0,1)),IF(YEAR($F55)&gt;V$3,0,(12-MONTH($F55)+1)/12)),IF(YEAR($F55)&gt;V$3,0,VDB($D55,$E55,$G55,IF(YEAR($F55)=V$3,0,MIN($G55,(DATE(V$3,1,1)-$F55)/365)),MIN($G55,(DATE(V$3,12,31)-$F55)/365),$I55))))</f>
        <v>0</v>
      </c>
      <c r="W76" s="908">
        <f>IF(D55=0,0,IF($H55="SL",SLN($D55,$E55,$G55)*IF(YEAR($F55)&lt;W$3,IF(YEAR($F55)+$G55=W$3,(MONTH($F55)-1)/12,IF(YEAR($F55)+$G55&lt;W$3,0,1)),IF(YEAR($F55)&gt;W$3,0,(12-MONTH($F55)+1)/12)),IF(YEAR($F55)&gt;W$3,0,VDB($D55,$E55,$G55,IF(YEAR($F55)=W$3,0,MIN($G55,(DATE(W$3,1,1)-$F55)/365)),MIN($G55,(DATE(W$3,12,31)-$F55)/365),$I55))))</f>
        <v>0</v>
      </c>
      <c r="X76" s="908">
        <f>IF(D55=0,0,IF($H55="SL",SLN($D55,$E55,$G55)*IF(YEAR($F55)&lt;X$3,IF(YEAR($F55)+$G55=X$3,(MONTH($F55)-1)/12,IF(YEAR($F55)+$G55&lt;X$3,0,1)),IF(YEAR($F55)&gt;X$3,0,(12-MONTH($F55)+1)/12)),IF(YEAR($F55)&gt;X$3,0,VDB($D55,$E55,$G55,IF(YEAR($F55)=X$3,0,MIN($G55,(DATE(X$3,1,1)-$F55)/365)),MIN($G55,(DATE(X$3,12,31)-$F55)/365),$I55))))</f>
        <v>0</v>
      </c>
      <c r="Y76" s="908">
        <f>IF(D55=0,0,IF($H55="SL",SLN($D55,$E55,$G55)*IF(YEAR($F55)&lt;Y$3,IF(YEAR($F55)+$G55=Y$3,(MONTH($F55)-1)/12,IF(YEAR($F55)+$G55&lt;Y$3,0,1)),IF(YEAR($F55)&gt;Y$3,0,(12-MONTH($F55)+1)/12)),IF(YEAR($F55)&gt;Y$3,0,VDB($D55,$E55,$G55,IF(YEAR($F55)=Y$3,0,MIN($G55,(DATE(Y$3,1,1)-$F55)/365)),MIN($G55,(DATE(Y$3,12,31)-$F55)/365),$I55))))</f>
        <v>0</v>
      </c>
      <c r="Z76" s="908">
        <f>IF(D55=0,0,IF($H55="SL",SLN($D55,$E55,$G55)*IF(YEAR($F55)&lt;Z$3,IF(YEAR($F55)+$G55=Z$3,(MONTH($F55)-1)/12,IF(YEAR($F55)+$G55&lt;Z$3,0,1)),IF(YEAR($F55)&gt;Z$3,0,(12-MONTH($F55)+1)/12)),IF(YEAR($F55)&gt;Z$3,0,VDB($D55,$E55,$G55,IF(YEAR($F55)=Z$3,0,MIN($G55,(DATE(Z$3,1,1)-$F55)/365)),MIN($G55,(DATE(Z$3,12,31)-$F55)/365),$I55))))</f>
        <v>0</v>
      </c>
      <c r="AA76" s="908">
        <f>IF(D55=0,0,IF($H55="SL",SLN($D55,$E55,$G55)*IF(YEAR($F55)&lt;AA$3,IF(YEAR($F55)+$G55=AA$3,(MONTH($F55)-1)/12,IF(YEAR($F55)+$G55&lt;AA$3,0,1)),IF(YEAR($F55)&gt;AA$3,0,(12-MONTH($F55)+1)/12)),IF(YEAR($F55)&gt;AA$3,0,VDB($D55,$E55,$G55,IF(YEAR($F55)=AA$3,0,MIN($G55,(DATE(AA$3,1,1)-$F55)/365)),MIN($G55,(DATE(AA$3,12,31)-$F55)/365),$I55))))</f>
        <v>0</v>
      </c>
      <c r="AB76" s="908">
        <f>IF(D55=0,0,IF($H55="SL",SLN($D55,$E55,$G55)*IF(YEAR($F55)&lt;AB$3,IF(YEAR($F55)+$G55=AB$3,(MONTH($F55)-1)/12,IF(YEAR($F55)+$G55&lt;AB$3,0,1)),IF(YEAR($F55)&gt;AB$3,0,(12-MONTH($F55)+1)/12)),IF(YEAR($F55)&gt;AB$3,0,VDB($D55,$E55,$G55,IF(YEAR($F55)=AB$3,0,MIN($G55,(DATE(AB$3,1,1)-$F55)/365)),MIN($G55,(DATE(AB$3,12,31)-$F55)/365),$I55))))</f>
        <v>0</v>
      </c>
      <c r="AC76" s="908">
        <f t="shared" si="23"/>
        <v>0</v>
      </c>
      <c r="AD76" s="908">
        <f t="shared" si="23"/>
        <v>0</v>
      </c>
      <c r="AE76" s="908">
        <f t="shared" si="23"/>
        <v>0</v>
      </c>
      <c r="AF76" s="908">
        <f t="shared" si="23"/>
        <v>0</v>
      </c>
    </row>
    <row r="77" spans="1:32" collapsed="1">
      <c r="A77" s="869"/>
      <c r="B77" s="901" t="s">
        <v>543</v>
      </c>
      <c r="I77" s="910">
        <f t="shared" ref="I77:R77" ca="1" si="24">+I76+I75</f>
        <v>3468.8041449010702</v>
      </c>
      <c r="J77" s="910">
        <f t="shared" ca="1" si="24"/>
        <v>6937.6082898021405</v>
      </c>
      <c r="K77" s="910">
        <f t="shared" ca="1" si="24"/>
        <v>6937.6082898021405</v>
      </c>
      <c r="L77" s="910">
        <f t="shared" ca="1" si="24"/>
        <v>6937.6082898021405</v>
      </c>
      <c r="M77" s="910">
        <f t="shared" ca="1" si="24"/>
        <v>6937.6082898021405</v>
      </c>
      <c r="N77" s="910">
        <f t="shared" ca="1" si="24"/>
        <v>6937.6082898021405</v>
      </c>
      <c r="O77" s="910">
        <f t="shared" ca="1" si="24"/>
        <v>6937.6082898021405</v>
      </c>
      <c r="P77" s="910">
        <f t="shared" ca="1" si="24"/>
        <v>3468.8041449010702</v>
      </c>
      <c r="Q77" s="910">
        <f t="shared" ca="1" si="24"/>
        <v>0</v>
      </c>
      <c r="R77" s="910">
        <f t="shared" ca="1" si="24"/>
        <v>0</v>
      </c>
      <c r="S77" s="910">
        <f t="shared" ref="S77:AC77" ca="1" si="25">+S76+S75</f>
        <v>0</v>
      </c>
      <c r="T77" s="910">
        <f t="shared" ca="1" si="25"/>
        <v>0</v>
      </c>
      <c r="U77" s="910">
        <f t="shared" ca="1" si="25"/>
        <v>0</v>
      </c>
      <c r="V77" s="910">
        <f t="shared" ca="1" si="25"/>
        <v>0</v>
      </c>
      <c r="W77" s="910">
        <f t="shared" ca="1" si="25"/>
        <v>0</v>
      </c>
      <c r="X77" s="910">
        <f t="shared" ca="1" si="25"/>
        <v>0</v>
      </c>
      <c r="Y77" s="910">
        <f t="shared" ca="1" si="25"/>
        <v>0</v>
      </c>
      <c r="Z77" s="910">
        <f t="shared" ca="1" si="25"/>
        <v>0</v>
      </c>
      <c r="AA77" s="910">
        <f t="shared" ca="1" si="25"/>
        <v>0</v>
      </c>
      <c r="AB77" s="910">
        <f t="shared" ca="1" si="25"/>
        <v>0</v>
      </c>
      <c r="AC77" s="910">
        <f t="shared" ca="1" si="25"/>
        <v>0</v>
      </c>
      <c r="AD77" s="910">
        <f ca="1">+AD76+AD75</f>
        <v>0</v>
      </c>
      <c r="AE77" s="910">
        <f ca="1">+AE76+AE75</f>
        <v>0</v>
      </c>
      <c r="AF77" s="910">
        <f ca="1">+AF76+AF75</f>
        <v>0</v>
      </c>
    </row>
    <row r="78" spans="1:32">
      <c r="A78" s="869"/>
      <c r="I78" s="908"/>
      <c r="J78" s="908"/>
      <c r="K78" s="908"/>
      <c r="L78" s="908"/>
      <c r="M78" s="908"/>
      <c r="N78" s="908"/>
      <c r="O78" s="908"/>
      <c r="P78" s="908"/>
      <c r="Q78" s="908"/>
      <c r="R78" s="908"/>
      <c r="S78" s="908"/>
      <c r="T78" s="908"/>
      <c r="U78" s="908"/>
      <c r="V78" s="908"/>
      <c r="W78" s="908"/>
      <c r="X78" s="908"/>
      <c r="Y78" s="908"/>
      <c r="Z78" s="908"/>
      <c r="AA78" s="908"/>
      <c r="AB78" s="908"/>
      <c r="AC78" s="908"/>
      <c r="AD78" s="908"/>
      <c r="AE78" s="908"/>
      <c r="AF78" s="908"/>
    </row>
    <row r="79" spans="1:32">
      <c r="A79" s="901" t="s">
        <v>544</v>
      </c>
      <c r="I79" s="848">
        <f ca="1">+I77+I72</f>
        <v>15459.732053201065</v>
      </c>
      <c r="J79" s="848">
        <f t="shared" ref="J79:S79" ca="1" si="26">SUM(J72:J76)</f>
        <v>30919.464106402131</v>
      </c>
      <c r="K79" s="848">
        <f t="shared" ca="1" si="26"/>
        <v>30919.464106402131</v>
      </c>
      <c r="L79" s="848">
        <f t="shared" ca="1" si="26"/>
        <v>30919.464106402131</v>
      </c>
      <c r="M79" s="848">
        <f t="shared" ca="1" si="26"/>
        <v>30919.464106402131</v>
      </c>
      <c r="N79" s="848">
        <f t="shared" ca="1" si="26"/>
        <v>30919.464106402131</v>
      </c>
      <c r="O79" s="848">
        <f t="shared" ca="1" si="26"/>
        <v>30919.464106402131</v>
      </c>
      <c r="P79" s="848">
        <f t="shared" ca="1" si="26"/>
        <v>27450.65996150106</v>
      </c>
      <c r="Q79" s="848">
        <f t="shared" ca="1" si="26"/>
        <v>23981.855816599989</v>
      </c>
      <c r="R79" s="848">
        <f t="shared" ca="1" si="26"/>
        <v>23981.855816599989</v>
      </c>
      <c r="S79" s="848">
        <f t="shared" ca="1" si="26"/>
        <v>23981.855816599989</v>
      </c>
      <c r="T79" s="848">
        <f t="shared" ref="T79:AC79" ca="1" si="27">SUM(T72:T76)</f>
        <v>23981.855816599989</v>
      </c>
      <c r="U79" s="848">
        <f t="shared" ca="1" si="27"/>
        <v>23981.855816599989</v>
      </c>
      <c r="V79" s="848">
        <f t="shared" ca="1" si="27"/>
        <v>23981.855816599989</v>
      </c>
      <c r="W79" s="848">
        <f t="shared" ca="1" si="27"/>
        <v>23981.855816599989</v>
      </c>
      <c r="X79" s="848">
        <f t="shared" ca="1" si="27"/>
        <v>23981.855816599989</v>
      </c>
      <c r="Y79" s="848">
        <f t="shared" ca="1" si="27"/>
        <v>23981.855816599989</v>
      </c>
      <c r="Z79" s="848">
        <f t="shared" ca="1" si="27"/>
        <v>23981.855816599989</v>
      </c>
      <c r="AA79" s="848">
        <f t="shared" ca="1" si="27"/>
        <v>23981.855816599989</v>
      </c>
      <c r="AB79" s="848">
        <f t="shared" ca="1" si="27"/>
        <v>23981.855816599989</v>
      </c>
      <c r="AC79" s="848">
        <f t="shared" ca="1" si="27"/>
        <v>11990.927908299995</v>
      </c>
      <c r="AD79" s="848">
        <f ca="1">SUM(AD72:AD76)</f>
        <v>0</v>
      </c>
      <c r="AE79" s="848">
        <f ca="1">SUM(AE72:AE76)</f>
        <v>0</v>
      </c>
      <c r="AF79" s="848">
        <f ca="1">SUM(AF72:AF76)</f>
        <v>0</v>
      </c>
    </row>
    <row r="80" spans="1:32">
      <c r="A80" s="911" t="s">
        <v>545</v>
      </c>
      <c r="B80" s="848">
        <f ca="1">+SUM(I79:AF79)-D51-D56</f>
        <v>-1.8189894035458565E-10</v>
      </c>
      <c r="I80" s="848"/>
      <c r="J80" s="848"/>
      <c r="K80" s="848"/>
      <c r="L80" s="848"/>
      <c r="M80" s="848"/>
      <c r="N80" s="848"/>
      <c r="O80" s="848"/>
      <c r="P80" s="848"/>
      <c r="Q80" s="848"/>
      <c r="R80" s="848"/>
      <c r="S80" s="848"/>
      <c r="T80" s="848"/>
      <c r="U80" s="848"/>
      <c r="V80" s="848"/>
      <c r="W80" s="848"/>
      <c r="X80" s="848"/>
      <c r="Y80" s="848"/>
      <c r="Z80" s="848"/>
      <c r="AA80" s="848"/>
      <c r="AB80" s="848"/>
      <c r="AC80" s="848"/>
      <c r="AD80" s="848"/>
      <c r="AE80" s="848"/>
      <c r="AF80" s="848"/>
    </row>
    <row r="82" spans="1:32">
      <c r="A82" s="868" t="s">
        <v>546</v>
      </c>
      <c r="H82" s="911" t="s">
        <v>1206</v>
      </c>
      <c r="I82" s="1793">
        <v>3.7499999999999999E-2</v>
      </c>
      <c r="J82" s="1793">
        <v>7.2190000000000004E-2</v>
      </c>
      <c r="K82" s="1793">
        <v>6.6769999999999996E-2</v>
      </c>
      <c r="L82" s="1793">
        <v>6.1769999999999999E-2</v>
      </c>
      <c r="M82" s="1793">
        <v>5.713E-2</v>
      </c>
      <c r="N82" s="1793">
        <v>5.2850000000000001E-2</v>
      </c>
      <c r="O82" s="1793">
        <v>4.888E-2</v>
      </c>
      <c r="P82" s="1793">
        <v>4.5220000000000003E-2</v>
      </c>
      <c r="Q82" s="1793">
        <v>4.462E-2</v>
      </c>
      <c r="R82" s="1793">
        <v>4.4609999999999997E-2</v>
      </c>
      <c r="S82" s="1793">
        <v>4.462E-2</v>
      </c>
      <c r="T82" s="1793">
        <v>4.4609999999999997E-2</v>
      </c>
      <c r="U82" s="1793">
        <v>4.462E-2</v>
      </c>
      <c r="V82" s="1793">
        <v>4.4609999999999997E-2</v>
      </c>
      <c r="W82" s="1793">
        <v>4.462E-2</v>
      </c>
      <c r="X82" s="1793">
        <v>4.4609999999999997E-2</v>
      </c>
      <c r="Y82" s="1793">
        <v>4.462E-2</v>
      </c>
      <c r="Z82" s="1793">
        <v>4.4609999999999997E-2</v>
      </c>
      <c r="AA82" s="1793">
        <v>4.462E-2</v>
      </c>
      <c r="AB82" s="1793">
        <v>4.4609999999999997E-2</v>
      </c>
      <c r="AC82" s="1793">
        <v>2.231E-2</v>
      </c>
    </row>
    <row r="83" spans="1:32">
      <c r="A83" s="901" t="s">
        <v>499</v>
      </c>
      <c r="B83" s="831"/>
      <c r="C83" s="820" t="str">
        <f t="shared" ref="C83:C92" si="28">+L41</f>
        <v>Purchase Price</v>
      </c>
      <c r="I83" s="908">
        <f ca="1">I82*$N$41</f>
        <v>17986.391862449989</v>
      </c>
      <c r="J83" s="908">
        <f t="shared" ref="J83:AF83" ca="1" si="29">J82*$N$41</f>
        <v>34625.003428007069</v>
      </c>
      <c r="K83" s="908">
        <f t="shared" ca="1" si="29"/>
        <v>32025.370257487622</v>
      </c>
      <c r="L83" s="908">
        <f t="shared" ca="1" si="29"/>
        <v>29627.184675827626</v>
      </c>
      <c r="M83" s="908">
        <f t="shared" ca="1" si="29"/>
        <v>27401.668456047148</v>
      </c>
      <c r="N83" s="908">
        <f t="shared" ca="1" si="29"/>
        <v>25348.821598146187</v>
      </c>
      <c r="O83" s="908">
        <f t="shared" ca="1" si="29"/>
        <v>23444.662246308148</v>
      </c>
      <c r="P83" s="908">
        <f t="shared" ca="1" si="29"/>
        <v>21689.190400533033</v>
      </c>
      <c r="Q83" s="908">
        <f t="shared" ca="1" si="29"/>
        <v>21401.408130733831</v>
      </c>
      <c r="R83" s="908">
        <f t="shared" ca="1" si="29"/>
        <v>21396.611759570507</v>
      </c>
      <c r="S83" s="908">
        <f t="shared" ca="1" si="29"/>
        <v>21401.408130733831</v>
      </c>
      <c r="T83" s="908">
        <f t="shared" ca="1" si="29"/>
        <v>21396.611759570507</v>
      </c>
      <c r="U83" s="908">
        <f t="shared" ca="1" si="29"/>
        <v>21401.408130733831</v>
      </c>
      <c r="V83" s="908">
        <f t="shared" ca="1" si="29"/>
        <v>21396.611759570507</v>
      </c>
      <c r="W83" s="908">
        <f t="shared" ca="1" si="29"/>
        <v>21401.408130733831</v>
      </c>
      <c r="X83" s="908">
        <f t="shared" ca="1" si="29"/>
        <v>21396.611759570507</v>
      </c>
      <c r="Y83" s="908">
        <f t="shared" ca="1" si="29"/>
        <v>21401.408130733831</v>
      </c>
      <c r="Z83" s="908">
        <f t="shared" ca="1" si="29"/>
        <v>21396.611759570507</v>
      </c>
      <c r="AA83" s="908">
        <f t="shared" ca="1" si="29"/>
        <v>21401.408130733831</v>
      </c>
      <c r="AB83" s="908">
        <f t="shared" ca="1" si="29"/>
        <v>21396.611759570507</v>
      </c>
      <c r="AC83" s="908">
        <f t="shared" ca="1" si="29"/>
        <v>10700.704065366916</v>
      </c>
      <c r="AD83" s="908">
        <f t="shared" ca="1" si="29"/>
        <v>0</v>
      </c>
      <c r="AE83" s="908">
        <f t="shared" ca="1" si="29"/>
        <v>0</v>
      </c>
      <c r="AF83" s="908">
        <f t="shared" ca="1" si="29"/>
        <v>0</v>
      </c>
    </row>
    <row r="84" spans="1:32">
      <c r="C84" s="820" t="str">
        <f t="shared" si="28"/>
        <v>Scrubber</v>
      </c>
      <c r="I84" s="908">
        <f t="shared" ref="I84:I92" si="30">IF($N42=0,0,IF($R42="SL",SLN($N42,$O42,$Q42)*IF(YEAR($P42)&lt;(J$3-1),IF(YEAR($P42)+$Q42=J$3-1,(MONTH($P42)-1)/12,IF(YEAR($P42)+$Q42&lt;J$3-1,0,1)),IF(YEAR($P42)&gt;J$3-1,0,(12-MONTH($P42)+1)/12)),IF(YEAR($P42)&gt;J$3-1,0,VDB($N42,$O42,$Q42,IF(YEAR($P42)=J$3-1,0,MIN($Q42,(DATE(J$3-1,1,1)-$P42)/365)),MIN($Q42,(DATE(J$3-1,12,31)-$P42)/365),$S42))))</f>
        <v>0</v>
      </c>
      <c r="J84" s="908">
        <f t="shared" ref="J84:S92" si="31">IF($N42=0,0,IF($R42="SL",SLN($N42,$O42,$Q42)*IF(YEAR($P42)&lt;J$3,IF(YEAR($P42)+$Q42=J$3,(MONTH($P42)-1)/12,IF(YEAR($P42)+$Q42&lt;J$3,0,1)),IF(YEAR($P42)&gt;J$3,0,(12-MONTH($P42)+1)/12)),IF(YEAR($P42)&gt;J$3,0,VDB($N42,$O42,$Q42,IF(YEAR($P42)=J$3,0,MIN($Q42,(DATE(J$3,1,1)-$P42)/365)),MIN($Q42,(DATE(J$3,12,31)-$P42)/365),$S42))))</f>
        <v>0</v>
      </c>
      <c r="K84" s="908">
        <f t="shared" si="31"/>
        <v>0</v>
      </c>
      <c r="L84" s="908">
        <f t="shared" si="31"/>
        <v>0</v>
      </c>
      <c r="M84" s="908">
        <f t="shared" si="31"/>
        <v>0</v>
      </c>
      <c r="N84" s="908">
        <f t="shared" si="31"/>
        <v>0</v>
      </c>
      <c r="O84" s="908">
        <f t="shared" si="31"/>
        <v>0</v>
      </c>
      <c r="P84" s="908">
        <f t="shared" si="31"/>
        <v>0</v>
      </c>
      <c r="Q84" s="908">
        <f t="shared" si="31"/>
        <v>0</v>
      </c>
      <c r="R84" s="908">
        <f t="shared" si="31"/>
        <v>0</v>
      </c>
      <c r="S84" s="908">
        <f t="shared" si="31"/>
        <v>0</v>
      </c>
      <c r="T84" s="908">
        <f t="shared" ref="T84:AC92" si="32">IF($N42=0,0,IF($R42="SL",SLN($N42,$O42,$Q42)*IF(YEAR($P42)&lt;T$3,IF(YEAR($P42)+$Q42=T$3,(MONTH($P42)-1)/12,IF(YEAR($P42)+$Q42&lt;T$3,0,1)),IF(YEAR($P42)&gt;T$3,0,(12-MONTH($P42)+1)/12)),IF(YEAR($P42)&gt;T$3,0,VDB($N42,$O42,$Q42,IF(YEAR($P42)=T$3,0,MIN($Q42,(DATE(T$3,1,1)-$P42)/365)),MIN($Q42,(DATE(T$3,12,31)-$P42)/365),$S42))))</f>
        <v>0</v>
      </c>
      <c r="U84" s="908">
        <f t="shared" si="32"/>
        <v>0</v>
      </c>
      <c r="V84" s="908">
        <f t="shared" si="32"/>
        <v>0</v>
      </c>
      <c r="W84" s="908">
        <f t="shared" si="32"/>
        <v>0</v>
      </c>
      <c r="X84" s="908">
        <f t="shared" si="32"/>
        <v>0</v>
      </c>
      <c r="Y84" s="908">
        <f t="shared" si="32"/>
        <v>0</v>
      </c>
      <c r="Z84" s="908">
        <f t="shared" si="32"/>
        <v>0</v>
      </c>
      <c r="AA84" s="908">
        <f t="shared" si="32"/>
        <v>0</v>
      </c>
      <c r="AB84" s="908">
        <f t="shared" si="32"/>
        <v>0</v>
      </c>
      <c r="AC84" s="908">
        <f t="shared" si="32"/>
        <v>0</v>
      </c>
      <c r="AD84" s="908">
        <f t="shared" ref="AD84:AF92" si="33">IF($N42=0,0,IF($R42="SL",SLN($N42,$O42,$Q42)*IF(YEAR($P42)&lt;AD$3,IF(YEAR($P42)+$Q42=AD$3,(MONTH($P42)-1)/12,IF(YEAR($P42)+$Q42&lt;AD$3,0,1)),IF(YEAR($P42)&gt;AD$3,0,(12-MONTH($P42)+1)/12)),IF(YEAR($P42)&gt;AD$3,0,VDB($N42,$O42,$Q42,IF(YEAR($P42)=AD$3,0,MIN($Q42,(DATE(AD$3,1,1)-$P42)/365)),MIN($Q42,(DATE(AD$3,12,31)-$P42)/365),$S42))))</f>
        <v>0</v>
      </c>
      <c r="AE84" s="908">
        <f t="shared" si="33"/>
        <v>0</v>
      </c>
      <c r="AF84" s="908">
        <f t="shared" si="33"/>
        <v>0</v>
      </c>
    </row>
    <row r="85" spans="1:32" hidden="1" outlineLevel="1">
      <c r="C85" s="820" t="str">
        <f t="shared" si="28"/>
        <v>Asset 3</v>
      </c>
      <c r="I85" s="908">
        <f t="shared" si="30"/>
        <v>0</v>
      </c>
      <c r="J85" s="908">
        <f t="shared" si="31"/>
        <v>0</v>
      </c>
      <c r="K85" s="908">
        <f t="shared" si="31"/>
        <v>0</v>
      </c>
      <c r="L85" s="908">
        <f t="shared" si="31"/>
        <v>0</v>
      </c>
      <c r="M85" s="908">
        <f t="shared" si="31"/>
        <v>0</v>
      </c>
      <c r="N85" s="908">
        <f t="shared" si="31"/>
        <v>0</v>
      </c>
      <c r="O85" s="908">
        <f t="shared" si="31"/>
        <v>0</v>
      </c>
      <c r="P85" s="908">
        <f t="shared" si="31"/>
        <v>0</v>
      </c>
      <c r="Q85" s="908">
        <f t="shared" si="31"/>
        <v>0</v>
      </c>
      <c r="R85" s="908">
        <f t="shared" si="31"/>
        <v>0</v>
      </c>
      <c r="S85" s="908">
        <f t="shared" si="31"/>
        <v>0</v>
      </c>
      <c r="T85" s="908">
        <f t="shared" si="32"/>
        <v>0</v>
      </c>
      <c r="U85" s="908">
        <f t="shared" si="32"/>
        <v>0</v>
      </c>
      <c r="V85" s="908">
        <f t="shared" si="32"/>
        <v>0</v>
      </c>
      <c r="W85" s="908">
        <f t="shared" si="32"/>
        <v>0</v>
      </c>
      <c r="X85" s="908">
        <f t="shared" si="32"/>
        <v>0</v>
      </c>
      <c r="Y85" s="908">
        <f t="shared" si="32"/>
        <v>0</v>
      </c>
      <c r="Z85" s="908">
        <f t="shared" si="32"/>
        <v>0</v>
      </c>
      <c r="AA85" s="908">
        <f t="shared" si="32"/>
        <v>0</v>
      </c>
      <c r="AB85" s="908">
        <f t="shared" si="32"/>
        <v>0</v>
      </c>
      <c r="AC85" s="908">
        <f t="shared" si="32"/>
        <v>0</v>
      </c>
      <c r="AD85" s="908">
        <f t="shared" si="33"/>
        <v>0</v>
      </c>
      <c r="AE85" s="908">
        <f t="shared" si="33"/>
        <v>0</v>
      </c>
      <c r="AF85" s="908">
        <f t="shared" si="33"/>
        <v>0</v>
      </c>
    </row>
    <row r="86" spans="1:32" hidden="1" outlineLevel="1">
      <c r="C86" s="820" t="str">
        <f t="shared" si="28"/>
        <v>Asset 4</v>
      </c>
      <c r="I86" s="908">
        <f t="shared" si="30"/>
        <v>0</v>
      </c>
      <c r="J86" s="908">
        <f t="shared" si="31"/>
        <v>0</v>
      </c>
      <c r="K86" s="908">
        <f t="shared" si="31"/>
        <v>0</v>
      </c>
      <c r="L86" s="908">
        <f t="shared" si="31"/>
        <v>0</v>
      </c>
      <c r="M86" s="908">
        <f t="shared" si="31"/>
        <v>0</v>
      </c>
      <c r="N86" s="908">
        <f t="shared" si="31"/>
        <v>0</v>
      </c>
      <c r="O86" s="908">
        <f t="shared" si="31"/>
        <v>0</v>
      </c>
      <c r="P86" s="908">
        <f t="shared" si="31"/>
        <v>0</v>
      </c>
      <c r="Q86" s="908">
        <f t="shared" si="31"/>
        <v>0</v>
      </c>
      <c r="R86" s="908">
        <f t="shared" si="31"/>
        <v>0</v>
      </c>
      <c r="S86" s="908">
        <f t="shared" si="31"/>
        <v>0</v>
      </c>
      <c r="T86" s="908">
        <f t="shared" si="32"/>
        <v>0</v>
      </c>
      <c r="U86" s="908">
        <f t="shared" si="32"/>
        <v>0</v>
      </c>
      <c r="V86" s="908">
        <f t="shared" si="32"/>
        <v>0</v>
      </c>
      <c r="W86" s="908">
        <f t="shared" si="32"/>
        <v>0</v>
      </c>
      <c r="X86" s="908">
        <f t="shared" si="32"/>
        <v>0</v>
      </c>
      <c r="Y86" s="908">
        <f t="shared" si="32"/>
        <v>0</v>
      </c>
      <c r="Z86" s="908">
        <f t="shared" si="32"/>
        <v>0</v>
      </c>
      <c r="AA86" s="908">
        <f t="shared" si="32"/>
        <v>0</v>
      </c>
      <c r="AB86" s="908">
        <f t="shared" si="32"/>
        <v>0</v>
      </c>
      <c r="AC86" s="908">
        <f t="shared" si="32"/>
        <v>0</v>
      </c>
      <c r="AD86" s="908">
        <f t="shared" si="33"/>
        <v>0</v>
      </c>
      <c r="AE86" s="908">
        <f t="shared" si="33"/>
        <v>0</v>
      </c>
      <c r="AF86" s="908">
        <f t="shared" si="33"/>
        <v>0</v>
      </c>
    </row>
    <row r="87" spans="1:32" hidden="1" outlineLevel="1">
      <c r="C87" s="820" t="str">
        <f t="shared" si="28"/>
        <v>Asset 5</v>
      </c>
      <c r="I87" s="908">
        <f t="shared" si="30"/>
        <v>0</v>
      </c>
      <c r="J87" s="908">
        <f t="shared" si="31"/>
        <v>0</v>
      </c>
      <c r="K87" s="908">
        <f t="shared" si="31"/>
        <v>0</v>
      </c>
      <c r="L87" s="908">
        <f t="shared" si="31"/>
        <v>0</v>
      </c>
      <c r="M87" s="908">
        <f t="shared" si="31"/>
        <v>0</v>
      </c>
      <c r="N87" s="908">
        <f t="shared" si="31"/>
        <v>0</v>
      </c>
      <c r="O87" s="908">
        <f t="shared" si="31"/>
        <v>0</v>
      </c>
      <c r="P87" s="908">
        <f t="shared" si="31"/>
        <v>0</v>
      </c>
      <c r="Q87" s="908">
        <f t="shared" si="31"/>
        <v>0</v>
      </c>
      <c r="R87" s="908">
        <f t="shared" si="31"/>
        <v>0</v>
      </c>
      <c r="S87" s="908">
        <f t="shared" si="31"/>
        <v>0</v>
      </c>
      <c r="T87" s="908">
        <f t="shared" si="32"/>
        <v>0</v>
      </c>
      <c r="U87" s="908">
        <f t="shared" si="32"/>
        <v>0</v>
      </c>
      <c r="V87" s="908">
        <f t="shared" si="32"/>
        <v>0</v>
      </c>
      <c r="W87" s="908">
        <f t="shared" si="32"/>
        <v>0</v>
      </c>
      <c r="X87" s="908">
        <f t="shared" si="32"/>
        <v>0</v>
      </c>
      <c r="Y87" s="908">
        <f t="shared" si="32"/>
        <v>0</v>
      </c>
      <c r="Z87" s="908">
        <f t="shared" si="32"/>
        <v>0</v>
      </c>
      <c r="AA87" s="908">
        <f t="shared" si="32"/>
        <v>0</v>
      </c>
      <c r="AB87" s="908">
        <f t="shared" si="32"/>
        <v>0</v>
      </c>
      <c r="AC87" s="908">
        <f t="shared" si="32"/>
        <v>0</v>
      </c>
      <c r="AD87" s="908">
        <f t="shared" si="33"/>
        <v>0</v>
      </c>
      <c r="AE87" s="908">
        <f t="shared" si="33"/>
        <v>0</v>
      </c>
      <c r="AF87" s="908">
        <f t="shared" si="33"/>
        <v>0</v>
      </c>
    </row>
    <row r="88" spans="1:32" hidden="1" outlineLevel="1">
      <c r="C88" s="820" t="str">
        <f t="shared" si="28"/>
        <v>Asset 6</v>
      </c>
      <c r="I88" s="908">
        <f t="shared" si="30"/>
        <v>0</v>
      </c>
      <c r="J88" s="908">
        <f t="shared" si="31"/>
        <v>0</v>
      </c>
      <c r="K88" s="908">
        <f t="shared" si="31"/>
        <v>0</v>
      </c>
      <c r="L88" s="908">
        <f t="shared" si="31"/>
        <v>0</v>
      </c>
      <c r="M88" s="908">
        <f t="shared" si="31"/>
        <v>0</v>
      </c>
      <c r="N88" s="908">
        <f t="shared" si="31"/>
        <v>0</v>
      </c>
      <c r="O88" s="908">
        <f t="shared" si="31"/>
        <v>0</v>
      </c>
      <c r="P88" s="908">
        <f t="shared" si="31"/>
        <v>0</v>
      </c>
      <c r="Q88" s="908">
        <f t="shared" si="31"/>
        <v>0</v>
      </c>
      <c r="R88" s="908">
        <f t="shared" si="31"/>
        <v>0</v>
      </c>
      <c r="S88" s="908">
        <f t="shared" si="31"/>
        <v>0</v>
      </c>
      <c r="T88" s="908">
        <f t="shared" si="32"/>
        <v>0</v>
      </c>
      <c r="U88" s="908">
        <f t="shared" si="32"/>
        <v>0</v>
      </c>
      <c r="V88" s="908">
        <f t="shared" si="32"/>
        <v>0</v>
      </c>
      <c r="W88" s="908">
        <f t="shared" si="32"/>
        <v>0</v>
      </c>
      <c r="X88" s="908">
        <f t="shared" si="32"/>
        <v>0</v>
      </c>
      <c r="Y88" s="908">
        <f t="shared" si="32"/>
        <v>0</v>
      </c>
      <c r="Z88" s="908">
        <f t="shared" si="32"/>
        <v>0</v>
      </c>
      <c r="AA88" s="908">
        <f t="shared" si="32"/>
        <v>0</v>
      </c>
      <c r="AB88" s="908">
        <f t="shared" si="32"/>
        <v>0</v>
      </c>
      <c r="AC88" s="908">
        <f t="shared" si="32"/>
        <v>0</v>
      </c>
      <c r="AD88" s="908">
        <f t="shared" si="33"/>
        <v>0</v>
      </c>
      <c r="AE88" s="908">
        <f t="shared" si="33"/>
        <v>0</v>
      </c>
      <c r="AF88" s="908">
        <f t="shared" si="33"/>
        <v>0</v>
      </c>
    </row>
    <row r="89" spans="1:32" hidden="1" outlineLevel="1">
      <c r="C89" s="820" t="str">
        <f t="shared" si="28"/>
        <v>Asset 7</v>
      </c>
      <c r="I89" s="908">
        <f t="shared" si="30"/>
        <v>0</v>
      </c>
      <c r="J89" s="908">
        <f t="shared" si="31"/>
        <v>0</v>
      </c>
      <c r="K89" s="908">
        <f t="shared" si="31"/>
        <v>0</v>
      </c>
      <c r="L89" s="908">
        <f t="shared" si="31"/>
        <v>0</v>
      </c>
      <c r="M89" s="908">
        <f t="shared" si="31"/>
        <v>0</v>
      </c>
      <c r="N89" s="908">
        <f t="shared" si="31"/>
        <v>0</v>
      </c>
      <c r="O89" s="908">
        <f t="shared" si="31"/>
        <v>0</v>
      </c>
      <c r="P89" s="908">
        <f t="shared" si="31"/>
        <v>0</v>
      </c>
      <c r="Q89" s="908">
        <f t="shared" si="31"/>
        <v>0</v>
      </c>
      <c r="R89" s="908">
        <f t="shared" si="31"/>
        <v>0</v>
      </c>
      <c r="S89" s="908">
        <f t="shared" si="31"/>
        <v>0</v>
      </c>
      <c r="T89" s="908">
        <f t="shared" si="32"/>
        <v>0</v>
      </c>
      <c r="U89" s="908">
        <f t="shared" si="32"/>
        <v>0</v>
      </c>
      <c r="V89" s="908">
        <f t="shared" si="32"/>
        <v>0</v>
      </c>
      <c r="W89" s="908">
        <f t="shared" si="32"/>
        <v>0</v>
      </c>
      <c r="X89" s="908">
        <f t="shared" si="32"/>
        <v>0</v>
      </c>
      <c r="Y89" s="908">
        <f t="shared" si="32"/>
        <v>0</v>
      </c>
      <c r="Z89" s="908">
        <f t="shared" si="32"/>
        <v>0</v>
      </c>
      <c r="AA89" s="908">
        <f t="shared" si="32"/>
        <v>0</v>
      </c>
      <c r="AB89" s="908">
        <f t="shared" si="32"/>
        <v>0</v>
      </c>
      <c r="AC89" s="908">
        <f t="shared" si="32"/>
        <v>0</v>
      </c>
      <c r="AD89" s="908">
        <f t="shared" si="33"/>
        <v>0</v>
      </c>
      <c r="AE89" s="908">
        <f t="shared" si="33"/>
        <v>0</v>
      </c>
      <c r="AF89" s="908">
        <f t="shared" si="33"/>
        <v>0</v>
      </c>
    </row>
    <row r="90" spans="1:32" hidden="1" outlineLevel="1">
      <c r="C90" s="820" t="str">
        <f t="shared" si="28"/>
        <v>Asset 8</v>
      </c>
      <c r="I90" s="908">
        <f t="shared" si="30"/>
        <v>0</v>
      </c>
      <c r="J90" s="908">
        <f t="shared" si="31"/>
        <v>0</v>
      </c>
      <c r="K90" s="908">
        <f t="shared" si="31"/>
        <v>0</v>
      </c>
      <c r="L90" s="908">
        <f t="shared" si="31"/>
        <v>0</v>
      </c>
      <c r="M90" s="908">
        <f t="shared" si="31"/>
        <v>0</v>
      </c>
      <c r="N90" s="908">
        <f t="shared" si="31"/>
        <v>0</v>
      </c>
      <c r="O90" s="908">
        <f t="shared" si="31"/>
        <v>0</v>
      </c>
      <c r="P90" s="908">
        <f t="shared" si="31"/>
        <v>0</v>
      </c>
      <c r="Q90" s="908">
        <f t="shared" si="31"/>
        <v>0</v>
      </c>
      <c r="R90" s="908">
        <f t="shared" si="31"/>
        <v>0</v>
      </c>
      <c r="S90" s="908">
        <f t="shared" si="31"/>
        <v>0</v>
      </c>
      <c r="T90" s="908">
        <f t="shared" si="32"/>
        <v>0</v>
      </c>
      <c r="U90" s="908">
        <f t="shared" si="32"/>
        <v>0</v>
      </c>
      <c r="V90" s="908">
        <f t="shared" si="32"/>
        <v>0</v>
      </c>
      <c r="W90" s="908">
        <f t="shared" si="32"/>
        <v>0</v>
      </c>
      <c r="X90" s="908">
        <f t="shared" si="32"/>
        <v>0</v>
      </c>
      <c r="Y90" s="908">
        <f t="shared" si="32"/>
        <v>0</v>
      </c>
      <c r="Z90" s="908">
        <f t="shared" si="32"/>
        <v>0</v>
      </c>
      <c r="AA90" s="908">
        <f t="shared" si="32"/>
        <v>0</v>
      </c>
      <c r="AB90" s="908">
        <f t="shared" si="32"/>
        <v>0</v>
      </c>
      <c r="AC90" s="908">
        <f t="shared" si="32"/>
        <v>0</v>
      </c>
      <c r="AD90" s="908">
        <f t="shared" si="33"/>
        <v>0</v>
      </c>
      <c r="AE90" s="908">
        <f t="shared" si="33"/>
        <v>0</v>
      </c>
      <c r="AF90" s="908">
        <f t="shared" si="33"/>
        <v>0</v>
      </c>
    </row>
    <row r="91" spans="1:32" hidden="1" outlineLevel="1">
      <c r="C91" s="820" t="str">
        <f t="shared" si="28"/>
        <v>Asset 9</v>
      </c>
      <c r="I91" s="908">
        <f t="shared" si="30"/>
        <v>0</v>
      </c>
      <c r="J91" s="908">
        <f t="shared" si="31"/>
        <v>0</v>
      </c>
      <c r="K91" s="908">
        <f t="shared" si="31"/>
        <v>0</v>
      </c>
      <c r="L91" s="908">
        <f t="shared" si="31"/>
        <v>0</v>
      </c>
      <c r="M91" s="908">
        <f t="shared" si="31"/>
        <v>0</v>
      </c>
      <c r="N91" s="908">
        <f t="shared" si="31"/>
        <v>0</v>
      </c>
      <c r="O91" s="908">
        <f t="shared" si="31"/>
        <v>0</v>
      </c>
      <c r="P91" s="908">
        <f t="shared" si="31"/>
        <v>0</v>
      </c>
      <c r="Q91" s="908">
        <f t="shared" si="31"/>
        <v>0</v>
      </c>
      <c r="R91" s="908">
        <f t="shared" si="31"/>
        <v>0</v>
      </c>
      <c r="S91" s="908">
        <f t="shared" si="31"/>
        <v>0</v>
      </c>
      <c r="T91" s="908">
        <f t="shared" si="32"/>
        <v>0</v>
      </c>
      <c r="U91" s="908">
        <f t="shared" si="32"/>
        <v>0</v>
      </c>
      <c r="V91" s="908">
        <f t="shared" si="32"/>
        <v>0</v>
      </c>
      <c r="W91" s="908">
        <f t="shared" si="32"/>
        <v>0</v>
      </c>
      <c r="X91" s="908">
        <f t="shared" si="32"/>
        <v>0</v>
      </c>
      <c r="Y91" s="908">
        <f t="shared" si="32"/>
        <v>0</v>
      </c>
      <c r="Z91" s="908">
        <f t="shared" si="32"/>
        <v>0</v>
      </c>
      <c r="AA91" s="908">
        <f t="shared" si="32"/>
        <v>0</v>
      </c>
      <c r="AB91" s="908">
        <f t="shared" si="32"/>
        <v>0</v>
      </c>
      <c r="AC91" s="908">
        <f t="shared" si="32"/>
        <v>0</v>
      </c>
      <c r="AD91" s="908">
        <f t="shared" si="33"/>
        <v>0</v>
      </c>
      <c r="AE91" s="908">
        <f t="shared" si="33"/>
        <v>0</v>
      </c>
      <c r="AF91" s="908">
        <f t="shared" si="33"/>
        <v>0</v>
      </c>
    </row>
    <row r="92" spans="1:32" hidden="1" outlineLevel="1">
      <c r="C92" s="820" t="str">
        <f t="shared" si="28"/>
        <v>Asset 10</v>
      </c>
      <c r="I92" s="908">
        <f t="shared" si="30"/>
        <v>0</v>
      </c>
      <c r="J92" s="908">
        <f t="shared" si="31"/>
        <v>0</v>
      </c>
      <c r="K92" s="908">
        <f t="shared" si="31"/>
        <v>0</v>
      </c>
      <c r="L92" s="908">
        <f t="shared" si="31"/>
        <v>0</v>
      </c>
      <c r="M92" s="908">
        <f t="shared" si="31"/>
        <v>0</v>
      </c>
      <c r="N92" s="908">
        <f t="shared" si="31"/>
        <v>0</v>
      </c>
      <c r="O92" s="908">
        <f t="shared" si="31"/>
        <v>0</v>
      </c>
      <c r="P92" s="908">
        <f t="shared" si="31"/>
        <v>0</v>
      </c>
      <c r="Q92" s="908">
        <f t="shared" si="31"/>
        <v>0</v>
      </c>
      <c r="R92" s="908">
        <f t="shared" si="31"/>
        <v>0</v>
      </c>
      <c r="S92" s="908">
        <f t="shared" si="31"/>
        <v>0</v>
      </c>
      <c r="T92" s="908">
        <f t="shared" si="32"/>
        <v>0</v>
      </c>
      <c r="U92" s="908">
        <f t="shared" si="32"/>
        <v>0</v>
      </c>
      <c r="V92" s="908">
        <f t="shared" si="32"/>
        <v>0</v>
      </c>
      <c r="W92" s="908">
        <f t="shared" si="32"/>
        <v>0</v>
      </c>
      <c r="X92" s="908">
        <f t="shared" si="32"/>
        <v>0</v>
      </c>
      <c r="Y92" s="908">
        <f t="shared" si="32"/>
        <v>0</v>
      </c>
      <c r="Z92" s="908">
        <f t="shared" si="32"/>
        <v>0</v>
      </c>
      <c r="AA92" s="908">
        <f t="shared" si="32"/>
        <v>0</v>
      </c>
      <c r="AB92" s="908">
        <f t="shared" si="32"/>
        <v>0</v>
      </c>
      <c r="AC92" s="908">
        <f t="shared" si="32"/>
        <v>0</v>
      </c>
      <c r="AD92" s="908">
        <f t="shared" si="33"/>
        <v>0</v>
      </c>
      <c r="AE92" s="908">
        <f t="shared" si="33"/>
        <v>0</v>
      </c>
      <c r="AF92" s="908">
        <f t="shared" si="33"/>
        <v>0</v>
      </c>
    </row>
    <row r="93" spans="1:32" collapsed="1">
      <c r="B93" s="901" t="s">
        <v>542</v>
      </c>
      <c r="C93" s="858"/>
      <c r="D93" s="880"/>
      <c r="E93" s="880"/>
      <c r="F93" s="880"/>
      <c r="G93" s="880"/>
      <c r="H93" s="880"/>
      <c r="I93" s="909">
        <f t="shared" ref="I93:R93" ca="1" si="34">SUM(I83:I92)</f>
        <v>17986.391862449989</v>
      </c>
      <c r="J93" s="909">
        <f t="shared" ca="1" si="34"/>
        <v>34625.003428007069</v>
      </c>
      <c r="K93" s="909">
        <f t="shared" ca="1" si="34"/>
        <v>32025.370257487622</v>
      </c>
      <c r="L93" s="909">
        <f t="shared" ca="1" si="34"/>
        <v>29627.184675827626</v>
      </c>
      <c r="M93" s="909">
        <f t="shared" ca="1" si="34"/>
        <v>27401.668456047148</v>
      </c>
      <c r="N93" s="909">
        <f t="shared" ca="1" si="34"/>
        <v>25348.821598146187</v>
      </c>
      <c r="O93" s="909">
        <f t="shared" ca="1" si="34"/>
        <v>23444.662246308148</v>
      </c>
      <c r="P93" s="909">
        <f t="shared" ca="1" si="34"/>
        <v>21689.190400533033</v>
      </c>
      <c r="Q93" s="909">
        <f t="shared" ca="1" si="34"/>
        <v>21401.408130733831</v>
      </c>
      <c r="R93" s="909">
        <f t="shared" ca="1" si="34"/>
        <v>21396.611759570507</v>
      </c>
      <c r="S93" s="909">
        <f t="shared" ref="S93:AC93" ca="1" si="35">SUM(S83:S92)</f>
        <v>21401.408130733831</v>
      </c>
      <c r="T93" s="909">
        <f t="shared" ca="1" si="35"/>
        <v>21396.611759570507</v>
      </c>
      <c r="U93" s="909">
        <f t="shared" ca="1" si="35"/>
        <v>21401.408130733831</v>
      </c>
      <c r="V93" s="909">
        <f t="shared" ca="1" si="35"/>
        <v>21396.611759570507</v>
      </c>
      <c r="W93" s="909">
        <f t="shared" ca="1" si="35"/>
        <v>21401.408130733831</v>
      </c>
      <c r="X93" s="909">
        <f t="shared" ca="1" si="35"/>
        <v>21396.611759570507</v>
      </c>
      <c r="Y93" s="909">
        <f t="shared" ca="1" si="35"/>
        <v>21401.408130733831</v>
      </c>
      <c r="Z93" s="909">
        <f t="shared" ca="1" si="35"/>
        <v>21396.611759570507</v>
      </c>
      <c r="AA93" s="909">
        <f t="shared" ca="1" si="35"/>
        <v>21401.408130733831</v>
      </c>
      <c r="AB93" s="909">
        <f t="shared" ca="1" si="35"/>
        <v>21396.611759570507</v>
      </c>
      <c r="AC93" s="909">
        <f t="shared" ca="1" si="35"/>
        <v>10700.704065366916</v>
      </c>
      <c r="AD93" s="909">
        <f ca="1">SUM(AD83:AD92)</f>
        <v>0</v>
      </c>
      <c r="AE93" s="909">
        <f ca="1">SUM(AE83:AE92)</f>
        <v>0</v>
      </c>
      <c r="AF93" s="909">
        <f ca="1">SUM(AF83:AF92)</f>
        <v>0</v>
      </c>
    </row>
    <row r="94" spans="1:32">
      <c r="C94" s="880"/>
      <c r="D94" s="880"/>
      <c r="E94" s="880"/>
      <c r="F94" s="880"/>
      <c r="G94" s="880"/>
      <c r="H94" s="880"/>
      <c r="I94" s="880"/>
      <c r="J94" s="899"/>
      <c r="K94" s="880"/>
      <c r="L94" s="880"/>
      <c r="M94" s="880"/>
      <c r="N94" s="880"/>
      <c r="O94" s="880"/>
      <c r="P94" s="880"/>
      <c r="Q94" s="880"/>
      <c r="R94" s="880"/>
      <c r="S94" s="880"/>
      <c r="T94" s="880"/>
      <c r="U94" s="880"/>
      <c r="V94" s="880"/>
      <c r="W94" s="880"/>
      <c r="X94" s="880"/>
      <c r="Y94" s="880"/>
      <c r="Z94" s="880"/>
      <c r="AA94" s="880"/>
      <c r="AB94" s="880"/>
      <c r="AC94" s="880"/>
      <c r="AD94" s="880"/>
      <c r="AE94" s="880"/>
      <c r="AF94" s="880"/>
    </row>
    <row r="95" spans="1:32">
      <c r="A95" s="901" t="s">
        <v>512</v>
      </c>
      <c r="D95" s="880"/>
      <c r="E95" s="880"/>
      <c r="F95" s="880"/>
      <c r="G95" s="880"/>
      <c r="H95" s="1794" t="s">
        <v>1206</v>
      </c>
      <c r="I95" s="1793">
        <v>0.05</v>
      </c>
      <c r="J95" s="1793">
        <v>9.5000000000000001E-2</v>
      </c>
      <c r="K95" s="1793">
        <v>8.5500000000000007E-2</v>
      </c>
      <c r="L95" s="1793">
        <v>7.6999999999999999E-2</v>
      </c>
      <c r="M95" s="1793">
        <v>6.93E-2</v>
      </c>
      <c r="N95" s="1793">
        <v>6.2300000000000001E-2</v>
      </c>
      <c r="O95" s="1793">
        <v>5.8999999999999997E-2</v>
      </c>
      <c r="P95" s="1793">
        <v>5.8999999999999997E-2</v>
      </c>
      <c r="Q95" s="1793">
        <v>5.91E-2</v>
      </c>
      <c r="R95" s="1793">
        <v>5.8999999999999997E-2</v>
      </c>
      <c r="S95" s="1793">
        <v>5.91E-2</v>
      </c>
      <c r="T95" s="1793">
        <v>5.8999999999999997E-2</v>
      </c>
      <c r="U95" s="1793">
        <v>5.91E-2</v>
      </c>
      <c r="V95" s="1793">
        <v>5.8999999999999997E-2</v>
      </c>
      <c r="W95" s="1793">
        <v>5.91E-2</v>
      </c>
      <c r="X95" s="1793">
        <v>2.93E-2</v>
      </c>
      <c r="Y95" s="1793"/>
      <c r="Z95" s="1793"/>
      <c r="AA95" s="1793"/>
      <c r="AB95" s="1793"/>
      <c r="AC95" s="1793"/>
    </row>
    <row r="96" spans="1:32">
      <c r="C96" s="820" t="str">
        <f>+C75</f>
        <v>Funding 1</v>
      </c>
      <c r="D96" s="880"/>
      <c r="E96" s="880"/>
      <c r="F96" s="880"/>
      <c r="G96" s="880"/>
      <c r="H96" s="899"/>
      <c r="I96" s="908">
        <f ca="1">I95*$N$56</f>
        <v>2428.1629014307491</v>
      </c>
      <c r="J96" s="908">
        <f t="shared" ref="J96:AF96" ca="1" si="36">J95*$N$56</f>
        <v>4613.5095127184231</v>
      </c>
      <c r="K96" s="908">
        <f t="shared" ca="1" si="36"/>
        <v>4152.1585614465812</v>
      </c>
      <c r="L96" s="908">
        <f t="shared" ca="1" si="36"/>
        <v>3739.3708682033534</v>
      </c>
      <c r="M96" s="908">
        <f t="shared" ca="1" si="36"/>
        <v>3365.4337813830184</v>
      </c>
      <c r="N96" s="908">
        <f t="shared" ca="1" si="36"/>
        <v>3025.4909751827136</v>
      </c>
      <c r="O96" s="908">
        <f t="shared" ca="1" si="36"/>
        <v>2865.2322236882837</v>
      </c>
      <c r="P96" s="908">
        <f t="shared" ca="1" si="36"/>
        <v>2865.2322236882837</v>
      </c>
      <c r="Q96" s="908">
        <f t="shared" ca="1" si="36"/>
        <v>2870.0885494911454</v>
      </c>
      <c r="R96" s="908">
        <f t="shared" ca="1" si="36"/>
        <v>2865.2322236882837</v>
      </c>
      <c r="S96" s="908">
        <f t="shared" ca="1" si="36"/>
        <v>2870.0885494911454</v>
      </c>
      <c r="T96" s="908">
        <f t="shared" ca="1" si="36"/>
        <v>2865.2322236882837</v>
      </c>
      <c r="U96" s="908">
        <f t="shared" ca="1" si="36"/>
        <v>2870.0885494911454</v>
      </c>
      <c r="V96" s="908">
        <f t="shared" ca="1" si="36"/>
        <v>2865.2322236882837</v>
      </c>
      <c r="W96" s="908">
        <f t="shared" ca="1" si="36"/>
        <v>2870.0885494911454</v>
      </c>
      <c r="X96" s="908">
        <f t="shared" ca="1" si="36"/>
        <v>1422.903460238419</v>
      </c>
      <c r="Y96" s="908">
        <f t="shared" ca="1" si="36"/>
        <v>0</v>
      </c>
      <c r="Z96" s="908">
        <f t="shared" ca="1" si="36"/>
        <v>0</v>
      </c>
      <c r="AA96" s="908">
        <f t="shared" ca="1" si="36"/>
        <v>0</v>
      </c>
      <c r="AB96" s="908">
        <f t="shared" ca="1" si="36"/>
        <v>0</v>
      </c>
      <c r="AC96" s="908">
        <f t="shared" ca="1" si="36"/>
        <v>0</v>
      </c>
      <c r="AD96" s="908">
        <f t="shared" ca="1" si="36"/>
        <v>0</v>
      </c>
      <c r="AE96" s="908">
        <f t="shared" ca="1" si="36"/>
        <v>0</v>
      </c>
      <c r="AF96" s="908">
        <f t="shared" ca="1" si="36"/>
        <v>0</v>
      </c>
    </row>
    <row r="97" spans="1:32" hidden="1" outlineLevel="1">
      <c r="A97" s="869"/>
      <c r="C97" s="820" t="str">
        <f>+C76</f>
        <v>Funding 2</v>
      </c>
      <c r="D97" s="880"/>
      <c r="E97" s="880"/>
      <c r="F97" s="880"/>
      <c r="G97" s="880"/>
      <c r="H97" s="899"/>
      <c r="I97" s="908">
        <f>IF($N55=0,0,IF($R55="SL",SLN($N55,$O55,$Q55)*IF(YEAR($P55)&lt;(J$3-1),IF(YEAR($P55)+$Q55=J$3-1,(MONTH($P55)-1)/12,IF(YEAR($P55)+$Q55&lt;J$3-1,0,1)),IF(YEAR($P55)&gt;J$3-1,0,(12-MONTH($P55)+1)/12)),IF(YEAR($P55)&gt;J$3-1,0,VDB($N55,$O55,$Q55,IF(YEAR($P55)=J$3-1,0,MIN($Q55,(DATE(J$3-1,1,1)-$P55)/365)),MIN($Q55,(DATE(J$3-1,12,31)-$P55)/365),$S55))))</f>
        <v>0</v>
      </c>
      <c r="J97" s="908">
        <f t="shared" ref="J97:S97" si="37">IF($N55=0,0,IF($R55="SL",SLN($N55,$O55,$Q55)*IF(YEAR($P55)&lt;J$3,IF(YEAR($P55)+$Q55=J$3,(MONTH($P55)-1)/12,IF(YEAR($P55)+$Q55&lt;J$3,0,1)),IF(YEAR($P55)&gt;J$3,0,(12-MONTH($P55)+1)/12)),IF(YEAR($P55)&gt;J$3,0,VDB($N55,$O55,$Q55,IF(YEAR($P55)=J$3,0,MIN($Q55,(DATE(J$3,1,1)-$P55)/365)),MIN($Q55,(DATE(J$3,12,31)-$P55)/365),$S55))))</f>
        <v>0</v>
      </c>
      <c r="K97" s="908">
        <f t="shared" si="37"/>
        <v>0</v>
      </c>
      <c r="L97" s="908">
        <f t="shared" si="37"/>
        <v>0</v>
      </c>
      <c r="M97" s="908">
        <f t="shared" si="37"/>
        <v>0</v>
      </c>
      <c r="N97" s="908">
        <f t="shared" si="37"/>
        <v>0</v>
      </c>
      <c r="O97" s="908">
        <f t="shared" si="37"/>
        <v>0</v>
      </c>
      <c r="P97" s="908">
        <f t="shared" si="37"/>
        <v>0</v>
      </c>
      <c r="Q97" s="908">
        <f t="shared" si="37"/>
        <v>0</v>
      </c>
      <c r="R97" s="908">
        <f t="shared" si="37"/>
        <v>0</v>
      </c>
      <c r="S97" s="908">
        <f t="shared" si="37"/>
        <v>0</v>
      </c>
      <c r="T97" s="908">
        <f t="shared" ref="T97:AC97" si="38">IF($N55=0,0,IF($R55="SL",SLN($N55,$O55,$Q55)*IF(YEAR($P55)&lt;T$3,IF(YEAR($P55)+$Q55=T$3,(MONTH($P55)-1)/12,IF(YEAR($P55)+$Q55&lt;T$3,0,1)),IF(YEAR($P55)&gt;T$3,0,(12-MONTH($P55)+1)/12)),IF(YEAR($P55)&gt;T$3,0,VDB($N55,$O55,$Q55,IF(YEAR($P55)=T$3,0,MIN($Q55,(DATE(T$3,1,1)-$P55)/365)),MIN($Q55,(DATE(T$3,12,31)-$P55)/365),$S55))))</f>
        <v>0</v>
      </c>
      <c r="U97" s="908">
        <f t="shared" si="38"/>
        <v>0</v>
      </c>
      <c r="V97" s="908">
        <f t="shared" si="38"/>
        <v>0</v>
      </c>
      <c r="W97" s="908">
        <f t="shared" si="38"/>
        <v>0</v>
      </c>
      <c r="X97" s="908">
        <f t="shared" si="38"/>
        <v>0</v>
      </c>
      <c r="Y97" s="908">
        <f t="shared" si="38"/>
        <v>0</v>
      </c>
      <c r="Z97" s="908">
        <f t="shared" si="38"/>
        <v>0</v>
      </c>
      <c r="AA97" s="908">
        <f t="shared" si="38"/>
        <v>0</v>
      </c>
      <c r="AB97" s="908">
        <f t="shared" si="38"/>
        <v>0</v>
      </c>
      <c r="AC97" s="908">
        <f t="shared" si="38"/>
        <v>0</v>
      </c>
      <c r="AD97" s="908">
        <f>IF($N55=0,0,IF($R55="SL",SLN($N55,$O55,$Q55)*IF(YEAR($P55)&lt;AD$3,IF(YEAR($P55)+$Q55=AD$3,(MONTH($P55)-1)/12,IF(YEAR($P55)+$Q55&lt;AD$3,0,1)),IF(YEAR($P55)&gt;AD$3,0,(12-MONTH($P55)+1)/12)),IF(YEAR($P55)&gt;AD$3,0,VDB($N55,$O55,$Q55,IF(YEAR($P55)=AD$3,0,MIN($Q55,(DATE(AD$3,1,1)-$P55)/365)),MIN($Q55,(DATE(AD$3,12,31)-$P55)/365),$S55))))</f>
        <v>0</v>
      </c>
      <c r="AE97" s="908">
        <f>IF($N55=0,0,IF($R55="SL",SLN($N55,$O55,$Q55)*IF(YEAR($P55)&lt;AE$3,IF(YEAR($P55)+$Q55=AE$3,(MONTH($P55)-1)/12,IF(YEAR($P55)+$Q55&lt;AE$3,0,1)),IF(YEAR($P55)&gt;AE$3,0,(12-MONTH($P55)+1)/12)),IF(YEAR($P55)&gt;AE$3,0,VDB($N55,$O55,$Q55,IF(YEAR($P55)=AE$3,0,MIN($Q55,(DATE(AE$3,1,1)-$P55)/365)),MIN($Q55,(DATE(AE$3,12,31)-$P55)/365),$S55))))</f>
        <v>0</v>
      </c>
      <c r="AF97" s="908">
        <f>IF($N55=0,0,IF($R55="SL",SLN($N55,$O55,$Q55)*IF(YEAR($P55)&lt;AF$3,IF(YEAR($P55)+$Q55=AF$3,(MONTH($P55)-1)/12,IF(YEAR($P55)+$Q55&lt;AF$3,0,1)),IF(YEAR($P55)&gt;AF$3,0,(12-MONTH($P55)+1)/12)),IF(YEAR($P55)&gt;AF$3,0,VDB($N55,$O55,$Q55,IF(YEAR($P55)=AF$3,0,MIN($Q55,(DATE(AF$3,1,1)-$P55)/365)),MIN($Q55,(DATE(AF$3,12,31)-$P55)/365),$S55))))</f>
        <v>0</v>
      </c>
    </row>
    <row r="98" spans="1:32" collapsed="1">
      <c r="A98" s="869"/>
      <c r="B98" s="901" t="s">
        <v>543</v>
      </c>
      <c r="D98" s="880"/>
      <c r="E98" s="880"/>
      <c r="F98" s="880"/>
      <c r="G98" s="880"/>
      <c r="H98" s="899"/>
      <c r="I98" s="910">
        <f t="shared" ref="I98:R98" ca="1" si="39">+I97+I96</f>
        <v>2428.1629014307491</v>
      </c>
      <c r="J98" s="910">
        <f t="shared" ca="1" si="39"/>
        <v>4613.5095127184231</v>
      </c>
      <c r="K98" s="910">
        <f t="shared" ca="1" si="39"/>
        <v>4152.1585614465812</v>
      </c>
      <c r="L98" s="910">
        <f t="shared" ca="1" si="39"/>
        <v>3739.3708682033534</v>
      </c>
      <c r="M98" s="910">
        <f t="shared" ca="1" si="39"/>
        <v>3365.4337813830184</v>
      </c>
      <c r="N98" s="910">
        <f t="shared" ca="1" si="39"/>
        <v>3025.4909751827136</v>
      </c>
      <c r="O98" s="910">
        <f t="shared" ca="1" si="39"/>
        <v>2865.2322236882837</v>
      </c>
      <c r="P98" s="910">
        <f t="shared" ca="1" si="39"/>
        <v>2865.2322236882837</v>
      </c>
      <c r="Q98" s="910">
        <f t="shared" ca="1" si="39"/>
        <v>2870.0885494911454</v>
      </c>
      <c r="R98" s="910">
        <f t="shared" ca="1" si="39"/>
        <v>2865.2322236882837</v>
      </c>
      <c r="S98" s="910">
        <f t="shared" ref="S98:AC98" ca="1" si="40">+S97+S96</f>
        <v>2870.0885494911454</v>
      </c>
      <c r="T98" s="910">
        <f t="shared" ca="1" si="40"/>
        <v>2865.2322236882837</v>
      </c>
      <c r="U98" s="910">
        <f t="shared" ca="1" si="40"/>
        <v>2870.0885494911454</v>
      </c>
      <c r="V98" s="910">
        <f t="shared" ca="1" si="40"/>
        <v>2865.2322236882837</v>
      </c>
      <c r="W98" s="910">
        <f t="shared" ca="1" si="40"/>
        <v>2870.0885494911454</v>
      </c>
      <c r="X98" s="910">
        <f t="shared" ca="1" si="40"/>
        <v>1422.903460238419</v>
      </c>
      <c r="Y98" s="910">
        <f t="shared" ca="1" si="40"/>
        <v>0</v>
      </c>
      <c r="Z98" s="910">
        <f t="shared" ca="1" si="40"/>
        <v>0</v>
      </c>
      <c r="AA98" s="910">
        <f t="shared" ca="1" si="40"/>
        <v>0</v>
      </c>
      <c r="AB98" s="910">
        <f t="shared" ca="1" si="40"/>
        <v>0</v>
      </c>
      <c r="AC98" s="910">
        <f t="shared" ca="1" si="40"/>
        <v>0</v>
      </c>
      <c r="AD98" s="910">
        <f ca="1">+AD97+AD96</f>
        <v>0</v>
      </c>
      <c r="AE98" s="910">
        <f ca="1">+AE97+AE96</f>
        <v>0</v>
      </c>
      <c r="AF98" s="910">
        <f ca="1">+AF97+AF96</f>
        <v>0</v>
      </c>
    </row>
    <row r="99" spans="1:32">
      <c r="C99" s="880"/>
      <c r="D99" s="880"/>
      <c r="E99" s="880"/>
      <c r="F99" s="880"/>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row>
    <row r="100" spans="1:32">
      <c r="A100" s="901" t="s">
        <v>547</v>
      </c>
      <c r="I100" s="848">
        <f t="shared" ref="I100:R100" ca="1" si="41">+I93+I98</f>
        <v>20414.55476388074</v>
      </c>
      <c r="J100" s="848">
        <f t="shared" ca="1" si="41"/>
        <v>39238.512940725494</v>
      </c>
      <c r="K100" s="848">
        <f t="shared" ca="1" si="41"/>
        <v>36177.528818934203</v>
      </c>
      <c r="L100" s="848">
        <f t="shared" ca="1" si="41"/>
        <v>33366.555544030976</v>
      </c>
      <c r="M100" s="848">
        <f t="shared" ca="1" si="41"/>
        <v>30767.102237430165</v>
      </c>
      <c r="N100" s="848">
        <f t="shared" ca="1" si="41"/>
        <v>28374.312573328902</v>
      </c>
      <c r="O100" s="848">
        <f t="shared" ca="1" si="41"/>
        <v>26309.89446999643</v>
      </c>
      <c r="P100" s="848">
        <f t="shared" ca="1" si="41"/>
        <v>24554.422624221315</v>
      </c>
      <c r="Q100" s="848">
        <f t="shared" ca="1" si="41"/>
        <v>24271.496680224976</v>
      </c>
      <c r="R100" s="848">
        <f t="shared" ca="1" si="41"/>
        <v>24261.84398325879</v>
      </c>
      <c r="S100" s="848">
        <f t="shared" ref="S100:AC100" ca="1" si="42">+S93+S98</f>
        <v>24271.496680224976</v>
      </c>
      <c r="T100" s="848">
        <f t="shared" ca="1" si="42"/>
        <v>24261.84398325879</v>
      </c>
      <c r="U100" s="848">
        <f t="shared" ca="1" si="42"/>
        <v>24271.496680224976</v>
      </c>
      <c r="V100" s="848">
        <f t="shared" ca="1" si="42"/>
        <v>24261.84398325879</v>
      </c>
      <c r="W100" s="848">
        <f t="shared" ca="1" si="42"/>
        <v>24271.496680224976</v>
      </c>
      <c r="X100" s="848">
        <f t="shared" ca="1" si="42"/>
        <v>22819.515219808927</v>
      </c>
      <c r="Y100" s="848">
        <f t="shared" ca="1" si="42"/>
        <v>21401.408130733831</v>
      </c>
      <c r="Z100" s="848">
        <f t="shared" ca="1" si="42"/>
        <v>21396.611759570507</v>
      </c>
      <c r="AA100" s="848">
        <f t="shared" ca="1" si="42"/>
        <v>21401.408130733831</v>
      </c>
      <c r="AB100" s="848">
        <f t="shared" ca="1" si="42"/>
        <v>21396.611759570507</v>
      </c>
      <c r="AC100" s="848">
        <f t="shared" ca="1" si="42"/>
        <v>10700.704065366916</v>
      </c>
      <c r="AD100" s="848">
        <f ca="1">+AD93+AD98</f>
        <v>0</v>
      </c>
      <c r="AE100" s="848">
        <f ca="1">+AE93+AE98</f>
        <v>0</v>
      </c>
      <c r="AF100" s="848">
        <f ca="1">+AF93+AF98</f>
        <v>0</v>
      </c>
    </row>
    <row r="101" spans="1:32">
      <c r="A101" s="901"/>
      <c r="B101" s="848">
        <f ca="1">+SUM(I100:AF100)-N51</f>
        <v>48553.545377009083</v>
      </c>
      <c r="I101" s="848"/>
      <c r="J101" s="848"/>
      <c r="K101" s="848"/>
      <c r="L101" s="848"/>
      <c r="M101" s="848"/>
      <c r="N101" s="848"/>
      <c r="O101" s="848"/>
      <c r="P101" s="848"/>
      <c r="Q101" s="848"/>
      <c r="R101" s="848"/>
      <c r="S101" s="848"/>
      <c r="T101" s="848"/>
      <c r="U101" s="848"/>
      <c r="V101" s="848"/>
      <c r="W101" s="848"/>
      <c r="X101" s="848"/>
      <c r="Y101" s="848"/>
      <c r="Z101" s="848"/>
      <c r="AA101" s="848"/>
      <c r="AB101" s="848"/>
      <c r="AC101" s="848"/>
      <c r="AD101" s="848"/>
      <c r="AE101" s="848"/>
      <c r="AF101" s="848"/>
    </row>
    <row r="102" spans="1:32" ht="12" thickBot="1">
      <c r="A102" s="912"/>
      <c r="B102" s="913"/>
      <c r="C102" s="913"/>
      <c r="D102" s="913"/>
      <c r="E102" s="913"/>
      <c r="F102" s="913"/>
      <c r="G102" s="913"/>
      <c r="H102" s="913"/>
      <c r="I102" s="914"/>
      <c r="J102" s="914"/>
      <c r="K102" s="914"/>
      <c r="L102" s="914"/>
      <c r="M102" s="914"/>
      <c r="N102" s="914"/>
      <c r="O102" s="914"/>
      <c r="P102" s="914"/>
      <c r="Q102" s="914"/>
      <c r="R102" s="914"/>
      <c r="S102" s="914"/>
      <c r="T102" s="914"/>
      <c r="U102" s="914"/>
      <c r="V102" s="914"/>
      <c r="W102" s="914"/>
      <c r="X102" s="914"/>
      <c r="Y102" s="914"/>
      <c r="Z102" s="914"/>
      <c r="AA102" s="914"/>
      <c r="AB102" s="914"/>
      <c r="AC102" s="914"/>
      <c r="AD102" s="914"/>
      <c r="AE102" s="914"/>
      <c r="AF102" s="914"/>
    </row>
    <row r="103" spans="1:32" ht="12.75" thickTop="1" thickBot="1">
      <c r="A103" s="901"/>
      <c r="I103" s="848"/>
      <c r="J103" s="848"/>
      <c r="K103" s="848"/>
      <c r="L103" s="848"/>
      <c r="M103" s="848"/>
      <c r="N103" s="848"/>
      <c r="O103" s="848"/>
      <c r="P103" s="848"/>
      <c r="Q103" s="848"/>
      <c r="R103" s="848"/>
      <c r="S103" s="848"/>
      <c r="T103" s="848"/>
      <c r="U103" s="848"/>
      <c r="V103" s="848"/>
      <c r="W103" s="848"/>
      <c r="X103" s="848"/>
      <c r="Y103" s="848"/>
      <c r="Z103" s="848"/>
      <c r="AA103" s="848"/>
      <c r="AB103" s="848"/>
      <c r="AC103" s="848"/>
      <c r="AD103" s="848"/>
      <c r="AE103" s="848"/>
      <c r="AF103" s="848"/>
    </row>
    <row r="104" spans="1:32" ht="12.75" thickTop="1" thickBot="1">
      <c r="A104" s="915" t="s">
        <v>548</v>
      </c>
      <c r="I104" s="842">
        <f t="shared" ref="I104:R104" si="43">+I$3</f>
        <v>37986</v>
      </c>
      <c r="J104" s="843">
        <f t="shared" si="43"/>
        <v>2004</v>
      </c>
      <c r="K104" s="843">
        <f t="shared" si="43"/>
        <v>2005</v>
      </c>
      <c r="L104" s="843">
        <f t="shared" si="43"/>
        <v>2006</v>
      </c>
      <c r="M104" s="843">
        <f t="shared" si="43"/>
        <v>2007</v>
      </c>
      <c r="N104" s="843">
        <f t="shared" si="43"/>
        <v>2008</v>
      </c>
      <c r="O104" s="843">
        <f t="shared" si="43"/>
        <v>2009</v>
      </c>
      <c r="P104" s="843">
        <f t="shared" si="43"/>
        <v>2010</v>
      </c>
      <c r="Q104" s="843">
        <f t="shared" si="43"/>
        <v>2011</v>
      </c>
      <c r="R104" s="843">
        <f t="shared" si="43"/>
        <v>2012</v>
      </c>
      <c r="S104" s="843">
        <f t="shared" ref="S104:AF104" si="44">+S$3</f>
        <v>2013</v>
      </c>
      <c r="T104" s="843">
        <f t="shared" si="44"/>
        <v>2014</v>
      </c>
      <c r="U104" s="843">
        <f t="shared" si="44"/>
        <v>2015</v>
      </c>
      <c r="V104" s="843">
        <f t="shared" si="44"/>
        <v>2016</v>
      </c>
      <c r="W104" s="843">
        <f t="shared" si="44"/>
        <v>2017</v>
      </c>
      <c r="X104" s="843">
        <f t="shared" si="44"/>
        <v>2018</v>
      </c>
      <c r="Y104" s="843">
        <f t="shared" si="44"/>
        <v>2019</v>
      </c>
      <c r="Z104" s="843">
        <f t="shared" si="44"/>
        <v>2020</v>
      </c>
      <c r="AA104" s="843">
        <f t="shared" si="44"/>
        <v>2021</v>
      </c>
      <c r="AB104" s="843">
        <f t="shared" si="44"/>
        <v>2022</v>
      </c>
      <c r="AC104" s="843">
        <f t="shared" si="44"/>
        <v>2023</v>
      </c>
      <c r="AD104" s="843">
        <f t="shared" si="44"/>
        <v>2024</v>
      </c>
      <c r="AE104" s="843">
        <f t="shared" si="44"/>
        <v>2025</v>
      </c>
      <c r="AF104" s="843">
        <f t="shared" si="44"/>
        <v>2026</v>
      </c>
    </row>
    <row r="105" spans="1:32" ht="12" thickTop="1">
      <c r="A105" s="901"/>
      <c r="B105" s="901" t="s">
        <v>499</v>
      </c>
      <c r="I105" s="916">
        <f ca="1">+I20</f>
        <v>479637.11633199977</v>
      </c>
      <c r="J105" s="916">
        <f t="shared" ref="J105:AC105" si="45">+J20</f>
        <v>0</v>
      </c>
      <c r="K105" s="916">
        <f t="shared" si="45"/>
        <v>0</v>
      </c>
      <c r="L105" s="916">
        <f t="shared" si="45"/>
        <v>0</v>
      </c>
      <c r="M105" s="916">
        <f t="shared" si="45"/>
        <v>0</v>
      </c>
      <c r="N105" s="916">
        <f t="shared" si="45"/>
        <v>0</v>
      </c>
      <c r="O105" s="916">
        <f t="shared" si="45"/>
        <v>0</v>
      </c>
      <c r="P105" s="916">
        <f t="shared" si="45"/>
        <v>0</v>
      </c>
      <c r="Q105" s="916">
        <f t="shared" si="45"/>
        <v>0</v>
      </c>
      <c r="R105" s="916">
        <f t="shared" si="45"/>
        <v>0</v>
      </c>
      <c r="S105" s="916">
        <f t="shared" si="45"/>
        <v>0</v>
      </c>
      <c r="T105" s="916">
        <f t="shared" si="45"/>
        <v>0</v>
      </c>
      <c r="U105" s="916">
        <f t="shared" si="45"/>
        <v>0</v>
      </c>
      <c r="V105" s="916">
        <f t="shared" si="45"/>
        <v>0</v>
      </c>
      <c r="W105" s="916">
        <f t="shared" si="45"/>
        <v>0</v>
      </c>
      <c r="X105" s="916">
        <f t="shared" si="45"/>
        <v>0</v>
      </c>
      <c r="Y105" s="916">
        <f t="shared" si="45"/>
        <v>0</v>
      </c>
      <c r="Z105" s="916">
        <f t="shared" si="45"/>
        <v>0</v>
      </c>
      <c r="AA105" s="916">
        <f t="shared" si="45"/>
        <v>0</v>
      </c>
      <c r="AB105" s="916">
        <f t="shared" si="45"/>
        <v>0</v>
      </c>
      <c r="AC105" s="916">
        <f t="shared" si="45"/>
        <v>0</v>
      </c>
      <c r="AD105" s="916">
        <f>+AD20</f>
        <v>0</v>
      </c>
      <c r="AE105" s="916">
        <f>+AE20</f>
        <v>0</v>
      </c>
      <c r="AF105" s="916">
        <f>+AF20</f>
        <v>0</v>
      </c>
    </row>
    <row r="106" spans="1:32">
      <c r="A106" s="901"/>
      <c r="B106" s="915" t="s">
        <v>549</v>
      </c>
      <c r="I106" s="916">
        <f ca="1">+I25</f>
        <v>48563.258028614982</v>
      </c>
      <c r="J106" s="916">
        <f t="shared" ref="J106:AC106" si="46">+J25</f>
        <v>0</v>
      </c>
      <c r="K106" s="916">
        <f t="shared" si="46"/>
        <v>0</v>
      </c>
      <c r="L106" s="916">
        <f t="shared" si="46"/>
        <v>0</v>
      </c>
      <c r="M106" s="916">
        <f t="shared" si="46"/>
        <v>0</v>
      </c>
      <c r="N106" s="916">
        <f t="shared" si="46"/>
        <v>0</v>
      </c>
      <c r="O106" s="916">
        <f t="shared" si="46"/>
        <v>0</v>
      </c>
      <c r="P106" s="916">
        <f t="shared" si="46"/>
        <v>0</v>
      </c>
      <c r="Q106" s="916">
        <f t="shared" si="46"/>
        <v>0</v>
      </c>
      <c r="R106" s="916">
        <f t="shared" si="46"/>
        <v>0</v>
      </c>
      <c r="S106" s="916">
        <f t="shared" si="46"/>
        <v>0</v>
      </c>
      <c r="T106" s="916">
        <f t="shared" si="46"/>
        <v>0</v>
      </c>
      <c r="U106" s="916">
        <f t="shared" si="46"/>
        <v>0</v>
      </c>
      <c r="V106" s="916">
        <f t="shared" si="46"/>
        <v>0</v>
      </c>
      <c r="W106" s="916">
        <f t="shared" si="46"/>
        <v>0</v>
      </c>
      <c r="X106" s="916">
        <f t="shared" si="46"/>
        <v>0</v>
      </c>
      <c r="Y106" s="916">
        <f t="shared" si="46"/>
        <v>0</v>
      </c>
      <c r="Z106" s="916">
        <f t="shared" si="46"/>
        <v>0</v>
      </c>
      <c r="AA106" s="916">
        <f t="shared" si="46"/>
        <v>0</v>
      </c>
      <c r="AB106" s="916">
        <f t="shared" si="46"/>
        <v>0</v>
      </c>
      <c r="AC106" s="916">
        <f t="shared" si="46"/>
        <v>0</v>
      </c>
      <c r="AD106" s="916">
        <f>+AD25</f>
        <v>0</v>
      </c>
      <c r="AE106" s="916">
        <f>+AE25</f>
        <v>0</v>
      </c>
      <c r="AF106" s="916">
        <f>+AF25</f>
        <v>0</v>
      </c>
    </row>
    <row r="107" spans="1:32">
      <c r="A107" s="901"/>
      <c r="B107" s="915" t="s">
        <v>550</v>
      </c>
      <c r="I107" s="916">
        <f>+I27</f>
        <v>0</v>
      </c>
      <c r="J107" s="916">
        <f t="shared" ref="J107:AC107" si="47">+J27</f>
        <v>0</v>
      </c>
      <c r="K107" s="916">
        <f t="shared" si="47"/>
        <v>0</v>
      </c>
      <c r="L107" s="916">
        <f t="shared" si="47"/>
        <v>0</v>
      </c>
      <c r="M107" s="916">
        <f t="shared" si="47"/>
        <v>0</v>
      </c>
      <c r="N107" s="916">
        <f t="shared" si="47"/>
        <v>0</v>
      </c>
      <c r="O107" s="916">
        <f t="shared" si="47"/>
        <v>0</v>
      </c>
      <c r="P107" s="916">
        <f t="shared" si="47"/>
        <v>0</v>
      </c>
      <c r="Q107" s="916">
        <f t="shared" si="47"/>
        <v>0</v>
      </c>
      <c r="R107" s="916">
        <f t="shared" si="47"/>
        <v>0</v>
      </c>
      <c r="S107" s="916">
        <f t="shared" si="47"/>
        <v>0</v>
      </c>
      <c r="T107" s="916">
        <f t="shared" si="47"/>
        <v>0</v>
      </c>
      <c r="U107" s="916">
        <f t="shared" si="47"/>
        <v>0</v>
      </c>
      <c r="V107" s="916">
        <f t="shared" si="47"/>
        <v>0</v>
      </c>
      <c r="W107" s="916">
        <f t="shared" si="47"/>
        <v>0</v>
      </c>
      <c r="X107" s="916">
        <f t="shared" si="47"/>
        <v>0</v>
      </c>
      <c r="Y107" s="916">
        <f t="shared" si="47"/>
        <v>0</v>
      </c>
      <c r="Z107" s="916">
        <f t="shared" si="47"/>
        <v>0</v>
      </c>
      <c r="AA107" s="916">
        <f t="shared" si="47"/>
        <v>0</v>
      </c>
      <c r="AB107" s="916">
        <f t="shared" si="47"/>
        <v>0</v>
      </c>
      <c r="AC107" s="916">
        <f t="shared" si="47"/>
        <v>0</v>
      </c>
      <c r="AD107" s="916">
        <f>+AD27</f>
        <v>0</v>
      </c>
      <c r="AE107" s="916">
        <f>+AE27</f>
        <v>0</v>
      </c>
      <c r="AF107" s="916">
        <f>+AF27</f>
        <v>0</v>
      </c>
    </row>
    <row r="108" spans="1:32">
      <c r="A108" s="901"/>
      <c r="B108" s="917" t="s">
        <v>518</v>
      </c>
      <c r="E108" s="918">
        <v>0</v>
      </c>
      <c r="F108" s="918">
        <v>0</v>
      </c>
      <c r="G108" s="918">
        <v>0</v>
      </c>
      <c r="H108" s="918">
        <v>0</v>
      </c>
      <c r="I108" s="909">
        <f ca="1">+I29</f>
        <v>528200.37436061481</v>
      </c>
      <c r="J108" s="909">
        <f t="shared" ref="J108:AC108" si="48">+J29</f>
        <v>0</v>
      </c>
      <c r="K108" s="909">
        <f t="shared" si="48"/>
        <v>0</v>
      </c>
      <c r="L108" s="909">
        <f t="shared" si="48"/>
        <v>0</v>
      </c>
      <c r="M108" s="909">
        <f t="shared" si="48"/>
        <v>0</v>
      </c>
      <c r="N108" s="909">
        <f t="shared" si="48"/>
        <v>0</v>
      </c>
      <c r="O108" s="909">
        <f t="shared" si="48"/>
        <v>0</v>
      </c>
      <c r="P108" s="909">
        <f t="shared" si="48"/>
        <v>0</v>
      </c>
      <c r="Q108" s="909">
        <f t="shared" si="48"/>
        <v>0</v>
      </c>
      <c r="R108" s="909">
        <f t="shared" si="48"/>
        <v>0</v>
      </c>
      <c r="S108" s="909">
        <f t="shared" si="48"/>
        <v>0</v>
      </c>
      <c r="T108" s="909">
        <f t="shared" si="48"/>
        <v>0</v>
      </c>
      <c r="U108" s="909">
        <f t="shared" si="48"/>
        <v>0</v>
      </c>
      <c r="V108" s="909">
        <f t="shared" si="48"/>
        <v>0</v>
      </c>
      <c r="W108" s="909">
        <f t="shared" si="48"/>
        <v>0</v>
      </c>
      <c r="X108" s="909">
        <f t="shared" si="48"/>
        <v>0</v>
      </c>
      <c r="Y108" s="909">
        <f t="shared" si="48"/>
        <v>0</v>
      </c>
      <c r="Z108" s="909">
        <f t="shared" si="48"/>
        <v>0</v>
      </c>
      <c r="AA108" s="909">
        <f t="shared" si="48"/>
        <v>0</v>
      </c>
      <c r="AB108" s="909">
        <f t="shared" si="48"/>
        <v>0</v>
      </c>
      <c r="AC108" s="909">
        <f t="shared" si="48"/>
        <v>0</v>
      </c>
      <c r="AD108" s="909">
        <f>+AD29</f>
        <v>0</v>
      </c>
      <c r="AE108" s="909">
        <f>+AE29</f>
        <v>0</v>
      </c>
      <c r="AF108" s="909">
        <f>+AF29</f>
        <v>0</v>
      </c>
    </row>
    <row r="109" spans="1:32">
      <c r="A109" s="901"/>
      <c r="I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48"/>
    </row>
    <row r="110" spans="1:32">
      <c r="A110" s="901"/>
      <c r="I110" s="848"/>
      <c r="J110" s="848"/>
      <c r="K110" s="848"/>
      <c r="L110" s="848"/>
      <c r="M110" s="848"/>
      <c r="N110" s="848"/>
      <c r="O110" s="848"/>
      <c r="P110" s="848"/>
      <c r="Q110" s="848"/>
      <c r="R110" s="848"/>
      <c r="S110" s="848"/>
      <c r="T110" s="848"/>
      <c r="U110" s="848"/>
      <c r="V110" s="848"/>
      <c r="W110" s="848"/>
      <c r="X110" s="848"/>
      <c r="Y110" s="848"/>
      <c r="Z110" s="848"/>
      <c r="AA110" s="848"/>
      <c r="AB110" s="848"/>
      <c r="AC110" s="848"/>
      <c r="AD110" s="848"/>
      <c r="AE110" s="848"/>
      <c r="AF110" s="848"/>
    </row>
    <row r="111" spans="1:32">
      <c r="A111" s="901"/>
      <c r="B111" s="901" t="s">
        <v>551</v>
      </c>
      <c r="I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48"/>
    </row>
    <row r="112" spans="1:32">
      <c r="A112" s="901"/>
      <c r="B112" s="820" t="s">
        <v>552</v>
      </c>
      <c r="E112" s="919">
        <v>0</v>
      </c>
      <c r="F112" s="919">
        <v>0</v>
      </c>
      <c r="G112" s="919">
        <v>0</v>
      </c>
      <c r="H112" s="919">
        <v>0</v>
      </c>
      <c r="I112" s="919">
        <v>0</v>
      </c>
      <c r="J112" s="919">
        <v>0</v>
      </c>
      <c r="K112" s="919">
        <v>0</v>
      </c>
      <c r="L112" s="919">
        <v>0</v>
      </c>
      <c r="M112" s="919">
        <v>0</v>
      </c>
      <c r="N112" s="919">
        <v>0</v>
      </c>
      <c r="O112" s="919">
        <v>0</v>
      </c>
      <c r="P112" s="919">
        <v>0</v>
      </c>
      <c r="Q112" s="919">
        <v>0</v>
      </c>
      <c r="R112" s="919">
        <v>0</v>
      </c>
      <c r="S112" s="919">
        <v>0</v>
      </c>
      <c r="T112" s="919">
        <v>0</v>
      </c>
      <c r="U112" s="919">
        <v>0</v>
      </c>
      <c r="V112" s="919">
        <v>0</v>
      </c>
      <c r="W112" s="919">
        <v>0</v>
      </c>
      <c r="X112" s="919">
        <v>0</v>
      </c>
      <c r="Y112" s="919">
        <v>0</v>
      </c>
      <c r="Z112" s="919">
        <v>0</v>
      </c>
      <c r="AA112" s="919">
        <v>0</v>
      </c>
      <c r="AB112" s="919">
        <v>0</v>
      </c>
      <c r="AC112" s="919">
        <v>0</v>
      </c>
      <c r="AD112" s="919">
        <v>0</v>
      </c>
      <c r="AE112" s="919">
        <v>0</v>
      </c>
      <c r="AF112" s="919">
        <v>0</v>
      </c>
    </row>
    <row r="113" spans="1:32">
      <c r="A113" s="901"/>
      <c r="B113" s="869" t="s">
        <v>553</v>
      </c>
      <c r="I113" s="848">
        <f t="shared" ref="I113:R113" ca="1" si="49">+I72</f>
        <v>11990.927908299995</v>
      </c>
      <c r="J113" s="848">
        <f t="shared" ca="1" si="49"/>
        <v>23981.855816599989</v>
      </c>
      <c r="K113" s="848">
        <f t="shared" ca="1" si="49"/>
        <v>23981.855816599989</v>
      </c>
      <c r="L113" s="848">
        <f t="shared" ca="1" si="49"/>
        <v>23981.855816599989</v>
      </c>
      <c r="M113" s="848">
        <f t="shared" ca="1" si="49"/>
        <v>23981.855816599989</v>
      </c>
      <c r="N113" s="848">
        <f t="shared" ca="1" si="49"/>
        <v>23981.855816599989</v>
      </c>
      <c r="O113" s="848">
        <f t="shared" ca="1" si="49"/>
        <v>23981.855816599989</v>
      </c>
      <c r="P113" s="848">
        <f t="shared" ca="1" si="49"/>
        <v>23981.855816599989</v>
      </c>
      <c r="Q113" s="848">
        <f t="shared" ca="1" si="49"/>
        <v>23981.855816599989</v>
      </c>
      <c r="R113" s="848">
        <f t="shared" ca="1" si="49"/>
        <v>23981.855816599989</v>
      </c>
      <c r="S113" s="848">
        <f t="shared" ref="S113:AC113" ca="1" si="50">+S72</f>
        <v>23981.855816599989</v>
      </c>
      <c r="T113" s="848">
        <f t="shared" ca="1" si="50"/>
        <v>23981.855816599989</v>
      </c>
      <c r="U113" s="848">
        <f t="shared" ca="1" si="50"/>
        <v>23981.855816599989</v>
      </c>
      <c r="V113" s="848">
        <f t="shared" ca="1" si="50"/>
        <v>23981.855816599989</v>
      </c>
      <c r="W113" s="848">
        <f t="shared" ca="1" si="50"/>
        <v>23981.855816599989</v>
      </c>
      <c r="X113" s="848">
        <f t="shared" ca="1" si="50"/>
        <v>23981.855816599989</v>
      </c>
      <c r="Y113" s="848">
        <f t="shared" ca="1" si="50"/>
        <v>23981.855816599989</v>
      </c>
      <c r="Z113" s="848">
        <f t="shared" ca="1" si="50"/>
        <v>23981.855816599989</v>
      </c>
      <c r="AA113" s="848">
        <f t="shared" ca="1" si="50"/>
        <v>23981.855816599989</v>
      </c>
      <c r="AB113" s="848">
        <f t="shared" ca="1" si="50"/>
        <v>23981.855816599989</v>
      </c>
      <c r="AC113" s="848">
        <f t="shared" ca="1" si="50"/>
        <v>11990.927908299995</v>
      </c>
      <c r="AD113" s="848">
        <f ca="1">+AD72</f>
        <v>0</v>
      </c>
      <c r="AE113" s="848">
        <f ca="1">+AE72</f>
        <v>0</v>
      </c>
      <c r="AF113" s="848">
        <f ca="1">+AF72</f>
        <v>0</v>
      </c>
    </row>
    <row r="114" spans="1:32">
      <c r="A114" s="901"/>
      <c r="B114" s="869" t="s">
        <v>554</v>
      </c>
      <c r="E114" s="920">
        <f>+E112</f>
        <v>0</v>
      </c>
      <c r="F114" s="920">
        <f>+F112</f>
        <v>0</v>
      </c>
      <c r="G114" s="920">
        <f>+G112</f>
        <v>0</v>
      </c>
      <c r="H114" s="920">
        <f>+H112</f>
        <v>0</v>
      </c>
      <c r="I114" s="909">
        <f t="shared" ref="I114:R114" ca="1" si="51">+I113+I112</f>
        <v>11990.927908299995</v>
      </c>
      <c r="J114" s="909">
        <f t="shared" ca="1" si="51"/>
        <v>23981.855816599989</v>
      </c>
      <c r="K114" s="909">
        <f t="shared" ca="1" si="51"/>
        <v>23981.855816599989</v>
      </c>
      <c r="L114" s="909">
        <f t="shared" ca="1" si="51"/>
        <v>23981.855816599989</v>
      </c>
      <c r="M114" s="909">
        <f t="shared" ca="1" si="51"/>
        <v>23981.855816599989</v>
      </c>
      <c r="N114" s="909">
        <f t="shared" ca="1" si="51"/>
        <v>23981.855816599989</v>
      </c>
      <c r="O114" s="909">
        <f t="shared" ca="1" si="51"/>
        <v>23981.855816599989</v>
      </c>
      <c r="P114" s="909">
        <f t="shared" ca="1" si="51"/>
        <v>23981.855816599989</v>
      </c>
      <c r="Q114" s="909">
        <f t="shared" ca="1" si="51"/>
        <v>23981.855816599989</v>
      </c>
      <c r="R114" s="909">
        <f t="shared" ca="1" si="51"/>
        <v>23981.855816599989</v>
      </c>
      <c r="S114" s="909">
        <f t="shared" ref="S114:AC114" ca="1" si="52">+S113+S112</f>
        <v>23981.855816599989</v>
      </c>
      <c r="T114" s="909">
        <f t="shared" ca="1" si="52"/>
        <v>23981.855816599989</v>
      </c>
      <c r="U114" s="909">
        <f t="shared" ca="1" si="52"/>
        <v>23981.855816599989</v>
      </c>
      <c r="V114" s="909">
        <f t="shared" ca="1" si="52"/>
        <v>23981.855816599989</v>
      </c>
      <c r="W114" s="909">
        <f t="shared" ca="1" si="52"/>
        <v>23981.855816599989</v>
      </c>
      <c r="X114" s="909">
        <f t="shared" ca="1" si="52"/>
        <v>23981.855816599989</v>
      </c>
      <c r="Y114" s="909">
        <f t="shared" ca="1" si="52"/>
        <v>23981.855816599989</v>
      </c>
      <c r="Z114" s="909">
        <f t="shared" ca="1" si="52"/>
        <v>23981.855816599989</v>
      </c>
      <c r="AA114" s="909">
        <f t="shared" ca="1" si="52"/>
        <v>23981.855816599989</v>
      </c>
      <c r="AB114" s="909">
        <f t="shared" ca="1" si="52"/>
        <v>23981.855816599989</v>
      </c>
      <c r="AC114" s="909">
        <f t="shared" ca="1" si="52"/>
        <v>11990.927908299995</v>
      </c>
      <c r="AD114" s="909">
        <f ca="1">+AD113+AD112</f>
        <v>0</v>
      </c>
      <c r="AE114" s="909">
        <f ca="1">+AE113+AE112</f>
        <v>0</v>
      </c>
      <c r="AF114" s="909">
        <f ca="1">+AF113+AF112</f>
        <v>0</v>
      </c>
    </row>
    <row r="115" spans="1:32">
      <c r="A115" s="901"/>
      <c r="B115" s="869" t="s">
        <v>555</v>
      </c>
      <c r="E115" s="921"/>
      <c r="F115" s="921"/>
      <c r="G115" s="921"/>
      <c r="H115" s="921"/>
      <c r="I115" s="899">
        <f t="shared" ref="I115:R115" ca="1" si="53">+I77</f>
        <v>3468.8041449010702</v>
      </c>
      <c r="J115" s="899">
        <f t="shared" ca="1" si="53"/>
        <v>6937.6082898021405</v>
      </c>
      <c r="K115" s="899">
        <f t="shared" ca="1" si="53"/>
        <v>6937.6082898021405</v>
      </c>
      <c r="L115" s="899">
        <f t="shared" ca="1" si="53"/>
        <v>6937.6082898021405</v>
      </c>
      <c r="M115" s="899">
        <f t="shared" ca="1" si="53"/>
        <v>6937.6082898021405</v>
      </c>
      <c r="N115" s="899">
        <f t="shared" ca="1" si="53"/>
        <v>6937.6082898021405</v>
      </c>
      <c r="O115" s="899">
        <f t="shared" ca="1" si="53"/>
        <v>6937.6082898021405</v>
      </c>
      <c r="P115" s="899">
        <f t="shared" ca="1" si="53"/>
        <v>3468.8041449010702</v>
      </c>
      <c r="Q115" s="899">
        <f t="shared" ca="1" si="53"/>
        <v>0</v>
      </c>
      <c r="R115" s="899">
        <f t="shared" ca="1" si="53"/>
        <v>0</v>
      </c>
      <c r="S115" s="899">
        <f t="shared" ref="S115:AC115" ca="1" si="54">+S77</f>
        <v>0</v>
      </c>
      <c r="T115" s="899">
        <f t="shared" ca="1" si="54"/>
        <v>0</v>
      </c>
      <c r="U115" s="899">
        <f t="shared" ca="1" si="54"/>
        <v>0</v>
      </c>
      <c r="V115" s="899">
        <f t="shared" ca="1" si="54"/>
        <v>0</v>
      </c>
      <c r="W115" s="899">
        <f t="shared" ca="1" si="54"/>
        <v>0</v>
      </c>
      <c r="X115" s="899">
        <f t="shared" ca="1" si="54"/>
        <v>0</v>
      </c>
      <c r="Y115" s="899">
        <f t="shared" ca="1" si="54"/>
        <v>0</v>
      </c>
      <c r="Z115" s="899">
        <f t="shared" ca="1" si="54"/>
        <v>0</v>
      </c>
      <c r="AA115" s="899">
        <f t="shared" ca="1" si="54"/>
        <v>0</v>
      </c>
      <c r="AB115" s="899">
        <f t="shared" ca="1" si="54"/>
        <v>0</v>
      </c>
      <c r="AC115" s="899">
        <f t="shared" ca="1" si="54"/>
        <v>0</v>
      </c>
      <c r="AD115" s="899">
        <f ca="1">+AD77</f>
        <v>0</v>
      </c>
      <c r="AE115" s="899">
        <f ca="1">+AE77</f>
        <v>0</v>
      </c>
      <c r="AF115" s="899">
        <f ca="1">+AF77</f>
        <v>0</v>
      </c>
    </row>
    <row r="116" spans="1:32">
      <c r="A116" s="901"/>
      <c r="I116" s="848"/>
      <c r="J116" s="848"/>
      <c r="K116" s="848"/>
      <c r="L116" s="848"/>
      <c r="M116" s="848"/>
      <c r="N116" s="848"/>
      <c r="O116" s="848"/>
      <c r="P116" s="848"/>
      <c r="Q116" s="848"/>
      <c r="R116" s="848"/>
      <c r="S116" s="848"/>
      <c r="T116" s="848"/>
      <c r="U116" s="848"/>
      <c r="V116" s="848"/>
      <c r="W116" s="848"/>
      <c r="X116" s="848"/>
      <c r="Y116" s="848"/>
      <c r="Z116" s="848"/>
      <c r="AA116" s="848"/>
      <c r="AB116" s="848"/>
      <c r="AC116" s="848"/>
      <c r="AD116" s="848"/>
      <c r="AE116" s="848"/>
      <c r="AF116" s="848"/>
    </row>
    <row r="117" spans="1:32">
      <c r="A117" s="901"/>
      <c r="B117" s="901" t="s">
        <v>556</v>
      </c>
      <c r="I117" s="848"/>
      <c r="J117" s="848"/>
      <c r="K117" s="848"/>
      <c r="L117" s="848"/>
      <c r="M117" s="848"/>
      <c r="N117" s="848"/>
      <c r="O117" s="848"/>
      <c r="P117" s="848"/>
      <c r="Q117" s="848"/>
      <c r="R117" s="848"/>
      <c r="S117" s="848"/>
      <c r="T117" s="848"/>
      <c r="U117" s="848"/>
      <c r="V117" s="848"/>
      <c r="W117" s="848"/>
      <c r="X117" s="848"/>
      <c r="Y117" s="848"/>
      <c r="Z117" s="848"/>
      <c r="AA117" s="848"/>
      <c r="AB117" s="848"/>
      <c r="AC117" s="848"/>
      <c r="AD117" s="848"/>
      <c r="AE117" s="848"/>
      <c r="AF117" s="848"/>
    </row>
    <row r="118" spans="1:32">
      <c r="A118" s="901"/>
      <c r="B118" s="820" t="s">
        <v>552</v>
      </c>
      <c r="E118" s="919">
        <v>0</v>
      </c>
      <c r="F118" s="919">
        <v>0</v>
      </c>
      <c r="G118" s="919">
        <v>0</v>
      </c>
      <c r="H118" s="919">
        <v>0</v>
      </c>
      <c r="I118" s="919">
        <v>0</v>
      </c>
      <c r="J118" s="919">
        <v>0</v>
      </c>
      <c r="K118" s="919">
        <v>0</v>
      </c>
      <c r="L118" s="919">
        <v>0</v>
      </c>
      <c r="M118" s="919">
        <v>0</v>
      </c>
      <c r="N118" s="919">
        <v>0</v>
      </c>
      <c r="O118" s="919">
        <v>0</v>
      </c>
      <c r="P118" s="919">
        <v>0</v>
      </c>
      <c r="Q118" s="919">
        <v>0</v>
      </c>
      <c r="R118" s="919">
        <v>0</v>
      </c>
      <c r="S118" s="919">
        <v>0</v>
      </c>
      <c r="T118" s="919">
        <v>0</v>
      </c>
      <c r="U118" s="919">
        <v>0</v>
      </c>
      <c r="V118" s="919">
        <v>0</v>
      </c>
      <c r="W118" s="919">
        <v>0</v>
      </c>
      <c r="X118" s="919">
        <v>0</v>
      </c>
      <c r="Y118" s="919">
        <v>0</v>
      </c>
      <c r="Z118" s="919">
        <v>0</v>
      </c>
      <c r="AA118" s="919">
        <v>0</v>
      </c>
      <c r="AB118" s="919">
        <v>0</v>
      </c>
      <c r="AC118" s="919">
        <v>0</v>
      </c>
      <c r="AD118" s="919">
        <v>0</v>
      </c>
      <c r="AE118" s="919">
        <v>0</v>
      </c>
      <c r="AF118" s="919">
        <v>0</v>
      </c>
    </row>
    <row r="119" spans="1:32">
      <c r="A119" s="901"/>
      <c r="B119" s="869" t="s">
        <v>553</v>
      </c>
      <c r="I119" s="848">
        <f t="shared" ref="I119:R119" ca="1" si="55">+I93</f>
        <v>17986.391862449989</v>
      </c>
      <c r="J119" s="848">
        <f t="shared" ca="1" si="55"/>
        <v>34625.003428007069</v>
      </c>
      <c r="K119" s="848">
        <f t="shared" ca="1" si="55"/>
        <v>32025.370257487622</v>
      </c>
      <c r="L119" s="848">
        <f t="shared" ca="1" si="55"/>
        <v>29627.184675827626</v>
      </c>
      <c r="M119" s="848">
        <f t="shared" ca="1" si="55"/>
        <v>27401.668456047148</v>
      </c>
      <c r="N119" s="848">
        <f t="shared" ca="1" si="55"/>
        <v>25348.821598146187</v>
      </c>
      <c r="O119" s="848">
        <f t="shared" ca="1" si="55"/>
        <v>23444.662246308148</v>
      </c>
      <c r="P119" s="848">
        <f t="shared" ca="1" si="55"/>
        <v>21689.190400533033</v>
      </c>
      <c r="Q119" s="848">
        <f t="shared" ca="1" si="55"/>
        <v>21401.408130733831</v>
      </c>
      <c r="R119" s="848">
        <f t="shared" ca="1" si="55"/>
        <v>21396.611759570507</v>
      </c>
      <c r="S119" s="848">
        <f t="shared" ref="S119:AC119" ca="1" si="56">+S93</f>
        <v>21401.408130733831</v>
      </c>
      <c r="T119" s="848">
        <f t="shared" ca="1" si="56"/>
        <v>21396.611759570507</v>
      </c>
      <c r="U119" s="848">
        <f t="shared" ca="1" si="56"/>
        <v>21401.408130733831</v>
      </c>
      <c r="V119" s="848">
        <f t="shared" ca="1" si="56"/>
        <v>21396.611759570507</v>
      </c>
      <c r="W119" s="848">
        <f t="shared" ca="1" si="56"/>
        <v>21401.408130733831</v>
      </c>
      <c r="X119" s="848">
        <f t="shared" ca="1" si="56"/>
        <v>21396.611759570507</v>
      </c>
      <c r="Y119" s="848">
        <f t="shared" ca="1" si="56"/>
        <v>21401.408130733831</v>
      </c>
      <c r="Z119" s="848">
        <f t="shared" ca="1" si="56"/>
        <v>21396.611759570507</v>
      </c>
      <c r="AA119" s="848">
        <f t="shared" ca="1" si="56"/>
        <v>21401.408130733831</v>
      </c>
      <c r="AB119" s="848">
        <f t="shared" ca="1" si="56"/>
        <v>21396.611759570507</v>
      </c>
      <c r="AC119" s="848">
        <f t="shared" ca="1" si="56"/>
        <v>10700.704065366916</v>
      </c>
      <c r="AD119" s="848">
        <f ca="1">+AD93</f>
        <v>0</v>
      </c>
      <c r="AE119" s="848">
        <f ca="1">+AE93</f>
        <v>0</v>
      </c>
      <c r="AF119" s="848">
        <f ca="1">+AF93</f>
        <v>0</v>
      </c>
    </row>
    <row r="120" spans="1:32">
      <c r="B120" s="869" t="s">
        <v>557</v>
      </c>
      <c r="E120" s="920">
        <f>+E118</f>
        <v>0</v>
      </c>
      <c r="F120" s="920">
        <f>+F118</f>
        <v>0</v>
      </c>
      <c r="G120" s="920">
        <f>+G118</f>
        <v>0</v>
      </c>
      <c r="H120" s="920">
        <f>+H118</f>
        <v>0</v>
      </c>
      <c r="I120" s="909">
        <f t="shared" ref="I120:R120" ca="1" si="57">+I119+I118</f>
        <v>17986.391862449989</v>
      </c>
      <c r="J120" s="909">
        <f t="shared" ca="1" si="57"/>
        <v>34625.003428007069</v>
      </c>
      <c r="K120" s="909">
        <f t="shared" ca="1" si="57"/>
        <v>32025.370257487622</v>
      </c>
      <c r="L120" s="909">
        <f t="shared" ca="1" si="57"/>
        <v>29627.184675827626</v>
      </c>
      <c r="M120" s="909">
        <f t="shared" ca="1" si="57"/>
        <v>27401.668456047148</v>
      </c>
      <c r="N120" s="909">
        <f t="shared" ca="1" si="57"/>
        <v>25348.821598146187</v>
      </c>
      <c r="O120" s="909">
        <f t="shared" ca="1" si="57"/>
        <v>23444.662246308148</v>
      </c>
      <c r="P120" s="909">
        <f t="shared" ca="1" si="57"/>
        <v>21689.190400533033</v>
      </c>
      <c r="Q120" s="909">
        <f t="shared" ca="1" si="57"/>
        <v>21401.408130733831</v>
      </c>
      <c r="R120" s="909">
        <f t="shared" ca="1" si="57"/>
        <v>21396.611759570507</v>
      </c>
      <c r="S120" s="909">
        <f t="shared" ref="S120:AC120" ca="1" si="58">+S119+S118</f>
        <v>21401.408130733831</v>
      </c>
      <c r="T120" s="909">
        <f t="shared" ca="1" si="58"/>
        <v>21396.611759570507</v>
      </c>
      <c r="U120" s="909">
        <f t="shared" ca="1" si="58"/>
        <v>21401.408130733831</v>
      </c>
      <c r="V120" s="909">
        <f t="shared" ca="1" si="58"/>
        <v>21396.611759570507</v>
      </c>
      <c r="W120" s="909">
        <f t="shared" ca="1" si="58"/>
        <v>21401.408130733831</v>
      </c>
      <c r="X120" s="909">
        <f t="shared" ca="1" si="58"/>
        <v>21396.611759570507</v>
      </c>
      <c r="Y120" s="909">
        <f t="shared" ca="1" si="58"/>
        <v>21401.408130733831</v>
      </c>
      <c r="Z120" s="909">
        <f t="shared" ca="1" si="58"/>
        <v>21396.611759570507</v>
      </c>
      <c r="AA120" s="909">
        <f t="shared" ca="1" si="58"/>
        <v>21401.408130733831</v>
      </c>
      <c r="AB120" s="909">
        <f t="shared" ca="1" si="58"/>
        <v>21396.611759570507</v>
      </c>
      <c r="AC120" s="909">
        <f t="shared" ca="1" si="58"/>
        <v>10700.704065366916</v>
      </c>
      <c r="AD120" s="909">
        <f ca="1">+AD119+AD118</f>
        <v>0</v>
      </c>
      <c r="AE120" s="909">
        <f ca="1">+AE119+AE118</f>
        <v>0</v>
      </c>
      <c r="AF120" s="909">
        <f ca="1">+AF119+AF118</f>
        <v>0</v>
      </c>
    </row>
    <row r="121" spans="1:32">
      <c r="B121" s="869" t="s">
        <v>558</v>
      </c>
      <c r="E121" s="921"/>
      <c r="F121" s="921"/>
      <c r="G121" s="921"/>
      <c r="H121" s="921"/>
      <c r="I121" s="899">
        <f t="shared" ref="I121:R121" ca="1" si="59">+I98</f>
        <v>2428.1629014307491</v>
      </c>
      <c r="J121" s="899">
        <f t="shared" ca="1" si="59"/>
        <v>4613.5095127184231</v>
      </c>
      <c r="K121" s="899">
        <f t="shared" ca="1" si="59"/>
        <v>4152.1585614465812</v>
      </c>
      <c r="L121" s="899">
        <f t="shared" ca="1" si="59"/>
        <v>3739.3708682033534</v>
      </c>
      <c r="M121" s="899">
        <f t="shared" ca="1" si="59"/>
        <v>3365.4337813830184</v>
      </c>
      <c r="N121" s="899">
        <f t="shared" ca="1" si="59"/>
        <v>3025.4909751827136</v>
      </c>
      <c r="O121" s="899">
        <f t="shared" ca="1" si="59"/>
        <v>2865.2322236882837</v>
      </c>
      <c r="P121" s="899">
        <f t="shared" ca="1" si="59"/>
        <v>2865.2322236882837</v>
      </c>
      <c r="Q121" s="899">
        <f t="shared" ca="1" si="59"/>
        <v>2870.0885494911454</v>
      </c>
      <c r="R121" s="899">
        <f t="shared" ca="1" si="59"/>
        <v>2865.2322236882837</v>
      </c>
      <c r="S121" s="899">
        <f t="shared" ref="S121:AC121" ca="1" si="60">+S98</f>
        <v>2870.0885494911454</v>
      </c>
      <c r="T121" s="899">
        <f t="shared" ca="1" si="60"/>
        <v>2865.2322236882837</v>
      </c>
      <c r="U121" s="899">
        <f t="shared" ca="1" si="60"/>
        <v>2870.0885494911454</v>
      </c>
      <c r="V121" s="899">
        <f t="shared" ca="1" si="60"/>
        <v>2865.2322236882837</v>
      </c>
      <c r="W121" s="899">
        <f t="shared" ca="1" si="60"/>
        <v>2870.0885494911454</v>
      </c>
      <c r="X121" s="899">
        <f t="shared" ca="1" si="60"/>
        <v>1422.903460238419</v>
      </c>
      <c r="Y121" s="899">
        <f t="shared" ca="1" si="60"/>
        <v>0</v>
      </c>
      <c r="Z121" s="899">
        <f t="shared" ca="1" si="60"/>
        <v>0</v>
      </c>
      <c r="AA121" s="899">
        <f t="shared" ca="1" si="60"/>
        <v>0</v>
      </c>
      <c r="AB121" s="899">
        <f t="shared" ca="1" si="60"/>
        <v>0</v>
      </c>
      <c r="AC121" s="899">
        <f t="shared" ca="1" si="60"/>
        <v>0</v>
      </c>
      <c r="AD121" s="899">
        <f ca="1">+AD98</f>
        <v>0</v>
      </c>
      <c r="AE121" s="899">
        <f ca="1">+AE98</f>
        <v>0</v>
      </c>
      <c r="AF121" s="899">
        <f ca="1">+AF98</f>
        <v>0</v>
      </c>
    </row>
    <row r="122" spans="1:32">
      <c r="B122" s="869"/>
      <c r="E122" s="921"/>
      <c r="F122" s="921"/>
      <c r="G122" s="921"/>
      <c r="H122" s="921"/>
      <c r="I122" s="899"/>
      <c r="J122" s="899"/>
      <c r="K122" s="899"/>
      <c r="L122" s="899"/>
      <c r="M122" s="899"/>
      <c r="N122" s="899"/>
      <c r="O122" s="899"/>
      <c r="P122" s="899"/>
      <c r="Q122" s="899"/>
      <c r="R122" s="899"/>
      <c r="S122" s="899"/>
      <c r="T122" s="899"/>
      <c r="U122" s="899"/>
      <c r="V122" s="899"/>
      <c r="W122" s="899"/>
      <c r="X122" s="899"/>
      <c r="Y122" s="899"/>
      <c r="Z122" s="899"/>
      <c r="AA122" s="899"/>
      <c r="AB122" s="899"/>
      <c r="AC122" s="899"/>
      <c r="AD122" s="899"/>
      <c r="AE122" s="899"/>
      <c r="AF122" s="899"/>
    </row>
    <row r="123" spans="1:32" ht="12" thickBot="1">
      <c r="A123" s="913"/>
      <c r="B123" s="922"/>
      <c r="C123" s="913"/>
      <c r="D123" s="913"/>
      <c r="E123" s="923"/>
      <c r="F123" s="923"/>
      <c r="G123" s="923"/>
      <c r="H123" s="923"/>
      <c r="I123" s="914"/>
      <c r="J123" s="914"/>
      <c r="K123" s="914"/>
      <c r="L123" s="914"/>
      <c r="M123" s="914"/>
      <c r="N123" s="914"/>
      <c r="O123" s="914"/>
      <c r="P123" s="914"/>
      <c r="Q123" s="914"/>
      <c r="R123" s="914"/>
      <c r="S123" s="914"/>
      <c r="T123" s="914"/>
      <c r="U123" s="914"/>
      <c r="V123" s="914"/>
      <c r="W123" s="914"/>
      <c r="X123" s="914"/>
      <c r="Y123" s="914"/>
      <c r="Z123" s="914"/>
      <c r="AA123" s="914"/>
      <c r="AB123" s="914"/>
      <c r="AC123" s="914"/>
      <c r="AD123" s="914"/>
      <c r="AE123" s="914"/>
      <c r="AF123" s="914"/>
    </row>
    <row r="124" spans="1:32" ht="12" thickTop="1">
      <c r="A124" s="924" t="s">
        <v>559</v>
      </c>
      <c r="B124" s="869"/>
      <c r="E124" s="925"/>
      <c r="F124" s="925"/>
      <c r="G124" s="925"/>
      <c r="H124" s="925"/>
      <c r="I124" s="848"/>
      <c r="J124" s="848"/>
      <c r="K124" s="848"/>
      <c r="L124" s="848"/>
      <c r="M124" s="848"/>
      <c r="N124" s="848"/>
      <c r="O124" s="848"/>
      <c r="P124" s="848"/>
      <c r="Q124" s="848"/>
      <c r="R124" s="848"/>
      <c r="S124" s="848"/>
      <c r="T124" s="848"/>
      <c r="U124" s="848"/>
      <c r="V124" s="848"/>
      <c r="W124" s="848"/>
      <c r="X124" s="848"/>
      <c r="Y124" s="848"/>
      <c r="Z124" s="848"/>
      <c r="AA124" s="848"/>
      <c r="AB124" s="848"/>
      <c r="AC124" s="848"/>
      <c r="AD124" s="848"/>
      <c r="AE124" s="848"/>
      <c r="AF124" s="848"/>
    </row>
    <row r="125" spans="1:32" ht="12" thickBot="1">
      <c r="A125" s="924"/>
      <c r="B125" s="869"/>
      <c r="E125" s="925"/>
      <c r="F125" s="925"/>
      <c r="G125" s="925"/>
      <c r="H125" s="925"/>
      <c r="I125" s="848"/>
      <c r="J125" s="848"/>
      <c r="K125" s="848"/>
      <c r="L125" s="848"/>
      <c r="M125" s="848"/>
      <c r="N125" s="848"/>
      <c r="O125" s="848"/>
      <c r="P125" s="848"/>
      <c r="Q125" s="848"/>
      <c r="R125" s="848"/>
      <c r="S125" s="848"/>
      <c r="T125" s="848"/>
      <c r="U125" s="848"/>
      <c r="V125" s="848"/>
      <c r="W125" s="848"/>
      <c r="X125" s="848"/>
      <c r="Y125" s="848"/>
      <c r="Z125" s="848"/>
      <c r="AA125" s="848"/>
      <c r="AB125" s="848"/>
      <c r="AC125" s="848"/>
      <c r="AD125" s="848"/>
      <c r="AE125" s="848"/>
      <c r="AF125" s="848"/>
    </row>
    <row r="126" spans="1:32" ht="12.75" thickTop="1" thickBot="1">
      <c r="A126" s="901" t="s">
        <v>560</v>
      </c>
      <c r="I126" s="842">
        <f t="shared" ref="I126:R126" si="61">+I$3</f>
        <v>37986</v>
      </c>
      <c r="J126" s="843">
        <f t="shared" si="61"/>
        <v>2004</v>
      </c>
      <c r="K126" s="843">
        <f t="shared" si="61"/>
        <v>2005</v>
      </c>
      <c r="L126" s="843">
        <f t="shared" si="61"/>
        <v>2006</v>
      </c>
      <c r="M126" s="843">
        <f t="shared" si="61"/>
        <v>2007</v>
      </c>
      <c r="N126" s="843">
        <f t="shared" si="61"/>
        <v>2008</v>
      </c>
      <c r="O126" s="843">
        <f t="shared" si="61"/>
        <v>2009</v>
      </c>
      <c r="P126" s="843">
        <f t="shared" si="61"/>
        <v>2010</v>
      </c>
      <c r="Q126" s="843">
        <f t="shared" si="61"/>
        <v>2011</v>
      </c>
      <c r="R126" s="843">
        <f t="shared" si="61"/>
        <v>2012</v>
      </c>
      <c r="S126" s="843">
        <f t="shared" ref="S126:AF126" si="62">+S$3</f>
        <v>2013</v>
      </c>
      <c r="T126" s="843">
        <f t="shared" si="62"/>
        <v>2014</v>
      </c>
      <c r="U126" s="843">
        <f t="shared" si="62"/>
        <v>2015</v>
      </c>
      <c r="V126" s="843">
        <f t="shared" si="62"/>
        <v>2016</v>
      </c>
      <c r="W126" s="843">
        <f t="shared" si="62"/>
        <v>2017</v>
      </c>
      <c r="X126" s="843">
        <f t="shared" si="62"/>
        <v>2018</v>
      </c>
      <c r="Y126" s="843">
        <f t="shared" si="62"/>
        <v>2019</v>
      </c>
      <c r="Z126" s="843">
        <f t="shared" si="62"/>
        <v>2020</v>
      </c>
      <c r="AA126" s="843">
        <f t="shared" si="62"/>
        <v>2021</v>
      </c>
      <c r="AB126" s="843">
        <f t="shared" si="62"/>
        <v>2022</v>
      </c>
      <c r="AC126" s="843">
        <f t="shared" si="62"/>
        <v>2023</v>
      </c>
      <c r="AD126" s="843">
        <f t="shared" si="62"/>
        <v>2024</v>
      </c>
      <c r="AE126" s="843">
        <f t="shared" si="62"/>
        <v>2025</v>
      </c>
      <c r="AF126" s="843">
        <f t="shared" si="62"/>
        <v>2026</v>
      </c>
    </row>
    <row r="127" spans="1:32" ht="12" thickTop="1">
      <c r="A127" s="926" t="s">
        <v>561</v>
      </c>
      <c r="B127" s="927" t="s">
        <v>562</v>
      </c>
      <c r="D127" s="838"/>
    </row>
    <row r="128" spans="1:32">
      <c r="B128" s="869" t="s">
        <v>563</v>
      </c>
      <c r="I128" s="1758">
        <f>Assumptions!$C$26</f>
        <v>0.02</v>
      </c>
      <c r="J128" s="1758">
        <f>Assumptions!$C$26</f>
        <v>0.02</v>
      </c>
      <c r="K128" s="1758">
        <f>Assumptions!$C$26</f>
        <v>0.02</v>
      </c>
      <c r="L128" s="1758">
        <f>Assumptions!$C$26</f>
        <v>0.02</v>
      </c>
      <c r="M128" s="1758">
        <f>Assumptions!$C$26</f>
        <v>0.02</v>
      </c>
      <c r="N128" s="1758">
        <f>Assumptions!$C$26</f>
        <v>0.02</v>
      </c>
      <c r="O128" s="1758">
        <f>Assumptions!$C$26</f>
        <v>0.02</v>
      </c>
      <c r="P128" s="1758">
        <f>Assumptions!$C$26</f>
        <v>0.02</v>
      </c>
      <c r="Q128" s="1758">
        <f>Assumptions!$C$26</f>
        <v>0.02</v>
      </c>
      <c r="R128" s="1758">
        <f>Assumptions!$C$26</f>
        <v>0.02</v>
      </c>
      <c r="S128" s="1758">
        <f>Assumptions!$C$26</f>
        <v>0.02</v>
      </c>
      <c r="T128" s="1758">
        <f>Assumptions!$C$26</f>
        <v>0.02</v>
      </c>
      <c r="U128" s="1758">
        <f>Assumptions!$C$26</f>
        <v>0.02</v>
      </c>
      <c r="V128" s="1758">
        <f>Assumptions!$C$26</f>
        <v>0.02</v>
      </c>
      <c r="W128" s="1758">
        <f>Assumptions!$C$26</f>
        <v>0.02</v>
      </c>
      <c r="X128" s="1758">
        <f>Assumptions!$C$26</f>
        <v>0.02</v>
      </c>
      <c r="Y128" s="1758">
        <f>Assumptions!$C$26</f>
        <v>0.02</v>
      </c>
      <c r="Z128" s="1758">
        <f>Assumptions!$C$26</f>
        <v>0.02</v>
      </c>
      <c r="AA128" s="1758">
        <f>Assumptions!$C$26</f>
        <v>0.02</v>
      </c>
      <c r="AB128" s="1758">
        <f>Assumptions!$C$26</f>
        <v>0.02</v>
      </c>
      <c r="AC128" s="1758">
        <f>Assumptions!$C$26</f>
        <v>0.02</v>
      </c>
      <c r="AD128" s="1758">
        <f>Assumptions!$C$26</f>
        <v>0.02</v>
      </c>
      <c r="AE128" s="1758">
        <f>Assumptions!$C$26</f>
        <v>0.02</v>
      </c>
      <c r="AF128" s="1758">
        <f>Assumptions!$C$26</f>
        <v>0.02</v>
      </c>
    </row>
    <row r="129" spans="1:32">
      <c r="B129" s="820" t="s">
        <v>564</v>
      </c>
      <c r="H129" s="819"/>
      <c r="I129" s="929">
        <f>(1+(+I128/12))^(H278)</f>
        <v>1.0008329864001619</v>
      </c>
      <c r="J129" s="929">
        <f t="shared" ref="J129:S129" si="63">+I129*(1+J128)</f>
        <v>1.0208496461281651</v>
      </c>
      <c r="K129" s="929">
        <f t="shared" si="63"/>
        <v>1.0412666390507284</v>
      </c>
      <c r="L129" s="929">
        <f t="shared" si="63"/>
        <v>1.062091971831743</v>
      </c>
      <c r="M129" s="929">
        <f t="shared" si="63"/>
        <v>1.0833338112683779</v>
      </c>
      <c r="N129" s="929">
        <f t="shared" si="63"/>
        <v>1.1050004874937456</v>
      </c>
      <c r="O129" s="929">
        <f t="shared" si="63"/>
        <v>1.1271004972436205</v>
      </c>
      <c r="P129" s="929">
        <f t="shared" si="63"/>
        <v>1.1496425071884928</v>
      </c>
      <c r="Q129" s="929">
        <f t="shared" si="63"/>
        <v>1.1726353573322628</v>
      </c>
      <c r="R129" s="929">
        <f t="shared" si="63"/>
        <v>1.196088064478908</v>
      </c>
      <c r="S129" s="929">
        <f t="shared" si="63"/>
        <v>1.2200098257684862</v>
      </c>
      <c r="T129" s="929">
        <f t="shared" ref="T129:AC129" si="64">+S129*(1+T128)</f>
        <v>1.2444100222838559</v>
      </c>
      <c r="U129" s="929">
        <f t="shared" si="64"/>
        <v>1.2692982227295331</v>
      </c>
      <c r="V129" s="929">
        <f t="shared" si="64"/>
        <v>1.2946841871841237</v>
      </c>
      <c r="W129" s="929">
        <f t="shared" si="64"/>
        <v>1.3205778709278062</v>
      </c>
      <c r="X129" s="929">
        <f t="shared" si="64"/>
        <v>1.3469894283463624</v>
      </c>
      <c r="Y129" s="929">
        <f t="shared" si="64"/>
        <v>1.3739292169132897</v>
      </c>
      <c r="Z129" s="929">
        <f t="shared" si="64"/>
        <v>1.4014078012515556</v>
      </c>
      <c r="AA129" s="929">
        <f t="shared" si="64"/>
        <v>1.4294359572765867</v>
      </c>
      <c r="AB129" s="929">
        <f t="shared" si="64"/>
        <v>1.4580246764221185</v>
      </c>
      <c r="AC129" s="929">
        <f t="shared" si="64"/>
        <v>1.4871851699505609</v>
      </c>
      <c r="AD129" s="929">
        <f>+AC129*(1+AD128)</f>
        <v>1.5169288733495723</v>
      </c>
      <c r="AE129" s="929">
        <f>+AD129*(1+AE128)</f>
        <v>1.5472674508165638</v>
      </c>
      <c r="AF129" s="929">
        <f>+AE129*(1+AF128)</f>
        <v>1.5782127998328952</v>
      </c>
    </row>
    <row r="130" spans="1:32">
      <c r="H130" s="81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row>
    <row r="131" spans="1:32" s="903" customFormat="1" hidden="1" outlineLevel="1">
      <c r="B131" s="930"/>
      <c r="E131" s="931"/>
      <c r="F131" s="931"/>
      <c r="G131" s="931"/>
      <c r="H131" s="931"/>
      <c r="I131" s="906"/>
      <c r="J131" s="906"/>
      <c r="K131" s="906"/>
      <c r="L131" s="906"/>
      <c r="M131" s="906"/>
      <c r="N131" s="906"/>
      <c r="O131" s="906"/>
      <c r="P131" s="906"/>
      <c r="Q131" s="906"/>
      <c r="R131" s="906"/>
      <c r="S131" s="906"/>
      <c r="T131" s="906"/>
      <c r="U131" s="906"/>
      <c r="V131" s="906"/>
      <c r="W131" s="906"/>
      <c r="X131" s="906"/>
      <c r="Y131" s="906"/>
      <c r="Z131" s="906"/>
      <c r="AA131" s="906"/>
      <c r="AB131" s="906"/>
      <c r="AC131" s="906"/>
      <c r="AD131" s="906"/>
      <c r="AE131" s="906"/>
      <c r="AF131" s="906"/>
    </row>
    <row r="132" spans="1:32" s="932" customFormat="1" hidden="1" outlineLevel="1">
      <c r="E132" s="933"/>
      <c r="F132" s="933"/>
      <c r="G132" s="933"/>
      <c r="H132" s="933"/>
      <c r="I132" s="933"/>
      <c r="J132" s="933"/>
      <c r="K132" s="933"/>
      <c r="L132" s="933"/>
      <c r="M132" s="933"/>
      <c r="N132" s="933"/>
      <c r="O132" s="933"/>
      <c r="P132" s="933"/>
      <c r="Q132" s="933"/>
      <c r="R132" s="933"/>
      <c r="S132" s="933"/>
      <c r="T132" s="933"/>
      <c r="U132" s="933"/>
      <c r="V132" s="933"/>
      <c r="W132" s="933"/>
      <c r="X132" s="933"/>
      <c r="Y132" s="933"/>
      <c r="Z132" s="933"/>
      <c r="AA132" s="933"/>
      <c r="AB132" s="933"/>
      <c r="AC132" s="933"/>
      <c r="AD132" s="933"/>
      <c r="AE132" s="933"/>
      <c r="AF132" s="933"/>
    </row>
    <row r="133" spans="1:32" hidden="1" outlineLevel="1">
      <c r="A133" s="934" t="s">
        <v>565</v>
      </c>
      <c r="B133" s="841"/>
      <c r="C133" s="841"/>
      <c r="D133" s="841"/>
      <c r="E133" s="841"/>
      <c r="F133" s="841"/>
      <c r="G133" s="841"/>
      <c r="H133" s="841"/>
      <c r="I133" s="841"/>
      <c r="J133" s="841"/>
      <c r="K133" s="841"/>
      <c r="L133" s="841"/>
      <c r="M133" s="841"/>
      <c r="N133" s="841"/>
      <c r="O133" s="841"/>
      <c r="P133" s="841"/>
      <c r="Q133" s="841"/>
      <c r="R133" s="841"/>
      <c r="S133" s="841"/>
      <c r="T133" s="841"/>
      <c r="U133" s="841"/>
      <c r="V133" s="841"/>
      <c r="W133" s="841"/>
      <c r="X133" s="841"/>
      <c r="Y133" s="841"/>
      <c r="Z133" s="841"/>
      <c r="AA133" s="841"/>
      <c r="AB133" s="841"/>
      <c r="AC133" s="841"/>
      <c r="AD133" s="841"/>
      <c r="AE133" s="841"/>
      <c r="AF133" s="841"/>
    </row>
    <row r="134" spans="1:32" hidden="1" outlineLevel="1">
      <c r="A134" s="935"/>
      <c r="B134" s="841" t="s">
        <v>566</v>
      </c>
      <c r="C134" s="841"/>
      <c r="D134" s="936" t="s">
        <v>567</v>
      </c>
      <c r="E134" s="841"/>
      <c r="F134" s="841"/>
      <c r="G134" s="841"/>
      <c r="H134" s="841"/>
      <c r="I134" s="841"/>
      <c r="J134" s="841"/>
      <c r="K134" s="841"/>
      <c r="L134" s="841"/>
      <c r="M134" s="841"/>
      <c r="N134" s="841"/>
      <c r="O134" s="841"/>
      <c r="P134" s="841"/>
      <c r="Q134" s="841"/>
      <c r="R134" s="841"/>
      <c r="S134" s="841"/>
      <c r="T134" s="841"/>
      <c r="U134" s="841"/>
      <c r="V134" s="841"/>
      <c r="W134" s="841"/>
      <c r="X134" s="841"/>
      <c r="Y134" s="841"/>
      <c r="Z134" s="841"/>
      <c r="AA134" s="841"/>
      <c r="AB134" s="841"/>
      <c r="AC134" s="841"/>
      <c r="AD134" s="841"/>
      <c r="AE134" s="841"/>
      <c r="AF134" s="841"/>
    </row>
    <row r="135" spans="1:32" hidden="1" outlineLevel="1">
      <c r="A135" s="937" t="str">
        <f>curr2&amp;" Exchange Rate"</f>
        <v>Reis Exchange Rate</v>
      </c>
      <c r="B135" s="841"/>
      <c r="C135" s="841"/>
      <c r="D135" s="938"/>
      <c r="E135" s="841"/>
      <c r="F135" s="841"/>
      <c r="G135" s="841"/>
      <c r="H135" s="841"/>
      <c r="I135" s="939"/>
      <c r="J135" s="841"/>
      <c r="K135" s="841"/>
      <c r="L135" s="841"/>
      <c r="M135" s="841"/>
      <c r="N135" s="841"/>
      <c r="O135" s="841"/>
      <c r="P135" s="841"/>
      <c r="Q135" s="841"/>
      <c r="R135" s="841"/>
      <c r="S135" s="841"/>
      <c r="T135" s="841"/>
      <c r="U135" s="841"/>
      <c r="V135" s="841"/>
      <c r="W135" s="841"/>
      <c r="X135" s="841"/>
      <c r="Y135" s="841"/>
      <c r="Z135" s="841"/>
      <c r="AA135" s="841"/>
      <c r="AB135" s="841"/>
      <c r="AC135" s="841"/>
      <c r="AD135" s="841"/>
      <c r="AE135" s="841"/>
      <c r="AF135" s="841"/>
    </row>
    <row r="136" spans="1:32" hidden="1" outlineLevel="1">
      <c r="A136" s="940" t="s">
        <v>561</v>
      </c>
      <c r="B136" s="941" t="s">
        <v>562</v>
      </c>
      <c r="C136" s="861"/>
      <c r="D136" s="942"/>
      <c r="E136" s="841"/>
      <c r="F136" s="841"/>
      <c r="G136" s="841"/>
      <c r="H136" s="841"/>
      <c r="I136" s="841"/>
      <c r="J136" s="841"/>
      <c r="K136" s="841"/>
      <c r="L136" s="841"/>
      <c r="M136" s="841"/>
      <c r="N136" s="841"/>
      <c r="O136" s="841"/>
      <c r="P136" s="841"/>
      <c r="Q136" s="841"/>
      <c r="R136" s="841"/>
      <c r="S136" s="841"/>
      <c r="T136" s="841"/>
      <c r="U136" s="841"/>
      <c r="V136" s="841"/>
      <c r="W136" s="841"/>
      <c r="X136" s="841"/>
      <c r="Y136" s="841"/>
      <c r="Z136" s="841"/>
      <c r="AA136" s="841"/>
      <c r="AB136" s="841"/>
      <c r="AC136" s="841"/>
      <c r="AD136" s="841"/>
      <c r="AE136" s="841"/>
      <c r="AF136" s="841"/>
    </row>
    <row r="137" spans="1:32" hidden="1" outlineLevel="1">
      <c r="A137" s="935"/>
      <c r="B137" s="935" t="str">
        <f>"Exchange rate: "&amp;curr2&amp;"/USD"</f>
        <v>Exchange rate: Reis/USD</v>
      </c>
      <c r="C137" s="861"/>
      <c r="D137" s="861"/>
      <c r="E137" s="943">
        <v>1</v>
      </c>
      <c r="F137" s="943">
        <v>1</v>
      </c>
      <c r="G137" s="943">
        <v>1</v>
      </c>
      <c r="H137" s="943">
        <v>1</v>
      </c>
      <c r="I137" s="943">
        <v>1</v>
      </c>
      <c r="J137" s="943">
        <v>1</v>
      </c>
      <c r="K137" s="943">
        <v>1</v>
      </c>
      <c r="L137" s="943">
        <v>1</v>
      </c>
      <c r="M137" s="943">
        <v>1</v>
      </c>
      <c r="N137" s="943">
        <v>1</v>
      </c>
      <c r="O137" s="943">
        <v>1</v>
      </c>
      <c r="P137" s="943">
        <v>1</v>
      </c>
      <c r="Q137" s="943">
        <v>1</v>
      </c>
      <c r="R137" s="943">
        <v>1</v>
      </c>
      <c r="S137" s="943">
        <v>1</v>
      </c>
      <c r="T137" s="943">
        <v>1</v>
      </c>
      <c r="U137" s="943">
        <v>1</v>
      </c>
      <c r="V137" s="943">
        <v>1</v>
      </c>
      <c r="W137" s="943">
        <v>1</v>
      </c>
      <c r="X137" s="943">
        <v>1</v>
      </c>
      <c r="Y137" s="943">
        <v>1</v>
      </c>
      <c r="Z137" s="943">
        <v>1</v>
      </c>
      <c r="AA137" s="943">
        <v>1</v>
      </c>
      <c r="AB137" s="943">
        <v>1</v>
      </c>
      <c r="AC137" s="943">
        <v>1</v>
      </c>
      <c r="AD137" s="943">
        <v>1</v>
      </c>
      <c r="AE137" s="943">
        <v>1</v>
      </c>
      <c r="AF137" s="943">
        <v>1</v>
      </c>
    </row>
    <row r="138" spans="1:32" hidden="1" outlineLevel="1">
      <c r="A138" s="935"/>
      <c r="B138" s="841" t="str">
        <f>"Dollar Value of "&amp;curr2</f>
        <v>Dollar Value of Reis</v>
      </c>
      <c r="C138" s="861"/>
      <c r="D138" s="861"/>
      <c r="E138" s="944">
        <f t="shared" ref="E138:N138" si="65">IF(E137=0,0,1/E137)</f>
        <v>1</v>
      </c>
      <c r="F138" s="944">
        <f t="shared" si="65"/>
        <v>1</v>
      </c>
      <c r="G138" s="944">
        <f t="shared" si="65"/>
        <v>1</v>
      </c>
      <c r="H138" s="944">
        <f t="shared" si="65"/>
        <v>1</v>
      </c>
      <c r="I138" s="944">
        <f t="shared" si="65"/>
        <v>1</v>
      </c>
      <c r="J138" s="944">
        <f t="shared" si="65"/>
        <v>1</v>
      </c>
      <c r="K138" s="944">
        <f t="shared" si="65"/>
        <v>1</v>
      </c>
      <c r="L138" s="944">
        <f t="shared" si="65"/>
        <v>1</v>
      </c>
      <c r="M138" s="944">
        <f t="shared" si="65"/>
        <v>1</v>
      </c>
      <c r="N138" s="944">
        <f t="shared" si="65"/>
        <v>1</v>
      </c>
      <c r="O138" s="944">
        <f t="shared" ref="O138:AC138" si="66">IF(O137=0,0,1/O137)</f>
        <v>1</v>
      </c>
      <c r="P138" s="944">
        <f t="shared" si="66"/>
        <v>1</v>
      </c>
      <c r="Q138" s="944">
        <f t="shared" si="66"/>
        <v>1</v>
      </c>
      <c r="R138" s="944">
        <f t="shared" si="66"/>
        <v>1</v>
      </c>
      <c r="S138" s="944">
        <f t="shared" si="66"/>
        <v>1</v>
      </c>
      <c r="T138" s="944">
        <f t="shared" si="66"/>
        <v>1</v>
      </c>
      <c r="U138" s="944">
        <f t="shared" si="66"/>
        <v>1</v>
      </c>
      <c r="V138" s="944">
        <f t="shared" si="66"/>
        <v>1</v>
      </c>
      <c r="W138" s="944">
        <f t="shared" si="66"/>
        <v>1</v>
      </c>
      <c r="X138" s="944">
        <f t="shared" si="66"/>
        <v>1</v>
      </c>
      <c r="Y138" s="944">
        <f t="shared" si="66"/>
        <v>1</v>
      </c>
      <c r="Z138" s="944">
        <f t="shared" si="66"/>
        <v>1</v>
      </c>
      <c r="AA138" s="944">
        <f t="shared" si="66"/>
        <v>1</v>
      </c>
      <c r="AB138" s="944">
        <f t="shared" si="66"/>
        <v>1</v>
      </c>
      <c r="AC138" s="944">
        <f t="shared" si="66"/>
        <v>1</v>
      </c>
      <c r="AD138" s="944">
        <f>IF(AD137=0,0,1/AD137)</f>
        <v>1</v>
      </c>
      <c r="AE138" s="944">
        <f>IF(AE137=0,0,1/AE137)</f>
        <v>1</v>
      </c>
      <c r="AF138" s="944">
        <f>IF(AF137=0,0,1/AF137)</f>
        <v>1</v>
      </c>
    </row>
    <row r="139" spans="1:32" s="665" customFormat="1" hidden="1" outlineLevel="1"/>
    <row r="140" spans="1:32" s="665" customFormat="1" hidden="1" outlineLevel="1"/>
    <row r="141" spans="1:32" hidden="1" outlineLevel="1">
      <c r="A141" s="844" t="str">
        <f>curr2&amp;" Escalation Factors"</f>
        <v>Reis Escalation Factors</v>
      </c>
      <c r="B141" s="841"/>
      <c r="C141" s="841"/>
      <c r="D141" s="841"/>
      <c r="E141" s="841"/>
      <c r="F141" s="841"/>
      <c r="G141" s="841"/>
      <c r="H141" s="841"/>
      <c r="I141" s="841"/>
      <c r="J141" s="841"/>
      <c r="K141" s="841"/>
      <c r="L141" s="841"/>
      <c r="M141" s="841"/>
      <c r="N141" s="841"/>
      <c r="O141" s="841"/>
      <c r="P141" s="841"/>
      <c r="Q141" s="841"/>
      <c r="R141" s="841"/>
      <c r="S141" s="841"/>
      <c r="T141" s="841"/>
      <c r="U141" s="841"/>
      <c r="V141" s="841"/>
      <c r="W141" s="841"/>
      <c r="X141" s="841"/>
      <c r="Y141" s="841"/>
      <c r="Z141" s="841"/>
      <c r="AA141" s="841"/>
      <c r="AB141" s="841"/>
      <c r="AC141" s="841"/>
      <c r="AD141" s="841"/>
      <c r="AE141" s="841"/>
      <c r="AF141" s="841"/>
    </row>
    <row r="142" spans="1:32" hidden="1" outlineLevel="1">
      <c r="A142" s="940" t="s">
        <v>561</v>
      </c>
      <c r="B142" s="941" t="s">
        <v>562</v>
      </c>
      <c r="C142" s="861" t="s">
        <v>568</v>
      </c>
      <c r="D142" s="942" t="s">
        <v>569</v>
      </c>
      <c r="E142" s="861"/>
      <c r="F142" s="861"/>
      <c r="G142" s="861"/>
      <c r="H142" s="861"/>
      <c r="I142" s="861"/>
      <c r="J142" s="861"/>
      <c r="K142" s="861"/>
      <c r="L142" s="861"/>
      <c r="M142" s="861"/>
      <c r="N142" s="861"/>
      <c r="O142" s="861"/>
      <c r="P142" s="861"/>
      <c r="Q142" s="861"/>
      <c r="R142" s="861"/>
      <c r="S142" s="861"/>
      <c r="T142" s="861"/>
      <c r="U142" s="861"/>
      <c r="V142" s="861"/>
      <c r="W142" s="861"/>
      <c r="X142" s="861"/>
      <c r="Y142" s="861"/>
      <c r="Z142" s="861"/>
      <c r="AA142" s="861"/>
      <c r="AB142" s="861"/>
      <c r="AC142" s="861"/>
      <c r="AD142" s="861"/>
      <c r="AE142" s="861"/>
      <c r="AF142" s="861"/>
    </row>
    <row r="143" spans="1:32" hidden="1" outlineLevel="1">
      <c r="A143" s="861"/>
      <c r="B143" s="945" t="s">
        <v>563</v>
      </c>
      <c r="C143" s="861"/>
      <c r="D143" s="861"/>
      <c r="E143" s="861"/>
      <c r="F143" s="861"/>
      <c r="G143" s="861"/>
      <c r="H143" s="928">
        <v>0</v>
      </c>
      <c r="I143" s="928">
        <v>0</v>
      </c>
      <c r="J143" s="928">
        <v>0</v>
      </c>
      <c r="K143" s="928">
        <v>0</v>
      </c>
      <c r="L143" s="928">
        <v>0</v>
      </c>
      <c r="M143" s="928">
        <v>0</v>
      </c>
      <c r="N143" s="928">
        <v>0</v>
      </c>
      <c r="O143" s="928">
        <v>0</v>
      </c>
      <c r="P143" s="928">
        <v>0</v>
      </c>
      <c r="Q143" s="928">
        <v>0</v>
      </c>
      <c r="R143" s="928">
        <v>0</v>
      </c>
      <c r="S143" s="928">
        <v>0</v>
      </c>
      <c r="T143" s="928">
        <v>0</v>
      </c>
      <c r="U143" s="928">
        <v>0</v>
      </c>
      <c r="V143" s="928">
        <v>0</v>
      </c>
      <c r="W143" s="928">
        <v>0</v>
      </c>
      <c r="X143" s="928">
        <v>0</v>
      </c>
      <c r="Y143" s="928">
        <v>0</v>
      </c>
      <c r="Z143" s="928">
        <v>0</v>
      </c>
      <c r="AA143" s="928">
        <v>0</v>
      </c>
      <c r="AB143" s="928">
        <v>0</v>
      </c>
      <c r="AC143" s="928">
        <v>0</v>
      </c>
      <c r="AD143" s="928">
        <v>0</v>
      </c>
      <c r="AE143" s="928">
        <v>0</v>
      </c>
      <c r="AF143" s="928">
        <v>0</v>
      </c>
    </row>
    <row r="144" spans="1:32" hidden="1" outlineLevel="1">
      <c r="A144" s="861"/>
      <c r="B144" s="861" t="s">
        <v>564</v>
      </c>
      <c r="C144" s="861"/>
      <c r="D144" s="861"/>
      <c r="E144" s="861"/>
      <c r="F144" s="861"/>
      <c r="G144" s="861"/>
      <c r="H144" s="946"/>
      <c r="I144" s="929">
        <f>(1+(+I143/12))^(+stub)</f>
        <v>1</v>
      </c>
      <c r="J144" s="947">
        <f t="shared" ref="J144:S144" si="67">+I144*(1+J143)</f>
        <v>1</v>
      </c>
      <c r="K144" s="947">
        <f t="shared" si="67"/>
        <v>1</v>
      </c>
      <c r="L144" s="947">
        <f t="shared" si="67"/>
        <v>1</v>
      </c>
      <c r="M144" s="947">
        <f t="shared" si="67"/>
        <v>1</v>
      </c>
      <c r="N144" s="947">
        <f t="shared" si="67"/>
        <v>1</v>
      </c>
      <c r="O144" s="947">
        <f t="shared" si="67"/>
        <v>1</v>
      </c>
      <c r="P144" s="947">
        <f t="shared" si="67"/>
        <v>1</v>
      </c>
      <c r="Q144" s="947">
        <f t="shared" si="67"/>
        <v>1</v>
      </c>
      <c r="R144" s="947">
        <f t="shared" si="67"/>
        <v>1</v>
      </c>
      <c r="S144" s="947">
        <f t="shared" si="67"/>
        <v>1</v>
      </c>
      <c r="T144" s="947">
        <f t="shared" ref="T144:AC144" si="68">+S144*(1+T143)</f>
        <v>1</v>
      </c>
      <c r="U144" s="947">
        <f t="shared" si="68"/>
        <v>1</v>
      </c>
      <c r="V144" s="947">
        <f t="shared" si="68"/>
        <v>1</v>
      </c>
      <c r="W144" s="947">
        <f t="shared" si="68"/>
        <v>1</v>
      </c>
      <c r="X144" s="947">
        <f t="shared" si="68"/>
        <v>1</v>
      </c>
      <c r="Y144" s="947">
        <f t="shared" si="68"/>
        <v>1</v>
      </c>
      <c r="Z144" s="947">
        <f t="shared" si="68"/>
        <v>1</v>
      </c>
      <c r="AA144" s="947">
        <f t="shared" si="68"/>
        <v>1</v>
      </c>
      <c r="AB144" s="947">
        <f t="shared" si="68"/>
        <v>1</v>
      </c>
      <c r="AC144" s="947">
        <f t="shared" si="68"/>
        <v>1</v>
      </c>
      <c r="AD144" s="947">
        <f>+AC144*(1+AD143)</f>
        <v>1</v>
      </c>
      <c r="AE144" s="947">
        <f>+AD144*(1+AE143)</f>
        <v>1</v>
      </c>
      <c r="AF144" s="947">
        <f>+AE144*(1+AF143)</f>
        <v>1</v>
      </c>
    </row>
    <row r="145" spans="1:33" ht="12" hidden="1" outlineLevel="1" thickBot="1">
      <c r="A145" s="913"/>
      <c r="B145" s="913"/>
      <c r="C145" s="913"/>
      <c r="D145" s="913"/>
      <c r="E145" s="913"/>
      <c r="F145" s="913"/>
      <c r="G145" s="913"/>
      <c r="H145" s="913"/>
      <c r="I145" s="913"/>
      <c r="J145" s="913"/>
      <c r="K145" s="913"/>
      <c r="L145" s="913"/>
      <c r="M145" s="913"/>
      <c r="N145" s="913"/>
      <c r="O145" s="913"/>
      <c r="P145" s="913"/>
      <c r="Q145" s="913"/>
      <c r="R145" s="913"/>
      <c r="S145" s="913"/>
      <c r="T145" s="913"/>
      <c r="U145" s="913"/>
      <c r="V145" s="913"/>
      <c r="W145" s="913"/>
      <c r="X145" s="913"/>
      <c r="Y145" s="913"/>
      <c r="Z145" s="913"/>
      <c r="AA145" s="913"/>
      <c r="AB145" s="913"/>
      <c r="AC145" s="913"/>
      <c r="AD145" s="913"/>
      <c r="AE145" s="913"/>
      <c r="AF145" s="913"/>
    </row>
    <row r="146" spans="1:33" ht="12" hidden="1" outlineLevel="1" thickTop="1">
      <c r="A146" s="880"/>
      <c r="B146" s="880"/>
      <c r="C146" s="880"/>
      <c r="D146" s="880"/>
      <c r="E146" s="880"/>
      <c r="F146" s="880"/>
      <c r="G146" s="880"/>
      <c r="H146" s="880"/>
      <c r="I146" s="880"/>
      <c r="J146" s="880"/>
      <c r="K146" s="880"/>
      <c r="L146" s="880"/>
      <c r="M146" s="880"/>
      <c r="N146" s="880"/>
      <c r="O146" s="880"/>
      <c r="P146" s="880"/>
      <c r="Q146" s="880"/>
      <c r="R146" s="880"/>
      <c r="S146" s="880"/>
      <c r="T146" s="880"/>
      <c r="U146" s="880"/>
      <c r="V146" s="880"/>
      <c r="W146" s="880"/>
      <c r="X146" s="880"/>
      <c r="Y146" s="880"/>
      <c r="Z146" s="880"/>
      <c r="AA146" s="880"/>
      <c r="AB146" s="880"/>
      <c r="AC146" s="880"/>
      <c r="AD146" s="880"/>
      <c r="AE146" s="880"/>
      <c r="AF146" s="880"/>
    </row>
    <row r="147" spans="1:33" collapsed="1">
      <c r="A147" s="665"/>
      <c r="B147" s="665"/>
      <c r="C147" s="665"/>
      <c r="D147" s="665"/>
      <c r="E147" s="665"/>
      <c r="F147" s="665"/>
      <c r="G147" s="665"/>
      <c r="H147" s="665"/>
      <c r="I147" s="665"/>
      <c r="J147" s="665"/>
      <c r="K147" s="665"/>
      <c r="L147" s="665"/>
      <c r="M147" s="665"/>
      <c r="N147" s="665"/>
      <c r="O147" s="665"/>
      <c r="P147" s="665"/>
      <c r="Q147" s="665"/>
      <c r="R147" s="665"/>
      <c r="S147" s="665"/>
      <c r="T147" s="665"/>
      <c r="U147" s="665"/>
      <c r="V147" s="665"/>
      <c r="W147" s="665"/>
      <c r="X147" s="665"/>
      <c r="Y147" s="665"/>
      <c r="Z147" s="665"/>
      <c r="AA147" s="665"/>
      <c r="AB147" s="665"/>
      <c r="AC147" s="665"/>
      <c r="AD147" s="665"/>
      <c r="AE147" s="665"/>
      <c r="AF147" s="665"/>
      <c r="AG147" s="818"/>
    </row>
    <row r="148" spans="1:33" ht="12" thickBot="1">
      <c r="A148" s="932"/>
      <c r="B148" s="932"/>
      <c r="C148" s="932"/>
      <c r="D148" s="932"/>
      <c r="E148" s="932"/>
      <c r="F148" s="932"/>
      <c r="G148" s="932"/>
      <c r="H148" s="932"/>
      <c r="I148" s="932"/>
      <c r="J148" s="932"/>
      <c r="K148" s="932"/>
      <c r="L148" s="932"/>
      <c r="M148" s="932"/>
      <c r="N148" s="932"/>
      <c r="O148" s="932"/>
      <c r="P148" s="932"/>
      <c r="Q148" s="932"/>
      <c r="R148" s="932"/>
      <c r="S148" s="932"/>
      <c r="T148" s="932"/>
      <c r="U148" s="932"/>
      <c r="V148" s="932"/>
      <c r="W148" s="932"/>
      <c r="X148" s="932"/>
      <c r="Y148" s="932"/>
      <c r="Z148" s="932"/>
      <c r="AA148" s="932"/>
      <c r="AB148" s="932"/>
      <c r="AC148" s="932"/>
      <c r="AD148" s="932"/>
      <c r="AE148" s="932"/>
      <c r="AF148" s="932"/>
    </row>
    <row r="149" spans="1:33" ht="12.75" thickTop="1" thickBot="1">
      <c r="A149" s="868" t="s">
        <v>570</v>
      </c>
      <c r="I149" s="842">
        <f t="shared" ref="I149:R149" si="69">+I$3</f>
        <v>37986</v>
      </c>
      <c r="J149" s="843">
        <f t="shared" si="69"/>
        <v>2004</v>
      </c>
      <c r="K149" s="843">
        <f t="shared" si="69"/>
        <v>2005</v>
      </c>
      <c r="L149" s="843">
        <f t="shared" si="69"/>
        <v>2006</v>
      </c>
      <c r="M149" s="843">
        <f t="shared" si="69"/>
        <v>2007</v>
      </c>
      <c r="N149" s="843">
        <f t="shared" si="69"/>
        <v>2008</v>
      </c>
      <c r="O149" s="843">
        <f t="shared" si="69"/>
        <v>2009</v>
      </c>
      <c r="P149" s="843">
        <f t="shared" si="69"/>
        <v>2010</v>
      </c>
      <c r="Q149" s="843">
        <f t="shared" si="69"/>
        <v>2011</v>
      </c>
      <c r="R149" s="843">
        <f t="shared" si="69"/>
        <v>2012</v>
      </c>
      <c r="S149" s="843">
        <f t="shared" ref="S149:AF149" si="70">+S$3</f>
        <v>2013</v>
      </c>
      <c r="T149" s="843">
        <f t="shared" si="70"/>
        <v>2014</v>
      </c>
      <c r="U149" s="843">
        <f t="shared" si="70"/>
        <v>2015</v>
      </c>
      <c r="V149" s="843">
        <f t="shared" si="70"/>
        <v>2016</v>
      </c>
      <c r="W149" s="843">
        <f t="shared" si="70"/>
        <v>2017</v>
      </c>
      <c r="X149" s="843">
        <f t="shared" si="70"/>
        <v>2018</v>
      </c>
      <c r="Y149" s="843">
        <f t="shared" si="70"/>
        <v>2019</v>
      </c>
      <c r="Z149" s="843">
        <f t="shared" si="70"/>
        <v>2020</v>
      </c>
      <c r="AA149" s="843">
        <f t="shared" si="70"/>
        <v>2021</v>
      </c>
      <c r="AB149" s="843">
        <f t="shared" si="70"/>
        <v>2022</v>
      </c>
      <c r="AC149" s="843">
        <f t="shared" si="70"/>
        <v>2023</v>
      </c>
      <c r="AD149" s="843">
        <f t="shared" si="70"/>
        <v>2024</v>
      </c>
      <c r="AE149" s="843">
        <f t="shared" si="70"/>
        <v>2025</v>
      </c>
      <c r="AF149" s="843">
        <f t="shared" si="70"/>
        <v>2026</v>
      </c>
    </row>
    <row r="150" spans="1:33" ht="14.25" customHeight="1" thickTop="1">
      <c r="A150" s="1293" t="s">
        <v>908</v>
      </c>
      <c r="B150" s="945" t="str">
        <f>"Currency (USD-1, "&amp;curr2&amp;"-2)"</f>
        <v>Currency (USD-1, Reis-2)</v>
      </c>
      <c r="D150" s="948">
        <v>1</v>
      </c>
      <c r="I150" s="949"/>
      <c r="J150" s="949"/>
      <c r="K150" s="949"/>
      <c r="L150" s="949"/>
      <c r="M150" s="949"/>
      <c r="N150" s="949"/>
      <c r="O150" s="949"/>
      <c r="P150" s="949"/>
      <c r="Q150" s="949"/>
      <c r="R150" s="949"/>
      <c r="S150" s="949"/>
      <c r="T150" s="949"/>
      <c r="U150" s="949"/>
      <c r="V150" s="949"/>
      <c r="W150" s="949"/>
      <c r="X150" s="949"/>
      <c r="Y150" s="949"/>
      <c r="Z150" s="949"/>
      <c r="AA150" s="949"/>
      <c r="AB150" s="949"/>
      <c r="AC150" s="949"/>
      <c r="AD150" s="949"/>
      <c r="AE150" s="949"/>
      <c r="AF150" s="949"/>
    </row>
    <row r="151" spans="1:33">
      <c r="B151" s="950" t="s">
        <v>571</v>
      </c>
      <c r="C151" s="861"/>
      <c r="D151" s="951">
        <v>1</v>
      </c>
    </row>
    <row r="152" spans="1:33">
      <c r="B152" s="927" t="s">
        <v>572</v>
      </c>
      <c r="D152" s="952">
        <v>0</v>
      </c>
      <c r="G152" s="927" t="s">
        <v>573</v>
      </c>
      <c r="I152" s="953">
        <f>+$D$152*IF($D150=1,CHOOSE($D$151,1,I129),CHOOSE($D$151,1,I144))</f>
        <v>0</v>
      </c>
      <c r="J152" s="953">
        <f t="shared" ref="J152:AF152" si="71">+$D$152*IF($D150=1,CHOOSE($D$151,1,J129),CHOOSE($D$151,1,J144))</f>
        <v>0</v>
      </c>
      <c r="K152" s="953">
        <f t="shared" si="71"/>
        <v>0</v>
      </c>
      <c r="L152" s="953">
        <f t="shared" si="71"/>
        <v>0</v>
      </c>
      <c r="M152" s="953">
        <f t="shared" si="71"/>
        <v>0</v>
      </c>
      <c r="N152" s="953">
        <f t="shared" si="71"/>
        <v>0</v>
      </c>
      <c r="O152" s="953">
        <f t="shared" si="71"/>
        <v>0</v>
      </c>
      <c r="P152" s="953">
        <f t="shared" si="71"/>
        <v>0</v>
      </c>
      <c r="Q152" s="953">
        <f t="shared" si="71"/>
        <v>0</v>
      </c>
      <c r="R152" s="953">
        <f t="shared" si="71"/>
        <v>0</v>
      </c>
      <c r="S152" s="953">
        <f t="shared" si="71"/>
        <v>0</v>
      </c>
      <c r="T152" s="953">
        <f t="shared" si="71"/>
        <v>0</v>
      </c>
      <c r="U152" s="953">
        <f t="shared" si="71"/>
        <v>0</v>
      </c>
      <c r="V152" s="953">
        <f t="shared" si="71"/>
        <v>0</v>
      </c>
      <c r="W152" s="953">
        <f t="shared" si="71"/>
        <v>0</v>
      </c>
      <c r="X152" s="953">
        <f t="shared" si="71"/>
        <v>0</v>
      </c>
      <c r="Y152" s="953">
        <f t="shared" si="71"/>
        <v>0</v>
      </c>
      <c r="Z152" s="953">
        <f t="shared" si="71"/>
        <v>0</v>
      </c>
      <c r="AA152" s="953">
        <f t="shared" si="71"/>
        <v>0</v>
      </c>
      <c r="AB152" s="953">
        <f t="shared" si="71"/>
        <v>0</v>
      </c>
      <c r="AC152" s="953">
        <f t="shared" si="71"/>
        <v>0</v>
      </c>
      <c r="AD152" s="953">
        <f t="shared" si="71"/>
        <v>0</v>
      </c>
      <c r="AE152" s="953">
        <f t="shared" si="71"/>
        <v>0</v>
      </c>
      <c r="AF152" s="953">
        <f t="shared" si="71"/>
        <v>0</v>
      </c>
    </row>
    <row r="153" spans="1:33">
      <c r="G153" s="954" t="s">
        <v>574</v>
      </c>
      <c r="I153" s="955">
        <f t="array" ref="I153:AC153">+TRANSPOSE(CALC!HQ17:HQ37)</f>
        <v>0</v>
      </c>
      <c r="J153" s="955">
        <v>0</v>
      </c>
      <c r="K153" s="955">
        <v>0</v>
      </c>
      <c r="L153" s="955">
        <v>0</v>
      </c>
      <c r="M153" s="955">
        <v>0</v>
      </c>
      <c r="N153" s="955">
        <v>0</v>
      </c>
      <c r="O153" s="955">
        <v>0</v>
      </c>
      <c r="P153" s="955">
        <v>0</v>
      </c>
      <c r="Q153" s="955">
        <v>0</v>
      </c>
      <c r="R153" s="955">
        <v>0</v>
      </c>
      <c r="S153" s="955">
        <v>0</v>
      </c>
      <c r="T153" s="955">
        <v>0</v>
      </c>
      <c r="U153" s="955">
        <v>0</v>
      </c>
      <c r="V153" s="955">
        <v>0</v>
      </c>
      <c r="W153" s="955">
        <v>0</v>
      </c>
      <c r="X153" s="955">
        <v>0</v>
      </c>
      <c r="Y153" s="955">
        <v>0</v>
      </c>
      <c r="Z153" s="955">
        <v>0</v>
      </c>
      <c r="AA153" s="955">
        <v>0</v>
      </c>
      <c r="AB153" s="955">
        <v>0</v>
      </c>
      <c r="AC153" s="955">
        <v>0</v>
      </c>
      <c r="AD153" s="955">
        <v>0</v>
      </c>
      <c r="AE153" s="955">
        <v>0</v>
      </c>
      <c r="AF153" s="955">
        <v>0</v>
      </c>
    </row>
    <row r="154" spans="1:33">
      <c r="G154" s="954" t="s">
        <v>574</v>
      </c>
      <c r="I154" s="955">
        <v>0</v>
      </c>
      <c r="J154" s="955">
        <v>0</v>
      </c>
      <c r="K154" s="955">
        <v>0</v>
      </c>
      <c r="L154" s="955">
        <v>0</v>
      </c>
      <c r="M154" s="955">
        <v>0</v>
      </c>
      <c r="N154" s="955">
        <v>0</v>
      </c>
      <c r="O154" s="955">
        <v>0</v>
      </c>
      <c r="P154" s="955">
        <v>0</v>
      </c>
      <c r="Q154" s="955">
        <v>0</v>
      </c>
      <c r="R154" s="955">
        <v>0</v>
      </c>
      <c r="S154" s="955">
        <v>0</v>
      </c>
      <c r="T154" s="955">
        <v>0</v>
      </c>
      <c r="U154" s="955">
        <v>0</v>
      </c>
      <c r="V154" s="955">
        <v>0</v>
      </c>
      <c r="W154" s="955">
        <v>0</v>
      </c>
      <c r="X154" s="955">
        <v>0</v>
      </c>
      <c r="Y154" s="955">
        <v>0</v>
      </c>
      <c r="Z154" s="955">
        <v>0</v>
      </c>
      <c r="AA154" s="955">
        <v>0</v>
      </c>
      <c r="AB154" s="955">
        <v>0</v>
      </c>
      <c r="AC154" s="955">
        <v>0</v>
      </c>
      <c r="AD154" s="955">
        <v>0</v>
      </c>
      <c r="AE154" s="955">
        <v>0</v>
      </c>
      <c r="AF154" s="955">
        <v>0</v>
      </c>
    </row>
    <row r="155" spans="1:33">
      <c r="G155" s="954" t="s">
        <v>574</v>
      </c>
      <c r="I155" s="955">
        <v>0</v>
      </c>
      <c r="J155" s="955">
        <v>0</v>
      </c>
      <c r="K155" s="955">
        <v>0</v>
      </c>
      <c r="L155" s="955">
        <v>0</v>
      </c>
      <c r="M155" s="955">
        <v>0</v>
      </c>
      <c r="N155" s="955">
        <v>0</v>
      </c>
      <c r="O155" s="955">
        <v>0</v>
      </c>
      <c r="P155" s="955">
        <v>0</v>
      </c>
      <c r="Q155" s="955">
        <v>0</v>
      </c>
      <c r="R155" s="955">
        <v>0</v>
      </c>
      <c r="S155" s="955">
        <v>0</v>
      </c>
      <c r="T155" s="955">
        <v>0</v>
      </c>
      <c r="U155" s="955">
        <v>0</v>
      </c>
      <c r="V155" s="955">
        <v>0</v>
      </c>
      <c r="W155" s="955">
        <v>0</v>
      </c>
      <c r="X155" s="955">
        <v>0</v>
      </c>
      <c r="Y155" s="955">
        <v>0</v>
      </c>
      <c r="Z155" s="955">
        <v>0</v>
      </c>
      <c r="AA155" s="955">
        <v>0</v>
      </c>
      <c r="AB155" s="955">
        <v>0</v>
      </c>
      <c r="AC155" s="955">
        <v>0</v>
      </c>
      <c r="AD155" s="955">
        <v>0</v>
      </c>
      <c r="AE155" s="955">
        <v>0</v>
      </c>
      <c r="AF155" s="955">
        <v>0</v>
      </c>
    </row>
    <row r="156" spans="1:33">
      <c r="G156" s="954" t="s">
        <v>574</v>
      </c>
      <c r="I156" s="955">
        <v>0</v>
      </c>
      <c r="J156" s="955">
        <v>0</v>
      </c>
      <c r="K156" s="955">
        <v>0</v>
      </c>
      <c r="L156" s="955">
        <v>0</v>
      </c>
      <c r="M156" s="955">
        <v>0</v>
      </c>
      <c r="N156" s="955">
        <v>0</v>
      </c>
      <c r="O156" s="955">
        <v>0</v>
      </c>
      <c r="P156" s="955">
        <v>0</v>
      </c>
      <c r="Q156" s="955">
        <v>0</v>
      </c>
      <c r="R156" s="955">
        <v>0</v>
      </c>
      <c r="S156" s="955">
        <v>0</v>
      </c>
      <c r="T156" s="955">
        <v>0</v>
      </c>
      <c r="U156" s="955">
        <v>0</v>
      </c>
      <c r="V156" s="955">
        <v>0</v>
      </c>
      <c r="W156" s="955">
        <v>0</v>
      </c>
      <c r="X156" s="955">
        <v>0</v>
      </c>
      <c r="Y156" s="955">
        <v>0</v>
      </c>
      <c r="Z156" s="955">
        <v>0</v>
      </c>
      <c r="AA156" s="955">
        <v>0</v>
      </c>
      <c r="AB156" s="955">
        <v>0</v>
      </c>
      <c r="AC156" s="955">
        <v>0</v>
      </c>
      <c r="AD156" s="955">
        <v>0</v>
      </c>
      <c r="AE156" s="955">
        <v>0</v>
      </c>
      <c r="AF156" s="955">
        <v>0</v>
      </c>
    </row>
    <row r="157" spans="1:33">
      <c r="G157" s="956" t="s">
        <v>575</v>
      </c>
      <c r="I157" s="929">
        <f t="shared" ref="I157:R157" si="72">SUM(I152:I156)</f>
        <v>0</v>
      </c>
      <c r="J157" s="929">
        <f t="shared" si="72"/>
        <v>0</v>
      </c>
      <c r="K157" s="929">
        <f t="shared" si="72"/>
        <v>0</v>
      </c>
      <c r="L157" s="929">
        <f t="shared" si="72"/>
        <v>0</v>
      </c>
      <c r="M157" s="929">
        <f t="shared" si="72"/>
        <v>0</v>
      </c>
      <c r="N157" s="929">
        <f t="shared" si="72"/>
        <v>0</v>
      </c>
      <c r="O157" s="929">
        <f t="shared" si="72"/>
        <v>0</v>
      </c>
      <c r="P157" s="929">
        <f t="shared" si="72"/>
        <v>0</v>
      </c>
      <c r="Q157" s="929">
        <f t="shared" si="72"/>
        <v>0</v>
      </c>
      <c r="R157" s="929">
        <f t="shared" si="72"/>
        <v>0</v>
      </c>
      <c r="S157" s="929">
        <f t="shared" ref="S157:AC157" si="73">SUM(S152:S156)</f>
        <v>0</v>
      </c>
      <c r="T157" s="929">
        <f t="shared" si="73"/>
        <v>0</v>
      </c>
      <c r="U157" s="929">
        <f t="shared" si="73"/>
        <v>0</v>
      </c>
      <c r="V157" s="929">
        <f t="shared" si="73"/>
        <v>0</v>
      </c>
      <c r="W157" s="929">
        <f t="shared" si="73"/>
        <v>0</v>
      </c>
      <c r="X157" s="929">
        <f t="shared" si="73"/>
        <v>0</v>
      </c>
      <c r="Y157" s="929">
        <f t="shared" si="73"/>
        <v>0</v>
      </c>
      <c r="Z157" s="929">
        <f t="shared" si="73"/>
        <v>0</v>
      </c>
      <c r="AA157" s="929">
        <f t="shared" si="73"/>
        <v>0</v>
      </c>
      <c r="AB157" s="929">
        <f t="shared" si="73"/>
        <v>0</v>
      </c>
      <c r="AC157" s="929">
        <f t="shared" si="73"/>
        <v>0</v>
      </c>
      <c r="AD157" s="929">
        <f>SUM(AD152:AD156)</f>
        <v>0</v>
      </c>
      <c r="AE157" s="929">
        <f>SUM(AE152:AE156)</f>
        <v>0</v>
      </c>
      <c r="AF157" s="929">
        <f>SUM(AF152:AF156)</f>
        <v>0</v>
      </c>
    </row>
    <row r="158" spans="1:33">
      <c r="G158" s="869" t="s">
        <v>576</v>
      </c>
      <c r="I158" s="929">
        <f t="shared" ref="I158:AC158" si="74">IF($D150=1,I157,+I157*I$138)</f>
        <v>0</v>
      </c>
      <c r="J158" s="929">
        <f t="shared" si="74"/>
        <v>0</v>
      </c>
      <c r="K158" s="929">
        <f t="shared" si="74"/>
        <v>0</v>
      </c>
      <c r="L158" s="929">
        <f t="shared" si="74"/>
        <v>0</v>
      </c>
      <c r="M158" s="929">
        <f t="shared" si="74"/>
        <v>0</v>
      </c>
      <c r="N158" s="929">
        <f t="shared" si="74"/>
        <v>0</v>
      </c>
      <c r="O158" s="929">
        <f t="shared" si="74"/>
        <v>0</v>
      </c>
      <c r="P158" s="929">
        <f t="shared" si="74"/>
        <v>0</v>
      </c>
      <c r="Q158" s="929">
        <f t="shared" si="74"/>
        <v>0</v>
      </c>
      <c r="R158" s="929">
        <f t="shared" si="74"/>
        <v>0</v>
      </c>
      <c r="S158" s="929">
        <f t="shared" si="74"/>
        <v>0</v>
      </c>
      <c r="T158" s="929">
        <f t="shared" si="74"/>
        <v>0</v>
      </c>
      <c r="U158" s="929">
        <f t="shared" si="74"/>
        <v>0</v>
      </c>
      <c r="V158" s="929">
        <f t="shared" si="74"/>
        <v>0</v>
      </c>
      <c r="W158" s="929">
        <f t="shared" si="74"/>
        <v>0</v>
      </c>
      <c r="X158" s="929">
        <f t="shared" si="74"/>
        <v>0</v>
      </c>
      <c r="Y158" s="929">
        <f t="shared" si="74"/>
        <v>0</v>
      </c>
      <c r="Z158" s="929">
        <f t="shared" si="74"/>
        <v>0</v>
      </c>
      <c r="AA158" s="929">
        <f t="shared" si="74"/>
        <v>0</v>
      </c>
      <c r="AB158" s="929">
        <f t="shared" si="74"/>
        <v>0</v>
      </c>
      <c r="AC158" s="929">
        <f t="shared" si="74"/>
        <v>0</v>
      </c>
      <c r="AD158" s="929">
        <f>IF($D150=1,AD157,+AD157*AD$138)</f>
        <v>0</v>
      </c>
      <c r="AE158" s="929">
        <f>IF($D150=1,AE157,+AE157*AE$138)</f>
        <v>0</v>
      </c>
      <c r="AF158" s="929">
        <f>IF($D150=1,AF157,+AF157*AF$138)</f>
        <v>0</v>
      </c>
    </row>
    <row r="160" spans="1:33" ht="12" thickBot="1"/>
    <row r="161" spans="1:32" ht="12.75" thickTop="1" thickBot="1">
      <c r="A161" s="957" t="s">
        <v>577</v>
      </c>
      <c r="B161" s="880"/>
      <c r="C161" s="880"/>
      <c r="D161" s="880"/>
      <c r="E161" s="880"/>
      <c r="F161" s="880"/>
      <c r="G161" s="958"/>
      <c r="H161" s="880"/>
      <c r="I161" s="842">
        <f t="shared" ref="I161:R161" si="75">+I$3</f>
        <v>37986</v>
      </c>
      <c r="J161" s="843">
        <f t="shared" si="75"/>
        <v>2004</v>
      </c>
      <c r="K161" s="843">
        <f t="shared" si="75"/>
        <v>2005</v>
      </c>
      <c r="L161" s="843">
        <f t="shared" si="75"/>
        <v>2006</v>
      </c>
      <c r="M161" s="843">
        <f t="shared" si="75"/>
        <v>2007</v>
      </c>
      <c r="N161" s="843">
        <f t="shared" si="75"/>
        <v>2008</v>
      </c>
      <c r="O161" s="843">
        <f t="shared" si="75"/>
        <v>2009</v>
      </c>
      <c r="P161" s="843">
        <f t="shared" si="75"/>
        <v>2010</v>
      </c>
      <c r="Q161" s="843">
        <f t="shared" si="75"/>
        <v>2011</v>
      </c>
      <c r="R161" s="843">
        <f t="shared" si="75"/>
        <v>2012</v>
      </c>
      <c r="S161" s="843">
        <f t="shared" ref="S161:AF161" si="76">+S$3</f>
        <v>2013</v>
      </c>
      <c r="T161" s="843">
        <f t="shared" si="76"/>
        <v>2014</v>
      </c>
      <c r="U161" s="843">
        <f t="shared" si="76"/>
        <v>2015</v>
      </c>
      <c r="V161" s="843">
        <f t="shared" si="76"/>
        <v>2016</v>
      </c>
      <c r="W161" s="843">
        <f t="shared" si="76"/>
        <v>2017</v>
      </c>
      <c r="X161" s="843">
        <f t="shared" si="76"/>
        <v>2018</v>
      </c>
      <c r="Y161" s="843">
        <f t="shared" si="76"/>
        <v>2019</v>
      </c>
      <c r="Z161" s="843">
        <f t="shared" si="76"/>
        <v>2020</v>
      </c>
      <c r="AA161" s="843">
        <f t="shared" si="76"/>
        <v>2021</v>
      </c>
      <c r="AB161" s="843">
        <f t="shared" si="76"/>
        <v>2022</v>
      </c>
      <c r="AC161" s="843">
        <f t="shared" si="76"/>
        <v>2023</v>
      </c>
      <c r="AD161" s="843">
        <f t="shared" si="76"/>
        <v>2024</v>
      </c>
      <c r="AE161" s="843">
        <f t="shared" si="76"/>
        <v>2025</v>
      </c>
      <c r="AF161" s="843">
        <f t="shared" si="76"/>
        <v>2026</v>
      </c>
    </row>
    <row r="162" spans="1:32" ht="12" thickTop="1">
      <c r="A162" s="959"/>
      <c r="B162" s="880"/>
      <c r="C162" s="880"/>
      <c r="D162" s="880"/>
      <c r="E162" s="880"/>
      <c r="F162" s="880"/>
      <c r="G162" s="958"/>
      <c r="H162" s="880"/>
      <c r="I162" s="949"/>
      <c r="J162" s="949"/>
      <c r="K162" s="949"/>
      <c r="L162" s="949"/>
      <c r="M162" s="949"/>
      <c r="N162" s="949"/>
      <c r="O162" s="949"/>
      <c r="P162" s="949"/>
      <c r="Q162" s="949"/>
      <c r="R162" s="949"/>
      <c r="S162" s="949"/>
      <c r="T162" s="949"/>
      <c r="U162" s="949"/>
      <c r="V162" s="949"/>
      <c r="W162" s="949"/>
      <c r="X162" s="949"/>
      <c r="Y162" s="949"/>
      <c r="Z162" s="949"/>
      <c r="AA162" s="949"/>
      <c r="AB162" s="949"/>
      <c r="AC162" s="949"/>
      <c r="AD162" s="949"/>
      <c r="AE162" s="949"/>
      <c r="AF162" s="949"/>
    </row>
    <row r="163" spans="1:32">
      <c r="A163" s="960" t="str">
        <f>A150</f>
        <v>Contract Rev</v>
      </c>
      <c r="C163" s="665"/>
      <c r="D163" s="665"/>
      <c r="E163" s="880"/>
      <c r="F163" s="880" t="s">
        <v>399</v>
      </c>
      <c r="G163" s="958"/>
      <c r="H163" s="880"/>
      <c r="I163" s="889">
        <f t="array" ref="I163:AC163">+TRANSPOSE(CALC!HP17:HP37)/1000</f>
        <v>0</v>
      </c>
      <c r="J163" s="889">
        <v>0</v>
      </c>
      <c r="K163" s="889">
        <v>0</v>
      </c>
      <c r="L163" s="889">
        <v>0</v>
      </c>
      <c r="M163" s="889">
        <v>0</v>
      </c>
      <c r="N163" s="889">
        <v>0</v>
      </c>
      <c r="O163" s="889">
        <v>0</v>
      </c>
      <c r="P163" s="889">
        <v>0</v>
      </c>
      <c r="Q163" s="889">
        <v>0</v>
      </c>
      <c r="R163" s="889">
        <v>0</v>
      </c>
      <c r="S163" s="889">
        <v>0</v>
      </c>
      <c r="T163" s="889">
        <v>0</v>
      </c>
      <c r="U163" s="889">
        <v>0</v>
      </c>
      <c r="V163" s="889">
        <v>0</v>
      </c>
      <c r="W163" s="889">
        <v>0</v>
      </c>
      <c r="X163" s="889">
        <v>0</v>
      </c>
      <c r="Y163" s="889">
        <v>0</v>
      </c>
      <c r="Z163" s="889">
        <v>0</v>
      </c>
      <c r="AA163" s="889">
        <v>0</v>
      </c>
      <c r="AB163" s="889">
        <v>0</v>
      </c>
      <c r="AC163" s="889">
        <v>0</v>
      </c>
      <c r="AD163" s="889">
        <v>0</v>
      </c>
      <c r="AE163" s="889">
        <v>0</v>
      </c>
      <c r="AF163" s="889">
        <v>0</v>
      </c>
    </row>
    <row r="164" spans="1:32">
      <c r="A164" s="880"/>
      <c r="C164" s="665"/>
      <c r="D164" s="665"/>
      <c r="E164" s="880"/>
      <c r="F164" s="880" t="s">
        <v>191</v>
      </c>
      <c r="G164" s="958"/>
      <c r="H164" s="880"/>
      <c r="I164" s="907">
        <f t="shared" ref="I164:R164" si="77">+I158</f>
        <v>0</v>
      </c>
      <c r="J164" s="907">
        <f t="shared" si="77"/>
        <v>0</v>
      </c>
      <c r="K164" s="907">
        <f t="shared" si="77"/>
        <v>0</v>
      </c>
      <c r="L164" s="907">
        <f t="shared" si="77"/>
        <v>0</v>
      </c>
      <c r="M164" s="907">
        <f t="shared" si="77"/>
        <v>0</v>
      </c>
      <c r="N164" s="907">
        <f t="shared" si="77"/>
        <v>0</v>
      </c>
      <c r="O164" s="907">
        <f t="shared" si="77"/>
        <v>0</v>
      </c>
      <c r="P164" s="907">
        <f t="shared" si="77"/>
        <v>0</v>
      </c>
      <c r="Q164" s="907">
        <f t="shared" si="77"/>
        <v>0</v>
      </c>
      <c r="R164" s="907">
        <f t="shared" si="77"/>
        <v>0</v>
      </c>
      <c r="S164" s="907">
        <f t="shared" ref="S164:AC164" si="78">+S158</f>
        <v>0</v>
      </c>
      <c r="T164" s="907">
        <f t="shared" si="78"/>
        <v>0</v>
      </c>
      <c r="U164" s="907">
        <f t="shared" si="78"/>
        <v>0</v>
      </c>
      <c r="V164" s="907">
        <f t="shared" si="78"/>
        <v>0</v>
      </c>
      <c r="W164" s="907">
        <f t="shared" si="78"/>
        <v>0</v>
      </c>
      <c r="X164" s="907">
        <f t="shared" si="78"/>
        <v>0</v>
      </c>
      <c r="Y164" s="907">
        <f t="shared" si="78"/>
        <v>0</v>
      </c>
      <c r="Z164" s="907">
        <f t="shared" si="78"/>
        <v>0</v>
      </c>
      <c r="AA164" s="907">
        <f t="shared" si="78"/>
        <v>0</v>
      </c>
      <c r="AB164" s="907">
        <f t="shared" si="78"/>
        <v>0</v>
      </c>
      <c r="AC164" s="907">
        <f t="shared" si="78"/>
        <v>0</v>
      </c>
      <c r="AD164" s="907">
        <f>+AD158</f>
        <v>0</v>
      </c>
      <c r="AE164" s="907">
        <f>+AE158</f>
        <v>0</v>
      </c>
      <c r="AF164" s="907">
        <f>+AF158</f>
        <v>0</v>
      </c>
    </row>
    <row r="165" spans="1:32">
      <c r="A165" s="880"/>
      <c r="C165" s="665"/>
      <c r="D165" s="665"/>
      <c r="E165" s="880"/>
      <c r="F165" s="961" t="s">
        <v>578</v>
      </c>
      <c r="G165" s="958"/>
      <c r="H165" s="880"/>
      <c r="I165" s="1664">
        <f>+I164*I163</f>
        <v>0</v>
      </c>
      <c r="J165" s="1664">
        <f t="shared" ref="J165:AF165" si="79">+J164*J163</f>
        <v>0</v>
      </c>
      <c r="K165" s="1664">
        <f t="shared" si="79"/>
        <v>0</v>
      </c>
      <c r="L165" s="1664">
        <f t="shared" si="79"/>
        <v>0</v>
      </c>
      <c r="M165" s="1664">
        <f t="shared" si="79"/>
        <v>0</v>
      </c>
      <c r="N165" s="1664">
        <f t="shared" si="79"/>
        <v>0</v>
      </c>
      <c r="O165" s="1664">
        <f t="shared" si="79"/>
        <v>0</v>
      </c>
      <c r="P165" s="1664">
        <f t="shared" si="79"/>
        <v>0</v>
      </c>
      <c r="Q165" s="1664">
        <f t="shared" si="79"/>
        <v>0</v>
      </c>
      <c r="R165" s="1664">
        <f t="shared" si="79"/>
        <v>0</v>
      </c>
      <c r="S165" s="1664">
        <f t="shared" si="79"/>
        <v>0</v>
      </c>
      <c r="T165" s="1664">
        <f t="shared" si="79"/>
        <v>0</v>
      </c>
      <c r="U165" s="1664">
        <f t="shared" si="79"/>
        <v>0</v>
      </c>
      <c r="V165" s="1664">
        <f t="shared" si="79"/>
        <v>0</v>
      </c>
      <c r="W165" s="1664">
        <f t="shared" si="79"/>
        <v>0</v>
      </c>
      <c r="X165" s="1664">
        <f t="shared" si="79"/>
        <v>0</v>
      </c>
      <c r="Y165" s="1664">
        <f t="shared" si="79"/>
        <v>0</v>
      </c>
      <c r="Z165" s="1664">
        <f t="shared" si="79"/>
        <v>0</v>
      </c>
      <c r="AA165" s="1664">
        <f t="shared" si="79"/>
        <v>0</v>
      </c>
      <c r="AB165" s="1664">
        <f t="shared" si="79"/>
        <v>0</v>
      </c>
      <c r="AC165" s="1664">
        <f t="shared" si="79"/>
        <v>0</v>
      </c>
      <c r="AD165" s="1664">
        <f t="shared" si="79"/>
        <v>0</v>
      </c>
      <c r="AE165" s="1664">
        <f t="shared" si="79"/>
        <v>0</v>
      </c>
      <c r="AF165" s="1664">
        <f t="shared" si="79"/>
        <v>0</v>
      </c>
    </row>
    <row r="166" spans="1:32">
      <c r="A166" s="903"/>
      <c r="B166" s="903"/>
      <c r="C166" s="963"/>
      <c r="D166" s="963"/>
      <c r="E166" s="903"/>
      <c r="F166" s="964"/>
      <c r="G166" s="965"/>
      <c r="H166" s="903"/>
      <c r="I166" s="966"/>
      <c r="J166" s="966"/>
      <c r="K166" s="966"/>
      <c r="L166" s="966"/>
      <c r="M166" s="966"/>
      <c r="N166" s="966"/>
      <c r="O166" s="966"/>
      <c r="P166" s="966"/>
      <c r="Q166" s="966"/>
      <c r="R166" s="966"/>
      <c r="S166" s="966"/>
      <c r="T166" s="966"/>
      <c r="U166" s="966"/>
      <c r="V166" s="966"/>
      <c r="W166" s="966"/>
      <c r="X166" s="966"/>
      <c r="Y166" s="966"/>
      <c r="Z166" s="966"/>
      <c r="AA166" s="966"/>
      <c r="AB166" s="966"/>
      <c r="AC166" s="966"/>
      <c r="AD166" s="966"/>
      <c r="AE166" s="966"/>
      <c r="AF166" s="966"/>
    </row>
    <row r="167" spans="1:32">
      <c r="A167" s="959" t="s">
        <v>570</v>
      </c>
      <c r="B167" s="880"/>
      <c r="C167" s="692"/>
      <c r="D167" s="963"/>
      <c r="E167" s="880"/>
      <c r="F167" s="961"/>
      <c r="G167" s="958"/>
      <c r="H167" s="880"/>
      <c r="I167" s="967"/>
      <c r="J167" s="967"/>
      <c r="K167" s="967"/>
      <c r="L167" s="967"/>
      <c r="M167" s="967"/>
      <c r="N167" s="967"/>
      <c r="O167" s="967"/>
      <c r="P167" s="967"/>
      <c r="Q167" s="967"/>
      <c r="R167" s="967"/>
      <c r="S167" s="967"/>
      <c r="T167" s="967"/>
      <c r="U167" s="967"/>
      <c r="V167" s="967"/>
      <c r="W167" s="967"/>
      <c r="X167" s="967"/>
      <c r="Y167" s="967"/>
      <c r="Z167" s="967"/>
      <c r="AA167" s="967"/>
      <c r="AB167" s="967"/>
      <c r="AC167" s="967"/>
      <c r="AD167" s="967"/>
      <c r="AE167" s="967"/>
      <c r="AF167" s="967"/>
    </row>
    <row r="168" spans="1:32">
      <c r="A168" s="1293" t="s">
        <v>909</v>
      </c>
      <c r="B168" s="945" t="str">
        <f>"Currency (USD-1, "&amp;curr2&amp;"-2)"</f>
        <v>Currency (USD-1, Reis-2)</v>
      </c>
      <c r="D168" s="968">
        <v>1</v>
      </c>
      <c r="I168" s="949"/>
      <c r="J168" s="949"/>
      <c r="K168" s="949"/>
      <c r="L168" s="949"/>
      <c r="M168" s="949"/>
      <c r="N168" s="949"/>
      <c r="O168" s="949"/>
      <c r="P168" s="949"/>
      <c r="Q168" s="949"/>
      <c r="R168" s="949"/>
      <c r="S168" s="949"/>
      <c r="T168" s="949"/>
      <c r="U168" s="949"/>
      <c r="V168" s="949"/>
      <c r="W168" s="949"/>
      <c r="X168" s="949"/>
      <c r="Y168" s="949"/>
      <c r="Z168" s="949"/>
      <c r="AA168" s="949"/>
      <c r="AB168" s="949"/>
      <c r="AC168" s="949"/>
      <c r="AD168" s="949"/>
      <c r="AE168" s="949"/>
      <c r="AF168" s="949"/>
    </row>
    <row r="169" spans="1:32">
      <c r="B169" s="950" t="s">
        <v>571</v>
      </c>
      <c r="C169" s="861"/>
      <c r="D169" s="951">
        <v>1</v>
      </c>
    </row>
    <row r="170" spans="1:32">
      <c r="B170" s="927" t="s">
        <v>572</v>
      </c>
      <c r="D170" s="952">
        <v>0</v>
      </c>
      <c r="G170" s="927" t="s">
        <v>573</v>
      </c>
      <c r="I170" s="1665">
        <f>+$D$152*IF($D168=1,CHOOSE($D$151,1,I146),CHOOSE($D$151,1,I161))</f>
        <v>0</v>
      </c>
      <c r="J170" s="1665">
        <f t="shared" ref="J170:AF170" si="80">+$D$152*IF($D168=1,CHOOSE($D$151,1,J146),CHOOSE($D$151,1,J161))</f>
        <v>0</v>
      </c>
      <c r="K170" s="1665">
        <f t="shared" si="80"/>
        <v>0</v>
      </c>
      <c r="L170" s="1665">
        <f t="shared" si="80"/>
        <v>0</v>
      </c>
      <c r="M170" s="1665">
        <f t="shared" si="80"/>
        <v>0</v>
      </c>
      <c r="N170" s="1665">
        <f t="shared" si="80"/>
        <v>0</v>
      </c>
      <c r="O170" s="1665">
        <f t="shared" si="80"/>
        <v>0</v>
      </c>
      <c r="P170" s="1665">
        <f t="shared" si="80"/>
        <v>0</v>
      </c>
      <c r="Q170" s="1665">
        <f t="shared" si="80"/>
        <v>0</v>
      </c>
      <c r="R170" s="1665">
        <f t="shared" si="80"/>
        <v>0</v>
      </c>
      <c r="S170" s="1665">
        <f t="shared" si="80"/>
        <v>0</v>
      </c>
      <c r="T170" s="1665">
        <f t="shared" si="80"/>
        <v>0</v>
      </c>
      <c r="U170" s="1665">
        <f t="shared" si="80"/>
        <v>0</v>
      </c>
      <c r="V170" s="1665">
        <f t="shared" si="80"/>
        <v>0</v>
      </c>
      <c r="W170" s="1665">
        <f t="shared" si="80"/>
        <v>0</v>
      </c>
      <c r="X170" s="1665">
        <f t="shared" si="80"/>
        <v>0</v>
      </c>
      <c r="Y170" s="1665">
        <f t="shared" si="80"/>
        <v>0</v>
      </c>
      <c r="Z170" s="1665">
        <f t="shared" si="80"/>
        <v>0</v>
      </c>
      <c r="AA170" s="1665">
        <f t="shared" si="80"/>
        <v>0</v>
      </c>
      <c r="AB170" s="1665">
        <f t="shared" si="80"/>
        <v>0</v>
      </c>
      <c r="AC170" s="1665">
        <f t="shared" si="80"/>
        <v>0</v>
      </c>
      <c r="AD170" s="1665">
        <f t="shared" si="80"/>
        <v>0</v>
      </c>
      <c r="AE170" s="1665">
        <f t="shared" si="80"/>
        <v>0</v>
      </c>
      <c r="AF170" s="1665">
        <f t="shared" si="80"/>
        <v>0</v>
      </c>
    </row>
    <row r="171" spans="1:32">
      <c r="G171" s="954" t="s">
        <v>574</v>
      </c>
      <c r="I171" s="1666">
        <f t="array" ref="I171:AC171" ca="1">+TRANSPOSE(CALC!HT17:HT37)</f>
        <v>35.838349630442266</v>
      </c>
      <c r="J171" s="1666">
        <f ca="1"/>
        <v>34.904436933798991</v>
      </c>
      <c r="K171" s="1666">
        <f ca="1"/>
        <v>38.400495046907281</v>
      </c>
      <c r="L171" s="1666">
        <f ca="1"/>
        <v>40.247438355339433</v>
      </c>
      <c r="M171" s="1666">
        <f ca="1"/>
        <v>40.496234269984114</v>
      </c>
      <c r="N171" s="1666">
        <f ca="1"/>
        <v>40.071591056106875</v>
      </c>
      <c r="O171" s="1666">
        <f ca="1"/>
        <v>40.416637908782057</v>
      </c>
      <c r="P171" s="1666">
        <f ca="1"/>
        <v>43.101937986288448</v>
      </c>
      <c r="Q171" s="1666">
        <f ca="1"/>
        <v>43.417699815682532</v>
      </c>
      <c r="R171" s="1666">
        <f ca="1"/>
        <v>44.371744617265641</v>
      </c>
      <c r="S171" s="1666">
        <f ca="1"/>
        <v>45.359121239681237</v>
      </c>
      <c r="T171" s="1666">
        <f ca="1"/>
        <v>44.484223266639553</v>
      </c>
      <c r="U171" s="1666">
        <f ca="1"/>
        <v>47.58492288830147</v>
      </c>
      <c r="V171" s="1666">
        <f ca="1"/>
        <v>45.436996735902618</v>
      </c>
      <c r="W171" s="1666">
        <f ca="1"/>
        <v>45.943415666298257</v>
      </c>
      <c r="X171" s="1666">
        <f ca="1"/>
        <v>46.565636052965488</v>
      </c>
      <c r="Y171" s="1666">
        <f ca="1"/>
        <v>47.424643699255576</v>
      </c>
      <c r="Z171" s="1666">
        <f ca="1"/>
        <v>48.316074641510312</v>
      </c>
      <c r="AA171" s="1666">
        <f ca="1"/>
        <v>49.863071812905972</v>
      </c>
      <c r="AB171" s="1666">
        <f ca="1"/>
        <v>53.858237935706761</v>
      </c>
      <c r="AC171" s="1666">
        <v>0</v>
      </c>
      <c r="AD171" s="1666">
        <v>0</v>
      </c>
      <c r="AE171" s="1666">
        <v>0</v>
      </c>
      <c r="AF171" s="1666">
        <v>0</v>
      </c>
    </row>
    <row r="172" spans="1:32">
      <c r="G172" s="954" t="s">
        <v>574</v>
      </c>
      <c r="I172" s="1666">
        <v>0</v>
      </c>
      <c r="J172" s="1666">
        <v>0</v>
      </c>
      <c r="K172" s="1666">
        <v>0</v>
      </c>
      <c r="L172" s="1666">
        <v>0</v>
      </c>
      <c r="M172" s="1666">
        <v>0</v>
      </c>
      <c r="N172" s="1666">
        <v>0</v>
      </c>
      <c r="O172" s="1666">
        <v>0</v>
      </c>
      <c r="P172" s="1666">
        <v>0</v>
      </c>
      <c r="Q172" s="1666">
        <v>0</v>
      </c>
      <c r="R172" s="1666">
        <v>0</v>
      </c>
      <c r="S172" s="1666">
        <v>0</v>
      </c>
      <c r="T172" s="1666">
        <v>0</v>
      </c>
      <c r="U172" s="1666">
        <v>0</v>
      </c>
      <c r="V172" s="1666">
        <v>0</v>
      </c>
      <c r="W172" s="1666">
        <v>0</v>
      </c>
      <c r="X172" s="1666">
        <v>0</v>
      </c>
      <c r="Y172" s="1666">
        <v>0</v>
      </c>
      <c r="Z172" s="1666">
        <v>0</v>
      </c>
      <c r="AA172" s="1666">
        <v>0</v>
      </c>
      <c r="AB172" s="1666">
        <v>0</v>
      </c>
      <c r="AC172" s="1666">
        <v>0</v>
      </c>
      <c r="AD172" s="1666">
        <v>0</v>
      </c>
      <c r="AE172" s="1666">
        <v>0</v>
      </c>
      <c r="AF172" s="1666">
        <v>0</v>
      </c>
    </row>
    <row r="173" spans="1:32">
      <c r="G173" s="954" t="s">
        <v>574</v>
      </c>
      <c r="I173" s="1666">
        <v>0</v>
      </c>
      <c r="J173" s="1666">
        <v>0</v>
      </c>
      <c r="K173" s="1666">
        <v>0</v>
      </c>
      <c r="L173" s="1666">
        <v>0</v>
      </c>
      <c r="M173" s="1666">
        <v>0</v>
      </c>
      <c r="N173" s="1666">
        <v>0</v>
      </c>
      <c r="O173" s="1666">
        <v>0</v>
      </c>
      <c r="P173" s="1666">
        <v>0</v>
      </c>
      <c r="Q173" s="1666">
        <v>0</v>
      </c>
      <c r="R173" s="1666">
        <v>0</v>
      </c>
      <c r="S173" s="1666">
        <v>0</v>
      </c>
      <c r="T173" s="1666">
        <v>0</v>
      </c>
      <c r="U173" s="1666">
        <v>0</v>
      </c>
      <c r="V173" s="1666">
        <v>0</v>
      </c>
      <c r="W173" s="1666">
        <v>0</v>
      </c>
      <c r="X173" s="1666">
        <v>0</v>
      </c>
      <c r="Y173" s="1666">
        <v>0</v>
      </c>
      <c r="Z173" s="1666">
        <v>0</v>
      </c>
      <c r="AA173" s="1666">
        <v>0</v>
      </c>
      <c r="AB173" s="1666">
        <v>0</v>
      </c>
      <c r="AC173" s="1666">
        <v>0</v>
      </c>
      <c r="AD173" s="1666">
        <v>0</v>
      </c>
      <c r="AE173" s="1666">
        <v>0</v>
      </c>
      <c r="AF173" s="1666">
        <v>0</v>
      </c>
    </row>
    <row r="174" spans="1:32">
      <c r="G174" s="954" t="s">
        <v>574</v>
      </c>
      <c r="I174" s="1666">
        <v>0</v>
      </c>
      <c r="J174" s="1666">
        <v>0</v>
      </c>
      <c r="K174" s="1666">
        <v>0</v>
      </c>
      <c r="L174" s="1666">
        <v>0</v>
      </c>
      <c r="M174" s="1666">
        <v>0</v>
      </c>
      <c r="N174" s="1666">
        <v>0</v>
      </c>
      <c r="O174" s="1666">
        <v>0</v>
      </c>
      <c r="P174" s="1666">
        <v>0</v>
      </c>
      <c r="Q174" s="1666">
        <v>0</v>
      </c>
      <c r="R174" s="1666">
        <v>0</v>
      </c>
      <c r="S174" s="1666">
        <v>0</v>
      </c>
      <c r="T174" s="1666">
        <v>0</v>
      </c>
      <c r="U174" s="1666">
        <v>0</v>
      </c>
      <c r="V174" s="1666">
        <v>0</v>
      </c>
      <c r="W174" s="1666">
        <v>0</v>
      </c>
      <c r="X174" s="1666">
        <v>0</v>
      </c>
      <c r="Y174" s="1666">
        <v>0</v>
      </c>
      <c r="Z174" s="1666">
        <v>0</v>
      </c>
      <c r="AA174" s="1666">
        <v>0</v>
      </c>
      <c r="AB174" s="1666">
        <v>0</v>
      </c>
      <c r="AC174" s="1666">
        <v>0</v>
      </c>
      <c r="AD174" s="1666">
        <v>0</v>
      </c>
      <c r="AE174" s="1666">
        <v>0</v>
      </c>
      <c r="AF174" s="1666">
        <v>0</v>
      </c>
    </row>
    <row r="175" spans="1:32">
      <c r="G175" s="956" t="s">
        <v>575</v>
      </c>
      <c r="I175" s="1667">
        <f t="shared" ref="I175:AF175" ca="1" si="81">SUM(I170:I174)</f>
        <v>35.838349630442266</v>
      </c>
      <c r="J175" s="1667">
        <f t="shared" ca="1" si="81"/>
        <v>34.904436933798991</v>
      </c>
      <c r="K175" s="1667">
        <f t="shared" ca="1" si="81"/>
        <v>38.400495046907281</v>
      </c>
      <c r="L175" s="1667">
        <f t="shared" ca="1" si="81"/>
        <v>40.247438355339433</v>
      </c>
      <c r="M175" s="1667">
        <f t="shared" ca="1" si="81"/>
        <v>40.496234269984114</v>
      </c>
      <c r="N175" s="1667">
        <f t="shared" ca="1" si="81"/>
        <v>40.071591056106875</v>
      </c>
      <c r="O175" s="1667">
        <f t="shared" ca="1" si="81"/>
        <v>40.416637908782057</v>
      </c>
      <c r="P175" s="1667">
        <f t="shared" ca="1" si="81"/>
        <v>43.101937986288448</v>
      </c>
      <c r="Q175" s="1667">
        <f t="shared" ca="1" si="81"/>
        <v>43.417699815682532</v>
      </c>
      <c r="R175" s="1667">
        <f t="shared" ca="1" si="81"/>
        <v>44.371744617265641</v>
      </c>
      <c r="S175" s="1667">
        <f t="shared" ca="1" si="81"/>
        <v>45.359121239681237</v>
      </c>
      <c r="T175" s="1667">
        <f t="shared" ca="1" si="81"/>
        <v>44.484223266639553</v>
      </c>
      <c r="U175" s="1667">
        <f t="shared" ca="1" si="81"/>
        <v>47.58492288830147</v>
      </c>
      <c r="V175" s="1667">
        <f t="shared" ca="1" si="81"/>
        <v>45.436996735902618</v>
      </c>
      <c r="W175" s="1667">
        <f t="shared" ca="1" si="81"/>
        <v>45.943415666298257</v>
      </c>
      <c r="X175" s="1667">
        <f t="shared" ca="1" si="81"/>
        <v>46.565636052965488</v>
      </c>
      <c r="Y175" s="1667">
        <f t="shared" ca="1" si="81"/>
        <v>47.424643699255576</v>
      </c>
      <c r="Z175" s="1667">
        <f t="shared" ca="1" si="81"/>
        <v>48.316074641510312</v>
      </c>
      <c r="AA175" s="1667">
        <f t="shared" ca="1" si="81"/>
        <v>49.863071812905972</v>
      </c>
      <c r="AB175" s="1667">
        <f t="shared" ca="1" si="81"/>
        <v>53.858237935706761</v>
      </c>
      <c r="AC175" s="1667">
        <f t="shared" si="81"/>
        <v>0</v>
      </c>
      <c r="AD175" s="1667">
        <f t="shared" si="81"/>
        <v>0</v>
      </c>
      <c r="AE175" s="1667">
        <f t="shared" si="81"/>
        <v>0</v>
      </c>
      <c r="AF175" s="1667">
        <f t="shared" si="81"/>
        <v>0</v>
      </c>
    </row>
    <row r="176" spans="1:32">
      <c r="G176" s="869" t="s">
        <v>576</v>
      </c>
      <c r="I176" s="1667">
        <f t="shared" ref="I176:AF176" ca="1" si="82">IF($D168=1,I175,+I175*I$138)</f>
        <v>35.838349630442266</v>
      </c>
      <c r="J176" s="1667">
        <f t="shared" ca="1" si="82"/>
        <v>34.904436933798991</v>
      </c>
      <c r="K176" s="1667">
        <f t="shared" ca="1" si="82"/>
        <v>38.400495046907281</v>
      </c>
      <c r="L176" s="1667">
        <f t="shared" ca="1" si="82"/>
        <v>40.247438355339433</v>
      </c>
      <c r="M176" s="1667">
        <f t="shared" ca="1" si="82"/>
        <v>40.496234269984114</v>
      </c>
      <c r="N176" s="1667">
        <f t="shared" ca="1" si="82"/>
        <v>40.071591056106875</v>
      </c>
      <c r="O176" s="1667">
        <f t="shared" ca="1" si="82"/>
        <v>40.416637908782057</v>
      </c>
      <c r="P176" s="1667">
        <f t="shared" ca="1" si="82"/>
        <v>43.101937986288448</v>
      </c>
      <c r="Q176" s="1667">
        <f t="shared" ca="1" si="82"/>
        <v>43.417699815682532</v>
      </c>
      <c r="R176" s="1667">
        <f t="shared" ca="1" si="82"/>
        <v>44.371744617265641</v>
      </c>
      <c r="S176" s="1667">
        <f t="shared" ca="1" si="82"/>
        <v>45.359121239681237</v>
      </c>
      <c r="T176" s="1667">
        <f t="shared" ca="1" si="82"/>
        <v>44.484223266639553</v>
      </c>
      <c r="U176" s="1667">
        <f t="shared" ca="1" si="82"/>
        <v>47.58492288830147</v>
      </c>
      <c r="V176" s="1667">
        <f t="shared" ca="1" si="82"/>
        <v>45.436996735902618</v>
      </c>
      <c r="W176" s="1667">
        <f t="shared" ca="1" si="82"/>
        <v>45.943415666298257</v>
      </c>
      <c r="X176" s="1667">
        <f t="shared" ca="1" si="82"/>
        <v>46.565636052965488</v>
      </c>
      <c r="Y176" s="1667">
        <f t="shared" ca="1" si="82"/>
        <v>47.424643699255576</v>
      </c>
      <c r="Z176" s="1667">
        <f t="shared" ca="1" si="82"/>
        <v>48.316074641510312</v>
      </c>
      <c r="AA176" s="1667">
        <f t="shared" ca="1" si="82"/>
        <v>49.863071812905972</v>
      </c>
      <c r="AB176" s="1667">
        <f t="shared" ca="1" si="82"/>
        <v>53.858237935706761</v>
      </c>
      <c r="AC176" s="1667">
        <f t="shared" si="82"/>
        <v>0</v>
      </c>
      <c r="AD176" s="1667">
        <f t="shared" si="82"/>
        <v>0</v>
      </c>
      <c r="AE176" s="1667">
        <f t="shared" si="82"/>
        <v>0</v>
      </c>
      <c r="AF176" s="1667">
        <f t="shared" si="82"/>
        <v>0</v>
      </c>
    </row>
    <row r="178" spans="1:32" ht="12" thickBot="1"/>
    <row r="179" spans="1:32" ht="12.75" thickTop="1" thickBot="1">
      <c r="A179" s="957" t="s">
        <v>577</v>
      </c>
      <c r="B179" s="880"/>
      <c r="C179" s="880"/>
      <c r="D179" s="880"/>
      <c r="E179" s="880"/>
      <c r="F179" s="880"/>
      <c r="G179" s="958"/>
      <c r="H179" s="880"/>
      <c r="I179" s="842">
        <f t="shared" ref="I179:AF179" si="83">+I$3</f>
        <v>37986</v>
      </c>
      <c r="J179" s="843">
        <f t="shared" si="83"/>
        <v>2004</v>
      </c>
      <c r="K179" s="843">
        <f t="shared" si="83"/>
        <v>2005</v>
      </c>
      <c r="L179" s="843">
        <f t="shared" si="83"/>
        <v>2006</v>
      </c>
      <c r="M179" s="843">
        <f t="shared" si="83"/>
        <v>2007</v>
      </c>
      <c r="N179" s="843">
        <f t="shared" si="83"/>
        <v>2008</v>
      </c>
      <c r="O179" s="843">
        <f t="shared" si="83"/>
        <v>2009</v>
      </c>
      <c r="P179" s="843">
        <f t="shared" si="83"/>
        <v>2010</v>
      </c>
      <c r="Q179" s="843">
        <f t="shared" si="83"/>
        <v>2011</v>
      </c>
      <c r="R179" s="843">
        <f t="shared" si="83"/>
        <v>2012</v>
      </c>
      <c r="S179" s="843">
        <f t="shared" si="83"/>
        <v>2013</v>
      </c>
      <c r="T179" s="843">
        <f t="shared" si="83"/>
        <v>2014</v>
      </c>
      <c r="U179" s="843">
        <f t="shared" si="83"/>
        <v>2015</v>
      </c>
      <c r="V179" s="843">
        <f t="shared" si="83"/>
        <v>2016</v>
      </c>
      <c r="W179" s="843">
        <f t="shared" si="83"/>
        <v>2017</v>
      </c>
      <c r="X179" s="843">
        <f t="shared" si="83"/>
        <v>2018</v>
      </c>
      <c r="Y179" s="843">
        <f t="shared" si="83"/>
        <v>2019</v>
      </c>
      <c r="Z179" s="843">
        <f t="shared" si="83"/>
        <v>2020</v>
      </c>
      <c r="AA179" s="843">
        <f t="shared" si="83"/>
        <v>2021</v>
      </c>
      <c r="AB179" s="843">
        <f t="shared" si="83"/>
        <v>2022</v>
      </c>
      <c r="AC179" s="843">
        <f t="shared" si="83"/>
        <v>2023</v>
      </c>
      <c r="AD179" s="843">
        <f t="shared" si="83"/>
        <v>2024</v>
      </c>
      <c r="AE179" s="843">
        <f t="shared" si="83"/>
        <v>2025</v>
      </c>
      <c r="AF179" s="843">
        <f t="shared" si="83"/>
        <v>2026</v>
      </c>
    </row>
    <row r="180" spans="1:32" ht="12" thickTop="1">
      <c r="A180" s="959"/>
      <c r="B180" s="880"/>
      <c r="C180" s="880"/>
      <c r="D180" s="880"/>
      <c r="E180" s="880"/>
      <c r="F180" s="880"/>
      <c r="G180" s="958"/>
      <c r="H180" s="880"/>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row>
    <row r="181" spans="1:32">
      <c r="A181" s="960" t="str">
        <f>A168</f>
        <v>Market Revs</v>
      </c>
      <c r="C181" s="665"/>
      <c r="D181" s="665"/>
      <c r="E181" s="880"/>
      <c r="F181" s="880" t="s">
        <v>399</v>
      </c>
      <c r="G181" s="958"/>
      <c r="H181" s="880"/>
      <c r="I181" s="889">
        <f t="array" ref="I181:AC181" ca="1">+TRANSPOSE(CALC!HS17:HS37)/1000</f>
        <v>3212.64</v>
      </c>
      <c r="J181" s="889">
        <f ca="1"/>
        <v>6161.0519999999997</v>
      </c>
      <c r="K181" s="889">
        <f ca="1"/>
        <v>6143.5919999999996</v>
      </c>
      <c r="L181" s="889">
        <f ca="1"/>
        <v>6091.2120000000004</v>
      </c>
      <c r="M181" s="889">
        <f ca="1"/>
        <v>6143.5919999999996</v>
      </c>
      <c r="N181" s="889">
        <f ca="1"/>
        <v>6151.74</v>
      </c>
      <c r="O181" s="889">
        <f ca="1"/>
        <v>6006.24</v>
      </c>
      <c r="P181" s="889">
        <f ca="1"/>
        <v>6320.52</v>
      </c>
      <c r="Q181" s="889">
        <f ca="1"/>
        <v>6320.52</v>
      </c>
      <c r="R181" s="889">
        <f ca="1"/>
        <v>6285.6</v>
      </c>
      <c r="S181" s="889">
        <f ca="1"/>
        <v>6320.52</v>
      </c>
      <c r="T181" s="889">
        <f ca="1"/>
        <v>6320.52</v>
      </c>
      <c r="U181" s="889">
        <f ca="1"/>
        <v>6006.24</v>
      </c>
      <c r="V181" s="889">
        <f ca="1"/>
        <v>6337.98</v>
      </c>
      <c r="W181" s="889">
        <f ca="1"/>
        <v>6320.52</v>
      </c>
      <c r="X181" s="889">
        <f ca="1"/>
        <v>6268.14</v>
      </c>
      <c r="Y181" s="889">
        <f ca="1"/>
        <v>6320.52</v>
      </c>
      <c r="Z181" s="889">
        <f ca="1"/>
        <v>6165.7079999999996</v>
      </c>
      <c r="AA181" s="889">
        <f ca="1"/>
        <v>5838.6239999999998</v>
      </c>
      <c r="AB181" s="889">
        <f ca="1"/>
        <v>5026.152</v>
      </c>
      <c r="AC181" s="889">
        <v>0</v>
      </c>
      <c r="AD181" s="889">
        <v>0</v>
      </c>
      <c r="AE181" s="889">
        <v>0</v>
      </c>
      <c r="AF181" s="889">
        <v>0</v>
      </c>
    </row>
    <row r="182" spans="1:32">
      <c r="A182" s="880"/>
      <c r="C182" s="665"/>
      <c r="D182" s="665"/>
      <c r="E182" s="880"/>
      <c r="F182" s="880" t="s">
        <v>191</v>
      </c>
      <c r="G182" s="958"/>
      <c r="H182" s="880"/>
      <c r="I182" s="907">
        <f t="shared" ref="I182:AC182" ca="1" si="84">+I176</f>
        <v>35.838349630442266</v>
      </c>
      <c r="J182" s="907">
        <f t="shared" ca="1" si="84"/>
        <v>34.904436933798991</v>
      </c>
      <c r="K182" s="907">
        <f t="shared" ca="1" si="84"/>
        <v>38.400495046907281</v>
      </c>
      <c r="L182" s="907">
        <f t="shared" ca="1" si="84"/>
        <v>40.247438355339433</v>
      </c>
      <c r="M182" s="907">
        <f t="shared" ca="1" si="84"/>
        <v>40.496234269984114</v>
      </c>
      <c r="N182" s="907">
        <f t="shared" ca="1" si="84"/>
        <v>40.071591056106875</v>
      </c>
      <c r="O182" s="907">
        <f t="shared" ca="1" si="84"/>
        <v>40.416637908782057</v>
      </c>
      <c r="P182" s="907">
        <f t="shared" ca="1" si="84"/>
        <v>43.101937986288448</v>
      </c>
      <c r="Q182" s="907">
        <f t="shared" ca="1" si="84"/>
        <v>43.417699815682532</v>
      </c>
      <c r="R182" s="907">
        <f t="shared" ca="1" si="84"/>
        <v>44.371744617265641</v>
      </c>
      <c r="S182" s="907">
        <f t="shared" ca="1" si="84"/>
        <v>45.359121239681237</v>
      </c>
      <c r="T182" s="907">
        <f t="shared" ca="1" si="84"/>
        <v>44.484223266639553</v>
      </c>
      <c r="U182" s="907">
        <f t="shared" ca="1" si="84"/>
        <v>47.58492288830147</v>
      </c>
      <c r="V182" s="907">
        <f t="shared" ca="1" si="84"/>
        <v>45.436996735902618</v>
      </c>
      <c r="W182" s="907">
        <f t="shared" ca="1" si="84"/>
        <v>45.943415666298257</v>
      </c>
      <c r="X182" s="907">
        <f t="shared" ca="1" si="84"/>
        <v>46.565636052965488</v>
      </c>
      <c r="Y182" s="907">
        <f t="shared" ca="1" si="84"/>
        <v>47.424643699255576</v>
      </c>
      <c r="Z182" s="907">
        <f t="shared" ca="1" si="84"/>
        <v>48.316074641510312</v>
      </c>
      <c r="AA182" s="907">
        <f t="shared" ca="1" si="84"/>
        <v>49.863071812905972</v>
      </c>
      <c r="AB182" s="907">
        <f t="shared" ca="1" si="84"/>
        <v>53.858237935706761</v>
      </c>
      <c r="AC182" s="907">
        <f t="shared" si="84"/>
        <v>0</v>
      </c>
      <c r="AD182" s="907">
        <f>+AD176</f>
        <v>0</v>
      </c>
      <c r="AE182" s="907">
        <f>+AE176</f>
        <v>0</v>
      </c>
      <c r="AF182" s="907">
        <f>+AF176</f>
        <v>0</v>
      </c>
    </row>
    <row r="183" spans="1:32">
      <c r="A183" s="880"/>
      <c r="C183" s="665"/>
      <c r="D183" s="665"/>
      <c r="E183" s="880"/>
      <c r="F183" s="961" t="s">
        <v>579</v>
      </c>
      <c r="G183" s="958"/>
      <c r="H183" s="880"/>
      <c r="I183" s="1664">
        <f t="shared" ref="I183:AF183" ca="1" si="85">+I182*I181</f>
        <v>115135.71555674403</v>
      </c>
      <c r="J183" s="1664">
        <f t="shared" ca="1" si="85"/>
        <v>215048.05097985614</v>
      </c>
      <c r="K183" s="1664">
        <f t="shared" ca="1" si="85"/>
        <v>235916.97416621918</v>
      </c>
      <c r="L183" s="1664">
        <f t="shared" ca="1" si="85"/>
        <v>245155.67947930383</v>
      </c>
      <c r="M183" s="1664">
        <f t="shared" ca="1" si="85"/>
        <v>248792.34089120023</v>
      </c>
      <c r="N183" s="1664">
        <f t="shared" ca="1" si="85"/>
        <v>246510.00956349491</v>
      </c>
      <c r="O183" s="1664">
        <f t="shared" ca="1" si="85"/>
        <v>242752.02727324315</v>
      </c>
      <c r="P183" s="1664">
        <f t="shared" ca="1" si="85"/>
        <v>272426.66108109587</v>
      </c>
      <c r="Q183" s="1664">
        <f t="shared" ca="1" si="85"/>
        <v>274422.44003901776</v>
      </c>
      <c r="R183" s="1664">
        <f t="shared" ca="1" si="85"/>
        <v>278903.0379662849</v>
      </c>
      <c r="S183" s="1664">
        <f t="shared" ca="1" si="85"/>
        <v>286693.23297783005</v>
      </c>
      <c r="T183" s="1664">
        <f t="shared" ca="1" si="85"/>
        <v>281163.42284126068</v>
      </c>
      <c r="U183" s="1664">
        <f t="shared" ca="1" si="85"/>
        <v>285806.46724863182</v>
      </c>
      <c r="V183" s="1664">
        <f t="shared" ca="1" si="85"/>
        <v>287978.77657221607</v>
      </c>
      <c r="W183" s="1664">
        <f t="shared" ca="1" si="85"/>
        <v>290386.2775871515</v>
      </c>
      <c r="X183" s="1664">
        <f t="shared" ca="1" si="85"/>
        <v>291879.92596903513</v>
      </c>
      <c r="Y183" s="1664">
        <f t="shared" ca="1" si="85"/>
        <v>299748.40899401886</v>
      </c>
      <c r="Z183" s="1664">
        <f t="shared" ca="1" si="85"/>
        <v>297902.80794575723</v>
      </c>
      <c r="AA183" s="1664">
        <f t="shared" ca="1" si="85"/>
        <v>291131.72780055628</v>
      </c>
      <c r="AB183" s="1664">
        <f t="shared" ca="1" si="85"/>
        <v>270699.69031702843</v>
      </c>
      <c r="AC183" s="1664">
        <f t="shared" si="85"/>
        <v>0</v>
      </c>
      <c r="AD183" s="1664">
        <f t="shared" si="85"/>
        <v>0</v>
      </c>
      <c r="AE183" s="1664">
        <f t="shared" si="85"/>
        <v>0</v>
      </c>
      <c r="AF183" s="1664">
        <f t="shared" si="85"/>
        <v>0</v>
      </c>
    </row>
    <row r="184" spans="1:32">
      <c r="A184" s="880"/>
      <c r="C184" s="665"/>
      <c r="D184" s="665"/>
      <c r="E184" s="880"/>
      <c r="F184" s="961"/>
      <c r="G184" s="958"/>
      <c r="H184" s="880"/>
      <c r="I184" s="967"/>
      <c r="J184" s="967"/>
      <c r="K184" s="967"/>
      <c r="L184" s="967"/>
      <c r="M184" s="967"/>
      <c r="N184" s="967"/>
      <c r="O184" s="967"/>
      <c r="P184" s="967"/>
      <c r="Q184" s="967"/>
      <c r="R184" s="967"/>
      <c r="S184" s="967"/>
      <c r="T184" s="967"/>
      <c r="U184" s="967"/>
      <c r="V184" s="967"/>
      <c r="W184" s="967"/>
      <c r="X184" s="967"/>
      <c r="Y184" s="967"/>
      <c r="Z184" s="967"/>
      <c r="AA184" s="967"/>
      <c r="AB184" s="967"/>
      <c r="AC184" s="967"/>
      <c r="AD184" s="967"/>
      <c r="AE184" s="967"/>
      <c r="AF184" s="967"/>
    </row>
    <row r="185" spans="1:32">
      <c r="A185" s="960" t="s">
        <v>1146</v>
      </c>
      <c r="C185" s="665"/>
      <c r="D185" s="665"/>
      <c r="E185" s="880"/>
      <c r="F185" s="961"/>
      <c r="G185" s="958"/>
      <c r="H185" s="880"/>
      <c r="I185" s="1726">
        <f t="array" ref="I185:AF185">CALC!HY17:HY40/1000</f>
        <v>0</v>
      </c>
      <c r="J185" s="1726">
        <v>0</v>
      </c>
      <c r="K185" s="1726">
        <v>0</v>
      </c>
      <c r="L185" s="1726">
        <v>0</v>
      </c>
      <c r="M185" s="1726">
        <v>0</v>
      </c>
      <c r="N185" s="1726">
        <v>0</v>
      </c>
      <c r="O185" s="1726">
        <v>0</v>
      </c>
      <c r="P185" s="1726">
        <v>0</v>
      </c>
      <c r="Q185" s="1726">
        <v>0</v>
      </c>
      <c r="R185" s="1726">
        <v>0</v>
      </c>
      <c r="S185" s="1726">
        <v>0</v>
      </c>
      <c r="T185" s="1726">
        <v>0</v>
      </c>
      <c r="U185" s="1726">
        <v>0</v>
      </c>
      <c r="V185" s="1726">
        <v>0</v>
      </c>
      <c r="W185" s="1726">
        <v>0</v>
      </c>
      <c r="X185" s="1726">
        <v>0</v>
      </c>
      <c r="Y185" s="1726">
        <v>0</v>
      </c>
      <c r="Z185" s="1726">
        <v>0</v>
      </c>
      <c r="AA185" s="1726">
        <v>0</v>
      </c>
      <c r="AB185" s="1726">
        <v>0</v>
      </c>
      <c r="AC185" s="1726">
        <v>0</v>
      </c>
      <c r="AD185" s="1726">
        <v>0</v>
      </c>
      <c r="AE185" s="1726">
        <v>0</v>
      </c>
      <c r="AF185" s="1726">
        <v>0</v>
      </c>
    </row>
    <row r="186" spans="1:32">
      <c r="A186" s="1841" t="s">
        <v>1248</v>
      </c>
      <c r="C186" s="665"/>
      <c r="D186" s="665"/>
      <c r="E186" s="880"/>
      <c r="F186" s="961"/>
      <c r="G186" s="958"/>
      <c r="H186" s="880"/>
      <c r="I186" s="1842">
        <f t="array" ref="I186:AF186">TRANSPOSE(CALC!IJ17:IJ40)/1000</f>
        <v>0</v>
      </c>
      <c r="J186" s="1842">
        <v>0</v>
      </c>
      <c r="K186" s="1842">
        <v>0</v>
      </c>
      <c r="L186" s="1842">
        <v>0</v>
      </c>
      <c r="M186" s="1842">
        <v>0</v>
      </c>
      <c r="N186" s="1842">
        <v>0</v>
      </c>
      <c r="O186" s="1842">
        <v>0</v>
      </c>
      <c r="P186" s="1842">
        <v>0</v>
      </c>
      <c r="Q186" s="1842">
        <v>0</v>
      </c>
      <c r="R186" s="1842">
        <v>0</v>
      </c>
      <c r="S186" s="1842">
        <v>0</v>
      </c>
      <c r="T186" s="1842">
        <v>0</v>
      </c>
      <c r="U186" s="1842">
        <v>0</v>
      </c>
      <c r="V186" s="1842">
        <v>0</v>
      </c>
      <c r="W186" s="1842">
        <v>0</v>
      </c>
      <c r="X186" s="1842">
        <v>0</v>
      </c>
      <c r="Y186" s="1842">
        <v>0</v>
      </c>
      <c r="Z186" s="1842">
        <v>0</v>
      </c>
      <c r="AA186" s="1842">
        <v>0</v>
      </c>
      <c r="AB186" s="1842">
        <v>0</v>
      </c>
      <c r="AC186" s="1842">
        <v>0</v>
      </c>
      <c r="AD186" s="1842">
        <v>0</v>
      </c>
      <c r="AE186" s="1842">
        <v>0</v>
      </c>
      <c r="AF186" s="1842">
        <v>0</v>
      </c>
    </row>
    <row r="187" spans="1:32">
      <c r="A187" s="880"/>
      <c r="C187" s="665"/>
      <c r="D187" s="665"/>
      <c r="E187" s="880"/>
      <c r="F187" s="961"/>
      <c r="G187" s="958"/>
      <c r="H187" s="880"/>
      <c r="I187" s="962"/>
      <c r="J187" s="962"/>
      <c r="K187" s="962"/>
      <c r="L187" s="962"/>
      <c r="M187" s="962"/>
      <c r="N187" s="962"/>
      <c r="O187" s="962"/>
      <c r="P187" s="962"/>
      <c r="Q187" s="962"/>
      <c r="R187" s="962"/>
      <c r="S187" s="962"/>
      <c r="T187" s="962"/>
      <c r="U187" s="962"/>
      <c r="V187" s="962"/>
      <c r="W187" s="962"/>
      <c r="X187" s="962"/>
      <c r="Y187" s="962"/>
      <c r="Z187" s="962"/>
      <c r="AA187" s="962"/>
      <c r="AB187" s="962"/>
      <c r="AC187" s="962"/>
      <c r="AD187" s="962"/>
      <c r="AE187" s="962"/>
      <c r="AF187" s="962"/>
    </row>
    <row r="188" spans="1:32">
      <c r="A188" s="969" t="s">
        <v>580</v>
      </c>
      <c r="B188" s="880"/>
      <c r="C188" s="880"/>
      <c r="D188" s="880"/>
      <c r="E188" s="1686">
        <v>0</v>
      </c>
      <c r="F188" s="1686">
        <v>0</v>
      </c>
      <c r="G188" s="1687">
        <v>0</v>
      </c>
      <c r="H188" s="1686">
        <v>0</v>
      </c>
      <c r="I188" s="1688">
        <f ca="1">+I165+I183+I185+I186</f>
        <v>115135.71555674403</v>
      </c>
      <c r="J188" s="1688">
        <f t="shared" ref="J188:AF188" ca="1" si="86">+J165+J183+J185+J186</f>
        <v>215048.05097985614</v>
      </c>
      <c r="K188" s="1688">
        <f t="shared" ca="1" si="86"/>
        <v>235916.97416621918</v>
      </c>
      <c r="L188" s="1688">
        <f t="shared" ca="1" si="86"/>
        <v>245155.67947930383</v>
      </c>
      <c r="M188" s="1688">
        <f t="shared" ca="1" si="86"/>
        <v>248792.34089120023</v>
      </c>
      <c r="N188" s="1688">
        <f t="shared" ca="1" si="86"/>
        <v>246510.00956349491</v>
      </c>
      <c r="O188" s="1688">
        <f t="shared" ca="1" si="86"/>
        <v>242752.02727324315</v>
      </c>
      <c r="P188" s="1688">
        <f t="shared" ca="1" si="86"/>
        <v>272426.66108109587</v>
      </c>
      <c r="Q188" s="1688">
        <f t="shared" ca="1" si="86"/>
        <v>274422.44003901776</v>
      </c>
      <c r="R188" s="1688">
        <f t="shared" ca="1" si="86"/>
        <v>278903.0379662849</v>
      </c>
      <c r="S188" s="1688">
        <f t="shared" ca="1" si="86"/>
        <v>286693.23297783005</v>
      </c>
      <c r="T188" s="1688">
        <f t="shared" ca="1" si="86"/>
        <v>281163.42284126068</v>
      </c>
      <c r="U188" s="1688">
        <f t="shared" ca="1" si="86"/>
        <v>285806.46724863182</v>
      </c>
      <c r="V188" s="1688">
        <f t="shared" ca="1" si="86"/>
        <v>287978.77657221607</v>
      </c>
      <c r="W188" s="1688">
        <f t="shared" ca="1" si="86"/>
        <v>290386.2775871515</v>
      </c>
      <c r="X188" s="1688">
        <f t="shared" ca="1" si="86"/>
        <v>291879.92596903513</v>
      </c>
      <c r="Y188" s="1688">
        <f t="shared" ca="1" si="86"/>
        <v>299748.40899401886</v>
      </c>
      <c r="Z188" s="1688">
        <f t="shared" ca="1" si="86"/>
        <v>297902.80794575723</v>
      </c>
      <c r="AA188" s="1688">
        <f t="shared" ca="1" si="86"/>
        <v>291131.72780055628</v>
      </c>
      <c r="AB188" s="1688">
        <f t="shared" ca="1" si="86"/>
        <v>270699.69031702843</v>
      </c>
      <c r="AC188" s="1688">
        <f t="shared" si="86"/>
        <v>0</v>
      </c>
      <c r="AD188" s="1688">
        <f t="shared" si="86"/>
        <v>0</v>
      </c>
      <c r="AE188" s="1688">
        <f t="shared" si="86"/>
        <v>0</v>
      </c>
      <c r="AF188" s="1688">
        <f t="shared" si="86"/>
        <v>0</v>
      </c>
    </row>
    <row r="189" spans="1:32" ht="12" thickBot="1"/>
    <row r="190" spans="1:32" ht="12.75" thickTop="1" thickBot="1">
      <c r="A190" s="839"/>
      <c r="B190" s="839"/>
      <c r="C190" s="839"/>
      <c r="D190" s="839"/>
      <c r="E190" s="839"/>
      <c r="F190" s="839"/>
      <c r="G190" s="839"/>
      <c r="H190" s="839"/>
      <c r="I190" s="839"/>
      <c r="J190" s="839"/>
      <c r="K190" s="839"/>
      <c r="L190" s="839"/>
      <c r="M190" s="839"/>
      <c r="N190" s="839"/>
      <c r="O190" s="839"/>
      <c r="P190" s="839"/>
      <c r="Q190" s="839"/>
      <c r="R190" s="839"/>
      <c r="S190" s="839"/>
      <c r="T190" s="839"/>
      <c r="U190" s="839"/>
      <c r="V190" s="839"/>
      <c r="W190" s="839"/>
      <c r="X190" s="839"/>
      <c r="Y190" s="839"/>
      <c r="Z190" s="839"/>
      <c r="AA190" s="839"/>
      <c r="AB190" s="839"/>
      <c r="AC190" s="839"/>
      <c r="AD190" s="839"/>
      <c r="AE190" s="839"/>
      <c r="AF190" s="839"/>
    </row>
    <row r="191" spans="1:32" ht="12.75" thickTop="1" thickBot="1">
      <c r="A191" s="970" t="s">
        <v>581</v>
      </c>
      <c r="C191" s="891"/>
      <c r="D191" s="971"/>
      <c r="E191" s="972"/>
      <c r="F191" s="972"/>
      <c r="G191" s="972"/>
      <c r="H191" s="973"/>
      <c r="I191" s="842">
        <f t="shared" ref="I191:R191" si="87">+I$3</f>
        <v>37986</v>
      </c>
      <c r="J191" s="843">
        <f t="shared" si="87"/>
        <v>2004</v>
      </c>
      <c r="K191" s="843">
        <f t="shared" si="87"/>
        <v>2005</v>
      </c>
      <c r="L191" s="843">
        <f t="shared" si="87"/>
        <v>2006</v>
      </c>
      <c r="M191" s="843">
        <f t="shared" si="87"/>
        <v>2007</v>
      </c>
      <c r="N191" s="843">
        <f t="shared" si="87"/>
        <v>2008</v>
      </c>
      <c r="O191" s="843">
        <f t="shared" si="87"/>
        <v>2009</v>
      </c>
      <c r="P191" s="843">
        <f t="shared" si="87"/>
        <v>2010</v>
      </c>
      <c r="Q191" s="843">
        <f t="shared" si="87"/>
        <v>2011</v>
      </c>
      <c r="R191" s="843">
        <f t="shared" si="87"/>
        <v>2012</v>
      </c>
      <c r="S191" s="843">
        <f t="shared" ref="S191:AF191" si="88">+S$3</f>
        <v>2013</v>
      </c>
      <c r="T191" s="843">
        <f t="shared" si="88"/>
        <v>2014</v>
      </c>
      <c r="U191" s="843">
        <f t="shared" si="88"/>
        <v>2015</v>
      </c>
      <c r="V191" s="843">
        <f t="shared" si="88"/>
        <v>2016</v>
      </c>
      <c r="W191" s="843">
        <f t="shared" si="88"/>
        <v>2017</v>
      </c>
      <c r="X191" s="843">
        <f t="shared" si="88"/>
        <v>2018</v>
      </c>
      <c r="Y191" s="843">
        <f t="shared" si="88"/>
        <v>2019</v>
      </c>
      <c r="Z191" s="843">
        <f t="shared" si="88"/>
        <v>2020</v>
      </c>
      <c r="AA191" s="843">
        <f t="shared" si="88"/>
        <v>2021</v>
      </c>
      <c r="AB191" s="843">
        <f t="shared" si="88"/>
        <v>2022</v>
      </c>
      <c r="AC191" s="843">
        <f t="shared" si="88"/>
        <v>2023</v>
      </c>
      <c r="AD191" s="843">
        <f t="shared" si="88"/>
        <v>2024</v>
      </c>
      <c r="AE191" s="843">
        <f t="shared" si="88"/>
        <v>2025</v>
      </c>
      <c r="AF191" s="843">
        <f t="shared" si="88"/>
        <v>2026</v>
      </c>
    </row>
    <row r="192" spans="1:32" ht="12" thickTop="1">
      <c r="A192" s="974"/>
      <c r="B192" s="961"/>
      <c r="E192" s="975"/>
      <c r="F192" s="975"/>
      <c r="G192" s="975"/>
      <c r="H192" s="975"/>
      <c r="I192" s="976"/>
      <c r="J192" s="976"/>
      <c r="K192" s="976"/>
      <c r="L192" s="976"/>
      <c r="M192" s="976"/>
      <c r="N192" s="976"/>
      <c r="O192" s="976"/>
      <c r="P192" s="976"/>
      <c r="Q192" s="976"/>
      <c r="R192" s="976"/>
      <c r="S192" s="976"/>
      <c r="T192" s="976"/>
      <c r="U192" s="976"/>
      <c r="V192" s="976"/>
      <c r="W192" s="976"/>
      <c r="X192" s="976"/>
      <c r="Y192" s="976"/>
      <c r="Z192" s="976"/>
      <c r="AA192" s="976"/>
      <c r="AB192" s="976"/>
      <c r="AC192" s="976"/>
      <c r="AD192" s="976"/>
      <c r="AE192" s="976"/>
      <c r="AF192" s="976"/>
    </row>
    <row r="193" spans="1:32">
      <c r="A193" s="937" t="s">
        <v>1019</v>
      </c>
      <c r="B193" s="665"/>
      <c r="C193" s="665"/>
      <c r="E193" s="977" t="s">
        <v>582</v>
      </c>
      <c r="F193" s="975"/>
      <c r="G193" s="975"/>
      <c r="H193" s="978" t="s">
        <v>910</v>
      </c>
      <c r="I193" s="1294">
        <f t="array" ref="I193:AC193" ca="1">+TRANSPOSE(CALC!HZ17:HZ37)/1000</f>
        <v>22578.157702799999</v>
      </c>
      <c r="J193" s="1294">
        <f ca="1"/>
        <v>43552.498145280006</v>
      </c>
      <c r="K193" s="1294">
        <f ca="1"/>
        <v>43646.751276000003</v>
      </c>
      <c r="L193" s="1294">
        <f ca="1"/>
        <v>43319.162030160005</v>
      </c>
      <c r="M193" s="1294">
        <f ca="1"/>
        <v>43847.567489280002</v>
      </c>
      <c r="N193" s="1294">
        <f ca="1"/>
        <v>44127.621675599999</v>
      </c>
      <c r="O193" s="1294">
        <f ca="1"/>
        <v>42537.722572799998</v>
      </c>
      <c r="P193" s="1294">
        <f ca="1"/>
        <v>44735.174618399993</v>
      </c>
      <c r="Q193" s="1294">
        <f ca="1"/>
        <v>44958.162564000006</v>
      </c>
      <c r="R193" s="1294">
        <f ca="1"/>
        <v>44753.495396400001</v>
      </c>
      <c r="S193" s="1294">
        <f ca="1"/>
        <v>45164.337926399996</v>
      </c>
      <c r="T193" s="1294">
        <f ca="1"/>
        <v>45387.325872000009</v>
      </c>
      <c r="U193" s="1294">
        <f ca="1"/>
        <v>42574.241908800002</v>
      </c>
      <c r="V193" s="1294">
        <f ca="1"/>
        <v>44858.519042399988</v>
      </c>
      <c r="W193" s="1294">
        <f ca="1"/>
        <v>44958.162564000006</v>
      </c>
      <c r="X193" s="1294">
        <f ca="1"/>
        <v>44628.918994799998</v>
      </c>
      <c r="Y193" s="1294">
        <f ca="1"/>
        <v>45164.337926399996</v>
      </c>
      <c r="Z193" s="1294">
        <f ca="1"/>
        <v>44365.89657288001</v>
      </c>
      <c r="AA193" s="1294">
        <f ca="1"/>
        <v>41453.164082880008</v>
      </c>
      <c r="AB193" s="1294">
        <f ca="1"/>
        <v>36124.039337183996</v>
      </c>
      <c r="AC193" s="1294">
        <v>0</v>
      </c>
      <c r="AD193" s="1294">
        <v>0</v>
      </c>
      <c r="AE193" s="1294">
        <v>0</v>
      </c>
      <c r="AF193" s="1294">
        <v>0</v>
      </c>
    </row>
    <row r="194" spans="1:32">
      <c r="A194" s="980"/>
      <c r="B194" s="665"/>
      <c r="C194" s="665"/>
      <c r="D194" s="861"/>
      <c r="E194" s="945" t="str">
        <f>+" Amount per "&amp;H193</f>
        <v xml:space="preserve"> Amount per MMBTU</v>
      </c>
      <c r="F194" s="861"/>
      <c r="G194" s="861"/>
      <c r="H194" s="981"/>
      <c r="I194" s="1668">
        <f t="array" ref="I194:AC194" ca="1">+-TRANSPOSE(CALC!IA17:IA37)</f>
        <v>2.5603175994845286</v>
      </c>
      <c r="J194" s="1668">
        <f ca="1"/>
        <v>2.5450977760238613</v>
      </c>
      <c r="K194" s="1668">
        <f ca="1"/>
        <v>2.6095002644647662</v>
      </c>
      <c r="L194" s="1668">
        <f ca="1"/>
        <v>2.6888812027828104</v>
      </c>
      <c r="M194" s="1668">
        <f ca="1"/>
        <v>2.7594061451266247</v>
      </c>
      <c r="N194" s="1668">
        <f ca="1"/>
        <v>2.8508365091989143</v>
      </c>
      <c r="O194" s="1668">
        <f ca="1"/>
        <v>2.9234737089874554</v>
      </c>
      <c r="P194" s="1668">
        <f ca="1"/>
        <v>2.9856206619572858</v>
      </c>
      <c r="Q194" s="1668">
        <f ca="1"/>
        <v>3.0660257683272616</v>
      </c>
      <c r="R194" s="1668">
        <f ca="1"/>
        <v>3.142405614256365</v>
      </c>
      <c r="S194" s="1668">
        <f ca="1"/>
        <v>3.2286217728487063</v>
      </c>
      <c r="T194" s="1668">
        <f ca="1"/>
        <v>3.3040847977050576</v>
      </c>
      <c r="U194" s="1668">
        <f ca="1"/>
        <v>3.4156195837989425</v>
      </c>
      <c r="V194" s="1668">
        <f ca="1"/>
        <v>3.4895798728714551</v>
      </c>
      <c r="W194" s="1668">
        <f ca="1"/>
        <v>3.5980905608333749</v>
      </c>
      <c r="X194" s="1668">
        <f ca="1"/>
        <v>3.7063844642079582</v>
      </c>
      <c r="Y194" s="1668">
        <f ca="1"/>
        <v>3.7959175865761599</v>
      </c>
      <c r="Z194" s="1668">
        <f ca="1"/>
        <v>3.9312567686569149</v>
      </c>
      <c r="AA194" s="1668">
        <f ca="1"/>
        <v>4.0284196341680225</v>
      </c>
      <c r="AB194" s="1668">
        <f ca="1"/>
        <v>4.5871112217967056</v>
      </c>
      <c r="AC194" s="1668">
        <v>0</v>
      </c>
      <c r="AD194" s="1668">
        <f>+$H194</f>
        <v>0</v>
      </c>
      <c r="AE194" s="1668">
        <f>+$H194</f>
        <v>0</v>
      </c>
      <c r="AF194" s="1668">
        <f>+$H194</f>
        <v>0</v>
      </c>
    </row>
    <row r="195" spans="1:32">
      <c r="D195" s="861"/>
      <c r="E195" s="945" t="str">
        <f>"Currency (USD-1, "&amp;curr2&amp;"-2)"</f>
        <v>Currency (USD-1, Reis-2)</v>
      </c>
      <c r="F195" s="861"/>
      <c r="G195" s="861"/>
      <c r="H195" s="951">
        <v>1</v>
      </c>
      <c r="I195" s="982"/>
      <c r="J195" s="982"/>
      <c r="K195" s="982"/>
      <c r="L195" s="982"/>
      <c r="M195" s="982"/>
      <c r="N195" s="982"/>
      <c r="O195" s="982"/>
      <c r="P195" s="982"/>
      <c r="Q195" s="982"/>
      <c r="R195" s="982"/>
      <c r="S195" s="982"/>
      <c r="T195" s="982"/>
      <c r="U195" s="982"/>
      <c r="V195" s="982"/>
      <c r="W195" s="982"/>
      <c r="X195" s="982"/>
      <c r="Y195" s="982"/>
      <c r="Z195" s="982"/>
      <c r="AA195" s="982"/>
      <c r="AB195" s="982"/>
      <c r="AC195" s="982"/>
      <c r="AD195" s="982"/>
      <c r="AE195" s="982"/>
      <c r="AF195" s="982"/>
    </row>
    <row r="196" spans="1:32">
      <c r="A196" s="980"/>
      <c r="B196" s="861"/>
      <c r="C196" s="861"/>
      <c r="D196" s="861"/>
      <c r="E196" s="950" t="s">
        <v>571</v>
      </c>
      <c r="F196" s="861"/>
      <c r="G196" s="861"/>
      <c r="H196" s="951">
        <v>1</v>
      </c>
      <c r="I196" s="982"/>
      <c r="J196" s="982"/>
      <c r="K196" s="982"/>
      <c r="L196" s="982"/>
      <c r="M196" s="982"/>
      <c r="N196" s="982"/>
      <c r="O196" s="982"/>
      <c r="P196" s="982"/>
      <c r="Q196" s="982"/>
      <c r="R196" s="982"/>
      <c r="S196" s="982"/>
      <c r="T196" s="982"/>
      <c r="U196" s="982"/>
      <c r="V196" s="982"/>
      <c r="W196" s="982"/>
      <c r="X196" s="982"/>
      <c r="Y196" s="982"/>
      <c r="Z196" s="982"/>
      <c r="AA196" s="982"/>
      <c r="AB196" s="982"/>
      <c r="AC196" s="982"/>
      <c r="AD196" s="982"/>
      <c r="AE196" s="982"/>
      <c r="AF196" s="982"/>
    </row>
    <row r="197" spans="1:32">
      <c r="A197" s="980"/>
      <c r="C197" s="935" t="s">
        <v>584</v>
      </c>
      <c r="D197" s="861"/>
      <c r="I197" s="1678">
        <f ca="1">(I194*I193)*CHOOSE($H195,1,I$138)*IF($H195=1,CHOOSE($H196,1,I$129),CHOOSE($H196,1,I$144))</f>
        <v>57807.254530416016</v>
      </c>
      <c r="J197" s="1678">
        <f t="shared" ref="J197:AF197" ca="1" si="89">(J194*J193)*CHOOSE($H195,1,J$138)*IF($H195=1,CHOOSE($H196,1,J$129),CHOOSE($H196,1,J$144))</f>
        <v>110845.36616983548</v>
      </c>
      <c r="K197" s="1678">
        <f t="shared" ca="1" si="89"/>
        <v>113896.20899774988</v>
      </c>
      <c r="L197" s="1678">
        <f t="shared" ca="1" si="89"/>
        <v>116480.08050320008</v>
      </c>
      <c r="M197" s="1678">
        <f t="shared" ca="1" si="89"/>
        <v>120993.24717877364</v>
      </c>
      <c r="N197" s="1678">
        <f t="shared" ca="1" si="89"/>
        <v>125800.63493691785</v>
      </c>
      <c r="O197" s="1678">
        <f t="shared" ca="1" si="89"/>
        <v>124357.91358178301</v>
      </c>
      <c r="P197" s="1678">
        <f t="shared" ca="1" si="89"/>
        <v>133562.26165696216</v>
      </c>
      <c r="Q197" s="1678">
        <f t="shared" ca="1" si="89"/>
        <v>137842.88491787005</v>
      </c>
      <c r="R197" s="1678">
        <f t="shared" ca="1" si="89"/>
        <v>140633.63519124375</v>
      </c>
      <c r="S197" s="1678">
        <f t="shared" ca="1" si="89"/>
        <v>145818.56478547162</v>
      </c>
      <c r="T197" s="1678">
        <f t="shared" ca="1" si="89"/>
        <v>149963.57342216067</v>
      </c>
      <c r="U197" s="1678">
        <f t="shared" ca="1" si="89"/>
        <v>145417.41442909095</v>
      </c>
      <c r="V197" s="1678">
        <f t="shared" ca="1" si="89"/>
        <v>156537.38517717991</v>
      </c>
      <c r="W197" s="1678">
        <f t="shared" ca="1" si="89"/>
        <v>161763.54035394083</v>
      </c>
      <c r="X197" s="1678">
        <f t="shared" ca="1" si="89"/>
        <v>165411.93201672216</v>
      </c>
      <c r="Y197" s="1678">
        <f t="shared" ca="1" si="89"/>
        <v>171440.1046208904</v>
      </c>
      <c r="Z197" s="1678">
        <f t="shared" ca="1" si="89"/>
        <v>174413.73119966715</v>
      </c>
      <c r="AA197" s="1678">
        <f t="shared" ca="1" si="89"/>
        <v>166990.74008986249</v>
      </c>
      <c r="AB197" s="1678">
        <f t="shared" ca="1" si="89"/>
        <v>165704.98622022234</v>
      </c>
      <c r="AC197" s="1678">
        <f t="shared" si="89"/>
        <v>0</v>
      </c>
      <c r="AD197" s="1678">
        <f t="shared" si="89"/>
        <v>0</v>
      </c>
      <c r="AE197" s="1678">
        <f t="shared" si="89"/>
        <v>0</v>
      </c>
      <c r="AF197" s="1678">
        <f t="shared" si="89"/>
        <v>0</v>
      </c>
    </row>
    <row r="199" spans="1:32">
      <c r="A199" s="937" t="s">
        <v>912</v>
      </c>
      <c r="B199" s="665"/>
      <c r="C199" s="665"/>
      <c r="E199" s="977" t="s">
        <v>582</v>
      </c>
      <c r="F199" s="975"/>
      <c r="G199" s="975"/>
      <c r="H199" s="978" t="s">
        <v>583</v>
      </c>
      <c r="I199" s="979">
        <f t="array" ref="I199:AC199" ca="1">+TRANSPOSE(CALC!IC17:IC37)/1000</f>
        <v>3212.64</v>
      </c>
      <c r="J199" s="979">
        <f ca="1"/>
        <v>6161.0519999999997</v>
      </c>
      <c r="K199" s="979">
        <f ca="1"/>
        <v>6143.5919999999996</v>
      </c>
      <c r="L199" s="979">
        <f ca="1"/>
        <v>6091.2120000000004</v>
      </c>
      <c r="M199" s="979">
        <f ca="1"/>
        <v>6143.5919999999996</v>
      </c>
      <c r="N199" s="979">
        <f ca="1"/>
        <v>6151.74</v>
      </c>
      <c r="O199" s="979">
        <f ca="1"/>
        <v>6006.24</v>
      </c>
      <c r="P199" s="979">
        <f ca="1"/>
        <v>6320.52</v>
      </c>
      <c r="Q199" s="979">
        <f ca="1"/>
        <v>6320.52</v>
      </c>
      <c r="R199" s="979">
        <f ca="1"/>
        <v>6285.6</v>
      </c>
      <c r="S199" s="979">
        <f ca="1"/>
        <v>6320.52</v>
      </c>
      <c r="T199" s="979">
        <f ca="1"/>
        <v>6320.52</v>
      </c>
      <c r="U199" s="979">
        <f ca="1"/>
        <v>6006.24</v>
      </c>
      <c r="V199" s="979">
        <f ca="1"/>
        <v>6337.98</v>
      </c>
      <c r="W199" s="979">
        <f ca="1"/>
        <v>6320.52</v>
      </c>
      <c r="X199" s="979">
        <f ca="1"/>
        <v>6268.14</v>
      </c>
      <c r="Y199" s="979">
        <f ca="1"/>
        <v>6320.52</v>
      </c>
      <c r="Z199" s="979">
        <f ca="1"/>
        <v>6165.7079999999996</v>
      </c>
      <c r="AA199" s="979">
        <f ca="1"/>
        <v>5838.6239999999998</v>
      </c>
      <c r="AB199" s="979">
        <f ca="1"/>
        <v>5026.152</v>
      </c>
      <c r="AC199" s="979">
        <v>0</v>
      </c>
      <c r="AD199" s="979">
        <v>0</v>
      </c>
      <c r="AE199" s="979">
        <v>0</v>
      </c>
      <c r="AF199" s="979">
        <v>0</v>
      </c>
    </row>
    <row r="200" spans="1:32">
      <c r="A200" s="980"/>
      <c r="B200" s="665"/>
      <c r="C200" s="665"/>
      <c r="D200" s="861"/>
      <c r="E200" s="945" t="str">
        <f>+" Amount per "&amp;H199</f>
        <v xml:space="preserve"> Amount per MWH</v>
      </c>
      <c r="F200" s="861"/>
      <c r="G200" s="861"/>
      <c r="H200" s="981"/>
      <c r="I200" s="1738">
        <f t="array" ref="I200:AC200" ca="1">+-TRANSPOSE(CALC!ID17:ID37)</f>
        <v>1.8</v>
      </c>
      <c r="J200" s="1738">
        <f ca="1"/>
        <v>1.8360000000000001</v>
      </c>
      <c r="K200" s="1738">
        <f ca="1"/>
        <v>1.8727200000000002</v>
      </c>
      <c r="L200" s="1738">
        <f ca="1"/>
        <v>1.9101743999999998</v>
      </c>
      <c r="M200" s="1738">
        <f ca="1"/>
        <v>1.9483778879999996</v>
      </c>
      <c r="N200" s="1738">
        <f ca="1"/>
        <v>1.9873454457599999</v>
      </c>
      <c r="O200" s="1738">
        <f ca="1"/>
        <v>2.0270923546751995</v>
      </c>
      <c r="P200" s="1738">
        <f ca="1"/>
        <v>2.0676342017687035</v>
      </c>
      <c r="Q200" s="1738">
        <f ca="1"/>
        <v>2.1089868858040774</v>
      </c>
      <c r="R200" s="1738">
        <f ca="1"/>
        <v>2.1511666235201594</v>
      </c>
      <c r="S200" s="1738">
        <f ca="1"/>
        <v>2.1941899559905629</v>
      </c>
      <c r="T200" s="1738">
        <f ca="1"/>
        <v>2.2380737551103733</v>
      </c>
      <c r="U200" s="1738">
        <f ca="1"/>
        <v>2.2828352302125814</v>
      </c>
      <c r="V200" s="1738">
        <f ca="1"/>
        <v>2.3284919348168329</v>
      </c>
      <c r="W200" s="1738">
        <f ca="1"/>
        <v>2.3750617735131705</v>
      </c>
      <c r="X200" s="1738">
        <f ca="1"/>
        <v>2.4225630089834325</v>
      </c>
      <c r="Y200" s="1738">
        <f ca="1"/>
        <v>2.4710142691631019</v>
      </c>
      <c r="Z200" s="1738">
        <f ca="1"/>
        <v>2.5204345545463642</v>
      </c>
      <c r="AA200" s="1738">
        <f ca="1"/>
        <v>2.5708432456372905</v>
      </c>
      <c r="AB200" s="1738">
        <f ca="1"/>
        <v>2.6222601105500365</v>
      </c>
      <c r="AC200" s="1738">
        <v>0</v>
      </c>
      <c r="AD200" s="1738">
        <f>+$H200</f>
        <v>0</v>
      </c>
      <c r="AE200" s="1738">
        <f>+$H200</f>
        <v>0</v>
      </c>
      <c r="AF200" s="1738">
        <f>+$H200</f>
        <v>0</v>
      </c>
    </row>
    <row r="201" spans="1:32">
      <c r="D201" s="861"/>
      <c r="E201" s="945" t="str">
        <f>"Currency (USD-1, "&amp;curr2&amp;"-2)"</f>
        <v>Currency (USD-1, Reis-2)</v>
      </c>
      <c r="F201" s="861"/>
      <c r="G201" s="861"/>
      <c r="H201" s="951">
        <v>1</v>
      </c>
      <c r="I201" s="982"/>
      <c r="J201" s="982"/>
      <c r="K201" s="982"/>
      <c r="L201" s="982"/>
      <c r="M201" s="982"/>
      <c r="N201" s="982"/>
      <c r="O201" s="982"/>
      <c r="P201" s="982"/>
      <c r="Q201" s="982"/>
      <c r="R201" s="982"/>
      <c r="S201" s="982"/>
      <c r="T201" s="982"/>
      <c r="U201" s="982"/>
      <c r="V201" s="982"/>
      <c r="W201" s="982"/>
      <c r="X201" s="982"/>
      <c r="Y201" s="982"/>
      <c r="Z201" s="982"/>
      <c r="AA201" s="982"/>
      <c r="AB201" s="982"/>
      <c r="AC201" s="982"/>
      <c r="AD201" s="982"/>
      <c r="AE201" s="982"/>
      <c r="AF201" s="982"/>
    </row>
    <row r="202" spans="1:32">
      <c r="A202" s="980"/>
      <c r="B202" s="861"/>
      <c r="C202" s="861"/>
      <c r="D202" s="861"/>
      <c r="E202" s="950" t="s">
        <v>571</v>
      </c>
      <c r="F202" s="861"/>
      <c r="G202" s="861"/>
      <c r="H202" s="951">
        <v>1</v>
      </c>
      <c r="I202" s="982"/>
      <c r="J202" s="982"/>
      <c r="K202" s="982"/>
      <c r="L202" s="982"/>
      <c r="M202" s="982"/>
      <c r="N202" s="982"/>
      <c r="O202" s="982"/>
      <c r="P202" s="982"/>
      <c r="Q202" s="982"/>
      <c r="R202" s="982"/>
      <c r="S202" s="982"/>
      <c r="T202" s="982"/>
      <c r="U202" s="982"/>
      <c r="V202" s="982"/>
      <c r="W202" s="982"/>
      <c r="X202" s="982"/>
      <c r="Y202" s="982"/>
      <c r="Z202" s="982"/>
      <c r="AA202" s="982"/>
      <c r="AB202" s="982"/>
      <c r="AC202" s="982"/>
      <c r="AD202" s="982"/>
      <c r="AE202" s="982"/>
      <c r="AF202" s="982"/>
    </row>
    <row r="203" spans="1:32">
      <c r="A203" s="980"/>
      <c r="C203" s="935" t="s">
        <v>584</v>
      </c>
      <c r="D203" s="861"/>
      <c r="I203" s="1678">
        <f t="shared" ref="I203:AF203" ca="1" si="90">(I200*I199)*CHOOSE($H201,1,I$138)*IF($H201=1,CHOOSE($H202,1,I$129),CHOOSE($H202,1,I$144))</f>
        <v>5782.7519999999995</v>
      </c>
      <c r="J203" s="1678">
        <f t="shared" ca="1" si="90"/>
        <v>11311.691472</v>
      </c>
      <c r="K203" s="1678">
        <f t="shared" ca="1" si="90"/>
        <v>11505.227610240001</v>
      </c>
      <c r="L203" s="1678">
        <f t="shared" ca="1" si="90"/>
        <v>11635.277227372801</v>
      </c>
      <c r="M203" s="1678">
        <f t="shared" ca="1" si="90"/>
        <v>11970.038805693692</v>
      </c>
      <c r="N203" s="1678">
        <f t="shared" ca="1" si="90"/>
        <v>12225.632472499621</v>
      </c>
      <c r="O203" s="1678">
        <f t="shared" ca="1" si="90"/>
        <v>12175.203184344369</v>
      </c>
      <c r="P203" s="1678">
        <f t="shared" ca="1" si="90"/>
        <v>13068.523324963127</v>
      </c>
      <c r="Q203" s="1678">
        <f t="shared" ca="1" si="90"/>
        <v>13329.893791462389</v>
      </c>
      <c r="R203" s="1678">
        <f t="shared" ca="1" si="90"/>
        <v>13521.372928798315</v>
      </c>
      <c r="S203" s="1678">
        <f t="shared" ca="1" si="90"/>
        <v>13868.421500637474</v>
      </c>
      <c r="T203" s="1678">
        <f t="shared" ca="1" si="90"/>
        <v>14145.789930650219</v>
      </c>
      <c r="U203" s="1678">
        <f t="shared" ca="1" si="90"/>
        <v>13711.256273112014</v>
      </c>
      <c r="V203" s="1678">
        <f t="shared" ca="1" si="90"/>
        <v>14757.93531303039</v>
      </c>
      <c r="W203" s="1678">
        <f t="shared" ca="1" si="90"/>
        <v>15011.625440725466</v>
      </c>
      <c r="X203" s="1678">
        <f t="shared" ca="1" si="90"/>
        <v>15184.964099129413</v>
      </c>
      <c r="Y203" s="1678">
        <f t="shared" ca="1" si="90"/>
        <v>15618.09510853077</v>
      </c>
      <c r="Z203" s="1678">
        <f t="shared" ca="1" si="90"/>
        <v>15540.263496442953</v>
      </c>
      <c r="AA203" s="1678">
        <f t="shared" ca="1" si="90"/>
        <v>15010.187074215779</v>
      </c>
      <c r="AB203" s="1678">
        <f t="shared" ca="1" si="90"/>
        <v>13179.877899161287</v>
      </c>
      <c r="AC203" s="1678">
        <f t="shared" si="90"/>
        <v>0</v>
      </c>
      <c r="AD203" s="1678">
        <f t="shared" si="90"/>
        <v>0</v>
      </c>
      <c r="AE203" s="1678">
        <f t="shared" si="90"/>
        <v>0</v>
      </c>
      <c r="AF203" s="1678">
        <f t="shared" si="90"/>
        <v>0</v>
      </c>
    </row>
    <row r="204" spans="1:32">
      <c r="A204" s="980"/>
      <c r="B204" s="980"/>
      <c r="C204" s="861"/>
      <c r="D204" s="861"/>
      <c r="I204" s="847"/>
      <c r="J204" s="847"/>
      <c r="K204" s="847"/>
      <c r="L204" s="847"/>
      <c r="M204" s="847"/>
      <c r="N204" s="847"/>
      <c r="O204" s="847"/>
      <c r="P204" s="847"/>
      <c r="Q204" s="847"/>
      <c r="R204" s="847"/>
      <c r="S204" s="847"/>
      <c r="T204" s="847"/>
      <c r="U204" s="847"/>
      <c r="V204" s="847"/>
      <c r="W204" s="847"/>
      <c r="X204" s="847"/>
      <c r="Y204" s="847"/>
      <c r="Z204" s="847"/>
      <c r="AA204" s="847"/>
      <c r="AB204" s="847"/>
      <c r="AC204" s="847"/>
      <c r="AD204" s="847"/>
      <c r="AE204" s="847"/>
      <c r="AF204" s="847"/>
    </row>
    <row r="205" spans="1:32">
      <c r="A205" s="937" t="s">
        <v>913</v>
      </c>
      <c r="B205" s="665"/>
      <c r="C205" s="665"/>
      <c r="E205" s="977" t="s">
        <v>582</v>
      </c>
      <c r="F205" s="975"/>
      <c r="G205" s="975"/>
      <c r="H205" s="978" t="s">
        <v>583</v>
      </c>
      <c r="I205" s="979">
        <f t="array" ref="I205:AC205" ca="1">+TRANSPOSE(CALC!IF17:IF37)/1000</f>
        <v>0</v>
      </c>
      <c r="J205" s="979">
        <f ca="1"/>
        <v>0</v>
      </c>
      <c r="K205" s="979">
        <f ca="1"/>
        <v>0</v>
      </c>
      <c r="L205" s="979">
        <f ca="1"/>
        <v>0</v>
      </c>
      <c r="M205" s="979">
        <f ca="1"/>
        <v>0</v>
      </c>
      <c r="N205" s="979">
        <f ca="1"/>
        <v>0</v>
      </c>
      <c r="O205" s="979">
        <f ca="1"/>
        <v>0</v>
      </c>
      <c r="P205" s="979">
        <f ca="1"/>
        <v>0</v>
      </c>
      <c r="Q205" s="979">
        <f ca="1"/>
        <v>0</v>
      </c>
      <c r="R205" s="979">
        <f ca="1"/>
        <v>0</v>
      </c>
      <c r="S205" s="979">
        <f ca="1"/>
        <v>0</v>
      </c>
      <c r="T205" s="979">
        <f ca="1"/>
        <v>0</v>
      </c>
      <c r="U205" s="979">
        <f ca="1"/>
        <v>0</v>
      </c>
      <c r="V205" s="979">
        <f ca="1"/>
        <v>0</v>
      </c>
      <c r="W205" s="979">
        <f ca="1"/>
        <v>0</v>
      </c>
      <c r="X205" s="979">
        <f ca="1"/>
        <v>0</v>
      </c>
      <c r="Y205" s="979">
        <f ca="1"/>
        <v>0</v>
      </c>
      <c r="Z205" s="979">
        <f ca="1"/>
        <v>0</v>
      </c>
      <c r="AA205" s="979">
        <f ca="1"/>
        <v>0</v>
      </c>
      <c r="AB205" s="979">
        <f ca="1"/>
        <v>0</v>
      </c>
      <c r="AC205" s="979">
        <v>0</v>
      </c>
      <c r="AD205" s="979">
        <v>0</v>
      </c>
      <c r="AE205" s="979">
        <v>0</v>
      </c>
      <c r="AF205" s="979">
        <v>0</v>
      </c>
    </row>
    <row r="206" spans="1:32">
      <c r="A206" s="980"/>
      <c r="B206" s="665"/>
      <c r="C206" s="665"/>
      <c r="D206" s="861"/>
      <c r="E206" s="945" t="str">
        <f>+" Amount per "&amp;H205</f>
        <v xml:space="preserve"> Amount per MWH</v>
      </c>
      <c r="F206" s="861"/>
      <c r="G206" s="861"/>
      <c r="H206" s="981"/>
      <c r="I206" s="1668">
        <f t="array" ref="I206:AC206" ca="1">+-TRANSPOSE(CALC!IG17:IG37)</f>
        <v>0</v>
      </c>
      <c r="J206" s="1668">
        <f ca="1"/>
        <v>0</v>
      </c>
      <c r="K206" s="1668">
        <f ca="1"/>
        <v>0</v>
      </c>
      <c r="L206" s="1668">
        <f ca="1"/>
        <v>0</v>
      </c>
      <c r="M206" s="1668">
        <f ca="1"/>
        <v>0</v>
      </c>
      <c r="N206" s="1668">
        <f ca="1"/>
        <v>0</v>
      </c>
      <c r="O206" s="1668">
        <f ca="1"/>
        <v>0</v>
      </c>
      <c r="P206" s="1668">
        <f ca="1"/>
        <v>0</v>
      </c>
      <c r="Q206" s="1668">
        <f ca="1"/>
        <v>0</v>
      </c>
      <c r="R206" s="1668">
        <f ca="1"/>
        <v>0</v>
      </c>
      <c r="S206" s="1668">
        <f ca="1"/>
        <v>0</v>
      </c>
      <c r="T206" s="1668">
        <f ca="1"/>
        <v>0</v>
      </c>
      <c r="U206" s="1668">
        <f ca="1"/>
        <v>0</v>
      </c>
      <c r="V206" s="1668">
        <f ca="1"/>
        <v>0</v>
      </c>
      <c r="W206" s="1668">
        <f ca="1"/>
        <v>0</v>
      </c>
      <c r="X206" s="1668">
        <f ca="1"/>
        <v>0</v>
      </c>
      <c r="Y206" s="1668">
        <f ca="1"/>
        <v>0</v>
      </c>
      <c r="Z206" s="1668">
        <f ca="1"/>
        <v>0</v>
      </c>
      <c r="AA206" s="1668">
        <f ca="1"/>
        <v>0</v>
      </c>
      <c r="AB206" s="1668">
        <f ca="1"/>
        <v>0</v>
      </c>
      <c r="AC206" s="1668">
        <v>0</v>
      </c>
      <c r="AD206" s="1668">
        <f>+$H206</f>
        <v>0</v>
      </c>
      <c r="AE206" s="1668">
        <f>+$H206</f>
        <v>0</v>
      </c>
      <c r="AF206" s="1668">
        <f>+$H206</f>
        <v>0</v>
      </c>
    </row>
    <row r="207" spans="1:32">
      <c r="D207" s="861"/>
      <c r="E207" s="945" t="str">
        <f>"Currency (USD-1, "&amp;curr2&amp;"-2)"</f>
        <v>Currency (USD-1, Reis-2)</v>
      </c>
      <c r="F207" s="861"/>
      <c r="G207" s="861"/>
      <c r="H207" s="951">
        <v>1</v>
      </c>
      <c r="I207" s="982"/>
      <c r="J207" s="982"/>
      <c r="K207" s="982"/>
      <c r="L207" s="982"/>
      <c r="M207" s="982"/>
      <c r="N207" s="982"/>
      <c r="O207" s="982"/>
      <c r="P207" s="982"/>
      <c r="Q207" s="982"/>
      <c r="R207" s="982"/>
      <c r="S207" s="982"/>
      <c r="T207" s="982"/>
      <c r="U207" s="982"/>
      <c r="V207" s="982"/>
      <c r="W207" s="982"/>
      <c r="X207" s="982"/>
      <c r="Y207" s="982"/>
      <c r="Z207" s="982"/>
      <c r="AA207" s="982"/>
      <c r="AB207" s="982"/>
      <c r="AC207" s="982"/>
      <c r="AD207" s="982"/>
      <c r="AE207" s="982"/>
      <c r="AF207" s="982"/>
    </row>
    <row r="208" spans="1:32">
      <c r="A208" s="980"/>
      <c r="B208" s="861"/>
      <c r="C208" s="861"/>
      <c r="D208" s="861"/>
      <c r="E208" s="950" t="s">
        <v>571</v>
      </c>
      <c r="F208" s="861"/>
      <c r="G208" s="861"/>
      <c r="H208" s="951">
        <v>1</v>
      </c>
      <c r="I208" s="982"/>
      <c r="J208" s="982"/>
      <c r="K208" s="982"/>
      <c r="L208" s="982"/>
      <c r="M208" s="982"/>
      <c r="N208" s="982"/>
      <c r="O208" s="982"/>
      <c r="P208" s="982"/>
      <c r="Q208" s="982"/>
      <c r="R208" s="982"/>
      <c r="S208" s="982"/>
      <c r="T208" s="982"/>
      <c r="U208" s="982"/>
      <c r="V208" s="982"/>
      <c r="W208" s="982"/>
      <c r="X208" s="982"/>
      <c r="Y208" s="982"/>
      <c r="Z208" s="982"/>
      <c r="AA208" s="982"/>
      <c r="AB208" s="982"/>
      <c r="AC208" s="982"/>
      <c r="AD208" s="982"/>
      <c r="AE208" s="982"/>
      <c r="AF208" s="982"/>
    </row>
    <row r="209" spans="1:32">
      <c r="A209" s="980"/>
      <c r="C209" s="935" t="s">
        <v>584</v>
      </c>
      <c r="D209" s="861"/>
      <c r="I209" s="1678">
        <f t="shared" ref="I209:AF209" ca="1" si="91">(I206*I205)*CHOOSE($H207,1,I$138)*IF($H207=1,CHOOSE($H208,1,I$129),CHOOSE($H208,1,I$144))</f>
        <v>0</v>
      </c>
      <c r="J209" s="1678">
        <f t="shared" ca="1" si="91"/>
        <v>0</v>
      </c>
      <c r="K209" s="1678">
        <f t="shared" ca="1" si="91"/>
        <v>0</v>
      </c>
      <c r="L209" s="1678">
        <f t="shared" ca="1" si="91"/>
        <v>0</v>
      </c>
      <c r="M209" s="1678">
        <f t="shared" ca="1" si="91"/>
        <v>0</v>
      </c>
      <c r="N209" s="1678">
        <f t="shared" ca="1" si="91"/>
        <v>0</v>
      </c>
      <c r="O209" s="1678">
        <f t="shared" ca="1" si="91"/>
        <v>0</v>
      </c>
      <c r="P209" s="1678">
        <f t="shared" ca="1" si="91"/>
        <v>0</v>
      </c>
      <c r="Q209" s="1678">
        <f t="shared" ca="1" si="91"/>
        <v>0</v>
      </c>
      <c r="R209" s="1678">
        <f t="shared" ca="1" si="91"/>
        <v>0</v>
      </c>
      <c r="S209" s="1678">
        <f t="shared" ca="1" si="91"/>
        <v>0</v>
      </c>
      <c r="T209" s="1678">
        <f t="shared" ca="1" si="91"/>
        <v>0</v>
      </c>
      <c r="U209" s="1678">
        <f t="shared" ca="1" si="91"/>
        <v>0</v>
      </c>
      <c r="V209" s="1678">
        <f t="shared" ca="1" si="91"/>
        <v>0</v>
      </c>
      <c r="W209" s="1678">
        <f t="shared" ca="1" si="91"/>
        <v>0</v>
      </c>
      <c r="X209" s="1678">
        <f t="shared" ca="1" si="91"/>
        <v>0</v>
      </c>
      <c r="Y209" s="1678">
        <f t="shared" ca="1" si="91"/>
        <v>0</v>
      </c>
      <c r="Z209" s="1678">
        <f t="shared" ca="1" si="91"/>
        <v>0</v>
      </c>
      <c r="AA209" s="1678">
        <f t="shared" ca="1" si="91"/>
        <v>0</v>
      </c>
      <c r="AB209" s="1678">
        <f t="shared" ca="1" si="91"/>
        <v>0</v>
      </c>
      <c r="AC209" s="1678">
        <f t="shared" si="91"/>
        <v>0</v>
      </c>
      <c r="AD209" s="1678">
        <f t="shared" si="91"/>
        <v>0</v>
      </c>
      <c r="AE209" s="1678">
        <f t="shared" si="91"/>
        <v>0</v>
      </c>
      <c r="AF209" s="1678">
        <f t="shared" si="91"/>
        <v>0</v>
      </c>
    </row>
    <row r="210" spans="1:32">
      <c r="A210" s="980"/>
      <c r="B210" s="980"/>
      <c r="C210" s="861"/>
      <c r="D210" s="861"/>
      <c r="I210" s="1678"/>
      <c r="J210" s="1678"/>
      <c r="K210" s="1678"/>
      <c r="L210" s="1678"/>
      <c r="M210" s="1678"/>
      <c r="N210" s="1678"/>
      <c r="O210" s="1678"/>
      <c r="P210" s="1678"/>
      <c r="Q210" s="1678"/>
      <c r="R210" s="1678"/>
      <c r="S210" s="1678"/>
      <c r="T210" s="1678"/>
      <c r="U210" s="1678"/>
      <c r="V210" s="1678"/>
      <c r="W210" s="1678"/>
      <c r="X210" s="1678"/>
      <c r="Y210" s="1678"/>
      <c r="Z210" s="1678"/>
      <c r="AA210" s="1678"/>
      <c r="AB210" s="1678"/>
      <c r="AC210" s="1678"/>
      <c r="AD210" s="1678"/>
      <c r="AE210" s="1678"/>
      <c r="AF210" s="1678"/>
    </row>
    <row r="211" spans="1:32">
      <c r="A211" s="937" t="s">
        <v>933</v>
      </c>
      <c r="B211" s="980"/>
      <c r="C211" s="861"/>
      <c r="D211" s="861"/>
      <c r="I211" s="1678"/>
      <c r="J211" s="1678"/>
      <c r="K211" s="1678"/>
      <c r="L211" s="1678"/>
      <c r="M211" s="1678"/>
      <c r="N211" s="1678"/>
      <c r="O211" s="1678"/>
      <c r="P211" s="1678"/>
      <c r="Q211" s="1678"/>
      <c r="R211" s="1678"/>
      <c r="S211" s="1678"/>
      <c r="T211" s="1678"/>
      <c r="U211" s="1678"/>
      <c r="V211" s="1678"/>
      <c r="W211" s="1678"/>
      <c r="X211" s="1678"/>
      <c r="Y211" s="1678"/>
      <c r="Z211" s="1678"/>
      <c r="AA211" s="1678"/>
      <c r="AB211" s="1678"/>
      <c r="AC211" s="1678"/>
      <c r="AD211" s="1678"/>
      <c r="AE211" s="1678"/>
      <c r="AF211" s="1678"/>
    </row>
    <row r="212" spans="1:32">
      <c r="A212" s="980"/>
      <c r="B212" s="980"/>
      <c r="C212" s="935" t="s">
        <v>584</v>
      </c>
      <c r="D212" s="861"/>
      <c r="I212" s="1684">
        <v>0</v>
      </c>
      <c r="J212" s="1684">
        <v>0</v>
      </c>
      <c r="K212" s="1684">
        <v>0</v>
      </c>
      <c r="L212" s="1684">
        <v>0</v>
      </c>
      <c r="M212" s="1684">
        <v>0</v>
      </c>
      <c r="N212" s="1684">
        <v>0</v>
      </c>
      <c r="O212" s="1684">
        <v>0</v>
      </c>
      <c r="P212" s="1684">
        <v>0</v>
      </c>
      <c r="Q212" s="1684">
        <v>0</v>
      </c>
      <c r="R212" s="1684">
        <v>0</v>
      </c>
      <c r="S212" s="1684">
        <v>0</v>
      </c>
      <c r="T212" s="1684">
        <v>0</v>
      </c>
      <c r="U212" s="1684">
        <v>0</v>
      </c>
      <c r="V212" s="1684">
        <v>0</v>
      </c>
      <c r="W212" s="1684">
        <v>0</v>
      </c>
      <c r="X212" s="1684">
        <v>0</v>
      </c>
      <c r="Y212" s="1684">
        <v>0</v>
      </c>
      <c r="Z212" s="1684">
        <v>0</v>
      </c>
      <c r="AA212" s="1684">
        <v>0</v>
      </c>
      <c r="AB212" s="1684">
        <v>0</v>
      </c>
      <c r="AC212" s="1684">
        <v>0</v>
      </c>
      <c r="AD212" s="1684">
        <v>0</v>
      </c>
      <c r="AE212" s="1684">
        <v>0</v>
      </c>
      <c r="AF212" s="1684">
        <v>0</v>
      </c>
    </row>
    <row r="213" spans="1:32">
      <c r="A213" s="980"/>
      <c r="B213" s="980"/>
      <c r="C213" s="861"/>
      <c r="D213" s="861"/>
      <c r="I213" s="1678"/>
      <c r="J213" s="1678"/>
      <c r="K213" s="1678"/>
      <c r="L213" s="1678"/>
      <c r="M213" s="1678"/>
      <c r="N213" s="1678"/>
      <c r="O213" s="1678"/>
      <c r="P213" s="1678"/>
      <c r="Q213" s="1678"/>
      <c r="R213" s="1678"/>
      <c r="S213" s="1678"/>
      <c r="T213" s="1678"/>
      <c r="U213" s="1678"/>
      <c r="V213" s="1678"/>
      <c r="W213" s="1678"/>
      <c r="X213" s="1678"/>
      <c r="Y213" s="1678"/>
      <c r="Z213" s="1678"/>
      <c r="AA213" s="1678"/>
      <c r="AB213" s="1678"/>
      <c r="AC213" s="1678"/>
      <c r="AD213" s="1678"/>
      <c r="AE213" s="1678"/>
      <c r="AF213" s="1678"/>
    </row>
    <row r="214" spans="1:32">
      <c r="A214" s="980"/>
      <c r="B214" s="980" t="s">
        <v>585</v>
      </c>
      <c r="C214" s="861"/>
      <c r="D214" s="861"/>
      <c r="I214" s="1679">
        <f ca="1">+I197+I203+I209+I212</f>
        <v>63590.006530416016</v>
      </c>
      <c r="J214" s="1679">
        <f t="shared" ref="J214:AF214" ca="1" si="92">+J197+J203+J209+J212</f>
        <v>122157.05764183549</v>
      </c>
      <c r="K214" s="1679">
        <f t="shared" ca="1" si="92"/>
        <v>125401.43660798989</v>
      </c>
      <c r="L214" s="1679">
        <f t="shared" ca="1" si="92"/>
        <v>128115.35773057288</v>
      </c>
      <c r="M214" s="1679">
        <f t="shared" ca="1" si="92"/>
        <v>132963.28598446734</v>
      </c>
      <c r="N214" s="1679">
        <f t="shared" ca="1" si="92"/>
        <v>138026.26740941746</v>
      </c>
      <c r="O214" s="1679">
        <f t="shared" ca="1" si="92"/>
        <v>136533.11676612738</v>
      </c>
      <c r="P214" s="1679">
        <f t="shared" ca="1" si="92"/>
        <v>146630.78498192527</v>
      </c>
      <c r="Q214" s="1679">
        <f t="shared" ca="1" si="92"/>
        <v>151172.77870933243</v>
      </c>
      <c r="R214" s="1679">
        <f t="shared" ca="1" si="92"/>
        <v>154155.00812004207</v>
      </c>
      <c r="S214" s="1679">
        <f t="shared" ca="1" si="92"/>
        <v>159686.98628610911</v>
      </c>
      <c r="T214" s="1679">
        <f t="shared" ca="1" si="92"/>
        <v>164109.36335281088</v>
      </c>
      <c r="U214" s="1679">
        <f t="shared" ca="1" si="92"/>
        <v>159128.67070220297</v>
      </c>
      <c r="V214" s="1679">
        <f t="shared" ca="1" si="92"/>
        <v>171295.32049021029</v>
      </c>
      <c r="W214" s="1679">
        <f t="shared" ca="1" si="92"/>
        <v>176775.1657946663</v>
      </c>
      <c r="X214" s="1679">
        <f t="shared" ca="1" si="92"/>
        <v>180596.89611585156</v>
      </c>
      <c r="Y214" s="1679">
        <f t="shared" ca="1" si="92"/>
        <v>187058.19972942118</v>
      </c>
      <c r="Z214" s="1679">
        <f t="shared" ca="1" si="92"/>
        <v>189953.99469611011</v>
      </c>
      <c r="AA214" s="1679">
        <f t="shared" ca="1" si="92"/>
        <v>182000.92716407828</v>
      </c>
      <c r="AB214" s="1679">
        <f t="shared" ca="1" si="92"/>
        <v>178884.86411938362</v>
      </c>
      <c r="AC214" s="1679">
        <f t="shared" si="92"/>
        <v>0</v>
      </c>
      <c r="AD214" s="1679">
        <f t="shared" si="92"/>
        <v>0</v>
      </c>
      <c r="AE214" s="1679">
        <f t="shared" si="92"/>
        <v>0</v>
      </c>
      <c r="AF214" s="1679">
        <f t="shared" si="92"/>
        <v>0</v>
      </c>
    </row>
    <row r="215" spans="1:32">
      <c r="A215" s="980"/>
      <c r="B215" s="980"/>
      <c r="C215" s="861"/>
      <c r="D215" s="861"/>
      <c r="I215" s="1678"/>
      <c r="J215" s="1678"/>
      <c r="K215" s="1678"/>
      <c r="L215" s="1678"/>
      <c r="M215" s="1678"/>
      <c r="N215" s="1678"/>
      <c r="O215" s="1678"/>
      <c r="P215" s="1678"/>
      <c r="Q215" s="1678"/>
      <c r="R215" s="1678"/>
      <c r="S215" s="1678"/>
      <c r="T215" s="1678"/>
      <c r="U215" s="1678"/>
      <c r="V215" s="1678"/>
      <c r="W215" s="1678"/>
      <c r="X215" s="1678"/>
      <c r="Y215" s="1678"/>
      <c r="Z215" s="1678"/>
      <c r="AA215" s="1678"/>
      <c r="AB215" s="1678"/>
      <c r="AC215" s="1678"/>
      <c r="AD215" s="1678"/>
      <c r="AE215" s="1678"/>
      <c r="AF215" s="1678"/>
    </row>
    <row r="216" spans="1:32">
      <c r="A216" s="983" t="s">
        <v>586</v>
      </c>
      <c r="B216" s="665"/>
      <c r="C216" s="665"/>
      <c r="E216" s="665"/>
      <c r="F216" s="665"/>
      <c r="G216" s="665"/>
      <c r="H216" s="665"/>
      <c r="I216" s="1680"/>
      <c r="J216" s="1680"/>
      <c r="K216" s="1680"/>
      <c r="L216" s="1680"/>
      <c r="M216" s="1680"/>
      <c r="N216" s="1680"/>
      <c r="O216" s="1680"/>
      <c r="P216" s="1680"/>
      <c r="Q216" s="1680"/>
      <c r="R216" s="1680"/>
      <c r="S216" s="1680"/>
      <c r="T216" s="1680"/>
      <c r="U216" s="1680"/>
      <c r="V216" s="1680"/>
      <c r="W216" s="1680"/>
      <c r="X216" s="1680"/>
      <c r="Y216" s="1680"/>
      <c r="Z216" s="1680"/>
      <c r="AA216" s="1680"/>
      <c r="AB216" s="1680"/>
      <c r="AC216" s="1680"/>
      <c r="AD216" s="1680"/>
      <c r="AE216" s="1680"/>
      <c r="AF216" s="1680"/>
    </row>
    <row r="217" spans="1:32">
      <c r="A217" s="974"/>
      <c r="B217" s="665"/>
      <c r="C217" s="665"/>
      <c r="E217" s="665"/>
      <c r="F217" s="665"/>
      <c r="G217" s="665"/>
      <c r="H217" s="665"/>
      <c r="I217" s="1680"/>
      <c r="J217" s="1680"/>
      <c r="K217" s="1680"/>
      <c r="L217" s="1680"/>
      <c r="M217" s="1680"/>
      <c r="N217" s="1680"/>
      <c r="O217" s="1680"/>
      <c r="P217" s="1680"/>
      <c r="Q217" s="1680"/>
      <c r="R217" s="1680"/>
      <c r="S217" s="1680"/>
      <c r="T217" s="1680"/>
      <c r="U217" s="1680"/>
      <c r="V217" s="1680"/>
      <c r="W217" s="1680"/>
      <c r="X217" s="1680"/>
      <c r="Y217" s="1680"/>
      <c r="Z217" s="1680"/>
      <c r="AA217" s="1680"/>
      <c r="AB217" s="1680"/>
      <c r="AC217" s="1680"/>
      <c r="AD217" s="1680"/>
      <c r="AE217" s="1680"/>
      <c r="AF217" s="1680"/>
    </row>
    <row r="218" spans="1:32">
      <c r="A218" s="974"/>
      <c r="B218" s="665"/>
      <c r="C218" s="665"/>
      <c r="E218" s="941" t="s">
        <v>587</v>
      </c>
      <c r="F218" s="861"/>
      <c r="G218" s="861"/>
      <c r="H218" s="984">
        <v>0</v>
      </c>
      <c r="I218" s="1680"/>
      <c r="J218" s="1739" t="s">
        <v>1162</v>
      </c>
      <c r="K218" s="1680"/>
      <c r="L218" s="1680"/>
      <c r="M218" s="1680"/>
      <c r="N218" s="1680"/>
      <c r="O218" s="1680"/>
      <c r="P218" s="1680"/>
      <c r="Q218" s="1680"/>
      <c r="R218" s="1680"/>
      <c r="S218" s="1680"/>
      <c r="T218" s="1680"/>
      <c r="U218" s="1680"/>
      <c r="V218" s="1680"/>
      <c r="W218" s="1680"/>
      <c r="X218" s="1680"/>
      <c r="Y218" s="1680"/>
      <c r="Z218" s="1680"/>
      <c r="AA218" s="1680"/>
      <c r="AB218" s="1680"/>
      <c r="AC218" s="1680"/>
      <c r="AD218" s="1680"/>
      <c r="AE218" s="1680"/>
      <c r="AF218" s="1680"/>
    </row>
    <row r="219" spans="1:32">
      <c r="A219" s="974"/>
      <c r="B219" s="961"/>
      <c r="E219" s="945" t="str">
        <f>"Currency (USD-1, "&amp;curr2&amp;"-2)"</f>
        <v>Currency (USD-1, Reis-2)</v>
      </c>
      <c r="F219" s="861"/>
      <c r="G219" s="861"/>
      <c r="H219" s="951">
        <v>1</v>
      </c>
      <c r="I219" s="1680"/>
      <c r="J219" s="1680"/>
      <c r="K219" s="1680"/>
      <c r="L219" s="1680"/>
      <c r="M219" s="1680"/>
      <c r="N219" s="1680"/>
      <c r="O219" s="1680"/>
      <c r="P219" s="1680"/>
      <c r="Q219" s="1680"/>
      <c r="R219" s="1680"/>
      <c r="S219" s="1680"/>
      <c r="T219" s="1680"/>
      <c r="U219" s="1680"/>
      <c r="V219" s="1680"/>
      <c r="W219" s="1680"/>
      <c r="X219" s="1680"/>
      <c r="Y219" s="1680"/>
      <c r="Z219" s="1680"/>
      <c r="AA219" s="1680"/>
      <c r="AB219" s="1680"/>
      <c r="AC219" s="1680"/>
      <c r="AD219" s="1680"/>
      <c r="AE219" s="1680"/>
      <c r="AF219" s="1680"/>
    </row>
    <row r="220" spans="1:32">
      <c r="A220" s="974"/>
      <c r="B220" s="961"/>
      <c r="E220" s="950" t="s">
        <v>571</v>
      </c>
      <c r="F220" s="861"/>
      <c r="G220" s="861"/>
      <c r="H220" s="951">
        <v>1</v>
      </c>
      <c r="I220" s="1680"/>
      <c r="J220" s="1680"/>
      <c r="K220" s="1680"/>
      <c r="L220" s="1680"/>
      <c r="M220" s="1680"/>
      <c r="N220" s="1680"/>
      <c r="O220" s="1680"/>
      <c r="P220" s="1680"/>
      <c r="Q220" s="1680"/>
      <c r="R220" s="1680"/>
      <c r="S220" s="1680"/>
      <c r="T220" s="1680"/>
      <c r="U220" s="1680"/>
      <c r="V220" s="1680"/>
      <c r="W220" s="1680"/>
      <c r="X220" s="1680"/>
      <c r="Y220" s="1680"/>
      <c r="Z220" s="1680"/>
      <c r="AA220" s="1680"/>
      <c r="AB220" s="1680"/>
      <c r="AC220" s="1680"/>
      <c r="AD220" s="1680"/>
      <c r="AE220" s="1680"/>
      <c r="AF220" s="1680"/>
    </row>
    <row r="221" spans="1:32">
      <c r="A221" s="974"/>
      <c r="C221" s="935" t="s">
        <v>584</v>
      </c>
      <c r="D221" s="861"/>
      <c r="I221" s="1685">
        <f>($H218)*CHOOSE($H219,1,I$138)*IF($H219=1,CHOOSE($H220,1,I$129),CHOOSE($H220,1,I$144))</f>
        <v>0</v>
      </c>
      <c r="J221" s="1685">
        <f>($H218)*CHOOSE($H219,1,J$138)*IF($H219=1,CHOOSE($H220,1,J$129),CHOOSE($H220,1,J$144))</f>
        <v>0</v>
      </c>
      <c r="K221" s="1685">
        <f t="shared" ref="K221:AF221" si="93">($H218)*CHOOSE($H219,1,K$138)*IF($H219=1,CHOOSE($H220,1,K$129),CHOOSE($H220,1,K$144))</f>
        <v>0</v>
      </c>
      <c r="L221" s="1685">
        <f t="shared" si="93"/>
        <v>0</v>
      </c>
      <c r="M221" s="1685">
        <f t="shared" si="93"/>
        <v>0</v>
      </c>
      <c r="N221" s="1685">
        <f t="shared" si="93"/>
        <v>0</v>
      </c>
      <c r="O221" s="1685">
        <f t="shared" si="93"/>
        <v>0</v>
      </c>
      <c r="P221" s="1685">
        <f t="shared" si="93"/>
        <v>0</v>
      </c>
      <c r="Q221" s="1685">
        <f t="shared" si="93"/>
        <v>0</v>
      </c>
      <c r="R221" s="1685">
        <f t="shared" si="93"/>
        <v>0</v>
      </c>
      <c r="S221" s="1685">
        <f t="shared" si="93"/>
        <v>0</v>
      </c>
      <c r="T221" s="1685">
        <f t="shared" si="93"/>
        <v>0</v>
      </c>
      <c r="U221" s="1685">
        <f t="shared" si="93"/>
        <v>0</v>
      </c>
      <c r="V221" s="1685">
        <f t="shared" si="93"/>
        <v>0</v>
      </c>
      <c r="W221" s="1685">
        <f t="shared" si="93"/>
        <v>0</v>
      </c>
      <c r="X221" s="1685">
        <f t="shared" si="93"/>
        <v>0</v>
      </c>
      <c r="Y221" s="1685">
        <f t="shared" si="93"/>
        <v>0</v>
      </c>
      <c r="Z221" s="1685">
        <f t="shared" si="93"/>
        <v>0</v>
      </c>
      <c r="AA221" s="1685">
        <f t="shared" si="93"/>
        <v>0</v>
      </c>
      <c r="AB221" s="1685">
        <f t="shared" si="93"/>
        <v>0</v>
      </c>
      <c r="AC221" s="1685">
        <f t="shared" si="93"/>
        <v>0</v>
      </c>
      <c r="AD221" s="1685">
        <f t="shared" si="93"/>
        <v>0</v>
      </c>
      <c r="AE221" s="1685">
        <f t="shared" si="93"/>
        <v>0</v>
      </c>
      <c r="AF221" s="1685">
        <f t="shared" si="93"/>
        <v>0</v>
      </c>
    </row>
    <row r="222" spans="1:32">
      <c r="A222" s="974"/>
      <c r="B222" s="935" t="s">
        <v>588</v>
      </c>
      <c r="C222" s="861"/>
      <c r="D222" s="861"/>
      <c r="I222" s="1679">
        <f>+I221</f>
        <v>0</v>
      </c>
      <c r="J222" s="1679">
        <f t="shared" ref="J222:AC222" si="94">+J221</f>
        <v>0</v>
      </c>
      <c r="K222" s="1679">
        <f t="shared" si="94"/>
        <v>0</v>
      </c>
      <c r="L222" s="1679">
        <f t="shared" si="94"/>
        <v>0</v>
      </c>
      <c r="M222" s="1679">
        <f t="shared" si="94"/>
        <v>0</v>
      </c>
      <c r="N222" s="1679">
        <f t="shared" si="94"/>
        <v>0</v>
      </c>
      <c r="O222" s="1679">
        <f t="shared" si="94"/>
        <v>0</v>
      </c>
      <c r="P222" s="1679">
        <f t="shared" si="94"/>
        <v>0</v>
      </c>
      <c r="Q222" s="1679">
        <f t="shared" si="94"/>
        <v>0</v>
      </c>
      <c r="R222" s="1679">
        <f t="shared" si="94"/>
        <v>0</v>
      </c>
      <c r="S222" s="1679">
        <f t="shared" si="94"/>
        <v>0</v>
      </c>
      <c r="T222" s="1679">
        <f t="shared" si="94"/>
        <v>0</v>
      </c>
      <c r="U222" s="1679">
        <f t="shared" si="94"/>
        <v>0</v>
      </c>
      <c r="V222" s="1679">
        <f t="shared" si="94"/>
        <v>0</v>
      </c>
      <c r="W222" s="1679">
        <f t="shared" si="94"/>
        <v>0</v>
      </c>
      <c r="X222" s="1679">
        <f t="shared" si="94"/>
        <v>0</v>
      </c>
      <c r="Y222" s="1679">
        <f t="shared" si="94"/>
        <v>0</v>
      </c>
      <c r="Z222" s="1679">
        <f t="shared" si="94"/>
        <v>0</v>
      </c>
      <c r="AA222" s="1679">
        <f t="shared" si="94"/>
        <v>0</v>
      </c>
      <c r="AB222" s="1679">
        <f t="shared" si="94"/>
        <v>0</v>
      </c>
      <c r="AC222" s="1679">
        <f t="shared" si="94"/>
        <v>0</v>
      </c>
      <c r="AD222" s="1679">
        <f>+AD221</f>
        <v>0</v>
      </c>
      <c r="AE222" s="1679">
        <f>+AE221</f>
        <v>0</v>
      </c>
      <c r="AF222" s="1679">
        <f>+AF221</f>
        <v>0</v>
      </c>
    </row>
    <row r="223" spans="1:32">
      <c r="A223" s="974"/>
      <c r="B223" s="935"/>
      <c r="C223" s="861"/>
      <c r="D223" s="861"/>
      <c r="I223" s="1678"/>
      <c r="J223" s="1678"/>
      <c r="K223" s="1678"/>
      <c r="L223" s="1678"/>
      <c r="M223" s="1678"/>
      <c r="N223" s="1678"/>
      <c r="O223" s="1678"/>
      <c r="P223" s="1678"/>
      <c r="Q223" s="1678"/>
      <c r="R223" s="1678"/>
      <c r="S223" s="1678"/>
      <c r="T223" s="1678"/>
      <c r="U223" s="1678"/>
      <c r="V223" s="1678"/>
      <c r="W223" s="1678"/>
      <c r="X223" s="1678"/>
      <c r="Y223" s="1678"/>
      <c r="Z223" s="1678"/>
      <c r="AA223" s="1678"/>
      <c r="AB223" s="1678"/>
      <c r="AC223" s="1678"/>
      <c r="AD223" s="1678"/>
      <c r="AE223" s="1678"/>
      <c r="AF223" s="1678"/>
    </row>
    <row r="224" spans="1:32">
      <c r="A224" s="974"/>
      <c r="B224" s="961"/>
      <c r="E224" s="975"/>
      <c r="F224" s="975"/>
      <c r="G224" s="975"/>
      <c r="H224" s="975"/>
      <c r="I224" s="1680"/>
      <c r="J224" s="1680"/>
      <c r="K224" s="1680"/>
      <c r="L224" s="1680"/>
      <c r="M224" s="1680"/>
      <c r="N224" s="1680"/>
      <c r="O224" s="1680"/>
      <c r="P224" s="1680"/>
      <c r="Q224" s="1680"/>
      <c r="R224" s="1680"/>
      <c r="S224" s="1680"/>
      <c r="T224" s="1680"/>
      <c r="U224" s="1680"/>
      <c r="V224" s="1680"/>
      <c r="W224" s="1680"/>
      <c r="X224" s="1680"/>
      <c r="Y224" s="1680"/>
      <c r="Z224" s="1680"/>
      <c r="AA224" s="1680"/>
      <c r="AB224" s="1680"/>
      <c r="AC224" s="1680"/>
      <c r="AD224" s="1680"/>
      <c r="AE224" s="1680"/>
      <c r="AF224" s="1680"/>
    </row>
    <row r="225" spans="1:32">
      <c r="A225" s="974"/>
      <c r="B225" s="969" t="s">
        <v>589</v>
      </c>
      <c r="I225" s="1682">
        <f t="shared" ref="I225:AF225" ca="1" si="95">+I214+I222</f>
        <v>63590.006530416016</v>
      </c>
      <c r="J225" s="1673">
        <f t="shared" ca="1" si="95"/>
        <v>122157.05764183549</v>
      </c>
      <c r="K225" s="1673">
        <f t="shared" ca="1" si="95"/>
        <v>125401.43660798989</v>
      </c>
      <c r="L225" s="1673">
        <f t="shared" ca="1" si="95"/>
        <v>128115.35773057288</v>
      </c>
      <c r="M225" s="1673">
        <f t="shared" ca="1" si="95"/>
        <v>132963.28598446734</v>
      </c>
      <c r="N225" s="1673">
        <f t="shared" ca="1" si="95"/>
        <v>138026.26740941746</v>
      </c>
      <c r="O225" s="1673">
        <f t="shared" ca="1" si="95"/>
        <v>136533.11676612738</v>
      </c>
      <c r="P225" s="1673">
        <f t="shared" ca="1" si="95"/>
        <v>146630.78498192527</v>
      </c>
      <c r="Q225" s="1673">
        <f t="shared" ca="1" si="95"/>
        <v>151172.77870933243</v>
      </c>
      <c r="R225" s="1673">
        <f t="shared" ca="1" si="95"/>
        <v>154155.00812004207</v>
      </c>
      <c r="S225" s="1673">
        <f t="shared" ca="1" si="95"/>
        <v>159686.98628610911</v>
      </c>
      <c r="T225" s="1673">
        <f t="shared" ca="1" si="95"/>
        <v>164109.36335281088</v>
      </c>
      <c r="U225" s="1673">
        <f t="shared" ca="1" si="95"/>
        <v>159128.67070220297</v>
      </c>
      <c r="V225" s="1673">
        <f t="shared" ca="1" si="95"/>
        <v>171295.32049021029</v>
      </c>
      <c r="W225" s="1673">
        <f t="shared" ca="1" si="95"/>
        <v>176775.1657946663</v>
      </c>
      <c r="X225" s="1673">
        <f t="shared" ca="1" si="95"/>
        <v>180596.89611585156</v>
      </c>
      <c r="Y225" s="1673">
        <f t="shared" ca="1" si="95"/>
        <v>187058.19972942118</v>
      </c>
      <c r="Z225" s="1673">
        <f t="shared" ca="1" si="95"/>
        <v>189953.99469611011</v>
      </c>
      <c r="AA225" s="1673">
        <f t="shared" ca="1" si="95"/>
        <v>182000.92716407828</v>
      </c>
      <c r="AB225" s="1673">
        <f t="shared" ca="1" si="95"/>
        <v>178884.86411938362</v>
      </c>
      <c r="AC225" s="1673">
        <f t="shared" si="95"/>
        <v>0</v>
      </c>
      <c r="AD225" s="1673">
        <f t="shared" si="95"/>
        <v>0</v>
      </c>
      <c r="AE225" s="1673">
        <f t="shared" si="95"/>
        <v>0</v>
      </c>
      <c r="AF225" s="1673">
        <f t="shared" si="95"/>
        <v>0</v>
      </c>
    </row>
    <row r="226" spans="1:32" ht="12" thickBot="1">
      <c r="A226" s="818"/>
      <c r="C226" s="818"/>
      <c r="D226" s="818"/>
      <c r="E226" s="818"/>
      <c r="F226" s="818"/>
      <c r="G226" s="818"/>
      <c r="H226" s="818"/>
      <c r="I226" s="818"/>
      <c r="J226" s="818"/>
      <c r="K226" s="818"/>
      <c r="L226" s="818"/>
      <c r="M226" s="818"/>
      <c r="N226" s="818"/>
      <c r="O226" s="818"/>
      <c r="P226" s="818"/>
      <c r="Q226" s="818"/>
      <c r="R226" s="818"/>
      <c r="S226" s="818"/>
      <c r="T226" s="818"/>
      <c r="U226" s="818"/>
      <c r="V226" s="818"/>
      <c r="W226" s="818"/>
      <c r="X226" s="741"/>
      <c r="Y226" s="741"/>
      <c r="Z226" s="741"/>
      <c r="AA226" s="741"/>
      <c r="AB226" s="741"/>
      <c r="AC226" s="741"/>
      <c r="AD226" s="741"/>
      <c r="AE226" s="741"/>
      <c r="AF226" s="741"/>
    </row>
    <row r="227" spans="1:32" ht="12.75" thickTop="1" thickBot="1">
      <c r="A227" s="985"/>
      <c r="B227" s="839"/>
      <c r="C227" s="985"/>
      <c r="D227" s="985"/>
      <c r="E227" s="985"/>
      <c r="F227" s="985"/>
      <c r="G227" s="985"/>
      <c r="H227" s="985"/>
      <c r="I227" s="985"/>
      <c r="J227" s="985"/>
      <c r="K227" s="985"/>
      <c r="L227" s="985"/>
      <c r="M227" s="985"/>
      <c r="N227" s="985"/>
      <c r="O227" s="985"/>
      <c r="P227" s="985"/>
      <c r="Q227" s="985"/>
      <c r="R227" s="985"/>
      <c r="S227" s="985"/>
      <c r="T227" s="985"/>
      <c r="U227" s="985"/>
      <c r="V227" s="985"/>
      <c r="W227" s="985"/>
      <c r="X227" s="985"/>
      <c r="Y227" s="985"/>
      <c r="Z227" s="985"/>
      <c r="AA227" s="985"/>
      <c r="AB227" s="985"/>
      <c r="AC227" s="985"/>
      <c r="AD227" s="985"/>
      <c r="AE227" s="985"/>
      <c r="AF227" s="985"/>
    </row>
    <row r="228" spans="1:32" ht="12.75" thickTop="1" thickBot="1">
      <c r="A228" s="986" t="s">
        <v>590</v>
      </c>
      <c r="C228" s="818"/>
      <c r="D228" s="818"/>
      <c r="E228" s="818"/>
      <c r="F228" s="818"/>
      <c r="G228" s="818"/>
      <c r="H228" s="818"/>
      <c r="I228" s="842">
        <f t="shared" ref="I228:R228" si="96">+I$3</f>
        <v>37986</v>
      </c>
      <c r="J228" s="843">
        <f t="shared" si="96"/>
        <v>2004</v>
      </c>
      <c r="K228" s="843">
        <f t="shared" si="96"/>
        <v>2005</v>
      </c>
      <c r="L228" s="843">
        <f t="shared" si="96"/>
        <v>2006</v>
      </c>
      <c r="M228" s="843">
        <f t="shared" si="96"/>
        <v>2007</v>
      </c>
      <c r="N228" s="843">
        <f t="shared" si="96"/>
        <v>2008</v>
      </c>
      <c r="O228" s="843">
        <f t="shared" si="96"/>
        <v>2009</v>
      </c>
      <c r="P228" s="843">
        <f t="shared" si="96"/>
        <v>2010</v>
      </c>
      <c r="Q228" s="843">
        <f t="shared" si="96"/>
        <v>2011</v>
      </c>
      <c r="R228" s="843">
        <f t="shared" si="96"/>
        <v>2012</v>
      </c>
      <c r="S228" s="843">
        <f t="shared" ref="S228:AF228" si="97">+S$3</f>
        <v>2013</v>
      </c>
      <c r="T228" s="843">
        <f t="shared" si="97"/>
        <v>2014</v>
      </c>
      <c r="U228" s="843">
        <f t="shared" si="97"/>
        <v>2015</v>
      </c>
      <c r="V228" s="843">
        <f t="shared" si="97"/>
        <v>2016</v>
      </c>
      <c r="W228" s="843">
        <f t="shared" si="97"/>
        <v>2017</v>
      </c>
      <c r="X228" s="843">
        <f t="shared" si="97"/>
        <v>2018</v>
      </c>
      <c r="Y228" s="843">
        <f t="shared" si="97"/>
        <v>2019</v>
      </c>
      <c r="Z228" s="843">
        <f t="shared" si="97"/>
        <v>2020</v>
      </c>
      <c r="AA228" s="843">
        <f t="shared" si="97"/>
        <v>2021</v>
      </c>
      <c r="AB228" s="843">
        <f t="shared" si="97"/>
        <v>2022</v>
      </c>
      <c r="AC228" s="843">
        <f t="shared" si="97"/>
        <v>2023</v>
      </c>
      <c r="AD228" s="843">
        <f t="shared" si="97"/>
        <v>2024</v>
      </c>
      <c r="AE228" s="843">
        <f t="shared" si="97"/>
        <v>2025</v>
      </c>
      <c r="AF228" s="843">
        <f t="shared" si="97"/>
        <v>2026</v>
      </c>
    </row>
    <row r="229" spans="1:32" ht="12" thickTop="1"/>
    <row r="230" spans="1:32">
      <c r="A230" s="937" t="s">
        <v>1032</v>
      </c>
      <c r="B230" s="665"/>
      <c r="C230" s="665"/>
      <c r="E230" s="945" t="str">
        <f>"Currency (USD-1, "&amp;curr2&amp;"-2)"</f>
        <v>Currency (USD-1, Reis-2)</v>
      </c>
      <c r="F230" s="861"/>
      <c r="G230" s="861"/>
      <c r="H230" s="951">
        <v>1</v>
      </c>
      <c r="I230" s="1676">
        <f t="array" ref="I230:AF230">TRANSPOSE(CALC!II17:II40)/1000</f>
        <v>563.33157758849529</v>
      </c>
      <c r="J230" s="1676">
        <v>1027.6480640546306</v>
      </c>
      <c r="K230" s="1676">
        <v>1211.6867013922201</v>
      </c>
      <c r="L230" s="1676">
        <v>1279.9011849642502</v>
      </c>
      <c r="M230" s="1676">
        <v>1277.5557212494791</v>
      </c>
      <c r="N230" s="1676">
        <v>1213.3331488568444</v>
      </c>
      <c r="O230" s="1676">
        <v>1171.6533511612045</v>
      </c>
      <c r="P230" s="1676">
        <v>1376.9636891633838</v>
      </c>
      <c r="Q230" s="1676">
        <v>1356.8155863281736</v>
      </c>
      <c r="R230" s="1676">
        <v>1375.9863772826643</v>
      </c>
      <c r="S230" s="1676">
        <v>1402.8450329888631</v>
      </c>
      <c r="T230" s="1676">
        <v>1316.9575505336875</v>
      </c>
      <c r="U230" s="1676">
        <v>1391.8721430881837</v>
      </c>
      <c r="V230" s="1676">
        <v>1293.0597995125149</v>
      </c>
      <c r="W230" s="1676">
        <v>1274.9717574819908</v>
      </c>
      <c r="X230" s="1676">
        <v>1252.8315649988035</v>
      </c>
      <c r="Y230" s="1676">
        <v>1275.9431224632472</v>
      </c>
      <c r="Z230" s="1676">
        <v>1241.6395859874606</v>
      </c>
      <c r="AA230" s="1676">
        <v>1228.6868798225205</v>
      </c>
      <c r="AB230" s="1676">
        <v>1089.172581472852</v>
      </c>
      <c r="AC230" s="1676">
        <v>225.50512559270743</v>
      </c>
      <c r="AD230" s="1676">
        <v>0</v>
      </c>
      <c r="AE230" s="1676">
        <v>0</v>
      </c>
      <c r="AF230" s="1676">
        <v>0</v>
      </c>
    </row>
    <row r="231" spans="1:32">
      <c r="A231" s="980"/>
      <c r="B231" s="665"/>
      <c r="C231" s="665"/>
      <c r="D231" s="861"/>
      <c r="E231" s="950" t="s">
        <v>571</v>
      </c>
      <c r="F231" s="861"/>
      <c r="G231" s="861"/>
      <c r="H231" s="951">
        <v>1</v>
      </c>
      <c r="I231" s="1677"/>
      <c r="J231" s="1740" t="s">
        <v>1164</v>
      </c>
      <c r="K231" s="1677"/>
      <c r="L231" s="1677"/>
      <c r="M231" s="1677"/>
      <c r="N231" s="1677"/>
      <c r="O231" s="1677"/>
      <c r="P231" s="1677"/>
      <c r="Q231" s="1677"/>
      <c r="R231" s="1677"/>
      <c r="S231" s="1677"/>
      <c r="T231" s="1677"/>
      <c r="U231" s="1677"/>
      <c r="V231" s="1677"/>
      <c r="W231" s="1677"/>
      <c r="X231" s="1677"/>
      <c r="Y231" s="1677"/>
      <c r="Z231" s="1677"/>
      <c r="AA231" s="1677"/>
      <c r="AB231" s="1677"/>
      <c r="AC231" s="1677"/>
      <c r="AD231" s="1677"/>
      <c r="AE231" s="1677"/>
      <c r="AF231" s="1677"/>
    </row>
    <row r="232" spans="1:32">
      <c r="A232" s="980"/>
      <c r="B232" s="861"/>
      <c r="C232" s="861"/>
      <c r="D232" s="861"/>
      <c r="I232" s="1677"/>
      <c r="J232" s="1677"/>
      <c r="K232" s="1677"/>
      <c r="L232" s="1677"/>
      <c r="M232" s="1677"/>
      <c r="N232" s="1677"/>
      <c r="O232" s="1677"/>
      <c r="P232" s="1677"/>
      <c r="Q232" s="1677"/>
      <c r="R232" s="1677"/>
      <c r="S232" s="1677"/>
      <c r="T232" s="1677"/>
      <c r="U232" s="1677"/>
      <c r="V232" s="1677"/>
      <c r="W232" s="1677"/>
      <c r="X232" s="1677"/>
      <c r="Y232" s="1677"/>
      <c r="Z232" s="1677"/>
      <c r="AA232" s="1677"/>
      <c r="AB232" s="1677"/>
      <c r="AC232" s="1677"/>
      <c r="AD232" s="1677"/>
      <c r="AE232" s="1677"/>
      <c r="AF232" s="1677"/>
    </row>
    <row r="233" spans="1:32">
      <c r="A233" s="980"/>
      <c r="C233" s="935" t="s">
        <v>584</v>
      </c>
      <c r="D233" s="861"/>
      <c r="I233" s="1678">
        <f t="shared" ref="I233:AF233" si="98">I230*CHOOSE($H$230,1,I138)*CHOOSE($H$231,1,I129)</f>
        <v>563.33157758849529</v>
      </c>
      <c r="J233" s="1678">
        <f t="shared" si="98"/>
        <v>1027.6480640546306</v>
      </c>
      <c r="K233" s="1678">
        <f t="shared" si="98"/>
        <v>1211.6867013922201</v>
      </c>
      <c r="L233" s="1678">
        <f t="shared" si="98"/>
        <v>1279.9011849642502</v>
      </c>
      <c r="M233" s="1678">
        <f t="shared" si="98"/>
        <v>1277.5557212494791</v>
      </c>
      <c r="N233" s="1678">
        <f t="shared" si="98"/>
        <v>1213.3331488568444</v>
      </c>
      <c r="O233" s="1678">
        <f t="shared" si="98"/>
        <v>1171.6533511612045</v>
      </c>
      <c r="P233" s="1678">
        <f t="shared" si="98"/>
        <v>1376.9636891633838</v>
      </c>
      <c r="Q233" s="1678">
        <f t="shared" si="98"/>
        <v>1356.8155863281736</v>
      </c>
      <c r="R233" s="1678">
        <f t="shared" si="98"/>
        <v>1375.9863772826643</v>
      </c>
      <c r="S233" s="1678">
        <f t="shared" si="98"/>
        <v>1402.8450329888631</v>
      </c>
      <c r="T233" s="1678">
        <f t="shared" si="98"/>
        <v>1316.9575505336875</v>
      </c>
      <c r="U233" s="1678">
        <f t="shared" si="98"/>
        <v>1391.8721430881837</v>
      </c>
      <c r="V233" s="1678">
        <f t="shared" si="98"/>
        <v>1293.0597995125149</v>
      </c>
      <c r="W233" s="1678">
        <f t="shared" si="98"/>
        <v>1274.9717574819908</v>
      </c>
      <c r="X233" s="1678">
        <f t="shared" si="98"/>
        <v>1252.8315649988035</v>
      </c>
      <c r="Y233" s="1678">
        <f t="shared" si="98"/>
        <v>1275.9431224632472</v>
      </c>
      <c r="Z233" s="1678">
        <f t="shared" si="98"/>
        <v>1241.6395859874606</v>
      </c>
      <c r="AA233" s="1678">
        <f t="shared" si="98"/>
        <v>1228.6868798225205</v>
      </c>
      <c r="AB233" s="1678">
        <f t="shared" si="98"/>
        <v>1089.172581472852</v>
      </c>
      <c r="AC233" s="1678">
        <f t="shared" si="98"/>
        <v>225.50512559270743</v>
      </c>
      <c r="AD233" s="1678">
        <f t="shared" si="98"/>
        <v>0</v>
      </c>
      <c r="AE233" s="1678">
        <f t="shared" si="98"/>
        <v>0</v>
      </c>
      <c r="AF233" s="1678">
        <f t="shared" si="98"/>
        <v>0</v>
      </c>
    </row>
    <row r="234" spans="1:32">
      <c r="A234" s="980"/>
      <c r="B234" s="935" t="s">
        <v>591</v>
      </c>
      <c r="C234" s="861"/>
      <c r="D234" s="861"/>
      <c r="I234" s="1679">
        <f>+I233</f>
        <v>563.33157758849529</v>
      </c>
      <c r="J234" s="1679">
        <f t="shared" ref="J234:AC234" si="99">+J233</f>
        <v>1027.6480640546306</v>
      </c>
      <c r="K234" s="1679">
        <f t="shared" si="99"/>
        <v>1211.6867013922201</v>
      </c>
      <c r="L234" s="1679">
        <f t="shared" si="99"/>
        <v>1279.9011849642502</v>
      </c>
      <c r="M234" s="1679">
        <f t="shared" si="99"/>
        <v>1277.5557212494791</v>
      </c>
      <c r="N234" s="1679">
        <f t="shared" si="99"/>
        <v>1213.3331488568444</v>
      </c>
      <c r="O234" s="1679">
        <f t="shared" si="99"/>
        <v>1171.6533511612045</v>
      </c>
      <c r="P234" s="1679">
        <f t="shared" si="99"/>
        <v>1376.9636891633838</v>
      </c>
      <c r="Q234" s="1679">
        <f t="shared" si="99"/>
        <v>1356.8155863281736</v>
      </c>
      <c r="R234" s="1679">
        <f t="shared" si="99"/>
        <v>1375.9863772826643</v>
      </c>
      <c r="S234" s="1679">
        <f t="shared" si="99"/>
        <v>1402.8450329888631</v>
      </c>
      <c r="T234" s="1679">
        <f t="shared" si="99"/>
        <v>1316.9575505336875</v>
      </c>
      <c r="U234" s="1679">
        <f t="shared" si="99"/>
        <v>1391.8721430881837</v>
      </c>
      <c r="V234" s="1679">
        <f t="shared" si="99"/>
        <v>1293.0597995125149</v>
      </c>
      <c r="W234" s="1679">
        <f t="shared" si="99"/>
        <v>1274.9717574819908</v>
      </c>
      <c r="X234" s="1679">
        <f t="shared" si="99"/>
        <v>1252.8315649988035</v>
      </c>
      <c r="Y234" s="1679">
        <f t="shared" si="99"/>
        <v>1275.9431224632472</v>
      </c>
      <c r="Z234" s="1679">
        <f t="shared" si="99"/>
        <v>1241.6395859874606</v>
      </c>
      <c r="AA234" s="1679">
        <f t="shared" si="99"/>
        <v>1228.6868798225205</v>
      </c>
      <c r="AB234" s="1679">
        <f t="shared" si="99"/>
        <v>1089.172581472852</v>
      </c>
      <c r="AC234" s="1679">
        <f t="shared" si="99"/>
        <v>225.50512559270743</v>
      </c>
      <c r="AD234" s="1679">
        <f>+AD233</f>
        <v>0</v>
      </c>
      <c r="AE234" s="1679">
        <f>+AE233</f>
        <v>0</v>
      </c>
      <c r="AF234" s="1679">
        <f>+AF233</f>
        <v>0</v>
      </c>
    </row>
    <row r="235" spans="1:32">
      <c r="A235" s="917" t="s">
        <v>586</v>
      </c>
      <c r="B235" s="961"/>
      <c r="E235" s="975"/>
      <c r="F235" s="975"/>
      <c r="G235" s="975"/>
      <c r="H235" s="975"/>
      <c r="I235" s="1680"/>
      <c r="J235" s="1680"/>
      <c r="K235" s="1680"/>
      <c r="L235" s="1680"/>
      <c r="M235" s="1680"/>
      <c r="N235" s="1680"/>
      <c r="O235" s="1680"/>
      <c r="P235" s="1680"/>
      <c r="Q235" s="1680"/>
      <c r="R235" s="1680"/>
      <c r="S235" s="1680"/>
      <c r="T235" s="1680"/>
      <c r="U235" s="1680"/>
      <c r="V235" s="1680"/>
      <c r="W235" s="1680"/>
      <c r="X235" s="1680"/>
      <c r="Y235" s="1680"/>
      <c r="Z235" s="1680"/>
      <c r="AA235" s="1680"/>
      <c r="AB235" s="1680"/>
      <c r="AC235" s="1680"/>
      <c r="AD235" s="1680"/>
      <c r="AE235" s="1680"/>
      <c r="AF235" s="1680"/>
    </row>
    <row r="236" spans="1:32">
      <c r="A236" s="974"/>
      <c r="B236" s="665"/>
      <c r="C236" s="665"/>
      <c r="E236" s="941" t="s">
        <v>587</v>
      </c>
      <c r="F236" s="861"/>
      <c r="G236" s="861"/>
      <c r="H236" s="1578">
        <f>Assumptions!C52</f>
        <v>17470.770468750001</v>
      </c>
      <c r="I236" s="1680"/>
      <c r="J236" s="1680"/>
      <c r="K236" s="1680"/>
      <c r="L236" s="1680"/>
      <c r="M236" s="1680"/>
      <c r="N236" s="1680"/>
      <c r="O236" s="1680"/>
      <c r="P236" s="1680"/>
      <c r="Q236" s="1680"/>
      <c r="R236" s="1680"/>
      <c r="S236" s="1680"/>
      <c r="T236" s="1680"/>
      <c r="U236" s="1680"/>
      <c r="V236" s="1680"/>
      <c r="W236" s="1680"/>
      <c r="X236" s="1680"/>
      <c r="Y236" s="1680"/>
      <c r="Z236" s="1680"/>
      <c r="AA236" s="1680"/>
      <c r="AB236" s="1680"/>
      <c r="AC236" s="1680"/>
      <c r="AD236" s="1680"/>
      <c r="AE236" s="1680"/>
      <c r="AF236" s="1680"/>
    </row>
    <row r="237" spans="1:32">
      <c r="A237" s="974"/>
      <c r="B237" s="665"/>
      <c r="C237" s="665"/>
      <c r="E237" s="945" t="str">
        <f>"Currency (USD-1, "&amp;curr2&amp;"-2)"</f>
        <v>Currency (USD-1, Reis-2)</v>
      </c>
      <c r="F237" s="861"/>
      <c r="G237" s="861"/>
      <c r="H237" s="951">
        <v>1</v>
      </c>
      <c r="J237" s="1739" t="s">
        <v>1163</v>
      </c>
      <c r="K237" s="1680"/>
      <c r="L237" s="1680"/>
      <c r="M237" s="1680"/>
      <c r="N237" s="1680"/>
      <c r="O237" s="1680"/>
      <c r="P237" s="1680"/>
      <c r="Q237" s="1680"/>
      <c r="R237" s="1680"/>
      <c r="S237" s="1680"/>
      <c r="T237" s="1680"/>
      <c r="U237" s="1680"/>
      <c r="V237" s="1680"/>
      <c r="W237" s="1680"/>
      <c r="X237" s="1680"/>
      <c r="Y237" s="1680"/>
      <c r="Z237" s="1680"/>
      <c r="AA237" s="1680"/>
      <c r="AB237" s="1680"/>
      <c r="AC237" s="1680"/>
      <c r="AD237" s="1680"/>
      <c r="AE237" s="1680"/>
      <c r="AF237" s="1680"/>
    </row>
    <row r="238" spans="1:32">
      <c r="A238" s="974"/>
      <c r="B238" s="961"/>
      <c r="E238" s="950" t="s">
        <v>571</v>
      </c>
      <c r="F238" s="861"/>
      <c r="G238" s="861"/>
      <c r="H238" s="951">
        <v>2</v>
      </c>
      <c r="J238" s="1680"/>
      <c r="K238" s="1680"/>
      <c r="L238" s="1680"/>
      <c r="M238" s="1680"/>
      <c r="N238" s="1680"/>
      <c r="O238" s="1680"/>
      <c r="P238" s="1680"/>
      <c r="Q238" s="1680"/>
      <c r="R238" s="1680"/>
      <c r="S238" s="1680"/>
      <c r="T238" s="1680"/>
      <c r="U238" s="1680"/>
      <c r="V238" s="1680"/>
      <c r="W238" s="1680"/>
      <c r="X238" s="1680"/>
      <c r="Y238" s="1680"/>
      <c r="Z238" s="1680"/>
      <c r="AA238" s="1680"/>
      <c r="AB238" s="1680"/>
      <c r="AC238" s="1680"/>
      <c r="AD238" s="1680"/>
      <c r="AE238" s="1680"/>
      <c r="AF238" s="1680"/>
    </row>
    <row r="239" spans="1:32">
      <c r="A239" s="974"/>
      <c r="C239" s="935" t="s">
        <v>584</v>
      </c>
      <c r="D239" s="861"/>
      <c r="I239" s="1681">
        <f>$H$236*CHOOSE($H$237,1,I138)*CHOOSE($H$238,1,I129)*IF(C442&gt;0,C442,1)</f>
        <v>8742.6616914754104</v>
      </c>
      <c r="J239" s="1681">
        <f t="shared" ref="J239:AF239" si="100">$H$236*CHOOSE($H$237,1,J138)*CHOOSE($H$238,1,J129)</f>
        <v>17835.029850609837</v>
      </c>
      <c r="K239" s="1681">
        <f t="shared" si="100"/>
        <v>18191.730447622031</v>
      </c>
      <c r="L239" s="1681">
        <f t="shared" si="100"/>
        <v>18555.565056574473</v>
      </c>
      <c r="M239" s="1681">
        <f t="shared" si="100"/>
        <v>18926.676357705965</v>
      </c>
      <c r="N239" s="1681">
        <f t="shared" si="100"/>
        <v>19305.209884860084</v>
      </c>
      <c r="O239" s="1681">
        <f t="shared" si="100"/>
        <v>19691.314082557288</v>
      </c>
      <c r="P239" s="1681">
        <f t="shared" si="100"/>
        <v>20085.14036420843</v>
      </c>
      <c r="Q239" s="1681">
        <f t="shared" si="100"/>
        <v>20486.843171492601</v>
      </c>
      <c r="R239" s="1681">
        <f t="shared" si="100"/>
        <v>20896.580034922452</v>
      </c>
      <c r="S239" s="1681">
        <f t="shared" si="100"/>
        <v>21314.5116356209</v>
      </c>
      <c r="T239" s="1681">
        <f t="shared" si="100"/>
        <v>21740.801868333321</v>
      </c>
      <c r="U239" s="1681">
        <f t="shared" si="100"/>
        <v>22175.617905699986</v>
      </c>
      <c r="V239" s="1681">
        <f t="shared" si="100"/>
        <v>22619.130263813986</v>
      </c>
      <c r="W239" s="1681">
        <f t="shared" si="100"/>
        <v>23071.512869090267</v>
      </c>
      <c r="X239" s="1681">
        <f t="shared" si="100"/>
        <v>23532.943126472073</v>
      </c>
      <c r="Y239" s="1681">
        <f t="shared" si="100"/>
        <v>24003.601989001516</v>
      </c>
      <c r="Z239" s="1681">
        <f t="shared" si="100"/>
        <v>24483.674028781548</v>
      </c>
      <c r="AA239" s="1681">
        <f t="shared" si="100"/>
        <v>24973.34750935718</v>
      </c>
      <c r="AB239" s="1681">
        <f t="shared" si="100"/>
        <v>25472.814459544323</v>
      </c>
      <c r="AC239" s="1681">
        <f t="shared" si="100"/>
        <v>25982.270748735213</v>
      </c>
      <c r="AD239" s="1681">
        <f t="shared" si="100"/>
        <v>26501.916163709917</v>
      </c>
      <c r="AE239" s="1681">
        <f t="shared" si="100"/>
        <v>27031.954486984116</v>
      </c>
      <c r="AF239" s="1681">
        <f t="shared" si="100"/>
        <v>27572.593576723801</v>
      </c>
    </row>
    <row r="240" spans="1:32">
      <c r="A240" s="974"/>
      <c r="B240" s="935" t="s">
        <v>592</v>
      </c>
      <c r="C240" s="861"/>
      <c r="I240" s="1679">
        <f>+I239</f>
        <v>8742.6616914754104</v>
      </c>
      <c r="J240" s="1679">
        <f t="shared" ref="J240:AC240" si="101">+J239</f>
        <v>17835.029850609837</v>
      </c>
      <c r="K240" s="1679">
        <f t="shared" si="101"/>
        <v>18191.730447622031</v>
      </c>
      <c r="L240" s="1679">
        <f t="shared" si="101"/>
        <v>18555.565056574473</v>
      </c>
      <c r="M240" s="1679">
        <f t="shared" si="101"/>
        <v>18926.676357705965</v>
      </c>
      <c r="N240" s="1679">
        <f t="shared" si="101"/>
        <v>19305.209884860084</v>
      </c>
      <c r="O240" s="1679">
        <f t="shared" si="101"/>
        <v>19691.314082557288</v>
      </c>
      <c r="P240" s="1679">
        <f t="shared" si="101"/>
        <v>20085.14036420843</v>
      </c>
      <c r="Q240" s="1679">
        <f t="shared" si="101"/>
        <v>20486.843171492601</v>
      </c>
      <c r="R240" s="1679">
        <f t="shared" si="101"/>
        <v>20896.580034922452</v>
      </c>
      <c r="S240" s="1679">
        <f t="shared" si="101"/>
        <v>21314.5116356209</v>
      </c>
      <c r="T240" s="1679">
        <f t="shared" si="101"/>
        <v>21740.801868333321</v>
      </c>
      <c r="U240" s="1679">
        <f t="shared" si="101"/>
        <v>22175.617905699986</v>
      </c>
      <c r="V240" s="1679">
        <f t="shared" si="101"/>
        <v>22619.130263813986</v>
      </c>
      <c r="W240" s="1679">
        <f t="shared" si="101"/>
        <v>23071.512869090267</v>
      </c>
      <c r="X240" s="1679">
        <f t="shared" si="101"/>
        <v>23532.943126472073</v>
      </c>
      <c r="Y240" s="1679">
        <f t="shared" si="101"/>
        <v>24003.601989001516</v>
      </c>
      <c r="Z240" s="1679">
        <f t="shared" si="101"/>
        <v>24483.674028781548</v>
      </c>
      <c r="AA240" s="1679">
        <f t="shared" si="101"/>
        <v>24973.34750935718</v>
      </c>
      <c r="AB240" s="1679">
        <f t="shared" si="101"/>
        <v>25472.814459544323</v>
      </c>
      <c r="AC240" s="1679">
        <f t="shared" si="101"/>
        <v>25982.270748735213</v>
      </c>
      <c r="AD240" s="1679">
        <f>+AD239</f>
        <v>26501.916163709917</v>
      </c>
      <c r="AE240" s="1679">
        <f>+AE239</f>
        <v>27031.954486984116</v>
      </c>
      <c r="AF240" s="1679">
        <f>+AF239</f>
        <v>27572.593576723801</v>
      </c>
    </row>
    <row r="241" spans="1:32">
      <c r="A241" s="974"/>
      <c r="B241" s="961"/>
      <c r="E241" s="975"/>
      <c r="F241" s="975"/>
      <c r="G241" s="975"/>
      <c r="H241" s="975"/>
      <c r="I241" s="1680"/>
      <c r="J241" s="1680"/>
      <c r="K241" s="1680"/>
      <c r="L241" s="1680"/>
      <c r="M241" s="1680"/>
      <c r="N241" s="1680"/>
      <c r="O241" s="1680"/>
      <c r="P241" s="1680"/>
      <c r="Q241" s="1680"/>
      <c r="R241" s="1680"/>
      <c r="S241" s="1680"/>
      <c r="T241" s="1680"/>
      <c r="U241" s="1680"/>
      <c r="V241" s="1680"/>
      <c r="W241" s="1680"/>
      <c r="X241" s="1680"/>
      <c r="Y241" s="1680"/>
      <c r="Z241" s="1680"/>
      <c r="AA241" s="1680"/>
      <c r="AB241" s="1680"/>
      <c r="AC241" s="1680"/>
      <c r="AD241" s="1680"/>
      <c r="AE241" s="1680"/>
      <c r="AF241" s="1680"/>
    </row>
    <row r="242" spans="1:32">
      <c r="A242" s="974"/>
      <c r="B242" s="969" t="s">
        <v>593</v>
      </c>
      <c r="E242" s="1683">
        <v>0</v>
      </c>
      <c r="F242" s="1683">
        <v>0</v>
      </c>
      <c r="G242" s="1683">
        <v>0</v>
      </c>
      <c r="H242" s="1683">
        <v>0</v>
      </c>
      <c r="I242" s="1682">
        <f t="shared" ref="I242:AC242" si="102">+I234+I240</f>
        <v>9305.9932690639052</v>
      </c>
      <c r="J242" s="1673">
        <f t="shared" si="102"/>
        <v>18862.677914664469</v>
      </c>
      <c r="K242" s="1673">
        <f t="shared" si="102"/>
        <v>19403.417149014251</v>
      </c>
      <c r="L242" s="1673">
        <f t="shared" si="102"/>
        <v>19835.466241538721</v>
      </c>
      <c r="M242" s="1673">
        <f t="shared" si="102"/>
        <v>20204.232078955443</v>
      </c>
      <c r="N242" s="1673">
        <f t="shared" si="102"/>
        <v>20518.543033716927</v>
      </c>
      <c r="O242" s="1673">
        <f t="shared" si="102"/>
        <v>20862.967433718492</v>
      </c>
      <c r="P242" s="1673">
        <f t="shared" si="102"/>
        <v>21462.104053371815</v>
      </c>
      <c r="Q242" s="1673">
        <f t="shared" si="102"/>
        <v>21843.658757820776</v>
      </c>
      <c r="R242" s="1673">
        <f t="shared" si="102"/>
        <v>22272.566412205117</v>
      </c>
      <c r="S242" s="1673">
        <f t="shared" si="102"/>
        <v>22717.356668609762</v>
      </c>
      <c r="T242" s="1673">
        <f t="shared" si="102"/>
        <v>23057.759418867008</v>
      </c>
      <c r="U242" s="1673">
        <f t="shared" si="102"/>
        <v>23567.490048788171</v>
      </c>
      <c r="V242" s="1673">
        <f t="shared" si="102"/>
        <v>23912.1900633265</v>
      </c>
      <c r="W242" s="1673">
        <f t="shared" si="102"/>
        <v>24346.484626572259</v>
      </c>
      <c r="X242" s="1673">
        <f t="shared" si="102"/>
        <v>24785.774691470877</v>
      </c>
      <c r="Y242" s="1673">
        <f t="shared" si="102"/>
        <v>25279.545111464762</v>
      </c>
      <c r="Z242" s="1673">
        <f t="shared" si="102"/>
        <v>25725.313614769009</v>
      </c>
      <c r="AA242" s="1673">
        <f t="shared" si="102"/>
        <v>26202.034389179702</v>
      </c>
      <c r="AB242" s="1673">
        <f t="shared" si="102"/>
        <v>26561.987041017175</v>
      </c>
      <c r="AC242" s="1673">
        <f t="shared" si="102"/>
        <v>26207.775874327919</v>
      </c>
      <c r="AD242" s="1673">
        <f>+AD234+AD240</f>
        <v>26501.916163709917</v>
      </c>
      <c r="AE242" s="1673">
        <f>+AE234+AE240</f>
        <v>27031.954486984116</v>
      </c>
      <c r="AF242" s="1673">
        <f>+AF234+AF240</f>
        <v>27572.593576723801</v>
      </c>
    </row>
    <row r="243" spans="1:32">
      <c r="D243" s="818"/>
    </row>
    <row r="244" spans="1:32" ht="12" thickBot="1">
      <c r="A244" s="818"/>
      <c r="C244" s="818"/>
      <c r="E244" s="818"/>
      <c r="F244" s="818"/>
      <c r="G244" s="818"/>
      <c r="H244" s="818"/>
      <c r="I244" s="818"/>
      <c r="J244" s="818"/>
      <c r="K244" s="818"/>
      <c r="L244" s="818"/>
      <c r="M244" s="818"/>
      <c r="N244" s="818"/>
      <c r="O244" s="818"/>
      <c r="P244" s="818"/>
      <c r="Q244" s="818"/>
      <c r="R244" s="818"/>
      <c r="S244" s="818"/>
      <c r="T244" s="818"/>
      <c r="U244" s="818"/>
      <c r="V244" s="818"/>
      <c r="W244" s="818"/>
      <c r="X244" s="818"/>
      <c r="Y244" s="818"/>
      <c r="Z244" s="818"/>
      <c r="AA244" s="818"/>
      <c r="AB244" s="818"/>
      <c r="AC244" s="818"/>
      <c r="AD244" s="818"/>
      <c r="AE244" s="818"/>
      <c r="AF244" s="818"/>
    </row>
    <row r="245" spans="1:32" ht="12.75" thickTop="1" thickBot="1">
      <c r="A245" s="839"/>
      <c r="B245" s="839"/>
      <c r="C245" s="839"/>
      <c r="D245" s="839"/>
      <c r="E245" s="839"/>
      <c r="F245" s="839"/>
      <c r="G245" s="839"/>
      <c r="H245" s="839"/>
      <c r="I245" s="839"/>
      <c r="J245" s="839"/>
      <c r="K245" s="839"/>
      <c r="L245" s="839"/>
      <c r="M245" s="839"/>
      <c r="N245" s="839"/>
      <c r="O245" s="839"/>
      <c r="P245" s="839"/>
      <c r="Q245" s="839"/>
      <c r="R245" s="839"/>
      <c r="S245" s="839"/>
      <c r="T245" s="839"/>
      <c r="U245" s="839"/>
      <c r="V245" s="839"/>
      <c r="W245" s="839"/>
      <c r="X245" s="839"/>
      <c r="Y245" s="839"/>
      <c r="Z245" s="839"/>
      <c r="AA245" s="839"/>
      <c r="AB245" s="839"/>
      <c r="AC245" s="839"/>
      <c r="AD245" s="839"/>
      <c r="AE245" s="839"/>
      <c r="AF245" s="839"/>
    </row>
    <row r="246" spans="1:32" ht="12.75" thickTop="1" thickBot="1">
      <c r="A246" s="831" t="s">
        <v>594</v>
      </c>
      <c r="I246" s="842">
        <f t="shared" ref="I246:R246" si="103">+I$3</f>
        <v>37986</v>
      </c>
      <c r="J246" s="843">
        <f t="shared" si="103"/>
        <v>2004</v>
      </c>
      <c r="K246" s="843">
        <f t="shared" si="103"/>
        <v>2005</v>
      </c>
      <c r="L246" s="843">
        <f t="shared" si="103"/>
        <v>2006</v>
      </c>
      <c r="M246" s="843">
        <f t="shared" si="103"/>
        <v>2007</v>
      </c>
      <c r="N246" s="843">
        <f t="shared" si="103"/>
        <v>2008</v>
      </c>
      <c r="O246" s="843">
        <f t="shared" si="103"/>
        <v>2009</v>
      </c>
      <c r="P246" s="843">
        <f t="shared" si="103"/>
        <v>2010</v>
      </c>
      <c r="Q246" s="843">
        <f t="shared" si="103"/>
        <v>2011</v>
      </c>
      <c r="R246" s="843">
        <f t="shared" si="103"/>
        <v>2012</v>
      </c>
      <c r="S246" s="843">
        <f>+S$3</f>
        <v>2013</v>
      </c>
      <c r="T246" s="843">
        <f t="shared" ref="T246:AF246" si="104">+T$3</f>
        <v>2014</v>
      </c>
      <c r="U246" s="843">
        <f t="shared" si="104"/>
        <v>2015</v>
      </c>
      <c r="V246" s="843">
        <f t="shared" si="104"/>
        <v>2016</v>
      </c>
      <c r="W246" s="843">
        <f t="shared" si="104"/>
        <v>2017</v>
      </c>
      <c r="X246" s="843">
        <f t="shared" si="104"/>
        <v>2018</v>
      </c>
      <c r="Y246" s="843">
        <f t="shared" si="104"/>
        <v>2019</v>
      </c>
      <c r="Z246" s="843">
        <f t="shared" si="104"/>
        <v>2020</v>
      </c>
      <c r="AA246" s="843">
        <f t="shared" si="104"/>
        <v>2021</v>
      </c>
      <c r="AB246" s="843">
        <f t="shared" si="104"/>
        <v>2022</v>
      </c>
      <c r="AC246" s="843">
        <f t="shared" si="104"/>
        <v>2023</v>
      </c>
      <c r="AD246" s="843">
        <f t="shared" si="104"/>
        <v>2024</v>
      </c>
      <c r="AE246" s="843">
        <f t="shared" si="104"/>
        <v>2025</v>
      </c>
      <c r="AF246" s="843">
        <f t="shared" si="104"/>
        <v>2026</v>
      </c>
    </row>
    <row r="247" spans="1:32" ht="12" thickTop="1"/>
    <row r="248" spans="1:32">
      <c r="A248" s="901" t="s">
        <v>395</v>
      </c>
      <c r="C248" s="820" t="str">
        <f>+A150</f>
        <v>Contract Rev</v>
      </c>
      <c r="D248" s="818"/>
      <c r="E248" s="1669"/>
      <c r="F248" s="1669"/>
      <c r="G248" s="1669"/>
      <c r="H248" s="1670"/>
      <c r="I248" s="1671">
        <f t="shared" ref="I248:AF248" si="105">+I165</f>
        <v>0</v>
      </c>
      <c r="J248" s="1671">
        <f t="shared" si="105"/>
        <v>0</v>
      </c>
      <c r="K248" s="1671">
        <f t="shared" si="105"/>
        <v>0</v>
      </c>
      <c r="L248" s="1671">
        <f t="shared" si="105"/>
        <v>0</v>
      </c>
      <c r="M248" s="1671">
        <f t="shared" si="105"/>
        <v>0</v>
      </c>
      <c r="N248" s="1671">
        <f t="shared" si="105"/>
        <v>0</v>
      </c>
      <c r="O248" s="1671">
        <f t="shared" si="105"/>
        <v>0</v>
      </c>
      <c r="P248" s="1671">
        <f t="shared" si="105"/>
        <v>0</v>
      </c>
      <c r="Q248" s="1671">
        <f t="shared" si="105"/>
        <v>0</v>
      </c>
      <c r="R248" s="1671">
        <f t="shared" si="105"/>
        <v>0</v>
      </c>
      <c r="S248" s="1671">
        <f t="shared" si="105"/>
        <v>0</v>
      </c>
      <c r="T248" s="1671">
        <f t="shared" si="105"/>
        <v>0</v>
      </c>
      <c r="U248" s="1671">
        <f t="shared" si="105"/>
        <v>0</v>
      </c>
      <c r="V248" s="1671">
        <f t="shared" si="105"/>
        <v>0</v>
      </c>
      <c r="W248" s="1671">
        <f t="shared" si="105"/>
        <v>0</v>
      </c>
      <c r="X248" s="1671">
        <f t="shared" si="105"/>
        <v>0</v>
      </c>
      <c r="Y248" s="1671">
        <f t="shared" si="105"/>
        <v>0</v>
      </c>
      <c r="Z248" s="1671">
        <f t="shared" si="105"/>
        <v>0</v>
      </c>
      <c r="AA248" s="1671">
        <f t="shared" si="105"/>
        <v>0</v>
      </c>
      <c r="AB248" s="1671">
        <f t="shared" si="105"/>
        <v>0</v>
      </c>
      <c r="AC248" s="1671">
        <f t="shared" si="105"/>
        <v>0</v>
      </c>
      <c r="AD248" s="1671">
        <f t="shared" si="105"/>
        <v>0</v>
      </c>
      <c r="AE248" s="1671">
        <f t="shared" si="105"/>
        <v>0</v>
      </c>
      <c r="AF248" s="1671">
        <f t="shared" si="105"/>
        <v>0</v>
      </c>
    </row>
    <row r="249" spans="1:32">
      <c r="C249" s="987" t="str">
        <f>+A168</f>
        <v>Market Revs</v>
      </c>
      <c r="E249" s="1669"/>
      <c r="F249" s="1669"/>
      <c r="G249" s="1669"/>
      <c r="H249" s="1669"/>
      <c r="I249" s="1671">
        <f ca="1">+I183</f>
        <v>115135.71555674403</v>
      </c>
      <c r="J249" s="1671">
        <f t="shared" ref="J249:AF249" ca="1" si="106">+J183</f>
        <v>215048.05097985614</v>
      </c>
      <c r="K249" s="1671">
        <f t="shared" ca="1" si="106"/>
        <v>235916.97416621918</v>
      </c>
      <c r="L249" s="1671">
        <f t="shared" ca="1" si="106"/>
        <v>245155.67947930383</v>
      </c>
      <c r="M249" s="1671">
        <f t="shared" ca="1" si="106"/>
        <v>248792.34089120023</v>
      </c>
      <c r="N249" s="1671">
        <f t="shared" ca="1" si="106"/>
        <v>246510.00956349491</v>
      </c>
      <c r="O249" s="1671">
        <f t="shared" ca="1" si="106"/>
        <v>242752.02727324315</v>
      </c>
      <c r="P249" s="1671">
        <f t="shared" ca="1" si="106"/>
        <v>272426.66108109587</v>
      </c>
      <c r="Q249" s="1671">
        <f t="shared" ca="1" si="106"/>
        <v>274422.44003901776</v>
      </c>
      <c r="R249" s="1671">
        <f t="shared" ca="1" si="106"/>
        <v>278903.0379662849</v>
      </c>
      <c r="S249" s="1671">
        <f t="shared" ca="1" si="106"/>
        <v>286693.23297783005</v>
      </c>
      <c r="T249" s="1671">
        <f t="shared" ca="1" si="106"/>
        <v>281163.42284126068</v>
      </c>
      <c r="U249" s="1671">
        <f t="shared" ca="1" si="106"/>
        <v>285806.46724863182</v>
      </c>
      <c r="V249" s="1671">
        <f t="shared" ca="1" si="106"/>
        <v>287978.77657221607</v>
      </c>
      <c r="W249" s="1671">
        <f t="shared" ca="1" si="106"/>
        <v>290386.2775871515</v>
      </c>
      <c r="X249" s="1671">
        <f t="shared" ca="1" si="106"/>
        <v>291879.92596903513</v>
      </c>
      <c r="Y249" s="1671">
        <f t="shared" ca="1" si="106"/>
        <v>299748.40899401886</v>
      </c>
      <c r="Z249" s="1671">
        <f t="shared" ca="1" si="106"/>
        <v>297902.80794575723</v>
      </c>
      <c r="AA249" s="1671">
        <f t="shared" ca="1" si="106"/>
        <v>291131.72780055628</v>
      </c>
      <c r="AB249" s="1671">
        <f t="shared" ca="1" si="106"/>
        <v>270699.69031702843</v>
      </c>
      <c r="AC249" s="1671">
        <f t="shared" si="106"/>
        <v>0</v>
      </c>
      <c r="AD249" s="1671">
        <f t="shared" si="106"/>
        <v>0</v>
      </c>
      <c r="AE249" s="1671">
        <f t="shared" si="106"/>
        <v>0</v>
      </c>
      <c r="AF249" s="1671">
        <f t="shared" si="106"/>
        <v>0</v>
      </c>
    </row>
    <row r="250" spans="1:32">
      <c r="C250" s="987" t="str">
        <f>+A185</f>
        <v>Option Time Value</v>
      </c>
      <c r="E250" s="1669"/>
      <c r="F250" s="1669"/>
      <c r="G250" s="1669"/>
      <c r="H250" s="1669"/>
      <c r="I250" s="1674">
        <f>+I185</f>
        <v>0</v>
      </c>
      <c r="J250" s="1674">
        <f t="shared" ref="J250:AF251" si="107">+J185</f>
        <v>0</v>
      </c>
      <c r="K250" s="1674">
        <f t="shared" si="107"/>
        <v>0</v>
      </c>
      <c r="L250" s="1674">
        <f t="shared" si="107"/>
        <v>0</v>
      </c>
      <c r="M250" s="1674">
        <f t="shared" si="107"/>
        <v>0</v>
      </c>
      <c r="N250" s="1674">
        <f t="shared" si="107"/>
        <v>0</v>
      </c>
      <c r="O250" s="1674">
        <f t="shared" si="107"/>
        <v>0</v>
      </c>
      <c r="P250" s="1674">
        <f t="shared" si="107"/>
        <v>0</v>
      </c>
      <c r="Q250" s="1674">
        <f t="shared" si="107"/>
        <v>0</v>
      </c>
      <c r="R250" s="1674">
        <f t="shared" si="107"/>
        <v>0</v>
      </c>
      <c r="S250" s="1674">
        <f t="shared" si="107"/>
        <v>0</v>
      </c>
      <c r="T250" s="1674">
        <f t="shared" si="107"/>
        <v>0</v>
      </c>
      <c r="U250" s="1674">
        <f t="shared" si="107"/>
        <v>0</v>
      </c>
      <c r="V250" s="1674">
        <f t="shared" si="107"/>
        <v>0</v>
      </c>
      <c r="W250" s="1674">
        <f t="shared" si="107"/>
        <v>0</v>
      </c>
      <c r="X250" s="1674">
        <f t="shared" si="107"/>
        <v>0</v>
      </c>
      <c r="Y250" s="1674">
        <f t="shared" si="107"/>
        <v>0</v>
      </c>
      <c r="Z250" s="1674">
        <f t="shared" si="107"/>
        <v>0</v>
      </c>
      <c r="AA250" s="1674">
        <f t="shared" si="107"/>
        <v>0</v>
      </c>
      <c r="AB250" s="1674">
        <f t="shared" si="107"/>
        <v>0</v>
      </c>
      <c r="AC250" s="1674">
        <f t="shared" si="107"/>
        <v>0</v>
      </c>
      <c r="AD250" s="1674">
        <f t="shared" si="107"/>
        <v>0</v>
      </c>
      <c r="AE250" s="1674">
        <f t="shared" si="107"/>
        <v>0</v>
      </c>
      <c r="AF250" s="1674">
        <f t="shared" si="107"/>
        <v>0</v>
      </c>
    </row>
    <row r="251" spans="1:32">
      <c r="C251" s="987" t="str">
        <f>+A186</f>
        <v>Tolling Option Revenues</v>
      </c>
      <c r="E251" s="1669"/>
      <c r="F251" s="1669"/>
      <c r="G251" s="1669"/>
      <c r="H251" s="1669"/>
      <c r="I251" s="1672">
        <f>+I186</f>
        <v>0</v>
      </c>
      <c r="J251" s="1672">
        <f t="shared" si="107"/>
        <v>0</v>
      </c>
      <c r="K251" s="1672">
        <f t="shared" si="107"/>
        <v>0</v>
      </c>
      <c r="L251" s="1672">
        <f t="shared" si="107"/>
        <v>0</v>
      </c>
      <c r="M251" s="1672">
        <f t="shared" si="107"/>
        <v>0</v>
      </c>
      <c r="N251" s="1672">
        <f t="shared" si="107"/>
        <v>0</v>
      </c>
      <c r="O251" s="1672">
        <f t="shared" si="107"/>
        <v>0</v>
      </c>
      <c r="P251" s="1672">
        <f t="shared" si="107"/>
        <v>0</v>
      </c>
      <c r="Q251" s="1672">
        <f t="shared" si="107"/>
        <v>0</v>
      </c>
      <c r="R251" s="1672">
        <f t="shared" si="107"/>
        <v>0</v>
      </c>
      <c r="S251" s="1672">
        <f t="shared" si="107"/>
        <v>0</v>
      </c>
      <c r="T251" s="1672">
        <f t="shared" si="107"/>
        <v>0</v>
      </c>
      <c r="U251" s="1672">
        <f t="shared" si="107"/>
        <v>0</v>
      </c>
      <c r="V251" s="1672">
        <f t="shared" si="107"/>
        <v>0</v>
      </c>
      <c r="W251" s="1672">
        <f t="shared" si="107"/>
        <v>0</v>
      </c>
      <c r="X251" s="1672">
        <f t="shared" si="107"/>
        <v>0</v>
      </c>
      <c r="Y251" s="1672">
        <f t="shared" si="107"/>
        <v>0</v>
      </c>
      <c r="Z251" s="1672">
        <f t="shared" si="107"/>
        <v>0</v>
      </c>
      <c r="AA251" s="1672">
        <f t="shared" si="107"/>
        <v>0</v>
      </c>
      <c r="AB251" s="1672">
        <f t="shared" si="107"/>
        <v>0</v>
      </c>
      <c r="AC251" s="1672">
        <f t="shared" si="107"/>
        <v>0</v>
      </c>
      <c r="AD251" s="1672">
        <f t="shared" si="107"/>
        <v>0</v>
      </c>
      <c r="AE251" s="1672">
        <f t="shared" si="107"/>
        <v>0</v>
      </c>
      <c r="AF251" s="1672">
        <f t="shared" si="107"/>
        <v>0</v>
      </c>
    </row>
    <row r="252" spans="1:32">
      <c r="C252" s="820" t="s">
        <v>595</v>
      </c>
      <c r="E252" s="1673">
        <f>+E188</f>
        <v>0</v>
      </c>
      <c r="F252" s="1673">
        <f>+F188</f>
        <v>0</v>
      </c>
      <c r="G252" s="1673">
        <f>+G188</f>
        <v>0</v>
      </c>
      <c r="H252" s="1673">
        <f>+H188</f>
        <v>0</v>
      </c>
      <c r="I252" s="1671">
        <f ca="1">+SUM(I248:I251)</f>
        <v>115135.71555674403</v>
      </c>
      <c r="J252" s="1671">
        <f t="shared" ref="J252:AF252" ca="1" si="108">+SUM(J248:J251)</f>
        <v>215048.05097985614</v>
      </c>
      <c r="K252" s="1671">
        <f t="shared" ca="1" si="108"/>
        <v>235916.97416621918</v>
      </c>
      <c r="L252" s="1671">
        <f t="shared" ca="1" si="108"/>
        <v>245155.67947930383</v>
      </c>
      <c r="M252" s="1671">
        <f t="shared" ca="1" si="108"/>
        <v>248792.34089120023</v>
      </c>
      <c r="N252" s="1671">
        <f t="shared" ca="1" si="108"/>
        <v>246510.00956349491</v>
      </c>
      <c r="O252" s="1671">
        <f t="shared" ca="1" si="108"/>
        <v>242752.02727324315</v>
      </c>
      <c r="P252" s="1671">
        <f t="shared" ca="1" si="108"/>
        <v>272426.66108109587</v>
      </c>
      <c r="Q252" s="1671">
        <f t="shared" ca="1" si="108"/>
        <v>274422.44003901776</v>
      </c>
      <c r="R252" s="1671">
        <f t="shared" ca="1" si="108"/>
        <v>278903.0379662849</v>
      </c>
      <c r="S252" s="1671">
        <f t="shared" ca="1" si="108"/>
        <v>286693.23297783005</v>
      </c>
      <c r="T252" s="1671">
        <f t="shared" ca="1" si="108"/>
        <v>281163.42284126068</v>
      </c>
      <c r="U252" s="1671">
        <f t="shared" ca="1" si="108"/>
        <v>285806.46724863182</v>
      </c>
      <c r="V252" s="1671">
        <f t="shared" ca="1" si="108"/>
        <v>287978.77657221607</v>
      </c>
      <c r="W252" s="1671">
        <f t="shared" ca="1" si="108"/>
        <v>290386.2775871515</v>
      </c>
      <c r="X252" s="1671">
        <f t="shared" ca="1" si="108"/>
        <v>291879.92596903513</v>
      </c>
      <c r="Y252" s="1671">
        <f t="shared" ca="1" si="108"/>
        <v>299748.40899401886</v>
      </c>
      <c r="Z252" s="1671">
        <f t="shared" ca="1" si="108"/>
        <v>297902.80794575723</v>
      </c>
      <c r="AA252" s="1671">
        <f t="shared" ca="1" si="108"/>
        <v>291131.72780055628</v>
      </c>
      <c r="AB252" s="1671">
        <f t="shared" ca="1" si="108"/>
        <v>270699.69031702843</v>
      </c>
      <c r="AC252" s="1671">
        <f t="shared" si="108"/>
        <v>0</v>
      </c>
      <c r="AD252" s="1671">
        <f t="shared" si="108"/>
        <v>0</v>
      </c>
      <c r="AE252" s="1671">
        <f t="shared" si="108"/>
        <v>0</v>
      </c>
      <c r="AF252" s="1671">
        <f t="shared" si="108"/>
        <v>0</v>
      </c>
    </row>
    <row r="253" spans="1:32">
      <c r="A253" s="831" t="s">
        <v>596</v>
      </c>
      <c r="E253" s="1669"/>
      <c r="F253" s="1669"/>
      <c r="G253" s="1669"/>
      <c r="H253" s="1669"/>
      <c r="I253" s="1671"/>
      <c r="J253" s="1671"/>
      <c r="K253" s="1671"/>
      <c r="L253" s="1671"/>
      <c r="M253" s="1671"/>
      <c r="N253" s="1671"/>
      <c r="O253" s="1671"/>
      <c r="P253" s="1671"/>
      <c r="Q253" s="1671"/>
      <c r="R253" s="1671"/>
      <c r="S253" s="1671"/>
      <c r="T253" s="1671"/>
      <c r="U253" s="1671"/>
      <c r="V253" s="1671"/>
      <c r="W253" s="1671"/>
      <c r="X253" s="1671"/>
      <c r="Y253" s="1671"/>
      <c r="Z253" s="1671"/>
      <c r="AA253" s="1671"/>
      <c r="AB253" s="1671"/>
      <c r="AC253" s="1671"/>
      <c r="AD253" s="1671"/>
      <c r="AE253" s="1671"/>
      <c r="AF253" s="1671"/>
    </row>
    <row r="254" spans="1:32">
      <c r="C254" s="820" t="s">
        <v>597</v>
      </c>
      <c r="E254" s="1669"/>
      <c r="F254" s="1669"/>
      <c r="G254" s="1669"/>
      <c r="H254" s="1669"/>
      <c r="I254" s="1674">
        <f t="shared" ref="I254:S254" ca="1" si="109">+I225</f>
        <v>63590.006530416016</v>
      </c>
      <c r="J254" s="1674">
        <f t="shared" ca="1" si="109"/>
        <v>122157.05764183549</v>
      </c>
      <c r="K254" s="1674">
        <f t="shared" ca="1" si="109"/>
        <v>125401.43660798989</v>
      </c>
      <c r="L254" s="1674">
        <f t="shared" ca="1" si="109"/>
        <v>128115.35773057288</v>
      </c>
      <c r="M254" s="1674">
        <f t="shared" ca="1" si="109"/>
        <v>132963.28598446734</v>
      </c>
      <c r="N254" s="1674">
        <f t="shared" ca="1" si="109"/>
        <v>138026.26740941746</v>
      </c>
      <c r="O254" s="1674">
        <f t="shared" ca="1" si="109"/>
        <v>136533.11676612738</v>
      </c>
      <c r="P254" s="1674">
        <f t="shared" ca="1" si="109"/>
        <v>146630.78498192527</v>
      </c>
      <c r="Q254" s="1674">
        <f t="shared" ca="1" si="109"/>
        <v>151172.77870933243</v>
      </c>
      <c r="R254" s="1674">
        <f t="shared" ca="1" si="109"/>
        <v>154155.00812004207</v>
      </c>
      <c r="S254" s="1674">
        <f t="shared" ca="1" si="109"/>
        <v>159686.98628610911</v>
      </c>
      <c r="T254" s="1674">
        <f t="shared" ref="T254:AC254" ca="1" si="110">+T225</f>
        <v>164109.36335281088</v>
      </c>
      <c r="U254" s="1674">
        <f t="shared" ca="1" si="110"/>
        <v>159128.67070220297</v>
      </c>
      <c r="V254" s="1674">
        <f t="shared" ca="1" si="110"/>
        <v>171295.32049021029</v>
      </c>
      <c r="W254" s="1674">
        <f t="shared" ca="1" si="110"/>
        <v>176775.1657946663</v>
      </c>
      <c r="X254" s="1674">
        <f t="shared" ca="1" si="110"/>
        <v>180596.89611585156</v>
      </c>
      <c r="Y254" s="1674">
        <f t="shared" ca="1" si="110"/>
        <v>187058.19972942118</v>
      </c>
      <c r="Z254" s="1674">
        <f t="shared" ca="1" si="110"/>
        <v>189953.99469611011</v>
      </c>
      <c r="AA254" s="1674">
        <f t="shared" ca="1" si="110"/>
        <v>182000.92716407828</v>
      </c>
      <c r="AB254" s="1674">
        <f t="shared" ca="1" si="110"/>
        <v>178884.86411938362</v>
      </c>
      <c r="AC254" s="1674">
        <f t="shared" si="110"/>
        <v>0</v>
      </c>
      <c r="AD254" s="1674">
        <f>+AD225</f>
        <v>0</v>
      </c>
      <c r="AE254" s="1674">
        <f>+AE225</f>
        <v>0</v>
      </c>
      <c r="AF254" s="1674">
        <f>+AF225</f>
        <v>0</v>
      </c>
    </row>
    <row r="255" spans="1:32">
      <c r="C255" s="820" t="s">
        <v>598</v>
      </c>
      <c r="E255" s="1664">
        <v>0</v>
      </c>
      <c r="F255" s="1664">
        <v>0</v>
      </c>
      <c r="G255" s="1664">
        <v>0</v>
      </c>
      <c r="H255" s="1664">
        <v>0</v>
      </c>
      <c r="I255" s="1675">
        <f t="shared" ref="I255:S255" ca="1" si="111">SUM(I254:I254)</f>
        <v>63590.006530416016</v>
      </c>
      <c r="J255" s="1675">
        <f t="shared" ca="1" si="111"/>
        <v>122157.05764183549</v>
      </c>
      <c r="K255" s="1675">
        <f t="shared" ca="1" si="111"/>
        <v>125401.43660798989</v>
      </c>
      <c r="L255" s="1675">
        <f t="shared" ca="1" si="111"/>
        <v>128115.35773057288</v>
      </c>
      <c r="M255" s="1675">
        <f t="shared" ca="1" si="111"/>
        <v>132963.28598446734</v>
      </c>
      <c r="N255" s="1675">
        <f t="shared" ca="1" si="111"/>
        <v>138026.26740941746</v>
      </c>
      <c r="O255" s="1675">
        <f t="shared" ca="1" si="111"/>
        <v>136533.11676612738</v>
      </c>
      <c r="P255" s="1675">
        <f t="shared" ca="1" si="111"/>
        <v>146630.78498192527</v>
      </c>
      <c r="Q255" s="1675">
        <f t="shared" ca="1" si="111"/>
        <v>151172.77870933243</v>
      </c>
      <c r="R255" s="1675">
        <f t="shared" ca="1" si="111"/>
        <v>154155.00812004207</v>
      </c>
      <c r="S255" s="1675">
        <f t="shared" ca="1" si="111"/>
        <v>159686.98628610911</v>
      </c>
      <c r="T255" s="1675">
        <f t="shared" ref="T255:AC255" ca="1" si="112">SUM(T254:T254)</f>
        <v>164109.36335281088</v>
      </c>
      <c r="U255" s="1675">
        <f t="shared" ca="1" si="112"/>
        <v>159128.67070220297</v>
      </c>
      <c r="V255" s="1675">
        <f t="shared" ca="1" si="112"/>
        <v>171295.32049021029</v>
      </c>
      <c r="W255" s="1675">
        <f t="shared" ca="1" si="112"/>
        <v>176775.1657946663</v>
      </c>
      <c r="X255" s="1675">
        <f t="shared" ca="1" si="112"/>
        <v>180596.89611585156</v>
      </c>
      <c r="Y255" s="1675">
        <f t="shared" ca="1" si="112"/>
        <v>187058.19972942118</v>
      </c>
      <c r="Z255" s="1675">
        <f t="shared" ca="1" si="112"/>
        <v>189953.99469611011</v>
      </c>
      <c r="AA255" s="1675">
        <f t="shared" ca="1" si="112"/>
        <v>182000.92716407828</v>
      </c>
      <c r="AB255" s="1675">
        <f t="shared" ca="1" si="112"/>
        <v>178884.86411938362</v>
      </c>
      <c r="AC255" s="1675">
        <f t="shared" si="112"/>
        <v>0</v>
      </c>
      <c r="AD255" s="1675">
        <f>SUM(AD254:AD254)</f>
        <v>0</v>
      </c>
      <c r="AE255" s="1675">
        <f>SUM(AE254:AE254)</f>
        <v>0</v>
      </c>
      <c r="AF255" s="1675">
        <f>SUM(AF254:AF254)</f>
        <v>0</v>
      </c>
    </row>
    <row r="256" spans="1:32">
      <c r="E256" s="1669"/>
      <c r="F256" s="1669"/>
      <c r="G256" s="1669"/>
      <c r="H256" s="1669"/>
      <c r="I256" s="1674"/>
      <c r="J256" s="1674"/>
      <c r="K256" s="1674"/>
      <c r="L256" s="1674"/>
      <c r="M256" s="1674"/>
      <c r="N256" s="1674"/>
      <c r="O256" s="1674"/>
      <c r="P256" s="1674"/>
      <c r="Q256" s="1674"/>
      <c r="R256" s="1674"/>
      <c r="S256" s="1674"/>
      <c r="T256" s="1674"/>
      <c r="U256" s="1674"/>
      <c r="V256" s="1674"/>
      <c r="W256" s="1674"/>
      <c r="X256" s="1674"/>
      <c r="Y256" s="1674"/>
      <c r="Z256" s="1674"/>
      <c r="AA256" s="1674"/>
      <c r="AB256" s="1674"/>
      <c r="AC256" s="1674"/>
      <c r="AD256" s="1674"/>
      <c r="AE256" s="1674"/>
      <c r="AF256" s="1674"/>
    </row>
    <row r="257" spans="1:32">
      <c r="C257" s="820" t="s">
        <v>599</v>
      </c>
      <c r="E257" s="1669">
        <f t="shared" ref="E257:AF257" si="113">+E252-E255</f>
        <v>0</v>
      </c>
      <c r="F257" s="1669">
        <f t="shared" si="113"/>
        <v>0</v>
      </c>
      <c r="G257" s="1669">
        <f t="shared" si="113"/>
        <v>0</v>
      </c>
      <c r="H257" s="1669">
        <f t="shared" si="113"/>
        <v>0</v>
      </c>
      <c r="I257" s="1671">
        <f t="shared" ca="1" si="113"/>
        <v>51545.709026328019</v>
      </c>
      <c r="J257" s="1674">
        <f t="shared" ca="1" si="113"/>
        <v>92890.993338020649</v>
      </c>
      <c r="K257" s="1674">
        <f t="shared" ca="1" si="113"/>
        <v>110515.53755822929</v>
      </c>
      <c r="L257" s="1674">
        <f t="shared" ca="1" si="113"/>
        <v>117040.32174873094</v>
      </c>
      <c r="M257" s="1674">
        <f t="shared" ca="1" si="113"/>
        <v>115829.0549067329</v>
      </c>
      <c r="N257" s="1674">
        <f t="shared" ca="1" si="113"/>
        <v>108483.74215407745</v>
      </c>
      <c r="O257" s="1674">
        <f t="shared" ca="1" si="113"/>
        <v>106218.91050711577</v>
      </c>
      <c r="P257" s="1674">
        <f t="shared" ca="1" si="113"/>
        <v>125795.87609917059</v>
      </c>
      <c r="Q257" s="1674">
        <f t="shared" ca="1" si="113"/>
        <v>123249.66132968533</v>
      </c>
      <c r="R257" s="1674">
        <f t="shared" ca="1" si="113"/>
        <v>124748.02984624283</v>
      </c>
      <c r="S257" s="1674">
        <f t="shared" ca="1" si="113"/>
        <v>127006.24669172094</v>
      </c>
      <c r="T257" s="1674">
        <f t="shared" ca="1" si="113"/>
        <v>117054.0594884498</v>
      </c>
      <c r="U257" s="1674">
        <f t="shared" ca="1" si="113"/>
        <v>126677.79654642884</v>
      </c>
      <c r="V257" s="1674">
        <f t="shared" ca="1" si="113"/>
        <v>116683.45608200578</v>
      </c>
      <c r="W257" s="1674">
        <f t="shared" ca="1" si="113"/>
        <v>113611.1117924852</v>
      </c>
      <c r="X257" s="1674">
        <f t="shared" ca="1" si="113"/>
        <v>111283.02985318357</v>
      </c>
      <c r="Y257" s="1674">
        <f t="shared" ca="1" si="113"/>
        <v>112690.20926459768</v>
      </c>
      <c r="Z257" s="1674">
        <f t="shared" ca="1" si="113"/>
        <v>107948.81324964712</v>
      </c>
      <c r="AA257" s="1674">
        <f t="shared" ca="1" si="113"/>
        <v>109130.800636478</v>
      </c>
      <c r="AB257" s="1674">
        <f t="shared" ca="1" si="113"/>
        <v>91814.826197644812</v>
      </c>
      <c r="AC257" s="1674">
        <f t="shared" si="113"/>
        <v>0</v>
      </c>
      <c r="AD257" s="1674">
        <f t="shared" si="113"/>
        <v>0</v>
      </c>
      <c r="AE257" s="1674">
        <f t="shared" si="113"/>
        <v>0</v>
      </c>
      <c r="AF257" s="1674">
        <f t="shared" si="113"/>
        <v>0</v>
      </c>
    </row>
    <row r="258" spans="1:32">
      <c r="E258" s="1669"/>
      <c r="F258" s="1669"/>
      <c r="G258" s="1669"/>
      <c r="H258" s="1669"/>
      <c r="I258" s="1674"/>
      <c r="J258" s="1674"/>
      <c r="K258" s="1674"/>
      <c r="L258" s="1674"/>
      <c r="M258" s="1674"/>
      <c r="N258" s="1674"/>
      <c r="O258" s="1674"/>
      <c r="P258" s="1674"/>
      <c r="Q258" s="1674"/>
      <c r="R258" s="1674"/>
      <c r="S258" s="1674"/>
      <c r="T258" s="1674"/>
      <c r="U258" s="1674"/>
      <c r="V258" s="1674"/>
      <c r="W258" s="1674"/>
      <c r="X258" s="1674"/>
      <c r="Y258" s="1674"/>
      <c r="Z258" s="1674"/>
      <c r="AA258" s="1674"/>
      <c r="AB258" s="1674"/>
      <c r="AC258" s="1674"/>
      <c r="AD258" s="1674"/>
      <c r="AE258" s="1674"/>
      <c r="AF258" s="1674"/>
    </row>
    <row r="259" spans="1:32">
      <c r="A259" s="831" t="s">
        <v>590</v>
      </c>
      <c r="E259" s="1670">
        <f t="shared" ref="E259:S259" si="114">+E242</f>
        <v>0</v>
      </c>
      <c r="F259" s="1670">
        <f t="shared" si="114"/>
        <v>0</v>
      </c>
      <c r="G259" s="1670">
        <f t="shared" si="114"/>
        <v>0</v>
      </c>
      <c r="H259" s="1670">
        <f t="shared" si="114"/>
        <v>0</v>
      </c>
      <c r="I259" s="1674">
        <f t="shared" si="114"/>
        <v>9305.9932690639052</v>
      </c>
      <c r="J259" s="1674">
        <f t="shared" si="114"/>
        <v>18862.677914664469</v>
      </c>
      <c r="K259" s="1674">
        <f t="shared" si="114"/>
        <v>19403.417149014251</v>
      </c>
      <c r="L259" s="1674">
        <f t="shared" si="114"/>
        <v>19835.466241538721</v>
      </c>
      <c r="M259" s="1674">
        <f t="shared" si="114"/>
        <v>20204.232078955443</v>
      </c>
      <c r="N259" s="1674">
        <f t="shared" si="114"/>
        <v>20518.543033716927</v>
      </c>
      <c r="O259" s="1674">
        <f t="shared" si="114"/>
        <v>20862.967433718492</v>
      </c>
      <c r="P259" s="1674">
        <f t="shared" si="114"/>
        <v>21462.104053371815</v>
      </c>
      <c r="Q259" s="1674">
        <f t="shared" si="114"/>
        <v>21843.658757820776</v>
      </c>
      <c r="R259" s="1674">
        <f t="shared" si="114"/>
        <v>22272.566412205117</v>
      </c>
      <c r="S259" s="1674">
        <f t="shared" si="114"/>
        <v>22717.356668609762</v>
      </c>
      <c r="T259" s="1674">
        <f t="shared" ref="T259:AC259" si="115">+T242</f>
        <v>23057.759418867008</v>
      </c>
      <c r="U259" s="1674">
        <f t="shared" si="115"/>
        <v>23567.490048788171</v>
      </c>
      <c r="V259" s="1674">
        <f t="shared" si="115"/>
        <v>23912.1900633265</v>
      </c>
      <c r="W259" s="1674">
        <f t="shared" si="115"/>
        <v>24346.484626572259</v>
      </c>
      <c r="X259" s="1674">
        <f t="shared" si="115"/>
        <v>24785.774691470877</v>
      </c>
      <c r="Y259" s="1674">
        <f t="shared" si="115"/>
        <v>25279.545111464762</v>
      </c>
      <c r="Z259" s="1674">
        <f t="shared" si="115"/>
        <v>25725.313614769009</v>
      </c>
      <c r="AA259" s="1674">
        <f t="shared" si="115"/>
        <v>26202.034389179702</v>
      </c>
      <c r="AB259" s="1674">
        <f t="shared" si="115"/>
        <v>26561.987041017175</v>
      </c>
      <c r="AC259" s="1674">
        <f t="shared" si="115"/>
        <v>26207.775874327919</v>
      </c>
      <c r="AD259" s="1674">
        <f>+AD242</f>
        <v>26501.916163709917</v>
      </c>
      <c r="AE259" s="1674">
        <f>+AE242</f>
        <v>27031.954486984116</v>
      </c>
      <c r="AF259" s="1674">
        <f>+AF242</f>
        <v>27572.593576723801</v>
      </c>
    </row>
    <row r="260" spans="1:32">
      <c r="C260" s="820" t="s">
        <v>600</v>
      </c>
      <c r="E260" s="1664">
        <f t="shared" ref="E260:S260" si="116">+E257-E259</f>
        <v>0</v>
      </c>
      <c r="F260" s="1664">
        <f t="shared" si="116"/>
        <v>0</v>
      </c>
      <c r="G260" s="1664">
        <f t="shared" si="116"/>
        <v>0</v>
      </c>
      <c r="H260" s="1664">
        <f t="shared" si="116"/>
        <v>0</v>
      </c>
      <c r="I260" s="1664">
        <f t="shared" ca="1" si="116"/>
        <v>42239.715757264115</v>
      </c>
      <c r="J260" s="1664">
        <f t="shared" ca="1" si="116"/>
        <v>74028.31542335618</v>
      </c>
      <c r="K260" s="1664">
        <f t="shared" ca="1" si="116"/>
        <v>91112.120409215044</v>
      </c>
      <c r="L260" s="1664">
        <f t="shared" ca="1" si="116"/>
        <v>97204.855507192231</v>
      </c>
      <c r="M260" s="1664">
        <f t="shared" ca="1" si="116"/>
        <v>95624.822827777447</v>
      </c>
      <c r="N260" s="1664">
        <f t="shared" ca="1" si="116"/>
        <v>87965.199120360528</v>
      </c>
      <c r="O260" s="1664">
        <f t="shared" ca="1" si="116"/>
        <v>85355.943073397269</v>
      </c>
      <c r="P260" s="1664">
        <f t="shared" ca="1" si="116"/>
        <v>104333.77204579877</v>
      </c>
      <c r="Q260" s="1664">
        <f t="shared" ca="1" si="116"/>
        <v>101406.00257186455</v>
      </c>
      <c r="R260" s="1664">
        <f t="shared" ca="1" si="116"/>
        <v>102475.46343403772</v>
      </c>
      <c r="S260" s="1664">
        <f t="shared" ca="1" si="116"/>
        <v>104288.89002311118</v>
      </c>
      <c r="T260" s="1664">
        <f t="shared" ref="T260:AC260" ca="1" si="117">+T257-T259</f>
        <v>93996.300069582794</v>
      </c>
      <c r="U260" s="1664">
        <f t="shared" ca="1" si="117"/>
        <v>103110.30649764067</v>
      </c>
      <c r="V260" s="1664">
        <f t="shared" ca="1" si="117"/>
        <v>92771.266018679278</v>
      </c>
      <c r="W260" s="1664">
        <f t="shared" ca="1" si="117"/>
        <v>89264.627165912942</v>
      </c>
      <c r="X260" s="1664">
        <f t="shared" ca="1" si="117"/>
        <v>86497.255161712703</v>
      </c>
      <c r="Y260" s="1664">
        <f t="shared" ca="1" si="117"/>
        <v>87410.664153132922</v>
      </c>
      <c r="Z260" s="1664">
        <f t="shared" ca="1" si="117"/>
        <v>82223.499634878113</v>
      </c>
      <c r="AA260" s="1664">
        <f t="shared" ca="1" si="117"/>
        <v>82928.766247298307</v>
      </c>
      <c r="AB260" s="1664">
        <f t="shared" ca="1" si="117"/>
        <v>65252.83915662764</v>
      </c>
      <c r="AC260" s="1664">
        <f t="shared" si="117"/>
        <v>-26207.775874327919</v>
      </c>
      <c r="AD260" s="1664">
        <f>+AD257-AD259</f>
        <v>-26501.916163709917</v>
      </c>
      <c r="AE260" s="1664">
        <f>+AE257-AE259</f>
        <v>-27031.954486984116</v>
      </c>
      <c r="AF260" s="1664">
        <f>+AF257-AF259</f>
        <v>-27572.593576723801</v>
      </c>
    </row>
    <row r="261" spans="1:32">
      <c r="I261" s="819"/>
    </row>
    <row r="262" spans="1:32" ht="12" hidden="1" outlineLevel="1" thickBot="1">
      <c r="A262" s="913"/>
      <c r="B262" s="913"/>
      <c r="C262" s="913"/>
      <c r="D262" s="913"/>
      <c r="E262" s="913"/>
      <c r="F262" s="913"/>
      <c r="G262" s="913"/>
      <c r="H262" s="913"/>
      <c r="I262" s="913"/>
      <c r="J262" s="913"/>
      <c r="K262" s="913"/>
      <c r="L262" s="913"/>
      <c r="M262" s="913"/>
      <c r="N262" s="913"/>
      <c r="O262" s="913"/>
      <c r="P262" s="913"/>
      <c r="Q262" s="913"/>
      <c r="R262" s="913"/>
      <c r="S262" s="913"/>
      <c r="T262" s="913"/>
      <c r="U262" s="913"/>
      <c r="V262" s="913"/>
      <c r="W262" s="913"/>
      <c r="X262" s="913"/>
      <c r="Y262" s="913"/>
      <c r="Z262" s="913"/>
      <c r="AA262" s="913"/>
      <c r="AB262" s="913"/>
      <c r="AC262" s="913"/>
      <c r="AD262" s="913"/>
      <c r="AE262" s="913"/>
      <c r="AF262" s="913"/>
    </row>
    <row r="263" spans="1:32" ht="12" hidden="1" outlineLevel="1" thickTop="1">
      <c r="F263" s="869"/>
    </row>
    <row r="264" spans="1:32" hidden="1" outlineLevel="1">
      <c r="A264" s="989" t="s">
        <v>601</v>
      </c>
    </row>
    <row r="265" spans="1:32" hidden="1" outlineLevel="1">
      <c r="B265" s="869" t="s">
        <v>602</v>
      </c>
      <c r="E265" s="976">
        <f t="shared" ref="E265:N265" si="118">+E252</f>
        <v>0</v>
      </c>
      <c r="F265" s="976">
        <f t="shared" si="118"/>
        <v>0</v>
      </c>
      <c r="G265" s="976">
        <f t="shared" si="118"/>
        <v>0</v>
      </c>
      <c r="H265" s="976">
        <f t="shared" si="118"/>
        <v>0</v>
      </c>
      <c r="I265" s="976">
        <f t="shared" ca="1" si="118"/>
        <v>115135.71555674403</v>
      </c>
      <c r="J265" s="976">
        <f t="shared" ca="1" si="118"/>
        <v>215048.05097985614</v>
      </c>
      <c r="K265" s="976">
        <f t="shared" ca="1" si="118"/>
        <v>235916.97416621918</v>
      </c>
      <c r="L265" s="976">
        <f t="shared" ca="1" si="118"/>
        <v>245155.67947930383</v>
      </c>
      <c r="M265" s="976">
        <f t="shared" ca="1" si="118"/>
        <v>248792.34089120023</v>
      </c>
      <c r="N265" s="976">
        <f t="shared" ca="1" si="118"/>
        <v>246510.00956349491</v>
      </c>
      <c r="O265" s="976">
        <f t="shared" ref="O265:AC265" ca="1" si="119">+O252</f>
        <v>242752.02727324315</v>
      </c>
      <c r="P265" s="976">
        <f t="shared" ca="1" si="119"/>
        <v>272426.66108109587</v>
      </c>
      <c r="Q265" s="976">
        <f t="shared" ca="1" si="119"/>
        <v>274422.44003901776</v>
      </c>
      <c r="R265" s="976">
        <f t="shared" ca="1" si="119"/>
        <v>278903.0379662849</v>
      </c>
      <c r="S265" s="976">
        <f t="shared" ca="1" si="119"/>
        <v>286693.23297783005</v>
      </c>
      <c r="T265" s="976">
        <f t="shared" ca="1" si="119"/>
        <v>281163.42284126068</v>
      </c>
      <c r="U265" s="976">
        <f t="shared" ca="1" si="119"/>
        <v>285806.46724863182</v>
      </c>
      <c r="V265" s="976">
        <f t="shared" ca="1" si="119"/>
        <v>287978.77657221607</v>
      </c>
      <c r="W265" s="976">
        <f t="shared" ca="1" si="119"/>
        <v>290386.2775871515</v>
      </c>
      <c r="X265" s="976">
        <f t="shared" ca="1" si="119"/>
        <v>291879.92596903513</v>
      </c>
      <c r="Y265" s="976">
        <f t="shared" ca="1" si="119"/>
        <v>299748.40899401886</v>
      </c>
      <c r="Z265" s="976">
        <f t="shared" ca="1" si="119"/>
        <v>297902.80794575723</v>
      </c>
      <c r="AA265" s="976">
        <f t="shared" ca="1" si="119"/>
        <v>291131.72780055628</v>
      </c>
      <c r="AB265" s="976">
        <f t="shared" ca="1" si="119"/>
        <v>270699.69031702843</v>
      </c>
      <c r="AC265" s="976">
        <f t="shared" si="119"/>
        <v>0</v>
      </c>
      <c r="AD265" s="976">
        <f>+AD252</f>
        <v>0</v>
      </c>
      <c r="AE265" s="976">
        <f>+AE252</f>
        <v>0</v>
      </c>
      <c r="AF265" s="976">
        <f>+AF252</f>
        <v>0</v>
      </c>
    </row>
    <row r="266" spans="1:32" hidden="1" outlineLevel="1">
      <c r="B266" s="820" t="s">
        <v>581</v>
      </c>
      <c r="E266" s="976">
        <f t="shared" ref="E266:N266" si="120">+E255</f>
        <v>0</v>
      </c>
      <c r="F266" s="976">
        <f t="shared" si="120"/>
        <v>0</v>
      </c>
      <c r="G266" s="976">
        <f t="shared" si="120"/>
        <v>0</v>
      </c>
      <c r="H266" s="976">
        <f t="shared" si="120"/>
        <v>0</v>
      </c>
      <c r="I266" s="976">
        <f t="shared" ca="1" si="120"/>
        <v>63590.006530416016</v>
      </c>
      <c r="J266" s="976">
        <f t="shared" ca="1" si="120"/>
        <v>122157.05764183549</v>
      </c>
      <c r="K266" s="976">
        <f t="shared" ca="1" si="120"/>
        <v>125401.43660798989</v>
      </c>
      <c r="L266" s="976">
        <f t="shared" ca="1" si="120"/>
        <v>128115.35773057288</v>
      </c>
      <c r="M266" s="976">
        <f t="shared" ca="1" si="120"/>
        <v>132963.28598446734</v>
      </c>
      <c r="N266" s="976">
        <f t="shared" ca="1" si="120"/>
        <v>138026.26740941746</v>
      </c>
      <c r="O266" s="976">
        <f t="shared" ref="O266:AC266" ca="1" si="121">+O255</f>
        <v>136533.11676612738</v>
      </c>
      <c r="P266" s="976">
        <f t="shared" ca="1" si="121"/>
        <v>146630.78498192527</v>
      </c>
      <c r="Q266" s="976">
        <f t="shared" ca="1" si="121"/>
        <v>151172.77870933243</v>
      </c>
      <c r="R266" s="976">
        <f t="shared" ca="1" si="121"/>
        <v>154155.00812004207</v>
      </c>
      <c r="S266" s="976">
        <f t="shared" ca="1" si="121"/>
        <v>159686.98628610911</v>
      </c>
      <c r="T266" s="976">
        <f t="shared" ca="1" si="121"/>
        <v>164109.36335281088</v>
      </c>
      <c r="U266" s="976">
        <f t="shared" ca="1" si="121"/>
        <v>159128.67070220297</v>
      </c>
      <c r="V266" s="976">
        <f t="shared" ca="1" si="121"/>
        <v>171295.32049021029</v>
      </c>
      <c r="W266" s="976">
        <f t="shared" ca="1" si="121"/>
        <v>176775.1657946663</v>
      </c>
      <c r="X266" s="976">
        <f t="shared" ca="1" si="121"/>
        <v>180596.89611585156</v>
      </c>
      <c r="Y266" s="976">
        <f t="shared" ca="1" si="121"/>
        <v>187058.19972942118</v>
      </c>
      <c r="Z266" s="976">
        <f t="shared" ca="1" si="121"/>
        <v>189953.99469611011</v>
      </c>
      <c r="AA266" s="976">
        <f t="shared" ca="1" si="121"/>
        <v>182000.92716407828</v>
      </c>
      <c r="AB266" s="976">
        <f t="shared" ca="1" si="121"/>
        <v>178884.86411938362</v>
      </c>
      <c r="AC266" s="976">
        <f t="shared" si="121"/>
        <v>0</v>
      </c>
      <c r="AD266" s="976">
        <f>+AD255</f>
        <v>0</v>
      </c>
      <c r="AE266" s="976">
        <f>+AE255</f>
        <v>0</v>
      </c>
      <c r="AF266" s="976">
        <f>+AF255</f>
        <v>0</v>
      </c>
    </row>
    <row r="267" spans="1:32" hidden="1" outlineLevel="1">
      <c r="B267" s="990" t="s">
        <v>603</v>
      </c>
      <c r="E267" s="976">
        <f t="shared" ref="E267:N267" si="122">+E259</f>
        <v>0</v>
      </c>
      <c r="F267" s="976">
        <f t="shared" si="122"/>
        <v>0</v>
      </c>
      <c r="G267" s="976">
        <f t="shared" si="122"/>
        <v>0</v>
      </c>
      <c r="H267" s="976">
        <f t="shared" si="122"/>
        <v>0</v>
      </c>
      <c r="I267" s="976">
        <f t="shared" si="122"/>
        <v>9305.9932690639052</v>
      </c>
      <c r="J267" s="976">
        <f t="shared" si="122"/>
        <v>18862.677914664469</v>
      </c>
      <c r="K267" s="976">
        <f t="shared" si="122"/>
        <v>19403.417149014251</v>
      </c>
      <c r="L267" s="976">
        <f t="shared" si="122"/>
        <v>19835.466241538721</v>
      </c>
      <c r="M267" s="976">
        <f t="shared" si="122"/>
        <v>20204.232078955443</v>
      </c>
      <c r="N267" s="976">
        <f t="shared" si="122"/>
        <v>20518.543033716927</v>
      </c>
      <c r="O267" s="976">
        <f t="shared" ref="O267:AC267" si="123">+O259</f>
        <v>20862.967433718492</v>
      </c>
      <c r="P267" s="976">
        <f t="shared" si="123"/>
        <v>21462.104053371815</v>
      </c>
      <c r="Q267" s="976">
        <f t="shared" si="123"/>
        <v>21843.658757820776</v>
      </c>
      <c r="R267" s="976">
        <f t="shared" si="123"/>
        <v>22272.566412205117</v>
      </c>
      <c r="S267" s="976">
        <f t="shared" si="123"/>
        <v>22717.356668609762</v>
      </c>
      <c r="T267" s="976">
        <f t="shared" si="123"/>
        <v>23057.759418867008</v>
      </c>
      <c r="U267" s="976">
        <f t="shared" si="123"/>
        <v>23567.490048788171</v>
      </c>
      <c r="V267" s="976">
        <f t="shared" si="123"/>
        <v>23912.1900633265</v>
      </c>
      <c r="W267" s="976">
        <f t="shared" si="123"/>
        <v>24346.484626572259</v>
      </c>
      <c r="X267" s="976">
        <f t="shared" si="123"/>
        <v>24785.774691470877</v>
      </c>
      <c r="Y267" s="976">
        <f t="shared" si="123"/>
        <v>25279.545111464762</v>
      </c>
      <c r="Z267" s="976">
        <f t="shared" si="123"/>
        <v>25725.313614769009</v>
      </c>
      <c r="AA267" s="976">
        <f t="shared" si="123"/>
        <v>26202.034389179702</v>
      </c>
      <c r="AB267" s="976">
        <f t="shared" si="123"/>
        <v>26561.987041017175</v>
      </c>
      <c r="AC267" s="976">
        <f t="shared" si="123"/>
        <v>26207.775874327919</v>
      </c>
      <c r="AD267" s="976">
        <f>+AD259</f>
        <v>26501.916163709917</v>
      </c>
      <c r="AE267" s="976">
        <f>+AE259</f>
        <v>27031.954486984116</v>
      </c>
      <c r="AF267" s="976">
        <f>+AF259</f>
        <v>27572.593576723801</v>
      </c>
    </row>
    <row r="268" spans="1:32" hidden="1" outlineLevel="1">
      <c r="B268" s="991" t="s">
        <v>604</v>
      </c>
      <c r="C268" s="932"/>
      <c r="E268" s="976"/>
      <c r="F268" s="976"/>
      <c r="G268" s="976"/>
      <c r="H268" s="976"/>
      <c r="I268" s="976">
        <f t="shared" ref="I268:R268" ca="1" si="124">+I108</f>
        <v>528200.37436061481</v>
      </c>
      <c r="J268" s="976">
        <f t="shared" si="124"/>
        <v>0</v>
      </c>
      <c r="K268" s="976">
        <f t="shared" si="124"/>
        <v>0</v>
      </c>
      <c r="L268" s="976">
        <f t="shared" si="124"/>
        <v>0</v>
      </c>
      <c r="M268" s="976">
        <f t="shared" si="124"/>
        <v>0</v>
      </c>
      <c r="N268" s="976">
        <f t="shared" si="124"/>
        <v>0</v>
      </c>
      <c r="O268" s="976">
        <f t="shared" si="124"/>
        <v>0</v>
      </c>
      <c r="P268" s="976">
        <f t="shared" si="124"/>
        <v>0</v>
      </c>
      <c r="Q268" s="976">
        <f t="shared" si="124"/>
        <v>0</v>
      </c>
      <c r="R268" s="976">
        <f t="shared" si="124"/>
        <v>0</v>
      </c>
      <c r="S268" s="976">
        <f t="shared" ref="S268:AC268" si="125">+S108</f>
        <v>0</v>
      </c>
      <c r="T268" s="976">
        <f t="shared" si="125"/>
        <v>0</v>
      </c>
      <c r="U268" s="976">
        <f t="shared" si="125"/>
        <v>0</v>
      </c>
      <c r="V268" s="976">
        <f t="shared" si="125"/>
        <v>0</v>
      </c>
      <c r="W268" s="976">
        <f t="shared" si="125"/>
        <v>0</v>
      </c>
      <c r="X268" s="976">
        <f t="shared" si="125"/>
        <v>0</v>
      </c>
      <c r="Y268" s="976">
        <f t="shared" si="125"/>
        <v>0</v>
      </c>
      <c r="Z268" s="976">
        <f t="shared" si="125"/>
        <v>0</v>
      </c>
      <c r="AA268" s="976">
        <f t="shared" si="125"/>
        <v>0</v>
      </c>
      <c r="AB268" s="976">
        <f t="shared" si="125"/>
        <v>0</v>
      </c>
      <c r="AC268" s="976">
        <f t="shared" si="125"/>
        <v>0</v>
      </c>
      <c r="AD268" s="976">
        <f>+AD108</f>
        <v>0</v>
      </c>
      <c r="AE268" s="976">
        <f>+AE108</f>
        <v>0</v>
      </c>
      <c r="AF268" s="976">
        <f>+AF108</f>
        <v>0</v>
      </c>
    </row>
    <row r="269" spans="1:32" hidden="1" outlineLevel="1">
      <c r="B269" s="990"/>
      <c r="E269" s="976"/>
      <c r="F269" s="976"/>
      <c r="G269" s="976"/>
      <c r="H269" s="976"/>
      <c r="I269" s="976"/>
      <c r="J269" s="976"/>
      <c r="K269" s="976"/>
      <c r="L269" s="976"/>
      <c r="M269" s="976"/>
      <c r="N269" s="976"/>
      <c r="O269" s="976"/>
      <c r="P269" s="976"/>
      <c r="Q269" s="976"/>
      <c r="R269" s="976"/>
      <c r="S269" s="976"/>
      <c r="T269" s="976"/>
      <c r="U269" s="976"/>
      <c r="V269" s="976"/>
      <c r="W269" s="976"/>
      <c r="X269" s="976"/>
      <c r="Y269" s="976"/>
      <c r="Z269" s="976"/>
      <c r="AA269" s="976"/>
      <c r="AB269" s="976"/>
      <c r="AC269" s="976"/>
      <c r="AD269" s="976"/>
      <c r="AE269" s="976"/>
      <c r="AF269" s="976"/>
    </row>
    <row r="270" spans="1:32" hidden="1" outlineLevel="1">
      <c r="B270" s="990" t="s">
        <v>605</v>
      </c>
      <c r="E270" s="976"/>
      <c r="F270" s="976"/>
      <c r="G270" s="976"/>
      <c r="H270" s="976"/>
      <c r="I270" s="976">
        <f t="shared" ref="I270:R270" si="126">+I107</f>
        <v>0</v>
      </c>
      <c r="J270" s="976">
        <f t="shared" si="126"/>
        <v>0</v>
      </c>
      <c r="K270" s="976">
        <f t="shared" si="126"/>
        <v>0</v>
      </c>
      <c r="L270" s="976">
        <f t="shared" si="126"/>
        <v>0</v>
      </c>
      <c r="M270" s="976">
        <f t="shared" si="126"/>
        <v>0</v>
      </c>
      <c r="N270" s="976">
        <f t="shared" si="126"/>
        <v>0</v>
      </c>
      <c r="O270" s="976">
        <f t="shared" si="126"/>
        <v>0</v>
      </c>
      <c r="P270" s="976">
        <f t="shared" si="126"/>
        <v>0</v>
      </c>
      <c r="Q270" s="976">
        <f t="shared" si="126"/>
        <v>0</v>
      </c>
      <c r="R270" s="976">
        <f t="shared" si="126"/>
        <v>0</v>
      </c>
      <c r="S270" s="976">
        <f t="shared" ref="S270:AC270" si="127">+S107</f>
        <v>0</v>
      </c>
      <c r="T270" s="976">
        <f t="shared" si="127"/>
        <v>0</v>
      </c>
      <c r="U270" s="976">
        <f t="shared" si="127"/>
        <v>0</v>
      </c>
      <c r="V270" s="976">
        <f t="shared" si="127"/>
        <v>0</v>
      </c>
      <c r="W270" s="976">
        <f t="shared" si="127"/>
        <v>0</v>
      </c>
      <c r="X270" s="976">
        <f t="shared" si="127"/>
        <v>0</v>
      </c>
      <c r="Y270" s="976">
        <f t="shared" si="127"/>
        <v>0</v>
      </c>
      <c r="Z270" s="976">
        <f t="shared" si="127"/>
        <v>0</v>
      </c>
      <c r="AA270" s="976">
        <f t="shared" si="127"/>
        <v>0</v>
      </c>
      <c r="AB270" s="976">
        <f t="shared" si="127"/>
        <v>0</v>
      </c>
      <c r="AC270" s="976">
        <f t="shared" si="127"/>
        <v>0</v>
      </c>
      <c r="AD270" s="976">
        <f>+AD107</f>
        <v>0</v>
      </c>
      <c r="AE270" s="976">
        <f>+AE107</f>
        <v>0</v>
      </c>
      <c r="AF270" s="976">
        <f>+AF107</f>
        <v>0</v>
      </c>
    </row>
    <row r="271" spans="1:32" hidden="1" outlineLevel="1">
      <c r="B271" s="903" t="s">
        <v>549</v>
      </c>
      <c r="C271" s="903"/>
      <c r="E271" s="976"/>
      <c r="F271" s="976"/>
      <c r="G271" s="976"/>
      <c r="H271" s="976"/>
      <c r="I271" s="976">
        <f t="shared" ref="I271:R271" ca="1" si="128">+I106</f>
        <v>48563.258028614982</v>
      </c>
      <c r="J271" s="976">
        <f t="shared" si="128"/>
        <v>0</v>
      </c>
      <c r="K271" s="976">
        <f t="shared" si="128"/>
        <v>0</v>
      </c>
      <c r="L271" s="976">
        <f t="shared" si="128"/>
        <v>0</v>
      </c>
      <c r="M271" s="976">
        <f t="shared" si="128"/>
        <v>0</v>
      </c>
      <c r="N271" s="976">
        <f t="shared" si="128"/>
        <v>0</v>
      </c>
      <c r="O271" s="976">
        <f t="shared" si="128"/>
        <v>0</v>
      </c>
      <c r="P271" s="976">
        <f t="shared" si="128"/>
        <v>0</v>
      </c>
      <c r="Q271" s="976">
        <f t="shared" si="128"/>
        <v>0</v>
      </c>
      <c r="R271" s="976">
        <f t="shared" si="128"/>
        <v>0</v>
      </c>
      <c r="S271" s="976">
        <f t="shared" ref="S271:AC271" si="129">+S106</f>
        <v>0</v>
      </c>
      <c r="T271" s="976">
        <f t="shared" si="129"/>
        <v>0</v>
      </c>
      <c r="U271" s="976">
        <f t="shared" si="129"/>
        <v>0</v>
      </c>
      <c r="V271" s="976">
        <f t="shared" si="129"/>
        <v>0</v>
      </c>
      <c r="W271" s="976">
        <f t="shared" si="129"/>
        <v>0</v>
      </c>
      <c r="X271" s="976">
        <f t="shared" si="129"/>
        <v>0</v>
      </c>
      <c r="Y271" s="976">
        <f t="shared" si="129"/>
        <v>0</v>
      </c>
      <c r="Z271" s="976">
        <f t="shared" si="129"/>
        <v>0</v>
      </c>
      <c r="AA271" s="976">
        <f t="shared" si="129"/>
        <v>0</v>
      </c>
      <c r="AB271" s="976">
        <f t="shared" si="129"/>
        <v>0</v>
      </c>
      <c r="AC271" s="976">
        <f t="shared" si="129"/>
        <v>0</v>
      </c>
      <c r="AD271" s="976">
        <f>+AD106</f>
        <v>0</v>
      </c>
      <c r="AE271" s="976">
        <f>+AE106</f>
        <v>0</v>
      </c>
      <c r="AF271" s="976">
        <f>+AF106</f>
        <v>0</v>
      </c>
    </row>
    <row r="272" spans="1:32" hidden="1" outlineLevel="1">
      <c r="B272" s="820" t="s">
        <v>606</v>
      </c>
      <c r="E272" s="976">
        <f t="shared" ref="E272:N272" si="130">+E114</f>
        <v>0</v>
      </c>
      <c r="F272" s="976">
        <f t="shared" si="130"/>
        <v>0</v>
      </c>
      <c r="G272" s="976">
        <f t="shared" si="130"/>
        <v>0</v>
      </c>
      <c r="H272" s="976">
        <f t="shared" si="130"/>
        <v>0</v>
      </c>
      <c r="I272" s="976">
        <f t="shared" ca="1" si="130"/>
        <v>11990.927908299995</v>
      </c>
      <c r="J272" s="976">
        <f t="shared" ca="1" si="130"/>
        <v>23981.855816599989</v>
      </c>
      <c r="K272" s="976">
        <f t="shared" ca="1" si="130"/>
        <v>23981.855816599989</v>
      </c>
      <c r="L272" s="976">
        <f t="shared" ca="1" si="130"/>
        <v>23981.855816599989</v>
      </c>
      <c r="M272" s="976">
        <f t="shared" ca="1" si="130"/>
        <v>23981.855816599989</v>
      </c>
      <c r="N272" s="976">
        <f t="shared" ca="1" si="130"/>
        <v>23981.855816599989</v>
      </c>
      <c r="O272" s="976">
        <f t="shared" ref="O272:AC272" ca="1" si="131">+O114</f>
        <v>23981.855816599989</v>
      </c>
      <c r="P272" s="976">
        <f t="shared" ca="1" si="131"/>
        <v>23981.855816599989</v>
      </c>
      <c r="Q272" s="976">
        <f t="shared" ca="1" si="131"/>
        <v>23981.855816599989</v>
      </c>
      <c r="R272" s="976">
        <f t="shared" ca="1" si="131"/>
        <v>23981.855816599989</v>
      </c>
      <c r="S272" s="976">
        <f t="shared" ca="1" si="131"/>
        <v>23981.855816599989</v>
      </c>
      <c r="T272" s="976">
        <f t="shared" ca="1" si="131"/>
        <v>23981.855816599989</v>
      </c>
      <c r="U272" s="976">
        <f t="shared" ca="1" si="131"/>
        <v>23981.855816599989</v>
      </c>
      <c r="V272" s="976">
        <f t="shared" ca="1" si="131"/>
        <v>23981.855816599989</v>
      </c>
      <c r="W272" s="976">
        <f t="shared" ca="1" si="131"/>
        <v>23981.855816599989</v>
      </c>
      <c r="X272" s="976">
        <f t="shared" ca="1" si="131"/>
        <v>23981.855816599989</v>
      </c>
      <c r="Y272" s="976">
        <f t="shared" ca="1" si="131"/>
        <v>23981.855816599989</v>
      </c>
      <c r="Z272" s="976">
        <f t="shared" ca="1" si="131"/>
        <v>23981.855816599989</v>
      </c>
      <c r="AA272" s="976">
        <f t="shared" ca="1" si="131"/>
        <v>23981.855816599989</v>
      </c>
      <c r="AB272" s="976">
        <f t="shared" ca="1" si="131"/>
        <v>23981.855816599989</v>
      </c>
      <c r="AC272" s="976">
        <f t="shared" ca="1" si="131"/>
        <v>11990.927908299995</v>
      </c>
      <c r="AD272" s="976">
        <f ca="1">+AD114</f>
        <v>0</v>
      </c>
      <c r="AE272" s="976">
        <f ca="1">+AE114</f>
        <v>0</v>
      </c>
      <c r="AF272" s="976">
        <f ca="1">+AF114</f>
        <v>0</v>
      </c>
    </row>
    <row r="273" spans="1:33" hidden="1" outlineLevel="1">
      <c r="B273" s="820" t="s">
        <v>607</v>
      </c>
      <c r="E273" s="976">
        <f t="shared" ref="E273:N273" si="132">+E120</f>
        <v>0</v>
      </c>
      <c r="F273" s="976">
        <f t="shared" si="132"/>
        <v>0</v>
      </c>
      <c r="G273" s="976">
        <f t="shared" si="132"/>
        <v>0</v>
      </c>
      <c r="H273" s="976">
        <f t="shared" si="132"/>
        <v>0</v>
      </c>
      <c r="I273" s="976">
        <f t="shared" ca="1" si="132"/>
        <v>17986.391862449989</v>
      </c>
      <c r="J273" s="976">
        <f t="shared" ca="1" si="132"/>
        <v>34625.003428007069</v>
      </c>
      <c r="K273" s="976">
        <f t="shared" ca="1" si="132"/>
        <v>32025.370257487622</v>
      </c>
      <c r="L273" s="976">
        <f t="shared" ca="1" si="132"/>
        <v>29627.184675827626</v>
      </c>
      <c r="M273" s="976">
        <f t="shared" ca="1" si="132"/>
        <v>27401.668456047148</v>
      </c>
      <c r="N273" s="976">
        <f t="shared" ca="1" si="132"/>
        <v>25348.821598146187</v>
      </c>
      <c r="O273" s="976">
        <f t="shared" ref="O273:AC273" ca="1" si="133">+O120</f>
        <v>23444.662246308148</v>
      </c>
      <c r="P273" s="976">
        <f t="shared" ca="1" si="133"/>
        <v>21689.190400533033</v>
      </c>
      <c r="Q273" s="976">
        <f t="shared" ca="1" si="133"/>
        <v>21401.408130733831</v>
      </c>
      <c r="R273" s="976">
        <f t="shared" ca="1" si="133"/>
        <v>21396.611759570507</v>
      </c>
      <c r="S273" s="976">
        <f t="shared" ca="1" si="133"/>
        <v>21401.408130733831</v>
      </c>
      <c r="T273" s="976">
        <f t="shared" ca="1" si="133"/>
        <v>21396.611759570507</v>
      </c>
      <c r="U273" s="976">
        <f t="shared" ca="1" si="133"/>
        <v>21401.408130733831</v>
      </c>
      <c r="V273" s="976">
        <f t="shared" ca="1" si="133"/>
        <v>21396.611759570507</v>
      </c>
      <c r="W273" s="976">
        <f t="shared" ca="1" si="133"/>
        <v>21401.408130733831</v>
      </c>
      <c r="X273" s="976">
        <f t="shared" ca="1" si="133"/>
        <v>21396.611759570507</v>
      </c>
      <c r="Y273" s="976">
        <f t="shared" ca="1" si="133"/>
        <v>21401.408130733831</v>
      </c>
      <c r="Z273" s="976">
        <f t="shared" ca="1" si="133"/>
        <v>21396.611759570507</v>
      </c>
      <c r="AA273" s="976">
        <f t="shared" ca="1" si="133"/>
        <v>21401.408130733831</v>
      </c>
      <c r="AB273" s="976">
        <f t="shared" ca="1" si="133"/>
        <v>21396.611759570507</v>
      </c>
      <c r="AC273" s="976">
        <f t="shared" ca="1" si="133"/>
        <v>10700.704065366916</v>
      </c>
      <c r="AD273" s="976">
        <f ca="1">+AD120</f>
        <v>0</v>
      </c>
      <c r="AE273" s="976">
        <f ca="1">+AE120</f>
        <v>0</v>
      </c>
      <c r="AF273" s="976">
        <f ca="1">+AF120</f>
        <v>0</v>
      </c>
    </row>
    <row r="274" spans="1:33" hidden="1" outlineLevel="1">
      <c r="B274" s="992" t="s">
        <v>608</v>
      </c>
      <c r="E274" s="976">
        <f t="shared" ref="E274:N274" si="134">+E115</f>
        <v>0</v>
      </c>
      <c r="F274" s="976">
        <f t="shared" si="134"/>
        <v>0</v>
      </c>
      <c r="G274" s="976">
        <f t="shared" si="134"/>
        <v>0</v>
      </c>
      <c r="H274" s="976">
        <f t="shared" si="134"/>
        <v>0</v>
      </c>
      <c r="I274" s="976">
        <f t="shared" ca="1" si="134"/>
        <v>3468.8041449010702</v>
      </c>
      <c r="J274" s="976">
        <f t="shared" ca="1" si="134"/>
        <v>6937.6082898021405</v>
      </c>
      <c r="K274" s="976">
        <f t="shared" ca="1" si="134"/>
        <v>6937.6082898021405</v>
      </c>
      <c r="L274" s="976">
        <f t="shared" ca="1" si="134"/>
        <v>6937.6082898021405</v>
      </c>
      <c r="M274" s="976">
        <f t="shared" ca="1" si="134"/>
        <v>6937.6082898021405</v>
      </c>
      <c r="N274" s="976">
        <f t="shared" ca="1" si="134"/>
        <v>6937.6082898021405</v>
      </c>
      <c r="O274" s="976">
        <f t="shared" ref="O274:AC274" ca="1" si="135">+O115</f>
        <v>6937.6082898021405</v>
      </c>
      <c r="P274" s="976">
        <f t="shared" ca="1" si="135"/>
        <v>3468.8041449010702</v>
      </c>
      <c r="Q274" s="976">
        <f t="shared" ca="1" si="135"/>
        <v>0</v>
      </c>
      <c r="R274" s="976">
        <f t="shared" ca="1" si="135"/>
        <v>0</v>
      </c>
      <c r="S274" s="976">
        <f t="shared" ca="1" si="135"/>
        <v>0</v>
      </c>
      <c r="T274" s="976">
        <f t="shared" ca="1" si="135"/>
        <v>0</v>
      </c>
      <c r="U274" s="976">
        <f t="shared" ca="1" si="135"/>
        <v>0</v>
      </c>
      <c r="V274" s="976">
        <f t="shared" ca="1" si="135"/>
        <v>0</v>
      </c>
      <c r="W274" s="976">
        <f t="shared" ca="1" si="135"/>
        <v>0</v>
      </c>
      <c r="X274" s="976">
        <f t="shared" ca="1" si="135"/>
        <v>0</v>
      </c>
      <c r="Y274" s="976">
        <f t="shared" ca="1" si="135"/>
        <v>0</v>
      </c>
      <c r="Z274" s="976">
        <f t="shared" ca="1" si="135"/>
        <v>0</v>
      </c>
      <c r="AA274" s="976">
        <f t="shared" ca="1" si="135"/>
        <v>0</v>
      </c>
      <c r="AB274" s="976">
        <f t="shared" ca="1" si="135"/>
        <v>0</v>
      </c>
      <c r="AC274" s="976">
        <f t="shared" ca="1" si="135"/>
        <v>0</v>
      </c>
      <c r="AD274" s="976">
        <f ca="1">+AD115</f>
        <v>0</v>
      </c>
      <c r="AE274" s="976">
        <f ca="1">+AE115</f>
        <v>0</v>
      </c>
      <c r="AF274" s="976">
        <f ca="1">+AF115</f>
        <v>0</v>
      </c>
    </row>
    <row r="275" spans="1:33" hidden="1" outlineLevel="1">
      <c r="B275" s="990" t="s">
        <v>609</v>
      </c>
      <c r="E275" s="976"/>
      <c r="F275" s="976"/>
      <c r="G275" s="976"/>
      <c r="H275" s="976"/>
      <c r="I275" s="976"/>
      <c r="J275" s="976"/>
      <c r="K275" s="976"/>
      <c r="L275" s="976"/>
      <c r="M275" s="976"/>
      <c r="N275" s="976"/>
      <c r="O275" s="976"/>
      <c r="P275" s="976"/>
      <c r="Q275" s="976"/>
      <c r="R275" s="976"/>
      <c r="S275" s="976"/>
      <c r="T275" s="976"/>
      <c r="U275" s="976"/>
      <c r="V275" s="976"/>
      <c r="W275" s="976"/>
      <c r="X275" s="976"/>
      <c r="Y275" s="976"/>
      <c r="Z275" s="976"/>
      <c r="AA275" s="976"/>
      <c r="AB275" s="976"/>
      <c r="AC275" s="976"/>
      <c r="AD275" s="976"/>
      <c r="AE275" s="976"/>
      <c r="AF275" s="976"/>
    </row>
    <row r="276" spans="1:33" hidden="1" outlineLevel="1"/>
    <row r="277" spans="1:33" hidden="1" outlineLevel="1">
      <c r="A277" s="989" t="s">
        <v>610</v>
      </c>
      <c r="H277" s="993"/>
    </row>
    <row r="278" spans="1:33" hidden="1" outlineLevel="1">
      <c r="E278" s="820" t="s">
        <v>611</v>
      </c>
      <c r="H278" s="993">
        <f>+Template!H740</f>
        <v>0.5</v>
      </c>
    </row>
    <row r="279" spans="1:33" hidden="1" outlineLevel="1">
      <c r="E279" s="820" t="s">
        <v>612</v>
      </c>
      <c r="G279" s="994"/>
      <c r="H279" s="976">
        <f>+Template!H741</f>
        <v>1000</v>
      </c>
    </row>
    <row r="280" spans="1:33" collapsed="1"/>
    <row r="281" spans="1:33">
      <c r="A281" s="995" t="s">
        <v>947</v>
      </c>
      <c r="B281" s="818"/>
      <c r="C281" s="996"/>
      <c r="D281" s="818"/>
      <c r="E281" s="818"/>
      <c r="F281" s="818"/>
      <c r="G281" s="818"/>
      <c r="H281" s="818"/>
      <c r="I281" s="665"/>
      <c r="J281" s="818"/>
      <c r="K281" s="818"/>
      <c r="L281" s="997"/>
      <c r="M281" s="818"/>
      <c r="N281" s="818"/>
      <c r="O281" s="818"/>
      <c r="P281" s="998"/>
      <c r="Q281" s="998"/>
      <c r="R281" s="998"/>
      <c r="S281" s="999">
        <f ca="1">NOW()</f>
        <v>36658.4586494213</v>
      </c>
      <c r="T281" s="818"/>
      <c r="U281" s="818"/>
      <c r="V281" s="818"/>
      <c r="W281" s="818"/>
      <c r="X281" s="818"/>
      <c r="Y281" s="818"/>
      <c r="Z281" s="818"/>
      <c r="AA281" s="818"/>
      <c r="AB281" s="818"/>
      <c r="AC281" s="818"/>
      <c r="AD281" s="818"/>
      <c r="AE281" s="818"/>
      <c r="AF281" s="818"/>
      <c r="AG281" s="818"/>
    </row>
    <row r="282" spans="1:33" ht="12" thickBot="1">
      <c r="A282" s="917" t="s">
        <v>613</v>
      </c>
      <c r="B282" s="665"/>
      <c r="C282" s="1000" t="s">
        <v>614</v>
      </c>
      <c r="D282" s="1001"/>
      <c r="E282" s="1002" t="s">
        <v>615</v>
      </c>
      <c r="F282" s="1003" t="s">
        <v>616</v>
      </c>
      <c r="G282" s="992" t="s">
        <v>496</v>
      </c>
      <c r="H282" s="1003"/>
      <c r="I282" s="818"/>
      <c r="J282" s="818"/>
      <c r="K282" s="818"/>
      <c r="L282" s="997"/>
      <c r="M282" s="818"/>
      <c r="N282" s="818"/>
      <c r="O282" s="818"/>
      <c r="P282" s="818"/>
      <c r="Q282" s="818"/>
      <c r="R282" s="818"/>
      <c r="S282" s="998">
        <f ca="1">NOW()</f>
        <v>36658.4586494213</v>
      </c>
      <c r="T282" s="818"/>
      <c r="U282" s="818"/>
      <c r="V282" s="818"/>
      <c r="W282" s="818"/>
      <c r="X282" s="818"/>
      <c r="Y282" s="818"/>
      <c r="Z282" s="818"/>
      <c r="AA282" s="818"/>
      <c r="AB282" s="818"/>
      <c r="AC282" s="818"/>
      <c r="AD282" s="818"/>
      <c r="AE282" s="818"/>
      <c r="AF282" s="818"/>
      <c r="AG282" s="818"/>
    </row>
    <row r="283" spans="1:33" ht="12.75" thickTop="1" thickBot="1">
      <c r="A283" s="1004"/>
      <c r="B283" s="818"/>
      <c r="C283" s="818"/>
      <c r="D283" s="818"/>
      <c r="E283" s="1005">
        <f>+E$599</f>
        <v>36891</v>
      </c>
      <c r="F283" s="1005">
        <f t="shared" ref="F283:AF283" si="136">+F$599</f>
        <v>37256</v>
      </c>
      <c r="G283" s="1005">
        <f t="shared" si="136"/>
        <v>37621</v>
      </c>
      <c r="H283" s="842">
        <f t="shared" si="136"/>
        <v>37802</v>
      </c>
      <c r="I283" s="842">
        <f t="shared" si="136"/>
        <v>37986</v>
      </c>
      <c r="J283" s="1005">
        <f t="shared" si="136"/>
        <v>38352</v>
      </c>
      <c r="K283" s="1005">
        <f t="shared" si="136"/>
        <v>38717</v>
      </c>
      <c r="L283" s="1005">
        <f t="shared" si="136"/>
        <v>39082</v>
      </c>
      <c r="M283" s="1005">
        <f t="shared" si="136"/>
        <v>39447</v>
      </c>
      <c r="N283" s="1005">
        <f t="shared" si="136"/>
        <v>39813</v>
      </c>
      <c r="O283" s="1005">
        <f t="shared" si="136"/>
        <v>40178</v>
      </c>
      <c r="P283" s="1005">
        <f t="shared" si="136"/>
        <v>40543</v>
      </c>
      <c r="Q283" s="1005">
        <f t="shared" si="136"/>
        <v>40908</v>
      </c>
      <c r="R283" s="1005">
        <f t="shared" si="136"/>
        <v>41274</v>
      </c>
      <c r="S283" s="1005">
        <f t="shared" si="136"/>
        <v>41639</v>
      </c>
      <c r="T283" s="1005">
        <f t="shared" si="136"/>
        <v>42004</v>
      </c>
      <c r="U283" s="1005">
        <f t="shared" si="136"/>
        <v>42369</v>
      </c>
      <c r="V283" s="1005">
        <f t="shared" si="136"/>
        <v>42735</v>
      </c>
      <c r="W283" s="1005">
        <f t="shared" si="136"/>
        <v>43100</v>
      </c>
      <c r="X283" s="1005">
        <f t="shared" si="136"/>
        <v>43465</v>
      </c>
      <c r="Y283" s="1005">
        <f t="shared" si="136"/>
        <v>43830</v>
      </c>
      <c r="Z283" s="1005">
        <f t="shared" si="136"/>
        <v>44196</v>
      </c>
      <c r="AA283" s="1005">
        <f t="shared" si="136"/>
        <v>44561</v>
      </c>
      <c r="AB283" s="1005">
        <f t="shared" si="136"/>
        <v>44926</v>
      </c>
      <c r="AC283" s="1005">
        <f t="shared" si="136"/>
        <v>45291</v>
      </c>
      <c r="AD283" s="1005">
        <f t="shared" si="136"/>
        <v>45657</v>
      </c>
      <c r="AE283" s="1005">
        <f t="shared" si="136"/>
        <v>46022</v>
      </c>
      <c r="AF283" s="1005">
        <f t="shared" si="136"/>
        <v>46387</v>
      </c>
      <c r="AG283" s="818"/>
    </row>
    <row r="284" spans="1:33" ht="12" thickTop="1">
      <c r="A284" s="917" t="s">
        <v>617</v>
      </c>
      <c r="B284" s="818"/>
      <c r="C284" s="818"/>
      <c r="D284" s="1006"/>
      <c r="E284" s="1007"/>
      <c r="F284" s="665"/>
      <c r="G284" s="665"/>
      <c r="H284" s="1008"/>
      <c r="I284" s="665"/>
      <c r="J284" s="665"/>
      <c r="K284" s="665"/>
      <c r="L284" s="665"/>
      <c r="M284" s="665"/>
      <c r="N284" s="665"/>
      <c r="O284" s="665"/>
      <c r="P284" s="665"/>
      <c r="Q284" s="665"/>
      <c r="R284" s="665"/>
      <c r="S284" s="665"/>
      <c r="T284" s="665"/>
      <c r="U284" s="665"/>
      <c r="V284" s="665"/>
      <c r="W284" s="665"/>
      <c r="X284" s="665"/>
      <c r="Y284" s="665"/>
      <c r="Z284" s="665"/>
      <c r="AA284" s="665"/>
      <c r="AB284" s="665"/>
      <c r="AC284" s="665"/>
      <c r="AD284" s="665"/>
      <c r="AE284" s="665"/>
      <c r="AF284" s="665"/>
      <c r="AG284" s="818"/>
    </row>
    <row r="285" spans="1:33">
      <c r="A285" s="1009" t="s">
        <v>395</v>
      </c>
      <c r="B285" s="818"/>
      <c r="C285" s="1010"/>
      <c r="D285" s="1011"/>
      <c r="E285" s="1011">
        <f t="shared" ref="E285:Z285" si="137">E726</f>
        <v>0</v>
      </c>
      <c r="F285" s="1011">
        <f t="shared" si="137"/>
        <v>0</v>
      </c>
      <c r="G285" s="1011">
        <f t="shared" si="137"/>
        <v>0</v>
      </c>
      <c r="H285" s="1012">
        <f t="shared" si="137"/>
        <v>0</v>
      </c>
      <c r="I285" s="1007">
        <f t="shared" ca="1" si="137"/>
        <v>115135.71555674403</v>
      </c>
      <c r="J285" s="1011">
        <f t="shared" ca="1" si="137"/>
        <v>215048.05097985614</v>
      </c>
      <c r="K285" s="1011">
        <f t="shared" ca="1" si="137"/>
        <v>235916.97416621918</v>
      </c>
      <c r="L285" s="1011">
        <f t="shared" ca="1" si="137"/>
        <v>245155.67947930383</v>
      </c>
      <c r="M285" s="1011">
        <f t="shared" ca="1" si="137"/>
        <v>248792.34089120023</v>
      </c>
      <c r="N285" s="1011">
        <f t="shared" ca="1" si="137"/>
        <v>246510.00956349491</v>
      </c>
      <c r="O285" s="1011">
        <f t="shared" ca="1" si="137"/>
        <v>242752.02727324315</v>
      </c>
      <c r="P285" s="1011">
        <f t="shared" ca="1" si="137"/>
        <v>272426.66108109587</v>
      </c>
      <c r="Q285" s="1011">
        <f t="shared" ca="1" si="137"/>
        <v>274422.44003901776</v>
      </c>
      <c r="R285" s="1011">
        <f t="shared" ca="1" si="137"/>
        <v>278903.0379662849</v>
      </c>
      <c r="S285" s="1011">
        <f t="shared" ca="1" si="137"/>
        <v>286693.23297783005</v>
      </c>
      <c r="T285" s="1011">
        <f t="shared" ca="1" si="137"/>
        <v>281163.42284126068</v>
      </c>
      <c r="U285" s="1011">
        <f t="shared" ca="1" si="137"/>
        <v>285806.46724863182</v>
      </c>
      <c r="V285" s="1011">
        <f t="shared" ca="1" si="137"/>
        <v>287978.77657221607</v>
      </c>
      <c r="W285" s="1011">
        <f t="shared" ca="1" si="137"/>
        <v>290386.2775871515</v>
      </c>
      <c r="X285" s="1011">
        <f t="shared" ca="1" si="137"/>
        <v>291879.92596903513</v>
      </c>
      <c r="Y285" s="1011">
        <f t="shared" ca="1" si="137"/>
        <v>299748.40899401886</v>
      </c>
      <c r="Z285" s="1011">
        <f t="shared" ca="1" si="137"/>
        <v>297902.80794575723</v>
      </c>
      <c r="AA285" s="1011">
        <f t="shared" ref="AA285:AF286" ca="1" si="138">AA726</f>
        <v>291131.72780055628</v>
      </c>
      <c r="AB285" s="1011">
        <f t="shared" ca="1" si="138"/>
        <v>270699.69031702843</v>
      </c>
      <c r="AC285" s="1011">
        <f t="shared" si="138"/>
        <v>0</v>
      </c>
      <c r="AD285" s="1011">
        <f t="shared" si="138"/>
        <v>0</v>
      </c>
      <c r="AE285" s="1011">
        <f t="shared" si="138"/>
        <v>0</v>
      </c>
      <c r="AF285" s="1011">
        <f t="shared" si="138"/>
        <v>0</v>
      </c>
      <c r="AG285" s="818"/>
    </row>
    <row r="286" spans="1:33">
      <c r="A286" s="1009" t="s">
        <v>618</v>
      </c>
      <c r="B286" s="818"/>
      <c r="C286" s="1010"/>
      <c r="D286" s="1011"/>
      <c r="E286" s="1013">
        <f t="shared" ref="E286:Z286" si="139">E727</f>
        <v>0</v>
      </c>
      <c r="F286" s="1013">
        <f t="shared" si="139"/>
        <v>0</v>
      </c>
      <c r="G286" s="1013">
        <f t="shared" si="139"/>
        <v>0</v>
      </c>
      <c r="H286" s="1014">
        <f t="shared" si="139"/>
        <v>0</v>
      </c>
      <c r="I286" s="1015">
        <f t="shared" ca="1" si="139"/>
        <v>63590.006530416016</v>
      </c>
      <c r="J286" s="1013">
        <f t="shared" ca="1" si="139"/>
        <v>122157.05764183549</v>
      </c>
      <c r="K286" s="1013">
        <f t="shared" ca="1" si="139"/>
        <v>125401.43660798989</v>
      </c>
      <c r="L286" s="1013">
        <f t="shared" ca="1" si="139"/>
        <v>128115.35773057288</v>
      </c>
      <c r="M286" s="1013">
        <f t="shared" ca="1" si="139"/>
        <v>132963.28598446734</v>
      </c>
      <c r="N286" s="1013">
        <f t="shared" ca="1" si="139"/>
        <v>138026.26740941746</v>
      </c>
      <c r="O286" s="1013">
        <f t="shared" ca="1" si="139"/>
        <v>136533.11676612738</v>
      </c>
      <c r="P286" s="1013">
        <f t="shared" ca="1" si="139"/>
        <v>146630.78498192527</v>
      </c>
      <c r="Q286" s="1013">
        <f t="shared" ca="1" si="139"/>
        <v>151172.77870933243</v>
      </c>
      <c r="R286" s="1013">
        <f t="shared" ca="1" si="139"/>
        <v>154155.00812004207</v>
      </c>
      <c r="S286" s="1013">
        <f t="shared" ca="1" si="139"/>
        <v>159686.98628610911</v>
      </c>
      <c r="T286" s="1013">
        <f t="shared" ca="1" si="139"/>
        <v>164109.36335281088</v>
      </c>
      <c r="U286" s="1013">
        <f t="shared" ca="1" si="139"/>
        <v>159128.67070220297</v>
      </c>
      <c r="V286" s="1013">
        <f t="shared" ca="1" si="139"/>
        <v>171295.32049021029</v>
      </c>
      <c r="W286" s="1013">
        <f t="shared" ca="1" si="139"/>
        <v>176775.1657946663</v>
      </c>
      <c r="X286" s="1013">
        <f t="shared" ca="1" si="139"/>
        <v>180596.89611585156</v>
      </c>
      <c r="Y286" s="1013">
        <f t="shared" ca="1" si="139"/>
        <v>187058.19972942118</v>
      </c>
      <c r="Z286" s="1013">
        <f t="shared" ca="1" si="139"/>
        <v>189953.99469611011</v>
      </c>
      <c r="AA286" s="1013">
        <f t="shared" ca="1" si="138"/>
        <v>182000.92716407828</v>
      </c>
      <c r="AB286" s="1013">
        <f t="shared" ca="1" si="138"/>
        <v>178884.86411938362</v>
      </c>
      <c r="AC286" s="1013">
        <f t="shared" si="138"/>
        <v>0</v>
      </c>
      <c r="AD286" s="1013">
        <f t="shared" si="138"/>
        <v>0</v>
      </c>
      <c r="AE286" s="1013">
        <f t="shared" si="138"/>
        <v>0</v>
      </c>
      <c r="AF286" s="1013">
        <f t="shared" si="138"/>
        <v>0</v>
      </c>
      <c r="AG286" s="818"/>
    </row>
    <row r="287" spans="1:33">
      <c r="A287" s="1016" t="s">
        <v>619</v>
      </c>
      <c r="B287" s="818"/>
      <c r="C287" s="1010"/>
      <c r="D287" s="1011"/>
      <c r="E287" s="1017">
        <f t="shared" ref="E287:Z287" si="140">E285-E286</f>
        <v>0</v>
      </c>
      <c r="F287" s="1017">
        <f t="shared" si="140"/>
        <v>0</v>
      </c>
      <c r="G287" s="1017">
        <f t="shared" si="140"/>
        <v>0</v>
      </c>
      <c r="H287" s="1017">
        <f t="shared" si="140"/>
        <v>0</v>
      </c>
      <c r="I287" s="1018">
        <f t="shared" ca="1" si="140"/>
        <v>51545.709026328019</v>
      </c>
      <c r="J287" s="1017">
        <f t="shared" ca="1" si="140"/>
        <v>92890.993338020649</v>
      </c>
      <c r="K287" s="1017">
        <f t="shared" ca="1" si="140"/>
        <v>110515.53755822929</v>
      </c>
      <c r="L287" s="1017">
        <f t="shared" ca="1" si="140"/>
        <v>117040.32174873094</v>
      </c>
      <c r="M287" s="1017">
        <f t="shared" ca="1" si="140"/>
        <v>115829.0549067329</v>
      </c>
      <c r="N287" s="1017">
        <f t="shared" ca="1" si="140"/>
        <v>108483.74215407745</v>
      </c>
      <c r="O287" s="1017">
        <f t="shared" ca="1" si="140"/>
        <v>106218.91050711577</v>
      </c>
      <c r="P287" s="1017">
        <f t="shared" ca="1" si="140"/>
        <v>125795.87609917059</v>
      </c>
      <c r="Q287" s="1017">
        <f t="shared" ca="1" si="140"/>
        <v>123249.66132968533</v>
      </c>
      <c r="R287" s="1017">
        <f t="shared" ca="1" si="140"/>
        <v>124748.02984624283</v>
      </c>
      <c r="S287" s="1017">
        <f t="shared" ca="1" si="140"/>
        <v>127006.24669172094</v>
      </c>
      <c r="T287" s="1017">
        <f t="shared" ca="1" si="140"/>
        <v>117054.0594884498</v>
      </c>
      <c r="U287" s="1017">
        <f t="shared" ca="1" si="140"/>
        <v>126677.79654642884</v>
      </c>
      <c r="V287" s="1017">
        <f t="shared" ca="1" si="140"/>
        <v>116683.45608200578</v>
      </c>
      <c r="W287" s="1017">
        <f t="shared" ca="1" si="140"/>
        <v>113611.1117924852</v>
      </c>
      <c r="X287" s="1017">
        <f t="shared" ca="1" si="140"/>
        <v>111283.02985318357</v>
      </c>
      <c r="Y287" s="1017">
        <f t="shared" ca="1" si="140"/>
        <v>112690.20926459768</v>
      </c>
      <c r="Z287" s="1017">
        <f t="shared" ca="1" si="140"/>
        <v>107948.81324964712</v>
      </c>
      <c r="AA287" s="1017">
        <f t="shared" ref="AA287:AF287" ca="1" si="141">AA285-AA286</f>
        <v>109130.800636478</v>
      </c>
      <c r="AB287" s="1017">
        <f t="shared" ca="1" si="141"/>
        <v>91814.826197644812</v>
      </c>
      <c r="AC287" s="1017">
        <f t="shared" si="141"/>
        <v>0</v>
      </c>
      <c r="AD287" s="1017">
        <f t="shared" si="141"/>
        <v>0</v>
      </c>
      <c r="AE287" s="1017">
        <f t="shared" si="141"/>
        <v>0</v>
      </c>
      <c r="AF287" s="1017">
        <f t="shared" si="141"/>
        <v>0</v>
      </c>
      <c r="AG287" s="818"/>
    </row>
    <row r="288" spans="1:33">
      <c r="A288" s="818"/>
      <c r="B288" s="818"/>
      <c r="C288" s="1010"/>
      <c r="D288" s="1011"/>
      <c r="E288" s="1011"/>
      <c r="F288" s="1011"/>
      <c r="G288" s="1011"/>
      <c r="H288" s="1017"/>
      <c r="I288" s="1018"/>
      <c r="J288" s="1011"/>
      <c r="K288" s="1011"/>
      <c r="L288" s="1011"/>
      <c r="M288" s="1011"/>
      <c r="N288" s="1011"/>
      <c r="O288" s="1011"/>
      <c r="P288" s="1011"/>
      <c r="Q288" s="1011"/>
      <c r="R288" s="1011"/>
      <c r="S288" s="1011"/>
      <c r="T288" s="1011"/>
      <c r="U288" s="1011"/>
      <c r="V288" s="1011"/>
      <c r="W288" s="1011"/>
      <c r="X288" s="1011"/>
      <c r="Y288" s="1011"/>
      <c r="Z288" s="1011"/>
      <c r="AA288" s="1011"/>
      <c r="AB288" s="1011"/>
      <c r="AC288" s="1011"/>
      <c r="AD288" s="1011"/>
      <c r="AE288" s="1011"/>
      <c r="AF288" s="1011"/>
      <c r="AG288" s="818"/>
    </row>
    <row r="289" spans="1:33">
      <c r="A289" s="1009" t="s">
        <v>593</v>
      </c>
      <c r="B289" s="818"/>
      <c r="C289" s="1010"/>
      <c r="D289" s="1011"/>
      <c r="E289" s="1011">
        <f t="shared" ref="E289:Z289" si="142">E728</f>
        <v>0</v>
      </c>
      <c r="F289" s="1011">
        <f t="shared" si="142"/>
        <v>0</v>
      </c>
      <c r="G289" s="1011">
        <f t="shared" si="142"/>
        <v>0</v>
      </c>
      <c r="H289" s="1011">
        <f t="shared" si="142"/>
        <v>0</v>
      </c>
      <c r="I289" s="1019">
        <f t="shared" si="142"/>
        <v>9305.9932690639052</v>
      </c>
      <c r="J289" s="1011">
        <f t="shared" si="142"/>
        <v>18862.677914664469</v>
      </c>
      <c r="K289" s="1011">
        <f t="shared" si="142"/>
        <v>19403.417149014251</v>
      </c>
      <c r="L289" s="1011">
        <f t="shared" si="142"/>
        <v>19835.466241538721</v>
      </c>
      <c r="M289" s="1011">
        <f t="shared" si="142"/>
        <v>20204.232078955443</v>
      </c>
      <c r="N289" s="1011">
        <f t="shared" si="142"/>
        <v>20518.543033716927</v>
      </c>
      <c r="O289" s="1011">
        <f t="shared" si="142"/>
        <v>20862.967433718492</v>
      </c>
      <c r="P289" s="1011">
        <f t="shared" si="142"/>
        <v>21462.104053371815</v>
      </c>
      <c r="Q289" s="1011">
        <f t="shared" si="142"/>
        <v>21843.658757820776</v>
      </c>
      <c r="R289" s="1011">
        <f t="shared" si="142"/>
        <v>22272.566412205117</v>
      </c>
      <c r="S289" s="1011">
        <f t="shared" si="142"/>
        <v>22717.356668609762</v>
      </c>
      <c r="T289" s="1011">
        <f t="shared" si="142"/>
        <v>23057.759418867008</v>
      </c>
      <c r="U289" s="1011">
        <f t="shared" si="142"/>
        <v>23567.490048788171</v>
      </c>
      <c r="V289" s="1011">
        <f t="shared" si="142"/>
        <v>23912.1900633265</v>
      </c>
      <c r="W289" s="1011">
        <f t="shared" si="142"/>
        <v>24346.484626572259</v>
      </c>
      <c r="X289" s="1011">
        <f t="shared" si="142"/>
        <v>24785.774691470877</v>
      </c>
      <c r="Y289" s="1011">
        <f t="shared" si="142"/>
        <v>25279.545111464762</v>
      </c>
      <c r="Z289" s="1011">
        <f t="shared" si="142"/>
        <v>25725.313614769009</v>
      </c>
      <c r="AA289" s="1011">
        <f t="shared" ref="AA289:AF289" si="143">AA728</f>
        <v>26202.034389179702</v>
      </c>
      <c r="AB289" s="1011">
        <f t="shared" si="143"/>
        <v>26561.987041017175</v>
      </c>
      <c r="AC289" s="1011">
        <f t="shared" si="143"/>
        <v>26207.775874327919</v>
      </c>
      <c r="AD289" s="1011">
        <f t="shared" si="143"/>
        <v>26501.916163709917</v>
      </c>
      <c r="AE289" s="1011">
        <f t="shared" si="143"/>
        <v>27031.954486984116</v>
      </c>
      <c r="AF289" s="1011">
        <f t="shared" si="143"/>
        <v>27572.593576723801</v>
      </c>
      <c r="AG289" s="818"/>
    </row>
    <row r="290" spans="1:33">
      <c r="A290" s="1016" t="s">
        <v>600</v>
      </c>
      <c r="B290" s="818"/>
      <c r="C290" s="1010"/>
      <c r="D290" s="1011"/>
      <c r="E290" s="1020">
        <f t="shared" ref="E290:Z290" si="144">E287-E289</f>
        <v>0</v>
      </c>
      <c r="F290" s="1020">
        <f t="shared" si="144"/>
        <v>0</v>
      </c>
      <c r="G290" s="1020">
        <f t="shared" si="144"/>
        <v>0</v>
      </c>
      <c r="H290" s="1021">
        <f t="shared" si="144"/>
        <v>0</v>
      </c>
      <c r="I290" s="1020">
        <f t="shared" ca="1" si="144"/>
        <v>42239.715757264115</v>
      </c>
      <c r="J290" s="1020">
        <f t="shared" ca="1" si="144"/>
        <v>74028.31542335618</v>
      </c>
      <c r="K290" s="1020">
        <f t="shared" ca="1" si="144"/>
        <v>91112.120409215044</v>
      </c>
      <c r="L290" s="1020">
        <f t="shared" ca="1" si="144"/>
        <v>97204.855507192231</v>
      </c>
      <c r="M290" s="1020">
        <f t="shared" ca="1" si="144"/>
        <v>95624.822827777447</v>
      </c>
      <c r="N290" s="1020">
        <f t="shared" ca="1" si="144"/>
        <v>87965.199120360528</v>
      </c>
      <c r="O290" s="1020">
        <f t="shared" ca="1" si="144"/>
        <v>85355.943073397269</v>
      </c>
      <c r="P290" s="1020">
        <f t="shared" ca="1" si="144"/>
        <v>104333.77204579877</v>
      </c>
      <c r="Q290" s="1020">
        <f t="shared" ca="1" si="144"/>
        <v>101406.00257186455</v>
      </c>
      <c r="R290" s="1020">
        <f t="shared" ca="1" si="144"/>
        <v>102475.46343403772</v>
      </c>
      <c r="S290" s="1020">
        <f t="shared" ca="1" si="144"/>
        <v>104288.89002311118</v>
      </c>
      <c r="T290" s="1020">
        <f t="shared" ca="1" si="144"/>
        <v>93996.300069582794</v>
      </c>
      <c r="U290" s="1020">
        <f t="shared" ca="1" si="144"/>
        <v>103110.30649764067</v>
      </c>
      <c r="V290" s="1020">
        <f t="shared" ca="1" si="144"/>
        <v>92771.266018679278</v>
      </c>
      <c r="W290" s="1020">
        <f t="shared" ca="1" si="144"/>
        <v>89264.627165912942</v>
      </c>
      <c r="X290" s="1020">
        <f t="shared" ca="1" si="144"/>
        <v>86497.255161712703</v>
      </c>
      <c r="Y290" s="1020">
        <f t="shared" ca="1" si="144"/>
        <v>87410.664153132922</v>
      </c>
      <c r="Z290" s="1020">
        <f t="shared" ca="1" si="144"/>
        <v>82223.499634878113</v>
      </c>
      <c r="AA290" s="1020">
        <f t="shared" ref="AA290:AF290" ca="1" si="145">AA287-AA289</f>
        <v>82928.766247298307</v>
      </c>
      <c r="AB290" s="1020">
        <f t="shared" ca="1" si="145"/>
        <v>65252.83915662764</v>
      </c>
      <c r="AC290" s="1020">
        <f t="shared" si="145"/>
        <v>-26207.775874327919</v>
      </c>
      <c r="AD290" s="1020">
        <f t="shared" si="145"/>
        <v>-26501.916163709917</v>
      </c>
      <c r="AE290" s="1020">
        <f t="shared" si="145"/>
        <v>-27031.954486984116</v>
      </c>
      <c r="AF290" s="1020">
        <f t="shared" si="145"/>
        <v>-27572.593576723801</v>
      </c>
      <c r="AG290" s="818"/>
    </row>
    <row r="291" spans="1:33">
      <c r="A291" s="818"/>
      <c r="B291" s="818"/>
      <c r="C291" s="1010"/>
      <c r="D291" s="1011"/>
      <c r="E291" s="1011"/>
      <c r="F291" s="1011"/>
      <c r="G291" s="1011"/>
      <c r="H291" s="1022"/>
      <c r="I291" s="1011"/>
      <c r="J291" s="1011"/>
      <c r="K291" s="1011"/>
      <c r="L291" s="1011"/>
      <c r="M291" s="1011"/>
      <c r="N291" s="1011"/>
      <c r="O291" s="1011"/>
      <c r="P291" s="1011"/>
      <c r="Q291" s="1011"/>
      <c r="R291" s="1011"/>
      <c r="S291" s="1011"/>
      <c r="T291" s="1011"/>
      <c r="U291" s="1011"/>
      <c r="V291" s="1011"/>
      <c r="W291" s="1011"/>
      <c r="X291" s="1011"/>
      <c r="Y291" s="1011"/>
      <c r="Z291" s="1011"/>
      <c r="AA291" s="1011"/>
      <c r="AB291" s="1011"/>
      <c r="AC291" s="1011"/>
      <c r="AD291" s="1011"/>
      <c r="AE291" s="1011"/>
      <c r="AF291" s="1011"/>
      <c r="AG291" s="818"/>
    </row>
    <row r="292" spans="1:33">
      <c r="A292" s="818" t="s">
        <v>620</v>
      </c>
      <c r="B292" s="818"/>
      <c r="C292" s="1010"/>
      <c r="D292" s="1011"/>
      <c r="E292" s="1011">
        <f t="shared" ref="E292:Z292" si="146">E733</f>
        <v>0</v>
      </c>
      <c r="F292" s="1011">
        <f t="shared" si="146"/>
        <v>0</v>
      </c>
      <c r="G292" s="1011">
        <f t="shared" si="146"/>
        <v>0</v>
      </c>
      <c r="H292" s="1011">
        <f t="shared" si="146"/>
        <v>0</v>
      </c>
      <c r="I292" s="1018">
        <f t="shared" ca="1" si="146"/>
        <v>11990.927908299995</v>
      </c>
      <c r="J292" s="1011">
        <f t="shared" ca="1" si="146"/>
        <v>23981.855816599989</v>
      </c>
      <c r="K292" s="1011">
        <f t="shared" ca="1" si="146"/>
        <v>23981.855816599989</v>
      </c>
      <c r="L292" s="1011">
        <f t="shared" ca="1" si="146"/>
        <v>23981.855816599989</v>
      </c>
      <c r="M292" s="1011">
        <f t="shared" ca="1" si="146"/>
        <v>23981.855816599989</v>
      </c>
      <c r="N292" s="1011">
        <f t="shared" ca="1" si="146"/>
        <v>23981.855816599989</v>
      </c>
      <c r="O292" s="1011">
        <f t="shared" ca="1" si="146"/>
        <v>23981.855816599989</v>
      </c>
      <c r="P292" s="1011">
        <f t="shared" ca="1" si="146"/>
        <v>23981.855816599989</v>
      </c>
      <c r="Q292" s="1011">
        <f t="shared" ca="1" si="146"/>
        <v>23981.855816599989</v>
      </c>
      <c r="R292" s="1011">
        <f t="shared" ca="1" si="146"/>
        <v>23981.855816599989</v>
      </c>
      <c r="S292" s="1011">
        <f t="shared" ca="1" si="146"/>
        <v>23981.855816599989</v>
      </c>
      <c r="T292" s="1011">
        <f t="shared" ca="1" si="146"/>
        <v>23981.855816599989</v>
      </c>
      <c r="U292" s="1011">
        <f t="shared" ca="1" si="146"/>
        <v>23981.855816599989</v>
      </c>
      <c r="V292" s="1011">
        <f t="shared" ca="1" si="146"/>
        <v>23981.855816599989</v>
      </c>
      <c r="W292" s="1011">
        <f t="shared" ca="1" si="146"/>
        <v>23981.855816599989</v>
      </c>
      <c r="X292" s="1011">
        <f t="shared" ca="1" si="146"/>
        <v>23981.855816599989</v>
      </c>
      <c r="Y292" s="1011">
        <f t="shared" ca="1" si="146"/>
        <v>23981.855816599989</v>
      </c>
      <c r="Z292" s="1011">
        <f t="shared" ca="1" si="146"/>
        <v>23981.855816599989</v>
      </c>
      <c r="AA292" s="1011">
        <f t="shared" ref="AA292:AF292" ca="1" si="147">AA733</f>
        <v>23981.855816599989</v>
      </c>
      <c r="AB292" s="1011">
        <f t="shared" ca="1" si="147"/>
        <v>23981.855816599989</v>
      </c>
      <c r="AC292" s="1011">
        <f t="shared" ca="1" si="147"/>
        <v>11990.927908299995</v>
      </c>
      <c r="AD292" s="1011">
        <f t="shared" ca="1" si="147"/>
        <v>0</v>
      </c>
      <c r="AE292" s="1011">
        <f t="shared" ca="1" si="147"/>
        <v>0</v>
      </c>
      <c r="AF292" s="1011">
        <f t="shared" ca="1" si="147"/>
        <v>0</v>
      </c>
      <c r="AG292" s="818"/>
    </row>
    <row r="293" spans="1:33">
      <c r="A293" s="818" t="str">
        <f>A601</f>
        <v>Amortization   -  Transaction Fees</v>
      </c>
      <c r="B293" s="818"/>
      <c r="C293" s="1010"/>
      <c r="D293" s="1011"/>
      <c r="E293" s="1011">
        <f t="shared" ref="E293:Z293" si="148">E601</f>
        <v>0</v>
      </c>
      <c r="F293" s="1011">
        <f t="shared" si="148"/>
        <v>0</v>
      </c>
      <c r="G293" s="1011">
        <f t="shared" si="148"/>
        <v>0</v>
      </c>
      <c r="H293" s="1017">
        <f t="shared" si="148"/>
        <v>0</v>
      </c>
      <c r="I293" s="1018">
        <f t="shared" ca="1" si="148"/>
        <v>302.84267078322335</v>
      </c>
      <c r="J293" s="1011">
        <f t="shared" ca="1" si="148"/>
        <v>605.68534156644671</v>
      </c>
      <c r="K293" s="1011">
        <f t="shared" ca="1" si="148"/>
        <v>605.68534156644671</v>
      </c>
      <c r="L293" s="1011">
        <f t="shared" ca="1" si="148"/>
        <v>605.68534156644671</v>
      </c>
      <c r="M293" s="1011">
        <f t="shared" ca="1" si="148"/>
        <v>605.68534156644671</v>
      </c>
      <c r="N293" s="1011">
        <f t="shared" ca="1" si="148"/>
        <v>605.68534156644671</v>
      </c>
      <c r="O293" s="1011">
        <f t="shared" ca="1" si="148"/>
        <v>605.68534156644671</v>
      </c>
      <c r="P293" s="1011">
        <f t="shared" ca="1" si="148"/>
        <v>605.68534156644671</v>
      </c>
      <c r="Q293" s="1011">
        <f t="shared" ca="1" si="148"/>
        <v>605.68534156644671</v>
      </c>
      <c r="R293" s="1011">
        <f t="shared" ca="1" si="148"/>
        <v>605.68534156644671</v>
      </c>
      <c r="S293" s="1011">
        <f t="shared" ca="1" si="148"/>
        <v>302.84267078322335</v>
      </c>
      <c r="T293" s="1011">
        <f t="shared" si="148"/>
        <v>0</v>
      </c>
      <c r="U293" s="1011">
        <f t="shared" si="148"/>
        <v>0</v>
      </c>
      <c r="V293" s="1011">
        <f t="shared" si="148"/>
        <v>0</v>
      </c>
      <c r="W293" s="1011">
        <f t="shared" si="148"/>
        <v>0</v>
      </c>
      <c r="X293" s="1011">
        <f t="shared" si="148"/>
        <v>0</v>
      </c>
      <c r="Y293" s="1011">
        <f t="shared" si="148"/>
        <v>0</v>
      </c>
      <c r="Z293" s="1011">
        <f t="shared" si="148"/>
        <v>0</v>
      </c>
      <c r="AA293" s="1011">
        <f t="shared" ref="AA293:AF293" si="149">AA601</f>
        <v>0</v>
      </c>
      <c r="AB293" s="1011">
        <f t="shared" si="149"/>
        <v>0</v>
      </c>
      <c r="AC293" s="1011">
        <f t="shared" si="149"/>
        <v>0</v>
      </c>
      <c r="AD293" s="1011">
        <f t="shared" si="149"/>
        <v>0</v>
      </c>
      <c r="AE293" s="1011">
        <f t="shared" si="149"/>
        <v>0</v>
      </c>
      <c r="AF293" s="1011">
        <f t="shared" si="149"/>
        <v>0</v>
      </c>
      <c r="AG293" s="818"/>
    </row>
    <row r="294" spans="1:33">
      <c r="A294" s="818" t="str">
        <f>A602</f>
        <v>Amortization   -  Intangibles (from operating sheet)</v>
      </c>
      <c r="B294" s="818"/>
      <c r="C294" s="1010"/>
      <c r="D294" s="1011"/>
      <c r="E294" s="1017">
        <f t="shared" ref="E294:Z294" si="150">E735</f>
        <v>0</v>
      </c>
      <c r="F294" s="1017">
        <f t="shared" si="150"/>
        <v>0</v>
      </c>
      <c r="G294" s="1017">
        <f t="shared" si="150"/>
        <v>0</v>
      </c>
      <c r="H294" s="1017">
        <f t="shared" si="150"/>
        <v>0</v>
      </c>
      <c r="I294" s="1018">
        <f t="shared" ca="1" si="150"/>
        <v>3468.8041449010702</v>
      </c>
      <c r="J294" s="1017">
        <f t="shared" ca="1" si="150"/>
        <v>6937.6082898021405</v>
      </c>
      <c r="K294" s="1017">
        <f t="shared" ca="1" si="150"/>
        <v>6937.6082898021405</v>
      </c>
      <c r="L294" s="1017">
        <f t="shared" ca="1" si="150"/>
        <v>6937.6082898021405</v>
      </c>
      <c r="M294" s="1017">
        <f t="shared" ca="1" si="150"/>
        <v>6937.6082898021405</v>
      </c>
      <c r="N294" s="1017">
        <f t="shared" ca="1" si="150"/>
        <v>6937.6082898021405</v>
      </c>
      <c r="O294" s="1017">
        <f t="shared" ca="1" si="150"/>
        <v>6937.6082898021405</v>
      </c>
      <c r="P294" s="1017">
        <f t="shared" ca="1" si="150"/>
        <v>3468.8041449010702</v>
      </c>
      <c r="Q294" s="1017">
        <f t="shared" ca="1" si="150"/>
        <v>0</v>
      </c>
      <c r="R294" s="1017">
        <f t="shared" ca="1" si="150"/>
        <v>0</v>
      </c>
      <c r="S294" s="1017">
        <f t="shared" ca="1" si="150"/>
        <v>0</v>
      </c>
      <c r="T294" s="1017">
        <f t="shared" ca="1" si="150"/>
        <v>0</v>
      </c>
      <c r="U294" s="1017">
        <f t="shared" ca="1" si="150"/>
        <v>0</v>
      </c>
      <c r="V294" s="1017">
        <f t="shared" ca="1" si="150"/>
        <v>0</v>
      </c>
      <c r="W294" s="1017">
        <f t="shared" ca="1" si="150"/>
        <v>0</v>
      </c>
      <c r="X294" s="1017">
        <f t="shared" ca="1" si="150"/>
        <v>0</v>
      </c>
      <c r="Y294" s="1017">
        <f t="shared" ca="1" si="150"/>
        <v>0</v>
      </c>
      <c r="Z294" s="1017">
        <f t="shared" ca="1" si="150"/>
        <v>0</v>
      </c>
      <c r="AA294" s="1017">
        <f t="shared" ref="AA294:AF294" ca="1" si="151">AA735</f>
        <v>0</v>
      </c>
      <c r="AB294" s="1017">
        <f t="shared" ca="1" si="151"/>
        <v>0</v>
      </c>
      <c r="AC294" s="1017">
        <f t="shared" ca="1" si="151"/>
        <v>0</v>
      </c>
      <c r="AD294" s="1017">
        <f t="shared" ca="1" si="151"/>
        <v>0</v>
      </c>
      <c r="AE294" s="1017">
        <f t="shared" ca="1" si="151"/>
        <v>0</v>
      </c>
      <c r="AF294" s="1017">
        <f t="shared" ca="1" si="151"/>
        <v>0</v>
      </c>
      <c r="AG294" s="818"/>
    </row>
    <row r="295" spans="1:33">
      <c r="A295" s="992" t="s">
        <v>621</v>
      </c>
      <c r="B295" s="1009"/>
      <c r="C295" s="1010"/>
      <c r="D295" s="818"/>
      <c r="E295" s="1023">
        <f t="shared" ref="E295:Z295" si="152">SUM(E292:E294)</f>
        <v>0</v>
      </c>
      <c r="F295" s="1023">
        <f t="shared" si="152"/>
        <v>0</v>
      </c>
      <c r="G295" s="1023">
        <f t="shared" si="152"/>
        <v>0</v>
      </c>
      <c r="H295" s="1024">
        <f t="shared" si="152"/>
        <v>0</v>
      </c>
      <c r="I295" s="1023">
        <f t="shared" ca="1" si="152"/>
        <v>15762.574723984289</v>
      </c>
      <c r="J295" s="1023">
        <f t="shared" ca="1" si="152"/>
        <v>31525.149447968579</v>
      </c>
      <c r="K295" s="1023">
        <f t="shared" ca="1" si="152"/>
        <v>31525.149447968579</v>
      </c>
      <c r="L295" s="1023">
        <f t="shared" ca="1" si="152"/>
        <v>31525.149447968579</v>
      </c>
      <c r="M295" s="1023">
        <f t="shared" ca="1" si="152"/>
        <v>31525.149447968579</v>
      </c>
      <c r="N295" s="1023">
        <f t="shared" ca="1" si="152"/>
        <v>31525.149447968579</v>
      </c>
      <c r="O295" s="1023">
        <f t="shared" ca="1" si="152"/>
        <v>31525.149447968579</v>
      </c>
      <c r="P295" s="1023">
        <f t="shared" ca="1" si="152"/>
        <v>28056.345303067508</v>
      </c>
      <c r="Q295" s="1023">
        <f t="shared" ca="1" si="152"/>
        <v>24587.541158166438</v>
      </c>
      <c r="R295" s="1023">
        <f t="shared" ca="1" si="152"/>
        <v>24587.541158166438</v>
      </c>
      <c r="S295" s="1023">
        <f t="shared" ca="1" si="152"/>
        <v>24284.698487383212</v>
      </c>
      <c r="T295" s="1023">
        <f t="shared" ca="1" si="152"/>
        <v>23981.855816599989</v>
      </c>
      <c r="U295" s="1023">
        <f t="shared" ca="1" si="152"/>
        <v>23981.855816599989</v>
      </c>
      <c r="V295" s="1023">
        <f t="shared" ca="1" si="152"/>
        <v>23981.855816599989</v>
      </c>
      <c r="W295" s="1023">
        <f t="shared" ca="1" si="152"/>
        <v>23981.855816599989</v>
      </c>
      <c r="X295" s="1023">
        <f t="shared" ca="1" si="152"/>
        <v>23981.855816599989</v>
      </c>
      <c r="Y295" s="1023">
        <f t="shared" ca="1" si="152"/>
        <v>23981.855816599989</v>
      </c>
      <c r="Z295" s="1023">
        <f t="shared" ca="1" si="152"/>
        <v>23981.855816599989</v>
      </c>
      <c r="AA295" s="1023">
        <f t="shared" ref="AA295:AF295" ca="1" si="153">SUM(AA292:AA294)</f>
        <v>23981.855816599989</v>
      </c>
      <c r="AB295" s="1023">
        <f t="shared" ca="1" si="153"/>
        <v>23981.855816599989</v>
      </c>
      <c r="AC295" s="1023">
        <f t="shared" ca="1" si="153"/>
        <v>11990.927908299995</v>
      </c>
      <c r="AD295" s="1023">
        <f t="shared" ca="1" si="153"/>
        <v>0</v>
      </c>
      <c r="AE295" s="1023">
        <f t="shared" ca="1" si="153"/>
        <v>0</v>
      </c>
      <c r="AF295" s="1023">
        <f t="shared" ca="1" si="153"/>
        <v>0</v>
      </c>
      <c r="AG295" s="818"/>
    </row>
    <row r="296" spans="1:33">
      <c r="A296" s="992"/>
      <c r="B296" s="1009"/>
      <c r="C296" s="1010"/>
      <c r="D296" s="818"/>
      <c r="E296" s="741"/>
      <c r="F296" s="741"/>
      <c r="G296" s="741"/>
      <c r="H296" s="1025"/>
      <c r="I296" s="741"/>
      <c r="J296" s="741"/>
      <c r="K296" s="741"/>
      <c r="L296" s="741"/>
      <c r="M296" s="741"/>
      <c r="N296" s="741"/>
      <c r="O296" s="741"/>
      <c r="P296" s="741"/>
      <c r="Q296" s="741"/>
      <c r="R296" s="741"/>
      <c r="S296" s="741"/>
      <c r="T296" s="741"/>
      <c r="U296" s="741"/>
      <c r="V296" s="741"/>
      <c r="W296" s="741"/>
      <c r="X296" s="741"/>
      <c r="Y296" s="741"/>
      <c r="Z296" s="741"/>
      <c r="AA296" s="741"/>
      <c r="AB296" s="741"/>
      <c r="AC296" s="741"/>
      <c r="AD296" s="741"/>
      <c r="AE296" s="741"/>
      <c r="AF296" s="741"/>
      <c r="AG296" s="818"/>
    </row>
    <row r="297" spans="1:33">
      <c r="A297" s="1016" t="s">
        <v>622</v>
      </c>
      <c r="B297" s="818"/>
      <c r="C297" s="1010"/>
      <c r="D297" s="1011"/>
      <c r="E297" s="1020">
        <f t="shared" ref="E297:Z297" si="154">E290-E295</f>
        <v>0</v>
      </c>
      <c r="F297" s="1020">
        <f t="shared" si="154"/>
        <v>0</v>
      </c>
      <c r="G297" s="1020">
        <f t="shared" si="154"/>
        <v>0</v>
      </c>
      <c r="H297" s="1021">
        <f t="shared" si="154"/>
        <v>0</v>
      </c>
      <c r="I297" s="1020">
        <f t="shared" ca="1" si="154"/>
        <v>26477.141033279826</v>
      </c>
      <c r="J297" s="1020">
        <f t="shared" ca="1" si="154"/>
        <v>42503.165975387601</v>
      </c>
      <c r="K297" s="1020">
        <f t="shared" ca="1" si="154"/>
        <v>59586.970961246465</v>
      </c>
      <c r="L297" s="1020">
        <f t="shared" ca="1" si="154"/>
        <v>65679.706059223652</v>
      </c>
      <c r="M297" s="1020">
        <f t="shared" ca="1" si="154"/>
        <v>64099.673379808868</v>
      </c>
      <c r="N297" s="1020">
        <f t="shared" ca="1" si="154"/>
        <v>56440.04967239195</v>
      </c>
      <c r="O297" s="1020">
        <f t="shared" ca="1" si="154"/>
        <v>53830.793625428691</v>
      </c>
      <c r="P297" s="1020">
        <f t="shared" ca="1" si="154"/>
        <v>76277.426742731273</v>
      </c>
      <c r="Q297" s="1020">
        <f t="shared" ca="1" si="154"/>
        <v>76818.461413698111</v>
      </c>
      <c r="R297" s="1020">
        <f t="shared" ca="1" si="154"/>
        <v>77887.922275871286</v>
      </c>
      <c r="S297" s="1020">
        <f t="shared" ca="1" si="154"/>
        <v>80004.191535727965</v>
      </c>
      <c r="T297" s="1020">
        <f t="shared" ca="1" si="154"/>
        <v>70014.444252982808</v>
      </c>
      <c r="U297" s="1020">
        <f t="shared" ca="1" si="154"/>
        <v>79128.450681040689</v>
      </c>
      <c r="V297" s="1020">
        <f t="shared" ca="1" si="154"/>
        <v>68789.410202079293</v>
      </c>
      <c r="W297" s="1020">
        <f t="shared" ca="1" si="154"/>
        <v>65282.771349312956</v>
      </c>
      <c r="X297" s="1020">
        <f t="shared" ca="1" si="154"/>
        <v>62515.399345112717</v>
      </c>
      <c r="Y297" s="1020">
        <f t="shared" ca="1" si="154"/>
        <v>63428.808336532937</v>
      </c>
      <c r="Z297" s="1020">
        <f t="shared" ca="1" si="154"/>
        <v>58241.643818278128</v>
      </c>
      <c r="AA297" s="1020">
        <f t="shared" ref="AA297:AF297" ca="1" si="155">AA290-AA295</f>
        <v>58946.910430698321</v>
      </c>
      <c r="AB297" s="1020">
        <f t="shared" ca="1" si="155"/>
        <v>41270.983340027655</v>
      </c>
      <c r="AC297" s="1020">
        <f t="shared" ca="1" si="155"/>
        <v>-38198.703782627912</v>
      </c>
      <c r="AD297" s="1020">
        <f t="shared" ca="1" si="155"/>
        <v>-26501.916163709917</v>
      </c>
      <c r="AE297" s="1020">
        <f t="shared" ca="1" si="155"/>
        <v>-27031.954486984116</v>
      </c>
      <c r="AF297" s="1020">
        <f t="shared" ca="1" si="155"/>
        <v>-27572.593576723801</v>
      </c>
      <c r="AG297" s="818"/>
    </row>
    <row r="298" spans="1:33">
      <c r="A298" s="818"/>
      <c r="B298" s="818"/>
      <c r="C298" s="1010"/>
      <c r="D298" s="1011"/>
      <c r="E298" s="1011"/>
      <c r="F298" s="1011"/>
      <c r="G298" s="1011"/>
      <c r="H298" s="1026"/>
      <c r="I298" s="1011"/>
      <c r="J298" s="1011"/>
      <c r="K298" s="1011"/>
      <c r="L298" s="1011"/>
      <c r="M298" s="1011"/>
      <c r="N298" s="1011"/>
      <c r="O298" s="1011"/>
      <c r="P298" s="1011"/>
      <c r="Q298" s="1011"/>
      <c r="R298" s="1011"/>
      <c r="S298" s="1011"/>
      <c r="T298" s="1011"/>
      <c r="U298" s="1011"/>
      <c r="V298" s="1011"/>
      <c r="W298" s="1011"/>
      <c r="X298" s="1011"/>
      <c r="Y298" s="1011"/>
      <c r="Z298" s="1011"/>
      <c r="AA298" s="1011"/>
      <c r="AB298" s="1011"/>
      <c r="AC298" s="1011"/>
      <c r="AD298" s="1011"/>
      <c r="AE298" s="1011"/>
      <c r="AF298" s="1011"/>
      <c r="AG298" s="818"/>
    </row>
    <row r="299" spans="1:33">
      <c r="A299" s="1016" t="s">
        <v>623</v>
      </c>
      <c r="B299" s="818"/>
      <c r="C299" s="1010"/>
      <c r="D299" s="1011"/>
      <c r="E299" s="1011"/>
      <c r="F299" s="1011"/>
      <c r="G299" s="1011"/>
      <c r="H299" s="1026"/>
      <c r="I299" s="1011"/>
      <c r="J299" s="1011"/>
      <c r="K299" s="1011"/>
      <c r="L299" s="1011"/>
      <c r="M299" s="1011"/>
      <c r="N299" s="1011"/>
      <c r="O299" s="1011"/>
      <c r="P299" s="1011"/>
      <c r="Q299" s="1011"/>
      <c r="R299" s="1011"/>
      <c r="S299" s="1011"/>
      <c r="T299" s="1011"/>
      <c r="U299" s="1011"/>
      <c r="V299" s="1011"/>
      <c r="W299" s="1011"/>
      <c r="X299" s="1011"/>
      <c r="Y299" s="1011"/>
      <c r="Z299" s="1011"/>
      <c r="AA299" s="1011"/>
      <c r="AB299" s="1011"/>
      <c r="AC299" s="1011"/>
      <c r="AD299" s="1011"/>
      <c r="AE299" s="1011"/>
      <c r="AF299" s="1011"/>
      <c r="AG299" s="818"/>
    </row>
    <row r="300" spans="1:33">
      <c r="A300" s="1009" t="s">
        <v>624</v>
      </c>
      <c r="B300" s="818"/>
      <c r="C300" s="996"/>
      <c r="D300" s="1010"/>
      <c r="E300" s="1011">
        <f>E594</f>
        <v>0</v>
      </c>
      <c r="F300" s="1011">
        <f>F594</f>
        <v>0</v>
      </c>
      <c r="G300" s="1011">
        <f>G594</f>
        <v>0</v>
      </c>
      <c r="H300" s="1026">
        <f>H594</f>
        <v>0</v>
      </c>
      <c r="I300" s="1011">
        <f>IF($E$593="YES",I595*(((I362-H539)+(I366-I539))/2),0)*$C$442</f>
        <v>0</v>
      </c>
      <c r="J300" s="1011">
        <f t="shared" ref="J300:AF300" si="156">IF($E$593="YES",J594*(((J361-I539)+(J365-J539))/2),0)</f>
        <v>0</v>
      </c>
      <c r="K300" s="1011">
        <f t="shared" si="156"/>
        <v>0</v>
      </c>
      <c r="L300" s="1011">
        <f t="shared" si="156"/>
        <v>0</v>
      </c>
      <c r="M300" s="1011">
        <f t="shared" si="156"/>
        <v>0</v>
      </c>
      <c r="N300" s="1011">
        <f t="shared" si="156"/>
        <v>0</v>
      </c>
      <c r="O300" s="1011">
        <f t="shared" si="156"/>
        <v>0</v>
      </c>
      <c r="P300" s="1011">
        <f t="shared" si="156"/>
        <v>0</v>
      </c>
      <c r="Q300" s="1011">
        <f t="shared" si="156"/>
        <v>0</v>
      </c>
      <c r="R300" s="1011">
        <f t="shared" si="156"/>
        <v>0</v>
      </c>
      <c r="S300" s="1011">
        <f t="shared" si="156"/>
        <v>0</v>
      </c>
      <c r="T300" s="1011">
        <f t="shared" si="156"/>
        <v>0</v>
      </c>
      <c r="U300" s="1011">
        <f t="shared" si="156"/>
        <v>0</v>
      </c>
      <c r="V300" s="1011">
        <f t="shared" si="156"/>
        <v>0</v>
      </c>
      <c r="W300" s="1011">
        <f t="shared" si="156"/>
        <v>0</v>
      </c>
      <c r="X300" s="1011">
        <f t="shared" si="156"/>
        <v>0</v>
      </c>
      <c r="Y300" s="1011">
        <f t="shared" si="156"/>
        <v>0</v>
      </c>
      <c r="Z300" s="1011">
        <f t="shared" si="156"/>
        <v>0</v>
      </c>
      <c r="AA300" s="1011">
        <f t="shared" si="156"/>
        <v>0</v>
      </c>
      <c r="AB300" s="1011">
        <f t="shared" si="156"/>
        <v>0</v>
      </c>
      <c r="AC300" s="1011">
        <f t="shared" si="156"/>
        <v>0</v>
      </c>
      <c r="AD300" s="1011">
        <f t="shared" si="156"/>
        <v>0</v>
      </c>
      <c r="AE300" s="1011">
        <f t="shared" si="156"/>
        <v>0</v>
      </c>
      <c r="AF300" s="1011">
        <f t="shared" si="156"/>
        <v>0</v>
      </c>
      <c r="AG300" s="818"/>
    </row>
    <row r="301" spans="1:33">
      <c r="A301" s="818" t="str">
        <f>A606</f>
        <v>Other Income (excluding interest income)</v>
      </c>
      <c r="B301" s="818"/>
      <c r="C301" s="996"/>
      <c r="D301" s="818"/>
      <c r="E301" s="818">
        <f t="shared" ref="E301:Z301" si="157">E606</f>
        <v>0</v>
      </c>
      <c r="F301" s="818">
        <f t="shared" si="157"/>
        <v>0</v>
      </c>
      <c r="G301" s="818">
        <f t="shared" si="157"/>
        <v>0</v>
      </c>
      <c r="H301" s="1027">
        <f t="shared" si="157"/>
        <v>0</v>
      </c>
      <c r="I301" s="818">
        <f t="shared" si="157"/>
        <v>0</v>
      </c>
      <c r="J301" s="818">
        <f t="shared" si="157"/>
        <v>0</v>
      </c>
      <c r="K301" s="818">
        <f t="shared" si="157"/>
        <v>0</v>
      </c>
      <c r="L301" s="818">
        <f t="shared" si="157"/>
        <v>0</v>
      </c>
      <c r="M301" s="818">
        <f t="shared" si="157"/>
        <v>0</v>
      </c>
      <c r="N301" s="818">
        <f t="shared" si="157"/>
        <v>0</v>
      </c>
      <c r="O301" s="818">
        <f t="shared" si="157"/>
        <v>0</v>
      </c>
      <c r="P301" s="818">
        <f t="shared" si="157"/>
        <v>0</v>
      </c>
      <c r="Q301" s="818">
        <f t="shared" si="157"/>
        <v>0</v>
      </c>
      <c r="R301" s="818">
        <f t="shared" si="157"/>
        <v>0</v>
      </c>
      <c r="S301" s="818">
        <f t="shared" si="157"/>
        <v>0</v>
      </c>
      <c r="T301" s="818">
        <f t="shared" si="157"/>
        <v>0</v>
      </c>
      <c r="U301" s="818">
        <f t="shared" si="157"/>
        <v>0</v>
      </c>
      <c r="V301" s="818">
        <f t="shared" si="157"/>
        <v>0</v>
      </c>
      <c r="W301" s="818">
        <f t="shared" si="157"/>
        <v>0</v>
      </c>
      <c r="X301" s="818">
        <f t="shared" si="157"/>
        <v>0</v>
      </c>
      <c r="Y301" s="818">
        <f t="shared" si="157"/>
        <v>0</v>
      </c>
      <c r="Z301" s="818">
        <f t="shared" si="157"/>
        <v>0</v>
      </c>
      <c r="AA301" s="818">
        <f t="shared" ref="AA301:AF301" si="158">AA606</f>
        <v>0</v>
      </c>
      <c r="AB301" s="818">
        <f t="shared" si="158"/>
        <v>0</v>
      </c>
      <c r="AC301" s="818">
        <f t="shared" si="158"/>
        <v>0</v>
      </c>
      <c r="AD301" s="818">
        <f t="shared" si="158"/>
        <v>0</v>
      </c>
      <c r="AE301" s="818">
        <f t="shared" si="158"/>
        <v>0</v>
      </c>
      <c r="AF301" s="818">
        <f t="shared" si="158"/>
        <v>0</v>
      </c>
      <c r="AG301" s="818"/>
    </row>
    <row r="302" spans="1:33">
      <c r="A302" s="1016" t="s">
        <v>625</v>
      </c>
      <c r="B302" s="818"/>
      <c r="C302" s="996"/>
      <c r="D302" s="818"/>
      <c r="E302" s="1028">
        <f t="shared" ref="E302:Z302" si="159">SUM(E300:E301)</f>
        <v>0</v>
      </c>
      <c r="F302" s="1028">
        <f t="shared" si="159"/>
        <v>0</v>
      </c>
      <c r="G302" s="1028">
        <f t="shared" si="159"/>
        <v>0</v>
      </c>
      <c r="H302" s="1029">
        <f t="shared" si="159"/>
        <v>0</v>
      </c>
      <c r="I302" s="1028">
        <f t="shared" si="159"/>
        <v>0</v>
      </c>
      <c r="J302" s="1028">
        <f t="shared" si="159"/>
        <v>0</v>
      </c>
      <c r="K302" s="1028">
        <f t="shared" si="159"/>
        <v>0</v>
      </c>
      <c r="L302" s="1028">
        <f t="shared" si="159"/>
        <v>0</v>
      </c>
      <c r="M302" s="1028">
        <f t="shared" si="159"/>
        <v>0</v>
      </c>
      <c r="N302" s="1028">
        <f t="shared" si="159"/>
        <v>0</v>
      </c>
      <c r="O302" s="1028">
        <f t="shared" si="159"/>
        <v>0</v>
      </c>
      <c r="P302" s="1028">
        <f t="shared" si="159"/>
        <v>0</v>
      </c>
      <c r="Q302" s="1028">
        <f t="shared" si="159"/>
        <v>0</v>
      </c>
      <c r="R302" s="1028">
        <f t="shared" si="159"/>
        <v>0</v>
      </c>
      <c r="S302" s="1028">
        <f t="shared" si="159"/>
        <v>0</v>
      </c>
      <c r="T302" s="1028">
        <f t="shared" si="159"/>
        <v>0</v>
      </c>
      <c r="U302" s="1028">
        <f t="shared" si="159"/>
        <v>0</v>
      </c>
      <c r="V302" s="1028">
        <f t="shared" si="159"/>
        <v>0</v>
      </c>
      <c r="W302" s="1028">
        <f t="shared" si="159"/>
        <v>0</v>
      </c>
      <c r="X302" s="1028">
        <f t="shared" si="159"/>
        <v>0</v>
      </c>
      <c r="Y302" s="1028">
        <f t="shared" si="159"/>
        <v>0</v>
      </c>
      <c r="Z302" s="1028">
        <f t="shared" si="159"/>
        <v>0</v>
      </c>
      <c r="AA302" s="1028">
        <f t="shared" ref="AA302:AF302" si="160">SUM(AA300:AA301)</f>
        <v>0</v>
      </c>
      <c r="AB302" s="1028">
        <f t="shared" si="160"/>
        <v>0</v>
      </c>
      <c r="AC302" s="1028">
        <f t="shared" si="160"/>
        <v>0</v>
      </c>
      <c r="AD302" s="1028">
        <f t="shared" si="160"/>
        <v>0</v>
      </c>
      <c r="AE302" s="1028">
        <f t="shared" si="160"/>
        <v>0</v>
      </c>
      <c r="AF302" s="1028">
        <f t="shared" si="160"/>
        <v>0</v>
      </c>
      <c r="AG302" s="818"/>
    </row>
    <row r="303" spans="1:33">
      <c r="A303" s="818"/>
      <c r="B303" s="818"/>
      <c r="C303" s="818"/>
      <c r="D303" s="818"/>
      <c r="E303" s="818"/>
      <c r="F303" s="818"/>
      <c r="G303" s="818"/>
      <c r="H303" s="1027"/>
      <c r="I303" s="818"/>
      <c r="J303" s="818"/>
      <c r="K303" s="818"/>
      <c r="L303" s="818"/>
      <c r="M303" s="818"/>
      <c r="N303" s="818"/>
      <c r="O303" s="818"/>
      <c r="P303" s="818"/>
      <c r="Q303" s="818"/>
      <c r="R303" s="818"/>
      <c r="S303" s="818"/>
      <c r="T303" s="818"/>
      <c r="U303" s="818"/>
      <c r="V303" s="818"/>
      <c r="W303" s="818"/>
      <c r="X303" s="818"/>
      <c r="Y303" s="818"/>
      <c r="Z303" s="818"/>
      <c r="AA303" s="818"/>
      <c r="AB303" s="818"/>
      <c r="AC303" s="818"/>
      <c r="AD303" s="818"/>
      <c r="AE303" s="818"/>
      <c r="AF303" s="818"/>
      <c r="AG303" s="665"/>
    </row>
    <row r="304" spans="1:33">
      <c r="A304" s="1016" t="s">
        <v>626</v>
      </c>
      <c r="B304" s="818"/>
      <c r="C304" s="1030"/>
      <c r="D304" s="1011"/>
      <c r="E304" s="1011"/>
      <c r="F304" s="1011"/>
      <c r="G304" s="1011"/>
      <c r="H304" s="1031"/>
      <c r="I304" s="1647"/>
      <c r="J304" s="1011"/>
      <c r="K304" s="1011"/>
      <c r="L304" s="1011"/>
      <c r="M304" s="1011"/>
      <c r="N304" s="1011"/>
      <c r="O304" s="1011"/>
      <c r="P304" s="1011"/>
      <c r="Q304" s="1011"/>
      <c r="R304" s="1011"/>
      <c r="S304" s="1011"/>
      <c r="T304" s="1011"/>
      <c r="U304" s="1011"/>
      <c r="V304" s="1011"/>
      <c r="W304" s="1011"/>
      <c r="X304" s="1011"/>
      <c r="Y304" s="1011"/>
      <c r="Z304" s="1011"/>
      <c r="AA304" s="1011"/>
      <c r="AB304" s="1011"/>
      <c r="AC304" s="1011"/>
      <c r="AD304" s="1011"/>
      <c r="AE304" s="1011"/>
      <c r="AF304" s="1011"/>
      <c r="AG304" s="818"/>
    </row>
    <row r="305" spans="1:57">
      <c r="A305" s="818" t="str">
        <f>B451&amp;" (Interest Calc on Avg Balance)"</f>
        <v>Purchase Term Loan (Interest Calc on Avg Balance)</v>
      </c>
      <c r="B305" s="818"/>
      <c r="C305" s="818"/>
      <c r="D305" s="1010"/>
      <c r="E305" s="1011"/>
      <c r="F305" s="1011"/>
      <c r="G305" s="1011"/>
      <c r="H305" s="1026"/>
      <c r="I305" s="1647">
        <f ca="1">IF(I566="YES",IF($I$567="YES",-I569+((I588-I568)*(I421+I425)/2),0),I588*(I421+I425)/2)*IF(C442&gt;0,C442,1)</f>
        <v>14195.750192963595</v>
      </c>
      <c r="J305" s="1011">
        <f t="shared" ref="J305:Z305" ca="1" si="161">IF(J566="YES",IF($I$567="YES",-J569+((J588-J568)*((J421+J425)/2)),0),J588*((J421+J425)/2))</f>
        <v>27922.072422902362</v>
      </c>
      <c r="K305" s="1011">
        <f t="shared" ca="1" si="161"/>
        <v>26939.207625319126</v>
      </c>
      <c r="L305" s="1011">
        <f t="shared" ca="1" si="161"/>
        <v>25864.199252962459</v>
      </c>
      <c r="M305" s="1011">
        <f t="shared" ca="1" si="161"/>
        <v>24688.408845697362</v>
      </c>
      <c r="N305" s="1011">
        <f t="shared" ca="1" si="161"/>
        <v>23402.388087751155</v>
      </c>
      <c r="O305" s="1011">
        <f t="shared" ca="1" si="161"/>
        <v>21995.802883747492</v>
      </c>
      <c r="P305" s="1011">
        <f t="shared" ca="1" si="161"/>
        <v>20457.350316868484</v>
      </c>
      <c r="Q305" s="1011">
        <f t="shared" ca="1" si="161"/>
        <v>18774.667821844574</v>
      </c>
      <c r="R305" s="1011">
        <f t="shared" ca="1" si="161"/>
        <v>16934.23384291217</v>
      </c>
      <c r="S305" s="1011">
        <f t="shared" ca="1" si="161"/>
        <v>14921.259178454853</v>
      </c>
      <c r="T305" s="1011">
        <f t="shared" ca="1" si="161"/>
        <v>12719.568139204664</v>
      </c>
      <c r="U305" s="1011">
        <f t="shared" ca="1" si="161"/>
        <v>10311.468565024768</v>
      </c>
      <c r="V305" s="1011">
        <f t="shared" ca="1" si="161"/>
        <v>7677.6096557655055</v>
      </c>
      <c r="W305" s="1011">
        <f t="shared" ca="1" si="161"/>
        <v>4796.8264737631889</v>
      </c>
      <c r="X305" s="1011">
        <f t="shared" ca="1" si="161"/>
        <v>1645.969868448155</v>
      </c>
      <c r="Y305" s="1011">
        <f t="shared" ca="1" si="161"/>
        <v>3.4106051316484809E-12</v>
      </c>
      <c r="Z305" s="1011">
        <f t="shared" ca="1" si="161"/>
        <v>3.4106051316484809E-12</v>
      </c>
      <c r="AA305" s="1011">
        <f t="shared" ref="AA305:AF305" ca="1" si="162">IF(AA566="YES",IF($I$567="YES",-AA569+((AA588-AA568)*((AA421+AA425)/2)),0),AA588*((AA421+AA425)/2))</f>
        <v>3.4106051316484809E-12</v>
      </c>
      <c r="AB305" s="1011">
        <f t="shared" ca="1" si="162"/>
        <v>3.4106051316484809E-12</v>
      </c>
      <c r="AC305" s="1011">
        <f t="shared" ca="1" si="162"/>
        <v>3.4106051316484809E-12</v>
      </c>
      <c r="AD305" s="1011">
        <f t="shared" ca="1" si="162"/>
        <v>3.4106051316484809E-12</v>
      </c>
      <c r="AE305" s="1011">
        <f t="shared" ca="1" si="162"/>
        <v>3.4106051316484809E-12</v>
      </c>
      <c r="AF305" s="1011">
        <f t="shared" ca="1" si="162"/>
        <v>1.6370904631912708E-11</v>
      </c>
      <c r="AG305" s="818"/>
      <c r="AH305" s="1011"/>
      <c r="AI305" s="1011"/>
      <c r="AJ305" s="1011"/>
      <c r="AK305" s="1011"/>
      <c r="AL305" s="1011"/>
      <c r="AM305" s="1011"/>
      <c r="AN305" s="1011"/>
      <c r="AO305" s="1011"/>
      <c r="AP305" s="1011"/>
      <c r="AQ305" s="1011"/>
      <c r="AR305" s="1011"/>
      <c r="AS305" s="1011"/>
      <c r="AT305" s="1011"/>
      <c r="AU305" s="1011"/>
      <c r="AV305" s="1011"/>
      <c r="AW305" s="1011"/>
      <c r="AX305" s="1011"/>
      <c r="AY305" s="1011"/>
      <c r="AZ305" s="1011"/>
      <c r="BA305" s="1011"/>
      <c r="BB305" s="1011"/>
      <c r="BC305" s="1011"/>
      <c r="BD305" s="1011"/>
      <c r="BE305" s="1011"/>
    </row>
    <row r="306" spans="1:57">
      <c r="A306" s="818" t="str">
        <f>B452&amp;" (Interest Calc on Avg. Balance)"</f>
        <v>Scrubber Term Loan (Interest Calc on Avg. Balance)</v>
      </c>
      <c r="B306" s="818"/>
      <c r="C306" s="818"/>
      <c r="D306" s="1010"/>
      <c r="E306" s="1011"/>
      <c r="F306" s="1011"/>
      <c r="G306" s="1011"/>
      <c r="H306" s="1026"/>
      <c r="I306" s="1011">
        <f>IF(I574="YES",IF($I$575="YES",-I577+((I589-I576)*(I428+I431)/2)*C442,0),I589*(I428+I431)/2*C442)</f>
        <v>0</v>
      </c>
      <c r="J306" s="1011">
        <f t="shared" ref="J306:Z306" si="163">IF(J574="YES",IF($I$575="YES",-J577+((J589-J576)*(J428+J431)/2),0),J589*(J428+J431)/2)</f>
        <v>0</v>
      </c>
      <c r="K306" s="1011">
        <f t="shared" si="163"/>
        <v>0</v>
      </c>
      <c r="L306" s="1011">
        <f t="shared" si="163"/>
        <v>0</v>
      </c>
      <c r="M306" s="1011">
        <f t="shared" si="163"/>
        <v>0</v>
      </c>
      <c r="N306" s="1011">
        <f t="shared" si="163"/>
        <v>0</v>
      </c>
      <c r="O306" s="1011">
        <f t="shared" si="163"/>
        <v>0</v>
      </c>
      <c r="P306" s="1011">
        <f t="shared" si="163"/>
        <v>0</v>
      </c>
      <c r="Q306" s="1011">
        <f t="shared" si="163"/>
        <v>0</v>
      </c>
      <c r="R306" s="1011">
        <f t="shared" si="163"/>
        <v>0</v>
      </c>
      <c r="S306" s="1011">
        <f t="shared" si="163"/>
        <v>0</v>
      </c>
      <c r="T306" s="1011">
        <f t="shared" si="163"/>
        <v>0</v>
      </c>
      <c r="U306" s="1011">
        <f t="shared" si="163"/>
        <v>0</v>
      </c>
      <c r="V306" s="1011">
        <f t="shared" si="163"/>
        <v>0</v>
      </c>
      <c r="W306" s="1011">
        <f t="shared" si="163"/>
        <v>0</v>
      </c>
      <c r="X306" s="1011">
        <f t="shared" si="163"/>
        <v>0</v>
      </c>
      <c r="Y306" s="1011">
        <f t="shared" si="163"/>
        <v>0</v>
      </c>
      <c r="Z306" s="1011">
        <f t="shared" si="163"/>
        <v>0</v>
      </c>
      <c r="AA306" s="1011">
        <f t="shared" ref="AA306:AF306" si="164">IF(AA574="YES",IF($I$575="YES",-AA577+((AA589-AA576)*(AA428+AA431)/2),0),AA589*(AA428+AA431)/2)</f>
        <v>0</v>
      </c>
      <c r="AB306" s="1011">
        <f t="shared" si="164"/>
        <v>0</v>
      </c>
      <c r="AC306" s="1011">
        <f t="shared" si="164"/>
        <v>0</v>
      </c>
      <c r="AD306" s="1011">
        <f t="shared" si="164"/>
        <v>0</v>
      </c>
      <c r="AE306" s="1011">
        <f t="shared" si="164"/>
        <v>0</v>
      </c>
      <c r="AF306" s="1011">
        <f t="shared" si="164"/>
        <v>0</v>
      </c>
      <c r="AG306" s="818"/>
      <c r="AH306" s="1011"/>
      <c r="AI306" s="1011"/>
      <c r="AJ306" s="1011"/>
      <c r="AK306" s="1011"/>
      <c r="AL306" s="1011"/>
      <c r="AM306" s="1011"/>
      <c r="AN306" s="1011"/>
      <c r="AO306" s="1011"/>
      <c r="AP306" s="1011"/>
      <c r="AQ306" s="1011"/>
      <c r="AR306" s="1011"/>
      <c r="AS306" s="1011"/>
      <c r="AT306" s="1011"/>
      <c r="AU306" s="1011"/>
      <c r="AV306" s="1011"/>
      <c r="AW306" s="1011"/>
      <c r="AX306" s="1011"/>
      <c r="AY306" s="1011"/>
      <c r="AZ306" s="1011"/>
      <c r="BA306" s="1011"/>
      <c r="BB306" s="1011"/>
      <c r="BC306" s="1011"/>
      <c r="BD306" s="1011"/>
      <c r="BE306" s="1011"/>
    </row>
    <row r="307" spans="1:57">
      <c r="A307" s="818" t="s">
        <v>627</v>
      </c>
      <c r="B307" s="818"/>
      <c r="C307" s="818"/>
      <c r="D307" s="1010"/>
      <c r="E307" s="1011"/>
      <c r="F307" s="1011"/>
      <c r="G307" s="1011"/>
      <c r="H307" s="1026"/>
      <c r="I307" s="1011">
        <f ca="1">+(I414+I417)/2*I587*C442</f>
        <v>0</v>
      </c>
      <c r="J307" s="1011">
        <f t="shared" ref="J307:Z307" ca="1" si="165">+(J414+J417)/2*J587</f>
        <v>0</v>
      </c>
      <c r="K307" s="1011">
        <f t="shared" ca="1" si="165"/>
        <v>0</v>
      </c>
      <c r="L307" s="1011">
        <f t="shared" ca="1" si="165"/>
        <v>0</v>
      </c>
      <c r="M307" s="1011">
        <f t="shared" ca="1" si="165"/>
        <v>0</v>
      </c>
      <c r="N307" s="1011">
        <f t="shared" ca="1" si="165"/>
        <v>0</v>
      </c>
      <c r="O307" s="1011">
        <f t="shared" ca="1" si="165"/>
        <v>0</v>
      </c>
      <c r="P307" s="1011">
        <f t="shared" ca="1" si="165"/>
        <v>0</v>
      </c>
      <c r="Q307" s="1011">
        <f t="shared" ca="1" si="165"/>
        <v>0</v>
      </c>
      <c r="R307" s="1011">
        <f t="shared" ca="1" si="165"/>
        <v>0</v>
      </c>
      <c r="S307" s="1011">
        <f t="shared" ca="1" si="165"/>
        <v>0</v>
      </c>
      <c r="T307" s="1011">
        <f t="shared" ca="1" si="165"/>
        <v>0</v>
      </c>
      <c r="U307" s="1011">
        <f t="shared" ca="1" si="165"/>
        <v>0</v>
      </c>
      <c r="V307" s="1011">
        <f t="shared" ca="1" si="165"/>
        <v>0</v>
      </c>
      <c r="W307" s="1011">
        <f t="shared" ca="1" si="165"/>
        <v>0</v>
      </c>
      <c r="X307" s="1011">
        <f t="shared" ca="1" si="165"/>
        <v>0</v>
      </c>
      <c r="Y307" s="1011">
        <f t="shared" ca="1" si="165"/>
        <v>0</v>
      </c>
      <c r="Z307" s="1011">
        <f t="shared" ca="1" si="165"/>
        <v>0</v>
      </c>
      <c r="AA307" s="1011">
        <f t="shared" ref="AA307:AF307" ca="1" si="166">+(AA414+AA417)/2*AA587</f>
        <v>0</v>
      </c>
      <c r="AB307" s="1011">
        <f t="shared" ca="1" si="166"/>
        <v>0</v>
      </c>
      <c r="AC307" s="1011">
        <f t="shared" ca="1" si="166"/>
        <v>0</v>
      </c>
      <c r="AD307" s="1011">
        <f t="shared" ca="1" si="166"/>
        <v>0</v>
      </c>
      <c r="AE307" s="1011">
        <f t="shared" ca="1" si="166"/>
        <v>0</v>
      </c>
      <c r="AF307" s="1011">
        <f t="shared" ca="1" si="166"/>
        <v>0</v>
      </c>
      <c r="AG307" s="818"/>
    </row>
    <row r="308" spans="1:57">
      <c r="A308" s="1016" t="s">
        <v>628</v>
      </c>
      <c r="B308" s="818"/>
      <c r="C308" s="1030"/>
      <c r="D308" s="1011"/>
      <c r="E308" s="1020">
        <f>SUM(E305:E306)</f>
        <v>0</v>
      </c>
      <c r="F308" s="1020">
        <f>SUM(F305:F306)</f>
        <v>0</v>
      </c>
      <c r="G308" s="1020">
        <f>SUM(G305:G306)</f>
        <v>0</v>
      </c>
      <c r="H308" s="1032">
        <f>SUM(H305:H306)</f>
        <v>0</v>
      </c>
      <c r="I308" s="1020">
        <f t="shared" ref="I308:Z308" ca="1" si="167">SUM(I305:I307)</f>
        <v>14195.750192963595</v>
      </c>
      <c r="J308" s="1020">
        <f t="shared" ca="1" si="167"/>
        <v>27922.072422902362</v>
      </c>
      <c r="K308" s="1020">
        <f t="shared" ca="1" si="167"/>
        <v>26939.207625319126</v>
      </c>
      <c r="L308" s="1020">
        <f t="shared" ca="1" si="167"/>
        <v>25864.199252962459</v>
      </c>
      <c r="M308" s="1020">
        <f t="shared" ca="1" si="167"/>
        <v>24688.408845697362</v>
      </c>
      <c r="N308" s="1020">
        <f t="shared" ca="1" si="167"/>
        <v>23402.388087751155</v>
      </c>
      <c r="O308" s="1020">
        <f t="shared" ca="1" si="167"/>
        <v>21995.802883747492</v>
      </c>
      <c r="P308" s="1020">
        <f t="shared" ca="1" si="167"/>
        <v>20457.350316868484</v>
      </c>
      <c r="Q308" s="1020">
        <f t="shared" ca="1" si="167"/>
        <v>18774.667821844574</v>
      </c>
      <c r="R308" s="1020">
        <f t="shared" ca="1" si="167"/>
        <v>16934.23384291217</v>
      </c>
      <c r="S308" s="1020">
        <f t="shared" ca="1" si="167"/>
        <v>14921.259178454853</v>
      </c>
      <c r="T308" s="1020">
        <f t="shared" ca="1" si="167"/>
        <v>12719.568139204664</v>
      </c>
      <c r="U308" s="1020">
        <f t="shared" ca="1" si="167"/>
        <v>10311.468565024768</v>
      </c>
      <c r="V308" s="1020">
        <f t="shared" ca="1" si="167"/>
        <v>7677.6096557655055</v>
      </c>
      <c r="W308" s="1020">
        <f t="shared" ca="1" si="167"/>
        <v>4796.8264737631889</v>
      </c>
      <c r="X308" s="1020">
        <f t="shared" ca="1" si="167"/>
        <v>1645.969868448155</v>
      </c>
      <c r="Y308" s="1020">
        <f t="shared" ca="1" si="167"/>
        <v>3.4106051316484809E-12</v>
      </c>
      <c r="Z308" s="1020">
        <f t="shared" ca="1" si="167"/>
        <v>3.4106051316484809E-12</v>
      </c>
      <c r="AA308" s="1020">
        <f t="shared" ref="AA308:AF308" ca="1" si="168">SUM(AA305:AA307)</f>
        <v>3.4106051316484809E-12</v>
      </c>
      <c r="AB308" s="1020">
        <f t="shared" ca="1" si="168"/>
        <v>3.4106051316484809E-12</v>
      </c>
      <c r="AC308" s="1020">
        <f t="shared" ca="1" si="168"/>
        <v>3.4106051316484809E-12</v>
      </c>
      <c r="AD308" s="1020">
        <f t="shared" ca="1" si="168"/>
        <v>3.4106051316484809E-12</v>
      </c>
      <c r="AE308" s="1020">
        <f t="shared" ca="1" si="168"/>
        <v>3.4106051316484809E-12</v>
      </c>
      <c r="AF308" s="1020">
        <f t="shared" ca="1" si="168"/>
        <v>1.6370904631912708E-11</v>
      </c>
      <c r="AG308" s="818"/>
    </row>
    <row r="309" spans="1:57">
      <c r="A309" s="818"/>
      <c r="B309" s="818"/>
      <c r="C309" s="818"/>
      <c r="D309" s="818"/>
      <c r="E309" s="818"/>
      <c r="F309" s="818"/>
      <c r="G309" s="818"/>
      <c r="H309" s="1027"/>
      <c r="I309" s="818"/>
      <c r="J309" s="818"/>
      <c r="K309" s="818"/>
      <c r="L309" s="818"/>
      <c r="M309" s="818"/>
      <c r="N309" s="818"/>
      <c r="O309" s="818"/>
      <c r="P309" s="818"/>
      <c r="Q309" s="818"/>
      <c r="R309" s="818"/>
      <c r="S309" s="818"/>
      <c r="T309" s="818"/>
      <c r="U309" s="818"/>
      <c r="V309" s="818"/>
      <c r="W309" s="818"/>
      <c r="X309" s="818"/>
      <c r="Y309" s="818"/>
      <c r="Z309" s="818"/>
      <c r="AA309" s="818"/>
      <c r="AB309" s="818"/>
      <c r="AC309" s="818"/>
      <c r="AD309" s="818"/>
      <c r="AE309" s="818"/>
      <c r="AF309" s="818"/>
      <c r="AG309" s="818"/>
    </row>
    <row r="310" spans="1:57">
      <c r="A310" s="1016" t="s">
        <v>629</v>
      </c>
      <c r="B310" s="818"/>
      <c r="C310" s="818"/>
      <c r="D310" s="1011"/>
      <c r="E310" s="1011">
        <f t="shared" ref="E310:Z310" si="169">E297+E302-E308</f>
        <v>0</v>
      </c>
      <c r="F310" s="1011">
        <f t="shared" si="169"/>
        <v>0</v>
      </c>
      <c r="G310" s="1011">
        <f t="shared" si="169"/>
        <v>0</v>
      </c>
      <c r="H310" s="1026">
        <f t="shared" si="169"/>
        <v>0</v>
      </c>
      <c r="I310" s="1011">
        <f t="shared" ca="1" si="169"/>
        <v>12281.390840316231</v>
      </c>
      <c r="J310" s="1011">
        <f t="shared" ca="1" si="169"/>
        <v>14581.093552485239</v>
      </c>
      <c r="K310" s="1011">
        <f t="shared" ca="1" si="169"/>
        <v>32647.763335927339</v>
      </c>
      <c r="L310" s="1011">
        <f t="shared" ca="1" si="169"/>
        <v>39815.506806261197</v>
      </c>
      <c r="M310" s="1011">
        <f t="shared" ca="1" si="169"/>
        <v>39411.264534111506</v>
      </c>
      <c r="N310" s="1011">
        <f t="shared" ca="1" si="169"/>
        <v>33037.661584640795</v>
      </c>
      <c r="O310" s="1011">
        <f t="shared" ca="1" si="169"/>
        <v>31834.990741681198</v>
      </c>
      <c r="P310" s="1011">
        <f t="shared" ca="1" si="169"/>
        <v>55820.07642586279</v>
      </c>
      <c r="Q310" s="1011">
        <f t="shared" ca="1" si="169"/>
        <v>58043.793591853537</v>
      </c>
      <c r="R310" s="1011">
        <f t="shared" ca="1" si="169"/>
        <v>60953.688432959112</v>
      </c>
      <c r="S310" s="1011">
        <f t="shared" ca="1" si="169"/>
        <v>65082.932357273108</v>
      </c>
      <c r="T310" s="1011">
        <f t="shared" ca="1" si="169"/>
        <v>57294.87611377814</v>
      </c>
      <c r="U310" s="1011">
        <f t="shared" ca="1" si="169"/>
        <v>68816.982116015919</v>
      </c>
      <c r="V310" s="1011">
        <f t="shared" ca="1" si="169"/>
        <v>61111.800546313789</v>
      </c>
      <c r="W310" s="1011">
        <f t="shared" ca="1" si="169"/>
        <v>60485.944875549765</v>
      </c>
      <c r="X310" s="1011">
        <f t="shared" ca="1" si="169"/>
        <v>60869.429476664562</v>
      </c>
      <c r="Y310" s="1011">
        <f t="shared" ca="1" si="169"/>
        <v>63428.808336532937</v>
      </c>
      <c r="Z310" s="1011">
        <f t="shared" ca="1" si="169"/>
        <v>58241.643818278128</v>
      </c>
      <c r="AA310" s="1011">
        <f t="shared" ref="AA310:AF310" ca="1" si="170">AA297+AA302-AA308</f>
        <v>58946.910430698321</v>
      </c>
      <c r="AB310" s="1011">
        <f t="shared" ca="1" si="170"/>
        <v>41270.983340027655</v>
      </c>
      <c r="AC310" s="1011">
        <f t="shared" ca="1" si="170"/>
        <v>-38198.703782627912</v>
      </c>
      <c r="AD310" s="1011">
        <f t="shared" ca="1" si="170"/>
        <v>-26501.916163709921</v>
      </c>
      <c r="AE310" s="1011">
        <f t="shared" ca="1" si="170"/>
        <v>-27031.954486984119</v>
      </c>
      <c r="AF310" s="1011">
        <f t="shared" ca="1" si="170"/>
        <v>-27572.593576723819</v>
      </c>
      <c r="AG310" s="818"/>
    </row>
    <row r="311" spans="1:57">
      <c r="A311" s="818"/>
      <c r="B311" s="818"/>
      <c r="C311" s="818"/>
      <c r="D311" s="818"/>
      <c r="E311" s="818"/>
      <c r="F311" s="818"/>
      <c r="G311" s="818"/>
      <c r="H311" s="1025"/>
      <c r="I311" s="1011"/>
      <c r="J311" s="818"/>
      <c r="K311" s="818"/>
      <c r="L311" s="818"/>
      <c r="M311" s="818"/>
      <c r="N311" s="818"/>
      <c r="O311" s="818"/>
      <c r="P311" s="818"/>
      <c r="Q311" s="818"/>
      <c r="R311" s="818"/>
      <c r="S311" s="818"/>
      <c r="T311" s="818"/>
      <c r="U311" s="818"/>
      <c r="V311" s="818"/>
      <c r="W311" s="818"/>
      <c r="X311" s="818"/>
      <c r="Y311" s="818"/>
      <c r="Z311" s="818"/>
      <c r="AA311" s="818"/>
      <c r="AB311" s="818"/>
      <c r="AC311" s="818"/>
      <c r="AD311" s="818"/>
      <c r="AE311" s="818"/>
      <c r="AF311" s="818"/>
      <c r="AG311" s="818"/>
    </row>
    <row r="312" spans="1:57">
      <c r="A312" s="1009" t="s">
        <v>630</v>
      </c>
      <c r="B312" s="818"/>
      <c r="C312" s="818"/>
      <c r="D312" s="818"/>
      <c r="E312" s="818">
        <f t="shared" ref="E312:Z312" si="171">E615</f>
        <v>0</v>
      </c>
      <c r="F312" s="818">
        <f t="shared" si="171"/>
        <v>0</v>
      </c>
      <c r="G312" s="818">
        <f t="shared" si="171"/>
        <v>0</v>
      </c>
      <c r="H312" s="1025">
        <f t="shared" si="171"/>
        <v>0</v>
      </c>
      <c r="I312" s="818">
        <f t="shared" si="171"/>
        <v>0</v>
      </c>
      <c r="J312" s="818">
        <f t="shared" si="171"/>
        <v>0</v>
      </c>
      <c r="K312" s="818">
        <f t="shared" si="171"/>
        <v>0</v>
      </c>
      <c r="L312" s="818">
        <f t="shared" si="171"/>
        <v>0</v>
      </c>
      <c r="M312" s="818">
        <f t="shared" si="171"/>
        <v>0</v>
      </c>
      <c r="N312" s="818">
        <f t="shared" si="171"/>
        <v>0</v>
      </c>
      <c r="O312" s="818">
        <f t="shared" si="171"/>
        <v>0</v>
      </c>
      <c r="P312" s="818">
        <f t="shared" si="171"/>
        <v>0</v>
      </c>
      <c r="Q312" s="818">
        <f t="shared" si="171"/>
        <v>0</v>
      </c>
      <c r="R312" s="818">
        <f t="shared" si="171"/>
        <v>0</v>
      </c>
      <c r="S312" s="818">
        <f t="shared" si="171"/>
        <v>0</v>
      </c>
      <c r="T312" s="818">
        <f t="shared" si="171"/>
        <v>0</v>
      </c>
      <c r="U312" s="818">
        <f t="shared" si="171"/>
        <v>0</v>
      </c>
      <c r="V312" s="818">
        <f t="shared" si="171"/>
        <v>0</v>
      </c>
      <c r="W312" s="818">
        <f t="shared" si="171"/>
        <v>0</v>
      </c>
      <c r="X312" s="818">
        <f t="shared" si="171"/>
        <v>0</v>
      </c>
      <c r="Y312" s="818">
        <f t="shared" si="171"/>
        <v>0</v>
      </c>
      <c r="Z312" s="818">
        <f t="shared" si="171"/>
        <v>0</v>
      </c>
      <c r="AA312" s="818">
        <f t="shared" ref="AA312:AF312" si="172">AA615</f>
        <v>0</v>
      </c>
      <c r="AB312" s="818">
        <f t="shared" si="172"/>
        <v>0</v>
      </c>
      <c r="AC312" s="818">
        <f t="shared" si="172"/>
        <v>0</v>
      </c>
      <c r="AD312" s="818">
        <f t="shared" si="172"/>
        <v>0</v>
      </c>
      <c r="AE312" s="818">
        <f t="shared" si="172"/>
        <v>0</v>
      </c>
      <c r="AF312" s="818">
        <f t="shared" si="172"/>
        <v>0</v>
      </c>
      <c r="AG312" s="818"/>
    </row>
    <row r="313" spans="1:57">
      <c r="A313" s="1009" t="s">
        <v>631</v>
      </c>
      <c r="B313" s="818"/>
      <c r="C313" s="818"/>
      <c r="D313" s="818"/>
      <c r="E313" s="818"/>
      <c r="F313" s="818"/>
      <c r="G313" s="818"/>
      <c r="H313" s="1025"/>
      <c r="I313" s="818">
        <f t="shared" ref="I313:AF313" ca="1" si="173">-I285*I630</f>
        <v>0</v>
      </c>
      <c r="J313" s="818">
        <f t="shared" ca="1" si="173"/>
        <v>0</v>
      </c>
      <c r="K313" s="818">
        <f t="shared" ca="1" si="173"/>
        <v>0</v>
      </c>
      <c r="L313" s="818">
        <f t="shared" ca="1" si="173"/>
        <v>0</v>
      </c>
      <c r="M313" s="818">
        <f t="shared" ca="1" si="173"/>
        <v>0</v>
      </c>
      <c r="N313" s="818">
        <f t="shared" ca="1" si="173"/>
        <v>0</v>
      </c>
      <c r="O313" s="818">
        <f t="shared" ca="1" si="173"/>
        <v>0</v>
      </c>
      <c r="P313" s="818">
        <f t="shared" ca="1" si="173"/>
        <v>0</v>
      </c>
      <c r="Q313" s="818">
        <f t="shared" ca="1" si="173"/>
        <v>0</v>
      </c>
      <c r="R313" s="818">
        <f t="shared" ca="1" si="173"/>
        <v>0</v>
      </c>
      <c r="S313" s="818">
        <f t="shared" ca="1" si="173"/>
        <v>0</v>
      </c>
      <c r="T313" s="818">
        <f t="shared" ca="1" si="173"/>
        <v>0</v>
      </c>
      <c r="U313" s="818">
        <f t="shared" ca="1" si="173"/>
        <v>0</v>
      </c>
      <c r="V313" s="818">
        <f t="shared" ca="1" si="173"/>
        <v>0</v>
      </c>
      <c r="W313" s="818">
        <f t="shared" ca="1" si="173"/>
        <v>0</v>
      </c>
      <c r="X313" s="818">
        <f t="shared" ca="1" si="173"/>
        <v>0</v>
      </c>
      <c r="Y313" s="818">
        <f t="shared" ca="1" si="173"/>
        <v>0</v>
      </c>
      <c r="Z313" s="818">
        <f t="shared" ca="1" si="173"/>
        <v>0</v>
      </c>
      <c r="AA313" s="818">
        <f t="shared" ca="1" si="173"/>
        <v>0</v>
      </c>
      <c r="AB313" s="818">
        <f t="shared" ca="1" si="173"/>
        <v>0</v>
      </c>
      <c r="AC313" s="818">
        <f t="shared" si="173"/>
        <v>0</v>
      </c>
      <c r="AD313" s="818">
        <f t="shared" si="173"/>
        <v>0</v>
      </c>
      <c r="AE313" s="818">
        <f t="shared" si="173"/>
        <v>0</v>
      </c>
      <c r="AF313" s="818">
        <f t="shared" si="173"/>
        <v>0</v>
      </c>
      <c r="AG313" s="818"/>
    </row>
    <row r="314" spans="1:57">
      <c r="A314" s="1016" t="s">
        <v>632</v>
      </c>
      <c r="B314" s="818"/>
      <c r="C314" s="1030"/>
      <c r="D314" s="818"/>
      <c r="E314" s="1028">
        <f>E310+E312</f>
        <v>0</v>
      </c>
      <c r="F314" s="1028">
        <f>F310+F312</f>
        <v>0</v>
      </c>
      <c r="G314" s="1028">
        <f>G310+G312</f>
        <v>0</v>
      </c>
      <c r="H314" s="1033">
        <f>H310+H312</f>
        <v>0</v>
      </c>
      <c r="I314" s="1028">
        <f t="shared" ref="I314:Z314" ca="1" si="174">I310+I312+I313</f>
        <v>12281.390840316231</v>
      </c>
      <c r="J314" s="1028">
        <f t="shared" ca="1" si="174"/>
        <v>14581.093552485239</v>
      </c>
      <c r="K314" s="1028">
        <f t="shared" ca="1" si="174"/>
        <v>32647.763335927339</v>
      </c>
      <c r="L314" s="1028">
        <f t="shared" ca="1" si="174"/>
        <v>39815.506806261197</v>
      </c>
      <c r="M314" s="1028">
        <f t="shared" ca="1" si="174"/>
        <v>39411.264534111506</v>
      </c>
      <c r="N314" s="1028">
        <f t="shared" ca="1" si="174"/>
        <v>33037.661584640795</v>
      </c>
      <c r="O314" s="1028">
        <f t="shared" ca="1" si="174"/>
        <v>31834.990741681198</v>
      </c>
      <c r="P314" s="1028">
        <f t="shared" ca="1" si="174"/>
        <v>55820.07642586279</v>
      </c>
      <c r="Q314" s="1028">
        <f t="shared" ca="1" si="174"/>
        <v>58043.793591853537</v>
      </c>
      <c r="R314" s="1028">
        <f t="shared" ca="1" si="174"/>
        <v>60953.688432959112</v>
      </c>
      <c r="S314" s="1028">
        <f t="shared" ca="1" si="174"/>
        <v>65082.932357273108</v>
      </c>
      <c r="T314" s="1028">
        <f t="shared" ca="1" si="174"/>
        <v>57294.87611377814</v>
      </c>
      <c r="U314" s="1028">
        <f t="shared" ca="1" si="174"/>
        <v>68816.982116015919</v>
      </c>
      <c r="V314" s="1028">
        <f t="shared" ca="1" si="174"/>
        <v>61111.800546313789</v>
      </c>
      <c r="W314" s="1028">
        <f t="shared" ca="1" si="174"/>
        <v>60485.944875549765</v>
      </c>
      <c r="X314" s="1028">
        <f t="shared" ca="1" si="174"/>
        <v>60869.429476664562</v>
      </c>
      <c r="Y314" s="1028">
        <f t="shared" ca="1" si="174"/>
        <v>63428.808336532937</v>
      </c>
      <c r="Z314" s="1028">
        <f t="shared" ca="1" si="174"/>
        <v>58241.643818278128</v>
      </c>
      <c r="AA314" s="1028">
        <f t="shared" ref="AA314:AF314" ca="1" si="175">AA310+AA312+AA313</f>
        <v>58946.910430698321</v>
      </c>
      <c r="AB314" s="1028">
        <f t="shared" ca="1" si="175"/>
        <v>41270.983340027655</v>
      </c>
      <c r="AC314" s="1028">
        <f t="shared" ca="1" si="175"/>
        <v>-38198.703782627912</v>
      </c>
      <c r="AD314" s="1028">
        <f t="shared" ca="1" si="175"/>
        <v>-26501.916163709921</v>
      </c>
      <c r="AE314" s="1028">
        <f t="shared" ca="1" si="175"/>
        <v>-27031.954486984119</v>
      </c>
      <c r="AF314" s="1028">
        <f t="shared" ca="1" si="175"/>
        <v>-27572.593576723819</v>
      </c>
      <c r="AG314" s="818"/>
    </row>
    <row r="315" spans="1:57">
      <c r="A315" s="818"/>
      <c r="B315" s="818"/>
      <c r="C315" s="818"/>
      <c r="D315" s="818"/>
      <c r="E315" s="818"/>
      <c r="F315" s="818"/>
      <c r="G315" s="818"/>
      <c r="H315" s="1025"/>
      <c r="I315" s="818"/>
      <c r="J315" s="818"/>
      <c r="K315" s="818"/>
      <c r="L315" s="818"/>
      <c r="M315" s="818"/>
      <c r="N315" s="818"/>
      <c r="O315" s="818"/>
      <c r="P315" s="818"/>
      <c r="Q315" s="818"/>
      <c r="R315" s="818"/>
      <c r="S315" s="818"/>
      <c r="T315" s="818"/>
      <c r="U315" s="818"/>
      <c r="V315" s="818"/>
      <c r="W315" s="818"/>
      <c r="X315" s="818"/>
      <c r="Y315" s="818"/>
      <c r="Z315" s="818"/>
      <c r="AA315" s="818"/>
      <c r="AB315" s="818"/>
      <c r="AC315" s="818"/>
      <c r="AD315" s="818"/>
      <c r="AE315" s="818"/>
      <c r="AF315" s="818"/>
      <c r="AG315" s="665"/>
    </row>
    <row r="316" spans="1:57">
      <c r="A316" s="1009" t="s">
        <v>633</v>
      </c>
      <c r="B316" s="818"/>
      <c r="C316" s="1030"/>
      <c r="D316" s="1011"/>
      <c r="E316" s="1011">
        <f>E627</f>
        <v>0</v>
      </c>
      <c r="F316" s="1011">
        <f>F627</f>
        <v>0</v>
      </c>
      <c r="G316" s="1011">
        <f>G627</f>
        <v>0</v>
      </c>
      <c r="H316" s="1026">
        <f>H627</f>
        <v>0</v>
      </c>
      <c r="I316" s="1011">
        <f t="shared" ref="I316:Z316" ca="1" si="176">I671</f>
        <v>5004.1755117952516</v>
      </c>
      <c r="J316" s="1011">
        <f t="shared" ca="1" si="176"/>
        <v>5941.2123788956351</v>
      </c>
      <c r="K316" s="1011">
        <f t="shared" ca="1" si="176"/>
        <v>13302.657648856954</v>
      </c>
      <c r="L316" s="1011">
        <f t="shared" ca="1" si="176"/>
        <v>16223.226403279188</v>
      </c>
      <c r="M316" s="1011">
        <f t="shared" ca="1" si="176"/>
        <v>16058.513847069073</v>
      </c>
      <c r="N316" s="1011">
        <f t="shared" ca="1" si="176"/>
        <v>13461.525589277739</v>
      </c>
      <c r="O316" s="1011">
        <f t="shared" ca="1" si="176"/>
        <v>12971.48532760542</v>
      </c>
      <c r="P316" s="1011">
        <f t="shared" ca="1" si="176"/>
        <v>22744.448340482053</v>
      </c>
      <c r="Q316" s="1011">
        <f t="shared" ca="1" si="176"/>
        <v>23650.524136936641</v>
      </c>
      <c r="R316" s="1011">
        <f t="shared" ca="1" si="176"/>
        <v>24836.189888893517</v>
      </c>
      <c r="S316" s="1011">
        <f t="shared" ca="1" si="176"/>
        <v>26518.691618294499</v>
      </c>
      <c r="T316" s="1011">
        <f t="shared" ca="1" si="176"/>
        <v>23345.370221320041</v>
      </c>
      <c r="U316" s="1011">
        <f t="shared" ca="1" si="176"/>
        <v>28040.167532991843</v>
      </c>
      <c r="V316" s="1011">
        <f t="shared" ca="1" si="176"/>
        <v>24900.614250601015</v>
      </c>
      <c r="W316" s="1011">
        <f t="shared" ca="1" si="176"/>
        <v>24645.603098991509</v>
      </c>
      <c r="X316" s="1011">
        <f t="shared" ca="1" si="176"/>
        <v>24801.857734561741</v>
      </c>
      <c r="Y316" s="1011">
        <f t="shared" ca="1" si="176"/>
        <v>25844.70224480371</v>
      </c>
      <c r="Z316" s="1011">
        <f t="shared" ca="1" si="176"/>
        <v>23731.140190195605</v>
      </c>
      <c r="AA316" s="1011">
        <f t="shared" ref="AA316:AF316" ca="1" si="177">AA671</f>
        <v>24018.508124092339</v>
      </c>
      <c r="AB316" s="1011">
        <f t="shared" ca="1" si="177"/>
        <v>16816.27487172767</v>
      </c>
      <c r="AC316" s="1011">
        <f t="shared" ca="1" si="177"/>
        <v>0</v>
      </c>
      <c r="AD316" s="1011">
        <f t="shared" ca="1" si="177"/>
        <v>0</v>
      </c>
      <c r="AE316" s="1011">
        <f t="shared" ca="1" si="177"/>
        <v>0</v>
      </c>
      <c r="AF316" s="1011">
        <f t="shared" ca="1" si="177"/>
        <v>0</v>
      </c>
      <c r="AG316" s="665"/>
    </row>
    <row r="317" spans="1:57" ht="12" thickBot="1">
      <c r="A317" s="1016" t="s">
        <v>634</v>
      </c>
      <c r="B317" s="818"/>
      <c r="C317" s="1030"/>
      <c r="D317" s="1011"/>
      <c r="E317" s="1034">
        <f t="shared" ref="E317:Z317" si="178">E314-E316</f>
        <v>0</v>
      </c>
      <c r="F317" s="1034">
        <f t="shared" si="178"/>
        <v>0</v>
      </c>
      <c r="G317" s="1034">
        <f t="shared" si="178"/>
        <v>0</v>
      </c>
      <c r="H317" s="1035">
        <f t="shared" si="178"/>
        <v>0</v>
      </c>
      <c r="I317" s="1034">
        <f t="shared" ca="1" si="178"/>
        <v>7277.2153285209797</v>
      </c>
      <c r="J317" s="1034">
        <f t="shared" ca="1" si="178"/>
        <v>8639.8811735896052</v>
      </c>
      <c r="K317" s="1034">
        <f t="shared" ca="1" si="178"/>
        <v>19345.105687070383</v>
      </c>
      <c r="L317" s="1034">
        <f t="shared" ca="1" si="178"/>
        <v>23592.280402982011</v>
      </c>
      <c r="M317" s="1034">
        <f t="shared" ca="1" si="178"/>
        <v>23352.750687042433</v>
      </c>
      <c r="N317" s="1034">
        <f t="shared" ca="1" si="178"/>
        <v>19576.135995363056</v>
      </c>
      <c r="O317" s="1034">
        <f t="shared" ca="1" si="178"/>
        <v>18863.505414075778</v>
      </c>
      <c r="P317" s="1034">
        <f t="shared" ca="1" si="178"/>
        <v>33075.62808538074</v>
      </c>
      <c r="Q317" s="1034">
        <f t="shared" ca="1" si="178"/>
        <v>34393.269454916895</v>
      </c>
      <c r="R317" s="1034">
        <f t="shared" ca="1" si="178"/>
        <v>36117.498544065595</v>
      </c>
      <c r="S317" s="1034">
        <f t="shared" ca="1" si="178"/>
        <v>38564.240738978609</v>
      </c>
      <c r="T317" s="1034">
        <f t="shared" ca="1" si="178"/>
        <v>33949.505892458095</v>
      </c>
      <c r="U317" s="1034">
        <f t="shared" ca="1" si="178"/>
        <v>40776.814583024076</v>
      </c>
      <c r="V317" s="1034">
        <f t="shared" ca="1" si="178"/>
        <v>36211.186295712774</v>
      </c>
      <c r="W317" s="1034">
        <f t="shared" ca="1" si="178"/>
        <v>35840.341776558256</v>
      </c>
      <c r="X317" s="1034">
        <f t="shared" ca="1" si="178"/>
        <v>36067.571742102824</v>
      </c>
      <c r="Y317" s="1034">
        <f t="shared" ca="1" si="178"/>
        <v>37584.106091729227</v>
      </c>
      <c r="Z317" s="1034">
        <f t="shared" ca="1" si="178"/>
        <v>34510.503628082522</v>
      </c>
      <c r="AA317" s="1034">
        <f t="shared" ref="AA317:AF317" ca="1" si="179">AA314-AA316</f>
        <v>34928.402306605982</v>
      </c>
      <c r="AB317" s="1034">
        <f t="shared" ca="1" si="179"/>
        <v>24454.708468299985</v>
      </c>
      <c r="AC317" s="1034">
        <f t="shared" ca="1" si="179"/>
        <v>-38198.703782627912</v>
      </c>
      <c r="AD317" s="1034">
        <f t="shared" ca="1" si="179"/>
        <v>-26501.916163709921</v>
      </c>
      <c r="AE317" s="1034">
        <f t="shared" ca="1" si="179"/>
        <v>-27031.954486984119</v>
      </c>
      <c r="AF317" s="1034">
        <f t="shared" ca="1" si="179"/>
        <v>-27572.593576723819</v>
      </c>
      <c r="AG317" s="665"/>
    </row>
    <row r="318" spans="1:57" ht="12" thickTop="1">
      <c r="A318" s="818"/>
      <c r="B318" s="818"/>
      <c r="C318" s="818"/>
      <c r="D318" s="818"/>
      <c r="E318" s="818"/>
      <c r="F318" s="818"/>
      <c r="G318" s="818"/>
      <c r="H318" s="1027"/>
      <c r="I318" s="818"/>
      <c r="J318" s="818"/>
      <c r="K318" s="818"/>
      <c r="L318" s="818"/>
      <c r="M318" s="818"/>
      <c r="N318" s="818"/>
      <c r="O318" s="818"/>
      <c r="P318" s="818"/>
      <c r="Q318" s="818"/>
      <c r="R318" s="818"/>
      <c r="S318" s="818"/>
      <c r="T318" s="818"/>
      <c r="U318" s="818"/>
      <c r="V318" s="818"/>
      <c r="W318" s="818"/>
      <c r="X318" s="818"/>
      <c r="Y318" s="818"/>
      <c r="Z318" s="818"/>
      <c r="AA318" s="818"/>
      <c r="AB318" s="818"/>
      <c r="AC318" s="818"/>
      <c r="AD318" s="818"/>
      <c r="AE318" s="818"/>
      <c r="AF318" s="818"/>
      <c r="AG318" s="818"/>
    </row>
    <row r="319" spans="1:57">
      <c r="A319" s="1009" t="s">
        <v>635</v>
      </c>
      <c r="B319" s="818"/>
      <c r="C319" s="818"/>
      <c r="D319" s="1011"/>
      <c r="E319" s="1036">
        <v>0</v>
      </c>
      <c r="F319" s="1036">
        <v>0</v>
      </c>
      <c r="G319" s="1036">
        <v>0</v>
      </c>
      <c r="H319" s="1036">
        <v>0</v>
      </c>
      <c r="I319" s="1036">
        <v>0</v>
      </c>
      <c r="J319" s="1036">
        <v>0</v>
      </c>
      <c r="K319" s="1036">
        <v>0</v>
      </c>
      <c r="L319" s="1036">
        <v>0</v>
      </c>
      <c r="M319" s="1036">
        <v>0</v>
      </c>
      <c r="N319" s="1036">
        <v>0</v>
      </c>
      <c r="O319" s="1036">
        <v>0</v>
      </c>
      <c r="P319" s="1036">
        <v>0</v>
      </c>
      <c r="Q319" s="1036">
        <v>0</v>
      </c>
      <c r="R319" s="1036">
        <v>0</v>
      </c>
      <c r="S319" s="1036">
        <v>0</v>
      </c>
      <c r="T319" s="1036">
        <v>0</v>
      </c>
      <c r="U319" s="1036">
        <v>0</v>
      </c>
      <c r="V319" s="1036">
        <v>0</v>
      </c>
      <c r="W319" s="1036">
        <v>0</v>
      </c>
      <c r="X319" s="1036">
        <v>0</v>
      </c>
      <c r="Y319" s="1036">
        <v>0</v>
      </c>
      <c r="Z319" s="1036">
        <v>0</v>
      </c>
      <c r="AA319" s="1036">
        <v>0</v>
      </c>
      <c r="AB319" s="1036">
        <v>0</v>
      </c>
      <c r="AC319" s="1036">
        <v>1</v>
      </c>
      <c r="AD319" s="1036">
        <v>2</v>
      </c>
      <c r="AE319" s="1036">
        <v>3</v>
      </c>
      <c r="AF319" s="1036">
        <v>4</v>
      </c>
      <c r="AG319" s="818"/>
    </row>
    <row r="320" spans="1:57" ht="12" thickBot="1">
      <c r="A320" s="1016" t="s">
        <v>636</v>
      </c>
      <c r="B320" s="818"/>
      <c r="C320" s="818"/>
      <c r="D320" s="818"/>
      <c r="E320" s="1037">
        <f t="shared" ref="E320:Z320" si="180">E317*(1-E319)</f>
        <v>0</v>
      </c>
      <c r="F320" s="1037">
        <f t="shared" si="180"/>
        <v>0</v>
      </c>
      <c r="G320" s="1037">
        <f t="shared" si="180"/>
        <v>0</v>
      </c>
      <c r="H320" s="1037">
        <f t="shared" si="180"/>
        <v>0</v>
      </c>
      <c r="I320" s="1037">
        <f t="shared" ca="1" si="180"/>
        <v>7277.2153285209797</v>
      </c>
      <c r="J320" s="1037">
        <f t="shared" ca="1" si="180"/>
        <v>8639.8811735896052</v>
      </c>
      <c r="K320" s="1037">
        <f t="shared" ca="1" si="180"/>
        <v>19345.105687070383</v>
      </c>
      <c r="L320" s="1037">
        <f t="shared" ca="1" si="180"/>
        <v>23592.280402982011</v>
      </c>
      <c r="M320" s="1037">
        <f t="shared" ca="1" si="180"/>
        <v>23352.750687042433</v>
      </c>
      <c r="N320" s="1037">
        <f t="shared" ca="1" si="180"/>
        <v>19576.135995363056</v>
      </c>
      <c r="O320" s="1037">
        <f t="shared" ca="1" si="180"/>
        <v>18863.505414075778</v>
      </c>
      <c r="P320" s="1037">
        <f t="shared" ca="1" si="180"/>
        <v>33075.62808538074</v>
      </c>
      <c r="Q320" s="1037">
        <f t="shared" ca="1" si="180"/>
        <v>34393.269454916895</v>
      </c>
      <c r="R320" s="1037">
        <f t="shared" ca="1" si="180"/>
        <v>36117.498544065595</v>
      </c>
      <c r="S320" s="1037">
        <f t="shared" ca="1" si="180"/>
        <v>38564.240738978609</v>
      </c>
      <c r="T320" s="1037">
        <f t="shared" ca="1" si="180"/>
        <v>33949.505892458095</v>
      </c>
      <c r="U320" s="1037">
        <f t="shared" ca="1" si="180"/>
        <v>40776.814583024076</v>
      </c>
      <c r="V320" s="1037">
        <f t="shared" ca="1" si="180"/>
        <v>36211.186295712774</v>
      </c>
      <c r="W320" s="1037">
        <f t="shared" ca="1" si="180"/>
        <v>35840.341776558256</v>
      </c>
      <c r="X320" s="1037">
        <f t="shared" ca="1" si="180"/>
        <v>36067.571742102824</v>
      </c>
      <c r="Y320" s="1037">
        <f t="shared" ca="1" si="180"/>
        <v>37584.106091729227</v>
      </c>
      <c r="Z320" s="1037">
        <f t="shared" ca="1" si="180"/>
        <v>34510.503628082522</v>
      </c>
      <c r="AA320" s="1037">
        <f t="shared" ref="AA320:AF320" ca="1" si="181">AA317*(1-AA319)</f>
        <v>34928.402306605982</v>
      </c>
      <c r="AB320" s="1037">
        <f t="shared" ca="1" si="181"/>
        <v>24454.708468299985</v>
      </c>
      <c r="AC320" s="1037">
        <f t="shared" ca="1" si="181"/>
        <v>0</v>
      </c>
      <c r="AD320" s="1037">
        <f t="shared" ca="1" si="181"/>
        <v>26501.916163709921</v>
      </c>
      <c r="AE320" s="1037">
        <f t="shared" ca="1" si="181"/>
        <v>54063.908973968239</v>
      </c>
      <c r="AF320" s="1037">
        <f t="shared" ca="1" si="181"/>
        <v>82717.780730171449</v>
      </c>
      <c r="AG320" s="818"/>
    </row>
    <row r="321" spans="1:33" ht="12" thickTop="1">
      <c r="A321" s="818"/>
      <c r="B321" s="818"/>
      <c r="C321" s="818"/>
      <c r="D321" s="818"/>
      <c r="E321" s="818"/>
      <c r="F321" s="818"/>
      <c r="G321" s="818"/>
      <c r="H321" s="1027"/>
      <c r="I321" s="818"/>
      <c r="J321" s="818"/>
      <c r="K321" s="818"/>
      <c r="L321" s="818"/>
      <c r="M321" s="818"/>
      <c r="N321" s="818"/>
      <c r="O321" s="818"/>
      <c r="P321" s="818"/>
      <c r="Q321" s="818"/>
      <c r="R321" s="818"/>
      <c r="S321" s="818"/>
      <c r="T321" s="818"/>
      <c r="U321" s="818"/>
      <c r="V321" s="818"/>
      <c r="W321" s="818"/>
      <c r="X321" s="818"/>
      <c r="Y321" s="818"/>
      <c r="Z321" s="818"/>
      <c r="AA321" s="818"/>
      <c r="AB321" s="818"/>
      <c r="AC321" s="818"/>
      <c r="AD321" s="818"/>
      <c r="AE321" s="818"/>
      <c r="AF321" s="818"/>
      <c r="AG321" s="818"/>
    </row>
    <row r="322" spans="1:33">
      <c r="A322" s="1009" t="s">
        <v>637</v>
      </c>
      <c r="B322" s="818"/>
      <c r="C322" s="818"/>
      <c r="D322" s="818"/>
      <c r="E322" s="818">
        <f>E585</f>
        <v>0</v>
      </c>
      <c r="F322" s="818">
        <f>F585</f>
        <v>0</v>
      </c>
      <c r="G322" s="818">
        <f>G585</f>
        <v>0</v>
      </c>
      <c r="H322" s="1027">
        <f>H585</f>
        <v>0</v>
      </c>
      <c r="I322" s="818">
        <f ca="1">IF(I320&lt;0,0,I320*I590)*C442</f>
        <v>0</v>
      </c>
      <c r="J322" s="818">
        <f t="shared" ref="J322:AF322" ca="1" si="182">IF(J320&lt;0,0,J320*J590)</f>
        <v>0</v>
      </c>
      <c r="K322" s="818">
        <f t="shared" ca="1" si="182"/>
        <v>0</v>
      </c>
      <c r="L322" s="818">
        <f t="shared" ca="1" si="182"/>
        <v>0</v>
      </c>
      <c r="M322" s="818">
        <f t="shared" ca="1" si="182"/>
        <v>0</v>
      </c>
      <c r="N322" s="818">
        <f t="shared" ca="1" si="182"/>
        <v>0</v>
      </c>
      <c r="O322" s="818">
        <f t="shared" ca="1" si="182"/>
        <v>0</v>
      </c>
      <c r="P322" s="818">
        <f t="shared" ca="1" si="182"/>
        <v>0</v>
      </c>
      <c r="Q322" s="818">
        <f t="shared" ca="1" si="182"/>
        <v>0</v>
      </c>
      <c r="R322" s="818">
        <f t="shared" ca="1" si="182"/>
        <v>0</v>
      </c>
      <c r="S322" s="818">
        <f t="shared" ca="1" si="182"/>
        <v>0</v>
      </c>
      <c r="T322" s="818">
        <f t="shared" ca="1" si="182"/>
        <v>0</v>
      </c>
      <c r="U322" s="818">
        <f t="shared" ca="1" si="182"/>
        <v>0</v>
      </c>
      <c r="V322" s="818">
        <f t="shared" ca="1" si="182"/>
        <v>0</v>
      </c>
      <c r="W322" s="818">
        <f t="shared" ca="1" si="182"/>
        <v>0</v>
      </c>
      <c r="X322" s="818">
        <f t="shared" ca="1" si="182"/>
        <v>0</v>
      </c>
      <c r="Y322" s="818">
        <f t="shared" ca="1" si="182"/>
        <v>0</v>
      </c>
      <c r="Z322" s="818">
        <f t="shared" ca="1" si="182"/>
        <v>0</v>
      </c>
      <c r="AA322" s="818">
        <f t="shared" ca="1" si="182"/>
        <v>0</v>
      </c>
      <c r="AB322" s="818">
        <f t="shared" ca="1" si="182"/>
        <v>0</v>
      </c>
      <c r="AC322" s="818">
        <f t="shared" ca="1" si="182"/>
        <v>0</v>
      </c>
      <c r="AD322" s="818">
        <f t="shared" ca="1" si="182"/>
        <v>0</v>
      </c>
      <c r="AE322" s="818">
        <f t="shared" ca="1" si="182"/>
        <v>0</v>
      </c>
      <c r="AF322" s="818">
        <f t="shared" ca="1" si="182"/>
        <v>0</v>
      </c>
      <c r="AG322" s="818"/>
    </row>
    <row r="323" spans="1:33">
      <c r="A323" s="665"/>
      <c r="B323" s="665"/>
      <c r="C323" s="665"/>
      <c r="D323" s="665"/>
      <c r="E323" s="665"/>
      <c r="F323" s="665"/>
      <c r="G323" s="665"/>
      <c r="H323" s="665"/>
      <c r="I323" s="665"/>
      <c r="J323" s="665"/>
      <c r="K323" s="665"/>
      <c r="L323" s="665"/>
      <c r="M323" s="665"/>
      <c r="N323" s="665"/>
      <c r="O323" s="665"/>
      <c r="P323" s="665"/>
      <c r="Q323" s="665"/>
      <c r="R323" s="665"/>
      <c r="S323" s="665"/>
      <c r="T323" s="665"/>
      <c r="U323" s="665"/>
      <c r="V323" s="665"/>
      <c r="W323" s="665"/>
      <c r="X323" s="665"/>
      <c r="Y323" s="665"/>
      <c r="Z323" s="665"/>
      <c r="AA323" s="665"/>
      <c r="AB323" s="665"/>
      <c r="AC323" s="665"/>
      <c r="AD323" s="665"/>
      <c r="AE323" s="665"/>
      <c r="AF323" s="665"/>
      <c r="AG323" s="818"/>
    </row>
    <row r="324" spans="1:33">
      <c r="A324" s="665"/>
      <c r="B324" s="665"/>
      <c r="C324" s="665"/>
      <c r="D324" s="665"/>
      <c r="E324" s="665"/>
      <c r="F324" s="665"/>
      <c r="G324" s="665"/>
      <c r="H324" s="665"/>
      <c r="I324" s="665"/>
      <c r="J324" s="665"/>
      <c r="K324" s="665"/>
      <c r="L324" s="665"/>
      <c r="M324" s="665"/>
      <c r="N324" s="665"/>
      <c r="O324" s="665"/>
      <c r="P324" s="665"/>
      <c r="Q324" s="665"/>
      <c r="R324" s="665"/>
      <c r="S324" s="665"/>
      <c r="T324" s="665"/>
      <c r="U324" s="665"/>
      <c r="V324" s="665"/>
      <c r="W324" s="665"/>
      <c r="X324" s="665"/>
      <c r="Y324" s="665"/>
      <c r="Z324" s="665"/>
      <c r="AA324" s="665"/>
      <c r="AB324" s="665"/>
      <c r="AC324" s="665"/>
      <c r="AD324" s="665"/>
      <c r="AE324" s="665"/>
      <c r="AF324" s="665"/>
      <c r="AG324" s="818"/>
    </row>
    <row r="325" spans="1:33">
      <c r="I325" s="848"/>
      <c r="J325" s="848"/>
      <c r="K325" s="848"/>
      <c r="L325" s="848"/>
      <c r="M325" s="848"/>
      <c r="N325" s="848"/>
      <c r="O325" s="848"/>
      <c r="P325" s="848"/>
      <c r="Q325" s="848"/>
      <c r="R325" s="848"/>
      <c r="S325" s="848"/>
      <c r="T325" s="848"/>
      <c r="U325" s="848"/>
      <c r="V325" s="848"/>
      <c r="W325" s="848"/>
      <c r="X325" s="848"/>
      <c r="Y325" s="848"/>
      <c r="Z325" s="848"/>
      <c r="AA325" s="848"/>
      <c r="AB325" s="848"/>
      <c r="AC325" s="848"/>
      <c r="AD325" s="848"/>
      <c r="AE325" s="848"/>
      <c r="AF325" s="848"/>
    </row>
    <row r="326" spans="1:33" ht="12" thickBot="1">
      <c r="A326" s="665"/>
      <c r="B326" s="665"/>
      <c r="C326" s="665"/>
      <c r="D326" s="665"/>
      <c r="E326" s="665"/>
      <c r="F326" s="665"/>
      <c r="G326" s="665"/>
      <c r="H326" s="665"/>
      <c r="I326" s="665"/>
      <c r="J326" s="665"/>
      <c r="K326" s="665"/>
      <c r="L326" s="665"/>
      <c r="M326" s="665"/>
      <c r="N326" s="665"/>
      <c r="O326" s="665"/>
      <c r="P326" s="665"/>
      <c r="Q326" s="665"/>
      <c r="R326" s="665"/>
      <c r="S326" s="665"/>
      <c r="T326" s="665"/>
      <c r="U326" s="665"/>
      <c r="V326" s="665"/>
      <c r="W326" s="665"/>
      <c r="X326" s="665"/>
      <c r="Y326" s="665"/>
      <c r="Z326" s="665"/>
      <c r="AA326" s="665"/>
      <c r="AB326" s="665"/>
      <c r="AC326" s="665"/>
      <c r="AD326" s="665"/>
      <c r="AE326" s="665"/>
      <c r="AF326" s="665"/>
      <c r="AG326" s="818"/>
    </row>
    <row r="327" spans="1:33" ht="12.75" thickTop="1" thickBot="1">
      <c r="A327" s="818"/>
      <c r="B327" s="818"/>
      <c r="C327" s="818"/>
      <c r="D327" s="818"/>
      <c r="E327" s="1038"/>
      <c r="F327" s="1038"/>
      <c r="G327" s="1038"/>
      <c r="H327" s="842">
        <f>H$599</f>
        <v>37802</v>
      </c>
      <c r="I327" s="842">
        <f t="shared" ref="I327:AF327" si="183">I$599</f>
        <v>37986</v>
      </c>
      <c r="J327" s="1005">
        <f t="shared" si="183"/>
        <v>38352</v>
      </c>
      <c r="K327" s="1005">
        <f t="shared" si="183"/>
        <v>38717</v>
      </c>
      <c r="L327" s="1005">
        <f t="shared" si="183"/>
        <v>39082</v>
      </c>
      <c r="M327" s="1005">
        <f t="shared" si="183"/>
        <v>39447</v>
      </c>
      <c r="N327" s="1005">
        <f t="shared" si="183"/>
        <v>39813</v>
      </c>
      <c r="O327" s="1005">
        <f t="shared" si="183"/>
        <v>40178</v>
      </c>
      <c r="P327" s="1005">
        <f t="shared" si="183"/>
        <v>40543</v>
      </c>
      <c r="Q327" s="1005">
        <f t="shared" si="183"/>
        <v>40908</v>
      </c>
      <c r="R327" s="1005">
        <f t="shared" si="183"/>
        <v>41274</v>
      </c>
      <c r="S327" s="1005">
        <f t="shared" si="183"/>
        <v>41639</v>
      </c>
      <c r="T327" s="1005">
        <f t="shared" si="183"/>
        <v>42004</v>
      </c>
      <c r="U327" s="1005">
        <f t="shared" si="183"/>
        <v>42369</v>
      </c>
      <c r="V327" s="1005">
        <f t="shared" si="183"/>
        <v>42735</v>
      </c>
      <c r="W327" s="1005">
        <f t="shared" si="183"/>
        <v>43100</v>
      </c>
      <c r="X327" s="1005">
        <f t="shared" si="183"/>
        <v>43465</v>
      </c>
      <c r="Y327" s="1005">
        <f t="shared" si="183"/>
        <v>43830</v>
      </c>
      <c r="Z327" s="1005">
        <f t="shared" si="183"/>
        <v>44196</v>
      </c>
      <c r="AA327" s="1005">
        <f t="shared" si="183"/>
        <v>44561</v>
      </c>
      <c r="AB327" s="1005">
        <f t="shared" si="183"/>
        <v>44926</v>
      </c>
      <c r="AC327" s="1005">
        <f t="shared" si="183"/>
        <v>45291</v>
      </c>
      <c r="AD327" s="1005">
        <f t="shared" si="183"/>
        <v>45657</v>
      </c>
      <c r="AE327" s="1005">
        <f t="shared" si="183"/>
        <v>46022</v>
      </c>
      <c r="AF327" s="1005">
        <f t="shared" si="183"/>
        <v>46387</v>
      </c>
      <c r="AG327" s="818"/>
    </row>
    <row r="328" spans="1:33" ht="12" thickTop="1">
      <c r="A328" s="983" t="s">
        <v>638</v>
      </c>
      <c r="B328" s="818"/>
      <c r="C328" s="818"/>
      <c r="D328" s="1006"/>
      <c r="E328" s="1006"/>
      <c r="F328" s="1006"/>
      <c r="G328" s="1006"/>
      <c r="H328" s="665"/>
      <c r="I328" s="665"/>
      <c r="J328" s="665"/>
      <c r="K328" s="665"/>
      <c r="L328" s="665"/>
      <c r="M328" s="665"/>
      <c r="N328" s="665"/>
      <c r="O328" s="665"/>
      <c r="P328" s="665"/>
      <c r="Q328" s="665"/>
      <c r="R328" s="665"/>
      <c r="S328" s="665"/>
      <c r="T328" s="665"/>
      <c r="U328" s="665"/>
      <c r="V328" s="665"/>
      <c r="W328" s="665"/>
      <c r="X328" s="665"/>
      <c r="Y328" s="665"/>
      <c r="Z328" s="665"/>
      <c r="AA328" s="665"/>
      <c r="AB328" s="665"/>
      <c r="AC328" s="665"/>
      <c r="AD328" s="665"/>
      <c r="AE328" s="665"/>
      <c r="AF328" s="665"/>
      <c r="AG328" s="818"/>
    </row>
    <row r="329" spans="1:33">
      <c r="A329" s="1016" t="s">
        <v>639</v>
      </c>
      <c r="B329" s="818"/>
      <c r="C329" s="818"/>
      <c r="D329" s="818"/>
      <c r="E329" s="818"/>
      <c r="F329" s="818"/>
      <c r="G329" s="1011"/>
      <c r="H329" s="1011"/>
      <c r="I329" s="1011"/>
      <c r="J329" s="1011"/>
      <c r="K329" s="1011"/>
      <c r="L329" s="1011"/>
      <c r="M329" s="1011"/>
      <c r="N329" s="1011"/>
      <c r="O329" s="1011"/>
      <c r="P329" s="1011"/>
      <c r="Q329" s="1011"/>
      <c r="R329" s="1011"/>
      <c r="S329" s="1011"/>
      <c r="T329" s="1011"/>
      <c r="U329" s="1011"/>
      <c r="V329" s="1011"/>
      <c r="W329" s="1011"/>
      <c r="X329" s="1011"/>
      <c r="Y329" s="1011"/>
      <c r="Z329" s="1011"/>
      <c r="AA329" s="1011"/>
      <c r="AB329" s="1011"/>
      <c r="AC329" s="1011"/>
      <c r="AD329" s="1011"/>
      <c r="AE329" s="1011"/>
      <c r="AF329" s="1011"/>
      <c r="AG329" s="818"/>
    </row>
    <row r="330" spans="1:33">
      <c r="A330" s="818" t="str">
        <f>A317</f>
        <v>Net Income</v>
      </c>
      <c r="B330" s="818"/>
      <c r="C330" s="818"/>
      <c r="D330" s="818"/>
      <c r="E330" s="818"/>
      <c r="F330" s="818"/>
      <c r="G330" s="1011"/>
      <c r="H330" s="1011"/>
      <c r="I330" s="1011">
        <f t="shared" ref="I330:Z330" ca="1" si="184">I317</f>
        <v>7277.2153285209797</v>
      </c>
      <c r="J330" s="1011">
        <f t="shared" ca="1" si="184"/>
        <v>8639.8811735896052</v>
      </c>
      <c r="K330" s="1011">
        <f t="shared" ca="1" si="184"/>
        <v>19345.105687070383</v>
      </c>
      <c r="L330" s="1011">
        <f t="shared" ca="1" si="184"/>
        <v>23592.280402982011</v>
      </c>
      <c r="M330" s="1011">
        <f t="shared" ca="1" si="184"/>
        <v>23352.750687042433</v>
      </c>
      <c r="N330" s="1011">
        <f t="shared" ca="1" si="184"/>
        <v>19576.135995363056</v>
      </c>
      <c r="O330" s="1011">
        <f t="shared" ca="1" si="184"/>
        <v>18863.505414075778</v>
      </c>
      <c r="P330" s="1011">
        <f t="shared" ca="1" si="184"/>
        <v>33075.62808538074</v>
      </c>
      <c r="Q330" s="1011">
        <f t="shared" ca="1" si="184"/>
        <v>34393.269454916895</v>
      </c>
      <c r="R330" s="1011">
        <f t="shared" ca="1" si="184"/>
        <v>36117.498544065595</v>
      </c>
      <c r="S330" s="1011">
        <f t="shared" ca="1" si="184"/>
        <v>38564.240738978609</v>
      </c>
      <c r="T330" s="1011">
        <f t="shared" ca="1" si="184"/>
        <v>33949.505892458095</v>
      </c>
      <c r="U330" s="1011">
        <f t="shared" ca="1" si="184"/>
        <v>40776.814583024076</v>
      </c>
      <c r="V330" s="1011">
        <f t="shared" ca="1" si="184"/>
        <v>36211.186295712774</v>
      </c>
      <c r="W330" s="1011">
        <f t="shared" ca="1" si="184"/>
        <v>35840.341776558256</v>
      </c>
      <c r="X330" s="1011">
        <f t="shared" ca="1" si="184"/>
        <v>36067.571742102824</v>
      </c>
      <c r="Y330" s="1011">
        <f t="shared" ca="1" si="184"/>
        <v>37584.106091729227</v>
      </c>
      <c r="Z330" s="1011">
        <f t="shared" ca="1" si="184"/>
        <v>34510.503628082522</v>
      </c>
      <c r="AA330" s="1011">
        <f t="shared" ref="AA330:AF330" ca="1" si="185">AA317</f>
        <v>34928.402306605982</v>
      </c>
      <c r="AB330" s="1011">
        <f t="shared" ca="1" si="185"/>
        <v>24454.708468299985</v>
      </c>
      <c r="AC330" s="1011">
        <f t="shared" ca="1" si="185"/>
        <v>-38198.703782627912</v>
      </c>
      <c r="AD330" s="1011">
        <f t="shared" ca="1" si="185"/>
        <v>-26501.916163709921</v>
      </c>
      <c r="AE330" s="1011">
        <f t="shared" ca="1" si="185"/>
        <v>-27031.954486984119</v>
      </c>
      <c r="AF330" s="1011">
        <f t="shared" ca="1" si="185"/>
        <v>-27572.593576723819</v>
      </c>
      <c r="AG330" s="818"/>
    </row>
    <row r="331" spans="1:33">
      <c r="A331" s="1009" t="s">
        <v>640</v>
      </c>
      <c r="B331" s="818"/>
      <c r="C331" s="818"/>
      <c r="D331" s="818"/>
      <c r="E331" s="818"/>
      <c r="F331" s="818"/>
      <c r="G331" s="1011"/>
      <c r="H331" s="1011"/>
      <c r="I331" s="1011">
        <f t="shared" ref="I331:Z331" ca="1" si="186">I292+I293+I294</f>
        <v>15762.574723984289</v>
      </c>
      <c r="J331" s="1011">
        <f t="shared" ca="1" si="186"/>
        <v>31525.149447968579</v>
      </c>
      <c r="K331" s="1011">
        <f t="shared" ca="1" si="186"/>
        <v>31525.149447968579</v>
      </c>
      <c r="L331" s="1011">
        <f t="shared" ca="1" si="186"/>
        <v>31525.149447968579</v>
      </c>
      <c r="M331" s="1011">
        <f t="shared" ca="1" si="186"/>
        <v>31525.149447968579</v>
      </c>
      <c r="N331" s="1011">
        <f t="shared" ca="1" si="186"/>
        <v>31525.149447968579</v>
      </c>
      <c r="O331" s="1011">
        <f t="shared" ca="1" si="186"/>
        <v>31525.149447968579</v>
      </c>
      <c r="P331" s="1011">
        <f t="shared" ca="1" si="186"/>
        <v>28056.345303067508</v>
      </c>
      <c r="Q331" s="1011">
        <f t="shared" ca="1" si="186"/>
        <v>24587.541158166438</v>
      </c>
      <c r="R331" s="1011">
        <f t="shared" ca="1" si="186"/>
        <v>24587.541158166438</v>
      </c>
      <c r="S331" s="1011">
        <f t="shared" ca="1" si="186"/>
        <v>24284.698487383212</v>
      </c>
      <c r="T331" s="1011">
        <f t="shared" ca="1" si="186"/>
        <v>23981.855816599989</v>
      </c>
      <c r="U331" s="1011">
        <f t="shared" ca="1" si="186"/>
        <v>23981.855816599989</v>
      </c>
      <c r="V331" s="1011">
        <f t="shared" ca="1" si="186"/>
        <v>23981.855816599989</v>
      </c>
      <c r="W331" s="1011">
        <f t="shared" ca="1" si="186"/>
        <v>23981.855816599989</v>
      </c>
      <c r="X331" s="1011">
        <f t="shared" ca="1" si="186"/>
        <v>23981.855816599989</v>
      </c>
      <c r="Y331" s="1011">
        <f t="shared" ca="1" si="186"/>
        <v>23981.855816599989</v>
      </c>
      <c r="Z331" s="1011">
        <f t="shared" ca="1" si="186"/>
        <v>23981.855816599989</v>
      </c>
      <c r="AA331" s="1011">
        <f t="shared" ref="AA331:AF331" ca="1" si="187">AA292+AA293+AA294</f>
        <v>23981.855816599989</v>
      </c>
      <c r="AB331" s="1011">
        <f t="shared" ca="1" si="187"/>
        <v>23981.855816599989</v>
      </c>
      <c r="AC331" s="1011">
        <f t="shared" ca="1" si="187"/>
        <v>11990.927908299995</v>
      </c>
      <c r="AD331" s="1011">
        <f t="shared" ca="1" si="187"/>
        <v>0</v>
      </c>
      <c r="AE331" s="1011">
        <f t="shared" ca="1" si="187"/>
        <v>0</v>
      </c>
      <c r="AF331" s="1011">
        <f t="shared" ca="1" si="187"/>
        <v>0</v>
      </c>
      <c r="AG331" s="818"/>
    </row>
    <row r="332" spans="1:33">
      <c r="A332" s="1009" t="s">
        <v>641</v>
      </c>
      <c r="B332" s="818"/>
      <c r="C332" s="818"/>
      <c r="D332" s="818"/>
      <c r="E332" s="818"/>
      <c r="F332" s="818"/>
      <c r="G332" s="1011"/>
      <c r="H332" s="1011"/>
      <c r="I332" s="1011">
        <f t="shared" ref="I332:Z332" ca="1" si="188">I676</f>
        <v>2442.9117427579563</v>
      </c>
      <c r="J332" s="1011">
        <f t="shared" ca="1" si="188"/>
        <v>4336.6569257439296</v>
      </c>
      <c r="K332" s="1011">
        <f t="shared" ca="1" si="188"/>
        <v>3277.4103940840741</v>
      </c>
      <c r="L332" s="1011">
        <f t="shared" ca="1" si="188"/>
        <v>2300.2456969808936</v>
      </c>
      <c r="M332" s="1011">
        <f t="shared" ca="1" si="188"/>
        <v>1393.4368580691353</v>
      </c>
      <c r="N332" s="1011">
        <f t="shared" ca="1" si="188"/>
        <v>556.98387734881544</v>
      </c>
      <c r="O332" s="1011">
        <f t="shared" ca="1" si="188"/>
        <v>-218.88489215111622</v>
      </c>
      <c r="P332" s="1011">
        <f t="shared" ca="1" si="188"/>
        <v>-934.16945043064334</v>
      </c>
      <c r="Q332" s="1011">
        <f t="shared" ca="1" si="188"/>
        <v>-1051.4292140830185</v>
      </c>
      <c r="R332" s="1011">
        <f t="shared" ca="1" si="188"/>
        <v>-1053.3835434772336</v>
      </c>
      <c r="S332" s="1011">
        <f t="shared" ca="1" si="188"/>
        <v>-1051.4292140830221</v>
      </c>
      <c r="T332" s="1011">
        <f t="shared" ca="1" si="188"/>
        <v>-1053.3835434772336</v>
      </c>
      <c r="U332" s="1011">
        <f t="shared" ca="1" si="188"/>
        <v>-1051.4292140830221</v>
      </c>
      <c r="V332" s="1011">
        <f t="shared" ca="1" si="188"/>
        <v>-1053.3835434772336</v>
      </c>
      <c r="W332" s="1011">
        <f t="shared" ca="1" si="188"/>
        <v>-1051.4292140830221</v>
      </c>
      <c r="X332" s="1011">
        <f t="shared" ca="1" si="188"/>
        <v>-1053.38354347723</v>
      </c>
      <c r="Y332" s="1011">
        <f t="shared" ca="1" si="188"/>
        <v>-1051.4292140830221</v>
      </c>
      <c r="Z332" s="1011">
        <f t="shared" ca="1" si="188"/>
        <v>-1053.38354347723</v>
      </c>
      <c r="AA332" s="1011">
        <f t="shared" ref="AA332:AF332" ca="1" si="189">AA676</f>
        <v>-1051.4292140830185</v>
      </c>
      <c r="AB332" s="1011">
        <f t="shared" ca="1" si="189"/>
        <v>-1053.38354347723</v>
      </c>
      <c r="AC332" s="1011">
        <f t="shared" ca="1" si="189"/>
        <v>0</v>
      </c>
      <c r="AD332" s="1011">
        <f t="shared" ca="1" si="189"/>
        <v>0</v>
      </c>
      <c r="AE332" s="1011">
        <f t="shared" ca="1" si="189"/>
        <v>0</v>
      </c>
      <c r="AF332" s="1011">
        <f t="shared" ca="1" si="189"/>
        <v>0</v>
      </c>
      <c r="AG332" s="818"/>
    </row>
    <row r="333" spans="1:33">
      <c r="A333" s="1009" t="s">
        <v>642</v>
      </c>
      <c r="B333" s="818"/>
      <c r="C333" s="818"/>
      <c r="D333" s="818"/>
      <c r="E333" s="818"/>
      <c r="F333" s="818"/>
      <c r="G333" s="1011"/>
      <c r="H333" s="1011"/>
      <c r="I333" s="1011">
        <f t="shared" ref="I333:Z333" si="190">(+I569*-1)+(I577*-1)</f>
        <v>0</v>
      </c>
      <c r="J333" s="1011">
        <f t="shared" si="190"/>
        <v>0</v>
      </c>
      <c r="K333" s="1011">
        <f t="shared" si="190"/>
        <v>0</v>
      </c>
      <c r="L333" s="1011">
        <f t="shared" si="190"/>
        <v>0</v>
      </c>
      <c r="M333" s="1011">
        <f t="shared" si="190"/>
        <v>0</v>
      </c>
      <c r="N333" s="1011">
        <f t="shared" si="190"/>
        <v>0</v>
      </c>
      <c r="O333" s="1011">
        <f t="shared" si="190"/>
        <v>0</v>
      </c>
      <c r="P333" s="1011">
        <f t="shared" si="190"/>
        <v>0</v>
      </c>
      <c r="Q333" s="1011">
        <f t="shared" si="190"/>
        <v>0</v>
      </c>
      <c r="R333" s="1011">
        <f t="shared" si="190"/>
        <v>0</v>
      </c>
      <c r="S333" s="1011">
        <f t="shared" si="190"/>
        <v>0</v>
      </c>
      <c r="T333" s="1011">
        <f t="shared" si="190"/>
        <v>0</v>
      </c>
      <c r="U333" s="1011">
        <f t="shared" si="190"/>
        <v>0</v>
      </c>
      <c r="V333" s="1011">
        <f t="shared" si="190"/>
        <v>0</v>
      </c>
      <c r="W333" s="1011">
        <f t="shared" si="190"/>
        <v>0</v>
      </c>
      <c r="X333" s="1011">
        <f t="shared" si="190"/>
        <v>0</v>
      </c>
      <c r="Y333" s="1011">
        <f t="shared" si="190"/>
        <v>0</v>
      </c>
      <c r="Z333" s="1011">
        <f t="shared" si="190"/>
        <v>0</v>
      </c>
      <c r="AA333" s="1011">
        <f t="shared" ref="AA333:AF333" si="191">(+AA569*-1)+(AA577*-1)</f>
        <v>0</v>
      </c>
      <c r="AB333" s="1011">
        <f t="shared" si="191"/>
        <v>0</v>
      </c>
      <c r="AC333" s="1011">
        <f t="shared" si="191"/>
        <v>0</v>
      </c>
      <c r="AD333" s="1011">
        <f t="shared" si="191"/>
        <v>0</v>
      </c>
      <c r="AE333" s="1011">
        <f t="shared" si="191"/>
        <v>0</v>
      </c>
      <c r="AF333" s="1011">
        <f t="shared" si="191"/>
        <v>0</v>
      </c>
      <c r="AG333" s="818"/>
    </row>
    <row r="334" spans="1:33">
      <c r="A334" s="818" t="str">
        <f>A550</f>
        <v>Increase/(Decrease) in Other Liabilities</v>
      </c>
      <c r="B334" s="818"/>
      <c r="C334" s="818"/>
      <c r="D334" s="818"/>
      <c r="E334" s="818"/>
      <c r="F334" s="818"/>
      <c r="G334" s="818"/>
      <c r="H334" s="818"/>
      <c r="I334" s="818">
        <f t="shared" ref="I334:Z334" si="192">I550</f>
        <v>0</v>
      </c>
      <c r="J334" s="818">
        <f t="shared" si="192"/>
        <v>0</v>
      </c>
      <c r="K334" s="818">
        <f t="shared" si="192"/>
        <v>0</v>
      </c>
      <c r="L334" s="818">
        <f t="shared" si="192"/>
        <v>0</v>
      </c>
      <c r="M334" s="818">
        <f t="shared" si="192"/>
        <v>0</v>
      </c>
      <c r="N334" s="818">
        <f t="shared" si="192"/>
        <v>0</v>
      </c>
      <c r="O334" s="818">
        <f t="shared" si="192"/>
        <v>0</v>
      </c>
      <c r="P334" s="818">
        <f t="shared" si="192"/>
        <v>0</v>
      </c>
      <c r="Q334" s="818">
        <f t="shared" si="192"/>
        <v>0</v>
      </c>
      <c r="R334" s="818">
        <f t="shared" si="192"/>
        <v>0</v>
      </c>
      <c r="S334" s="818">
        <f t="shared" si="192"/>
        <v>0</v>
      </c>
      <c r="T334" s="818">
        <f t="shared" si="192"/>
        <v>0</v>
      </c>
      <c r="U334" s="818">
        <f t="shared" si="192"/>
        <v>0</v>
      </c>
      <c r="V334" s="818">
        <f t="shared" si="192"/>
        <v>0</v>
      </c>
      <c r="W334" s="818">
        <f t="shared" si="192"/>
        <v>0</v>
      </c>
      <c r="X334" s="818">
        <f t="shared" si="192"/>
        <v>0</v>
      </c>
      <c r="Y334" s="818">
        <f t="shared" si="192"/>
        <v>0</v>
      </c>
      <c r="Z334" s="818">
        <f t="shared" si="192"/>
        <v>0</v>
      </c>
      <c r="AA334" s="818">
        <f t="shared" ref="AA334:AF334" si="193">AA550</f>
        <v>0</v>
      </c>
      <c r="AB334" s="818">
        <f t="shared" si="193"/>
        <v>0</v>
      </c>
      <c r="AC334" s="818">
        <f t="shared" si="193"/>
        <v>0</v>
      </c>
      <c r="AD334" s="818">
        <f t="shared" si="193"/>
        <v>0</v>
      </c>
      <c r="AE334" s="818">
        <f t="shared" si="193"/>
        <v>0</v>
      </c>
      <c r="AF334" s="818">
        <f t="shared" si="193"/>
        <v>0</v>
      </c>
      <c r="AG334" s="818"/>
    </row>
    <row r="335" spans="1:33">
      <c r="A335" s="992" t="s">
        <v>643</v>
      </c>
      <c r="B335" s="818"/>
      <c r="C335" s="818"/>
      <c r="D335" s="818"/>
      <c r="E335" s="818"/>
      <c r="F335" s="818"/>
      <c r="G335" s="1011"/>
      <c r="H335" s="1011"/>
      <c r="I335" s="1011">
        <f t="shared" ref="I335:Z335" si="194">I614</f>
        <v>0</v>
      </c>
      <c r="J335" s="1011">
        <f t="shared" si="194"/>
        <v>0</v>
      </c>
      <c r="K335" s="1011">
        <f t="shared" si="194"/>
        <v>0</v>
      </c>
      <c r="L335" s="1011">
        <f t="shared" si="194"/>
        <v>0</v>
      </c>
      <c r="M335" s="1011">
        <f t="shared" si="194"/>
        <v>0</v>
      </c>
      <c r="N335" s="1011">
        <f t="shared" si="194"/>
        <v>0</v>
      </c>
      <c r="O335" s="1011">
        <f t="shared" si="194"/>
        <v>0</v>
      </c>
      <c r="P335" s="1011">
        <f t="shared" si="194"/>
        <v>0</v>
      </c>
      <c r="Q335" s="1011">
        <f t="shared" si="194"/>
        <v>0</v>
      </c>
      <c r="R335" s="1011">
        <f t="shared" si="194"/>
        <v>0</v>
      </c>
      <c r="S335" s="1011">
        <f t="shared" si="194"/>
        <v>0</v>
      </c>
      <c r="T335" s="1011">
        <f t="shared" si="194"/>
        <v>0</v>
      </c>
      <c r="U335" s="1011">
        <f t="shared" si="194"/>
        <v>0</v>
      </c>
      <c r="V335" s="1011">
        <f t="shared" si="194"/>
        <v>0</v>
      </c>
      <c r="W335" s="1011">
        <f t="shared" si="194"/>
        <v>0</v>
      </c>
      <c r="X335" s="1011">
        <f t="shared" si="194"/>
        <v>0</v>
      </c>
      <c r="Y335" s="1011">
        <f t="shared" si="194"/>
        <v>0</v>
      </c>
      <c r="Z335" s="1011">
        <f t="shared" si="194"/>
        <v>0</v>
      </c>
      <c r="AA335" s="1011">
        <f t="shared" ref="AA335:AF335" si="195">AA614</f>
        <v>0</v>
      </c>
      <c r="AB335" s="1011">
        <f t="shared" si="195"/>
        <v>0</v>
      </c>
      <c r="AC335" s="1011">
        <f t="shared" si="195"/>
        <v>0</v>
      </c>
      <c r="AD335" s="1011">
        <f t="shared" si="195"/>
        <v>0</v>
      </c>
      <c r="AE335" s="1011">
        <f t="shared" si="195"/>
        <v>0</v>
      </c>
      <c r="AF335" s="1011">
        <f t="shared" si="195"/>
        <v>0</v>
      </c>
      <c r="AG335" s="818"/>
    </row>
    <row r="336" spans="1:33">
      <c r="A336" s="1016" t="s">
        <v>644</v>
      </c>
      <c r="B336" s="818"/>
      <c r="C336" s="818"/>
      <c r="D336" s="818"/>
      <c r="E336" s="818"/>
      <c r="F336" s="818"/>
      <c r="G336" s="1011"/>
      <c r="H336" s="1020"/>
      <c r="I336" s="1020">
        <f t="shared" ref="I336:Z336" ca="1" si="196">SUM(I330:I335)</f>
        <v>25482.701795263223</v>
      </c>
      <c r="J336" s="1020">
        <f t="shared" ca="1" si="196"/>
        <v>44501.687547302106</v>
      </c>
      <c r="K336" s="1020">
        <f t="shared" ca="1" si="196"/>
        <v>54147.665529123035</v>
      </c>
      <c r="L336" s="1020">
        <f t="shared" ca="1" si="196"/>
        <v>57417.675547931482</v>
      </c>
      <c r="M336" s="1020">
        <f t="shared" ca="1" si="196"/>
        <v>56271.336993080149</v>
      </c>
      <c r="N336" s="1020">
        <f t="shared" ca="1" si="196"/>
        <v>51658.269320680454</v>
      </c>
      <c r="O336" s="1020">
        <f t="shared" ca="1" si="196"/>
        <v>50169.769969893241</v>
      </c>
      <c r="P336" s="1020">
        <f t="shared" ca="1" si="196"/>
        <v>60197.803938017605</v>
      </c>
      <c r="Q336" s="1020">
        <f t="shared" ca="1" si="196"/>
        <v>57929.381399000311</v>
      </c>
      <c r="R336" s="1020">
        <f t="shared" ca="1" si="196"/>
        <v>59651.656158754799</v>
      </c>
      <c r="S336" s="1020">
        <f t="shared" ca="1" si="196"/>
        <v>61797.510012278799</v>
      </c>
      <c r="T336" s="1020">
        <f t="shared" ca="1" si="196"/>
        <v>56877.978165580847</v>
      </c>
      <c r="U336" s="1020">
        <f t="shared" ca="1" si="196"/>
        <v>63707.241185541046</v>
      </c>
      <c r="V336" s="1020">
        <f t="shared" ca="1" si="196"/>
        <v>59139.658568835526</v>
      </c>
      <c r="W336" s="1020">
        <f t="shared" ca="1" si="196"/>
        <v>58770.76837907522</v>
      </c>
      <c r="X336" s="1020">
        <f t="shared" ca="1" si="196"/>
        <v>58996.044015225576</v>
      </c>
      <c r="Y336" s="1020">
        <f t="shared" ca="1" si="196"/>
        <v>60514.532694246198</v>
      </c>
      <c r="Z336" s="1020">
        <f t="shared" ca="1" si="196"/>
        <v>57438.975901205282</v>
      </c>
      <c r="AA336" s="1020">
        <f t="shared" ref="AA336:AF336" ca="1" si="197">SUM(AA330:AA335)</f>
        <v>57858.828909122953</v>
      </c>
      <c r="AB336" s="1020">
        <f t="shared" ca="1" si="197"/>
        <v>47383.180741422737</v>
      </c>
      <c r="AC336" s="1020">
        <f t="shared" ca="1" si="197"/>
        <v>-26207.775874327919</v>
      </c>
      <c r="AD336" s="1020">
        <f t="shared" ca="1" si="197"/>
        <v>-26501.916163709921</v>
      </c>
      <c r="AE336" s="1020">
        <f t="shared" ca="1" si="197"/>
        <v>-27031.954486984119</v>
      </c>
      <c r="AF336" s="1020">
        <f t="shared" ca="1" si="197"/>
        <v>-27572.593576723819</v>
      </c>
      <c r="AG336" s="818"/>
    </row>
    <row r="337" spans="1:33">
      <c r="A337" s="818"/>
      <c r="B337" s="818"/>
      <c r="C337" s="818"/>
      <c r="D337" s="818"/>
      <c r="E337" s="818"/>
      <c r="F337" s="818"/>
      <c r="G337" s="1011"/>
      <c r="H337" s="1011"/>
      <c r="I337" s="1011"/>
      <c r="J337" s="1011"/>
      <c r="K337" s="1011"/>
      <c r="L337" s="1011"/>
      <c r="M337" s="1011"/>
      <c r="N337" s="1011"/>
      <c r="O337" s="1011"/>
      <c r="P337" s="1011"/>
      <c r="Q337" s="1011"/>
      <c r="R337" s="1011"/>
      <c r="S337" s="1011"/>
      <c r="T337" s="1011"/>
      <c r="U337" s="1011"/>
      <c r="V337" s="1011"/>
      <c r="W337" s="1011"/>
      <c r="X337" s="1011"/>
      <c r="Y337" s="1011"/>
      <c r="Z337" s="1011"/>
      <c r="AA337" s="1011"/>
      <c r="AB337" s="1011"/>
      <c r="AC337" s="1011"/>
      <c r="AD337" s="1011"/>
      <c r="AE337" s="1011"/>
      <c r="AF337" s="1011"/>
      <c r="AG337" s="818"/>
    </row>
    <row r="338" spans="1:33">
      <c r="A338" s="1016" t="s">
        <v>645</v>
      </c>
      <c r="B338" s="818"/>
      <c r="C338" s="818"/>
      <c r="D338" s="818"/>
      <c r="E338" s="818"/>
      <c r="F338" s="818"/>
      <c r="G338" s="1011"/>
      <c r="H338" s="1011"/>
      <c r="I338" s="1011"/>
      <c r="J338" s="1011"/>
      <c r="K338" s="1011"/>
      <c r="L338" s="1011"/>
      <c r="M338" s="1011"/>
      <c r="N338" s="1011"/>
      <c r="O338" s="1011"/>
      <c r="P338" s="1011"/>
      <c r="Q338" s="1011"/>
      <c r="R338" s="1011"/>
      <c r="S338" s="1011"/>
      <c r="T338" s="1011"/>
      <c r="U338" s="1011"/>
      <c r="V338" s="1011"/>
      <c r="W338" s="1011"/>
      <c r="X338" s="1011"/>
      <c r="Y338" s="1011"/>
      <c r="Z338" s="1011"/>
      <c r="AA338" s="1011"/>
      <c r="AB338" s="1011"/>
      <c r="AC338" s="1011"/>
      <c r="AD338" s="1011"/>
      <c r="AE338" s="1011"/>
      <c r="AF338" s="1011"/>
      <c r="AG338" s="818"/>
    </row>
    <row r="339" spans="1:33">
      <c r="A339" s="818" t="s">
        <v>518</v>
      </c>
      <c r="B339" s="818"/>
      <c r="C339" s="818"/>
      <c r="D339" s="818"/>
      <c r="E339" s="818"/>
      <c r="F339" s="818"/>
      <c r="G339" s="1011"/>
      <c r="H339" s="1011">
        <f ca="1">H458+H459+H460</f>
        <v>528200.37436061481</v>
      </c>
      <c r="I339" s="1011">
        <f ca="1">I729-H339</f>
        <v>0</v>
      </c>
      <c r="J339" s="1011">
        <f t="shared" ref="J339:Z339" si="198">J729</f>
        <v>0</v>
      </c>
      <c r="K339" s="1011">
        <f t="shared" si="198"/>
        <v>0</v>
      </c>
      <c r="L339" s="1011">
        <f t="shared" si="198"/>
        <v>0</v>
      </c>
      <c r="M339" s="1011">
        <f t="shared" si="198"/>
        <v>0</v>
      </c>
      <c r="N339" s="1011">
        <f t="shared" si="198"/>
        <v>0</v>
      </c>
      <c r="O339" s="1011">
        <f t="shared" si="198"/>
        <v>0</v>
      </c>
      <c r="P339" s="1011">
        <f t="shared" si="198"/>
        <v>0</v>
      </c>
      <c r="Q339" s="1011">
        <f t="shared" si="198"/>
        <v>0</v>
      </c>
      <c r="R339" s="1011">
        <f t="shared" si="198"/>
        <v>0</v>
      </c>
      <c r="S339" s="1011">
        <f t="shared" si="198"/>
        <v>0</v>
      </c>
      <c r="T339" s="1011">
        <f t="shared" si="198"/>
        <v>0</v>
      </c>
      <c r="U339" s="1011">
        <f t="shared" si="198"/>
        <v>0</v>
      </c>
      <c r="V339" s="1011">
        <f t="shared" si="198"/>
        <v>0</v>
      </c>
      <c r="W339" s="1011">
        <f t="shared" si="198"/>
        <v>0</v>
      </c>
      <c r="X339" s="1011">
        <f t="shared" si="198"/>
        <v>0</v>
      </c>
      <c r="Y339" s="1011">
        <f t="shared" si="198"/>
        <v>0</v>
      </c>
      <c r="Z339" s="1011">
        <f t="shared" si="198"/>
        <v>0</v>
      </c>
      <c r="AA339" s="1011">
        <f t="shared" ref="AA339:AF339" si="199">AA729</f>
        <v>0</v>
      </c>
      <c r="AB339" s="1011">
        <f t="shared" si="199"/>
        <v>0</v>
      </c>
      <c r="AC339" s="1011">
        <f t="shared" si="199"/>
        <v>0</v>
      </c>
      <c r="AD339" s="1011">
        <f t="shared" si="199"/>
        <v>0</v>
      </c>
      <c r="AE339" s="1011">
        <f t="shared" si="199"/>
        <v>0</v>
      </c>
      <c r="AF339" s="1011">
        <f t="shared" si="199"/>
        <v>0</v>
      </c>
      <c r="AG339" s="818"/>
    </row>
    <row r="340" spans="1:33">
      <c r="A340" s="818" t="str">
        <f>B463</f>
        <v>Transaction Fees</v>
      </c>
      <c r="B340" s="818"/>
      <c r="C340" s="818"/>
      <c r="D340" s="818"/>
      <c r="E340" s="818"/>
      <c r="F340" s="818"/>
      <c r="G340" s="1011"/>
      <c r="H340" s="1011">
        <f ca="1">H463</f>
        <v>6056.8534156644673</v>
      </c>
      <c r="I340" s="1039">
        <v>0</v>
      </c>
      <c r="J340" s="1039">
        <v>0</v>
      </c>
      <c r="K340" s="1040">
        <f>+Debt!Q19</f>
        <v>0</v>
      </c>
      <c r="L340" s="1011"/>
      <c r="M340" s="1011"/>
      <c r="N340" s="1011"/>
      <c r="O340" s="1011"/>
      <c r="P340" s="1011"/>
      <c r="Q340" s="1011"/>
      <c r="R340" s="1011"/>
      <c r="S340" s="1011"/>
      <c r="T340" s="1011"/>
      <c r="U340" s="1011"/>
      <c r="V340" s="1011"/>
      <c r="W340" s="1011"/>
      <c r="X340" s="1011"/>
      <c r="Y340" s="1011"/>
      <c r="Z340" s="1011"/>
      <c r="AA340" s="1011"/>
      <c r="AB340" s="1011"/>
      <c r="AC340" s="1011"/>
      <c r="AD340" s="1011"/>
      <c r="AE340" s="1011"/>
      <c r="AF340" s="1011"/>
      <c r="AG340" s="818"/>
    </row>
    <row r="341" spans="1:33">
      <c r="A341" s="1009" t="s">
        <v>646</v>
      </c>
      <c r="B341" s="818"/>
      <c r="C341" s="818"/>
      <c r="D341" s="1041"/>
      <c r="E341" s="1041"/>
      <c r="F341" s="1041"/>
      <c r="G341" s="1011"/>
      <c r="H341" s="1011">
        <f ca="1">+H546-G546</f>
        <v>7045.7034223582523</v>
      </c>
      <c r="I341" s="1011">
        <f t="shared" ref="I341:Z341" ca="1" si="200">I546-H546</f>
        <v>0</v>
      </c>
      <c r="J341" s="1011">
        <f t="shared" ca="1" si="200"/>
        <v>0</v>
      </c>
      <c r="K341" s="1011">
        <f t="shared" ca="1" si="200"/>
        <v>1391.4175436161604</v>
      </c>
      <c r="L341" s="1011">
        <f t="shared" ca="1" si="200"/>
        <v>510.97211069030891</v>
      </c>
      <c r="M341" s="1011">
        <f t="shared" ca="1" si="200"/>
        <v>-109.51963471736599</v>
      </c>
      <c r="N341" s="1011">
        <f t="shared" ca="1" si="200"/>
        <v>-597.47137329303587</v>
      </c>
      <c r="O341" s="1011">
        <f t="shared" ca="1" si="200"/>
        <v>-175.8547044345105</v>
      </c>
      <c r="P341" s="1011">
        <f t="shared" ca="1" si="200"/>
        <v>1527.7652985035384</v>
      </c>
      <c r="Q341" s="1011">
        <f t="shared" ca="1" si="200"/>
        <v>-214.74581381501412</v>
      </c>
      <c r="R341" s="1011">
        <f t="shared" ca="1" si="200"/>
        <v>110.87796594371684</v>
      </c>
      <c r="S341" s="1011">
        <f t="shared" ca="1" si="200"/>
        <v>164.26386398027171</v>
      </c>
      <c r="T341" s="1011">
        <f t="shared" ca="1" si="200"/>
        <v>-802.83782455222899</v>
      </c>
      <c r="U341" s="1011">
        <f t="shared" ca="1" si="200"/>
        <v>778.27141734793986</v>
      </c>
      <c r="V341" s="1011">
        <f t="shared" ca="1" si="200"/>
        <v>-827.40417330486162</v>
      </c>
      <c r="W341" s="1011">
        <f t="shared" ca="1" si="200"/>
        <v>-259.11734164535665</v>
      </c>
      <c r="X341" s="1011">
        <f t="shared" ca="1" si="200"/>
        <v>-195.44138783816743</v>
      </c>
      <c r="Y341" s="1011">
        <f t="shared" ca="1" si="200"/>
        <v>94.101094020385062</v>
      </c>
      <c r="Z341" s="1011">
        <f t="shared" ca="1" si="200"/>
        <v>-384.64734082261566</v>
      </c>
      <c r="AA341" s="1011">
        <f t="shared" ref="AA341:AF341" ca="1" si="201">AA546-Z546</f>
        <v>115.70055274007245</v>
      </c>
      <c r="AB341" s="1011">
        <f t="shared" ca="1" si="201"/>
        <v>-1367.2525909081305</v>
      </c>
      <c r="AC341" s="1011">
        <f t="shared" ca="1" si="201"/>
        <v>-6804.7810838693586</v>
      </c>
      <c r="AD341" s="1011">
        <f t="shared" si="201"/>
        <v>0</v>
      </c>
      <c r="AE341" s="1011">
        <f t="shared" si="201"/>
        <v>0</v>
      </c>
      <c r="AF341" s="1011">
        <f t="shared" si="201"/>
        <v>0</v>
      </c>
      <c r="AG341" s="818"/>
    </row>
    <row r="342" spans="1:33">
      <c r="A342" s="818" t="str">
        <f>A559</f>
        <v>Increase/(Decrease) in Other Assets (DS Reserve)</v>
      </c>
      <c r="B342" s="818"/>
      <c r="C342" s="818"/>
      <c r="D342" s="818"/>
      <c r="E342" s="818"/>
      <c r="F342" s="818"/>
      <c r="G342" s="818"/>
      <c r="H342" s="818">
        <f>+H559-G559</f>
        <v>0</v>
      </c>
      <c r="I342" s="818">
        <f t="shared" ref="I342:Z342" ca="1" si="202">I559</f>
        <v>7097.8750964817973</v>
      </c>
      <c r="J342" s="818">
        <f t="shared" ca="1" si="202"/>
        <v>11870.392720567563</v>
      </c>
      <c r="K342" s="818">
        <f t="shared" ca="1" si="202"/>
        <v>-22.004435766786628</v>
      </c>
      <c r="L342" s="818">
        <f t="shared" ca="1" si="202"/>
        <v>-24.067351619924011</v>
      </c>
      <c r="M342" s="818">
        <f t="shared" ca="1" si="202"/>
        <v>-26.323665834297572</v>
      </c>
      <c r="N342" s="818">
        <f t="shared" ca="1" si="202"/>
        <v>-28.791509506256261</v>
      </c>
      <c r="O342" s="818">
        <f t="shared" ca="1" si="202"/>
        <v>-31.490713522471196</v>
      </c>
      <c r="P342" s="818">
        <f t="shared" ca="1" si="202"/>
        <v>-34.442967915205372</v>
      </c>
      <c r="Q342" s="818">
        <f t="shared" ca="1" si="202"/>
        <v>-37.671996157248941</v>
      </c>
      <c r="R342" s="818">
        <f t="shared" ca="1" si="202"/>
        <v>-41.203745796996373</v>
      </c>
      <c r="S342" s="818">
        <f t="shared" ca="1" si="202"/>
        <v>-45.066596965458302</v>
      </c>
      <c r="T342" s="818">
        <f t="shared" ca="1" si="202"/>
        <v>-49.291590430977521</v>
      </c>
      <c r="U342" s="818">
        <f t="shared" ca="1" si="202"/>
        <v>-53.912677033873479</v>
      </c>
      <c r="V342" s="818">
        <f t="shared" ca="1" si="202"/>
        <v>-58.966990505803551</v>
      </c>
      <c r="W342" s="818">
        <f t="shared" ca="1" si="202"/>
        <v>-64.495145865726954</v>
      </c>
      <c r="X342" s="818">
        <f t="shared" ca="1" si="202"/>
        <v>-70.541565790637833</v>
      </c>
      <c r="Y342" s="818">
        <f t="shared" ca="1" si="202"/>
        <v>-18379.996864337696</v>
      </c>
      <c r="Z342" s="818">
        <f t="shared" ca="1" si="202"/>
        <v>1.7053025658242404E-12</v>
      </c>
      <c r="AA342" s="818">
        <f t="shared" ref="AA342:AF342" ca="1" si="203">AA559</f>
        <v>0</v>
      </c>
      <c r="AB342" s="818">
        <f t="shared" ca="1" si="203"/>
        <v>0</v>
      </c>
      <c r="AC342" s="818">
        <f t="shared" ca="1" si="203"/>
        <v>0</v>
      </c>
      <c r="AD342" s="818">
        <f t="shared" ca="1" si="203"/>
        <v>0</v>
      </c>
      <c r="AE342" s="818">
        <f t="shared" ca="1" si="203"/>
        <v>0</v>
      </c>
      <c r="AF342" s="818">
        <f t="shared" ca="1" si="203"/>
        <v>0</v>
      </c>
      <c r="AG342" s="818"/>
    </row>
    <row r="343" spans="1:33">
      <c r="A343" s="1009" t="s">
        <v>647</v>
      </c>
      <c r="B343" s="1009" t="str">
        <f>B451</f>
        <v>Purchase Term Loan</v>
      </c>
      <c r="C343" s="818"/>
      <c r="D343" s="818"/>
      <c r="E343" s="818"/>
      <c r="F343" s="818"/>
      <c r="G343" s="1011"/>
      <c r="H343" s="1011"/>
      <c r="I343" s="1011">
        <f t="shared" ref="I343:Z343" ca="1" si="204">I564</f>
        <v>0</v>
      </c>
      <c r="J343" s="1011">
        <f t="shared" ca="1" si="204"/>
        <v>10014.463211196358</v>
      </c>
      <c r="K343" s="1011">
        <f t="shared" ca="1" si="204"/>
        <v>10953.319137246017</v>
      </c>
      <c r="L343" s="1011">
        <f t="shared" ca="1" si="204"/>
        <v>11980.192806362837</v>
      </c>
      <c r="M343" s="1011">
        <f t="shared" ca="1" si="204"/>
        <v>13103.335881959341</v>
      </c>
      <c r="N343" s="1011">
        <f t="shared" ca="1" si="204"/>
        <v>14331.773620893036</v>
      </c>
      <c r="O343" s="1011">
        <f t="shared" ca="1" si="204"/>
        <v>15675.377397851757</v>
      </c>
      <c r="P343" s="1011">
        <f t="shared" ca="1" si="204"/>
        <v>17144.944028900358</v>
      </c>
      <c r="Q343" s="1011">
        <f t="shared" ca="1" si="204"/>
        <v>18752.282531609766</v>
      </c>
      <c r="R343" s="1011">
        <f t="shared" ca="1" si="204"/>
        <v>20510.309018948181</v>
      </c>
      <c r="S343" s="1011">
        <f t="shared" ca="1" si="204"/>
        <v>22433.150489474574</v>
      </c>
      <c r="T343" s="1011">
        <f t="shared" ca="1" si="204"/>
        <v>24536.258347862815</v>
      </c>
      <c r="U343" s="1011">
        <f t="shared" ca="1" si="204"/>
        <v>26836.532567974959</v>
      </c>
      <c r="V343" s="1011">
        <f t="shared" ca="1" si="204"/>
        <v>29352.457496222614</v>
      </c>
      <c r="W343" s="1011">
        <f t="shared" ca="1" si="204"/>
        <v>32104.250386493481</v>
      </c>
      <c r="X343" s="1011">
        <f t="shared" ca="1" si="204"/>
        <v>35114.023860227237</v>
      </c>
      <c r="Y343" s="1011">
        <f t="shared" ca="1" si="204"/>
        <v>0</v>
      </c>
      <c r="Z343" s="1011">
        <f t="shared" ca="1" si="204"/>
        <v>0</v>
      </c>
      <c r="AA343" s="1011">
        <f t="shared" ref="AA343:AF343" ca="1" si="205">AA564</f>
        <v>0</v>
      </c>
      <c r="AB343" s="1011">
        <f t="shared" ca="1" si="205"/>
        <v>0</v>
      </c>
      <c r="AC343" s="1011">
        <f t="shared" ca="1" si="205"/>
        <v>0</v>
      </c>
      <c r="AD343" s="1011">
        <f t="shared" si="205"/>
        <v>0</v>
      </c>
      <c r="AE343" s="1011">
        <f t="shared" si="205"/>
        <v>0</v>
      </c>
      <c r="AF343" s="1011">
        <f t="shared" si="205"/>
        <v>0</v>
      </c>
      <c r="AG343" s="818"/>
    </row>
    <row r="344" spans="1:33">
      <c r="A344" s="1009" t="s">
        <v>647</v>
      </c>
      <c r="B344" s="1009" t="str">
        <f>B452</f>
        <v>Scrubber Term Loan</v>
      </c>
      <c r="C344" s="818"/>
      <c r="D344" s="818"/>
      <c r="E344" s="818"/>
      <c r="F344" s="818"/>
      <c r="G344" s="1011"/>
      <c r="H344" s="1011"/>
      <c r="I344" s="1011">
        <f t="shared" ref="I344:Z344" si="206">I572</f>
        <v>0</v>
      </c>
      <c r="J344" s="1011">
        <f t="shared" si="206"/>
        <v>0</v>
      </c>
      <c r="K344" s="1011">
        <f t="shared" si="206"/>
        <v>0</v>
      </c>
      <c r="L344" s="1011">
        <f t="shared" si="206"/>
        <v>0</v>
      </c>
      <c r="M344" s="1011">
        <f t="shared" si="206"/>
        <v>0</v>
      </c>
      <c r="N344" s="1011">
        <f t="shared" si="206"/>
        <v>0</v>
      </c>
      <c r="O344" s="1011">
        <f t="shared" si="206"/>
        <v>0</v>
      </c>
      <c r="P344" s="1011">
        <f t="shared" si="206"/>
        <v>0</v>
      </c>
      <c r="Q344" s="1011">
        <f t="shared" si="206"/>
        <v>0</v>
      </c>
      <c r="R344" s="1011">
        <f t="shared" si="206"/>
        <v>0</v>
      </c>
      <c r="S344" s="1011">
        <f t="shared" si="206"/>
        <v>0</v>
      </c>
      <c r="T344" s="1011">
        <f t="shared" si="206"/>
        <v>0</v>
      </c>
      <c r="U344" s="1011">
        <f t="shared" si="206"/>
        <v>0</v>
      </c>
      <c r="V344" s="1011">
        <f t="shared" si="206"/>
        <v>0</v>
      </c>
      <c r="W344" s="1011">
        <f t="shared" si="206"/>
        <v>0</v>
      </c>
      <c r="X344" s="1011">
        <f t="shared" si="206"/>
        <v>0</v>
      </c>
      <c r="Y344" s="1011">
        <f t="shared" si="206"/>
        <v>0</v>
      </c>
      <c r="Z344" s="1011">
        <f t="shared" si="206"/>
        <v>0</v>
      </c>
      <c r="AA344" s="1011">
        <f t="shared" ref="AA344:AF344" si="207">AA572</f>
        <v>0</v>
      </c>
      <c r="AB344" s="1011">
        <f t="shared" si="207"/>
        <v>0</v>
      </c>
      <c r="AC344" s="1011">
        <f t="shared" si="207"/>
        <v>0</v>
      </c>
      <c r="AD344" s="1011">
        <f t="shared" si="207"/>
        <v>0</v>
      </c>
      <c r="AE344" s="1011">
        <f t="shared" si="207"/>
        <v>0</v>
      </c>
      <c r="AF344" s="1011">
        <f t="shared" si="207"/>
        <v>0</v>
      </c>
      <c r="AG344" s="818"/>
    </row>
    <row r="345" spans="1:33">
      <c r="A345" s="1009" t="s">
        <v>648</v>
      </c>
      <c r="B345" s="818"/>
      <c r="C345" s="818"/>
      <c r="D345" s="818"/>
      <c r="E345" s="818"/>
      <c r="F345" s="818"/>
      <c r="G345" s="1011"/>
      <c r="H345" s="1011">
        <f>H462+H461</f>
        <v>0</v>
      </c>
      <c r="I345" s="1011">
        <f t="shared" ref="I345:AF345" ca="1" si="208">+I322+I579</f>
        <v>0</v>
      </c>
      <c r="J345" s="1011">
        <f t="shared" ca="1" si="208"/>
        <v>0</v>
      </c>
      <c r="K345" s="1011">
        <f t="shared" ca="1" si="208"/>
        <v>0</v>
      </c>
      <c r="L345" s="1011">
        <f t="shared" ca="1" si="208"/>
        <v>0</v>
      </c>
      <c r="M345" s="1011">
        <f t="shared" ca="1" si="208"/>
        <v>0</v>
      </c>
      <c r="N345" s="1011">
        <f t="shared" ca="1" si="208"/>
        <v>0</v>
      </c>
      <c r="O345" s="1011">
        <f t="shared" ca="1" si="208"/>
        <v>0</v>
      </c>
      <c r="P345" s="1011">
        <f t="shared" ca="1" si="208"/>
        <v>0</v>
      </c>
      <c r="Q345" s="1011">
        <f t="shared" ca="1" si="208"/>
        <v>0</v>
      </c>
      <c r="R345" s="1011">
        <f t="shared" ca="1" si="208"/>
        <v>0</v>
      </c>
      <c r="S345" s="1011">
        <f t="shared" ca="1" si="208"/>
        <v>0</v>
      </c>
      <c r="T345" s="1011">
        <f t="shared" ca="1" si="208"/>
        <v>0</v>
      </c>
      <c r="U345" s="1011">
        <f t="shared" ca="1" si="208"/>
        <v>0</v>
      </c>
      <c r="V345" s="1011">
        <f t="shared" ca="1" si="208"/>
        <v>0</v>
      </c>
      <c r="W345" s="1011">
        <f t="shared" ca="1" si="208"/>
        <v>0</v>
      </c>
      <c r="X345" s="1011">
        <f t="shared" ca="1" si="208"/>
        <v>0</v>
      </c>
      <c r="Y345" s="1011">
        <f t="shared" ca="1" si="208"/>
        <v>0</v>
      </c>
      <c r="Z345" s="1011">
        <f t="shared" ca="1" si="208"/>
        <v>0</v>
      </c>
      <c r="AA345" s="1011">
        <f t="shared" ca="1" si="208"/>
        <v>0</v>
      </c>
      <c r="AB345" s="1011">
        <f t="shared" ca="1" si="208"/>
        <v>0</v>
      </c>
      <c r="AC345" s="1011">
        <f t="shared" ca="1" si="208"/>
        <v>0</v>
      </c>
      <c r="AD345" s="1011">
        <f t="shared" ca="1" si="208"/>
        <v>0</v>
      </c>
      <c r="AE345" s="1011">
        <f t="shared" ca="1" si="208"/>
        <v>0</v>
      </c>
      <c r="AF345" s="1011">
        <f t="shared" ca="1" si="208"/>
        <v>0</v>
      </c>
      <c r="AG345" s="818"/>
    </row>
    <row r="346" spans="1:33">
      <c r="A346" s="1016" t="s">
        <v>649</v>
      </c>
      <c r="B346" s="818"/>
      <c r="C346" s="818"/>
      <c r="D346" s="818"/>
      <c r="E346" s="818"/>
      <c r="F346" s="818"/>
      <c r="G346" s="1011"/>
      <c r="H346" s="1020">
        <f t="shared" ref="H346:Z346" ca="1" si="209">SUM(H339:H345)</f>
        <v>541302.93119863758</v>
      </c>
      <c r="I346" s="1020">
        <f t="shared" ca="1" si="209"/>
        <v>7097.8750964817973</v>
      </c>
      <c r="J346" s="1020">
        <f t="shared" ca="1" si="209"/>
        <v>21884.855931763923</v>
      </c>
      <c r="K346" s="1020">
        <f t="shared" ca="1" si="209"/>
        <v>12322.732245095391</v>
      </c>
      <c r="L346" s="1020">
        <f t="shared" ca="1" si="209"/>
        <v>12467.097565433221</v>
      </c>
      <c r="M346" s="1020">
        <f t="shared" ca="1" si="209"/>
        <v>12967.492581407678</v>
      </c>
      <c r="N346" s="1020">
        <f t="shared" ca="1" si="209"/>
        <v>13705.510738093744</v>
      </c>
      <c r="O346" s="1020">
        <f t="shared" ca="1" si="209"/>
        <v>15468.031979894775</v>
      </c>
      <c r="P346" s="1020">
        <f t="shared" ca="1" si="209"/>
        <v>18638.266359488691</v>
      </c>
      <c r="Q346" s="1020">
        <f t="shared" ca="1" si="209"/>
        <v>18499.864721637503</v>
      </c>
      <c r="R346" s="1020">
        <f t="shared" ca="1" si="209"/>
        <v>20579.983239094901</v>
      </c>
      <c r="S346" s="1020">
        <f t="shared" ca="1" si="209"/>
        <v>22552.347756489387</v>
      </c>
      <c r="T346" s="1020">
        <f t="shared" ca="1" si="209"/>
        <v>23684.128932879608</v>
      </c>
      <c r="U346" s="1020">
        <f t="shared" ca="1" si="209"/>
        <v>27560.891308289025</v>
      </c>
      <c r="V346" s="1020">
        <f t="shared" ca="1" si="209"/>
        <v>28466.086332411949</v>
      </c>
      <c r="W346" s="1020">
        <f t="shared" ca="1" si="209"/>
        <v>31780.637898982397</v>
      </c>
      <c r="X346" s="1020">
        <f t="shared" ca="1" si="209"/>
        <v>34848.040906598428</v>
      </c>
      <c r="Y346" s="1020">
        <f t="shared" ca="1" si="209"/>
        <v>-18285.895770317311</v>
      </c>
      <c r="Z346" s="1020">
        <f t="shared" ca="1" si="209"/>
        <v>-384.64734082261396</v>
      </c>
      <c r="AA346" s="1020">
        <f t="shared" ref="AA346:AF346" ca="1" si="210">SUM(AA339:AA345)</f>
        <v>115.70055274007245</v>
      </c>
      <c r="AB346" s="1020">
        <f t="shared" ca="1" si="210"/>
        <v>-1367.2525909081305</v>
      </c>
      <c r="AC346" s="1020">
        <f t="shared" ca="1" si="210"/>
        <v>-6804.7810838693586</v>
      </c>
      <c r="AD346" s="1020">
        <f t="shared" ca="1" si="210"/>
        <v>0</v>
      </c>
      <c r="AE346" s="1020">
        <f t="shared" ca="1" si="210"/>
        <v>0</v>
      </c>
      <c r="AF346" s="1020">
        <f t="shared" ca="1" si="210"/>
        <v>0</v>
      </c>
      <c r="AG346" s="818"/>
    </row>
    <row r="347" spans="1:33">
      <c r="A347" s="818"/>
      <c r="B347" s="818"/>
      <c r="C347" s="818"/>
      <c r="D347" s="818"/>
      <c r="E347" s="818"/>
      <c r="F347" s="818"/>
      <c r="G347" s="818"/>
      <c r="H347" s="818"/>
      <c r="I347" s="818"/>
      <c r="J347" s="818"/>
      <c r="K347" s="818"/>
      <c r="L347" s="818"/>
      <c r="M347" s="818"/>
      <c r="N347" s="818"/>
      <c r="O347" s="818"/>
      <c r="P347" s="818"/>
      <c r="Q347" s="818"/>
      <c r="R347" s="818"/>
      <c r="S347" s="818"/>
      <c r="T347" s="818"/>
      <c r="U347" s="818"/>
      <c r="V347" s="818"/>
      <c r="W347" s="818"/>
      <c r="X347" s="818"/>
      <c r="Y347" s="818"/>
      <c r="Z347" s="818"/>
      <c r="AA347" s="818"/>
      <c r="AB347" s="818"/>
      <c r="AC347" s="818"/>
      <c r="AD347" s="818"/>
      <c r="AE347" s="818"/>
      <c r="AF347" s="818"/>
      <c r="AG347" s="818"/>
    </row>
    <row r="348" spans="1:33">
      <c r="A348" s="1016" t="s">
        <v>650</v>
      </c>
      <c r="B348" s="818"/>
      <c r="C348" s="818"/>
      <c r="D348" s="818"/>
      <c r="E348" s="818"/>
      <c r="F348" s="818"/>
      <c r="G348" s="1011"/>
      <c r="H348" s="1011">
        <f t="shared" ref="H348:AF348" ca="1" si="211">H336-H346</f>
        <v>-541302.93119863758</v>
      </c>
      <c r="I348" s="1011">
        <f t="shared" ca="1" si="211"/>
        <v>18384.826698781428</v>
      </c>
      <c r="J348" s="1011">
        <f t="shared" ca="1" si="211"/>
        <v>22616.831615538184</v>
      </c>
      <c r="K348" s="1011">
        <f t="shared" ca="1" si="211"/>
        <v>41824.933284027647</v>
      </c>
      <c r="L348" s="1011">
        <f t="shared" ca="1" si="211"/>
        <v>44950.57798249826</v>
      </c>
      <c r="M348" s="1011">
        <f t="shared" ca="1" si="211"/>
        <v>43303.844411672471</v>
      </c>
      <c r="N348" s="1011">
        <f t="shared" ca="1" si="211"/>
        <v>37952.758582586714</v>
      </c>
      <c r="O348" s="1011">
        <f t="shared" ca="1" si="211"/>
        <v>34701.737989998466</v>
      </c>
      <c r="P348" s="1011">
        <f t="shared" ca="1" si="211"/>
        <v>41559.537578528914</v>
      </c>
      <c r="Q348" s="1011">
        <f t="shared" ca="1" si="211"/>
        <v>39429.516677362808</v>
      </c>
      <c r="R348" s="1011">
        <f t="shared" ca="1" si="211"/>
        <v>39071.672919659897</v>
      </c>
      <c r="S348" s="1011">
        <f t="shared" ca="1" si="211"/>
        <v>39245.162255789415</v>
      </c>
      <c r="T348" s="1011">
        <f t="shared" ca="1" si="211"/>
        <v>33193.849232701235</v>
      </c>
      <c r="U348" s="1011">
        <f t="shared" ca="1" si="211"/>
        <v>36146.349877252025</v>
      </c>
      <c r="V348" s="1011">
        <f t="shared" ca="1" si="211"/>
        <v>30673.572236423577</v>
      </c>
      <c r="W348" s="1011">
        <f t="shared" ca="1" si="211"/>
        <v>26990.130480092823</v>
      </c>
      <c r="X348" s="1011">
        <f t="shared" ca="1" si="211"/>
        <v>24148.003108627148</v>
      </c>
      <c r="Y348" s="1011">
        <f t="shared" ca="1" si="211"/>
        <v>78800.428464563505</v>
      </c>
      <c r="Z348" s="1011">
        <f t="shared" ca="1" si="211"/>
        <v>57823.623242027898</v>
      </c>
      <c r="AA348" s="1011">
        <f t="shared" ca="1" si="211"/>
        <v>57743.128356382877</v>
      </c>
      <c r="AB348" s="1011">
        <f t="shared" ca="1" si="211"/>
        <v>48750.433332330867</v>
      </c>
      <c r="AC348" s="1011">
        <f t="shared" ca="1" si="211"/>
        <v>-19402.994790458561</v>
      </c>
      <c r="AD348" s="1011">
        <f t="shared" ca="1" si="211"/>
        <v>-26501.916163709921</v>
      </c>
      <c r="AE348" s="1011">
        <f t="shared" ca="1" si="211"/>
        <v>-27031.954486984119</v>
      </c>
      <c r="AF348" s="1011">
        <f t="shared" ca="1" si="211"/>
        <v>-27572.593576723819</v>
      </c>
      <c r="AG348" s="818"/>
    </row>
    <row r="349" spans="1:33">
      <c r="A349" s="818"/>
      <c r="B349" s="818"/>
      <c r="C349" s="818"/>
      <c r="D349" s="818"/>
      <c r="E349" s="818"/>
      <c r="F349" s="818"/>
      <c r="G349" s="1011"/>
      <c r="H349" s="1011"/>
      <c r="I349" s="1011"/>
      <c r="J349" s="1011"/>
      <c r="K349" s="1011"/>
      <c r="L349" s="1011"/>
      <c r="M349" s="1011"/>
      <c r="N349" s="1011"/>
      <c r="O349" s="1011"/>
      <c r="P349" s="1011"/>
      <c r="Q349" s="1011"/>
      <c r="R349" s="1011"/>
      <c r="S349" s="1011"/>
      <c r="T349" s="1011"/>
      <c r="U349" s="1011"/>
      <c r="V349" s="1011"/>
      <c r="W349" s="1011"/>
      <c r="X349" s="1011"/>
      <c r="Y349" s="1011"/>
      <c r="Z349" s="1011"/>
      <c r="AA349" s="1011"/>
      <c r="AB349" s="1011"/>
      <c r="AC349" s="1011"/>
      <c r="AD349" s="1011"/>
      <c r="AE349" s="1011"/>
      <c r="AF349" s="1011"/>
      <c r="AG349" s="818"/>
    </row>
    <row r="350" spans="1:33">
      <c r="A350" s="1016" t="s">
        <v>651</v>
      </c>
      <c r="B350" s="818"/>
      <c r="C350" s="818"/>
      <c r="D350" s="818"/>
      <c r="E350" s="818"/>
      <c r="F350" s="818"/>
      <c r="G350" s="1011"/>
      <c r="H350" s="1011"/>
      <c r="I350" s="1011"/>
      <c r="J350" s="1011"/>
      <c r="K350" s="1011"/>
      <c r="L350" s="1011"/>
      <c r="M350" s="1011"/>
      <c r="N350" s="1011"/>
      <c r="O350" s="1011"/>
      <c r="P350" s="1011"/>
      <c r="Q350" s="1011"/>
      <c r="R350" s="1011"/>
      <c r="S350" s="1011"/>
      <c r="T350" s="1011"/>
      <c r="U350" s="1011"/>
      <c r="V350" s="1011"/>
      <c r="W350" s="1011"/>
      <c r="X350" s="1011"/>
      <c r="Y350" s="1011"/>
      <c r="Z350" s="1011"/>
      <c r="AA350" s="1011"/>
      <c r="AB350" s="1011"/>
      <c r="AC350" s="1011"/>
      <c r="AD350" s="1011"/>
      <c r="AE350" s="1011"/>
      <c r="AF350" s="1011"/>
      <c r="AG350" s="818"/>
    </row>
    <row r="351" spans="1:33">
      <c r="A351" s="818" t="str">
        <f>B451</f>
        <v>Purchase Term Loan</v>
      </c>
      <c r="B351" s="818"/>
      <c r="C351" s="818"/>
      <c r="D351" s="818"/>
      <c r="E351" s="818"/>
      <c r="F351" s="818"/>
      <c r="G351" s="1011"/>
      <c r="H351" s="1011">
        <f ca="1">H451</f>
        <v>302842.67078322335</v>
      </c>
      <c r="I351" s="1011">
        <f>-I565</f>
        <v>0</v>
      </c>
      <c r="J351" s="1011">
        <f t="shared" ref="J351:Z351" si="212">-J565</f>
        <v>0</v>
      </c>
      <c r="K351" s="1011">
        <f t="shared" si="212"/>
        <v>0</v>
      </c>
      <c r="L351" s="1011">
        <f t="shared" si="212"/>
        <v>0</v>
      </c>
      <c r="M351" s="1011">
        <f t="shared" si="212"/>
        <v>0</v>
      </c>
      <c r="N351" s="1011">
        <f t="shared" si="212"/>
        <v>0</v>
      </c>
      <c r="O351" s="1011">
        <f t="shared" si="212"/>
        <v>0</v>
      </c>
      <c r="P351" s="1011">
        <f t="shared" si="212"/>
        <v>0</v>
      </c>
      <c r="Q351" s="1011">
        <f t="shared" si="212"/>
        <v>0</v>
      </c>
      <c r="R351" s="1011">
        <f t="shared" si="212"/>
        <v>0</v>
      </c>
      <c r="S351" s="1011">
        <f t="shared" si="212"/>
        <v>0</v>
      </c>
      <c r="T351" s="1011">
        <f t="shared" si="212"/>
        <v>0</v>
      </c>
      <c r="U351" s="1011">
        <f t="shared" si="212"/>
        <v>0</v>
      </c>
      <c r="V351" s="1011">
        <f t="shared" si="212"/>
        <v>0</v>
      </c>
      <c r="W351" s="1011">
        <f t="shared" si="212"/>
        <v>0</v>
      </c>
      <c r="X351" s="1011">
        <f t="shared" si="212"/>
        <v>0</v>
      </c>
      <c r="Y351" s="1011">
        <f t="shared" si="212"/>
        <v>0</v>
      </c>
      <c r="Z351" s="1011">
        <f t="shared" si="212"/>
        <v>0</v>
      </c>
      <c r="AA351" s="1011">
        <f t="shared" ref="AA351:AF351" si="213">-AA565</f>
        <v>0</v>
      </c>
      <c r="AB351" s="1011">
        <f t="shared" si="213"/>
        <v>0</v>
      </c>
      <c r="AC351" s="1011">
        <f t="shared" si="213"/>
        <v>0</v>
      </c>
      <c r="AD351" s="1011">
        <f t="shared" si="213"/>
        <v>0</v>
      </c>
      <c r="AE351" s="1011">
        <f t="shared" si="213"/>
        <v>0</v>
      </c>
      <c r="AF351" s="1011">
        <f t="shared" si="213"/>
        <v>0</v>
      </c>
      <c r="AG351" s="818"/>
    </row>
    <row r="352" spans="1:33">
      <c r="A352" s="818" t="str">
        <f>B452</f>
        <v>Scrubber Term Loan</v>
      </c>
      <c r="B352" s="818"/>
      <c r="C352" s="818"/>
      <c r="D352" s="818"/>
      <c r="E352" s="818"/>
      <c r="F352" s="818"/>
      <c r="G352" s="1011"/>
      <c r="H352" s="1011">
        <f>H452</f>
        <v>0</v>
      </c>
      <c r="I352" s="1011">
        <f>-I573</f>
        <v>0</v>
      </c>
      <c r="J352" s="1011">
        <f t="shared" ref="J352:Z352" si="214">-J573</f>
        <v>0</v>
      </c>
      <c r="K352" s="1011">
        <f t="shared" si="214"/>
        <v>0</v>
      </c>
      <c r="L352" s="1011">
        <f t="shared" si="214"/>
        <v>0</v>
      </c>
      <c r="M352" s="1011">
        <f t="shared" si="214"/>
        <v>0</v>
      </c>
      <c r="N352" s="1011">
        <f t="shared" si="214"/>
        <v>0</v>
      </c>
      <c r="O352" s="1011">
        <f t="shared" si="214"/>
        <v>0</v>
      </c>
      <c r="P352" s="1011">
        <f t="shared" si="214"/>
        <v>0</v>
      </c>
      <c r="Q352" s="1011">
        <f t="shared" si="214"/>
        <v>0</v>
      </c>
      <c r="R352" s="1011">
        <f t="shared" si="214"/>
        <v>0</v>
      </c>
      <c r="S352" s="1011">
        <f t="shared" si="214"/>
        <v>0</v>
      </c>
      <c r="T352" s="1011">
        <f t="shared" si="214"/>
        <v>0</v>
      </c>
      <c r="U352" s="1011">
        <f t="shared" si="214"/>
        <v>0</v>
      </c>
      <c r="V352" s="1011">
        <f t="shared" si="214"/>
        <v>0</v>
      </c>
      <c r="W352" s="1011">
        <f t="shared" si="214"/>
        <v>0</v>
      </c>
      <c r="X352" s="1011">
        <f t="shared" si="214"/>
        <v>0</v>
      </c>
      <c r="Y352" s="1011">
        <f t="shared" si="214"/>
        <v>0</v>
      </c>
      <c r="Z352" s="1011">
        <f t="shared" si="214"/>
        <v>0</v>
      </c>
      <c r="AA352" s="1011">
        <f t="shared" ref="AA352:AF352" si="215">-AA573</f>
        <v>0</v>
      </c>
      <c r="AB352" s="1011">
        <f t="shared" si="215"/>
        <v>0</v>
      </c>
      <c r="AC352" s="1011">
        <f t="shared" si="215"/>
        <v>0</v>
      </c>
      <c r="AD352" s="1011">
        <f t="shared" si="215"/>
        <v>0</v>
      </c>
      <c r="AE352" s="1011">
        <f t="shared" si="215"/>
        <v>0</v>
      </c>
      <c r="AF352" s="1011">
        <f t="shared" si="215"/>
        <v>0</v>
      </c>
      <c r="AG352" s="818"/>
    </row>
    <row r="353" spans="1:58">
      <c r="A353" s="818" t="str">
        <f>B453</f>
        <v>Common Stock</v>
      </c>
      <c r="B353" s="818"/>
      <c r="C353" s="818"/>
      <c r="D353" s="818"/>
      <c r="E353" s="818"/>
      <c r="F353" s="818"/>
      <c r="G353" s="1011"/>
      <c r="H353" s="1011">
        <f ca="1">H453</f>
        <v>238460.26041541412</v>
      </c>
      <c r="I353" s="1011">
        <f t="shared" ref="I353:Z353" si="216">I453</f>
        <v>0</v>
      </c>
      <c r="J353" s="1011">
        <f t="shared" si="216"/>
        <v>0</v>
      </c>
      <c r="K353" s="1011">
        <f t="shared" si="216"/>
        <v>0</v>
      </c>
      <c r="L353" s="1011">
        <f t="shared" si="216"/>
        <v>0</v>
      </c>
      <c r="M353" s="1011">
        <f t="shared" si="216"/>
        <v>0</v>
      </c>
      <c r="N353" s="1011">
        <f t="shared" si="216"/>
        <v>0</v>
      </c>
      <c r="O353" s="1011">
        <f t="shared" si="216"/>
        <v>0</v>
      </c>
      <c r="P353" s="1011">
        <f t="shared" si="216"/>
        <v>0</v>
      </c>
      <c r="Q353" s="1011">
        <f t="shared" si="216"/>
        <v>0</v>
      </c>
      <c r="R353" s="1011">
        <f t="shared" si="216"/>
        <v>0</v>
      </c>
      <c r="S353" s="1011">
        <f t="shared" si="216"/>
        <v>0</v>
      </c>
      <c r="T353" s="1011">
        <f>T453</f>
        <v>0</v>
      </c>
      <c r="U353" s="1011">
        <f t="shared" si="216"/>
        <v>0</v>
      </c>
      <c r="V353" s="1011">
        <f t="shared" si="216"/>
        <v>0</v>
      </c>
      <c r="W353" s="1011">
        <f t="shared" si="216"/>
        <v>0</v>
      </c>
      <c r="X353" s="1011">
        <f t="shared" si="216"/>
        <v>0</v>
      </c>
      <c r="Y353" s="1011">
        <f t="shared" si="216"/>
        <v>0</v>
      </c>
      <c r="Z353" s="1011">
        <f t="shared" si="216"/>
        <v>0</v>
      </c>
      <c r="AA353" s="1011">
        <f t="shared" ref="AA353:AF353" si="217">AA453</f>
        <v>0</v>
      </c>
      <c r="AB353" s="1011">
        <f t="shared" si="217"/>
        <v>0</v>
      </c>
      <c r="AC353" s="1011">
        <f t="shared" si="217"/>
        <v>0</v>
      </c>
      <c r="AD353" s="1011">
        <f t="shared" si="217"/>
        <v>0</v>
      </c>
      <c r="AE353" s="1011">
        <f t="shared" si="217"/>
        <v>0</v>
      </c>
      <c r="AF353" s="1011">
        <f t="shared" si="217"/>
        <v>0</v>
      </c>
      <c r="AG353" s="818"/>
    </row>
    <row r="354" spans="1:58">
      <c r="A354" s="1016" t="s">
        <v>652</v>
      </c>
      <c r="B354" s="818"/>
      <c r="C354" s="818"/>
      <c r="D354" s="818"/>
      <c r="E354" s="818"/>
      <c r="F354" s="818"/>
      <c r="G354" s="818"/>
      <c r="H354" s="1028">
        <f t="shared" ref="H354:Z354" ca="1" si="218">SUM(H351:H353)</f>
        <v>541302.93119863747</v>
      </c>
      <c r="I354" s="1028">
        <f t="shared" si="218"/>
        <v>0</v>
      </c>
      <c r="J354" s="1028">
        <f t="shared" si="218"/>
        <v>0</v>
      </c>
      <c r="K354" s="1028">
        <f t="shared" si="218"/>
        <v>0</v>
      </c>
      <c r="L354" s="1028">
        <f t="shared" si="218"/>
        <v>0</v>
      </c>
      <c r="M354" s="1028">
        <f t="shared" si="218"/>
        <v>0</v>
      </c>
      <c r="N354" s="1028">
        <f t="shared" si="218"/>
        <v>0</v>
      </c>
      <c r="O354" s="1028">
        <f t="shared" si="218"/>
        <v>0</v>
      </c>
      <c r="P354" s="1028">
        <f t="shared" si="218"/>
        <v>0</v>
      </c>
      <c r="Q354" s="1028">
        <f t="shared" si="218"/>
        <v>0</v>
      </c>
      <c r="R354" s="1028">
        <f t="shared" si="218"/>
        <v>0</v>
      </c>
      <c r="S354" s="1028">
        <f t="shared" si="218"/>
        <v>0</v>
      </c>
      <c r="T354" s="1028">
        <f t="shared" si="218"/>
        <v>0</v>
      </c>
      <c r="U354" s="1028">
        <f t="shared" si="218"/>
        <v>0</v>
      </c>
      <c r="V354" s="1028">
        <f t="shared" si="218"/>
        <v>0</v>
      </c>
      <c r="W354" s="1028">
        <f t="shared" si="218"/>
        <v>0</v>
      </c>
      <c r="X354" s="1028">
        <f t="shared" si="218"/>
        <v>0</v>
      </c>
      <c r="Y354" s="1028">
        <f t="shared" si="218"/>
        <v>0</v>
      </c>
      <c r="Z354" s="1028">
        <f t="shared" si="218"/>
        <v>0</v>
      </c>
      <c r="AA354" s="1028">
        <f t="shared" ref="AA354:AF354" si="219">SUM(AA351:AA353)</f>
        <v>0</v>
      </c>
      <c r="AB354" s="1028">
        <f t="shared" si="219"/>
        <v>0</v>
      </c>
      <c r="AC354" s="1028">
        <f t="shared" si="219"/>
        <v>0</v>
      </c>
      <c r="AD354" s="1028">
        <f t="shared" si="219"/>
        <v>0</v>
      </c>
      <c r="AE354" s="1028">
        <f t="shared" si="219"/>
        <v>0</v>
      </c>
      <c r="AF354" s="1028">
        <f t="shared" si="219"/>
        <v>0</v>
      </c>
      <c r="AG354" s="818"/>
    </row>
    <row r="355" spans="1:58">
      <c r="A355" s="818"/>
      <c r="B355" s="818"/>
      <c r="C355" s="818"/>
      <c r="D355" s="818"/>
      <c r="E355" s="818"/>
      <c r="F355" s="818"/>
      <c r="G355" s="818"/>
      <c r="H355" s="818"/>
      <c r="I355" s="818"/>
      <c r="J355" s="818"/>
      <c r="K355" s="818"/>
      <c r="L355" s="818"/>
      <c r="M355" s="818"/>
      <c r="N355" s="818"/>
      <c r="O355" s="818"/>
      <c r="P355" s="818"/>
      <c r="Q355" s="818"/>
      <c r="R355" s="818"/>
      <c r="S355" s="818"/>
      <c r="T355" s="818"/>
      <c r="U355" s="818"/>
      <c r="V355" s="818"/>
      <c r="W355" s="818"/>
      <c r="X355" s="818"/>
      <c r="Y355" s="818"/>
      <c r="Z355" s="818"/>
      <c r="AA355" s="818"/>
      <c r="AB355" s="818"/>
      <c r="AC355" s="818"/>
      <c r="AD355" s="818"/>
      <c r="AE355" s="818"/>
      <c r="AF355" s="818"/>
      <c r="AG355" s="818"/>
    </row>
    <row r="356" spans="1:58">
      <c r="A356" s="1009" t="s">
        <v>653</v>
      </c>
      <c r="B356" s="818"/>
      <c r="C356" s="818"/>
      <c r="D356" s="818"/>
      <c r="E356" s="818"/>
      <c r="F356" s="818"/>
      <c r="G356" s="1011"/>
      <c r="H356" s="1011">
        <v>0</v>
      </c>
      <c r="I356" s="1011">
        <f t="shared" ref="I356:Z356" ca="1" si="220">-I415-I416</f>
        <v>0</v>
      </c>
      <c r="J356" s="1011">
        <f t="shared" ca="1" si="220"/>
        <v>0</v>
      </c>
      <c r="K356" s="1011">
        <f t="shared" ca="1" si="220"/>
        <v>0</v>
      </c>
      <c r="L356" s="1011">
        <f t="shared" ca="1" si="220"/>
        <v>0</v>
      </c>
      <c r="M356" s="1011">
        <f t="shared" ca="1" si="220"/>
        <v>0</v>
      </c>
      <c r="N356" s="1011">
        <f t="shared" ca="1" si="220"/>
        <v>0</v>
      </c>
      <c r="O356" s="1011">
        <f t="shared" ca="1" si="220"/>
        <v>0</v>
      </c>
      <c r="P356" s="1011">
        <f t="shared" ca="1" si="220"/>
        <v>0</v>
      </c>
      <c r="Q356" s="1011">
        <f t="shared" ca="1" si="220"/>
        <v>0</v>
      </c>
      <c r="R356" s="1011">
        <f t="shared" ca="1" si="220"/>
        <v>0</v>
      </c>
      <c r="S356" s="1011">
        <f t="shared" ca="1" si="220"/>
        <v>0</v>
      </c>
      <c r="T356" s="1011">
        <f t="shared" ca="1" si="220"/>
        <v>0</v>
      </c>
      <c r="U356" s="1011">
        <f t="shared" ca="1" si="220"/>
        <v>0</v>
      </c>
      <c r="V356" s="1011">
        <f t="shared" ca="1" si="220"/>
        <v>0</v>
      </c>
      <c r="W356" s="1011">
        <f t="shared" ca="1" si="220"/>
        <v>0</v>
      </c>
      <c r="X356" s="1011">
        <f t="shared" ca="1" si="220"/>
        <v>0</v>
      </c>
      <c r="Y356" s="1011">
        <f t="shared" ca="1" si="220"/>
        <v>0</v>
      </c>
      <c r="Z356" s="1011">
        <f t="shared" ca="1" si="220"/>
        <v>0</v>
      </c>
      <c r="AA356" s="1011">
        <f t="shared" ref="AA356:AF356" ca="1" si="221">-AA415-AA416</f>
        <v>0</v>
      </c>
      <c r="AB356" s="1011">
        <f t="shared" ca="1" si="221"/>
        <v>0</v>
      </c>
      <c r="AC356" s="1011">
        <f t="shared" ca="1" si="221"/>
        <v>0</v>
      </c>
      <c r="AD356" s="1011">
        <f t="shared" ca="1" si="221"/>
        <v>0</v>
      </c>
      <c r="AE356" s="1011">
        <f t="shared" ca="1" si="221"/>
        <v>0</v>
      </c>
      <c r="AF356" s="1011">
        <f t="shared" ca="1" si="221"/>
        <v>0</v>
      </c>
      <c r="AG356" s="818"/>
    </row>
    <row r="357" spans="1:58">
      <c r="A357" s="1009" t="s">
        <v>654</v>
      </c>
      <c r="B357" s="818"/>
      <c r="C357" s="818"/>
      <c r="D357" s="818"/>
      <c r="E357" s="818"/>
      <c r="F357" s="818"/>
      <c r="G357" s="818"/>
      <c r="H357" s="818">
        <f t="shared" ref="H357:Z357" ca="1" si="222">-H348-H354-H356</f>
        <v>1.1641532182693481E-10</v>
      </c>
      <c r="I357" s="818">
        <f t="shared" ca="1" si="222"/>
        <v>-18384.826698781428</v>
      </c>
      <c r="J357" s="818">
        <f t="shared" ca="1" si="222"/>
        <v>-22616.831615538184</v>
      </c>
      <c r="K357" s="818">
        <f t="shared" ca="1" si="222"/>
        <v>-41824.933284027647</v>
      </c>
      <c r="L357" s="818">
        <f t="shared" ca="1" si="222"/>
        <v>-44950.57798249826</v>
      </c>
      <c r="M357" s="818">
        <f t="shared" ca="1" si="222"/>
        <v>-43303.844411672471</v>
      </c>
      <c r="N357" s="818">
        <f t="shared" ca="1" si="222"/>
        <v>-37952.758582586714</v>
      </c>
      <c r="O357" s="818">
        <f t="shared" ca="1" si="222"/>
        <v>-34701.737989998466</v>
      </c>
      <c r="P357" s="818">
        <f t="shared" ca="1" si="222"/>
        <v>-41559.537578528914</v>
      </c>
      <c r="Q357" s="818">
        <f t="shared" ca="1" si="222"/>
        <v>-39429.516677362808</v>
      </c>
      <c r="R357" s="818">
        <f t="shared" ca="1" si="222"/>
        <v>-39071.672919659897</v>
      </c>
      <c r="S357" s="818">
        <f t="shared" ca="1" si="222"/>
        <v>-39245.162255789415</v>
      </c>
      <c r="T357" s="818">
        <f t="shared" ca="1" si="222"/>
        <v>-33193.849232701235</v>
      </c>
      <c r="U357" s="818">
        <f t="shared" ca="1" si="222"/>
        <v>-36146.349877252025</v>
      </c>
      <c r="V357" s="818">
        <f t="shared" ca="1" si="222"/>
        <v>-30673.572236423577</v>
      </c>
      <c r="W357" s="818">
        <f t="shared" ca="1" si="222"/>
        <v>-26990.130480092823</v>
      </c>
      <c r="X357" s="818">
        <f t="shared" ca="1" si="222"/>
        <v>-24148.003108627148</v>
      </c>
      <c r="Y357" s="818">
        <f t="shared" ca="1" si="222"/>
        <v>-78800.428464563505</v>
      </c>
      <c r="Z357" s="818">
        <f t="shared" ca="1" si="222"/>
        <v>-57823.623242027898</v>
      </c>
      <c r="AA357" s="818">
        <f t="shared" ref="AA357:AF357" ca="1" si="223">-AA348-AA354-AA356</f>
        <v>-57743.128356382877</v>
      </c>
      <c r="AB357" s="818">
        <f t="shared" ca="1" si="223"/>
        <v>-48750.433332330867</v>
      </c>
      <c r="AC357" s="818">
        <f t="shared" ca="1" si="223"/>
        <v>19402.994790458561</v>
      </c>
      <c r="AD357" s="818">
        <f t="shared" ca="1" si="223"/>
        <v>26501.916163709921</v>
      </c>
      <c r="AE357" s="818">
        <f t="shared" ca="1" si="223"/>
        <v>27031.954486984119</v>
      </c>
      <c r="AF357" s="818">
        <f t="shared" ca="1" si="223"/>
        <v>27572.593576723819</v>
      </c>
      <c r="AG357" s="818"/>
    </row>
    <row r="358" spans="1:58">
      <c r="A358" s="1016" t="s">
        <v>655</v>
      </c>
      <c r="B358" s="818"/>
      <c r="C358" s="818"/>
      <c r="D358" s="818"/>
      <c r="E358" s="818"/>
      <c r="F358" s="818"/>
      <c r="G358" s="996"/>
      <c r="H358" s="1020">
        <f t="shared" ref="H358:Z358" ca="1" si="224">H354+H356+H357</f>
        <v>541302.93119863758</v>
      </c>
      <c r="I358" s="1020">
        <f t="shared" ca="1" si="224"/>
        <v>-18384.826698781428</v>
      </c>
      <c r="J358" s="1020">
        <f t="shared" ca="1" si="224"/>
        <v>-22616.831615538184</v>
      </c>
      <c r="K358" s="1020">
        <f t="shared" ca="1" si="224"/>
        <v>-41824.933284027647</v>
      </c>
      <c r="L358" s="1020">
        <f t="shared" ca="1" si="224"/>
        <v>-44950.57798249826</v>
      </c>
      <c r="M358" s="1020">
        <f t="shared" ca="1" si="224"/>
        <v>-43303.844411672471</v>
      </c>
      <c r="N358" s="1020">
        <f t="shared" ca="1" si="224"/>
        <v>-37952.758582586714</v>
      </c>
      <c r="O358" s="1020">
        <f t="shared" ca="1" si="224"/>
        <v>-34701.737989998466</v>
      </c>
      <c r="P358" s="1020">
        <f t="shared" ca="1" si="224"/>
        <v>-41559.537578528914</v>
      </c>
      <c r="Q358" s="1020">
        <f t="shared" ca="1" si="224"/>
        <v>-39429.516677362808</v>
      </c>
      <c r="R358" s="1020">
        <f t="shared" ca="1" si="224"/>
        <v>-39071.672919659897</v>
      </c>
      <c r="S358" s="1020">
        <f t="shared" ca="1" si="224"/>
        <v>-39245.162255789415</v>
      </c>
      <c r="T358" s="1020">
        <f t="shared" ca="1" si="224"/>
        <v>-33193.849232701235</v>
      </c>
      <c r="U358" s="1020">
        <f t="shared" ca="1" si="224"/>
        <v>-36146.349877252025</v>
      </c>
      <c r="V358" s="1020">
        <f t="shared" ca="1" si="224"/>
        <v>-30673.572236423577</v>
      </c>
      <c r="W358" s="1020">
        <f t="shared" ca="1" si="224"/>
        <v>-26990.130480092823</v>
      </c>
      <c r="X358" s="1020">
        <f t="shared" ca="1" si="224"/>
        <v>-24148.003108627148</v>
      </c>
      <c r="Y358" s="1020">
        <f t="shared" ca="1" si="224"/>
        <v>-78800.428464563505</v>
      </c>
      <c r="Z358" s="1020">
        <f t="shared" ca="1" si="224"/>
        <v>-57823.623242027898</v>
      </c>
      <c r="AA358" s="1020">
        <f t="shared" ref="AA358:AF358" ca="1" si="225">AA354+AA356+AA357</f>
        <v>-57743.128356382877</v>
      </c>
      <c r="AB358" s="1020">
        <f t="shared" ca="1" si="225"/>
        <v>-48750.433332330867</v>
      </c>
      <c r="AC358" s="1020">
        <f t="shared" ca="1" si="225"/>
        <v>19402.994790458561</v>
      </c>
      <c r="AD358" s="1020">
        <f t="shared" ca="1" si="225"/>
        <v>26501.916163709921</v>
      </c>
      <c r="AE358" s="1020">
        <f t="shared" ca="1" si="225"/>
        <v>27031.954486984119</v>
      </c>
      <c r="AF358" s="1020">
        <f t="shared" ca="1" si="225"/>
        <v>27572.593576723819</v>
      </c>
      <c r="AG358" s="818"/>
    </row>
    <row r="359" spans="1:58">
      <c r="A359" s="818"/>
      <c r="B359" s="818"/>
      <c r="C359" s="818"/>
      <c r="D359" s="818"/>
      <c r="E359" s="818"/>
      <c r="F359" s="818"/>
      <c r="G359" s="996"/>
      <c r="H359" s="1011"/>
      <c r="I359" s="1011"/>
      <c r="J359" s="1011"/>
      <c r="K359" s="1011"/>
      <c r="L359" s="1011"/>
      <c r="M359" s="1011"/>
      <c r="N359" s="1011"/>
      <c r="O359" s="1011"/>
      <c r="P359" s="1011"/>
      <c r="Q359" s="1011"/>
      <c r="R359" s="1011"/>
      <c r="S359" s="1011"/>
      <c r="T359" s="1011"/>
      <c r="U359" s="1011"/>
      <c r="V359" s="1011"/>
      <c r="W359" s="1011"/>
      <c r="X359" s="1011"/>
      <c r="Y359" s="1011"/>
      <c r="Z359" s="1011"/>
      <c r="AA359" s="1011"/>
      <c r="AB359" s="1011"/>
      <c r="AC359" s="1011"/>
      <c r="AD359" s="1011"/>
      <c r="AE359" s="1011"/>
      <c r="AF359" s="1011"/>
      <c r="AG359" s="818"/>
    </row>
    <row r="360" spans="1:58">
      <c r="A360" s="1016" t="s">
        <v>656</v>
      </c>
      <c r="B360" s="818"/>
      <c r="C360" s="818"/>
      <c r="D360" s="818"/>
      <c r="E360" s="818"/>
      <c r="F360" s="818"/>
      <c r="G360" s="996"/>
      <c r="H360" s="1011"/>
      <c r="I360" s="1011"/>
      <c r="J360" s="1011"/>
      <c r="K360" s="1011"/>
      <c r="L360" s="1011"/>
      <c r="M360" s="1011"/>
      <c r="N360" s="1011"/>
      <c r="O360" s="1011"/>
      <c r="P360" s="1011"/>
      <c r="Q360" s="1011"/>
      <c r="R360" s="1011"/>
      <c r="S360" s="1011"/>
      <c r="T360" s="1011"/>
      <c r="U360" s="1011"/>
      <c r="V360" s="1011"/>
      <c r="W360" s="1011"/>
      <c r="X360" s="1011"/>
      <c r="Y360" s="1011"/>
      <c r="Z360" s="1011"/>
      <c r="AA360" s="1011"/>
      <c r="AB360" s="1011"/>
      <c r="AC360" s="1011"/>
      <c r="AD360" s="1011"/>
      <c r="AE360" s="1011"/>
      <c r="AF360" s="1011"/>
      <c r="AG360" s="818"/>
    </row>
    <row r="361" spans="1:58">
      <c r="A361" s="1009" t="s">
        <v>657</v>
      </c>
      <c r="B361" s="818"/>
      <c r="C361" s="818"/>
      <c r="D361" s="818"/>
      <c r="E361" s="818"/>
      <c r="F361" s="818"/>
      <c r="G361" s="996"/>
      <c r="H361" s="1011">
        <f>I485</f>
        <v>0</v>
      </c>
      <c r="I361" s="1011">
        <f ca="1">H365</f>
        <v>17675.182272316826</v>
      </c>
      <c r="J361" s="1011">
        <f ca="1">I365</f>
        <v>36060.008971098257</v>
      </c>
      <c r="K361" s="1011">
        <f t="shared" ref="K361:Z361" ca="1" si="226">J365</f>
        <v>58676.840586636441</v>
      </c>
      <c r="L361" s="1011">
        <f t="shared" ca="1" si="226"/>
        <v>102217.02783118708</v>
      </c>
      <c r="M361" s="1011">
        <f t="shared" ca="1" si="226"/>
        <v>147926.95145585667</v>
      </c>
      <c r="N361" s="1011">
        <f t="shared" ca="1" si="226"/>
        <v>191529.69954521925</v>
      </c>
      <c r="O361" s="1011">
        <f t="shared" ca="1" si="226"/>
        <v>229294.8692515562</v>
      </c>
      <c r="P361" s="1011">
        <f t="shared" ca="1" si="226"/>
        <v>263687.73198482167</v>
      </c>
      <c r="Q361" s="1011">
        <f t="shared" ca="1" si="226"/>
        <v>307686.28056125628</v>
      </c>
      <c r="R361" s="1011">
        <f t="shared" ca="1" si="226"/>
        <v>347279.83386529755</v>
      </c>
      <c r="S361" s="1011">
        <f t="shared" ca="1" si="226"/>
        <v>386719.77510774648</v>
      </c>
      <c r="T361" s="1011">
        <f t="shared" ca="1" si="226"/>
        <v>426605.2273644848</v>
      </c>
      <c r="U361" s="1011">
        <f t="shared" ca="1" si="226"/>
        <v>459344.57165445434</v>
      </c>
      <c r="V361" s="1011">
        <f t="shared" ca="1" si="226"/>
        <v>495872.54161998344</v>
      </c>
      <c r="W361" s="1011">
        <f t="shared" ca="1" si="226"/>
        <v>526724.6598282085</v>
      </c>
      <c r="X361" s="1011">
        <f t="shared" ca="1" si="226"/>
        <v>553912.66710404947</v>
      </c>
      <c r="Y361" s="1011">
        <f t="shared" ca="1" si="226"/>
        <v>578183.43583310547</v>
      </c>
      <c r="Z361" s="1011">
        <f t="shared" ca="1" si="226"/>
        <v>657630.58892985946</v>
      </c>
      <c r="AA361" s="1011">
        <f t="shared" ref="AA361:AF361" ca="1" si="227">Z365</f>
        <v>715302.51893504395</v>
      </c>
      <c r="AB361" s="1011">
        <f t="shared" ca="1" si="227"/>
        <v>772489.12015620479</v>
      </c>
      <c r="AC361" s="1011">
        <f t="shared" ca="1" si="227"/>
        <v>819560.20794194436</v>
      </c>
      <c r="AD361" s="1011">
        <f t="shared" ca="1" si="227"/>
        <v>777907.92353638751</v>
      </c>
      <c r="AE361" s="1011">
        <f t="shared" ca="1" si="227"/>
        <v>751406.00737267756</v>
      </c>
      <c r="AF361" s="1011">
        <f t="shared" ca="1" si="227"/>
        <v>724374.05288569489</v>
      </c>
      <c r="AG361" s="665"/>
      <c r="AH361" s="665"/>
      <c r="AI361" s="665"/>
      <c r="AJ361" s="665"/>
      <c r="AK361" s="665"/>
      <c r="AL361" s="665"/>
      <c r="AM361" s="665"/>
      <c r="AN361" s="665"/>
      <c r="AO361" s="665"/>
      <c r="AP361" s="665"/>
      <c r="AQ361" s="665"/>
      <c r="AR361" s="665"/>
      <c r="AS361" s="665"/>
      <c r="AT361" s="665"/>
      <c r="AU361" s="665"/>
      <c r="AV361" s="665"/>
      <c r="AW361" s="665"/>
      <c r="AX361" s="665"/>
      <c r="AY361" s="665"/>
      <c r="AZ361" s="665"/>
      <c r="BA361" s="665"/>
      <c r="BB361" s="665"/>
      <c r="BC361" s="665"/>
      <c r="BD361" s="665"/>
      <c r="BE361" s="665"/>
      <c r="BF361" s="665"/>
    </row>
    <row r="362" spans="1:58">
      <c r="A362" s="1009" t="s">
        <v>658</v>
      </c>
      <c r="B362" s="818"/>
      <c r="C362" s="818"/>
      <c r="D362" s="818"/>
      <c r="E362" s="818"/>
      <c r="F362" s="818"/>
      <c r="G362" s="818"/>
      <c r="H362" s="818">
        <v>0</v>
      </c>
      <c r="I362" s="818">
        <f t="shared" ref="I362:AF362" ca="1" si="228">I539-H539</f>
        <v>0</v>
      </c>
      <c r="J362" s="818">
        <f t="shared" ca="1" si="228"/>
        <v>0</v>
      </c>
      <c r="K362" s="818">
        <f t="shared" ca="1" si="228"/>
        <v>1715.2539605229904</v>
      </c>
      <c r="L362" s="818">
        <f t="shared" ca="1" si="228"/>
        <v>759.34564217133811</v>
      </c>
      <c r="M362" s="818">
        <f t="shared" ca="1" si="228"/>
        <v>298.90367769011573</v>
      </c>
      <c r="N362" s="818">
        <f t="shared" ca="1" si="228"/>
        <v>-187.5888762497525</v>
      </c>
      <c r="O362" s="818">
        <f t="shared" ca="1" si="228"/>
        <v>-308.87525673301934</v>
      </c>
      <c r="P362" s="818">
        <f t="shared" ca="1" si="228"/>
        <v>2439.0109979057015</v>
      </c>
      <c r="Q362" s="818">
        <f t="shared" ca="1" si="228"/>
        <v>164.03662667851313</v>
      </c>
      <c r="R362" s="818">
        <f t="shared" ca="1" si="228"/>
        <v>368.2683227890775</v>
      </c>
      <c r="S362" s="818">
        <f t="shared" ca="1" si="228"/>
        <v>640.29000094891671</v>
      </c>
      <c r="T362" s="818">
        <f t="shared" ca="1" si="228"/>
        <v>-454.50494273172808</v>
      </c>
      <c r="U362" s="818">
        <f t="shared" ca="1" si="228"/>
        <v>381.62008827707905</v>
      </c>
      <c r="V362" s="818">
        <f t="shared" ca="1" si="228"/>
        <v>178.54597180144629</v>
      </c>
      <c r="W362" s="818">
        <f t="shared" ca="1" si="228"/>
        <v>197.87679574811773</v>
      </c>
      <c r="X362" s="818">
        <f t="shared" ca="1" si="228"/>
        <v>122.76562042879232</v>
      </c>
      <c r="Y362" s="818">
        <f t="shared" ca="1" si="228"/>
        <v>646.72463219044221</v>
      </c>
      <c r="Z362" s="818">
        <f t="shared" ca="1" si="228"/>
        <v>-151.69323684342089</v>
      </c>
      <c r="AA362" s="818">
        <f t="shared" ca="1" si="228"/>
        <v>-556.52713522199701</v>
      </c>
      <c r="AB362" s="818">
        <f t="shared" ca="1" si="228"/>
        <v>-1679.3455465913285</v>
      </c>
      <c r="AC362" s="818">
        <f t="shared" ca="1" si="228"/>
        <v>-22249.289615098227</v>
      </c>
      <c r="AD362" s="818">
        <f t="shared" si="228"/>
        <v>0</v>
      </c>
      <c r="AE362" s="818">
        <f t="shared" si="228"/>
        <v>0</v>
      </c>
      <c r="AF362" s="818">
        <f t="shared" si="228"/>
        <v>0</v>
      </c>
      <c r="AG362" s="665"/>
      <c r="AH362" s="665"/>
      <c r="AI362" s="665"/>
      <c r="AJ362" s="665"/>
      <c r="AK362" s="665"/>
      <c r="AL362" s="665"/>
      <c r="AM362" s="665"/>
      <c r="AN362" s="665"/>
      <c r="AO362" s="665"/>
      <c r="AP362" s="665"/>
      <c r="AQ362" s="665"/>
      <c r="AR362" s="665"/>
      <c r="AS362" s="665"/>
      <c r="AT362" s="665"/>
      <c r="AU362" s="665"/>
      <c r="AV362" s="665"/>
      <c r="AW362" s="665"/>
      <c r="AX362" s="665"/>
      <c r="AY362" s="665"/>
      <c r="AZ362" s="665"/>
      <c r="BA362" s="665"/>
      <c r="BB362" s="665"/>
      <c r="BC362" s="665"/>
      <c r="BD362" s="665"/>
      <c r="BE362" s="665"/>
      <c r="BF362" s="665"/>
    </row>
    <row r="363" spans="1:58">
      <c r="A363" s="1009" t="s">
        <v>659</v>
      </c>
      <c r="B363" s="818"/>
      <c r="C363" s="818"/>
      <c r="D363" s="818"/>
      <c r="E363" s="818"/>
      <c r="F363" s="818"/>
      <c r="G363" s="1011"/>
      <c r="H363" s="1011">
        <f ca="1">-H357</f>
        <v>-1.1641532182693481E-10</v>
      </c>
      <c r="I363" s="1011">
        <f t="shared" ref="I363:AF363" ca="1" si="229">-I357</f>
        <v>18384.826698781428</v>
      </c>
      <c r="J363" s="1011">
        <f t="shared" ca="1" si="229"/>
        <v>22616.831615538184</v>
      </c>
      <c r="K363" s="1011">
        <f t="shared" ca="1" si="229"/>
        <v>41824.933284027647</v>
      </c>
      <c r="L363" s="1011">
        <f t="shared" ca="1" si="229"/>
        <v>44950.57798249826</v>
      </c>
      <c r="M363" s="1011">
        <f t="shared" ca="1" si="229"/>
        <v>43303.844411672471</v>
      </c>
      <c r="N363" s="1011">
        <f t="shared" ca="1" si="229"/>
        <v>37952.758582586714</v>
      </c>
      <c r="O363" s="1011">
        <f t="shared" ca="1" si="229"/>
        <v>34701.737989998466</v>
      </c>
      <c r="P363" s="1011">
        <f t="shared" ca="1" si="229"/>
        <v>41559.537578528914</v>
      </c>
      <c r="Q363" s="1011">
        <f t="shared" ca="1" si="229"/>
        <v>39429.516677362808</v>
      </c>
      <c r="R363" s="1011">
        <f t="shared" ca="1" si="229"/>
        <v>39071.672919659897</v>
      </c>
      <c r="S363" s="1011">
        <f t="shared" ca="1" si="229"/>
        <v>39245.162255789415</v>
      </c>
      <c r="T363" s="1011">
        <f t="shared" ca="1" si="229"/>
        <v>33193.849232701235</v>
      </c>
      <c r="U363" s="1011">
        <f t="shared" ca="1" si="229"/>
        <v>36146.349877252025</v>
      </c>
      <c r="V363" s="1011">
        <f t="shared" ca="1" si="229"/>
        <v>30673.572236423577</v>
      </c>
      <c r="W363" s="1011">
        <f t="shared" ca="1" si="229"/>
        <v>26990.130480092823</v>
      </c>
      <c r="X363" s="1011">
        <f t="shared" ca="1" si="229"/>
        <v>24148.003108627148</v>
      </c>
      <c r="Y363" s="1011">
        <f t="shared" ca="1" si="229"/>
        <v>78800.428464563505</v>
      </c>
      <c r="Z363" s="1011">
        <f t="shared" ca="1" si="229"/>
        <v>57823.623242027898</v>
      </c>
      <c r="AA363" s="1011">
        <f t="shared" ca="1" si="229"/>
        <v>57743.128356382877</v>
      </c>
      <c r="AB363" s="1011">
        <f t="shared" ca="1" si="229"/>
        <v>48750.433332330867</v>
      </c>
      <c r="AC363" s="1011">
        <f t="shared" ca="1" si="229"/>
        <v>-19402.994790458561</v>
      </c>
      <c r="AD363" s="1011">
        <f t="shared" ca="1" si="229"/>
        <v>-26501.916163709921</v>
      </c>
      <c r="AE363" s="1011">
        <f t="shared" ca="1" si="229"/>
        <v>-27031.954486984119</v>
      </c>
      <c r="AF363" s="1011">
        <f t="shared" ca="1" si="229"/>
        <v>-27572.593576723819</v>
      </c>
      <c r="AG363" s="665"/>
      <c r="AH363" s="665"/>
      <c r="AI363" s="665"/>
      <c r="AJ363" s="665"/>
      <c r="AK363" s="665"/>
      <c r="AL363" s="665"/>
      <c r="AM363" s="665"/>
      <c r="AN363" s="665"/>
      <c r="AO363" s="665"/>
      <c r="AP363" s="665"/>
      <c r="AQ363" s="665"/>
      <c r="AR363" s="665"/>
      <c r="AS363" s="665"/>
      <c r="AT363" s="665"/>
      <c r="AU363" s="665"/>
      <c r="AV363" s="665"/>
      <c r="AW363" s="665"/>
      <c r="AX363" s="665"/>
      <c r="AY363" s="665"/>
      <c r="AZ363" s="665"/>
      <c r="BA363" s="665"/>
      <c r="BB363" s="665"/>
      <c r="BC363" s="665"/>
      <c r="BD363" s="665"/>
      <c r="BE363" s="665"/>
      <c r="BF363" s="665"/>
    </row>
    <row r="364" spans="1:58">
      <c r="A364" s="818" t="str">
        <f>"Excess Cash Flow Recaptured on "&amp;B451</f>
        <v>Excess Cash Flow Recaptured on Purchase Term Loan</v>
      </c>
      <c r="B364" s="818"/>
      <c r="C364" s="818"/>
      <c r="D364" s="818"/>
      <c r="E364" s="818"/>
      <c r="F364" s="818"/>
      <c r="G364" s="818"/>
      <c r="H364" s="818">
        <v>0</v>
      </c>
      <c r="I364" s="818">
        <f t="shared" ref="I364:AF364" ca="1" si="230">IF(I363&gt;0,-MIN((+I363)*I570,I421-I422-I423),0)</f>
        <v>0</v>
      </c>
      <c r="J364" s="818">
        <f t="shared" ca="1" si="230"/>
        <v>0</v>
      </c>
      <c r="K364" s="818">
        <f t="shared" ca="1" si="230"/>
        <v>0</v>
      </c>
      <c r="L364" s="818">
        <f t="shared" ca="1" si="230"/>
        <v>0</v>
      </c>
      <c r="M364" s="818">
        <f t="shared" ca="1" si="230"/>
        <v>0</v>
      </c>
      <c r="N364" s="818">
        <f t="shared" ca="1" si="230"/>
        <v>0</v>
      </c>
      <c r="O364" s="818">
        <f t="shared" ca="1" si="230"/>
        <v>0</v>
      </c>
      <c r="P364" s="818">
        <f t="shared" ca="1" si="230"/>
        <v>0</v>
      </c>
      <c r="Q364" s="818">
        <f t="shared" ca="1" si="230"/>
        <v>0</v>
      </c>
      <c r="R364" s="818">
        <f t="shared" ca="1" si="230"/>
        <v>0</v>
      </c>
      <c r="S364" s="818">
        <f t="shared" ca="1" si="230"/>
        <v>0</v>
      </c>
      <c r="T364" s="818">
        <f t="shared" ca="1" si="230"/>
        <v>0</v>
      </c>
      <c r="U364" s="818">
        <f t="shared" ca="1" si="230"/>
        <v>0</v>
      </c>
      <c r="V364" s="818">
        <f t="shared" ca="1" si="230"/>
        <v>0</v>
      </c>
      <c r="W364" s="818">
        <f t="shared" ca="1" si="230"/>
        <v>0</v>
      </c>
      <c r="X364" s="818">
        <f t="shared" ca="1" si="230"/>
        <v>0</v>
      </c>
      <c r="Y364" s="818">
        <f t="shared" ca="1" si="230"/>
        <v>0</v>
      </c>
      <c r="Z364" s="818">
        <f t="shared" ca="1" si="230"/>
        <v>0</v>
      </c>
      <c r="AA364" s="818">
        <f t="shared" ca="1" si="230"/>
        <v>0</v>
      </c>
      <c r="AB364" s="818">
        <f t="shared" ca="1" si="230"/>
        <v>0</v>
      </c>
      <c r="AC364" s="818">
        <f t="shared" ca="1" si="230"/>
        <v>0</v>
      </c>
      <c r="AD364" s="818">
        <f t="shared" ca="1" si="230"/>
        <v>0</v>
      </c>
      <c r="AE364" s="818">
        <f t="shared" ca="1" si="230"/>
        <v>0</v>
      </c>
      <c r="AF364" s="818">
        <f t="shared" ca="1" si="230"/>
        <v>0</v>
      </c>
      <c r="AG364" s="665"/>
      <c r="AH364" s="665"/>
      <c r="AI364" s="665"/>
      <c r="AJ364" s="665"/>
      <c r="AK364" s="665"/>
      <c r="AL364" s="665"/>
      <c r="AM364" s="665"/>
      <c r="AN364" s="665"/>
      <c r="AO364" s="665"/>
      <c r="AP364" s="665"/>
      <c r="AQ364" s="665"/>
      <c r="AR364" s="665"/>
      <c r="AS364" s="665"/>
      <c r="AT364" s="665"/>
      <c r="AU364" s="665"/>
      <c r="AV364" s="665"/>
      <c r="AW364" s="665"/>
      <c r="AX364" s="665"/>
      <c r="AY364" s="665"/>
      <c r="AZ364" s="665"/>
      <c r="BA364" s="665"/>
      <c r="BB364" s="665"/>
      <c r="BC364" s="665"/>
      <c r="BD364" s="665"/>
      <c r="BE364" s="665"/>
      <c r="BF364" s="665"/>
    </row>
    <row r="365" spans="1:58">
      <c r="A365" s="1009" t="s">
        <v>660</v>
      </c>
      <c r="B365" s="818"/>
      <c r="C365" s="818"/>
      <c r="D365" s="818"/>
      <c r="E365" s="818"/>
      <c r="F365" s="818"/>
      <c r="G365" s="996"/>
      <c r="H365" s="1020">
        <f ca="1">H361+H362+H363+H364+K485</f>
        <v>17675.182272316826</v>
      </c>
      <c r="I365" s="1020">
        <f t="shared" ref="I365:Z365" ca="1" si="231">I361+I362+I363+I364</f>
        <v>36060.008971098257</v>
      </c>
      <c r="J365" s="1020">
        <f t="shared" ca="1" si="231"/>
        <v>58676.840586636441</v>
      </c>
      <c r="K365" s="1020">
        <f t="shared" ca="1" si="231"/>
        <v>102217.02783118708</v>
      </c>
      <c r="L365" s="1020">
        <f t="shared" ca="1" si="231"/>
        <v>147926.95145585667</v>
      </c>
      <c r="M365" s="1020">
        <f t="shared" ca="1" si="231"/>
        <v>191529.69954521925</v>
      </c>
      <c r="N365" s="1020">
        <f t="shared" ca="1" si="231"/>
        <v>229294.8692515562</v>
      </c>
      <c r="O365" s="1020">
        <f t="shared" ca="1" si="231"/>
        <v>263687.73198482167</v>
      </c>
      <c r="P365" s="1020">
        <f t="shared" ca="1" si="231"/>
        <v>307686.28056125628</v>
      </c>
      <c r="Q365" s="1020">
        <f t="shared" ca="1" si="231"/>
        <v>347279.83386529755</v>
      </c>
      <c r="R365" s="1020">
        <f t="shared" ca="1" si="231"/>
        <v>386719.77510774648</v>
      </c>
      <c r="S365" s="1020">
        <f t="shared" ca="1" si="231"/>
        <v>426605.2273644848</v>
      </c>
      <c r="T365" s="1020">
        <f t="shared" ca="1" si="231"/>
        <v>459344.57165445434</v>
      </c>
      <c r="U365" s="1020">
        <f t="shared" ca="1" si="231"/>
        <v>495872.54161998344</v>
      </c>
      <c r="V365" s="1020">
        <f t="shared" ca="1" si="231"/>
        <v>526724.6598282085</v>
      </c>
      <c r="W365" s="1020">
        <f t="shared" ca="1" si="231"/>
        <v>553912.66710404947</v>
      </c>
      <c r="X365" s="1020">
        <f t="shared" ca="1" si="231"/>
        <v>578183.43583310547</v>
      </c>
      <c r="Y365" s="1020">
        <f t="shared" ca="1" si="231"/>
        <v>657630.58892985946</v>
      </c>
      <c r="Z365" s="1020">
        <f t="shared" ca="1" si="231"/>
        <v>715302.51893504395</v>
      </c>
      <c r="AA365" s="1020">
        <f t="shared" ref="AA365:AF365" ca="1" si="232">AA361+AA362+AA363+AA364</f>
        <v>772489.12015620479</v>
      </c>
      <c r="AB365" s="1020">
        <f t="shared" ca="1" si="232"/>
        <v>819560.20794194436</v>
      </c>
      <c r="AC365" s="1020">
        <f t="shared" ca="1" si="232"/>
        <v>777907.92353638751</v>
      </c>
      <c r="AD365" s="1020">
        <f t="shared" ca="1" si="232"/>
        <v>751406.00737267756</v>
      </c>
      <c r="AE365" s="1020">
        <f t="shared" ca="1" si="232"/>
        <v>724374.0528856935</v>
      </c>
      <c r="AF365" s="1020">
        <f t="shared" ca="1" si="232"/>
        <v>696801.45930897107</v>
      </c>
      <c r="AG365" s="665"/>
      <c r="AH365" s="665"/>
      <c r="AI365" s="665"/>
      <c r="AJ365" s="665"/>
      <c r="AK365" s="665"/>
      <c r="AL365" s="665"/>
      <c r="AM365" s="665"/>
      <c r="AN365" s="665"/>
      <c r="AO365" s="665"/>
      <c r="AP365" s="665"/>
      <c r="AQ365" s="665"/>
      <c r="AR365" s="665"/>
      <c r="AS365" s="665"/>
      <c r="AT365" s="665"/>
      <c r="AU365" s="665"/>
      <c r="AV365" s="665"/>
      <c r="AW365" s="665"/>
      <c r="AX365" s="665"/>
      <c r="AY365" s="665"/>
      <c r="AZ365" s="665"/>
      <c r="BA365" s="665"/>
      <c r="BB365" s="665"/>
      <c r="BC365" s="665"/>
      <c r="BD365" s="665"/>
      <c r="BE365" s="665"/>
      <c r="BF365" s="665"/>
    </row>
    <row r="366" spans="1:58" ht="12" thickBot="1">
      <c r="A366" s="1009"/>
      <c r="B366" s="818"/>
      <c r="C366" s="818"/>
      <c r="D366" s="818"/>
      <c r="E366" s="818"/>
      <c r="F366" s="818"/>
      <c r="G366" s="1043"/>
      <c r="H366" s="1017"/>
      <c r="I366" s="1017"/>
      <c r="J366" s="1017"/>
      <c r="K366" s="1017"/>
      <c r="L366" s="1017"/>
      <c r="M366" s="1017"/>
      <c r="N366" s="1017"/>
      <c r="O366" s="1017"/>
      <c r="P366" s="1017"/>
      <c r="Q366" s="1017"/>
      <c r="R366" s="1017"/>
      <c r="S366" s="1017"/>
      <c r="T366" s="818"/>
      <c r="U366" s="818"/>
      <c r="V366" s="818"/>
      <c r="W366" s="818"/>
      <c r="X366" s="818"/>
      <c r="Y366" s="818"/>
      <c r="Z366" s="818"/>
      <c r="AA366" s="818"/>
      <c r="AB366" s="818"/>
      <c r="AC366" s="818"/>
      <c r="AD366" s="818"/>
      <c r="AE366" s="818"/>
      <c r="AF366" s="818"/>
      <c r="AG366" s="818"/>
    </row>
    <row r="367" spans="1:58" ht="12.75" thickTop="1" thickBot="1">
      <c r="A367" s="818"/>
      <c r="B367" s="818"/>
      <c r="C367" s="818"/>
      <c r="D367" s="818"/>
      <c r="E367" s="1044">
        <f>E$599</f>
        <v>36891</v>
      </c>
      <c r="F367" s="1044">
        <f>F$599</f>
        <v>37256</v>
      </c>
      <c r="G367" s="1044">
        <f>G$599</f>
        <v>37621</v>
      </c>
      <c r="H367" s="1044">
        <f>H$599</f>
        <v>37802</v>
      </c>
      <c r="I367" s="1045">
        <f>I$599</f>
        <v>37986</v>
      </c>
      <c r="J367" s="1045">
        <f t="shared" ref="J367:AF367" si="233">J$599</f>
        <v>38352</v>
      </c>
      <c r="K367" s="1045">
        <f t="shared" si="233"/>
        <v>38717</v>
      </c>
      <c r="L367" s="1045">
        <f t="shared" si="233"/>
        <v>39082</v>
      </c>
      <c r="M367" s="1045">
        <f t="shared" si="233"/>
        <v>39447</v>
      </c>
      <c r="N367" s="1045">
        <f t="shared" si="233"/>
        <v>39813</v>
      </c>
      <c r="O367" s="1045">
        <f t="shared" si="233"/>
        <v>40178</v>
      </c>
      <c r="P367" s="1045">
        <f t="shared" si="233"/>
        <v>40543</v>
      </c>
      <c r="Q367" s="1045">
        <f t="shared" si="233"/>
        <v>40908</v>
      </c>
      <c r="R367" s="1045">
        <f t="shared" si="233"/>
        <v>41274</v>
      </c>
      <c r="S367" s="1045">
        <f t="shared" si="233"/>
        <v>41639</v>
      </c>
      <c r="T367" s="1045">
        <f t="shared" si="233"/>
        <v>42004</v>
      </c>
      <c r="U367" s="1045">
        <f t="shared" si="233"/>
        <v>42369</v>
      </c>
      <c r="V367" s="1045">
        <f t="shared" si="233"/>
        <v>42735</v>
      </c>
      <c r="W367" s="1045">
        <f t="shared" si="233"/>
        <v>43100</v>
      </c>
      <c r="X367" s="1045">
        <f t="shared" si="233"/>
        <v>43465</v>
      </c>
      <c r="Y367" s="1045">
        <f t="shared" si="233"/>
        <v>43830</v>
      </c>
      <c r="Z367" s="1045">
        <f t="shared" si="233"/>
        <v>44196</v>
      </c>
      <c r="AA367" s="1045">
        <f t="shared" si="233"/>
        <v>44561</v>
      </c>
      <c r="AB367" s="1045">
        <f t="shared" si="233"/>
        <v>44926</v>
      </c>
      <c r="AC367" s="1045">
        <f t="shared" si="233"/>
        <v>45291</v>
      </c>
      <c r="AD367" s="1045">
        <f t="shared" si="233"/>
        <v>45657</v>
      </c>
      <c r="AE367" s="1045">
        <f t="shared" si="233"/>
        <v>46022</v>
      </c>
      <c r="AF367" s="1045">
        <f t="shared" si="233"/>
        <v>46387</v>
      </c>
      <c r="AG367" s="818"/>
    </row>
    <row r="368" spans="1:58" ht="12" thickTop="1">
      <c r="A368" s="917" t="s">
        <v>661</v>
      </c>
      <c r="B368" s="818"/>
      <c r="C368" s="818"/>
      <c r="D368" s="818"/>
      <c r="E368" s="665"/>
      <c r="F368" s="665"/>
      <c r="G368" s="665"/>
      <c r="H368" s="665"/>
      <c r="I368" s="665"/>
      <c r="J368" s="665"/>
      <c r="K368" s="665"/>
      <c r="L368" s="665"/>
      <c r="M368" s="665"/>
      <c r="N368" s="665"/>
      <c r="O368" s="665"/>
      <c r="P368" s="665"/>
      <c r="Q368" s="665"/>
      <c r="R368" s="665"/>
      <c r="S368" s="665"/>
      <c r="T368" s="818"/>
      <c r="U368" s="818"/>
      <c r="V368" s="818"/>
      <c r="W368" s="818"/>
      <c r="X368" s="818"/>
      <c r="Y368" s="818"/>
      <c r="Z368" s="818"/>
      <c r="AA368" s="818"/>
      <c r="AB368" s="818"/>
      <c r="AC368" s="818"/>
      <c r="AD368" s="818"/>
      <c r="AE368" s="818"/>
      <c r="AF368" s="818"/>
      <c r="AG368" s="818"/>
    </row>
    <row r="369" spans="1:33">
      <c r="A369" s="818" t="str">
        <f>A485</f>
        <v>Cash and Marketable Securities</v>
      </c>
      <c r="B369" s="818"/>
      <c r="C369" s="1010"/>
      <c r="D369" s="1010"/>
      <c r="E369" s="1011">
        <f t="shared" ref="E369:G372" si="234">E485</f>
        <v>0</v>
      </c>
      <c r="F369" s="1011">
        <f t="shared" si="234"/>
        <v>0</v>
      </c>
      <c r="G369" s="1011">
        <f t="shared" si="234"/>
        <v>0</v>
      </c>
      <c r="H369" s="1026">
        <f ca="1">N485</f>
        <v>17675.182272316943</v>
      </c>
      <c r="I369" s="1011">
        <f t="shared" ref="I369:Z369" ca="1" si="235">I365</f>
        <v>36060.008971098257</v>
      </c>
      <c r="J369" s="1011">
        <f t="shared" ca="1" si="235"/>
        <v>58676.840586636441</v>
      </c>
      <c r="K369" s="1011">
        <f t="shared" ca="1" si="235"/>
        <v>102217.02783118708</v>
      </c>
      <c r="L369" s="1011">
        <f t="shared" ca="1" si="235"/>
        <v>147926.95145585667</v>
      </c>
      <c r="M369" s="1011">
        <f t="shared" ca="1" si="235"/>
        <v>191529.69954521925</v>
      </c>
      <c r="N369" s="1011">
        <f t="shared" ca="1" si="235"/>
        <v>229294.8692515562</v>
      </c>
      <c r="O369" s="1011">
        <f t="shared" ca="1" si="235"/>
        <v>263687.73198482167</v>
      </c>
      <c r="P369" s="1011">
        <f t="shared" ca="1" si="235"/>
        <v>307686.28056125628</v>
      </c>
      <c r="Q369" s="1011">
        <f t="shared" ca="1" si="235"/>
        <v>347279.83386529755</v>
      </c>
      <c r="R369" s="1011">
        <f t="shared" ca="1" si="235"/>
        <v>386719.77510774648</v>
      </c>
      <c r="S369" s="1011">
        <f t="shared" ca="1" si="235"/>
        <v>426605.2273644848</v>
      </c>
      <c r="T369" s="1011">
        <f t="shared" ca="1" si="235"/>
        <v>459344.57165445434</v>
      </c>
      <c r="U369" s="1011">
        <f t="shared" ca="1" si="235"/>
        <v>495872.54161998344</v>
      </c>
      <c r="V369" s="1011">
        <f t="shared" ca="1" si="235"/>
        <v>526724.6598282085</v>
      </c>
      <c r="W369" s="1011">
        <f t="shared" ca="1" si="235"/>
        <v>553912.66710404947</v>
      </c>
      <c r="X369" s="1011">
        <f t="shared" ca="1" si="235"/>
        <v>578183.43583310547</v>
      </c>
      <c r="Y369" s="1011">
        <f t="shared" ca="1" si="235"/>
        <v>657630.58892985946</v>
      </c>
      <c r="Z369" s="1011">
        <f t="shared" ca="1" si="235"/>
        <v>715302.51893504395</v>
      </c>
      <c r="AA369" s="1011">
        <f t="shared" ref="AA369:AF369" ca="1" si="236">AA365</f>
        <v>772489.12015620479</v>
      </c>
      <c r="AB369" s="1011">
        <f t="shared" ca="1" si="236"/>
        <v>819560.20794194436</v>
      </c>
      <c r="AC369" s="1011">
        <f t="shared" ca="1" si="236"/>
        <v>777907.92353638751</v>
      </c>
      <c r="AD369" s="1011">
        <f t="shared" ca="1" si="236"/>
        <v>751406.00737267756</v>
      </c>
      <c r="AE369" s="1011">
        <f t="shared" ca="1" si="236"/>
        <v>724374.0528856935</v>
      </c>
      <c r="AF369" s="1011">
        <f t="shared" ca="1" si="236"/>
        <v>696801.45930897107</v>
      </c>
      <c r="AG369" s="818"/>
    </row>
    <row r="370" spans="1:33">
      <c r="A370" s="818" t="str">
        <f>A486</f>
        <v>Accounts Receivable</v>
      </c>
      <c r="B370" s="818"/>
      <c r="C370" s="1011"/>
      <c r="D370" s="1011"/>
      <c r="E370" s="1011">
        <f t="shared" si="234"/>
        <v>0</v>
      </c>
      <c r="F370" s="1011">
        <f t="shared" si="234"/>
        <v>0</v>
      </c>
      <c r="G370" s="1011">
        <f t="shared" si="234"/>
        <v>0</v>
      </c>
      <c r="H370" s="1026">
        <f ca="1">N486</f>
        <v>17675.182272316943</v>
      </c>
      <c r="I370" s="1011">
        <f t="shared" ref="I370:Z370" ca="1" si="237">I540</f>
        <v>17675.182272316943</v>
      </c>
      <c r="J370" s="1011">
        <f t="shared" ca="1" si="237"/>
        <v>17675.182272316943</v>
      </c>
      <c r="K370" s="1011">
        <f t="shared" ca="1" si="237"/>
        <v>19390.436232839933</v>
      </c>
      <c r="L370" s="1011">
        <f t="shared" ca="1" si="237"/>
        <v>20149.781875011271</v>
      </c>
      <c r="M370" s="1011">
        <f t="shared" ca="1" si="237"/>
        <v>20448.685552701387</v>
      </c>
      <c r="N370" s="1011">
        <f t="shared" ca="1" si="237"/>
        <v>20261.096676451634</v>
      </c>
      <c r="O370" s="1011">
        <f t="shared" ca="1" si="237"/>
        <v>19952.221419718615</v>
      </c>
      <c r="P370" s="1011">
        <f t="shared" ca="1" si="237"/>
        <v>22391.232417624316</v>
      </c>
      <c r="Q370" s="1011">
        <f t="shared" ca="1" si="237"/>
        <v>22555.26904430283</v>
      </c>
      <c r="R370" s="1011">
        <f t="shared" ca="1" si="237"/>
        <v>22923.537367091907</v>
      </c>
      <c r="S370" s="1011">
        <f t="shared" ca="1" si="237"/>
        <v>23563.827368040824</v>
      </c>
      <c r="T370" s="1011">
        <f t="shared" ca="1" si="237"/>
        <v>23109.322425309096</v>
      </c>
      <c r="U370" s="1011">
        <f t="shared" ca="1" si="237"/>
        <v>23490.942513586175</v>
      </c>
      <c r="V370" s="1011">
        <f t="shared" ca="1" si="237"/>
        <v>23669.488485387621</v>
      </c>
      <c r="W370" s="1011">
        <f t="shared" ca="1" si="237"/>
        <v>23867.365281135739</v>
      </c>
      <c r="X370" s="1011">
        <f t="shared" ca="1" si="237"/>
        <v>23990.130901564531</v>
      </c>
      <c r="Y370" s="1011">
        <f t="shared" ca="1" si="237"/>
        <v>24636.855533754973</v>
      </c>
      <c r="Z370" s="1011">
        <f t="shared" ca="1" si="237"/>
        <v>24485.162296911552</v>
      </c>
      <c r="AA370" s="1011">
        <f t="shared" ref="AA370:AF372" ca="1" si="238">AA540</f>
        <v>23928.635161689555</v>
      </c>
      <c r="AB370" s="1011">
        <f t="shared" ca="1" si="238"/>
        <v>22249.289615098227</v>
      </c>
      <c r="AC370" s="1011">
        <f t="shared" si="238"/>
        <v>0</v>
      </c>
      <c r="AD370" s="1011">
        <f t="shared" si="238"/>
        <v>0</v>
      </c>
      <c r="AE370" s="1011">
        <f t="shared" si="238"/>
        <v>0</v>
      </c>
      <c r="AF370" s="1011">
        <f t="shared" si="238"/>
        <v>0</v>
      </c>
      <c r="AG370" s="818"/>
    </row>
    <row r="371" spans="1:33">
      <c r="A371" s="818" t="str">
        <f>A487</f>
        <v>Inventories</v>
      </c>
      <c r="B371" s="818"/>
      <c r="C371" s="1011"/>
      <c r="D371" s="1011"/>
      <c r="E371" s="1011">
        <f t="shared" si="234"/>
        <v>0</v>
      </c>
      <c r="F371" s="1011">
        <f t="shared" si="234"/>
        <v>0</v>
      </c>
      <c r="G371" s="1011">
        <f t="shared" si="234"/>
        <v>0</v>
      </c>
      <c r="H371" s="1026">
        <f>N487</f>
        <v>0</v>
      </c>
      <c r="I371" s="1011">
        <f t="shared" ref="I371:Z371" si="239">I541</f>
        <v>0</v>
      </c>
      <c r="J371" s="1011">
        <f t="shared" si="239"/>
        <v>0</v>
      </c>
      <c r="K371" s="1011">
        <f t="shared" si="239"/>
        <v>0</v>
      </c>
      <c r="L371" s="1011">
        <f t="shared" si="239"/>
        <v>0</v>
      </c>
      <c r="M371" s="1011">
        <f t="shared" si="239"/>
        <v>0</v>
      </c>
      <c r="N371" s="1011">
        <f t="shared" si="239"/>
        <v>0</v>
      </c>
      <c r="O371" s="1011">
        <f t="shared" si="239"/>
        <v>0</v>
      </c>
      <c r="P371" s="1011">
        <f t="shared" si="239"/>
        <v>0</v>
      </c>
      <c r="Q371" s="1011">
        <f t="shared" si="239"/>
        <v>0</v>
      </c>
      <c r="R371" s="1011">
        <f t="shared" si="239"/>
        <v>0</v>
      </c>
      <c r="S371" s="1011">
        <f t="shared" si="239"/>
        <v>0</v>
      </c>
      <c r="T371" s="1011">
        <f t="shared" si="239"/>
        <v>0</v>
      </c>
      <c r="U371" s="1011">
        <f t="shared" si="239"/>
        <v>0</v>
      </c>
      <c r="V371" s="1011">
        <f t="shared" si="239"/>
        <v>0</v>
      </c>
      <c r="W371" s="1011">
        <f t="shared" si="239"/>
        <v>0</v>
      </c>
      <c r="X371" s="1011">
        <f t="shared" si="239"/>
        <v>0</v>
      </c>
      <c r="Y371" s="1011">
        <f t="shared" si="239"/>
        <v>0</v>
      </c>
      <c r="Z371" s="1011">
        <f t="shared" si="239"/>
        <v>0</v>
      </c>
      <c r="AA371" s="1011">
        <f t="shared" si="238"/>
        <v>0</v>
      </c>
      <c r="AB371" s="1011">
        <f t="shared" si="238"/>
        <v>0</v>
      </c>
      <c r="AC371" s="1011">
        <f t="shared" si="238"/>
        <v>0</v>
      </c>
      <c r="AD371" s="1011">
        <f t="shared" si="238"/>
        <v>0</v>
      </c>
      <c r="AE371" s="1011">
        <f t="shared" si="238"/>
        <v>0</v>
      </c>
      <c r="AF371" s="1011">
        <f t="shared" si="238"/>
        <v>0</v>
      </c>
      <c r="AG371" s="818"/>
    </row>
    <row r="372" spans="1:33">
      <c r="A372" s="818" t="str">
        <f>A488</f>
        <v>Other Current Assets</v>
      </c>
      <c r="B372" s="818"/>
      <c r="C372" s="1011"/>
      <c r="D372" s="1011"/>
      <c r="E372" s="1011">
        <f t="shared" si="234"/>
        <v>0</v>
      </c>
      <c r="F372" s="1011">
        <f t="shared" si="234"/>
        <v>0</v>
      </c>
      <c r="G372" s="1011">
        <f t="shared" si="234"/>
        <v>0</v>
      </c>
      <c r="H372" s="1026">
        <f>N488</f>
        <v>0</v>
      </c>
      <c r="I372" s="1011">
        <f t="shared" ref="I372:Z372" si="240">I542</f>
        <v>0</v>
      </c>
      <c r="J372" s="1011">
        <f t="shared" si="240"/>
        <v>0</v>
      </c>
      <c r="K372" s="1011">
        <f t="shared" si="240"/>
        <v>0</v>
      </c>
      <c r="L372" s="1011">
        <f t="shared" si="240"/>
        <v>0</v>
      </c>
      <c r="M372" s="1011">
        <f t="shared" si="240"/>
        <v>0</v>
      </c>
      <c r="N372" s="1011">
        <f t="shared" si="240"/>
        <v>0</v>
      </c>
      <c r="O372" s="1011">
        <f t="shared" si="240"/>
        <v>0</v>
      </c>
      <c r="P372" s="1011">
        <f t="shared" si="240"/>
        <v>0</v>
      </c>
      <c r="Q372" s="1011">
        <f t="shared" si="240"/>
        <v>0</v>
      </c>
      <c r="R372" s="1011">
        <f t="shared" si="240"/>
        <v>0</v>
      </c>
      <c r="S372" s="1011">
        <f t="shared" si="240"/>
        <v>0</v>
      </c>
      <c r="T372" s="1011">
        <f t="shared" si="240"/>
        <v>0</v>
      </c>
      <c r="U372" s="1011">
        <f t="shared" si="240"/>
        <v>0</v>
      </c>
      <c r="V372" s="1011">
        <f t="shared" si="240"/>
        <v>0</v>
      </c>
      <c r="W372" s="1011">
        <f t="shared" si="240"/>
        <v>0</v>
      </c>
      <c r="X372" s="1011">
        <f t="shared" si="240"/>
        <v>0</v>
      </c>
      <c r="Y372" s="1011">
        <f t="shared" si="240"/>
        <v>0</v>
      </c>
      <c r="Z372" s="1011">
        <f t="shared" si="240"/>
        <v>0</v>
      </c>
      <c r="AA372" s="1011">
        <f t="shared" si="238"/>
        <v>0</v>
      </c>
      <c r="AB372" s="1011">
        <f t="shared" si="238"/>
        <v>0</v>
      </c>
      <c r="AC372" s="1011">
        <f t="shared" si="238"/>
        <v>0</v>
      </c>
      <c r="AD372" s="1011">
        <f t="shared" si="238"/>
        <v>0</v>
      </c>
      <c r="AE372" s="1011">
        <f t="shared" si="238"/>
        <v>0</v>
      </c>
      <c r="AF372" s="1011">
        <f t="shared" si="238"/>
        <v>0</v>
      </c>
      <c r="AG372" s="818"/>
    </row>
    <row r="373" spans="1:33">
      <c r="A373" s="1046" t="str">
        <f>A489</f>
        <v>Total Current Assets</v>
      </c>
      <c r="B373" s="818"/>
      <c r="C373" s="1011"/>
      <c r="D373" s="1011"/>
      <c r="E373" s="1020">
        <f t="shared" ref="E373:Z373" si="241">SUM(E369:E372)</f>
        <v>0</v>
      </c>
      <c r="F373" s="1020">
        <f t="shared" si="241"/>
        <v>0</v>
      </c>
      <c r="G373" s="1020">
        <f t="shared" si="241"/>
        <v>0</v>
      </c>
      <c r="H373" s="1032">
        <f t="shared" ca="1" si="241"/>
        <v>35350.364544633885</v>
      </c>
      <c r="I373" s="1020">
        <f t="shared" ca="1" si="241"/>
        <v>53735.191243415204</v>
      </c>
      <c r="J373" s="1020">
        <f t="shared" ca="1" si="241"/>
        <v>76352.02285895338</v>
      </c>
      <c r="K373" s="1020">
        <f t="shared" ca="1" si="241"/>
        <v>121607.46406402701</v>
      </c>
      <c r="L373" s="1020">
        <f t="shared" ca="1" si="241"/>
        <v>168076.73333086795</v>
      </c>
      <c r="M373" s="1020">
        <f t="shared" ca="1" si="241"/>
        <v>211978.38509792063</v>
      </c>
      <c r="N373" s="1020">
        <f t="shared" ca="1" si="241"/>
        <v>249555.96592800785</v>
      </c>
      <c r="O373" s="1020">
        <f t="shared" ca="1" si="241"/>
        <v>283639.95340454031</v>
      </c>
      <c r="P373" s="1020">
        <f t="shared" ca="1" si="241"/>
        <v>330077.51297888061</v>
      </c>
      <c r="Q373" s="1020">
        <f t="shared" ca="1" si="241"/>
        <v>369835.10290960036</v>
      </c>
      <c r="R373" s="1020">
        <f t="shared" ca="1" si="241"/>
        <v>409643.3124748384</v>
      </c>
      <c r="S373" s="1020">
        <f t="shared" ca="1" si="241"/>
        <v>450169.0547325256</v>
      </c>
      <c r="T373" s="1020">
        <f t="shared" ca="1" si="241"/>
        <v>482453.89407976344</v>
      </c>
      <c r="U373" s="1020">
        <f t="shared" ca="1" si="241"/>
        <v>519363.48413356964</v>
      </c>
      <c r="V373" s="1020">
        <f t="shared" ca="1" si="241"/>
        <v>550394.14831359615</v>
      </c>
      <c r="W373" s="1020">
        <f t="shared" ca="1" si="241"/>
        <v>577780.03238518524</v>
      </c>
      <c r="X373" s="1020">
        <f t="shared" ca="1" si="241"/>
        <v>602173.56673466996</v>
      </c>
      <c r="Y373" s="1020">
        <f t="shared" ca="1" si="241"/>
        <v>682267.44446361437</v>
      </c>
      <c r="Z373" s="1020">
        <f t="shared" ca="1" si="241"/>
        <v>739787.68123195553</v>
      </c>
      <c r="AA373" s="1020">
        <f t="shared" ref="AA373:AF373" ca="1" si="242">SUM(AA369:AA372)</f>
        <v>796417.75531789439</v>
      </c>
      <c r="AB373" s="1020">
        <f t="shared" ca="1" si="242"/>
        <v>841809.49755704263</v>
      </c>
      <c r="AC373" s="1020">
        <f t="shared" ca="1" si="242"/>
        <v>777907.92353638751</v>
      </c>
      <c r="AD373" s="1020">
        <f t="shared" ca="1" si="242"/>
        <v>751406.00737267756</v>
      </c>
      <c r="AE373" s="1020">
        <f t="shared" ca="1" si="242"/>
        <v>724374.0528856935</v>
      </c>
      <c r="AF373" s="1020">
        <f t="shared" ca="1" si="242"/>
        <v>696801.45930897107</v>
      </c>
      <c r="AG373" s="818"/>
    </row>
    <row r="374" spans="1:33">
      <c r="A374" s="818"/>
      <c r="B374" s="818"/>
      <c r="C374" s="1010"/>
      <c r="D374" s="1010"/>
      <c r="E374" s="1010"/>
      <c r="F374" s="1010"/>
      <c r="G374" s="1011"/>
      <c r="H374" s="1026"/>
      <c r="I374" s="1011"/>
      <c r="J374" s="1011"/>
      <c r="K374" s="1011"/>
      <c r="L374" s="1011"/>
      <c r="M374" s="1011"/>
      <c r="N374" s="1011"/>
      <c r="O374" s="1011"/>
      <c r="P374" s="1011"/>
      <c r="Q374" s="1011"/>
      <c r="R374" s="1011"/>
      <c r="S374" s="1011"/>
      <c r="T374" s="1011"/>
      <c r="U374" s="1011"/>
      <c r="V374" s="1011"/>
      <c r="W374" s="1011"/>
      <c r="X374" s="1011"/>
      <c r="Y374" s="1011"/>
      <c r="Z374" s="1011"/>
      <c r="AA374" s="1011"/>
      <c r="AB374" s="1011"/>
      <c r="AC374" s="1011"/>
      <c r="AD374" s="1011"/>
      <c r="AE374" s="1011"/>
      <c r="AF374" s="1011"/>
      <c r="AG374" s="818"/>
    </row>
    <row r="375" spans="1:33">
      <c r="A375" s="818" t="str">
        <f>A491</f>
        <v>Intangibles</v>
      </c>
      <c r="B375" s="818"/>
      <c r="C375" s="1010"/>
      <c r="D375" s="1010"/>
      <c r="E375" s="1011">
        <f t="shared" ref="E375:G376" si="243">E491</f>
        <v>0</v>
      </c>
      <c r="F375" s="1011">
        <f t="shared" si="243"/>
        <v>0</v>
      </c>
      <c r="G375" s="1011">
        <f t="shared" si="243"/>
        <v>0</v>
      </c>
      <c r="H375" s="1026">
        <f ca="1">N491</f>
        <v>48563.258028614982</v>
      </c>
      <c r="I375" s="1011">
        <f ca="1">H375-I602</f>
        <v>45094.453883713912</v>
      </c>
      <c r="J375" s="1011">
        <f t="shared" ref="J375:AF375" ca="1" si="244">I375-J602</f>
        <v>38156.84559391177</v>
      </c>
      <c r="K375" s="1011">
        <f t="shared" ca="1" si="244"/>
        <v>31219.237304109629</v>
      </c>
      <c r="L375" s="1011">
        <f t="shared" ca="1" si="244"/>
        <v>24281.629014307488</v>
      </c>
      <c r="M375" s="1011">
        <f t="shared" ca="1" si="244"/>
        <v>17344.020724505346</v>
      </c>
      <c r="N375" s="1011">
        <f t="shared" ca="1" si="244"/>
        <v>10406.412434703205</v>
      </c>
      <c r="O375" s="1011">
        <f t="shared" ca="1" si="244"/>
        <v>3468.8041449010643</v>
      </c>
      <c r="P375" s="1011">
        <f t="shared" ca="1" si="244"/>
        <v>-5.9117155615240335E-12</v>
      </c>
      <c r="Q375" s="1011">
        <f t="shared" ca="1" si="244"/>
        <v>-5.9117155615240335E-12</v>
      </c>
      <c r="R375" s="1011">
        <f t="shared" ca="1" si="244"/>
        <v>-5.9117155615240335E-12</v>
      </c>
      <c r="S375" s="1011">
        <f t="shared" ca="1" si="244"/>
        <v>-5.9117155615240335E-12</v>
      </c>
      <c r="T375" s="1011">
        <f t="shared" ca="1" si="244"/>
        <v>-5.9117155615240335E-12</v>
      </c>
      <c r="U375" s="1011">
        <f t="shared" ca="1" si="244"/>
        <v>-5.9117155615240335E-12</v>
      </c>
      <c r="V375" s="1011">
        <f t="shared" ca="1" si="244"/>
        <v>-5.9117155615240335E-12</v>
      </c>
      <c r="W375" s="1011">
        <f t="shared" ca="1" si="244"/>
        <v>-5.9117155615240335E-12</v>
      </c>
      <c r="X375" s="1011">
        <f t="shared" ca="1" si="244"/>
        <v>-5.9117155615240335E-12</v>
      </c>
      <c r="Y375" s="1011">
        <f t="shared" ca="1" si="244"/>
        <v>-5.9117155615240335E-12</v>
      </c>
      <c r="Z375" s="1011">
        <f t="shared" ca="1" si="244"/>
        <v>-5.9117155615240335E-12</v>
      </c>
      <c r="AA375" s="1011">
        <f t="shared" ca="1" si="244"/>
        <v>-5.9117155615240335E-12</v>
      </c>
      <c r="AB375" s="1011">
        <f t="shared" ca="1" si="244"/>
        <v>-5.9117155615240335E-12</v>
      </c>
      <c r="AC375" s="1011">
        <f t="shared" ca="1" si="244"/>
        <v>-5.9117155615240335E-12</v>
      </c>
      <c r="AD375" s="1011">
        <f t="shared" ca="1" si="244"/>
        <v>-5.9117155615240335E-12</v>
      </c>
      <c r="AE375" s="1011">
        <f t="shared" ca="1" si="244"/>
        <v>-5.9117155615240335E-12</v>
      </c>
      <c r="AF375" s="1011">
        <f t="shared" ca="1" si="244"/>
        <v>-5.9117155615240335E-12</v>
      </c>
      <c r="AG375" s="818"/>
    </row>
    <row r="376" spans="1:33">
      <c r="A376" s="818" t="str">
        <f>A492</f>
        <v>Transaction Fees</v>
      </c>
      <c r="B376" s="818"/>
      <c r="C376" s="1010"/>
      <c r="D376" s="1010"/>
      <c r="E376" s="1011">
        <f t="shared" si="243"/>
        <v>0</v>
      </c>
      <c r="F376" s="1011">
        <f t="shared" si="243"/>
        <v>0</v>
      </c>
      <c r="G376" s="1011">
        <f t="shared" si="243"/>
        <v>0</v>
      </c>
      <c r="H376" s="1026">
        <f ca="1">N492</f>
        <v>6056.8534156644673</v>
      </c>
      <c r="I376" s="1011">
        <f ca="1">H376-I601</f>
        <v>5754.0107448812441</v>
      </c>
      <c r="J376" s="1011">
        <f ca="1">I376-J601</f>
        <v>5148.3254033147978</v>
      </c>
      <c r="K376" s="1040">
        <f ca="1">J376-K601+Debt!Q19</f>
        <v>4542.6400617483514</v>
      </c>
      <c r="L376" s="1011">
        <f t="shared" ref="L376:Z376" ca="1" si="245">K376-L601</f>
        <v>3936.9547201819046</v>
      </c>
      <c r="M376" s="1011">
        <f t="shared" ca="1" si="245"/>
        <v>3331.2693786154578</v>
      </c>
      <c r="N376" s="1011">
        <f t="shared" ca="1" si="245"/>
        <v>2725.5840370490109</v>
      </c>
      <c r="O376" s="1011">
        <f t="shared" ca="1" si="245"/>
        <v>2119.8986954825641</v>
      </c>
      <c r="P376" s="1011">
        <f t="shared" ca="1" si="245"/>
        <v>1514.2133539161173</v>
      </c>
      <c r="Q376" s="1011">
        <f t="shared" ca="1" si="245"/>
        <v>908.52801234967058</v>
      </c>
      <c r="R376" s="1011">
        <f t="shared" ca="1" si="245"/>
        <v>302.84267078322387</v>
      </c>
      <c r="S376" s="1011">
        <f t="shared" ca="1" si="245"/>
        <v>5.1159076974727213E-13</v>
      </c>
      <c r="T376" s="1011">
        <f t="shared" ca="1" si="245"/>
        <v>5.1159076974727213E-13</v>
      </c>
      <c r="U376" s="1011">
        <f t="shared" ca="1" si="245"/>
        <v>5.1159076974727213E-13</v>
      </c>
      <c r="V376" s="1011">
        <f t="shared" ca="1" si="245"/>
        <v>5.1159076974727213E-13</v>
      </c>
      <c r="W376" s="1011">
        <f t="shared" ca="1" si="245"/>
        <v>5.1159076974727213E-13</v>
      </c>
      <c r="X376" s="1011">
        <f t="shared" ca="1" si="245"/>
        <v>5.1159076974727213E-13</v>
      </c>
      <c r="Y376" s="1011">
        <f t="shared" ca="1" si="245"/>
        <v>5.1159076974727213E-13</v>
      </c>
      <c r="Z376" s="1011">
        <f t="shared" ca="1" si="245"/>
        <v>5.1159076974727213E-13</v>
      </c>
      <c r="AA376" s="1011">
        <f t="shared" ref="AA376:AF376" ca="1" si="246">Z376-AA601</f>
        <v>5.1159076974727213E-13</v>
      </c>
      <c r="AB376" s="1011">
        <f t="shared" ca="1" si="246"/>
        <v>5.1159076974727213E-13</v>
      </c>
      <c r="AC376" s="1011">
        <f t="shared" ca="1" si="246"/>
        <v>5.1159076974727213E-13</v>
      </c>
      <c r="AD376" s="1011">
        <f t="shared" ca="1" si="246"/>
        <v>5.1159076974727213E-13</v>
      </c>
      <c r="AE376" s="1011">
        <f t="shared" ca="1" si="246"/>
        <v>5.1159076974727213E-13</v>
      </c>
      <c r="AF376" s="1011">
        <f t="shared" ca="1" si="246"/>
        <v>5.1159076974727213E-13</v>
      </c>
      <c r="AG376" s="818"/>
    </row>
    <row r="377" spans="1:33">
      <c r="A377" s="1046" t="s">
        <v>662</v>
      </c>
      <c r="B377" s="818"/>
      <c r="C377" s="1010"/>
      <c r="D377" s="1010"/>
      <c r="E377" s="1047">
        <f t="shared" ref="E377:Z377" si="247">SUM(E375:E376)</f>
        <v>0</v>
      </c>
      <c r="F377" s="1047">
        <f t="shared" si="247"/>
        <v>0</v>
      </c>
      <c r="G377" s="1047">
        <f t="shared" si="247"/>
        <v>0</v>
      </c>
      <c r="H377" s="1048">
        <f t="shared" ca="1" si="247"/>
        <v>54620.11144427945</v>
      </c>
      <c r="I377" s="1047">
        <f t="shared" ca="1" si="247"/>
        <v>50848.464628595153</v>
      </c>
      <c r="J377" s="1047">
        <f t="shared" ca="1" si="247"/>
        <v>43305.170997226567</v>
      </c>
      <c r="K377" s="1047">
        <f t="shared" ca="1" si="247"/>
        <v>35761.877365857981</v>
      </c>
      <c r="L377" s="1047">
        <f t="shared" ca="1" si="247"/>
        <v>28218.583734489392</v>
      </c>
      <c r="M377" s="1047">
        <f t="shared" ca="1" si="247"/>
        <v>20675.290103120802</v>
      </c>
      <c r="N377" s="1047">
        <f t="shared" ca="1" si="247"/>
        <v>13131.996471752216</v>
      </c>
      <c r="O377" s="1047">
        <f t="shared" ca="1" si="247"/>
        <v>5588.7028403836284</v>
      </c>
      <c r="P377" s="1047">
        <f t="shared" ca="1" si="247"/>
        <v>1514.2133539161114</v>
      </c>
      <c r="Q377" s="1047">
        <f t="shared" ca="1" si="247"/>
        <v>908.52801234966466</v>
      </c>
      <c r="R377" s="1047">
        <f t="shared" ca="1" si="247"/>
        <v>302.84267078321795</v>
      </c>
      <c r="S377" s="1047">
        <f t="shared" ca="1" si="247"/>
        <v>-5.4001247917767614E-12</v>
      </c>
      <c r="T377" s="1047">
        <f t="shared" ca="1" si="247"/>
        <v>-5.4001247917767614E-12</v>
      </c>
      <c r="U377" s="1047">
        <f t="shared" ca="1" si="247"/>
        <v>-5.4001247917767614E-12</v>
      </c>
      <c r="V377" s="1047">
        <f t="shared" ca="1" si="247"/>
        <v>-5.4001247917767614E-12</v>
      </c>
      <c r="W377" s="1047">
        <f t="shared" ca="1" si="247"/>
        <v>-5.4001247917767614E-12</v>
      </c>
      <c r="X377" s="1047">
        <f t="shared" ca="1" si="247"/>
        <v>-5.4001247917767614E-12</v>
      </c>
      <c r="Y377" s="1047">
        <f t="shared" ca="1" si="247"/>
        <v>-5.4001247917767614E-12</v>
      </c>
      <c r="Z377" s="1047">
        <f t="shared" ca="1" si="247"/>
        <v>-5.4001247917767614E-12</v>
      </c>
      <c r="AA377" s="1047">
        <f t="shared" ref="AA377:AF377" ca="1" si="248">SUM(AA375:AA376)</f>
        <v>-5.4001247917767614E-12</v>
      </c>
      <c r="AB377" s="1047">
        <f t="shared" ca="1" si="248"/>
        <v>-5.4001247917767614E-12</v>
      </c>
      <c r="AC377" s="1047">
        <f t="shared" ca="1" si="248"/>
        <v>-5.4001247917767614E-12</v>
      </c>
      <c r="AD377" s="1047">
        <f t="shared" ca="1" si="248"/>
        <v>-5.4001247917767614E-12</v>
      </c>
      <c r="AE377" s="1047">
        <f t="shared" ca="1" si="248"/>
        <v>-5.4001247917767614E-12</v>
      </c>
      <c r="AF377" s="1047">
        <f t="shared" ca="1" si="248"/>
        <v>-5.4001247917767614E-12</v>
      </c>
      <c r="AG377" s="818"/>
    </row>
    <row r="378" spans="1:33">
      <c r="A378" s="818"/>
      <c r="B378" s="818"/>
      <c r="C378" s="1010"/>
      <c r="D378" s="1010"/>
      <c r="E378" s="1011"/>
      <c r="F378" s="1011"/>
      <c r="G378" s="1011"/>
      <c r="H378" s="1022"/>
      <c r="I378" s="1011"/>
      <c r="J378" s="1011"/>
      <c r="K378" s="1011"/>
      <c r="L378" s="1011"/>
      <c r="M378" s="1011"/>
      <c r="N378" s="1011"/>
      <c r="O378" s="1011"/>
      <c r="P378" s="1011"/>
      <c r="Q378" s="1011"/>
      <c r="R378" s="1011"/>
      <c r="S378" s="1011"/>
      <c r="T378" s="1011"/>
      <c r="U378" s="1011"/>
      <c r="V378" s="1011"/>
      <c r="W378" s="1011"/>
      <c r="X378" s="1011"/>
      <c r="Y378" s="1011"/>
      <c r="Z378" s="1011"/>
      <c r="AA378" s="1011"/>
      <c r="AB378" s="1011"/>
      <c r="AC378" s="1011"/>
      <c r="AD378" s="1011"/>
      <c r="AE378" s="1011"/>
      <c r="AF378" s="1011"/>
      <c r="AG378" s="818"/>
    </row>
    <row r="379" spans="1:33">
      <c r="A379" s="818" t="str">
        <f>A494</f>
        <v>Gross PP&amp;E</v>
      </c>
      <c r="B379" s="818"/>
      <c r="C379" s="1010"/>
      <c r="D379" s="1010"/>
      <c r="E379" s="1011">
        <f t="shared" ref="E379:G380" si="249">E494</f>
        <v>0</v>
      </c>
      <c r="F379" s="1011">
        <f t="shared" si="249"/>
        <v>0</v>
      </c>
      <c r="G379" s="1011">
        <f t="shared" si="249"/>
        <v>0</v>
      </c>
      <c r="H379" s="1022">
        <f ca="1">N494</f>
        <v>479637.11633199977</v>
      </c>
      <c r="I379" s="1011">
        <f ca="1">H379-I612+(I729-I731-I732)-H459</f>
        <v>479637.11633199977</v>
      </c>
      <c r="J379" s="1011">
        <f t="shared" ref="J379:AF379" ca="1" si="250">I379-J612+(J729-J731-J732)</f>
        <v>479637.11633199977</v>
      </c>
      <c r="K379" s="1011">
        <f t="shared" ca="1" si="250"/>
        <v>479637.11633199977</v>
      </c>
      <c r="L379" s="1011">
        <f t="shared" ca="1" si="250"/>
        <v>479637.11633199977</v>
      </c>
      <c r="M379" s="1011">
        <f t="shared" ca="1" si="250"/>
        <v>479637.11633199977</v>
      </c>
      <c r="N379" s="1011">
        <f t="shared" ca="1" si="250"/>
        <v>479637.11633199977</v>
      </c>
      <c r="O379" s="1011">
        <f t="shared" ca="1" si="250"/>
        <v>479637.11633199977</v>
      </c>
      <c r="P379" s="1011">
        <f t="shared" ca="1" si="250"/>
        <v>479637.11633199977</v>
      </c>
      <c r="Q379" s="1011">
        <f t="shared" ca="1" si="250"/>
        <v>479637.11633199977</v>
      </c>
      <c r="R379" s="1011">
        <f t="shared" ca="1" si="250"/>
        <v>479637.11633199977</v>
      </c>
      <c r="S379" s="1011">
        <f t="shared" ca="1" si="250"/>
        <v>479637.11633199977</v>
      </c>
      <c r="T379" s="1011">
        <f t="shared" ca="1" si="250"/>
        <v>479637.11633199977</v>
      </c>
      <c r="U379" s="1011">
        <f t="shared" ca="1" si="250"/>
        <v>479637.11633199977</v>
      </c>
      <c r="V379" s="1011">
        <f t="shared" ca="1" si="250"/>
        <v>479637.11633199977</v>
      </c>
      <c r="W379" s="1011">
        <f t="shared" ca="1" si="250"/>
        <v>479637.11633199977</v>
      </c>
      <c r="X379" s="1011">
        <f t="shared" ca="1" si="250"/>
        <v>479637.11633199977</v>
      </c>
      <c r="Y379" s="1011">
        <f t="shared" ca="1" si="250"/>
        <v>479637.11633199977</v>
      </c>
      <c r="Z379" s="1011">
        <f t="shared" ca="1" si="250"/>
        <v>479637.11633199977</v>
      </c>
      <c r="AA379" s="1011">
        <f t="shared" ca="1" si="250"/>
        <v>479637.11633199977</v>
      </c>
      <c r="AB379" s="1011">
        <f t="shared" ca="1" si="250"/>
        <v>479637.11633199977</v>
      </c>
      <c r="AC379" s="1011">
        <f t="shared" ca="1" si="250"/>
        <v>479637.11633199977</v>
      </c>
      <c r="AD379" s="1011">
        <f t="shared" ca="1" si="250"/>
        <v>479637.11633199977</v>
      </c>
      <c r="AE379" s="1011">
        <f t="shared" ca="1" si="250"/>
        <v>479637.11633199977</v>
      </c>
      <c r="AF379" s="1011">
        <f t="shared" ca="1" si="250"/>
        <v>479637.11633199977</v>
      </c>
      <c r="AG379" s="818"/>
    </row>
    <row r="380" spans="1:33">
      <c r="A380" s="818" t="str">
        <f>A495</f>
        <v>Accumulated Depreciation</v>
      </c>
      <c r="B380" s="818"/>
      <c r="C380" s="1010"/>
      <c r="D380" s="1010"/>
      <c r="E380" s="1011">
        <f t="shared" si="249"/>
        <v>0</v>
      </c>
      <c r="F380" s="1011">
        <f t="shared" si="249"/>
        <v>0</v>
      </c>
      <c r="G380" s="1011">
        <f t="shared" si="249"/>
        <v>0</v>
      </c>
      <c r="H380" s="1022">
        <f>N495</f>
        <v>0</v>
      </c>
      <c r="I380" s="1011">
        <f t="shared" ref="I380:AF380" ca="1" si="251">H380+I613-I292</f>
        <v>-11990.927908299995</v>
      </c>
      <c r="J380" s="1011">
        <f t="shared" ca="1" si="251"/>
        <v>-35972.783724899986</v>
      </c>
      <c r="K380" s="1011">
        <f t="shared" ca="1" si="251"/>
        <v>-59954.639541499972</v>
      </c>
      <c r="L380" s="1011">
        <f t="shared" ca="1" si="251"/>
        <v>-83936.495358099957</v>
      </c>
      <c r="M380" s="1011">
        <f t="shared" ca="1" si="251"/>
        <v>-107918.35117469994</v>
      </c>
      <c r="N380" s="1011">
        <f t="shared" ca="1" si="251"/>
        <v>-131900.20699129993</v>
      </c>
      <c r="O380" s="1011">
        <f t="shared" ca="1" si="251"/>
        <v>-155882.06280789993</v>
      </c>
      <c r="P380" s="1011">
        <f t="shared" ca="1" si="251"/>
        <v>-179863.91862449993</v>
      </c>
      <c r="Q380" s="1011">
        <f t="shared" ca="1" si="251"/>
        <v>-203845.77444109993</v>
      </c>
      <c r="R380" s="1011">
        <f t="shared" ca="1" si="251"/>
        <v>-227827.63025769993</v>
      </c>
      <c r="S380" s="1011">
        <f t="shared" ca="1" si="251"/>
        <v>-251809.48607429993</v>
      </c>
      <c r="T380" s="1011">
        <f t="shared" ca="1" si="251"/>
        <v>-275791.34189089993</v>
      </c>
      <c r="U380" s="1011">
        <f t="shared" ca="1" si="251"/>
        <v>-299773.1977074999</v>
      </c>
      <c r="V380" s="1011">
        <f t="shared" ca="1" si="251"/>
        <v>-323755.05352409987</v>
      </c>
      <c r="W380" s="1011">
        <f t="shared" ca="1" si="251"/>
        <v>-347736.90934069984</v>
      </c>
      <c r="X380" s="1011">
        <f t="shared" ca="1" si="251"/>
        <v>-371718.76515729981</v>
      </c>
      <c r="Y380" s="1011">
        <f t="shared" ca="1" si="251"/>
        <v>-395700.62097389979</v>
      </c>
      <c r="Z380" s="1011">
        <f t="shared" ca="1" si="251"/>
        <v>-419682.47679049976</v>
      </c>
      <c r="AA380" s="1011">
        <f t="shared" ca="1" si="251"/>
        <v>-443664.33260709973</v>
      </c>
      <c r="AB380" s="1011">
        <f t="shared" ca="1" si="251"/>
        <v>-467646.1884236997</v>
      </c>
      <c r="AC380" s="1011">
        <f t="shared" ca="1" si="251"/>
        <v>-479637.11633199971</v>
      </c>
      <c r="AD380" s="1011">
        <f t="shared" ca="1" si="251"/>
        <v>-479637.11633199971</v>
      </c>
      <c r="AE380" s="1011">
        <f t="shared" ca="1" si="251"/>
        <v>-479637.11633199971</v>
      </c>
      <c r="AF380" s="1011">
        <f t="shared" ca="1" si="251"/>
        <v>-479637.11633199971</v>
      </c>
      <c r="AG380" s="818"/>
    </row>
    <row r="381" spans="1:33">
      <c r="A381" s="1046" t="str">
        <f>A496</f>
        <v>Net PP&amp;E</v>
      </c>
      <c r="B381" s="818"/>
      <c r="C381" s="1011"/>
      <c r="D381" s="1011"/>
      <c r="E381" s="1020">
        <f t="shared" ref="E381:Z381" si="252">E379+E380</f>
        <v>0</v>
      </c>
      <c r="F381" s="1020">
        <f t="shared" si="252"/>
        <v>0</v>
      </c>
      <c r="G381" s="1020">
        <f t="shared" si="252"/>
        <v>0</v>
      </c>
      <c r="H381" s="1021">
        <f t="shared" ca="1" si="252"/>
        <v>479637.11633199977</v>
      </c>
      <c r="I381" s="1020">
        <f t="shared" ca="1" si="252"/>
        <v>467646.18842369976</v>
      </c>
      <c r="J381" s="1020">
        <f t="shared" ca="1" si="252"/>
        <v>443664.33260709979</v>
      </c>
      <c r="K381" s="1020">
        <f t="shared" ca="1" si="252"/>
        <v>419682.47679049982</v>
      </c>
      <c r="L381" s="1020">
        <f t="shared" ca="1" si="252"/>
        <v>395700.62097389984</v>
      </c>
      <c r="M381" s="1020">
        <f t="shared" ca="1" si="252"/>
        <v>371718.76515729981</v>
      </c>
      <c r="N381" s="1020">
        <f t="shared" ca="1" si="252"/>
        <v>347736.90934069984</v>
      </c>
      <c r="O381" s="1020">
        <f t="shared" ca="1" si="252"/>
        <v>323755.05352409987</v>
      </c>
      <c r="P381" s="1020">
        <f t="shared" ca="1" si="252"/>
        <v>299773.19770749984</v>
      </c>
      <c r="Q381" s="1020">
        <f t="shared" ca="1" si="252"/>
        <v>275791.34189089981</v>
      </c>
      <c r="R381" s="1020">
        <f t="shared" ca="1" si="252"/>
        <v>251809.48607429984</v>
      </c>
      <c r="S381" s="1020">
        <f t="shared" ca="1" si="252"/>
        <v>227827.63025769984</v>
      </c>
      <c r="T381" s="1020">
        <f t="shared" ca="1" si="252"/>
        <v>203845.77444109984</v>
      </c>
      <c r="U381" s="1020">
        <f t="shared" ca="1" si="252"/>
        <v>179863.91862449987</v>
      </c>
      <c r="V381" s="1020">
        <f t="shared" ca="1" si="252"/>
        <v>155882.0628078999</v>
      </c>
      <c r="W381" s="1020">
        <f t="shared" ca="1" si="252"/>
        <v>131900.20699129993</v>
      </c>
      <c r="X381" s="1020">
        <f t="shared" ca="1" si="252"/>
        <v>107918.35117469996</v>
      </c>
      <c r="Y381" s="1020">
        <f t="shared" ca="1" si="252"/>
        <v>83936.495358099986</v>
      </c>
      <c r="Z381" s="1020">
        <f t="shared" ca="1" si="252"/>
        <v>59954.639541500015</v>
      </c>
      <c r="AA381" s="1020">
        <f t="shared" ref="AA381:AF381" ca="1" si="253">AA379+AA380</f>
        <v>35972.783724900044</v>
      </c>
      <c r="AB381" s="1020">
        <f t="shared" ca="1" si="253"/>
        <v>11990.927908300073</v>
      </c>
      <c r="AC381" s="1020">
        <f t="shared" ca="1" si="253"/>
        <v>0</v>
      </c>
      <c r="AD381" s="1020">
        <f t="shared" ca="1" si="253"/>
        <v>0</v>
      </c>
      <c r="AE381" s="1020">
        <f t="shared" ca="1" si="253"/>
        <v>0</v>
      </c>
      <c r="AF381" s="1020">
        <f t="shared" ca="1" si="253"/>
        <v>0</v>
      </c>
      <c r="AG381" s="818"/>
    </row>
    <row r="382" spans="1:33">
      <c r="A382" s="818"/>
      <c r="B382" s="818"/>
      <c r="C382" s="1011"/>
      <c r="D382" s="1011"/>
      <c r="E382" s="1011"/>
      <c r="F382" s="1011"/>
      <c r="G382" s="1011"/>
      <c r="H382" s="1022"/>
      <c r="I382" s="1011"/>
      <c r="J382" s="1011"/>
      <c r="K382" s="1011"/>
      <c r="L382" s="1011"/>
      <c r="M382" s="1011"/>
      <c r="N382" s="1011"/>
      <c r="O382" s="1011"/>
      <c r="P382" s="1011"/>
      <c r="Q382" s="1011"/>
      <c r="R382" s="1011"/>
      <c r="S382" s="1011"/>
      <c r="T382" s="1011"/>
      <c r="U382" s="1011"/>
      <c r="V382" s="1011"/>
      <c r="W382" s="1011"/>
      <c r="X382" s="1011"/>
      <c r="Y382" s="1011"/>
      <c r="Z382" s="1011"/>
      <c r="AA382" s="1011"/>
      <c r="AB382" s="1011"/>
      <c r="AC382" s="1011"/>
      <c r="AD382" s="1011"/>
      <c r="AE382" s="1011"/>
      <c r="AF382" s="1011"/>
      <c r="AG382" s="818"/>
    </row>
    <row r="383" spans="1:33">
      <c r="A383" s="818" t="str">
        <f>A498</f>
        <v>Land</v>
      </c>
      <c r="B383" s="818"/>
      <c r="C383" s="1010"/>
      <c r="D383" s="1010"/>
      <c r="E383" s="1011">
        <f t="shared" ref="E383:G384" si="254">E498</f>
        <v>0</v>
      </c>
      <c r="F383" s="1011">
        <f t="shared" si="254"/>
        <v>0</v>
      </c>
      <c r="G383" s="1011">
        <f t="shared" si="254"/>
        <v>0</v>
      </c>
      <c r="H383" s="1022">
        <f>N498</f>
        <v>0</v>
      </c>
      <c r="I383" s="1011">
        <f>H383+I731-H460</f>
        <v>0</v>
      </c>
      <c r="J383" s="1011">
        <f t="shared" ref="J383:AF383" si="255">I383+J731</f>
        <v>0</v>
      </c>
      <c r="K383" s="1011">
        <f t="shared" si="255"/>
        <v>0</v>
      </c>
      <c r="L383" s="1011">
        <f t="shared" si="255"/>
        <v>0</v>
      </c>
      <c r="M383" s="1011">
        <f t="shared" si="255"/>
        <v>0</v>
      </c>
      <c r="N383" s="1011">
        <f t="shared" si="255"/>
        <v>0</v>
      </c>
      <c r="O383" s="1011">
        <f t="shared" si="255"/>
        <v>0</v>
      </c>
      <c r="P383" s="1011">
        <f t="shared" si="255"/>
        <v>0</v>
      </c>
      <c r="Q383" s="1011">
        <f t="shared" si="255"/>
        <v>0</v>
      </c>
      <c r="R383" s="1011">
        <f t="shared" si="255"/>
        <v>0</v>
      </c>
      <c r="S383" s="1011">
        <f t="shared" si="255"/>
        <v>0</v>
      </c>
      <c r="T383" s="1011">
        <f t="shared" si="255"/>
        <v>0</v>
      </c>
      <c r="U383" s="1011">
        <f t="shared" si="255"/>
        <v>0</v>
      </c>
      <c r="V383" s="1011">
        <f t="shared" si="255"/>
        <v>0</v>
      </c>
      <c r="W383" s="1011">
        <f t="shared" si="255"/>
        <v>0</v>
      </c>
      <c r="X383" s="1011">
        <f t="shared" si="255"/>
        <v>0</v>
      </c>
      <c r="Y383" s="1011">
        <f t="shared" si="255"/>
        <v>0</v>
      </c>
      <c r="Z383" s="1011">
        <f t="shared" si="255"/>
        <v>0</v>
      </c>
      <c r="AA383" s="1011">
        <f t="shared" si="255"/>
        <v>0</v>
      </c>
      <c r="AB383" s="1011">
        <f t="shared" si="255"/>
        <v>0</v>
      </c>
      <c r="AC383" s="1011">
        <f t="shared" si="255"/>
        <v>0</v>
      </c>
      <c r="AD383" s="1011">
        <f t="shared" si="255"/>
        <v>0</v>
      </c>
      <c r="AE383" s="1011">
        <f t="shared" si="255"/>
        <v>0</v>
      </c>
      <c r="AF383" s="1011">
        <f t="shared" si="255"/>
        <v>0</v>
      </c>
      <c r="AG383" s="818"/>
    </row>
    <row r="384" spans="1:33">
      <c r="A384" s="818" t="str">
        <f>A499</f>
        <v>Other Assets</v>
      </c>
      <c r="B384" s="818"/>
      <c r="C384" s="1010"/>
      <c r="D384" s="1010"/>
      <c r="E384" s="1011">
        <f t="shared" si="254"/>
        <v>0</v>
      </c>
      <c r="F384" s="1011">
        <f t="shared" si="254"/>
        <v>0</v>
      </c>
      <c r="G384" s="1011">
        <f t="shared" si="254"/>
        <v>0</v>
      </c>
      <c r="H384" s="1022">
        <f>N499</f>
        <v>0</v>
      </c>
      <c r="I384" s="1011">
        <f t="shared" ref="I384:AF384" ca="1" si="256">H384+I342</f>
        <v>7097.8750964817973</v>
      </c>
      <c r="J384" s="1011">
        <f t="shared" ca="1" si="256"/>
        <v>18968.26781704936</v>
      </c>
      <c r="K384" s="1011">
        <f t="shared" ca="1" si="256"/>
        <v>18946.263381282573</v>
      </c>
      <c r="L384" s="1011">
        <f t="shared" ca="1" si="256"/>
        <v>18922.196029662649</v>
      </c>
      <c r="M384" s="1011">
        <f t="shared" ca="1" si="256"/>
        <v>18895.872363828352</v>
      </c>
      <c r="N384" s="1011">
        <f t="shared" ca="1" si="256"/>
        <v>18867.080854322096</v>
      </c>
      <c r="O384" s="1011">
        <f t="shared" ca="1" si="256"/>
        <v>18835.590140799624</v>
      </c>
      <c r="P384" s="1011">
        <f t="shared" ca="1" si="256"/>
        <v>18801.147172884419</v>
      </c>
      <c r="Q384" s="1011">
        <f t="shared" ca="1" si="256"/>
        <v>18763.47517672717</v>
      </c>
      <c r="R384" s="1011">
        <f t="shared" ca="1" si="256"/>
        <v>18722.271430930174</v>
      </c>
      <c r="S384" s="1011">
        <f t="shared" ca="1" si="256"/>
        <v>18677.204833964715</v>
      </c>
      <c r="T384" s="1011">
        <f t="shared" ca="1" si="256"/>
        <v>18627.913243533738</v>
      </c>
      <c r="U384" s="1011">
        <f t="shared" ca="1" si="256"/>
        <v>18574.000566499864</v>
      </c>
      <c r="V384" s="1011">
        <f t="shared" ca="1" si="256"/>
        <v>18515.033575994061</v>
      </c>
      <c r="W384" s="1011">
        <f t="shared" ca="1" si="256"/>
        <v>18450.538430128334</v>
      </c>
      <c r="X384" s="1011">
        <f t="shared" ca="1" si="256"/>
        <v>18379.996864337696</v>
      </c>
      <c r="Y384" s="1011">
        <f t="shared" ca="1" si="256"/>
        <v>0</v>
      </c>
      <c r="Z384" s="1011">
        <f t="shared" ca="1" si="256"/>
        <v>1.7053025658242404E-12</v>
      </c>
      <c r="AA384" s="1011">
        <f t="shared" ca="1" si="256"/>
        <v>1.7053025658242404E-12</v>
      </c>
      <c r="AB384" s="1011">
        <f t="shared" ca="1" si="256"/>
        <v>1.7053025658242404E-12</v>
      </c>
      <c r="AC384" s="1011">
        <f t="shared" ca="1" si="256"/>
        <v>1.7053025658242404E-12</v>
      </c>
      <c r="AD384" s="1011">
        <f t="shared" ca="1" si="256"/>
        <v>1.7053025658242404E-12</v>
      </c>
      <c r="AE384" s="1011">
        <f t="shared" ca="1" si="256"/>
        <v>1.7053025658242404E-12</v>
      </c>
      <c r="AF384" s="1011">
        <f t="shared" ca="1" si="256"/>
        <v>1.7053025658242404E-12</v>
      </c>
      <c r="AG384" s="818"/>
    </row>
    <row r="385" spans="1:33" ht="12" thickBot="1">
      <c r="A385" s="1046" t="str">
        <f>A500</f>
        <v>Total Assets</v>
      </c>
      <c r="B385" s="818"/>
      <c r="C385" s="1011"/>
      <c r="D385" s="1011"/>
      <c r="E385" s="1034">
        <f t="shared" ref="E385:Z385" si="257">E373+E377+E381+E383+E384</f>
        <v>0</v>
      </c>
      <c r="F385" s="1034">
        <f t="shared" si="257"/>
        <v>0</v>
      </c>
      <c r="G385" s="1034">
        <f t="shared" si="257"/>
        <v>0</v>
      </c>
      <c r="H385" s="1049">
        <f t="shared" ca="1" si="257"/>
        <v>569607.5923209131</v>
      </c>
      <c r="I385" s="1034">
        <f t="shared" ca="1" si="257"/>
        <v>579327.71939219185</v>
      </c>
      <c r="J385" s="1034">
        <f t="shared" ca="1" si="257"/>
        <v>582289.79428032914</v>
      </c>
      <c r="K385" s="1034">
        <f t="shared" ca="1" si="257"/>
        <v>595998.08160166733</v>
      </c>
      <c r="L385" s="1034">
        <f t="shared" ca="1" si="257"/>
        <v>610918.13406891981</v>
      </c>
      <c r="M385" s="1034">
        <f t="shared" ca="1" si="257"/>
        <v>623268.31272216956</v>
      </c>
      <c r="N385" s="1034">
        <f t="shared" ca="1" si="257"/>
        <v>629291.95259478199</v>
      </c>
      <c r="O385" s="1034">
        <f t="shared" ca="1" si="257"/>
        <v>631819.29990982346</v>
      </c>
      <c r="P385" s="1034">
        <f t="shared" ca="1" si="257"/>
        <v>650166.07121318101</v>
      </c>
      <c r="Q385" s="1034">
        <f t="shared" ca="1" si="257"/>
        <v>665298.44798957696</v>
      </c>
      <c r="R385" s="1034">
        <f t="shared" ca="1" si="257"/>
        <v>680477.91265085153</v>
      </c>
      <c r="S385" s="1034">
        <f t="shared" ca="1" si="257"/>
        <v>696673.88982419018</v>
      </c>
      <c r="T385" s="1034">
        <f t="shared" ca="1" si="257"/>
        <v>704927.58176439698</v>
      </c>
      <c r="U385" s="1034">
        <f t="shared" ca="1" si="257"/>
        <v>717801.40332456946</v>
      </c>
      <c r="V385" s="1034">
        <f t="shared" ca="1" si="257"/>
        <v>724791.24469749012</v>
      </c>
      <c r="W385" s="1034">
        <f t="shared" ca="1" si="257"/>
        <v>728130.77780661348</v>
      </c>
      <c r="X385" s="1034">
        <f t="shared" ca="1" si="257"/>
        <v>728471.91477370763</v>
      </c>
      <c r="Y385" s="1034">
        <f t="shared" ca="1" si="257"/>
        <v>766203.9398217143</v>
      </c>
      <c r="Z385" s="1034">
        <f t="shared" ca="1" si="257"/>
        <v>799742.32077345555</v>
      </c>
      <c r="AA385" s="1034">
        <f t="shared" ref="AA385:AF385" ca="1" si="258">AA373+AA377+AA381+AA383+AA384</f>
        <v>832390.53904279438</v>
      </c>
      <c r="AB385" s="1034">
        <f t="shared" ca="1" si="258"/>
        <v>853800.42546534271</v>
      </c>
      <c r="AC385" s="1034">
        <f t="shared" ca="1" si="258"/>
        <v>777907.92353638751</v>
      </c>
      <c r="AD385" s="1034">
        <f t="shared" ca="1" si="258"/>
        <v>751406.00737267756</v>
      </c>
      <c r="AE385" s="1034">
        <f t="shared" ca="1" si="258"/>
        <v>724374.0528856935</v>
      </c>
      <c r="AF385" s="1034">
        <f t="shared" ca="1" si="258"/>
        <v>696801.45930897107</v>
      </c>
      <c r="AG385" s="818"/>
    </row>
    <row r="386" spans="1:33" ht="12" thickTop="1">
      <c r="A386" s="818"/>
      <c r="B386" s="818"/>
      <c r="C386" s="1011"/>
      <c r="D386" s="1011"/>
      <c r="E386" s="1011"/>
      <c r="F386" s="1011"/>
      <c r="G386" s="1011"/>
      <c r="H386" s="1011"/>
      <c r="I386" s="1011"/>
      <c r="J386" s="1011"/>
      <c r="K386" s="1011"/>
      <c r="L386" s="1011"/>
      <c r="M386" s="1011"/>
      <c r="N386" s="1011"/>
      <c r="O386" s="1011"/>
      <c r="P386" s="1011"/>
      <c r="Q386" s="1011"/>
      <c r="R386" s="1011"/>
      <c r="S386" s="1011"/>
      <c r="T386" s="1011"/>
      <c r="U386" s="1011"/>
      <c r="V386" s="1011"/>
      <c r="W386" s="1011"/>
      <c r="X386" s="1011"/>
      <c r="Y386" s="1011"/>
      <c r="Z386" s="1011"/>
      <c r="AA386" s="1011"/>
      <c r="AB386" s="1011"/>
      <c r="AC386" s="1011"/>
      <c r="AD386" s="1011"/>
      <c r="AE386" s="1011"/>
      <c r="AF386" s="1011"/>
      <c r="AG386" s="818"/>
    </row>
    <row r="387" spans="1:33">
      <c r="A387" s="1046" t="str">
        <f>A502</f>
        <v>LIABILITIES &amp; EQUITY:</v>
      </c>
      <c r="B387" s="818"/>
      <c r="C387" s="1010"/>
      <c r="D387" s="1010"/>
      <c r="E387" s="1010"/>
      <c r="F387" s="1010"/>
      <c r="G387" s="1011"/>
      <c r="H387" s="1011"/>
      <c r="I387" s="1011"/>
      <c r="J387" s="1011"/>
      <c r="K387" s="1011"/>
      <c r="L387" s="1011"/>
      <c r="M387" s="1011"/>
      <c r="N387" s="1011"/>
      <c r="O387" s="1011"/>
      <c r="P387" s="1011"/>
      <c r="Q387" s="1011"/>
      <c r="R387" s="1011"/>
      <c r="S387" s="1011"/>
      <c r="T387" s="1011"/>
      <c r="U387" s="1011"/>
      <c r="V387" s="1011"/>
      <c r="W387" s="1011"/>
      <c r="X387" s="1011"/>
      <c r="Y387" s="1011"/>
      <c r="Z387" s="1011"/>
      <c r="AA387" s="1011"/>
      <c r="AB387" s="1011"/>
      <c r="AC387" s="1011"/>
      <c r="AD387" s="1011"/>
      <c r="AE387" s="1011"/>
      <c r="AF387" s="1011"/>
      <c r="AG387" s="818"/>
    </row>
    <row r="388" spans="1:33">
      <c r="A388" s="818" t="str">
        <f>A503</f>
        <v>Accounts Payable</v>
      </c>
      <c r="B388" s="818"/>
      <c r="C388" s="1011"/>
      <c r="D388" s="1011"/>
      <c r="E388" s="1011">
        <f t="shared" ref="E388:G391" si="259">E503</f>
        <v>0</v>
      </c>
      <c r="F388" s="1011">
        <f t="shared" si="259"/>
        <v>0</v>
      </c>
      <c r="G388" s="1011">
        <f t="shared" si="259"/>
        <v>0</v>
      </c>
      <c r="H388" s="1026">
        <f ca="1">N503</f>
        <v>10040.306107548124</v>
      </c>
      <c r="I388" s="1011">
        <f t="shared" ref="I388:Z388" ca="1" si="260">I543</f>
        <v>10040.306107548124</v>
      </c>
      <c r="J388" s="1011">
        <f t="shared" ca="1" si="260"/>
        <v>10040.306107548122</v>
      </c>
      <c r="K388" s="1011">
        <f t="shared" ca="1" si="260"/>
        <v>10306.967392437524</v>
      </c>
      <c r="L388" s="1011">
        <f t="shared" ca="1" si="260"/>
        <v>10530.029402512839</v>
      </c>
      <c r="M388" s="1011">
        <f t="shared" ca="1" si="260"/>
        <v>10928.489258997315</v>
      </c>
      <c r="N388" s="1011">
        <f t="shared" ca="1" si="260"/>
        <v>11344.624718582256</v>
      </c>
      <c r="O388" s="1011">
        <f t="shared" ca="1" si="260"/>
        <v>11221.900008174853</v>
      </c>
      <c r="P388" s="1011">
        <f t="shared" ca="1" si="260"/>
        <v>12051.845340980159</v>
      </c>
      <c r="Q388" s="1011">
        <f t="shared" ca="1" si="260"/>
        <v>12425.159893917733</v>
      </c>
      <c r="R388" s="1011">
        <f t="shared" ca="1" si="260"/>
        <v>12670.274640003458</v>
      </c>
      <c r="S388" s="1011">
        <f t="shared" ca="1" si="260"/>
        <v>13124.957776940473</v>
      </c>
      <c r="T388" s="1011">
        <f t="shared" ca="1" si="260"/>
        <v>13488.440823518702</v>
      </c>
      <c r="U388" s="1011">
        <f t="shared" ca="1" si="260"/>
        <v>13079.0688248386</v>
      </c>
      <c r="V388" s="1011">
        <f t="shared" ca="1" si="260"/>
        <v>14079.06743755153</v>
      </c>
      <c r="W388" s="1011">
        <f t="shared" ca="1" si="260"/>
        <v>14529.465681753394</v>
      </c>
      <c r="X388" s="1011">
        <f t="shared" ca="1" si="260"/>
        <v>14843.58050267273</v>
      </c>
      <c r="Y388" s="1011">
        <f t="shared" ca="1" si="260"/>
        <v>15374.64655310311</v>
      </c>
      <c r="Z388" s="1011">
        <f t="shared" ca="1" si="260"/>
        <v>15612.657098310419</v>
      </c>
      <c r="AA388" s="1011">
        <f t="shared" ref="AA388:AF390" ca="1" si="261">AA543</f>
        <v>14958.980314855748</v>
      </c>
      <c r="AB388" s="1011">
        <f t="shared" ca="1" si="261"/>
        <v>14702.865544058926</v>
      </c>
      <c r="AC388" s="1011">
        <f t="shared" si="261"/>
        <v>0</v>
      </c>
      <c r="AD388" s="1011">
        <f t="shared" si="261"/>
        <v>0</v>
      </c>
      <c r="AE388" s="1011">
        <f t="shared" si="261"/>
        <v>0</v>
      </c>
      <c r="AF388" s="1011">
        <f t="shared" si="261"/>
        <v>0</v>
      </c>
      <c r="AG388" s="818"/>
    </row>
    <row r="389" spans="1:33">
      <c r="A389" s="818" t="str">
        <f>A504</f>
        <v>Accrued Expenses</v>
      </c>
      <c r="B389" s="818"/>
      <c r="C389" s="1011"/>
      <c r="D389" s="1011"/>
      <c r="E389" s="1011">
        <f t="shared" si="259"/>
        <v>0</v>
      </c>
      <c r="F389" s="1011">
        <f t="shared" si="259"/>
        <v>0</v>
      </c>
      <c r="G389" s="1011">
        <f t="shared" si="259"/>
        <v>0</v>
      </c>
      <c r="H389" s="1026">
        <f ca="1">N504</f>
        <v>18264.355014727509</v>
      </c>
      <c r="I389" s="1011">
        <f t="shared" ref="I389:Z389" ca="1" si="262">I544</f>
        <v>18264.355014727509</v>
      </c>
      <c r="J389" s="1011">
        <f t="shared" ca="1" si="262"/>
        <v>18264.355014727509</v>
      </c>
      <c r="K389" s="1011">
        <f t="shared" ca="1" si="262"/>
        <v>20036.784107267929</v>
      </c>
      <c r="L389" s="1011">
        <f t="shared" ca="1" si="262"/>
        <v>20821.441270844982</v>
      </c>
      <c r="M389" s="1011">
        <f t="shared" ca="1" si="262"/>
        <v>21130.308404458101</v>
      </c>
      <c r="N389" s="1011">
        <f t="shared" ca="1" si="262"/>
        <v>20936.466565666691</v>
      </c>
      <c r="O389" s="1011">
        <f t="shared" ca="1" si="262"/>
        <v>20617.295467042568</v>
      </c>
      <c r="P389" s="1011">
        <f t="shared" ca="1" si="262"/>
        <v>23137.606831545127</v>
      </c>
      <c r="Q389" s="1011">
        <f t="shared" ca="1" si="262"/>
        <v>23307.111345779591</v>
      </c>
      <c r="R389" s="1011">
        <f t="shared" ca="1" si="262"/>
        <v>23687.655279328304</v>
      </c>
      <c r="S389" s="1011">
        <f t="shared" ca="1" si="262"/>
        <v>24349.288280308854</v>
      </c>
      <c r="T389" s="1011">
        <f t="shared" ca="1" si="262"/>
        <v>23879.633172819398</v>
      </c>
      <c r="U389" s="1011">
        <f t="shared" ca="1" si="262"/>
        <v>24273.973930705717</v>
      </c>
      <c r="V389" s="1011">
        <f t="shared" ca="1" si="262"/>
        <v>24458.471434900541</v>
      </c>
      <c r="W389" s="1011">
        <f t="shared" ca="1" si="262"/>
        <v>24662.944123840265</v>
      </c>
      <c r="X389" s="1011">
        <f t="shared" ca="1" si="262"/>
        <v>24789.801931616683</v>
      </c>
      <c r="Y389" s="1011">
        <f t="shared" ca="1" si="262"/>
        <v>25458.084051546808</v>
      </c>
      <c r="Z389" s="1011">
        <f t="shared" ca="1" si="262"/>
        <v>25301.334373475271</v>
      </c>
      <c r="AA389" s="1011">
        <f t="shared" ca="1" si="261"/>
        <v>24726.256333745874</v>
      </c>
      <c r="AB389" s="1011">
        <f t="shared" ca="1" si="261"/>
        <v>22990.932602268167</v>
      </c>
      <c r="AC389" s="1011">
        <f t="shared" si="261"/>
        <v>0</v>
      </c>
      <c r="AD389" s="1011">
        <f t="shared" si="261"/>
        <v>0</v>
      </c>
      <c r="AE389" s="1011">
        <f t="shared" si="261"/>
        <v>0</v>
      </c>
      <c r="AF389" s="1011">
        <f t="shared" si="261"/>
        <v>0</v>
      </c>
      <c r="AG389" s="818"/>
    </row>
    <row r="390" spans="1:33">
      <c r="A390" s="818" t="str">
        <f>A505</f>
        <v>Other Payables</v>
      </c>
      <c r="B390" s="818"/>
      <c r="C390" s="1011"/>
      <c r="D390" s="1011"/>
      <c r="E390" s="1011">
        <f t="shared" si="259"/>
        <v>0</v>
      </c>
      <c r="F390" s="1011">
        <f t="shared" si="259"/>
        <v>0</v>
      </c>
      <c r="G390" s="1011">
        <f t="shared" si="259"/>
        <v>0</v>
      </c>
      <c r="H390" s="1026">
        <f ca="1">N505</f>
        <v>0</v>
      </c>
      <c r="I390" s="1011">
        <f t="shared" ref="I390:Z390" ca="1" si="263">I545</f>
        <v>0</v>
      </c>
      <c r="J390" s="1011">
        <f t="shared" si="263"/>
        <v>0</v>
      </c>
      <c r="K390" s="1011">
        <f t="shared" si="263"/>
        <v>0</v>
      </c>
      <c r="L390" s="1011">
        <f t="shared" si="263"/>
        <v>0</v>
      </c>
      <c r="M390" s="1011">
        <f t="shared" si="263"/>
        <v>0</v>
      </c>
      <c r="N390" s="1011">
        <f t="shared" si="263"/>
        <v>0</v>
      </c>
      <c r="O390" s="1011">
        <f t="shared" si="263"/>
        <v>0</v>
      </c>
      <c r="P390" s="1011">
        <f t="shared" si="263"/>
        <v>0</v>
      </c>
      <c r="Q390" s="1011">
        <f t="shared" si="263"/>
        <v>0</v>
      </c>
      <c r="R390" s="1011">
        <f t="shared" si="263"/>
        <v>0</v>
      </c>
      <c r="S390" s="1011">
        <f t="shared" si="263"/>
        <v>0</v>
      </c>
      <c r="T390" s="1011">
        <f t="shared" si="263"/>
        <v>0</v>
      </c>
      <c r="U390" s="1011">
        <f t="shared" si="263"/>
        <v>0</v>
      </c>
      <c r="V390" s="1011">
        <f t="shared" si="263"/>
        <v>0</v>
      </c>
      <c r="W390" s="1011">
        <f t="shared" si="263"/>
        <v>0</v>
      </c>
      <c r="X390" s="1011">
        <f t="shared" si="263"/>
        <v>0</v>
      </c>
      <c r="Y390" s="1011">
        <f t="shared" si="263"/>
        <v>0</v>
      </c>
      <c r="Z390" s="1011">
        <f t="shared" si="263"/>
        <v>0</v>
      </c>
      <c r="AA390" s="1011">
        <f t="shared" si="261"/>
        <v>0</v>
      </c>
      <c r="AB390" s="1011">
        <f t="shared" si="261"/>
        <v>0</v>
      </c>
      <c r="AC390" s="1011">
        <f t="shared" si="261"/>
        <v>0</v>
      </c>
      <c r="AD390" s="1011">
        <f t="shared" si="261"/>
        <v>0</v>
      </c>
      <c r="AE390" s="1011">
        <f t="shared" si="261"/>
        <v>0</v>
      </c>
      <c r="AF390" s="1011">
        <f t="shared" si="261"/>
        <v>0</v>
      </c>
      <c r="AG390" s="818"/>
    </row>
    <row r="391" spans="1:33">
      <c r="A391" s="818" t="str">
        <f>A506</f>
        <v>Current Maturities</v>
      </c>
      <c r="B391" s="818"/>
      <c r="C391" s="1010"/>
      <c r="D391" s="1010"/>
      <c r="E391" s="1011">
        <f t="shared" si="259"/>
        <v>0</v>
      </c>
      <c r="F391" s="1011">
        <f t="shared" si="259"/>
        <v>0</v>
      </c>
      <c r="G391" s="1011">
        <f t="shared" si="259"/>
        <v>0</v>
      </c>
      <c r="H391" s="1026">
        <f>N506</f>
        <v>0</v>
      </c>
      <c r="I391" s="1011">
        <f ca="1">+J423+J430+J416</f>
        <v>10014.463211196358</v>
      </c>
      <c r="J391" s="1011">
        <f t="shared" ref="J391:Z391" ca="1" si="264">+K423+K430+K416</f>
        <v>10953.319137246017</v>
      </c>
      <c r="K391" s="1011">
        <f t="shared" ca="1" si="264"/>
        <v>11980.192806362837</v>
      </c>
      <c r="L391" s="1011">
        <f t="shared" ca="1" si="264"/>
        <v>13103.335881959341</v>
      </c>
      <c r="M391" s="1011">
        <f t="shared" ca="1" si="264"/>
        <v>14331.773620893036</v>
      </c>
      <c r="N391" s="1011">
        <f t="shared" ca="1" si="264"/>
        <v>15675.377397851757</v>
      </c>
      <c r="O391" s="1011">
        <f t="shared" ca="1" si="264"/>
        <v>17144.944028900358</v>
      </c>
      <c r="P391" s="1011">
        <f t="shared" ca="1" si="264"/>
        <v>18752.282531609766</v>
      </c>
      <c r="Q391" s="1011">
        <f t="shared" ca="1" si="264"/>
        <v>20510.309018948181</v>
      </c>
      <c r="R391" s="1011">
        <f t="shared" ca="1" si="264"/>
        <v>22433.150489474574</v>
      </c>
      <c r="S391" s="1011">
        <f t="shared" ca="1" si="264"/>
        <v>24536.258347862815</v>
      </c>
      <c r="T391" s="1011">
        <f t="shared" ca="1" si="264"/>
        <v>26836.532567974959</v>
      </c>
      <c r="U391" s="1011">
        <f t="shared" ca="1" si="264"/>
        <v>29352.457496222614</v>
      </c>
      <c r="V391" s="1011">
        <f t="shared" ca="1" si="264"/>
        <v>32104.250386493481</v>
      </c>
      <c r="W391" s="1011">
        <f t="shared" ca="1" si="264"/>
        <v>35114.023860227237</v>
      </c>
      <c r="X391" s="1011">
        <f t="shared" ca="1" si="264"/>
        <v>0</v>
      </c>
      <c r="Y391" s="1011">
        <f t="shared" ca="1" si="264"/>
        <v>0</v>
      </c>
      <c r="Z391" s="1011">
        <f t="shared" ca="1" si="264"/>
        <v>0</v>
      </c>
      <c r="AA391" s="1011">
        <f t="shared" ref="AA391:AF391" ca="1" si="265">+AB423+AB430+AB416</f>
        <v>0</v>
      </c>
      <c r="AB391" s="1011">
        <f t="shared" ca="1" si="265"/>
        <v>0</v>
      </c>
      <c r="AC391" s="1011">
        <f t="shared" ca="1" si="265"/>
        <v>0</v>
      </c>
      <c r="AD391" s="1011">
        <f t="shared" ca="1" si="265"/>
        <v>0</v>
      </c>
      <c r="AE391" s="1011">
        <f t="shared" ca="1" si="265"/>
        <v>0</v>
      </c>
      <c r="AF391" s="1011">
        <f t="shared" si="265"/>
        <v>0</v>
      </c>
      <c r="AG391" s="818"/>
    </row>
    <row r="392" spans="1:33">
      <c r="A392" s="818" t="s">
        <v>663</v>
      </c>
      <c r="B392" s="818"/>
      <c r="C392" s="1010"/>
      <c r="D392" s="1010"/>
      <c r="E392" s="1011">
        <v>0</v>
      </c>
      <c r="F392" s="1011">
        <v>0</v>
      </c>
      <c r="G392" s="1011">
        <v>0</v>
      </c>
      <c r="H392" s="1050">
        <v>0</v>
      </c>
      <c r="I392" s="1015">
        <f ca="1">+I417-J416</f>
        <v>0</v>
      </c>
      <c r="J392" s="1013">
        <f t="shared" ref="J392:Z392" ca="1" si="266">+J417-K416</f>
        <v>0</v>
      </c>
      <c r="K392" s="1013">
        <f t="shared" ca="1" si="266"/>
        <v>0</v>
      </c>
      <c r="L392" s="1013">
        <f t="shared" ca="1" si="266"/>
        <v>0</v>
      </c>
      <c r="M392" s="1013">
        <f t="shared" ca="1" si="266"/>
        <v>0</v>
      </c>
      <c r="N392" s="1013">
        <f t="shared" ca="1" si="266"/>
        <v>0</v>
      </c>
      <c r="O392" s="1013">
        <f t="shared" ca="1" si="266"/>
        <v>0</v>
      </c>
      <c r="P392" s="1013">
        <f t="shared" ca="1" si="266"/>
        <v>0</v>
      </c>
      <c r="Q392" s="1013">
        <f t="shared" ca="1" si="266"/>
        <v>0</v>
      </c>
      <c r="R392" s="1013">
        <f t="shared" ca="1" si="266"/>
        <v>0</v>
      </c>
      <c r="S392" s="1013">
        <f t="shared" ca="1" si="266"/>
        <v>0</v>
      </c>
      <c r="T392" s="1013">
        <f t="shared" ca="1" si="266"/>
        <v>0</v>
      </c>
      <c r="U392" s="1013">
        <f t="shared" ca="1" si="266"/>
        <v>0</v>
      </c>
      <c r="V392" s="1013">
        <f t="shared" ca="1" si="266"/>
        <v>0</v>
      </c>
      <c r="W392" s="1013">
        <f t="shared" ca="1" si="266"/>
        <v>0</v>
      </c>
      <c r="X392" s="1013">
        <f t="shared" ca="1" si="266"/>
        <v>0</v>
      </c>
      <c r="Y392" s="1013">
        <f t="shared" ca="1" si="266"/>
        <v>0</v>
      </c>
      <c r="Z392" s="1013">
        <f t="shared" ca="1" si="266"/>
        <v>0</v>
      </c>
      <c r="AA392" s="1013">
        <f t="shared" ref="AA392:AF392" ca="1" si="267">+AA417-AB416</f>
        <v>0</v>
      </c>
      <c r="AB392" s="1013">
        <f t="shared" ca="1" si="267"/>
        <v>0</v>
      </c>
      <c r="AC392" s="1013">
        <f t="shared" ca="1" si="267"/>
        <v>0</v>
      </c>
      <c r="AD392" s="1013">
        <f t="shared" ca="1" si="267"/>
        <v>0</v>
      </c>
      <c r="AE392" s="1013">
        <f t="shared" ca="1" si="267"/>
        <v>0</v>
      </c>
      <c r="AF392" s="1013">
        <f t="shared" ca="1" si="267"/>
        <v>0</v>
      </c>
      <c r="AG392" s="818"/>
    </row>
    <row r="393" spans="1:33">
      <c r="A393" s="1046" t="str">
        <f>A507</f>
        <v>Total Current Liabilities</v>
      </c>
      <c r="B393" s="818"/>
      <c r="C393" s="1011"/>
      <c r="D393" s="1011"/>
      <c r="E393" s="1020">
        <f t="shared" ref="E393:Z393" si="268">E388+E389+E391+E390+E392</f>
        <v>0</v>
      </c>
      <c r="F393" s="1020">
        <f t="shared" si="268"/>
        <v>0</v>
      </c>
      <c r="G393" s="1020">
        <f t="shared" si="268"/>
        <v>0</v>
      </c>
      <c r="H393" s="1017">
        <f t="shared" ca="1" si="268"/>
        <v>28304.661122275633</v>
      </c>
      <c r="I393" s="1018">
        <f t="shared" ca="1" si="268"/>
        <v>38319.124333471991</v>
      </c>
      <c r="J393" s="1017">
        <f t="shared" ca="1" si="268"/>
        <v>39257.980259521646</v>
      </c>
      <c r="K393" s="1017">
        <f t="shared" ca="1" si="268"/>
        <v>42323.94430606829</v>
      </c>
      <c r="L393" s="1017">
        <f t="shared" ca="1" si="268"/>
        <v>44454.806555317162</v>
      </c>
      <c r="M393" s="1017">
        <f t="shared" ca="1" si="268"/>
        <v>46390.571284348451</v>
      </c>
      <c r="N393" s="1017">
        <f t="shared" ca="1" si="268"/>
        <v>47956.468682100705</v>
      </c>
      <c r="O393" s="1017">
        <f t="shared" ca="1" si="268"/>
        <v>48984.139504117775</v>
      </c>
      <c r="P393" s="1017">
        <f t="shared" ca="1" si="268"/>
        <v>53941.734704135051</v>
      </c>
      <c r="Q393" s="1017">
        <f t="shared" ca="1" si="268"/>
        <v>56242.580258645503</v>
      </c>
      <c r="R393" s="1017">
        <f t="shared" ca="1" si="268"/>
        <v>58791.080408806338</v>
      </c>
      <c r="S393" s="1017">
        <f t="shared" ca="1" si="268"/>
        <v>62010.504405112144</v>
      </c>
      <c r="T393" s="1017">
        <f t="shared" ca="1" si="268"/>
        <v>64204.606564313057</v>
      </c>
      <c r="U393" s="1017">
        <f t="shared" ca="1" si="268"/>
        <v>66705.500251766935</v>
      </c>
      <c r="V393" s="1017">
        <f t="shared" ca="1" si="268"/>
        <v>70641.789258945559</v>
      </c>
      <c r="W393" s="1017">
        <f t="shared" ca="1" si="268"/>
        <v>74306.433665820892</v>
      </c>
      <c r="X393" s="1017">
        <f t="shared" ca="1" si="268"/>
        <v>39633.382434289415</v>
      </c>
      <c r="Y393" s="1017">
        <f t="shared" ca="1" si="268"/>
        <v>40832.730604649914</v>
      </c>
      <c r="Z393" s="1017">
        <f t="shared" ca="1" si="268"/>
        <v>40913.991471785688</v>
      </c>
      <c r="AA393" s="1017">
        <f t="shared" ref="AA393:AF393" ca="1" si="269">AA388+AA389+AA391+AA390+AA392</f>
        <v>39685.236648601625</v>
      </c>
      <c r="AB393" s="1017">
        <f t="shared" ca="1" si="269"/>
        <v>37693.798146327092</v>
      </c>
      <c r="AC393" s="1017">
        <f t="shared" ca="1" si="269"/>
        <v>0</v>
      </c>
      <c r="AD393" s="1017">
        <f t="shared" ca="1" si="269"/>
        <v>0</v>
      </c>
      <c r="AE393" s="1017">
        <f t="shared" ca="1" si="269"/>
        <v>0</v>
      </c>
      <c r="AF393" s="1017">
        <f t="shared" ca="1" si="269"/>
        <v>0</v>
      </c>
      <c r="AG393" s="818"/>
    </row>
    <row r="394" spans="1:33">
      <c r="A394" s="818"/>
      <c r="B394" s="818"/>
      <c r="C394" s="1010"/>
      <c r="D394" s="1010"/>
      <c r="E394" s="1010"/>
      <c r="F394" s="1010"/>
      <c r="G394" s="1011"/>
      <c r="H394" s="1017"/>
      <c r="I394" s="1018"/>
      <c r="J394" s="1011"/>
      <c r="K394" s="1011"/>
      <c r="L394" s="1011"/>
      <c r="M394" s="1011"/>
      <c r="N394" s="1011"/>
      <c r="O394" s="1011"/>
      <c r="P394" s="1011"/>
      <c r="Q394" s="1011"/>
      <c r="R394" s="1011"/>
      <c r="S394" s="1011"/>
      <c r="T394" s="1011"/>
      <c r="U394" s="1011"/>
      <c r="V394" s="1011"/>
      <c r="W394" s="1011"/>
      <c r="X394" s="1011"/>
      <c r="Y394" s="1011"/>
      <c r="Z394" s="1011"/>
      <c r="AA394" s="1011"/>
      <c r="AB394" s="1011"/>
      <c r="AC394" s="1011"/>
      <c r="AD394" s="1011"/>
      <c r="AE394" s="1011"/>
      <c r="AF394" s="1011"/>
      <c r="AG394" s="818"/>
    </row>
    <row r="395" spans="1:33">
      <c r="A395" s="818" t="str">
        <f>A509</f>
        <v>Purchase Term Loan  &amp;Scrubber Term Loan Debt</v>
      </c>
      <c r="B395" s="818"/>
      <c r="C395" s="1010"/>
      <c r="D395" s="1010"/>
      <c r="E395" s="1011">
        <f>E509</f>
        <v>0</v>
      </c>
      <c r="F395" s="1011">
        <v>0</v>
      </c>
      <c r="G395" s="1011">
        <v>0</v>
      </c>
      <c r="H395" s="1051">
        <f ca="1">+K509</f>
        <v>302842.67078322335</v>
      </c>
      <c r="I395" s="1018">
        <f t="shared" ref="I395:Z395" ca="1" si="270">I431+I425-J423-J430</f>
        <v>292828.20757202699</v>
      </c>
      <c r="J395" s="1011">
        <f t="shared" ca="1" si="270"/>
        <v>281874.88843478099</v>
      </c>
      <c r="K395" s="1011">
        <f t="shared" ca="1" si="270"/>
        <v>269894.69562841818</v>
      </c>
      <c r="L395" s="1011">
        <f t="shared" ca="1" si="270"/>
        <v>256791.35974645882</v>
      </c>
      <c r="M395" s="1011">
        <f t="shared" ca="1" si="270"/>
        <v>242459.58612556578</v>
      </c>
      <c r="N395" s="1011">
        <f t="shared" ca="1" si="270"/>
        <v>226784.20872771402</v>
      </c>
      <c r="O395" s="1011">
        <f t="shared" ca="1" si="270"/>
        <v>209639.26469881367</v>
      </c>
      <c r="P395" s="1011">
        <f t="shared" ca="1" si="270"/>
        <v>190886.98216720391</v>
      </c>
      <c r="Q395" s="1011">
        <f t="shared" ca="1" si="270"/>
        <v>170376.67314825574</v>
      </c>
      <c r="R395" s="1011">
        <f t="shared" ca="1" si="270"/>
        <v>147943.52265878115</v>
      </c>
      <c r="S395" s="1011">
        <f t="shared" ca="1" si="270"/>
        <v>123407.26431091834</v>
      </c>
      <c r="T395" s="1011">
        <f t="shared" ca="1" si="270"/>
        <v>96570.731742943375</v>
      </c>
      <c r="U395" s="1011">
        <f t="shared" ca="1" si="270"/>
        <v>67218.274246720757</v>
      </c>
      <c r="V395" s="1011">
        <f t="shared" ca="1" si="270"/>
        <v>35114.023860227273</v>
      </c>
      <c r="W395" s="1011">
        <f t="shared" ca="1" si="270"/>
        <v>3.637978807091713E-11</v>
      </c>
      <c r="X395" s="1011">
        <f t="shared" ca="1" si="270"/>
        <v>3.637978807091713E-11</v>
      </c>
      <c r="Y395" s="1011">
        <f t="shared" ca="1" si="270"/>
        <v>3.637978807091713E-11</v>
      </c>
      <c r="Z395" s="1011">
        <f t="shared" ca="1" si="270"/>
        <v>3.637978807091713E-11</v>
      </c>
      <c r="AA395" s="1011">
        <f t="shared" ref="AA395:AF395" ca="1" si="271">AA431+AA425-AB423-AB430</f>
        <v>3.637978807091713E-11</v>
      </c>
      <c r="AB395" s="1011">
        <f t="shared" ca="1" si="271"/>
        <v>3.637978807091713E-11</v>
      </c>
      <c r="AC395" s="1011">
        <f t="shared" ca="1" si="271"/>
        <v>3.637978807091713E-11</v>
      </c>
      <c r="AD395" s="1011">
        <f t="shared" ca="1" si="271"/>
        <v>3.637978807091713E-11</v>
      </c>
      <c r="AE395" s="1011">
        <f t="shared" ca="1" si="271"/>
        <v>3.637978807091713E-11</v>
      </c>
      <c r="AF395" s="1011">
        <f t="shared" ca="1" si="271"/>
        <v>1.7462298274040222E-10</v>
      </c>
      <c r="AG395" s="818"/>
    </row>
    <row r="396" spans="1:33">
      <c r="A396" s="818" t="str">
        <f>A510</f>
        <v>Deferred Taxes</v>
      </c>
      <c r="B396" s="818"/>
      <c r="C396" s="1010"/>
      <c r="D396" s="1010"/>
      <c r="E396" s="1011">
        <f>E510</f>
        <v>0</v>
      </c>
      <c r="F396" s="1011">
        <f>F510</f>
        <v>0</v>
      </c>
      <c r="G396" s="1011">
        <f>G510</f>
        <v>0</v>
      </c>
      <c r="H396" s="1017">
        <f>N510</f>
        <v>0</v>
      </c>
      <c r="I396" s="1018">
        <f t="shared" ref="I396:AF396" ca="1" si="272">I332+H396</f>
        <v>2442.9117427579563</v>
      </c>
      <c r="J396" s="1011">
        <f t="shared" ca="1" si="272"/>
        <v>6779.5686685018863</v>
      </c>
      <c r="K396" s="1011">
        <f t="shared" ca="1" si="272"/>
        <v>10056.97906258596</v>
      </c>
      <c r="L396" s="1011">
        <f t="shared" ca="1" si="272"/>
        <v>12357.224759566854</v>
      </c>
      <c r="M396" s="1011">
        <f t="shared" ca="1" si="272"/>
        <v>13750.661617635989</v>
      </c>
      <c r="N396" s="1011">
        <f t="shared" ca="1" si="272"/>
        <v>14307.645494984805</v>
      </c>
      <c r="O396" s="1011">
        <f t="shared" ca="1" si="272"/>
        <v>14088.760602833689</v>
      </c>
      <c r="P396" s="1011">
        <f t="shared" ca="1" si="272"/>
        <v>13154.591152403045</v>
      </c>
      <c r="Q396" s="1011">
        <f t="shared" ca="1" si="272"/>
        <v>12103.161938320027</v>
      </c>
      <c r="R396" s="1011">
        <f t="shared" ca="1" si="272"/>
        <v>11049.778394842793</v>
      </c>
      <c r="S396" s="1011">
        <f t="shared" ca="1" si="272"/>
        <v>9998.3491807597711</v>
      </c>
      <c r="T396" s="1011">
        <f t="shared" ca="1" si="272"/>
        <v>8944.9656372825375</v>
      </c>
      <c r="U396" s="1011">
        <f t="shared" ca="1" si="272"/>
        <v>7893.5364231995154</v>
      </c>
      <c r="V396" s="1011">
        <f t="shared" ca="1" si="272"/>
        <v>6840.1528797222818</v>
      </c>
      <c r="W396" s="1011">
        <f t="shared" ca="1" si="272"/>
        <v>5788.7236656392597</v>
      </c>
      <c r="X396" s="1011">
        <f t="shared" ca="1" si="272"/>
        <v>4735.3401221620297</v>
      </c>
      <c r="Y396" s="1011">
        <f t="shared" ca="1" si="272"/>
        <v>3683.9109080790076</v>
      </c>
      <c r="Z396" s="1011">
        <f t="shared" ca="1" si="272"/>
        <v>2630.5273646017777</v>
      </c>
      <c r="AA396" s="1011">
        <f t="shared" ca="1" si="272"/>
        <v>1579.0981505187592</v>
      </c>
      <c r="AB396" s="1011">
        <f t="shared" ca="1" si="272"/>
        <v>525.71460704152923</v>
      </c>
      <c r="AC396" s="1011">
        <f t="shared" ca="1" si="272"/>
        <v>525.71460704152923</v>
      </c>
      <c r="AD396" s="1011">
        <f t="shared" ca="1" si="272"/>
        <v>525.71460704152923</v>
      </c>
      <c r="AE396" s="1011">
        <f t="shared" ca="1" si="272"/>
        <v>525.71460704152923</v>
      </c>
      <c r="AF396" s="1011">
        <f t="shared" ca="1" si="272"/>
        <v>525.71460704152923</v>
      </c>
      <c r="AG396" s="818"/>
    </row>
    <row r="397" spans="1:33">
      <c r="A397" s="818" t="str">
        <f>A511</f>
        <v>Other Liabilities</v>
      </c>
      <c r="B397" s="818"/>
      <c r="C397" s="818"/>
      <c r="D397" s="818"/>
      <c r="E397" s="1011">
        <f>E511</f>
        <v>0</v>
      </c>
      <c r="F397" s="1011">
        <f>F511</f>
        <v>0</v>
      </c>
      <c r="G397" s="1011">
        <f>G511</f>
        <v>0</v>
      </c>
      <c r="H397" s="1017">
        <f>N511</f>
        <v>0</v>
      </c>
      <c r="I397" s="1052">
        <f t="shared" ref="I397:AF397" si="273">H397+I334</f>
        <v>0</v>
      </c>
      <c r="J397" s="818">
        <f t="shared" si="273"/>
        <v>0</v>
      </c>
      <c r="K397" s="818">
        <f t="shared" si="273"/>
        <v>0</v>
      </c>
      <c r="L397" s="818">
        <f t="shared" si="273"/>
        <v>0</v>
      </c>
      <c r="M397" s="818">
        <f t="shared" si="273"/>
        <v>0</v>
      </c>
      <c r="N397" s="818">
        <f t="shared" si="273"/>
        <v>0</v>
      </c>
      <c r="O397" s="818">
        <f t="shared" si="273"/>
        <v>0</v>
      </c>
      <c r="P397" s="818">
        <f t="shared" si="273"/>
        <v>0</v>
      </c>
      <c r="Q397" s="818">
        <f t="shared" si="273"/>
        <v>0</v>
      </c>
      <c r="R397" s="818">
        <f t="shared" si="273"/>
        <v>0</v>
      </c>
      <c r="S397" s="818">
        <f t="shared" si="273"/>
        <v>0</v>
      </c>
      <c r="T397" s="818">
        <f t="shared" si="273"/>
        <v>0</v>
      </c>
      <c r="U397" s="818">
        <f t="shared" si="273"/>
        <v>0</v>
      </c>
      <c r="V397" s="818">
        <f t="shared" si="273"/>
        <v>0</v>
      </c>
      <c r="W397" s="818">
        <f t="shared" si="273"/>
        <v>0</v>
      </c>
      <c r="X397" s="818">
        <f t="shared" si="273"/>
        <v>0</v>
      </c>
      <c r="Y397" s="818">
        <f t="shared" si="273"/>
        <v>0</v>
      </c>
      <c r="Z397" s="818">
        <f t="shared" si="273"/>
        <v>0</v>
      </c>
      <c r="AA397" s="818">
        <f t="shared" si="273"/>
        <v>0</v>
      </c>
      <c r="AB397" s="818">
        <f t="shared" si="273"/>
        <v>0</v>
      </c>
      <c r="AC397" s="818">
        <f t="shared" si="273"/>
        <v>0</v>
      </c>
      <c r="AD397" s="818">
        <f t="shared" si="273"/>
        <v>0</v>
      </c>
      <c r="AE397" s="818">
        <f t="shared" si="273"/>
        <v>0</v>
      </c>
      <c r="AF397" s="818">
        <f t="shared" si="273"/>
        <v>0</v>
      </c>
      <c r="AG397" s="818"/>
    </row>
    <row r="398" spans="1:33">
      <c r="A398" s="1046" t="str">
        <f>A512</f>
        <v>Total Long-term Liabilities</v>
      </c>
      <c r="B398" s="818"/>
      <c r="C398" s="1011"/>
      <c r="D398" s="1011"/>
      <c r="E398" s="1020">
        <f t="shared" ref="E398:Z398" si="274">E395+E396+E397</f>
        <v>0</v>
      </c>
      <c r="F398" s="1020">
        <f t="shared" si="274"/>
        <v>0</v>
      </c>
      <c r="G398" s="1020">
        <f t="shared" si="274"/>
        <v>0</v>
      </c>
      <c r="H398" s="1020">
        <f t="shared" ca="1" si="274"/>
        <v>302842.67078322335</v>
      </c>
      <c r="I398" s="1053">
        <f t="shared" ca="1" si="274"/>
        <v>295271.11931478494</v>
      </c>
      <c r="J398" s="1020">
        <f t="shared" ca="1" si="274"/>
        <v>288654.45710328285</v>
      </c>
      <c r="K398" s="1020">
        <f t="shared" ca="1" si="274"/>
        <v>279951.67469100415</v>
      </c>
      <c r="L398" s="1020">
        <f t="shared" ca="1" si="274"/>
        <v>269148.58450602565</v>
      </c>
      <c r="M398" s="1020">
        <f t="shared" ca="1" si="274"/>
        <v>256210.24774320176</v>
      </c>
      <c r="N398" s="1020">
        <f t="shared" ca="1" si="274"/>
        <v>241091.85422269884</v>
      </c>
      <c r="O398" s="1020">
        <f t="shared" ca="1" si="274"/>
        <v>223728.02530164737</v>
      </c>
      <c r="P398" s="1020">
        <f t="shared" ca="1" si="274"/>
        <v>204041.57331960695</v>
      </c>
      <c r="Q398" s="1020">
        <f t="shared" ca="1" si="274"/>
        <v>182479.83508657577</v>
      </c>
      <c r="R398" s="1020">
        <f t="shared" ca="1" si="274"/>
        <v>158993.30105362393</v>
      </c>
      <c r="S398" s="1020">
        <f t="shared" ca="1" si="274"/>
        <v>133405.61349167812</v>
      </c>
      <c r="T398" s="1020">
        <f t="shared" ca="1" si="274"/>
        <v>105515.69738022592</v>
      </c>
      <c r="U398" s="1020">
        <f t="shared" ca="1" si="274"/>
        <v>75111.810669920276</v>
      </c>
      <c r="V398" s="1020">
        <f t="shared" ca="1" si="274"/>
        <v>41954.176739949558</v>
      </c>
      <c r="W398" s="1020">
        <f t="shared" ca="1" si="274"/>
        <v>5788.7236656392961</v>
      </c>
      <c r="X398" s="1020">
        <f t="shared" ca="1" si="274"/>
        <v>4735.3401221620661</v>
      </c>
      <c r="Y398" s="1020">
        <f t="shared" ca="1" si="274"/>
        <v>3683.910908079044</v>
      </c>
      <c r="Z398" s="1020">
        <f t="shared" ca="1" si="274"/>
        <v>2630.527364601814</v>
      </c>
      <c r="AA398" s="1020">
        <f t="shared" ref="AA398:AF398" ca="1" si="275">AA395+AA396+AA397</f>
        <v>1579.0981505187956</v>
      </c>
      <c r="AB398" s="1020">
        <f t="shared" ca="1" si="275"/>
        <v>525.71460704156561</v>
      </c>
      <c r="AC398" s="1020">
        <f t="shared" ca="1" si="275"/>
        <v>525.71460704156561</v>
      </c>
      <c r="AD398" s="1020">
        <f t="shared" ca="1" si="275"/>
        <v>525.71460704156561</v>
      </c>
      <c r="AE398" s="1020">
        <f t="shared" ca="1" si="275"/>
        <v>525.71460704156561</v>
      </c>
      <c r="AF398" s="1020">
        <f t="shared" ca="1" si="275"/>
        <v>525.71460704170386</v>
      </c>
      <c r="AG398" s="818"/>
    </row>
    <row r="399" spans="1:33">
      <c r="A399" s="818"/>
      <c r="B399" s="818"/>
      <c r="C399" s="1011"/>
      <c r="D399" s="1011"/>
      <c r="E399" s="1011"/>
      <c r="F399" s="1011"/>
      <c r="G399" s="1011"/>
      <c r="H399" s="1022"/>
      <c r="I399" s="1011"/>
      <c r="J399" s="1011"/>
      <c r="K399" s="1011"/>
      <c r="L399" s="1011"/>
      <c r="M399" s="1011"/>
      <c r="N399" s="1011"/>
      <c r="O399" s="1011"/>
      <c r="P399" s="1011"/>
      <c r="Q399" s="1011"/>
      <c r="R399" s="1011"/>
      <c r="S399" s="1011"/>
      <c r="T399" s="1011"/>
      <c r="U399" s="1011"/>
      <c r="V399" s="1011"/>
      <c r="W399" s="1011"/>
      <c r="X399" s="1011"/>
      <c r="Y399" s="1011"/>
      <c r="Z399" s="1011"/>
      <c r="AA399" s="1011"/>
      <c r="AB399" s="1011"/>
      <c r="AC399" s="1011"/>
      <c r="AD399" s="1011"/>
      <c r="AE399" s="1011"/>
      <c r="AF399" s="1011"/>
      <c r="AG399" s="818"/>
    </row>
    <row r="400" spans="1:33">
      <c r="A400" s="1046" t="str">
        <f>A514</f>
        <v>Total Liabilities</v>
      </c>
      <c r="B400" s="818"/>
      <c r="C400" s="1011"/>
      <c r="D400" s="1011"/>
      <c r="E400" s="1011">
        <f t="shared" ref="E400:Z400" si="276">E398+E393</f>
        <v>0</v>
      </c>
      <c r="F400" s="1011">
        <f t="shared" si="276"/>
        <v>0</v>
      </c>
      <c r="G400" s="1011">
        <f t="shared" si="276"/>
        <v>0</v>
      </c>
      <c r="H400" s="1022">
        <f t="shared" ca="1" si="276"/>
        <v>331147.33190549898</v>
      </c>
      <c r="I400" s="1011">
        <f t="shared" ca="1" si="276"/>
        <v>333590.24364825693</v>
      </c>
      <c r="J400" s="1011">
        <f t="shared" ca="1" si="276"/>
        <v>327912.43736280449</v>
      </c>
      <c r="K400" s="1011">
        <f t="shared" ca="1" si="276"/>
        <v>322275.61899707245</v>
      </c>
      <c r="L400" s="1011">
        <f t="shared" ca="1" si="276"/>
        <v>313603.39106134279</v>
      </c>
      <c r="M400" s="1011">
        <f t="shared" ca="1" si="276"/>
        <v>302600.81902755023</v>
      </c>
      <c r="N400" s="1011">
        <f t="shared" ca="1" si="276"/>
        <v>289048.32290479954</v>
      </c>
      <c r="O400" s="1011">
        <f t="shared" ca="1" si="276"/>
        <v>272712.16480576515</v>
      </c>
      <c r="P400" s="1011">
        <f t="shared" ca="1" si="276"/>
        <v>257983.30802374199</v>
      </c>
      <c r="Q400" s="1011">
        <f t="shared" ca="1" si="276"/>
        <v>238722.41534522126</v>
      </c>
      <c r="R400" s="1011">
        <f t="shared" ca="1" si="276"/>
        <v>217784.38146243026</v>
      </c>
      <c r="S400" s="1011">
        <f t="shared" ca="1" si="276"/>
        <v>195416.11789679027</v>
      </c>
      <c r="T400" s="1011">
        <f t="shared" ca="1" si="276"/>
        <v>169720.30394453899</v>
      </c>
      <c r="U400" s="1011">
        <f t="shared" ca="1" si="276"/>
        <v>141817.31092168723</v>
      </c>
      <c r="V400" s="1011">
        <f t="shared" ca="1" si="276"/>
        <v>112595.96599889512</v>
      </c>
      <c r="W400" s="1011">
        <f t="shared" ca="1" si="276"/>
        <v>80095.157331460185</v>
      </c>
      <c r="X400" s="1011">
        <f t="shared" ca="1" si="276"/>
        <v>44368.722556451481</v>
      </c>
      <c r="Y400" s="1011">
        <f t="shared" ca="1" si="276"/>
        <v>44516.641512728958</v>
      </c>
      <c r="Z400" s="1011">
        <f t="shared" ca="1" si="276"/>
        <v>43544.518836387506</v>
      </c>
      <c r="AA400" s="1011">
        <f t="shared" ref="AA400:AF400" ca="1" si="277">AA398+AA393</f>
        <v>41264.334799120421</v>
      </c>
      <c r="AB400" s="1011">
        <f t="shared" ca="1" si="277"/>
        <v>38219.512753368661</v>
      </c>
      <c r="AC400" s="1011">
        <f t="shared" ca="1" si="277"/>
        <v>525.71460704156561</v>
      </c>
      <c r="AD400" s="1011">
        <f t="shared" ca="1" si="277"/>
        <v>525.71460704156561</v>
      </c>
      <c r="AE400" s="1011">
        <f t="shared" ca="1" si="277"/>
        <v>525.71460704156561</v>
      </c>
      <c r="AF400" s="1011">
        <f t="shared" ca="1" si="277"/>
        <v>525.71460704170386</v>
      </c>
      <c r="AG400" s="818"/>
    </row>
    <row r="401" spans="1:58">
      <c r="A401" s="818"/>
      <c r="B401" s="818"/>
      <c r="C401" s="1010"/>
      <c r="D401" s="1010"/>
      <c r="E401" s="1010"/>
      <c r="F401" s="1010"/>
      <c r="G401" s="1011"/>
      <c r="H401" s="1017"/>
      <c r="I401" s="1018"/>
      <c r="J401" s="1011"/>
      <c r="K401" s="1011"/>
      <c r="L401" s="1011"/>
      <c r="M401" s="1011"/>
      <c r="N401" s="1011"/>
      <c r="O401" s="1011"/>
      <c r="P401" s="1011"/>
      <c r="Q401" s="1011"/>
      <c r="R401" s="1011"/>
      <c r="S401" s="1011"/>
      <c r="T401" s="1011"/>
      <c r="U401" s="1011"/>
      <c r="V401" s="1011"/>
      <c r="W401" s="1011"/>
      <c r="X401" s="1011"/>
      <c r="Y401" s="1011"/>
      <c r="Z401" s="1011"/>
      <c r="AA401" s="1011"/>
      <c r="AB401" s="1011"/>
      <c r="AC401" s="1011"/>
      <c r="AD401" s="1011"/>
      <c r="AE401" s="1011"/>
      <c r="AF401" s="1011"/>
      <c r="AG401" s="818"/>
    </row>
    <row r="402" spans="1:58">
      <c r="A402" s="818" t="str">
        <f t="shared" ref="A402:A408" si="278">A516</f>
        <v>Common Stock</v>
      </c>
      <c r="B402" s="818"/>
      <c r="C402" s="1010"/>
      <c r="D402" s="1010"/>
      <c r="E402" s="1011">
        <f t="shared" ref="E402:G406" si="279">E516</f>
        <v>0</v>
      </c>
      <c r="F402" s="1011">
        <f t="shared" si="279"/>
        <v>0</v>
      </c>
      <c r="G402" s="1011">
        <f t="shared" si="279"/>
        <v>0</v>
      </c>
      <c r="H402" s="1017">
        <f ca="1">N516</f>
        <v>238460.26041541412</v>
      </c>
      <c r="I402" s="1018">
        <f t="shared" ref="I402:Z402" ca="1" si="280">H402</f>
        <v>238460.26041541412</v>
      </c>
      <c r="J402" s="1011">
        <f t="shared" ca="1" si="280"/>
        <v>238460.26041541412</v>
      </c>
      <c r="K402" s="1011">
        <f t="shared" ca="1" si="280"/>
        <v>238460.26041541412</v>
      </c>
      <c r="L402" s="1011">
        <f t="shared" ca="1" si="280"/>
        <v>238460.26041541412</v>
      </c>
      <c r="M402" s="1011">
        <f t="shared" ca="1" si="280"/>
        <v>238460.26041541412</v>
      </c>
      <c r="N402" s="1011">
        <f t="shared" ca="1" si="280"/>
        <v>238460.26041541412</v>
      </c>
      <c r="O402" s="1011">
        <f t="shared" ca="1" si="280"/>
        <v>238460.26041541412</v>
      </c>
      <c r="P402" s="1011">
        <f t="shared" ca="1" si="280"/>
        <v>238460.26041541412</v>
      </c>
      <c r="Q402" s="1011">
        <f t="shared" ca="1" si="280"/>
        <v>238460.26041541412</v>
      </c>
      <c r="R402" s="1011">
        <f t="shared" ca="1" si="280"/>
        <v>238460.26041541412</v>
      </c>
      <c r="S402" s="1011">
        <f t="shared" ca="1" si="280"/>
        <v>238460.26041541412</v>
      </c>
      <c r="T402" s="1011">
        <f t="shared" ca="1" si="280"/>
        <v>238460.26041541412</v>
      </c>
      <c r="U402" s="1011">
        <f t="shared" ca="1" si="280"/>
        <v>238460.26041541412</v>
      </c>
      <c r="V402" s="1011">
        <f t="shared" ca="1" si="280"/>
        <v>238460.26041541412</v>
      </c>
      <c r="W402" s="1011">
        <f t="shared" ca="1" si="280"/>
        <v>238460.26041541412</v>
      </c>
      <c r="X402" s="1011">
        <f t="shared" ca="1" si="280"/>
        <v>238460.26041541412</v>
      </c>
      <c r="Y402" s="1011">
        <f t="shared" ca="1" si="280"/>
        <v>238460.26041541412</v>
      </c>
      <c r="Z402" s="1011">
        <f t="shared" ca="1" si="280"/>
        <v>238460.26041541412</v>
      </c>
      <c r="AA402" s="1011">
        <f t="shared" ref="AA402:AF402" ca="1" si="281">Z402</f>
        <v>238460.26041541412</v>
      </c>
      <c r="AB402" s="1011">
        <f t="shared" ca="1" si="281"/>
        <v>238460.26041541412</v>
      </c>
      <c r="AC402" s="1011">
        <f t="shared" ca="1" si="281"/>
        <v>238460.26041541412</v>
      </c>
      <c r="AD402" s="1011">
        <f t="shared" ca="1" si="281"/>
        <v>238460.26041541412</v>
      </c>
      <c r="AE402" s="1011">
        <f t="shared" ca="1" si="281"/>
        <v>238460.26041541412</v>
      </c>
      <c r="AF402" s="1011">
        <f t="shared" ca="1" si="281"/>
        <v>238460.26041541412</v>
      </c>
      <c r="AG402" s="818"/>
    </row>
    <row r="403" spans="1:58">
      <c r="A403" s="818" t="str">
        <f t="shared" si="278"/>
        <v>Paid in Capital</v>
      </c>
      <c r="B403" s="818"/>
      <c r="C403" s="1010"/>
      <c r="D403" s="1010"/>
      <c r="E403" s="1011">
        <f t="shared" si="279"/>
        <v>0</v>
      </c>
      <c r="F403" s="1011">
        <f t="shared" si="279"/>
        <v>0</v>
      </c>
      <c r="G403" s="1011">
        <f t="shared" si="279"/>
        <v>0</v>
      </c>
      <c r="H403" s="1017">
        <f>N517</f>
        <v>0</v>
      </c>
      <c r="I403" s="1018">
        <f t="shared" ref="I403:Z403" si="282">H403-I580</f>
        <v>0</v>
      </c>
      <c r="J403" s="1011">
        <f t="shared" si="282"/>
        <v>0</v>
      </c>
      <c r="K403" s="1011">
        <f t="shared" si="282"/>
        <v>0</v>
      </c>
      <c r="L403" s="1011">
        <f t="shared" si="282"/>
        <v>0</v>
      </c>
      <c r="M403" s="1011">
        <f t="shared" si="282"/>
        <v>0</v>
      </c>
      <c r="N403" s="1011">
        <f t="shared" si="282"/>
        <v>0</v>
      </c>
      <c r="O403" s="1011">
        <f t="shared" si="282"/>
        <v>0</v>
      </c>
      <c r="P403" s="1011">
        <f t="shared" si="282"/>
        <v>0</v>
      </c>
      <c r="Q403" s="1011">
        <f t="shared" si="282"/>
        <v>0</v>
      </c>
      <c r="R403" s="1011">
        <f t="shared" si="282"/>
        <v>0</v>
      </c>
      <c r="S403" s="1011">
        <f t="shared" si="282"/>
        <v>0</v>
      </c>
      <c r="T403" s="1011">
        <f t="shared" si="282"/>
        <v>0</v>
      </c>
      <c r="U403" s="1011">
        <f t="shared" si="282"/>
        <v>0</v>
      </c>
      <c r="V403" s="1011">
        <f t="shared" si="282"/>
        <v>0</v>
      </c>
      <c r="W403" s="1011">
        <f t="shared" si="282"/>
        <v>0</v>
      </c>
      <c r="X403" s="1011">
        <f t="shared" si="282"/>
        <v>0</v>
      </c>
      <c r="Y403" s="1011">
        <f t="shared" si="282"/>
        <v>0</v>
      </c>
      <c r="Z403" s="1011">
        <f t="shared" si="282"/>
        <v>0</v>
      </c>
      <c r="AA403" s="1011">
        <f t="shared" ref="AA403:AF403" si="283">Z403-AA580</f>
        <v>0</v>
      </c>
      <c r="AB403" s="1011">
        <f t="shared" si="283"/>
        <v>0</v>
      </c>
      <c r="AC403" s="1011">
        <f t="shared" si="283"/>
        <v>0</v>
      </c>
      <c r="AD403" s="1011">
        <f t="shared" si="283"/>
        <v>0</v>
      </c>
      <c r="AE403" s="1011">
        <f t="shared" si="283"/>
        <v>0</v>
      </c>
      <c r="AF403" s="1011">
        <f t="shared" si="283"/>
        <v>0</v>
      </c>
      <c r="AG403" s="818"/>
    </row>
    <row r="404" spans="1:58">
      <c r="A404" s="818" t="str">
        <f t="shared" si="278"/>
        <v>Treasury Stock</v>
      </c>
      <c r="B404" s="818"/>
      <c r="C404" s="1010"/>
      <c r="D404" s="1010"/>
      <c r="E404" s="1011">
        <f t="shared" si="279"/>
        <v>0</v>
      </c>
      <c r="F404" s="1011">
        <f t="shared" si="279"/>
        <v>0</v>
      </c>
      <c r="G404" s="1011">
        <f t="shared" si="279"/>
        <v>0</v>
      </c>
      <c r="H404" s="1017">
        <f>N518</f>
        <v>0</v>
      </c>
      <c r="I404" s="1018">
        <f t="shared" ref="I404:Z404" si="284">H404-I579</f>
        <v>0</v>
      </c>
      <c r="J404" s="1011">
        <f t="shared" si="284"/>
        <v>0</v>
      </c>
      <c r="K404" s="1011">
        <f t="shared" si="284"/>
        <v>0</v>
      </c>
      <c r="L404" s="1011">
        <f t="shared" si="284"/>
        <v>0</v>
      </c>
      <c r="M404" s="1011">
        <f t="shared" si="284"/>
        <v>0</v>
      </c>
      <c r="N404" s="1011">
        <f t="shared" si="284"/>
        <v>0</v>
      </c>
      <c r="O404" s="1011">
        <f t="shared" si="284"/>
        <v>0</v>
      </c>
      <c r="P404" s="1011">
        <f t="shared" si="284"/>
        <v>0</v>
      </c>
      <c r="Q404" s="1011">
        <f t="shared" si="284"/>
        <v>0</v>
      </c>
      <c r="R404" s="1011">
        <f t="shared" si="284"/>
        <v>0</v>
      </c>
      <c r="S404" s="1011">
        <f t="shared" si="284"/>
        <v>0</v>
      </c>
      <c r="T404" s="1011">
        <f t="shared" si="284"/>
        <v>0</v>
      </c>
      <c r="U404" s="1011">
        <f t="shared" si="284"/>
        <v>0</v>
      </c>
      <c r="V404" s="1011">
        <f t="shared" si="284"/>
        <v>0</v>
      </c>
      <c r="W404" s="1011">
        <f t="shared" si="284"/>
        <v>0</v>
      </c>
      <c r="X404" s="1011">
        <f t="shared" si="284"/>
        <v>0</v>
      </c>
      <c r="Y404" s="1011">
        <f t="shared" si="284"/>
        <v>0</v>
      </c>
      <c r="Z404" s="1011">
        <f t="shared" si="284"/>
        <v>0</v>
      </c>
      <c r="AA404" s="1011">
        <f t="shared" ref="AA404:AF404" si="285">Z404-AA579</f>
        <v>0</v>
      </c>
      <c r="AB404" s="1011">
        <f t="shared" si="285"/>
        <v>0</v>
      </c>
      <c r="AC404" s="1011">
        <f t="shared" si="285"/>
        <v>0</v>
      </c>
      <c r="AD404" s="1011">
        <f t="shared" si="285"/>
        <v>0</v>
      </c>
      <c r="AE404" s="1011">
        <f t="shared" si="285"/>
        <v>0</v>
      </c>
      <c r="AF404" s="1011">
        <f t="shared" si="285"/>
        <v>0</v>
      </c>
      <c r="AG404" s="818"/>
    </row>
    <row r="405" spans="1:58">
      <c r="A405" s="818" t="str">
        <f t="shared" si="278"/>
        <v>Retained Earnings</v>
      </c>
      <c r="B405" s="818"/>
      <c r="C405" s="1010"/>
      <c r="D405" s="1010"/>
      <c r="E405" s="1011">
        <f t="shared" si="279"/>
        <v>0</v>
      </c>
      <c r="F405" s="1011">
        <f t="shared" si="279"/>
        <v>0</v>
      </c>
      <c r="G405" s="1011">
        <f t="shared" si="279"/>
        <v>0</v>
      </c>
      <c r="H405" s="1026">
        <f>N519</f>
        <v>0</v>
      </c>
      <c r="I405" s="1011">
        <f t="shared" ref="I405:AF405" ca="1" si="286">H405+H406+I317</f>
        <v>7277.2153285209797</v>
      </c>
      <c r="J405" s="1011">
        <f t="shared" ca="1" si="286"/>
        <v>15917.096502110584</v>
      </c>
      <c r="K405" s="1011">
        <f t="shared" ca="1" si="286"/>
        <v>35262.202189180971</v>
      </c>
      <c r="L405" s="1011">
        <f t="shared" ca="1" si="286"/>
        <v>58854.482592162982</v>
      </c>
      <c r="M405" s="1011">
        <f t="shared" ca="1" si="286"/>
        <v>82207.233279205422</v>
      </c>
      <c r="N405" s="1011">
        <f t="shared" ca="1" si="286"/>
        <v>101783.36927456848</v>
      </c>
      <c r="O405" s="1011">
        <f t="shared" ca="1" si="286"/>
        <v>120646.87468864425</v>
      </c>
      <c r="P405" s="1011">
        <f t="shared" ca="1" si="286"/>
        <v>153722.50277402499</v>
      </c>
      <c r="Q405" s="1011">
        <f t="shared" ca="1" si="286"/>
        <v>188115.7722289419</v>
      </c>
      <c r="R405" s="1011">
        <f t="shared" ca="1" si="286"/>
        <v>224233.27077300751</v>
      </c>
      <c r="S405" s="1011">
        <f t="shared" ca="1" si="286"/>
        <v>262797.51151198614</v>
      </c>
      <c r="T405" s="1011">
        <f t="shared" ca="1" si="286"/>
        <v>296747.01740444422</v>
      </c>
      <c r="U405" s="1011">
        <f t="shared" ca="1" si="286"/>
        <v>337523.83198746829</v>
      </c>
      <c r="V405" s="1011">
        <f t="shared" ca="1" si="286"/>
        <v>373735.01828318107</v>
      </c>
      <c r="W405" s="1011">
        <f t="shared" ca="1" si="286"/>
        <v>409575.36005973932</v>
      </c>
      <c r="X405" s="1011">
        <f t="shared" ca="1" si="286"/>
        <v>445642.93180184218</v>
      </c>
      <c r="Y405" s="1011">
        <f t="shared" ca="1" si="286"/>
        <v>483227.03789357143</v>
      </c>
      <c r="Z405" s="1011">
        <f t="shared" ca="1" si="286"/>
        <v>517737.54152165394</v>
      </c>
      <c r="AA405" s="1011">
        <f t="shared" ca="1" si="286"/>
        <v>552665.94382825994</v>
      </c>
      <c r="AB405" s="1011">
        <f t="shared" ca="1" si="286"/>
        <v>577120.65229655989</v>
      </c>
      <c r="AC405" s="1011">
        <f t="shared" ca="1" si="286"/>
        <v>538921.94851393194</v>
      </c>
      <c r="AD405" s="1011">
        <f t="shared" ca="1" si="286"/>
        <v>512420.032350222</v>
      </c>
      <c r="AE405" s="1011">
        <f t="shared" ca="1" si="286"/>
        <v>485388.07786323788</v>
      </c>
      <c r="AF405" s="1011">
        <f t="shared" ca="1" si="286"/>
        <v>457815.48428651405</v>
      </c>
      <c r="AG405" s="818"/>
    </row>
    <row r="406" spans="1:58">
      <c r="A406" s="818" t="str">
        <f t="shared" si="278"/>
        <v>Preferred and Common Dividends</v>
      </c>
      <c r="B406" s="818"/>
      <c r="C406" s="818"/>
      <c r="D406" s="818"/>
      <c r="E406" s="1011">
        <f t="shared" si="279"/>
        <v>0</v>
      </c>
      <c r="F406" s="1011">
        <f t="shared" si="279"/>
        <v>0</v>
      </c>
      <c r="G406" s="1011">
        <f t="shared" si="279"/>
        <v>0</v>
      </c>
      <c r="H406" s="1026">
        <f>N520</f>
        <v>0</v>
      </c>
      <c r="I406" s="1011">
        <f t="shared" ref="I406:Z406" ca="1" si="287">-I322</f>
        <v>0</v>
      </c>
      <c r="J406" s="1011">
        <f t="shared" ca="1" si="287"/>
        <v>0</v>
      </c>
      <c r="K406" s="1011">
        <f t="shared" ca="1" si="287"/>
        <v>0</v>
      </c>
      <c r="L406" s="1011">
        <f t="shared" ca="1" si="287"/>
        <v>0</v>
      </c>
      <c r="M406" s="1011">
        <f t="shared" ca="1" si="287"/>
        <v>0</v>
      </c>
      <c r="N406" s="1011">
        <f t="shared" ca="1" si="287"/>
        <v>0</v>
      </c>
      <c r="O406" s="1011">
        <f t="shared" ca="1" si="287"/>
        <v>0</v>
      </c>
      <c r="P406" s="1011">
        <f t="shared" ca="1" si="287"/>
        <v>0</v>
      </c>
      <c r="Q406" s="1011">
        <f t="shared" ca="1" si="287"/>
        <v>0</v>
      </c>
      <c r="R406" s="1011">
        <f t="shared" ca="1" si="287"/>
        <v>0</v>
      </c>
      <c r="S406" s="1011">
        <f t="shared" ca="1" si="287"/>
        <v>0</v>
      </c>
      <c r="T406" s="1011">
        <f t="shared" ca="1" si="287"/>
        <v>0</v>
      </c>
      <c r="U406" s="1011">
        <f t="shared" ca="1" si="287"/>
        <v>0</v>
      </c>
      <c r="V406" s="1011">
        <f t="shared" ca="1" si="287"/>
        <v>0</v>
      </c>
      <c r="W406" s="1011">
        <f t="shared" ca="1" si="287"/>
        <v>0</v>
      </c>
      <c r="X406" s="1011">
        <f t="shared" ca="1" si="287"/>
        <v>0</v>
      </c>
      <c r="Y406" s="1011">
        <f t="shared" ca="1" si="287"/>
        <v>0</v>
      </c>
      <c r="Z406" s="1011">
        <f t="shared" ca="1" si="287"/>
        <v>0</v>
      </c>
      <c r="AA406" s="1011">
        <f t="shared" ref="AA406:AF406" ca="1" si="288">-AA322</f>
        <v>0</v>
      </c>
      <c r="AB406" s="1011">
        <f t="shared" ca="1" si="288"/>
        <v>0</v>
      </c>
      <c r="AC406" s="1011">
        <f t="shared" ca="1" si="288"/>
        <v>0</v>
      </c>
      <c r="AD406" s="1011">
        <f t="shared" ca="1" si="288"/>
        <v>0</v>
      </c>
      <c r="AE406" s="1011">
        <f t="shared" ca="1" si="288"/>
        <v>0</v>
      </c>
      <c r="AF406" s="1011">
        <f t="shared" ca="1" si="288"/>
        <v>0</v>
      </c>
      <c r="AG406" s="818"/>
    </row>
    <row r="407" spans="1:58">
      <c r="A407" s="1046" t="str">
        <f t="shared" si="278"/>
        <v>Total Stockholders' Equity</v>
      </c>
      <c r="B407" s="818"/>
      <c r="C407" s="1011"/>
      <c r="D407" s="1011"/>
      <c r="E407" s="1020">
        <f t="shared" ref="E407:Z407" si="289">SUM(E402:E406)</f>
        <v>0</v>
      </c>
      <c r="F407" s="1020">
        <f t="shared" si="289"/>
        <v>0</v>
      </c>
      <c r="G407" s="1020">
        <f t="shared" si="289"/>
        <v>0</v>
      </c>
      <c r="H407" s="1032">
        <f t="shared" ca="1" si="289"/>
        <v>238460.26041541412</v>
      </c>
      <c r="I407" s="1020">
        <f t="shared" ca="1" si="289"/>
        <v>245737.47574393509</v>
      </c>
      <c r="J407" s="1020">
        <f t="shared" ca="1" si="289"/>
        <v>254377.35691752471</v>
      </c>
      <c r="K407" s="1020">
        <f t="shared" ca="1" si="289"/>
        <v>273722.46260459512</v>
      </c>
      <c r="L407" s="1020">
        <f t="shared" ca="1" si="289"/>
        <v>297314.74300757708</v>
      </c>
      <c r="M407" s="1020">
        <f t="shared" ca="1" si="289"/>
        <v>320667.49369461951</v>
      </c>
      <c r="N407" s="1020">
        <f t="shared" ca="1" si="289"/>
        <v>340243.62968998263</v>
      </c>
      <c r="O407" s="1020">
        <f t="shared" ca="1" si="289"/>
        <v>359107.13510405837</v>
      </c>
      <c r="P407" s="1020">
        <f t="shared" ca="1" si="289"/>
        <v>392182.76318943908</v>
      </c>
      <c r="Q407" s="1020">
        <f t="shared" ca="1" si="289"/>
        <v>426576.03264435602</v>
      </c>
      <c r="R407" s="1020">
        <f t="shared" ca="1" si="289"/>
        <v>462693.53118842165</v>
      </c>
      <c r="S407" s="1020">
        <f t="shared" ca="1" si="289"/>
        <v>501257.77192740026</v>
      </c>
      <c r="T407" s="1020">
        <f t="shared" ca="1" si="289"/>
        <v>535207.2778198584</v>
      </c>
      <c r="U407" s="1020">
        <f t="shared" ca="1" si="289"/>
        <v>575984.09240288241</v>
      </c>
      <c r="V407" s="1020">
        <f t="shared" ca="1" si="289"/>
        <v>612195.27869859524</v>
      </c>
      <c r="W407" s="1020">
        <f t="shared" ca="1" si="289"/>
        <v>648035.62047515344</v>
      </c>
      <c r="X407" s="1020">
        <f t="shared" ca="1" si="289"/>
        <v>684103.19221725629</v>
      </c>
      <c r="Y407" s="1020">
        <f t="shared" ca="1" si="289"/>
        <v>721687.29830898554</v>
      </c>
      <c r="Z407" s="1020">
        <f t="shared" ca="1" si="289"/>
        <v>756197.80193706811</v>
      </c>
      <c r="AA407" s="1020">
        <f t="shared" ref="AA407:AF407" ca="1" si="290">SUM(AA402:AA406)</f>
        <v>791126.20424367406</v>
      </c>
      <c r="AB407" s="1020">
        <f t="shared" ca="1" si="290"/>
        <v>815580.912711974</v>
      </c>
      <c r="AC407" s="1020">
        <f t="shared" ca="1" si="290"/>
        <v>777382.20892934606</v>
      </c>
      <c r="AD407" s="1020">
        <f t="shared" ca="1" si="290"/>
        <v>750880.29276563611</v>
      </c>
      <c r="AE407" s="1020">
        <f t="shared" ca="1" si="290"/>
        <v>723848.33827865194</v>
      </c>
      <c r="AF407" s="1020">
        <f t="shared" ca="1" si="290"/>
        <v>696275.74470192823</v>
      </c>
      <c r="AG407" s="818"/>
    </row>
    <row r="408" spans="1:58" ht="12" thickBot="1">
      <c r="A408" s="1046" t="str">
        <f t="shared" si="278"/>
        <v>Total Liabilities &amp; Equity</v>
      </c>
      <c r="B408" s="818"/>
      <c r="C408" s="1011"/>
      <c r="D408" s="1011"/>
      <c r="E408" s="1034">
        <f t="shared" ref="E408:Z408" si="291">E400+E407</f>
        <v>0</v>
      </c>
      <c r="F408" s="1034">
        <f t="shared" si="291"/>
        <v>0</v>
      </c>
      <c r="G408" s="1034">
        <f t="shared" si="291"/>
        <v>0</v>
      </c>
      <c r="H408" s="1035">
        <f t="shared" ca="1" si="291"/>
        <v>569607.5923209131</v>
      </c>
      <c r="I408" s="1034">
        <f t="shared" ca="1" si="291"/>
        <v>579327.71939219208</v>
      </c>
      <c r="J408" s="1034">
        <f t="shared" ca="1" si="291"/>
        <v>582289.79428032925</v>
      </c>
      <c r="K408" s="1034">
        <f t="shared" ca="1" si="291"/>
        <v>595998.08160166757</v>
      </c>
      <c r="L408" s="1034">
        <f t="shared" ca="1" si="291"/>
        <v>610918.13406891981</v>
      </c>
      <c r="M408" s="1034">
        <f t="shared" ca="1" si="291"/>
        <v>623268.31272216979</v>
      </c>
      <c r="N408" s="1034">
        <f t="shared" ca="1" si="291"/>
        <v>629291.95259478223</v>
      </c>
      <c r="O408" s="1034">
        <f t="shared" ca="1" si="291"/>
        <v>631819.29990982357</v>
      </c>
      <c r="P408" s="1034">
        <f t="shared" ca="1" si="291"/>
        <v>650166.07121318113</v>
      </c>
      <c r="Q408" s="1034">
        <f t="shared" ca="1" si="291"/>
        <v>665298.44798957731</v>
      </c>
      <c r="R408" s="1034">
        <f t="shared" ca="1" si="291"/>
        <v>680477.91265085188</v>
      </c>
      <c r="S408" s="1034">
        <f t="shared" ca="1" si="291"/>
        <v>696673.88982419053</v>
      </c>
      <c r="T408" s="1034">
        <f t="shared" ca="1" si="291"/>
        <v>704927.58176439744</v>
      </c>
      <c r="U408" s="1034">
        <f t="shared" ca="1" si="291"/>
        <v>717801.40332456958</v>
      </c>
      <c r="V408" s="1034">
        <f t="shared" ca="1" si="291"/>
        <v>724791.24469749036</v>
      </c>
      <c r="W408" s="1034">
        <f t="shared" ca="1" si="291"/>
        <v>728130.77780661359</v>
      </c>
      <c r="X408" s="1034">
        <f t="shared" ca="1" si="291"/>
        <v>728471.91477370774</v>
      </c>
      <c r="Y408" s="1034">
        <f t="shared" ca="1" si="291"/>
        <v>766203.93982171454</v>
      </c>
      <c r="Z408" s="1034">
        <f t="shared" ca="1" si="291"/>
        <v>799742.32077345566</v>
      </c>
      <c r="AA408" s="1034">
        <f t="shared" ref="AA408:AF408" ca="1" si="292">AA400+AA407</f>
        <v>832390.53904279449</v>
      </c>
      <c r="AB408" s="1034">
        <f t="shared" ca="1" si="292"/>
        <v>853800.42546534271</v>
      </c>
      <c r="AC408" s="1034">
        <f t="shared" ca="1" si="292"/>
        <v>777907.92353638762</v>
      </c>
      <c r="AD408" s="1034">
        <f t="shared" ca="1" si="292"/>
        <v>751406.00737267768</v>
      </c>
      <c r="AE408" s="1034">
        <f t="shared" ca="1" si="292"/>
        <v>724374.0528856935</v>
      </c>
      <c r="AF408" s="1034">
        <f t="shared" ca="1" si="292"/>
        <v>696801.4593089699</v>
      </c>
      <c r="AG408" s="818"/>
    </row>
    <row r="409" spans="1:58" ht="12" thickTop="1">
      <c r="A409" s="818"/>
      <c r="B409" s="818"/>
      <c r="C409" s="1011"/>
      <c r="D409" s="1011"/>
      <c r="E409" s="1011"/>
      <c r="F409" s="1011"/>
      <c r="G409" s="1011"/>
      <c r="H409" s="1011"/>
      <c r="I409" s="996"/>
      <c r="J409" s="996"/>
      <c r="K409" s="996"/>
      <c r="L409" s="996"/>
      <c r="M409" s="996"/>
      <c r="N409" s="1011"/>
      <c r="O409" s="1011"/>
      <c r="P409" s="1011"/>
      <c r="Q409" s="1011"/>
      <c r="R409" s="1011"/>
      <c r="S409" s="1011"/>
      <c r="T409" s="1011"/>
      <c r="U409" s="1011"/>
      <c r="V409" s="1011"/>
      <c r="W409" s="1011"/>
      <c r="X409" s="1011"/>
      <c r="Y409" s="1011"/>
      <c r="Z409" s="1011"/>
      <c r="AA409" s="1011"/>
      <c r="AB409" s="1011"/>
      <c r="AC409" s="1011"/>
      <c r="AD409" s="1011"/>
      <c r="AE409" s="1011"/>
      <c r="AF409" s="1011"/>
      <c r="AG409" s="818"/>
    </row>
    <row r="410" spans="1:58">
      <c r="A410" s="1016" t="s">
        <v>444</v>
      </c>
      <c r="B410" s="818"/>
      <c r="C410" s="1011"/>
      <c r="D410" s="1011"/>
      <c r="E410" s="1295">
        <f t="shared" ref="E410:Z410" si="293">E385-E408</f>
        <v>0</v>
      </c>
      <c r="F410" s="1295">
        <f t="shared" si="293"/>
        <v>0</v>
      </c>
      <c r="G410" s="1295">
        <f t="shared" si="293"/>
        <v>0</v>
      </c>
      <c r="H410" s="1295">
        <f t="shared" ca="1" si="293"/>
        <v>0</v>
      </c>
      <c r="I410" s="1295">
        <f t="shared" ca="1" si="293"/>
        <v>0</v>
      </c>
      <c r="J410" s="1295">
        <f t="shared" ca="1" si="293"/>
        <v>0</v>
      </c>
      <c r="K410" s="1295">
        <f t="shared" ca="1" si="293"/>
        <v>0</v>
      </c>
      <c r="L410" s="1295">
        <f t="shared" ca="1" si="293"/>
        <v>0</v>
      </c>
      <c r="M410" s="1295">
        <f t="shared" ca="1" si="293"/>
        <v>0</v>
      </c>
      <c r="N410" s="1295">
        <f t="shared" ca="1" si="293"/>
        <v>0</v>
      </c>
      <c r="O410" s="1295">
        <f t="shared" ca="1" si="293"/>
        <v>0</v>
      </c>
      <c r="P410" s="1295">
        <f t="shared" ca="1" si="293"/>
        <v>0</v>
      </c>
      <c r="Q410" s="1295">
        <f t="shared" ca="1" si="293"/>
        <v>0</v>
      </c>
      <c r="R410" s="1295">
        <f t="shared" ca="1" si="293"/>
        <v>0</v>
      </c>
      <c r="S410" s="1295">
        <f t="shared" ca="1" si="293"/>
        <v>0</v>
      </c>
      <c r="T410" s="1295">
        <f t="shared" ca="1" si="293"/>
        <v>0</v>
      </c>
      <c r="U410" s="1295">
        <f t="shared" ca="1" si="293"/>
        <v>0</v>
      </c>
      <c r="V410" s="1295">
        <f t="shared" ca="1" si="293"/>
        <v>0</v>
      </c>
      <c r="W410" s="1295">
        <f t="shared" ca="1" si="293"/>
        <v>0</v>
      </c>
      <c r="X410" s="1295">
        <f t="shared" ca="1" si="293"/>
        <v>0</v>
      </c>
      <c r="Y410" s="1295">
        <f t="shared" ca="1" si="293"/>
        <v>0</v>
      </c>
      <c r="Z410" s="1295">
        <f t="shared" ca="1" si="293"/>
        <v>0</v>
      </c>
      <c r="AA410" s="1295">
        <f t="shared" ref="AA410:AF410" ca="1" si="294">AA385-AA408</f>
        <v>0</v>
      </c>
      <c r="AB410" s="1295">
        <f t="shared" ca="1" si="294"/>
        <v>0</v>
      </c>
      <c r="AC410" s="1295">
        <f t="shared" ca="1" si="294"/>
        <v>0</v>
      </c>
      <c r="AD410" s="1295">
        <f t="shared" ca="1" si="294"/>
        <v>0</v>
      </c>
      <c r="AE410" s="1295">
        <f t="shared" ca="1" si="294"/>
        <v>0</v>
      </c>
      <c r="AF410" s="1295">
        <f t="shared" ca="1" si="294"/>
        <v>1.1641532182693481E-9</v>
      </c>
      <c r="AG410" s="818"/>
    </row>
    <row r="411" spans="1:58" ht="12" thickBot="1">
      <c r="A411" s="1016"/>
      <c r="B411" s="818"/>
      <c r="C411" s="1011"/>
      <c r="D411" s="1011"/>
      <c r="E411" s="1011"/>
      <c r="F411" s="1011"/>
      <c r="G411" s="1011"/>
      <c r="H411" s="1011"/>
      <c r="I411" s="1011"/>
      <c r="J411" s="1011"/>
      <c r="K411" s="1011"/>
      <c r="L411" s="1011"/>
      <c r="M411" s="1011"/>
      <c r="N411" s="1011"/>
      <c r="O411" s="1011"/>
      <c r="P411" s="1011"/>
      <c r="Q411" s="1011"/>
      <c r="R411" s="1011"/>
      <c r="S411" s="1011"/>
      <c r="T411" s="1011"/>
      <c r="U411" s="1011"/>
      <c r="V411" s="1011"/>
      <c r="W411" s="1011"/>
      <c r="X411" s="1011"/>
      <c r="Y411" s="1011"/>
      <c r="Z411" s="1011"/>
      <c r="AA411" s="1011"/>
      <c r="AB411" s="1011"/>
      <c r="AC411" s="1011"/>
      <c r="AD411" s="1011"/>
      <c r="AE411" s="1011"/>
      <c r="AF411" s="1011"/>
      <c r="AG411" s="818"/>
    </row>
    <row r="412" spans="1:58" ht="12.75" thickTop="1" thickBot="1">
      <c r="A412" s="818"/>
      <c r="B412" s="818"/>
      <c r="C412" s="818"/>
      <c r="D412" s="818"/>
      <c r="E412" s="818"/>
      <c r="F412" s="818"/>
      <c r="G412" s="1011"/>
      <c r="H412" s="842">
        <f>H$599</f>
        <v>37802</v>
      </c>
      <c r="I412" s="1054">
        <f>I$599</f>
        <v>37986</v>
      </c>
      <c r="J412" s="1055">
        <f t="shared" ref="J412:AF412" si="295">J$599</f>
        <v>38352</v>
      </c>
      <c r="K412" s="1055">
        <f t="shared" si="295"/>
        <v>38717</v>
      </c>
      <c r="L412" s="1055">
        <f t="shared" si="295"/>
        <v>39082</v>
      </c>
      <c r="M412" s="1055">
        <f t="shared" si="295"/>
        <v>39447</v>
      </c>
      <c r="N412" s="1055">
        <f t="shared" si="295"/>
        <v>39813</v>
      </c>
      <c r="O412" s="1055">
        <f t="shared" si="295"/>
        <v>40178</v>
      </c>
      <c r="P412" s="1055">
        <f t="shared" si="295"/>
        <v>40543</v>
      </c>
      <c r="Q412" s="1055">
        <f t="shared" si="295"/>
        <v>40908</v>
      </c>
      <c r="R412" s="1055">
        <f t="shared" si="295"/>
        <v>41274</v>
      </c>
      <c r="S412" s="1055">
        <f t="shared" si="295"/>
        <v>41639</v>
      </c>
      <c r="T412" s="1055">
        <f t="shared" si="295"/>
        <v>42004</v>
      </c>
      <c r="U412" s="1055">
        <f t="shared" si="295"/>
        <v>42369</v>
      </c>
      <c r="V412" s="1055">
        <f t="shared" si="295"/>
        <v>42735</v>
      </c>
      <c r="W412" s="1055">
        <f t="shared" si="295"/>
        <v>43100</v>
      </c>
      <c r="X412" s="1055">
        <f t="shared" si="295"/>
        <v>43465</v>
      </c>
      <c r="Y412" s="1055">
        <f t="shared" si="295"/>
        <v>43830</v>
      </c>
      <c r="Z412" s="1055">
        <f t="shared" si="295"/>
        <v>44196</v>
      </c>
      <c r="AA412" s="1055">
        <f t="shared" si="295"/>
        <v>44561</v>
      </c>
      <c r="AB412" s="1055">
        <f t="shared" si="295"/>
        <v>44926</v>
      </c>
      <c r="AC412" s="1055">
        <f t="shared" si="295"/>
        <v>45291</v>
      </c>
      <c r="AD412" s="1055">
        <f t="shared" si="295"/>
        <v>45657</v>
      </c>
      <c r="AE412" s="1055">
        <f t="shared" si="295"/>
        <v>46022</v>
      </c>
      <c r="AF412" s="1055">
        <f t="shared" si="295"/>
        <v>46387</v>
      </c>
      <c r="AG412" s="818"/>
    </row>
    <row r="413" spans="1:58" ht="12" thickTop="1">
      <c r="A413" s="917" t="s">
        <v>664</v>
      </c>
      <c r="B413" s="818"/>
      <c r="C413" s="818"/>
      <c r="D413" s="1006"/>
      <c r="E413" s="818"/>
      <c r="F413" s="818"/>
      <c r="G413" s="818"/>
      <c r="H413" s="665"/>
      <c r="I413" s="665"/>
      <c r="J413" s="665"/>
      <c r="K413" s="665"/>
      <c r="L413" s="665"/>
      <c r="M413" s="665"/>
      <c r="N413" s="665"/>
      <c r="O413" s="665"/>
      <c r="P413" s="665"/>
      <c r="Q413" s="665"/>
      <c r="R413" s="665"/>
      <c r="S413" s="665"/>
      <c r="T413" s="665"/>
      <c r="U413" s="665"/>
      <c r="V413" s="665"/>
      <c r="W413" s="665"/>
      <c r="X413" s="665"/>
      <c r="Y413" s="665"/>
      <c r="Z413" s="665"/>
      <c r="AA413" s="665"/>
      <c r="AB413" s="665"/>
      <c r="AC413" s="665"/>
      <c r="AD413" s="665"/>
      <c r="AE413" s="665"/>
      <c r="AF413" s="665"/>
      <c r="AG413" s="818"/>
    </row>
    <row r="414" spans="1:58" ht="12.75">
      <c r="A414" s="1016" t="s">
        <v>665</v>
      </c>
      <c r="B414" s="818"/>
      <c r="C414" s="1009" t="s">
        <v>666</v>
      </c>
      <c r="D414" s="818"/>
      <c r="E414" s="818"/>
      <c r="F414"/>
      <c r="G414" s="1011"/>
      <c r="H414" s="1026">
        <v>0</v>
      </c>
      <c r="I414" s="1011">
        <f t="shared" ref="I414:AF414" si="296">H417</f>
        <v>0</v>
      </c>
      <c r="J414" s="1011">
        <f t="shared" ca="1" si="296"/>
        <v>0</v>
      </c>
      <c r="K414" s="1011">
        <f t="shared" ca="1" si="296"/>
        <v>0</v>
      </c>
      <c r="L414" s="1011">
        <f t="shared" ca="1" si="296"/>
        <v>0</v>
      </c>
      <c r="M414" s="1011">
        <f t="shared" ca="1" si="296"/>
        <v>0</v>
      </c>
      <c r="N414" s="1011">
        <f t="shared" ca="1" si="296"/>
        <v>0</v>
      </c>
      <c r="O414" s="1011">
        <f t="shared" ca="1" si="296"/>
        <v>0</v>
      </c>
      <c r="P414" s="1011">
        <f t="shared" ca="1" si="296"/>
        <v>0</v>
      </c>
      <c r="Q414" s="1011">
        <f t="shared" ca="1" si="296"/>
        <v>0</v>
      </c>
      <c r="R414" s="1011">
        <f t="shared" ca="1" si="296"/>
        <v>0</v>
      </c>
      <c r="S414" s="1011">
        <f t="shared" ca="1" si="296"/>
        <v>0</v>
      </c>
      <c r="T414" s="1011">
        <f t="shared" ca="1" si="296"/>
        <v>0</v>
      </c>
      <c r="U414" s="1011">
        <f t="shared" ca="1" si="296"/>
        <v>0</v>
      </c>
      <c r="V414" s="1011">
        <f t="shared" ca="1" si="296"/>
        <v>0</v>
      </c>
      <c r="W414" s="1011">
        <f t="shared" ca="1" si="296"/>
        <v>0</v>
      </c>
      <c r="X414" s="1011">
        <f t="shared" ca="1" si="296"/>
        <v>0</v>
      </c>
      <c r="Y414" s="1011">
        <f t="shared" ca="1" si="296"/>
        <v>0</v>
      </c>
      <c r="Z414" s="1011">
        <f t="shared" ca="1" si="296"/>
        <v>0</v>
      </c>
      <c r="AA414" s="1011">
        <f t="shared" ca="1" si="296"/>
        <v>0</v>
      </c>
      <c r="AB414" s="1011">
        <f t="shared" ca="1" si="296"/>
        <v>0</v>
      </c>
      <c r="AC414" s="1011">
        <f t="shared" ca="1" si="296"/>
        <v>0</v>
      </c>
      <c r="AD414" s="1011">
        <f t="shared" ca="1" si="296"/>
        <v>0</v>
      </c>
      <c r="AE414" s="1011">
        <f t="shared" ca="1" si="296"/>
        <v>0</v>
      </c>
      <c r="AF414" s="1011">
        <f t="shared" ca="1" si="296"/>
        <v>0</v>
      </c>
      <c r="AG414" s="1011"/>
      <c r="AH414" s="665"/>
      <c r="AI414" s="665"/>
      <c r="AJ414" s="665"/>
      <c r="AK414" s="665"/>
      <c r="AL414" s="665"/>
      <c r="AM414" s="665"/>
      <c r="AN414" s="665"/>
      <c r="AO414" s="665"/>
      <c r="AP414" s="665"/>
      <c r="AQ414" s="665"/>
      <c r="AR414" s="665"/>
      <c r="AS414" s="665"/>
      <c r="AT414" s="665"/>
      <c r="AU414" s="665"/>
      <c r="AV414" s="665"/>
      <c r="AW414" s="665"/>
      <c r="AX414" s="665"/>
      <c r="AY414" s="665"/>
      <c r="AZ414" s="665"/>
      <c r="BA414" s="665"/>
      <c r="BB414" s="665"/>
      <c r="BC414" s="665"/>
      <c r="BD414" s="665"/>
      <c r="BE414" s="665"/>
      <c r="BF414" s="665"/>
    </row>
    <row r="415" spans="1:58" ht="12.75">
      <c r="A415" s="818"/>
      <c r="B415" s="818"/>
      <c r="C415" s="1009" t="s">
        <v>667</v>
      </c>
      <c r="D415" s="818"/>
      <c r="E415" s="818"/>
      <c r="F415"/>
      <c r="G415" s="1011"/>
      <c r="H415" s="1026">
        <v>0</v>
      </c>
      <c r="I415" s="1011">
        <f t="shared" ref="I415:AF415" ca="1" si="297">IF(I348+I354+(I361+I362-I539)&lt;=0,I348+I354+(I361+I362-I539),0)</f>
        <v>0</v>
      </c>
      <c r="J415" s="1011">
        <f t="shared" ca="1" si="297"/>
        <v>0</v>
      </c>
      <c r="K415" s="1011">
        <f t="shared" ca="1" si="297"/>
        <v>0</v>
      </c>
      <c r="L415" s="1011">
        <f t="shared" ca="1" si="297"/>
        <v>0</v>
      </c>
      <c r="M415" s="1011">
        <f t="shared" ca="1" si="297"/>
        <v>0</v>
      </c>
      <c r="N415" s="1011">
        <f t="shared" ca="1" si="297"/>
        <v>0</v>
      </c>
      <c r="O415" s="1011">
        <f t="shared" ca="1" si="297"/>
        <v>0</v>
      </c>
      <c r="P415" s="1011">
        <f t="shared" ca="1" si="297"/>
        <v>0</v>
      </c>
      <c r="Q415" s="1011">
        <f t="shared" ca="1" si="297"/>
        <v>0</v>
      </c>
      <c r="R415" s="1011">
        <f t="shared" ca="1" si="297"/>
        <v>0</v>
      </c>
      <c r="S415" s="1011">
        <f t="shared" ca="1" si="297"/>
        <v>0</v>
      </c>
      <c r="T415" s="1011">
        <f t="shared" ca="1" si="297"/>
        <v>0</v>
      </c>
      <c r="U415" s="1011">
        <f t="shared" ca="1" si="297"/>
        <v>0</v>
      </c>
      <c r="V415" s="1011">
        <f t="shared" ca="1" si="297"/>
        <v>0</v>
      </c>
      <c r="W415" s="1011">
        <f t="shared" ca="1" si="297"/>
        <v>0</v>
      </c>
      <c r="X415" s="1011">
        <f t="shared" ca="1" si="297"/>
        <v>0</v>
      </c>
      <c r="Y415" s="1011">
        <f t="shared" ca="1" si="297"/>
        <v>0</v>
      </c>
      <c r="Z415" s="1011">
        <f t="shared" ca="1" si="297"/>
        <v>0</v>
      </c>
      <c r="AA415" s="1011">
        <f t="shared" ca="1" si="297"/>
        <v>0</v>
      </c>
      <c r="AB415" s="1011">
        <f t="shared" ca="1" si="297"/>
        <v>0</v>
      </c>
      <c r="AC415" s="1011">
        <f t="shared" ca="1" si="297"/>
        <v>0</v>
      </c>
      <c r="AD415" s="1011">
        <f t="shared" ca="1" si="297"/>
        <v>0</v>
      </c>
      <c r="AE415" s="1011">
        <f t="shared" ca="1" si="297"/>
        <v>0</v>
      </c>
      <c r="AF415" s="1011">
        <f t="shared" ca="1" si="297"/>
        <v>0</v>
      </c>
      <c r="AG415" s="1011"/>
      <c r="AH415" s="665"/>
      <c r="AI415" s="665"/>
      <c r="AJ415" s="665"/>
      <c r="AK415" s="665"/>
      <c r="AL415" s="665"/>
      <c r="AM415" s="665"/>
      <c r="AN415" s="665"/>
      <c r="AO415" s="665"/>
      <c r="AP415" s="665"/>
      <c r="AQ415" s="665"/>
      <c r="AR415" s="665"/>
      <c r="AS415" s="665"/>
      <c r="AT415" s="665"/>
      <c r="AU415" s="665"/>
      <c r="AV415" s="665"/>
      <c r="AW415" s="665"/>
      <c r="AX415" s="665"/>
      <c r="AY415" s="665"/>
      <c r="AZ415" s="665"/>
      <c r="BA415" s="665"/>
      <c r="BB415" s="665"/>
      <c r="BC415" s="665"/>
      <c r="BD415" s="665"/>
      <c r="BE415" s="665"/>
      <c r="BF415" s="665"/>
    </row>
    <row r="416" spans="1:58" ht="12.75">
      <c r="A416" s="818"/>
      <c r="B416" s="818"/>
      <c r="C416" s="1009" t="s">
        <v>668</v>
      </c>
      <c r="D416" s="818"/>
      <c r="E416" s="818"/>
      <c r="F416"/>
      <c r="G416" s="1011"/>
      <c r="H416" s="1026">
        <v>0</v>
      </c>
      <c r="I416" s="1011">
        <f t="shared" ref="I416:AF416" ca="1" si="298">IF(I348+I354&gt;0,MIN(I348+I354,I414),0)</f>
        <v>0</v>
      </c>
      <c r="J416" s="1011">
        <f t="shared" ca="1" si="298"/>
        <v>0</v>
      </c>
      <c r="K416" s="1011">
        <f t="shared" ca="1" si="298"/>
        <v>0</v>
      </c>
      <c r="L416" s="1011">
        <f t="shared" ca="1" si="298"/>
        <v>0</v>
      </c>
      <c r="M416" s="1011">
        <f t="shared" ca="1" si="298"/>
        <v>0</v>
      </c>
      <c r="N416" s="1011">
        <f t="shared" ca="1" si="298"/>
        <v>0</v>
      </c>
      <c r="O416" s="1011">
        <f t="shared" ca="1" si="298"/>
        <v>0</v>
      </c>
      <c r="P416" s="1011">
        <f t="shared" ca="1" si="298"/>
        <v>0</v>
      </c>
      <c r="Q416" s="1011">
        <f t="shared" ca="1" si="298"/>
        <v>0</v>
      </c>
      <c r="R416" s="1011">
        <f t="shared" ca="1" si="298"/>
        <v>0</v>
      </c>
      <c r="S416" s="1011">
        <f t="shared" ca="1" si="298"/>
        <v>0</v>
      </c>
      <c r="T416" s="1011">
        <f t="shared" ca="1" si="298"/>
        <v>0</v>
      </c>
      <c r="U416" s="1011">
        <f t="shared" ca="1" si="298"/>
        <v>0</v>
      </c>
      <c r="V416" s="1011">
        <f t="shared" ca="1" si="298"/>
        <v>0</v>
      </c>
      <c r="W416" s="1011">
        <f t="shared" ca="1" si="298"/>
        <v>0</v>
      </c>
      <c r="X416" s="1011">
        <f t="shared" ca="1" si="298"/>
        <v>0</v>
      </c>
      <c r="Y416" s="1011">
        <f t="shared" ca="1" si="298"/>
        <v>0</v>
      </c>
      <c r="Z416" s="1011">
        <f t="shared" ca="1" si="298"/>
        <v>0</v>
      </c>
      <c r="AA416" s="1011">
        <f t="shared" ca="1" si="298"/>
        <v>0</v>
      </c>
      <c r="AB416" s="1011">
        <f t="shared" ca="1" si="298"/>
        <v>0</v>
      </c>
      <c r="AC416" s="1011">
        <f t="shared" ca="1" si="298"/>
        <v>0</v>
      </c>
      <c r="AD416" s="1011">
        <f t="shared" ca="1" si="298"/>
        <v>0</v>
      </c>
      <c r="AE416" s="1011">
        <f t="shared" ca="1" si="298"/>
        <v>0</v>
      </c>
      <c r="AF416" s="1011">
        <f t="shared" ca="1" si="298"/>
        <v>0</v>
      </c>
      <c r="AG416" s="1011"/>
      <c r="AH416" s="665"/>
      <c r="AI416" s="665"/>
      <c r="AJ416" s="665"/>
      <c r="AK416" s="665"/>
      <c r="AL416" s="665"/>
      <c r="AM416" s="665"/>
      <c r="AN416" s="665"/>
      <c r="AO416" s="665"/>
      <c r="AP416" s="665"/>
      <c r="AQ416" s="665"/>
      <c r="AR416" s="665"/>
      <c r="AS416" s="665"/>
      <c r="AT416" s="665"/>
      <c r="AU416" s="665"/>
      <c r="AV416" s="665"/>
      <c r="AW416" s="665"/>
      <c r="AX416" s="665"/>
      <c r="AY416" s="665"/>
      <c r="AZ416" s="665"/>
      <c r="BA416" s="665"/>
      <c r="BB416" s="665"/>
      <c r="BC416" s="665"/>
      <c r="BD416" s="665"/>
      <c r="BE416" s="665"/>
      <c r="BF416" s="665"/>
    </row>
    <row r="417" spans="1:58" ht="12.75">
      <c r="A417" s="818"/>
      <c r="B417" s="818"/>
      <c r="C417" s="1009" t="s">
        <v>669</v>
      </c>
      <c r="D417" s="818"/>
      <c r="E417" s="818"/>
      <c r="F417"/>
      <c r="G417" s="1011"/>
      <c r="H417" s="1032">
        <f t="shared" ref="H417:AF417" si="299">H414-H415-H416</f>
        <v>0</v>
      </c>
      <c r="I417" s="1020">
        <f t="shared" ca="1" si="299"/>
        <v>0</v>
      </c>
      <c r="J417" s="1020">
        <f t="shared" ca="1" si="299"/>
        <v>0</v>
      </c>
      <c r="K417" s="1020">
        <f t="shared" ca="1" si="299"/>
        <v>0</v>
      </c>
      <c r="L417" s="1020">
        <f t="shared" ca="1" si="299"/>
        <v>0</v>
      </c>
      <c r="M417" s="1020">
        <f t="shared" ca="1" si="299"/>
        <v>0</v>
      </c>
      <c r="N417" s="1020">
        <f t="shared" ca="1" si="299"/>
        <v>0</v>
      </c>
      <c r="O417" s="1020">
        <f t="shared" ca="1" si="299"/>
        <v>0</v>
      </c>
      <c r="P417" s="1020">
        <f t="shared" ca="1" si="299"/>
        <v>0</v>
      </c>
      <c r="Q417" s="1020">
        <f t="shared" ca="1" si="299"/>
        <v>0</v>
      </c>
      <c r="R417" s="1020">
        <f t="shared" ca="1" si="299"/>
        <v>0</v>
      </c>
      <c r="S417" s="1020">
        <f t="shared" ca="1" si="299"/>
        <v>0</v>
      </c>
      <c r="T417" s="1020">
        <f t="shared" ca="1" si="299"/>
        <v>0</v>
      </c>
      <c r="U417" s="1020">
        <f t="shared" ca="1" si="299"/>
        <v>0</v>
      </c>
      <c r="V417" s="1020">
        <f t="shared" ca="1" si="299"/>
        <v>0</v>
      </c>
      <c r="W417" s="1020">
        <f t="shared" ca="1" si="299"/>
        <v>0</v>
      </c>
      <c r="X417" s="1020">
        <f t="shared" ca="1" si="299"/>
        <v>0</v>
      </c>
      <c r="Y417" s="1020">
        <f t="shared" ca="1" si="299"/>
        <v>0</v>
      </c>
      <c r="Z417" s="1020">
        <f t="shared" ca="1" si="299"/>
        <v>0</v>
      </c>
      <c r="AA417" s="1020">
        <f t="shared" ca="1" si="299"/>
        <v>0</v>
      </c>
      <c r="AB417" s="1020">
        <f t="shared" ca="1" si="299"/>
        <v>0</v>
      </c>
      <c r="AC417" s="1020">
        <f t="shared" ca="1" si="299"/>
        <v>0</v>
      </c>
      <c r="AD417" s="1020">
        <f t="shared" ca="1" si="299"/>
        <v>0</v>
      </c>
      <c r="AE417" s="1020">
        <f t="shared" ca="1" si="299"/>
        <v>0</v>
      </c>
      <c r="AF417" s="1020">
        <f t="shared" ca="1" si="299"/>
        <v>0</v>
      </c>
      <c r="AG417" s="1020"/>
      <c r="AH417" s="665"/>
      <c r="AI417" s="665"/>
      <c r="AJ417" s="665"/>
      <c r="AK417" s="665"/>
      <c r="AL417" s="665"/>
      <c r="AM417" s="665"/>
      <c r="AN417" s="665"/>
      <c r="AO417" s="665"/>
      <c r="AP417" s="665"/>
      <c r="AQ417" s="665"/>
      <c r="AR417" s="665"/>
      <c r="AS417" s="665"/>
      <c r="AT417" s="665"/>
      <c r="AU417" s="665"/>
      <c r="AV417" s="665"/>
      <c r="AW417" s="665"/>
      <c r="AX417" s="665"/>
      <c r="AY417" s="665"/>
      <c r="AZ417" s="665"/>
      <c r="BA417" s="665"/>
      <c r="BB417" s="665"/>
      <c r="BC417" s="665"/>
      <c r="BD417" s="665"/>
      <c r="BE417" s="665"/>
      <c r="BF417" s="665"/>
    </row>
    <row r="418" spans="1:58" ht="12.75">
      <c r="A418" s="818"/>
      <c r="B418" s="818"/>
      <c r="C418" s="1009" t="s">
        <v>670</v>
      </c>
      <c r="D418" s="818"/>
      <c r="E418" s="818"/>
      <c r="F418"/>
      <c r="G418" s="818"/>
      <c r="H418" s="1027"/>
      <c r="I418" s="1030">
        <f t="shared" ref="I418:AF418" si="300">I587</f>
        <v>0</v>
      </c>
      <c r="J418" s="1030">
        <f t="shared" si="300"/>
        <v>0</v>
      </c>
      <c r="K418" s="1030">
        <f t="shared" si="300"/>
        <v>0</v>
      </c>
      <c r="L418" s="1030">
        <f t="shared" si="300"/>
        <v>0</v>
      </c>
      <c r="M418" s="1030">
        <f t="shared" si="300"/>
        <v>0</v>
      </c>
      <c r="N418" s="1030">
        <f t="shared" si="300"/>
        <v>0</v>
      </c>
      <c r="O418" s="1030">
        <f t="shared" si="300"/>
        <v>0</v>
      </c>
      <c r="P418" s="1030">
        <f t="shared" si="300"/>
        <v>0</v>
      </c>
      <c r="Q418" s="1030">
        <f t="shared" si="300"/>
        <v>0</v>
      </c>
      <c r="R418" s="1030">
        <f t="shared" si="300"/>
        <v>0</v>
      </c>
      <c r="S418" s="1030">
        <f t="shared" si="300"/>
        <v>0</v>
      </c>
      <c r="T418" s="1030">
        <f t="shared" si="300"/>
        <v>0</v>
      </c>
      <c r="U418" s="1030">
        <f t="shared" si="300"/>
        <v>0</v>
      </c>
      <c r="V418" s="1030">
        <f t="shared" si="300"/>
        <v>0</v>
      </c>
      <c r="W418" s="1030">
        <f t="shared" si="300"/>
        <v>0</v>
      </c>
      <c r="X418" s="1030">
        <f t="shared" si="300"/>
        <v>0</v>
      </c>
      <c r="Y418" s="1030">
        <f t="shared" si="300"/>
        <v>0</v>
      </c>
      <c r="Z418" s="1030">
        <f t="shared" si="300"/>
        <v>0</v>
      </c>
      <c r="AA418" s="1030">
        <f t="shared" si="300"/>
        <v>0</v>
      </c>
      <c r="AB418" s="1030">
        <f t="shared" si="300"/>
        <v>0</v>
      </c>
      <c r="AC418" s="1030">
        <f t="shared" si="300"/>
        <v>0</v>
      </c>
      <c r="AD418" s="1030">
        <f t="shared" si="300"/>
        <v>0</v>
      </c>
      <c r="AE418" s="1030">
        <f t="shared" si="300"/>
        <v>0</v>
      </c>
      <c r="AF418" s="1030">
        <f t="shared" si="300"/>
        <v>0</v>
      </c>
      <c r="AG418" s="665"/>
    </row>
    <row r="419" spans="1:58" ht="12.75">
      <c r="A419" s="1042"/>
      <c r="B419" s="1042"/>
      <c r="C419" s="1042"/>
      <c r="D419" s="1042"/>
      <c r="E419" s="818"/>
      <c r="F419"/>
      <c r="G419" s="1056"/>
      <c r="H419" s="1027"/>
      <c r="I419" s="818"/>
      <c r="J419" s="818"/>
      <c r="K419" s="818"/>
      <c r="L419" s="818"/>
      <c r="M419" s="818"/>
      <c r="N419" s="818"/>
      <c r="O419" s="818"/>
      <c r="P419" s="818"/>
      <c r="Q419" s="818"/>
      <c r="R419" s="818"/>
      <c r="S419" s="818"/>
      <c r="T419" s="818"/>
      <c r="U419" s="818"/>
      <c r="V419" s="818"/>
      <c r="W419" s="818"/>
      <c r="X419" s="818"/>
      <c r="Y419" s="818"/>
      <c r="Z419" s="818"/>
      <c r="AA419" s="818"/>
      <c r="AB419" s="818"/>
      <c r="AC419" s="818"/>
      <c r="AD419" s="818"/>
      <c r="AE419" s="818"/>
      <c r="AF419" s="818"/>
      <c r="AG419" s="818"/>
    </row>
    <row r="420" spans="1:58">
      <c r="A420" s="818"/>
      <c r="B420" s="818"/>
      <c r="C420" s="1009"/>
      <c r="D420" s="818"/>
      <c r="E420" s="818"/>
      <c r="F420" s="818"/>
      <c r="G420" s="818"/>
      <c r="H420" s="818"/>
      <c r="I420" s="1030"/>
      <c r="J420" s="1030"/>
      <c r="K420" s="1030"/>
      <c r="L420" s="1030"/>
      <c r="M420" s="1030"/>
      <c r="N420" s="1030"/>
      <c r="O420" s="1030"/>
      <c r="P420" s="1030"/>
      <c r="Q420" s="1030"/>
      <c r="R420" s="1030"/>
      <c r="S420" s="1030"/>
      <c r="T420" s="1030"/>
      <c r="U420" s="1030"/>
      <c r="V420" s="1030"/>
      <c r="W420" s="1030"/>
      <c r="X420" s="1030"/>
      <c r="Y420" s="1030"/>
      <c r="Z420" s="1030"/>
      <c r="AA420" s="1030"/>
      <c r="AB420" s="1030"/>
      <c r="AC420" s="1030"/>
      <c r="AD420" s="1030"/>
      <c r="AE420" s="1030"/>
      <c r="AF420" s="1030"/>
      <c r="AG420" s="818"/>
    </row>
    <row r="421" spans="1:58">
      <c r="A421" s="1046" t="str">
        <f>B451&amp;":"</f>
        <v>Purchase Term Loan:</v>
      </c>
      <c r="B421" s="818"/>
      <c r="C421" s="1009" t="s">
        <v>666</v>
      </c>
      <c r="D421" s="818"/>
      <c r="E421" s="818"/>
      <c r="F421" s="818"/>
      <c r="G421" s="1011"/>
      <c r="H421" s="1026">
        <v>0</v>
      </c>
      <c r="I421" s="1011">
        <f t="shared" ref="I421:Z421" ca="1" si="301">H425</f>
        <v>302842.67078322335</v>
      </c>
      <c r="J421" s="1011">
        <f t="shared" ca="1" si="301"/>
        <v>302842.67078322335</v>
      </c>
      <c r="K421" s="1011">
        <f t="shared" ca="1" si="301"/>
        <v>292828.20757202699</v>
      </c>
      <c r="L421" s="1011">
        <f t="shared" ca="1" si="301"/>
        <v>281874.88843478099</v>
      </c>
      <c r="M421" s="1011">
        <f t="shared" ca="1" si="301"/>
        <v>269894.69562841818</v>
      </c>
      <c r="N421" s="1011">
        <f t="shared" ca="1" si="301"/>
        <v>256791.35974645882</v>
      </c>
      <c r="O421" s="1011">
        <f t="shared" ca="1" si="301"/>
        <v>242459.58612556578</v>
      </c>
      <c r="P421" s="1011">
        <f t="shared" ca="1" si="301"/>
        <v>226784.20872771402</v>
      </c>
      <c r="Q421" s="1011">
        <f t="shared" ca="1" si="301"/>
        <v>209639.26469881367</v>
      </c>
      <c r="R421" s="1011">
        <f t="shared" ca="1" si="301"/>
        <v>190886.98216720391</v>
      </c>
      <c r="S421" s="1011">
        <f t="shared" ca="1" si="301"/>
        <v>170376.67314825574</v>
      </c>
      <c r="T421" s="1011">
        <f t="shared" ca="1" si="301"/>
        <v>147943.52265878115</v>
      </c>
      <c r="U421" s="1011">
        <f t="shared" ca="1" si="301"/>
        <v>123407.26431091834</v>
      </c>
      <c r="V421" s="1011">
        <f t="shared" ca="1" si="301"/>
        <v>96570.731742943375</v>
      </c>
      <c r="W421" s="1011">
        <f t="shared" ca="1" si="301"/>
        <v>67218.274246720757</v>
      </c>
      <c r="X421" s="1011">
        <f t="shared" ca="1" si="301"/>
        <v>35114.023860227273</v>
      </c>
      <c r="Y421" s="1011">
        <f t="shared" ca="1" si="301"/>
        <v>3.637978807091713E-11</v>
      </c>
      <c r="Z421" s="1011">
        <f t="shared" ca="1" si="301"/>
        <v>3.637978807091713E-11</v>
      </c>
      <c r="AA421" s="1011">
        <f t="shared" ref="AA421:AF421" ca="1" si="302">Z425</f>
        <v>3.637978807091713E-11</v>
      </c>
      <c r="AB421" s="1011">
        <f t="shared" ca="1" si="302"/>
        <v>3.637978807091713E-11</v>
      </c>
      <c r="AC421" s="1011">
        <f t="shared" ca="1" si="302"/>
        <v>3.637978807091713E-11</v>
      </c>
      <c r="AD421" s="1011">
        <f t="shared" ca="1" si="302"/>
        <v>3.637978807091713E-11</v>
      </c>
      <c r="AE421" s="1011">
        <f t="shared" ca="1" si="302"/>
        <v>3.637978807091713E-11</v>
      </c>
      <c r="AF421" s="1011">
        <f t="shared" ca="1" si="302"/>
        <v>3.637978807091713E-11</v>
      </c>
      <c r="AG421" s="818"/>
    </row>
    <row r="422" spans="1:58">
      <c r="A422" s="818"/>
      <c r="B422" s="818"/>
      <c r="C422" s="1009" t="s">
        <v>667</v>
      </c>
      <c r="D422" s="1041"/>
      <c r="E422" s="1041"/>
      <c r="F422" s="1041"/>
      <c r="G422" s="1011"/>
      <c r="H422" s="1026">
        <f ca="1">-H451+H569</f>
        <v>-302842.67078322335</v>
      </c>
      <c r="I422" s="1011">
        <f t="shared" ref="I422:Z422" si="303">I569+I565</f>
        <v>0</v>
      </c>
      <c r="J422" s="1011">
        <f t="shared" si="303"/>
        <v>0</v>
      </c>
      <c r="K422" s="1011">
        <f t="shared" si="303"/>
        <v>0</v>
      </c>
      <c r="L422" s="1011">
        <f t="shared" si="303"/>
        <v>0</v>
      </c>
      <c r="M422" s="1011">
        <f t="shared" si="303"/>
        <v>0</v>
      </c>
      <c r="N422" s="1011">
        <f t="shared" si="303"/>
        <v>0</v>
      </c>
      <c r="O422" s="1011">
        <f t="shared" si="303"/>
        <v>0</v>
      </c>
      <c r="P422" s="1011">
        <f t="shared" si="303"/>
        <v>0</v>
      </c>
      <c r="Q422" s="1011">
        <f t="shared" si="303"/>
        <v>0</v>
      </c>
      <c r="R422" s="1011">
        <f t="shared" si="303"/>
        <v>0</v>
      </c>
      <c r="S422" s="1011">
        <f t="shared" si="303"/>
        <v>0</v>
      </c>
      <c r="T422" s="1011">
        <f t="shared" si="303"/>
        <v>0</v>
      </c>
      <c r="U422" s="1011">
        <f t="shared" si="303"/>
        <v>0</v>
      </c>
      <c r="V422" s="1011">
        <f t="shared" si="303"/>
        <v>0</v>
      </c>
      <c r="W422" s="1011">
        <f t="shared" si="303"/>
        <v>0</v>
      </c>
      <c r="X422" s="1011">
        <f t="shared" si="303"/>
        <v>0</v>
      </c>
      <c r="Y422" s="1011">
        <f t="shared" si="303"/>
        <v>0</v>
      </c>
      <c r="Z422" s="1011">
        <f t="shared" si="303"/>
        <v>0</v>
      </c>
      <c r="AA422" s="1011">
        <f t="shared" ref="AA422:AF422" si="304">AA569+AA565</f>
        <v>0</v>
      </c>
      <c r="AB422" s="1011">
        <f t="shared" si="304"/>
        <v>0</v>
      </c>
      <c r="AC422" s="1011">
        <f t="shared" si="304"/>
        <v>0</v>
      </c>
      <c r="AD422" s="1011">
        <f t="shared" si="304"/>
        <v>0</v>
      </c>
      <c r="AE422" s="1011">
        <f t="shared" si="304"/>
        <v>0</v>
      </c>
      <c r="AF422" s="1011">
        <f t="shared" si="304"/>
        <v>0</v>
      </c>
      <c r="AG422" s="818"/>
    </row>
    <row r="423" spans="1:58">
      <c r="A423" s="818"/>
      <c r="B423" s="818"/>
      <c r="C423" s="1009" t="s">
        <v>668</v>
      </c>
      <c r="D423" s="818"/>
      <c r="E423" s="818"/>
      <c r="F423" s="818"/>
      <c r="G423" s="1011"/>
      <c r="H423" s="1026">
        <f t="shared" ref="H423:Z423" si="305">H564</f>
        <v>0</v>
      </c>
      <c r="I423" s="1011">
        <f t="shared" ca="1" si="305"/>
        <v>0</v>
      </c>
      <c r="J423" s="1011">
        <f t="shared" ca="1" si="305"/>
        <v>10014.463211196358</v>
      </c>
      <c r="K423" s="1011">
        <f t="shared" ca="1" si="305"/>
        <v>10953.319137246017</v>
      </c>
      <c r="L423" s="1011">
        <f t="shared" ca="1" si="305"/>
        <v>11980.192806362837</v>
      </c>
      <c r="M423" s="1011">
        <f t="shared" ca="1" si="305"/>
        <v>13103.335881959341</v>
      </c>
      <c r="N423" s="1011">
        <f t="shared" ca="1" si="305"/>
        <v>14331.773620893036</v>
      </c>
      <c r="O423" s="1011">
        <f t="shared" ca="1" si="305"/>
        <v>15675.377397851757</v>
      </c>
      <c r="P423" s="1011">
        <f t="shared" ca="1" si="305"/>
        <v>17144.944028900358</v>
      </c>
      <c r="Q423" s="1011">
        <f t="shared" ca="1" si="305"/>
        <v>18752.282531609766</v>
      </c>
      <c r="R423" s="1011">
        <f t="shared" ca="1" si="305"/>
        <v>20510.309018948181</v>
      </c>
      <c r="S423" s="1011">
        <f t="shared" ca="1" si="305"/>
        <v>22433.150489474574</v>
      </c>
      <c r="T423" s="1011">
        <f t="shared" ca="1" si="305"/>
        <v>24536.258347862815</v>
      </c>
      <c r="U423" s="1011">
        <f t="shared" ca="1" si="305"/>
        <v>26836.532567974959</v>
      </c>
      <c r="V423" s="1011">
        <f t="shared" ca="1" si="305"/>
        <v>29352.457496222614</v>
      </c>
      <c r="W423" s="1011">
        <f t="shared" ca="1" si="305"/>
        <v>32104.250386493481</v>
      </c>
      <c r="X423" s="1011">
        <f t="shared" ca="1" si="305"/>
        <v>35114.023860227237</v>
      </c>
      <c r="Y423" s="1011">
        <f t="shared" ca="1" si="305"/>
        <v>0</v>
      </c>
      <c r="Z423" s="1011">
        <f t="shared" ca="1" si="305"/>
        <v>0</v>
      </c>
      <c r="AA423" s="1011">
        <f t="shared" ref="AA423:AF423" ca="1" si="306">AA564</f>
        <v>0</v>
      </c>
      <c r="AB423" s="1011">
        <f t="shared" ca="1" si="306"/>
        <v>0</v>
      </c>
      <c r="AC423" s="1011">
        <f t="shared" ca="1" si="306"/>
        <v>0</v>
      </c>
      <c r="AD423" s="1011">
        <f t="shared" si="306"/>
        <v>0</v>
      </c>
      <c r="AE423" s="1011">
        <f t="shared" si="306"/>
        <v>0</v>
      </c>
      <c r="AF423" s="1011">
        <f t="shared" si="306"/>
        <v>0</v>
      </c>
      <c r="AG423" s="818"/>
    </row>
    <row r="424" spans="1:58">
      <c r="A424" s="818"/>
      <c r="B424" s="818"/>
      <c r="C424" s="1009" t="s">
        <v>671</v>
      </c>
      <c r="D424" s="818"/>
      <c r="E424" s="818"/>
      <c r="F424" s="818"/>
      <c r="G424" s="1011"/>
      <c r="H424" s="1026">
        <f t="shared" ref="H424:Z424" si="307">-H364</f>
        <v>0</v>
      </c>
      <c r="I424" s="1017">
        <f t="shared" ca="1" si="307"/>
        <v>0</v>
      </c>
      <c r="J424" s="1017">
        <f t="shared" ca="1" si="307"/>
        <v>0</v>
      </c>
      <c r="K424" s="1017">
        <f t="shared" ca="1" si="307"/>
        <v>0</v>
      </c>
      <c r="L424" s="1017">
        <f t="shared" ca="1" si="307"/>
        <v>0</v>
      </c>
      <c r="M424" s="1017">
        <f t="shared" ca="1" si="307"/>
        <v>0</v>
      </c>
      <c r="N424" s="1017">
        <f t="shared" ca="1" si="307"/>
        <v>0</v>
      </c>
      <c r="O424" s="1017">
        <f t="shared" ca="1" si="307"/>
        <v>0</v>
      </c>
      <c r="P424" s="1017">
        <f t="shared" ca="1" si="307"/>
        <v>0</v>
      </c>
      <c r="Q424" s="1017">
        <f t="shared" ca="1" si="307"/>
        <v>0</v>
      </c>
      <c r="R424" s="1017">
        <f t="shared" ca="1" si="307"/>
        <v>0</v>
      </c>
      <c r="S424" s="1017">
        <f t="shared" ca="1" si="307"/>
        <v>0</v>
      </c>
      <c r="T424" s="1017">
        <f t="shared" ca="1" si="307"/>
        <v>0</v>
      </c>
      <c r="U424" s="1017">
        <f t="shared" ca="1" si="307"/>
        <v>0</v>
      </c>
      <c r="V424" s="1017">
        <f t="shared" ca="1" si="307"/>
        <v>0</v>
      </c>
      <c r="W424" s="1017">
        <f t="shared" ca="1" si="307"/>
        <v>0</v>
      </c>
      <c r="X424" s="1017">
        <f t="shared" ca="1" si="307"/>
        <v>0</v>
      </c>
      <c r="Y424" s="1017">
        <f t="shared" ca="1" si="307"/>
        <v>0</v>
      </c>
      <c r="Z424" s="1017">
        <f t="shared" ca="1" si="307"/>
        <v>0</v>
      </c>
      <c r="AA424" s="1017">
        <f t="shared" ref="AA424:AF424" ca="1" si="308">-AA364</f>
        <v>0</v>
      </c>
      <c r="AB424" s="1017">
        <f t="shared" ca="1" si="308"/>
        <v>0</v>
      </c>
      <c r="AC424" s="1017">
        <f t="shared" ca="1" si="308"/>
        <v>0</v>
      </c>
      <c r="AD424" s="1017">
        <f t="shared" ca="1" si="308"/>
        <v>0</v>
      </c>
      <c r="AE424" s="1017">
        <f t="shared" ca="1" si="308"/>
        <v>0</v>
      </c>
      <c r="AF424" s="1017">
        <f t="shared" ca="1" si="308"/>
        <v>0</v>
      </c>
      <c r="AG424" s="818"/>
    </row>
    <row r="425" spans="1:58">
      <c r="A425" s="818"/>
      <c r="B425" s="818"/>
      <c r="C425" s="1009" t="s">
        <v>669</v>
      </c>
      <c r="D425" s="818"/>
      <c r="E425" s="818"/>
      <c r="F425" s="818"/>
      <c r="G425" s="1011"/>
      <c r="H425" s="1032">
        <f t="shared" ref="H425:Z425" ca="1" si="309">H421-H423-H422-H424</f>
        <v>302842.67078322335</v>
      </c>
      <c r="I425" s="1020">
        <f t="shared" ca="1" si="309"/>
        <v>302842.67078322335</v>
      </c>
      <c r="J425" s="1020">
        <f t="shared" ca="1" si="309"/>
        <v>292828.20757202699</v>
      </c>
      <c r="K425" s="1020">
        <f t="shared" ca="1" si="309"/>
        <v>281874.88843478099</v>
      </c>
      <c r="L425" s="1020">
        <f t="shared" ca="1" si="309"/>
        <v>269894.69562841818</v>
      </c>
      <c r="M425" s="1020">
        <f t="shared" ca="1" si="309"/>
        <v>256791.35974645882</v>
      </c>
      <c r="N425" s="1020">
        <f t="shared" ca="1" si="309"/>
        <v>242459.58612556578</v>
      </c>
      <c r="O425" s="1020">
        <f t="shared" ca="1" si="309"/>
        <v>226784.20872771402</v>
      </c>
      <c r="P425" s="1020">
        <f t="shared" ca="1" si="309"/>
        <v>209639.26469881367</v>
      </c>
      <c r="Q425" s="1020">
        <f t="shared" ca="1" si="309"/>
        <v>190886.98216720391</v>
      </c>
      <c r="R425" s="1020">
        <f t="shared" ca="1" si="309"/>
        <v>170376.67314825574</v>
      </c>
      <c r="S425" s="1020">
        <f t="shared" ca="1" si="309"/>
        <v>147943.52265878115</v>
      </c>
      <c r="T425" s="1020">
        <f t="shared" ca="1" si="309"/>
        <v>123407.26431091834</v>
      </c>
      <c r="U425" s="1020">
        <f t="shared" ca="1" si="309"/>
        <v>96570.731742943375</v>
      </c>
      <c r="V425" s="1020">
        <f t="shared" ca="1" si="309"/>
        <v>67218.274246720757</v>
      </c>
      <c r="W425" s="1020">
        <f t="shared" ca="1" si="309"/>
        <v>35114.023860227273</v>
      </c>
      <c r="X425" s="1020">
        <f t="shared" ca="1" si="309"/>
        <v>3.637978807091713E-11</v>
      </c>
      <c r="Y425" s="1020">
        <f t="shared" ca="1" si="309"/>
        <v>3.637978807091713E-11</v>
      </c>
      <c r="Z425" s="1020">
        <f t="shared" ca="1" si="309"/>
        <v>3.637978807091713E-11</v>
      </c>
      <c r="AA425" s="1020">
        <f t="shared" ref="AA425:AF425" ca="1" si="310">AA421-AA423-AA422-AA424</f>
        <v>3.637978807091713E-11</v>
      </c>
      <c r="AB425" s="1020">
        <f t="shared" ca="1" si="310"/>
        <v>3.637978807091713E-11</v>
      </c>
      <c r="AC425" s="1020">
        <f t="shared" ca="1" si="310"/>
        <v>3.637978807091713E-11</v>
      </c>
      <c r="AD425" s="1020">
        <f t="shared" ca="1" si="310"/>
        <v>3.637978807091713E-11</v>
      </c>
      <c r="AE425" s="1020">
        <f t="shared" ca="1" si="310"/>
        <v>3.637978807091713E-11</v>
      </c>
      <c r="AF425" s="1020">
        <f t="shared" ca="1" si="310"/>
        <v>3.637978807091713E-11</v>
      </c>
      <c r="AG425" s="818"/>
    </row>
    <row r="426" spans="1:58">
      <c r="A426" s="818"/>
      <c r="B426" s="818"/>
      <c r="C426" s="1009" t="s">
        <v>670</v>
      </c>
      <c r="D426" s="818"/>
      <c r="E426" s="818"/>
      <c r="F426" s="818"/>
      <c r="G426" s="818"/>
      <c r="H426" s="1027"/>
      <c r="I426" s="1030">
        <f t="shared" ref="I426:Z426" si="311">I588</f>
        <v>9.375E-2</v>
      </c>
      <c r="J426" s="1030">
        <f t="shared" si="311"/>
        <v>9.375E-2</v>
      </c>
      <c r="K426" s="1030">
        <f t="shared" si="311"/>
        <v>9.375E-2</v>
      </c>
      <c r="L426" s="1030">
        <f t="shared" si="311"/>
        <v>9.375E-2</v>
      </c>
      <c r="M426" s="1030">
        <f t="shared" si="311"/>
        <v>9.375E-2</v>
      </c>
      <c r="N426" s="1030">
        <f t="shared" si="311"/>
        <v>9.375E-2</v>
      </c>
      <c r="O426" s="1030">
        <f t="shared" si="311"/>
        <v>9.375E-2</v>
      </c>
      <c r="P426" s="1030">
        <f t="shared" si="311"/>
        <v>9.375E-2</v>
      </c>
      <c r="Q426" s="1030">
        <f t="shared" si="311"/>
        <v>9.375E-2</v>
      </c>
      <c r="R426" s="1030">
        <f t="shared" si="311"/>
        <v>9.375E-2</v>
      </c>
      <c r="S426" s="1030">
        <f t="shared" si="311"/>
        <v>9.375E-2</v>
      </c>
      <c r="T426" s="1030">
        <f t="shared" si="311"/>
        <v>9.375E-2</v>
      </c>
      <c r="U426" s="1030">
        <f t="shared" si="311"/>
        <v>9.375E-2</v>
      </c>
      <c r="V426" s="1030">
        <f t="shared" si="311"/>
        <v>9.375E-2</v>
      </c>
      <c r="W426" s="1030">
        <f t="shared" si="311"/>
        <v>9.375E-2</v>
      </c>
      <c r="X426" s="1030">
        <f t="shared" si="311"/>
        <v>9.375E-2</v>
      </c>
      <c r="Y426" s="1030">
        <f t="shared" si="311"/>
        <v>9.375E-2</v>
      </c>
      <c r="Z426" s="1030">
        <f t="shared" si="311"/>
        <v>9.375E-2</v>
      </c>
      <c r="AA426" s="1030">
        <f t="shared" ref="AA426:AF426" si="312">AA588</f>
        <v>9.375E-2</v>
      </c>
      <c r="AB426" s="1030">
        <f t="shared" si="312"/>
        <v>9.375E-2</v>
      </c>
      <c r="AC426" s="1030">
        <f t="shared" si="312"/>
        <v>9.375E-2</v>
      </c>
      <c r="AD426" s="1030">
        <f t="shared" si="312"/>
        <v>9.375E-2</v>
      </c>
      <c r="AE426" s="1030">
        <f t="shared" si="312"/>
        <v>9.375E-2</v>
      </c>
      <c r="AF426" s="1030">
        <f t="shared" si="312"/>
        <v>9.375E-2</v>
      </c>
      <c r="AG426" s="818"/>
    </row>
    <row r="427" spans="1:58">
      <c r="A427" s="818"/>
      <c r="B427" s="818"/>
      <c r="C427" s="818"/>
      <c r="D427" s="818"/>
      <c r="E427" s="818"/>
      <c r="F427" s="818"/>
      <c r="G427" s="818"/>
      <c r="H427" s="1027"/>
      <c r="I427" s="818"/>
      <c r="J427" s="818"/>
      <c r="K427" s="818"/>
      <c r="L427" s="818"/>
      <c r="M427" s="818"/>
      <c r="N427" s="818"/>
      <c r="O427" s="818"/>
      <c r="P427" s="818"/>
      <c r="Q427" s="818"/>
      <c r="R427" s="818"/>
      <c r="S427" s="818"/>
      <c r="T427" s="818"/>
      <c r="U427" s="818"/>
      <c r="V427" s="818"/>
      <c r="W427" s="818"/>
      <c r="X427" s="818"/>
      <c r="Y427" s="818"/>
      <c r="Z427" s="818"/>
      <c r="AA427" s="818"/>
      <c r="AB427" s="818"/>
      <c r="AC427" s="818"/>
      <c r="AD427" s="818"/>
      <c r="AE427" s="818"/>
      <c r="AF427" s="818"/>
      <c r="AG427" s="818"/>
    </row>
    <row r="428" spans="1:58">
      <c r="A428" s="1046" t="str">
        <f>B452&amp;":"</f>
        <v>Scrubber Term Loan:</v>
      </c>
      <c r="B428" s="818"/>
      <c r="C428" s="1009" t="s">
        <v>666</v>
      </c>
      <c r="D428" s="818"/>
      <c r="E428" s="818"/>
      <c r="F428" s="818"/>
      <c r="G428" s="1011"/>
      <c r="H428" s="1026">
        <v>0</v>
      </c>
      <c r="I428" s="1011">
        <f t="shared" ref="I428:Z428" si="313">H431</f>
        <v>0</v>
      </c>
      <c r="J428" s="1011">
        <f t="shared" si="313"/>
        <v>0</v>
      </c>
      <c r="K428" s="1011">
        <f t="shared" si="313"/>
        <v>0</v>
      </c>
      <c r="L428" s="1011">
        <f t="shared" si="313"/>
        <v>0</v>
      </c>
      <c r="M428" s="1011">
        <f t="shared" si="313"/>
        <v>0</v>
      </c>
      <c r="N428" s="1011">
        <f t="shared" si="313"/>
        <v>0</v>
      </c>
      <c r="O428" s="1011">
        <f t="shared" si="313"/>
        <v>0</v>
      </c>
      <c r="P428" s="1011">
        <f t="shared" si="313"/>
        <v>0</v>
      </c>
      <c r="Q428" s="1011">
        <f t="shared" si="313"/>
        <v>0</v>
      </c>
      <c r="R428" s="1011">
        <f t="shared" si="313"/>
        <v>0</v>
      </c>
      <c r="S428" s="1011">
        <f t="shared" si="313"/>
        <v>0</v>
      </c>
      <c r="T428" s="1011">
        <f t="shared" si="313"/>
        <v>0</v>
      </c>
      <c r="U428" s="1011">
        <f t="shared" si="313"/>
        <v>0</v>
      </c>
      <c r="V428" s="1011">
        <f t="shared" si="313"/>
        <v>0</v>
      </c>
      <c r="W428" s="1011">
        <f t="shared" si="313"/>
        <v>0</v>
      </c>
      <c r="X428" s="1011">
        <f t="shared" si="313"/>
        <v>0</v>
      </c>
      <c r="Y428" s="1011">
        <f t="shared" si="313"/>
        <v>0</v>
      </c>
      <c r="Z428" s="1011">
        <f t="shared" si="313"/>
        <v>0</v>
      </c>
      <c r="AA428" s="1011">
        <f t="shared" ref="AA428:AF428" si="314">Z431</f>
        <v>0</v>
      </c>
      <c r="AB428" s="1011">
        <f t="shared" si="314"/>
        <v>0</v>
      </c>
      <c r="AC428" s="1011">
        <f t="shared" si="314"/>
        <v>0</v>
      </c>
      <c r="AD428" s="1011">
        <f t="shared" si="314"/>
        <v>0</v>
      </c>
      <c r="AE428" s="1011">
        <f t="shared" si="314"/>
        <v>0</v>
      </c>
      <c r="AF428" s="1011">
        <f t="shared" si="314"/>
        <v>0</v>
      </c>
      <c r="AG428" s="818"/>
    </row>
    <row r="429" spans="1:58">
      <c r="A429" s="818"/>
      <c r="B429" s="818"/>
      <c r="C429" s="1009" t="s">
        <v>667</v>
      </c>
      <c r="D429" s="818"/>
      <c r="E429" s="818"/>
      <c r="F429" s="818"/>
      <c r="G429" s="1011"/>
      <c r="H429" s="1026">
        <f>-H452+H577</f>
        <v>0</v>
      </c>
      <c r="I429" s="1011">
        <f t="shared" ref="I429:Z429" si="315">I577+I573</f>
        <v>0</v>
      </c>
      <c r="J429" s="1011">
        <f t="shared" si="315"/>
        <v>0</v>
      </c>
      <c r="K429" s="1011">
        <f t="shared" si="315"/>
        <v>0</v>
      </c>
      <c r="L429" s="1011">
        <f t="shared" si="315"/>
        <v>0</v>
      </c>
      <c r="M429" s="1011">
        <f t="shared" si="315"/>
        <v>0</v>
      </c>
      <c r="N429" s="1011">
        <f t="shared" si="315"/>
        <v>0</v>
      </c>
      <c r="O429" s="1011">
        <f t="shared" si="315"/>
        <v>0</v>
      </c>
      <c r="P429" s="1011">
        <f t="shared" si="315"/>
        <v>0</v>
      </c>
      <c r="Q429" s="1011">
        <f t="shared" si="315"/>
        <v>0</v>
      </c>
      <c r="R429" s="1011">
        <f t="shared" si="315"/>
        <v>0</v>
      </c>
      <c r="S429" s="1011">
        <f t="shared" si="315"/>
        <v>0</v>
      </c>
      <c r="T429" s="1011">
        <f t="shared" si="315"/>
        <v>0</v>
      </c>
      <c r="U429" s="1011">
        <f t="shared" si="315"/>
        <v>0</v>
      </c>
      <c r="V429" s="1011">
        <f t="shared" si="315"/>
        <v>0</v>
      </c>
      <c r="W429" s="1011">
        <f t="shared" si="315"/>
        <v>0</v>
      </c>
      <c r="X429" s="1011">
        <f t="shared" si="315"/>
        <v>0</v>
      </c>
      <c r="Y429" s="1011">
        <f t="shared" si="315"/>
        <v>0</v>
      </c>
      <c r="Z429" s="1011">
        <f t="shared" si="315"/>
        <v>0</v>
      </c>
      <c r="AA429" s="1011">
        <f t="shared" ref="AA429:AF429" si="316">AA577+AA573</f>
        <v>0</v>
      </c>
      <c r="AB429" s="1011">
        <f t="shared" si="316"/>
        <v>0</v>
      </c>
      <c r="AC429" s="1011">
        <f t="shared" si="316"/>
        <v>0</v>
      </c>
      <c r="AD429" s="1011">
        <f t="shared" si="316"/>
        <v>0</v>
      </c>
      <c r="AE429" s="1011">
        <f t="shared" si="316"/>
        <v>0</v>
      </c>
      <c r="AF429" s="1011">
        <f t="shared" si="316"/>
        <v>0</v>
      </c>
      <c r="AG429" s="818"/>
    </row>
    <row r="430" spans="1:58">
      <c r="A430" s="818"/>
      <c r="B430" s="818"/>
      <c r="C430" s="1009" t="s">
        <v>668</v>
      </c>
      <c r="D430" s="818"/>
      <c r="E430" s="818"/>
      <c r="F430" s="818"/>
      <c r="G430" s="818"/>
      <c r="H430" s="1027">
        <f t="shared" ref="H430:Z430" si="317">H572</f>
        <v>0</v>
      </c>
      <c r="I430" s="818">
        <f t="shared" si="317"/>
        <v>0</v>
      </c>
      <c r="J430" s="818">
        <f t="shared" si="317"/>
        <v>0</v>
      </c>
      <c r="K430" s="818">
        <f t="shared" si="317"/>
        <v>0</v>
      </c>
      <c r="L430" s="818">
        <f t="shared" si="317"/>
        <v>0</v>
      </c>
      <c r="M430" s="818">
        <f t="shared" si="317"/>
        <v>0</v>
      </c>
      <c r="N430" s="818">
        <f t="shared" si="317"/>
        <v>0</v>
      </c>
      <c r="O430" s="818">
        <f t="shared" si="317"/>
        <v>0</v>
      </c>
      <c r="P430" s="818">
        <f t="shared" si="317"/>
        <v>0</v>
      </c>
      <c r="Q430" s="818">
        <f t="shared" si="317"/>
        <v>0</v>
      </c>
      <c r="R430" s="818">
        <f t="shared" si="317"/>
        <v>0</v>
      </c>
      <c r="S430" s="818">
        <f t="shared" si="317"/>
        <v>0</v>
      </c>
      <c r="T430" s="818">
        <f t="shared" si="317"/>
        <v>0</v>
      </c>
      <c r="U430" s="818">
        <f t="shared" si="317"/>
        <v>0</v>
      </c>
      <c r="V430" s="818">
        <f t="shared" si="317"/>
        <v>0</v>
      </c>
      <c r="W430" s="818">
        <f t="shared" si="317"/>
        <v>0</v>
      </c>
      <c r="X430" s="818">
        <f t="shared" si="317"/>
        <v>0</v>
      </c>
      <c r="Y430" s="818">
        <f t="shared" si="317"/>
        <v>0</v>
      </c>
      <c r="Z430" s="818">
        <f t="shared" si="317"/>
        <v>0</v>
      </c>
      <c r="AA430" s="818">
        <f t="shared" ref="AA430:AF430" si="318">AA572</f>
        <v>0</v>
      </c>
      <c r="AB430" s="818">
        <f t="shared" si="318"/>
        <v>0</v>
      </c>
      <c r="AC430" s="818">
        <f t="shared" si="318"/>
        <v>0</v>
      </c>
      <c r="AD430" s="818">
        <f t="shared" si="318"/>
        <v>0</v>
      </c>
      <c r="AE430" s="818">
        <f t="shared" si="318"/>
        <v>0</v>
      </c>
      <c r="AF430" s="818">
        <f t="shared" si="318"/>
        <v>0</v>
      </c>
      <c r="AG430" s="818"/>
    </row>
    <row r="431" spans="1:58">
      <c r="A431" s="818"/>
      <c r="B431" s="818"/>
      <c r="C431" s="1009" t="s">
        <v>669</v>
      </c>
      <c r="D431" s="818"/>
      <c r="E431" s="818"/>
      <c r="F431" s="1011"/>
      <c r="G431" s="1011"/>
      <c r="H431" s="1032">
        <f t="shared" ref="H431:Z431" si="319">H428-H429-H430</f>
        <v>0</v>
      </c>
      <c r="I431" s="1020">
        <f t="shared" si="319"/>
        <v>0</v>
      </c>
      <c r="J431" s="1020">
        <f t="shared" si="319"/>
        <v>0</v>
      </c>
      <c r="K431" s="1020">
        <f t="shared" si="319"/>
        <v>0</v>
      </c>
      <c r="L431" s="1020">
        <f t="shared" si="319"/>
        <v>0</v>
      </c>
      <c r="M431" s="1020">
        <f t="shared" si="319"/>
        <v>0</v>
      </c>
      <c r="N431" s="1020">
        <f t="shared" si="319"/>
        <v>0</v>
      </c>
      <c r="O431" s="1020">
        <f t="shared" si="319"/>
        <v>0</v>
      </c>
      <c r="P431" s="1020">
        <f t="shared" si="319"/>
        <v>0</v>
      </c>
      <c r="Q431" s="1020">
        <f t="shared" si="319"/>
        <v>0</v>
      </c>
      <c r="R431" s="1020">
        <f t="shared" si="319"/>
        <v>0</v>
      </c>
      <c r="S431" s="1020">
        <f t="shared" si="319"/>
        <v>0</v>
      </c>
      <c r="T431" s="1020">
        <f t="shared" si="319"/>
        <v>0</v>
      </c>
      <c r="U431" s="1020">
        <f t="shared" si="319"/>
        <v>0</v>
      </c>
      <c r="V431" s="1020">
        <f t="shared" si="319"/>
        <v>0</v>
      </c>
      <c r="W431" s="1020">
        <f t="shared" si="319"/>
        <v>0</v>
      </c>
      <c r="X431" s="1020">
        <f t="shared" si="319"/>
        <v>0</v>
      </c>
      <c r="Y431" s="1020">
        <f t="shared" si="319"/>
        <v>0</v>
      </c>
      <c r="Z431" s="1020">
        <f t="shared" si="319"/>
        <v>0</v>
      </c>
      <c r="AA431" s="1020">
        <f t="shared" ref="AA431:AF431" si="320">AA428-AA429-AA430</f>
        <v>0</v>
      </c>
      <c r="AB431" s="1020">
        <f t="shared" si="320"/>
        <v>0</v>
      </c>
      <c r="AC431" s="1020">
        <f t="shared" si="320"/>
        <v>0</v>
      </c>
      <c r="AD431" s="1020">
        <f t="shared" si="320"/>
        <v>0</v>
      </c>
      <c r="AE431" s="1020">
        <f t="shared" si="320"/>
        <v>0</v>
      </c>
      <c r="AF431" s="1020">
        <f t="shared" si="320"/>
        <v>0</v>
      </c>
      <c r="AG431" s="818"/>
    </row>
    <row r="432" spans="1:58">
      <c r="A432" s="818"/>
      <c r="B432" s="818"/>
      <c r="C432" s="1009" t="s">
        <v>670</v>
      </c>
      <c r="D432" s="818"/>
      <c r="E432" s="818"/>
      <c r="F432" s="818"/>
      <c r="G432" s="818"/>
      <c r="H432" s="1027"/>
      <c r="I432" s="1030">
        <f t="shared" ref="I432:Z432" si="321">I589</f>
        <v>7.4999999999999997E-2</v>
      </c>
      <c r="J432" s="1030">
        <f t="shared" si="321"/>
        <v>7.4999999999999997E-2</v>
      </c>
      <c r="K432" s="1030">
        <f t="shared" si="321"/>
        <v>7.4999999999999997E-2</v>
      </c>
      <c r="L432" s="1030">
        <f t="shared" si="321"/>
        <v>7.4999999999999997E-2</v>
      </c>
      <c r="M432" s="1030">
        <f t="shared" si="321"/>
        <v>7.4999999999999997E-2</v>
      </c>
      <c r="N432" s="1030">
        <f t="shared" si="321"/>
        <v>7.4999999999999997E-2</v>
      </c>
      <c r="O432" s="1030">
        <f t="shared" si="321"/>
        <v>7.4999999999999997E-2</v>
      </c>
      <c r="P432" s="1030">
        <f t="shared" si="321"/>
        <v>7.4999999999999997E-2</v>
      </c>
      <c r="Q432" s="1030">
        <f t="shared" si="321"/>
        <v>7.4999999999999997E-2</v>
      </c>
      <c r="R432" s="1030">
        <f t="shared" si="321"/>
        <v>7.4999999999999997E-2</v>
      </c>
      <c r="S432" s="1030">
        <f t="shared" si="321"/>
        <v>7.4999999999999997E-2</v>
      </c>
      <c r="T432" s="1030">
        <f t="shared" si="321"/>
        <v>7.4999999999999997E-2</v>
      </c>
      <c r="U432" s="1030">
        <f t="shared" si="321"/>
        <v>7.4999999999999997E-2</v>
      </c>
      <c r="V432" s="1030">
        <f t="shared" si="321"/>
        <v>7.4999999999999997E-2</v>
      </c>
      <c r="W432" s="1030">
        <f t="shared" si="321"/>
        <v>7.4999999999999997E-2</v>
      </c>
      <c r="X432" s="1030">
        <f t="shared" si="321"/>
        <v>7.4999999999999997E-2</v>
      </c>
      <c r="Y432" s="1030">
        <f t="shared" si="321"/>
        <v>7.4999999999999997E-2</v>
      </c>
      <c r="Z432" s="1030">
        <f t="shared" si="321"/>
        <v>7.4999999999999997E-2</v>
      </c>
      <c r="AA432" s="1030">
        <f t="shared" ref="AA432:AF432" si="322">AA589</f>
        <v>7.4999999999999997E-2</v>
      </c>
      <c r="AB432" s="1030">
        <f t="shared" si="322"/>
        <v>7.4999999999999997E-2</v>
      </c>
      <c r="AC432" s="1030">
        <f t="shared" si="322"/>
        <v>7.4999999999999997E-2</v>
      </c>
      <c r="AD432" s="1030">
        <f t="shared" si="322"/>
        <v>7.4999999999999997E-2</v>
      </c>
      <c r="AE432" s="1030">
        <f t="shared" si="322"/>
        <v>7.4999999999999997E-2</v>
      </c>
      <c r="AF432" s="1030">
        <f t="shared" si="322"/>
        <v>7.4999999999999997E-2</v>
      </c>
      <c r="AG432" s="818"/>
    </row>
    <row r="433" spans="1:33" ht="12" thickBot="1">
      <c r="A433" s="818"/>
      <c r="B433" s="818"/>
      <c r="C433" s="818"/>
      <c r="D433" s="818"/>
      <c r="E433" s="818"/>
      <c r="F433" s="818"/>
      <c r="G433" s="818"/>
      <c r="H433" s="1027"/>
      <c r="I433" s="818"/>
      <c r="J433" s="818"/>
      <c r="K433" s="818"/>
      <c r="L433" s="818"/>
      <c r="M433" s="818"/>
      <c r="N433" s="818"/>
      <c r="O433" s="818"/>
      <c r="P433" s="818"/>
      <c r="Q433" s="818"/>
      <c r="R433" s="818"/>
      <c r="S433" s="818"/>
      <c r="T433" s="818"/>
      <c r="U433" s="818"/>
      <c r="V433" s="818"/>
      <c r="W433" s="818"/>
      <c r="X433" s="818"/>
      <c r="Y433" s="818"/>
      <c r="Z433" s="818"/>
      <c r="AA433" s="818"/>
      <c r="AB433" s="818"/>
      <c r="AC433" s="818"/>
      <c r="AD433" s="818"/>
      <c r="AE433" s="818"/>
      <c r="AF433" s="818"/>
      <c r="AG433" s="818"/>
    </row>
    <row r="434" spans="1:33" ht="12" thickTop="1">
      <c r="A434" s="985"/>
      <c r="B434" s="985"/>
      <c r="C434" s="985"/>
      <c r="D434" s="985"/>
      <c r="E434" s="985"/>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818"/>
    </row>
    <row r="435" spans="1:33">
      <c r="A435" s="917" t="s">
        <v>672</v>
      </c>
      <c r="B435" s="818"/>
      <c r="C435" s="1057"/>
      <c r="D435" s="818"/>
      <c r="E435" s="818"/>
      <c r="F435" s="818"/>
      <c r="G435" s="818"/>
      <c r="H435" s="818"/>
      <c r="I435" s="818"/>
      <c r="J435" s="818"/>
      <c r="K435" s="818"/>
      <c r="L435" s="818"/>
      <c r="M435" s="818"/>
      <c r="N435" s="818"/>
      <c r="O435" s="818"/>
      <c r="P435" s="818"/>
      <c r="Q435" s="818"/>
      <c r="R435" s="818"/>
      <c r="S435" s="818"/>
      <c r="T435" s="818"/>
      <c r="U435" s="818"/>
      <c r="V435" s="818"/>
      <c r="W435" s="818"/>
      <c r="X435" s="818"/>
      <c r="Y435" s="818"/>
      <c r="Z435" s="818"/>
      <c r="AA435" s="818"/>
      <c r="AB435" s="818"/>
      <c r="AC435" s="818"/>
      <c r="AD435" s="818"/>
      <c r="AE435" s="818"/>
      <c r="AF435" s="818"/>
      <c r="AG435" s="818"/>
    </row>
    <row r="436" spans="1:33">
      <c r="A436" s="818"/>
      <c r="B436" s="818"/>
      <c r="C436" s="818"/>
      <c r="D436" s="818"/>
      <c r="E436" s="818"/>
      <c r="F436" s="818"/>
      <c r="G436" s="818"/>
      <c r="H436" s="818"/>
      <c r="I436" s="818"/>
      <c r="J436" s="818"/>
      <c r="K436" s="818"/>
      <c r="L436" s="818"/>
      <c r="M436" s="818"/>
      <c r="N436" s="818"/>
      <c r="O436" s="818"/>
      <c r="P436" s="818"/>
      <c r="Q436" s="818"/>
      <c r="R436" s="818"/>
      <c r="S436" s="818"/>
      <c r="T436" s="818"/>
      <c r="U436" s="818"/>
      <c r="V436" s="818"/>
      <c r="W436" s="818"/>
      <c r="X436" s="818"/>
      <c r="Y436" s="818"/>
      <c r="Z436" s="818"/>
      <c r="AA436" s="818"/>
      <c r="AB436" s="818"/>
      <c r="AC436" s="818"/>
      <c r="AD436" s="818"/>
      <c r="AE436" s="818"/>
      <c r="AF436" s="818"/>
      <c r="AG436" s="818"/>
    </row>
    <row r="437" spans="1:33">
      <c r="A437" s="1016" t="s">
        <v>673</v>
      </c>
      <c r="B437" s="818"/>
      <c r="C437" s="1562">
        <f>Assumptions!C17</f>
        <v>37802</v>
      </c>
      <c r="D437" s="818"/>
      <c r="E437" s="818"/>
      <c r="F437" s="1030"/>
      <c r="G437" s="818"/>
      <c r="H437" s="818"/>
      <c r="I437" s="818"/>
      <c r="J437" s="818"/>
      <c r="K437" s="818"/>
      <c r="L437" s="665"/>
      <c r="M437" s="665"/>
      <c r="N437" s="818"/>
      <c r="O437" s="818"/>
      <c r="P437" s="818"/>
      <c r="Q437" s="818"/>
      <c r="R437" s="818"/>
      <c r="S437" s="818"/>
      <c r="T437" s="818"/>
      <c r="U437" s="818"/>
      <c r="V437" s="818"/>
      <c r="W437" s="818"/>
      <c r="X437" s="818"/>
      <c r="Y437" s="818"/>
      <c r="Z437" s="818"/>
      <c r="AA437" s="818"/>
      <c r="AB437" s="818"/>
      <c r="AC437" s="818"/>
      <c r="AD437" s="818"/>
      <c r="AE437" s="818"/>
      <c r="AF437" s="818"/>
      <c r="AG437" s="818"/>
    </row>
    <row r="438" spans="1:33">
      <c r="A438" s="1016" t="s">
        <v>674</v>
      </c>
      <c r="B438" s="818"/>
      <c r="C438" s="1058"/>
      <c r="D438" s="818"/>
      <c r="E438" s="818"/>
      <c r="F438" s="1030"/>
      <c r="G438" s="818"/>
      <c r="H438" s="818"/>
      <c r="I438" s="818"/>
      <c r="J438" s="818"/>
      <c r="K438" s="818"/>
      <c r="L438" s="665"/>
      <c r="M438" s="1016"/>
      <c r="N438" s="818"/>
      <c r="O438" s="818"/>
      <c r="P438" s="818"/>
      <c r="Q438" s="818"/>
      <c r="R438" s="818"/>
      <c r="S438" s="818"/>
      <c r="T438" s="818"/>
      <c r="U438" s="818"/>
      <c r="V438" s="818"/>
      <c r="W438" s="818"/>
      <c r="X438" s="818"/>
      <c r="Y438" s="818"/>
      <c r="Z438" s="818"/>
      <c r="AA438" s="818"/>
      <c r="AB438" s="818"/>
      <c r="AC438" s="818"/>
      <c r="AD438" s="818"/>
      <c r="AE438" s="818"/>
      <c r="AF438" s="818"/>
      <c r="AG438" s="818"/>
    </row>
    <row r="439" spans="1:33">
      <c r="A439" s="1016"/>
      <c r="B439" s="531" t="s">
        <v>160</v>
      </c>
      <c r="C439" s="532">
        <f>1-C442</f>
        <v>0.5</v>
      </c>
      <c r="D439" s="1009" t="s">
        <v>675</v>
      </c>
      <c r="E439" s="818"/>
      <c r="F439" s="1030"/>
      <c r="G439" s="818"/>
      <c r="H439" s="818"/>
      <c r="I439" s="818"/>
      <c r="J439" s="818"/>
      <c r="K439" s="818"/>
      <c r="L439" s="665"/>
      <c r="M439" s="1016"/>
      <c r="N439" s="818"/>
      <c r="O439" s="818"/>
      <c r="P439" s="818"/>
      <c r="Q439" s="818"/>
      <c r="R439" s="818"/>
      <c r="S439" s="818"/>
      <c r="T439" s="818"/>
      <c r="U439" s="818"/>
      <c r="V439" s="818"/>
      <c r="W439" s="818"/>
      <c r="X439" s="818"/>
      <c r="Y439" s="818"/>
      <c r="Z439" s="818"/>
      <c r="AA439" s="818"/>
      <c r="AB439" s="818"/>
      <c r="AC439" s="818"/>
      <c r="AD439" s="818"/>
      <c r="AE439" s="818"/>
      <c r="AF439" s="818"/>
      <c r="AG439" s="818"/>
    </row>
    <row r="440" spans="1:33">
      <c r="A440" s="1016"/>
      <c r="B440" s="531" t="s">
        <v>161</v>
      </c>
      <c r="C440" s="533">
        <f>C439*12</f>
        <v>6</v>
      </c>
      <c r="D440" s="1009" t="s">
        <v>676</v>
      </c>
      <c r="E440" s="818"/>
      <c r="F440" s="1030"/>
      <c r="G440" s="818"/>
      <c r="H440" s="818"/>
      <c r="I440" s="818"/>
      <c r="J440" s="818"/>
      <c r="K440" s="818"/>
      <c r="L440" s="665"/>
      <c r="M440" s="1016"/>
      <c r="N440" s="818"/>
      <c r="O440" s="818"/>
      <c r="P440" s="818"/>
      <c r="Q440" s="818"/>
      <c r="R440" s="818"/>
      <c r="S440" s="818"/>
      <c r="T440" s="818"/>
      <c r="U440" s="818"/>
      <c r="V440" s="818"/>
      <c r="W440" s="818"/>
      <c r="X440" s="818"/>
      <c r="Y440" s="818"/>
      <c r="Z440" s="818"/>
      <c r="AA440" s="818"/>
      <c r="AB440" s="818"/>
      <c r="AC440" s="818"/>
      <c r="AD440" s="818"/>
      <c r="AE440" s="818"/>
      <c r="AF440" s="818"/>
      <c r="AG440" s="818"/>
    </row>
    <row r="441" spans="1:33">
      <c r="A441" s="1016"/>
      <c r="B441" s="818"/>
      <c r="C441" s="665"/>
      <c r="D441" s="1009"/>
      <c r="E441" s="818"/>
      <c r="F441" s="1030"/>
      <c r="G441" s="818"/>
      <c r="H441" s="818"/>
      <c r="I441" s="818"/>
      <c r="J441" s="818"/>
      <c r="K441" s="818"/>
      <c r="L441" s="665"/>
      <c r="M441" s="1016"/>
      <c r="N441" s="818"/>
      <c r="O441" s="818"/>
      <c r="P441" s="818"/>
      <c r="Q441" s="818"/>
      <c r="R441" s="818"/>
      <c r="S441" s="818"/>
      <c r="T441" s="818"/>
      <c r="U441" s="818"/>
      <c r="V441" s="818"/>
      <c r="W441" s="818"/>
      <c r="X441" s="818"/>
      <c r="Y441" s="818"/>
      <c r="Z441" s="818"/>
      <c r="AA441" s="818"/>
      <c r="AB441" s="818"/>
      <c r="AC441" s="818"/>
      <c r="AD441" s="818"/>
      <c r="AE441" s="818"/>
      <c r="AF441" s="818"/>
      <c r="AG441" s="818"/>
    </row>
    <row r="442" spans="1:33">
      <c r="A442" s="1016"/>
      <c r="B442" s="531" t="s">
        <v>160</v>
      </c>
      <c r="C442" s="532">
        <f>IF(12-MONTH(C437)+MONTH(E445)&gt;=12,(12-MONTH(C437)+MONTH(E445))-12,12-MONTH(C437)+MONTH(E445))/12</f>
        <v>0.5</v>
      </c>
      <c r="D442" s="1009" t="s">
        <v>677</v>
      </c>
      <c r="E442" s="818"/>
      <c r="F442" s="1030"/>
      <c r="G442" s="818"/>
      <c r="H442" s="818"/>
      <c r="I442" s="818"/>
      <c r="J442" s="818"/>
      <c r="K442" s="818"/>
      <c r="L442" s="665"/>
      <c r="M442" s="1016"/>
      <c r="N442" s="818"/>
      <c r="O442" s="818"/>
      <c r="P442" s="818"/>
      <c r="Q442" s="818"/>
      <c r="R442" s="818"/>
      <c r="S442" s="818"/>
      <c r="T442" s="818"/>
      <c r="U442" s="818"/>
      <c r="V442" s="818"/>
      <c r="W442" s="818"/>
      <c r="X442" s="818"/>
      <c r="Y442" s="818"/>
      <c r="Z442" s="818"/>
      <c r="AA442" s="818"/>
      <c r="AB442" s="818"/>
      <c r="AC442" s="818"/>
      <c r="AD442" s="818"/>
      <c r="AE442" s="818"/>
      <c r="AF442" s="818"/>
      <c r="AG442" s="818"/>
    </row>
    <row r="443" spans="1:33">
      <c r="A443" s="1016"/>
      <c r="B443" s="534" t="s">
        <v>161</v>
      </c>
      <c r="C443" s="533">
        <f>C442*12</f>
        <v>6</v>
      </c>
      <c r="D443" s="1009" t="s">
        <v>678</v>
      </c>
      <c r="E443" s="818"/>
      <c r="F443" s="1030"/>
      <c r="G443" s="1646" t="str">
        <f>TEXT(I599,"0")&amp;"."</f>
        <v>37986.</v>
      </c>
      <c r="H443" s="818"/>
      <c r="I443" s="818"/>
      <c r="J443" s="818"/>
      <c r="K443" s="818"/>
      <c r="L443" s="665"/>
      <c r="M443" s="1016"/>
      <c r="N443" s="818"/>
      <c r="O443" s="818"/>
      <c r="P443" s="818"/>
      <c r="Q443" s="818"/>
      <c r="R443" s="818"/>
      <c r="S443" s="818"/>
      <c r="T443" s="818"/>
      <c r="U443" s="818"/>
      <c r="V443" s="818"/>
      <c r="W443" s="818"/>
      <c r="X443" s="818"/>
      <c r="Y443" s="818"/>
      <c r="Z443" s="818"/>
      <c r="AA443" s="818"/>
      <c r="AB443" s="818"/>
      <c r="AC443" s="818"/>
      <c r="AD443" s="818"/>
      <c r="AE443" s="818"/>
      <c r="AF443" s="818"/>
      <c r="AG443" s="818"/>
    </row>
    <row r="444" spans="1:33">
      <c r="A444" s="1016"/>
      <c r="B444" s="818"/>
      <c r="C444" s="818"/>
      <c r="D444" s="818"/>
      <c r="E444" s="818"/>
      <c r="F444" s="1030"/>
      <c r="G444" s="818"/>
      <c r="H444" s="818"/>
      <c r="I444" s="818"/>
      <c r="J444" s="818"/>
      <c r="K444" s="818"/>
      <c r="L444" s="665"/>
      <c r="M444" s="1016"/>
      <c r="N444" s="818"/>
      <c r="O444" s="818"/>
      <c r="P444" s="818"/>
      <c r="Q444" s="818"/>
      <c r="R444" s="818"/>
      <c r="S444" s="818"/>
      <c r="T444" s="818"/>
      <c r="U444" s="818"/>
      <c r="V444" s="818"/>
      <c r="W444" s="818"/>
      <c r="X444" s="818"/>
      <c r="Y444" s="818"/>
      <c r="Z444" s="818"/>
      <c r="AA444" s="818"/>
      <c r="AB444" s="818"/>
      <c r="AC444" s="818"/>
      <c r="AD444" s="818"/>
      <c r="AE444" s="818"/>
      <c r="AF444" s="818"/>
      <c r="AG444" s="818"/>
    </row>
    <row r="445" spans="1:33">
      <c r="A445" s="1016"/>
      <c r="B445" s="665"/>
      <c r="C445" s="531" t="s">
        <v>162</v>
      </c>
      <c r="D445" s="665"/>
      <c r="E445" s="1562">
        <f>DATE(YEAR(Assumptions!$C$17),12,31)</f>
        <v>37986</v>
      </c>
      <c r="F445" s="665"/>
      <c r="G445" s="818"/>
      <c r="H445" s="818"/>
      <c r="I445" s="818"/>
      <c r="J445" s="818"/>
      <c r="K445" s="818"/>
      <c r="L445" s="665"/>
      <c r="M445" s="1016"/>
      <c r="N445" s="818"/>
      <c r="O445" s="818"/>
      <c r="P445" s="818"/>
      <c r="Q445" s="818"/>
      <c r="R445" s="818"/>
      <c r="S445" s="818"/>
      <c r="T445" s="818"/>
      <c r="U445" s="818"/>
      <c r="V445" s="818"/>
      <c r="W445" s="818"/>
      <c r="X445" s="818"/>
      <c r="Y445" s="818"/>
      <c r="Z445" s="818"/>
      <c r="AA445" s="818"/>
      <c r="AB445" s="818"/>
      <c r="AC445" s="818"/>
      <c r="AD445" s="818"/>
      <c r="AE445" s="818"/>
      <c r="AF445" s="818"/>
      <c r="AG445" s="818"/>
    </row>
    <row r="446" spans="1:33" ht="12" thickBot="1">
      <c r="A446" s="1016"/>
      <c r="B446" s="818"/>
      <c r="C446" s="1058"/>
      <c r="D446" s="818"/>
      <c r="E446" s="818"/>
      <c r="F446" s="1030"/>
      <c r="G446" s="818"/>
      <c r="H446" s="818"/>
      <c r="I446" s="818"/>
      <c r="J446" s="818"/>
      <c r="K446" s="818"/>
      <c r="L446" s="665"/>
      <c r="M446" s="1016"/>
      <c r="N446" s="818"/>
      <c r="O446" s="818"/>
      <c r="P446" s="818"/>
      <c r="Q446" s="818"/>
      <c r="R446" s="818"/>
      <c r="S446" s="818"/>
      <c r="T446" s="818"/>
      <c r="U446" s="818"/>
      <c r="V446" s="818"/>
      <c r="W446" s="818"/>
      <c r="X446" s="818"/>
      <c r="Y446" s="818"/>
      <c r="Z446" s="818"/>
      <c r="AA446" s="818"/>
      <c r="AB446" s="818"/>
      <c r="AC446" s="818"/>
      <c r="AD446" s="818"/>
      <c r="AE446" s="818"/>
      <c r="AF446" s="818"/>
      <c r="AG446" s="818"/>
    </row>
    <row r="447" spans="1:33" ht="12" thickTop="1">
      <c r="A447" s="985"/>
      <c r="B447" s="985"/>
      <c r="C447" s="985"/>
      <c r="D447" s="985"/>
      <c r="E447" s="985"/>
      <c r="F447" s="985"/>
      <c r="G447" s="985"/>
      <c r="H447" s="985"/>
      <c r="I447" s="985"/>
      <c r="J447" s="985"/>
      <c r="K447" s="985"/>
      <c r="L447" s="1059"/>
      <c r="M447" s="1060"/>
      <c r="N447" s="1060"/>
      <c r="O447" s="1060"/>
      <c r="P447" s="985"/>
      <c r="Q447" s="985"/>
      <c r="R447" s="985"/>
      <c r="S447" s="985"/>
      <c r="T447" s="1061"/>
      <c r="U447" s="985"/>
      <c r="V447" s="985"/>
      <c r="W447" s="985"/>
      <c r="X447" s="985"/>
      <c r="Y447" s="985"/>
      <c r="Z447" s="985"/>
      <c r="AA447" s="985"/>
      <c r="AB447" s="985"/>
      <c r="AC447" s="985"/>
      <c r="AD447" s="985"/>
      <c r="AE447" s="985"/>
      <c r="AF447" s="985"/>
      <c r="AG447" s="818"/>
    </row>
    <row r="448" spans="1:33">
      <c r="A448" s="983" t="s">
        <v>679</v>
      </c>
      <c r="B448" s="818"/>
      <c r="C448" s="818"/>
      <c r="D448" s="818"/>
      <c r="E448" s="665"/>
      <c r="F448" s="818"/>
      <c r="G448" s="818"/>
      <c r="H448" s="1062"/>
      <c r="I448" s="818"/>
      <c r="J448" s="1063" t="s">
        <v>680</v>
      </c>
      <c r="K448" s="818"/>
      <c r="L448" s="665"/>
      <c r="M448" s="665"/>
      <c r="N448" s="665"/>
      <c r="O448" s="665"/>
      <c r="P448" s="818"/>
      <c r="Q448" s="818"/>
      <c r="R448" s="818"/>
      <c r="S448" s="818"/>
      <c r="T448" s="818"/>
      <c r="U448" s="818"/>
      <c r="V448" s="818"/>
      <c r="W448" s="818"/>
      <c r="X448" s="818"/>
      <c r="Y448" s="818"/>
      <c r="Z448" s="818"/>
      <c r="AA448" s="818"/>
      <c r="AB448" s="818"/>
      <c r="AC448" s="818"/>
      <c r="AD448" s="818"/>
      <c r="AE448" s="818"/>
      <c r="AF448" s="818"/>
      <c r="AG448" s="818"/>
    </row>
    <row r="449" spans="1:33" ht="12" thickBot="1">
      <c r="A449" s="818"/>
      <c r="B449" s="818"/>
      <c r="C449" s="818"/>
      <c r="D449" s="818"/>
      <c r="E449" s="1064" t="s">
        <v>681</v>
      </c>
      <c r="F449" s="818"/>
      <c r="G449" s="665"/>
      <c r="H449" s="1064" t="s">
        <v>681</v>
      </c>
      <c r="I449" s="665"/>
      <c r="J449" s="665"/>
      <c r="K449" s="665"/>
      <c r="L449" s="665"/>
      <c r="M449" s="665"/>
      <c r="N449" s="665"/>
      <c r="O449" s="665"/>
      <c r="P449" s="665"/>
      <c r="Q449" s="665"/>
      <c r="R449" s="665"/>
      <c r="S449" s="665"/>
      <c r="T449" s="818"/>
      <c r="U449" s="818"/>
      <c r="V449" s="818"/>
      <c r="W449" s="818"/>
      <c r="X449" s="818"/>
      <c r="Y449" s="818"/>
      <c r="Z449" s="818"/>
      <c r="AA449" s="818"/>
      <c r="AB449" s="818"/>
      <c r="AC449" s="818"/>
      <c r="AD449" s="818"/>
      <c r="AE449" s="818"/>
      <c r="AF449" s="818"/>
      <c r="AG449" s="818"/>
    </row>
    <row r="450" spans="1:33" ht="12.75" thickTop="1" thickBot="1">
      <c r="A450" s="818"/>
      <c r="B450" s="1065" t="s">
        <v>432</v>
      </c>
      <c r="C450" s="818"/>
      <c r="D450" s="818"/>
      <c r="E450" s="1063" t="s">
        <v>682</v>
      </c>
      <c r="F450" s="818"/>
      <c r="G450" s="665"/>
      <c r="H450" s="1063" t="s">
        <v>316</v>
      </c>
      <c r="I450" s="1066">
        <f>I$599</f>
        <v>37986</v>
      </c>
      <c r="J450" s="1055">
        <f t="shared" ref="J450:AF450" si="323">J$599</f>
        <v>38352</v>
      </c>
      <c r="K450" s="1055">
        <f t="shared" si="323"/>
        <v>38717</v>
      </c>
      <c r="L450" s="1055">
        <f t="shared" si="323"/>
        <v>39082</v>
      </c>
      <c r="M450" s="1055">
        <f t="shared" si="323"/>
        <v>39447</v>
      </c>
      <c r="N450" s="1055">
        <f t="shared" si="323"/>
        <v>39813</v>
      </c>
      <c r="O450" s="1055">
        <f t="shared" si="323"/>
        <v>40178</v>
      </c>
      <c r="P450" s="1055">
        <f t="shared" si="323"/>
        <v>40543</v>
      </c>
      <c r="Q450" s="1055">
        <f t="shared" si="323"/>
        <v>40908</v>
      </c>
      <c r="R450" s="1055">
        <f t="shared" si="323"/>
        <v>41274</v>
      </c>
      <c r="S450" s="1055">
        <f t="shared" si="323"/>
        <v>41639</v>
      </c>
      <c r="T450" s="1055">
        <f t="shared" si="323"/>
        <v>42004</v>
      </c>
      <c r="U450" s="1055">
        <f t="shared" si="323"/>
        <v>42369</v>
      </c>
      <c r="V450" s="1055">
        <f t="shared" si="323"/>
        <v>42735</v>
      </c>
      <c r="W450" s="1055">
        <f t="shared" si="323"/>
        <v>43100</v>
      </c>
      <c r="X450" s="1055">
        <f t="shared" si="323"/>
        <v>43465</v>
      </c>
      <c r="Y450" s="1055">
        <f t="shared" si="323"/>
        <v>43830</v>
      </c>
      <c r="Z450" s="1055">
        <f t="shared" si="323"/>
        <v>44196</v>
      </c>
      <c r="AA450" s="1055">
        <f t="shared" si="323"/>
        <v>44561</v>
      </c>
      <c r="AB450" s="1055">
        <f t="shared" si="323"/>
        <v>44926</v>
      </c>
      <c r="AC450" s="1055">
        <f t="shared" si="323"/>
        <v>45291</v>
      </c>
      <c r="AD450" s="1055">
        <f t="shared" si="323"/>
        <v>45657</v>
      </c>
      <c r="AE450" s="1055">
        <f t="shared" si="323"/>
        <v>46022</v>
      </c>
      <c r="AF450" s="1055">
        <f t="shared" si="323"/>
        <v>46387</v>
      </c>
      <c r="AG450" s="818"/>
    </row>
    <row r="451" spans="1:33" ht="12" thickTop="1">
      <c r="A451" s="818"/>
      <c r="B451" s="1067" t="s">
        <v>683</v>
      </c>
      <c r="C451" s="818"/>
      <c r="D451" s="818"/>
      <c r="E451" s="1068">
        <f ca="1">+Debt!C18</f>
        <v>302842.67078322335</v>
      </c>
      <c r="F451" s="1030"/>
      <c r="G451" s="665"/>
      <c r="H451" s="1069">
        <f ca="1">E451</f>
        <v>302842.67078322335</v>
      </c>
      <c r="I451" s="1007">
        <f t="shared" ref="I451:S451" si="324">-I565</f>
        <v>0</v>
      </c>
      <c r="J451" s="1007">
        <f t="shared" si="324"/>
        <v>0</v>
      </c>
      <c r="K451" s="1007">
        <f t="shared" si="324"/>
        <v>0</v>
      </c>
      <c r="L451" s="1007">
        <f t="shared" si="324"/>
        <v>0</v>
      </c>
      <c r="M451" s="1007">
        <f t="shared" si="324"/>
        <v>0</v>
      </c>
      <c r="N451" s="1007">
        <f t="shared" si="324"/>
        <v>0</v>
      </c>
      <c r="O451" s="1007">
        <f t="shared" si="324"/>
        <v>0</v>
      </c>
      <c r="P451" s="1007">
        <f t="shared" si="324"/>
        <v>0</v>
      </c>
      <c r="Q451" s="1007">
        <f t="shared" si="324"/>
        <v>0</v>
      </c>
      <c r="R451" s="1007">
        <f t="shared" si="324"/>
        <v>0</v>
      </c>
      <c r="S451" s="1007">
        <f t="shared" si="324"/>
        <v>0</v>
      </c>
      <c r="T451" s="1007">
        <f t="shared" ref="T451:AC451" si="325">-T565</f>
        <v>0</v>
      </c>
      <c r="U451" s="1007">
        <f t="shared" si="325"/>
        <v>0</v>
      </c>
      <c r="V451" s="1007">
        <f t="shared" si="325"/>
        <v>0</v>
      </c>
      <c r="W451" s="1007">
        <f t="shared" si="325"/>
        <v>0</v>
      </c>
      <c r="X451" s="1007">
        <f t="shared" si="325"/>
        <v>0</v>
      </c>
      <c r="Y451" s="1007">
        <f t="shared" si="325"/>
        <v>0</v>
      </c>
      <c r="Z451" s="1007">
        <f t="shared" si="325"/>
        <v>0</v>
      </c>
      <c r="AA451" s="1007">
        <f t="shared" si="325"/>
        <v>0</v>
      </c>
      <c r="AB451" s="1007">
        <f t="shared" si="325"/>
        <v>0</v>
      </c>
      <c r="AC451" s="1007">
        <f t="shared" si="325"/>
        <v>0</v>
      </c>
      <c r="AD451" s="1007">
        <f>-AD565</f>
        <v>0</v>
      </c>
      <c r="AE451" s="1007">
        <f>-AE565</f>
        <v>0</v>
      </c>
      <c r="AF451" s="1007">
        <f>-AF565</f>
        <v>0</v>
      </c>
      <c r="AG451" s="818"/>
    </row>
    <row r="452" spans="1:33">
      <c r="A452" s="818"/>
      <c r="B452" s="1067" t="s">
        <v>684</v>
      </c>
      <c r="C452" s="818"/>
      <c r="D452" s="818"/>
      <c r="E452" s="1010">
        <v>0</v>
      </c>
      <c r="F452" s="1030"/>
      <c r="G452" s="665"/>
      <c r="H452" s="1070">
        <f>E452</f>
        <v>0</v>
      </c>
      <c r="I452" s="1007">
        <f t="shared" ref="I452:S452" si="326">-I573</f>
        <v>0</v>
      </c>
      <c r="J452" s="1007">
        <f t="shared" si="326"/>
        <v>0</v>
      </c>
      <c r="K452" s="1007">
        <f t="shared" si="326"/>
        <v>0</v>
      </c>
      <c r="L452" s="1007">
        <f t="shared" si="326"/>
        <v>0</v>
      </c>
      <c r="M452" s="1007">
        <f t="shared" si="326"/>
        <v>0</v>
      </c>
      <c r="N452" s="1007">
        <f t="shared" si="326"/>
        <v>0</v>
      </c>
      <c r="O452" s="1007">
        <f t="shared" si="326"/>
        <v>0</v>
      </c>
      <c r="P452" s="1007">
        <f t="shared" si="326"/>
        <v>0</v>
      </c>
      <c r="Q452" s="1007">
        <f t="shared" si="326"/>
        <v>0</v>
      </c>
      <c r="R452" s="1007">
        <f t="shared" si="326"/>
        <v>0</v>
      </c>
      <c r="S452" s="1007">
        <f t="shared" si="326"/>
        <v>0</v>
      </c>
      <c r="T452" s="1007">
        <f t="shared" ref="T452:AC452" si="327">-T573</f>
        <v>0</v>
      </c>
      <c r="U452" s="1007">
        <f t="shared" si="327"/>
        <v>0</v>
      </c>
      <c r="V452" s="1007">
        <f t="shared" si="327"/>
        <v>0</v>
      </c>
      <c r="W452" s="1007">
        <f t="shared" si="327"/>
        <v>0</v>
      </c>
      <c r="X452" s="1007">
        <f t="shared" si="327"/>
        <v>0</v>
      </c>
      <c r="Y452" s="1007">
        <f t="shared" si="327"/>
        <v>0</v>
      </c>
      <c r="Z452" s="1007">
        <f t="shared" si="327"/>
        <v>0</v>
      </c>
      <c r="AA452" s="1007">
        <f t="shared" si="327"/>
        <v>0</v>
      </c>
      <c r="AB452" s="1007">
        <f t="shared" si="327"/>
        <v>0</v>
      </c>
      <c r="AC452" s="1007">
        <f t="shared" si="327"/>
        <v>0</v>
      </c>
      <c r="AD452" s="1007">
        <f>-AD573</f>
        <v>0</v>
      </c>
      <c r="AE452" s="1007">
        <f>-AE573</f>
        <v>0</v>
      </c>
      <c r="AF452" s="1007">
        <f>-AF573</f>
        <v>0</v>
      </c>
      <c r="AG452" s="818"/>
    </row>
    <row r="453" spans="1:33">
      <c r="A453" s="818"/>
      <c r="B453" s="1009" t="s">
        <v>685</v>
      </c>
      <c r="C453" s="818"/>
      <c r="D453" s="818"/>
      <c r="E453" s="1068">
        <f ca="1">+Debt!C19</f>
        <v>238460.26041541412</v>
      </c>
      <c r="F453" s="818"/>
      <c r="G453" s="665"/>
      <c r="H453" s="1069">
        <f ca="1">E453</f>
        <v>238460.26041541412</v>
      </c>
      <c r="I453" s="1007">
        <f t="shared" ref="I453:S453" si="328">-I580</f>
        <v>0</v>
      </c>
      <c r="J453" s="1007">
        <f t="shared" si="328"/>
        <v>0</v>
      </c>
      <c r="K453" s="1007">
        <f t="shared" si="328"/>
        <v>0</v>
      </c>
      <c r="L453" s="1007">
        <f t="shared" si="328"/>
        <v>0</v>
      </c>
      <c r="M453" s="1007">
        <f t="shared" si="328"/>
        <v>0</v>
      </c>
      <c r="N453" s="1007">
        <f t="shared" si="328"/>
        <v>0</v>
      </c>
      <c r="O453" s="1007">
        <f t="shared" si="328"/>
        <v>0</v>
      </c>
      <c r="P453" s="1007">
        <f t="shared" si="328"/>
        <v>0</v>
      </c>
      <c r="Q453" s="1007">
        <f t="shared" si="328"/>
        <v>0</v>
      </c>
      <c r="R453" s="1007">
        <f t="shared" si="328"/>
        <v>0</v>
      </c>
      <c r="S453" s="1007">
        <f t="shared" si="328"/>
        <v>0</v>
      </c>
      <c r="T453" s="1007">
        <f t="shared" ref="T453:AC453" si="329">-T580</f>
        <v>0</v>
      </c>
      <c r="U453" s="1007">
        <f t="shared" si="329"/>
        <v>0</v>
      </c>
      <c r="V453" s="1007">
        <f t="shared" si="329"/>
        <v>0</v>
      </c>
      <c r="W453" s="1007">
        <f t="shared" si="329"/>
        <v>0</v>
      </c>
      <c r="X453" s="1007">
        <f t="shared" si="329"/>
        <v>0</v>
      </c>
      <c r="Y453" s="1007">
        <f t="shared" si="329"/>
        <v>0</v>
      </c>
      <c r="Z453" s="1007">
        <f t="shared" si="329"/>
        <v>0</v>
      </c>
      <c r="AA453" s="1007">
        <f t="shared" si="329"/>
        <v>0</v>
      </c>
      <c r="AB453" s="1007">
        <f t="shared" si="329"/>
        <v>0</v>
      </c>
      <c r="AC453" s="1007">
        <f t="shared" si="329"/>
        <v>0</v>
      </c>
      <c r="AD453" s="1007">
        <f>-AD580</f>
        <v>0</v>
      </c>
      <c r="AE453" s="1007">
        <f>-AE580</f>
        <v>0</v>
      </c>
      <c r="AF453" s="1007">
        <f>-AF580</f>
        <v>0</v>
      </c>
      <c r="AG453" s="818"/>
    </row>
    <row r="454" spans="1:33">
      <c r="A454" s="818"/>
      <c r="B454" s="992" t="s">
        <v>686</v>
      </c>
      <c r="C454" s="818"/>
      <c r="D454" s="818"/>
      <c r="E454" s="1010">
        <v>0</v>
      </c>
      <c r="F454" s="1030"/>
      <c r="G454" s="665"/>
      <c r="H454" s="1007">
        <f>E454</f>
        <v>0</v>
      </c>
      <c r="I454" s="1007"/>
      <c r="J454" s="1007"/>
      <c r="K454" s="1007"/>
      <c r="L454" s="1007"/>
      <c r="M454" s="1007"/>
      <c r="N454" s="1007"/>
      <c r="O454" s="1007"/>
      <c r="P454" s="1007"/>
      <c r="Q454" s="1007"/>
      <c r="R454" s="1007"/>
      <c r="S454" s="1007"/>
      <c r="T454" s="1007"/>
      <c r="U454" s="1007"/>
      <c r="V454" s="1007"/>
      <c r="W454" s="1007"/>
      <c r="X454" s="1007"/>
      <c r="Y454" s="1007"/>
      <c r="Z454" s="1007"/>
      <c r="AA454" s="1007"/>
      <c r="AB454" s="1007"/>
      <c r="AC454" s="1007"/>
      <c r="AD454" s="1007"/>
      <c r="AE454" s="1007"/>
      <c r="AF454" s="1007"/>
      <c r="AG454" s="818"/>
    </row>
    <row r="455" spans="1:33">
      <c r="A455" s="818"/>
      <c r="B455" s="1016" t="s">
        <v>687</v>
      </c>
      <c r="C455" s="818"/>
      <c r="D455" s="818"/>
      <c r="E455" s="1047">
        <f ca="1">SUM(E451:E454)</f>
        <v>541302.93119863747</v>
      </c>
      <c r="F455" s="1071"/>
      <c r="G455" s="1072"/>
      <c r="H455" s="1047">
        <f t="shared" ref="H455:S455" ca="1" si="330">SUM(H451:H454)</f>
        <v>541302.93119863747</v>
      </c>
      <c r="I455" s="1047">
        <f t="shared" si="330"/>
        <v>0</v>
      </c>
      <c r="J455" s="1047">
        <f t="shared" si="330"/>
        <v>0</v>
      </c>
      <c r="K455" s="1047">
        <f t="shared" si="330"/>
        <v>0</v>
      </c>
      <c r="L455" s="1047">
        <f t="shared" si="330"/>
        <v>0</v>
      </c>
      <c r="M455" s="1047">
        <f t="shared" si="330"/>
        <v>0</v>
      </c>
      <c r="N455" s="1047">
        <f t="shared" si="330"/>
        <v>0</v>
      </c>
      <c r="O455" s="1047">
        <f t="shared" si="330"/>
        <v>0</v>
      </c>
      <c r="P455" s="1047">
        <f t="shared" si="330"/>
        <v>0</v>
      </c>
      <c r="Q455" s="1047">
        <f t="shared" si="330"/>
        <v>0</v>
      </c>
      <c r="R455" s="1047">
        <f t="shared" si="330"/>
        <v>0</v>
      </c>
      <c r="S455" s="1047">
        <f t="shared" si="330"/>
        <v>0</v>
      </c>
      <c r="T455" s="1047">
        <f t="shared" ref="T455:AC455" si="331">SUM(T451:T454)</f>
        <v>0</v>
      </c>
      <c r="U455" s="1047">
        <f t="shared" si="331"/>
        <v>0</v>
      </c>
      <c r="V455" s="1047">
        <f t="shared" si="331"/>
        <v>0</v>
      </c>
      <c r="W455" s="1047">
        <f t="shared" si="331"/>
        <v>0</v>
      </c>
      <c r="X455" s="1047">
        <f t="shared" si="331"/>
        <v>0</v>
      </c>
      <c r="Y455" s="1047">
        <f t="shared" si="331"/>
        <v>0</v>
      </c>
      <c r="Z455" s="1047">
        <f t="shared" si="331"/>
        <v>0</v>
      </c>
      <c r="AA455" s="1047">
        <f t="shared" si="331"/>
        <v>0</v>
      </c>
      <c r="AB455" s="1047">
        <f t="shared" si="331"/>
        <v>0</v>
      </c>
      <c r="AC455" s="1047">
        <f t="shared" si="331"/>
        <v>0</v>
      </c>
      <c r="AD455" s="1047">
        <f>SUM(AD451:AD454)</f>
        <v>0</v>
      </c>
      <c r="AE455" s="1047">
        <f>SUM(AE451:AE454)</f>
        <v>0</v>
      </c>
      <c r="AF455" s="1047">
        <f>SUM(AF451:AF454)</f>
        <v>0</v>
      </c>
      <c r="AG455" s="818"/>
    </row>
    <row r="456" spans="1:33">
      <c r="A456" s="818"/>
      <c r="B456" s="818"/>
      <c r="C456" s="665"/>
      <c r="D456" s="665"/>
      <c r="E456" s="665"/>
      <c r="F456" s="996"/>
      <c r="G456" s="818"/>
      <c r="H456" s="818"/>
      <c r="I456" s="818"/>
      <c r="J456" s="818"/>
      <c r="K456" s="818"/>
      <c r="L456" s="818"/>
      <c r="M456" s="818"/>
      <c r="N456" s="818"/>
      <c r="O456" s="818"/>
      <c r="P456" s="818"/>
      <c r="Q456" s="818"/>
      <c r="R456" s="818"/>
      <c r="S456" s="818"/>
      <c r="T456" s="818"/>
      <c r="U456" s="818"/>
      <c r="V456" s="818"/>
      <c r="W456" s="818"/>
      <c r="X456" s="818"/>
      <c r="Y456" s="818"/>
      <c r="Z456" s="818"/>
      <c r="AA456" s="818"/>
      <c r="AB456" s="818"/>
      <c r="AC456" s="818"/>
      <c r="AD456" s="818"/>
      <c r="AE456" s="818"/>
      <c r="AF456" s="818"/>
      <c r="AG456" s="818"/>
    </row>
    <row r="457" spans="1:33">
      <c r="A457" s="1009"/>
      <c r="B457" s="1065" t="s">
        <v>433</v>
      </c>
      <c r="C457" s="818"/>
      <c r="D457" s="818"/>
      <c r="E457" s="1073"/>
      <c r="F457" s="1030"/>
      <c r="G457" s="665"/>
      <c r="H457" s="818"/>
      <c r="I457" s="818"/>
      <c r="J457" s="818"/>
      <c r="K457" s="818"/>
      <c r="L457" s="818"/>
      <c r="M457" s="818"/>
      <c r="N457" s="818"/>
      <c r="O457" s="818"/>
      <c r="P457" s="818"/>
      <c r="Q457" s="818"/>
      <c r="R457" s="818"/>
      <c r="S457" s="818"/>
      <c r="T457" s="818"/>
      <c r="U457" s="818"/>
      <c r="V457" s="818"/>
      <c r="W457" s="818"/>
      <c r="X457" s="818"/>
      <c r="Y457" s="818"/>
      <c r="Z457" s="818"/>
      <c r="AA457" s="818"/>
      <c r="AB457" s="818"/>
      <c r="AC457" s="818"/>
      <c r="AD457" s="818"/>
      <c r="AE457" s="818"/>
      <c r="AF457" s="818"/>
      <c r="AG457" s="818"/>
    </row>
    <row r="458" spans="1:33">
      <c r="A458" s="1009"/>
      <c r="B458" s="665" t="s">
        <v>688</v>
      </c>
      <c r="C458" s="1007" t="str">
        <f>A491</f>
        <v>Intangibles</v>
      </c>
      <c r="D458" s="665"/>
      <c r="E458" s="1490">
        <f ca="1">Debt!H22</f>
        <v>48563.258028614982</v>
      </c>
      <c r="F458" s="1030"/>
      <c r="G458" s="665"/>
      <c r="H458" s="1074">
        <f ca="1">E458</f>
        <v>48563.258028614982</v>
      </c>
      <c r="I458" s="1023">
        <f ca="1">I732</f>
        <v>48563.258028614982</v>
      </c>
      <c r="J458" s="1023">
        <f t="shared" ref="J458:S458" si="332">J732</f>
        <v>0</v>
      </c>
      <c r="K458" s="1023">
        <f t="shared" si="332"/>
        <v>0</v>
      </c>
      <c r="L458" s="1023">
        <f t="shared" si="332"/>
        <v>0</v>
      </c>
      <c r="M458" s="1023">
        <f t="shared" si="332"/>
        <v>0</v>
      </c>
      <c r="N458" s="1023">
        <f t="shared" si="332"/>
        <v>0</v>
      </c>
      <c r="O458" s="1023">
        <f t="shared" si="332"/>
        <v>0</v>
      </c>
      <c r="P458" s="1023">
        <f t="shared" si="332"/>
        <v>0</v>
      </c>
      <c r="Q458" s="1023">
        <f t="shared" si="332"/>
        <v>0</v>
      </c>
      <c r="R458" s="1023">
        <f t="shared" si="332"/>
        <v>0</v>
      </c>
      <c r="S458" s="1024">
        <f t="shared" si="332"/>
        <v>0</v>
      </c>
      <c r="T458" s="1024">
        <f t="shared" ref="T458:AC458" si="333">T732</f>
        <v>0</v>
      </c>
      <c r="U458" s="1024">
        <f t="shared" si="333"/>
        <v>0</v>
      </c>
      <c r="V458" s="1024">
        <f t="shared" si="333"/>
        <v>0</v>
      </c>
      <c r="W458" s="1024">
        <f t="shared" si="333"/>
        <v>0</v>
      </c>
      <c r="X458" s="1024">
        <f t="shared" si="333"/>
        <v>0</v>
      </c>
      <c r="Y458" s="1024">
        <f t="shared" si="333"/>
        <v>0</v>
      </c>
      <c r="Z458" s="1024">
        <f t="shared" si="333"/>
        <v>0</v>
      </c>
      <c r="AA458" s="1024">
        <f t="shared" si="333"/>
        <v>0</v>
      </c>
      <c r="AB458" s="1024">
        <f t="shared" si="333"/>
        <v>0</v>
      </c>
      <c r="AC458" s="1024">
        <f t="shared" si="333"/>
        <v>0</v>
      </c>
      <c r="AD458" s="1024">
        <f>AD732</f>
        <v>0</v>
      </c>
      <c r="AE458" s="1024">
        <f>AE732</f>
        <v>0</v>
      </c>
      <c r="AF458" s="1024">
        <f>AF732</f>
        <v>0</v>
      </c>
      <c r="AG458" s="818"/>
    </row>
    <row r="459" spans="1:33">
      <c r="A459" s="1009"/>
      <c r="B459" s="665"/>
      <c r="C459" s="1007" t="s">
        <v>689</v>
      </c>
      <c r="D459" s="665"/>
      <c r="E459" s="1075">
        <f ca="1">+Debt!H18</f>
        <v>479637.11633199977</v>
      </c>
      <c r="F459" s="1030"/>
      <c r="G459" s="665"/>
      <c r="H459" s="1076">
        <f ca="1">E459</f>
        <v>479637.11633199977</v>
      </c>
      <c r="I459" s="741">
        <f ca="1">(I729-I732-I731)-H459</f>
        <v>0</v>
      </c>
      <c r="J459" s="741">
        <f t="shared" ref="J459:AF459" si="334">J729-J460</f>
        <v>0</v>
      </c>
      <c r="K459" s="741">
        <f t="shared" si="334"/>
        <v>0</v>
      </c>
      <c r="L459" s="741">
        <f t="shared" si="334"/>
        <v>0</v>
      </c>
      <c r="M459" s="741">
        <f t="shared" si="334"/>
        <v>0</v>
      </c>
      <c r="N459" s="741">
        <f t="shared" si="334"/>
        <v>0</v>
      </c>
      <c r="O459" s="741">
        <f t="shared" si="334"/>
        <v>0</v>
      </c>
      <c r="P459" s="741">
        <f t="shared" si="334"/>
        <v>0</v>
      </c>
      <c r="Q459" s="741">
        <f t="shared" si="334"/>
        <v>0</v>
      </c>
      <c r="R459" s="741">
        <f t="shared" si="334"/>
        <v>0</v>
      </c>
      <c r="S459" s="1025">
        <f t="shared" si="334"/>
        <v>0</v>
      </c>
      <c r="T459" s="1025">
        <f t="shared" si="334"/>
        <v>0</v>
      </c>
      <c r="U459" s="1025">
        <f t="shared" si="334"/>
        <v>0</v>
      </c>
      <c r="V459" s="1025">
        <f t="shared" si="334"/>
        <v>0</v>
      </c>
      <c r="W459" s="1025">
        <f t="shared" si="334"/>
        <v>0</v>
      </c>
      <c r="X459" s="1025">
        <f t="shared" si="334"/>
        <v>0</v>
      </c>
      <c r="Y459" s="1025">
        <f t="shared" si="334"/>
        <v>0</v>
      </c>
      <c r="Z459" s="1025">
        <f t="shared" si="334"/>
        <v>0</v>
      </c>
      <c r="AA459" s="1025">
        <f t="shared" si="334"/>
        <v>0</v>
      </c>
      <c r="AB459" s="1025">
        <f t="shared" si="334"/>
        <v>0</v>
      </c>
      <c r="AC459" s="1025">
        <f t="shared" si="334"/>
        <v>0</v>
      </c>
      <c r="AD459" s="1025">
        <f t="shared" si="334"/>
        <v>0</v>
      </c>
      <c r="AE459" s="1025">
        <f t="shared" si="334"/>
        <v>0</v>
      </c>
      <c r="AF459" s="1025">
        <f t="shared" si="334"/>
        <v>0</v>
      </c>
      <c r="AG459" s="818"/>
    </row>
    <row r="460" spans="1:33">
      <c r="A460" s="1009"/>
      <c r="B460" s="665"/>
      <c r="C460" s="1007" t="s">
        <v>550</v>
      </c>
      <c r="D460" s="665"/>
      <c r="E460" s="1077">
        <v>0</v>
      </c>
      <c r="F460" s="1030"/>
      <c r="G460" s="665"/>
      <c r="H460" s="1078">
        <f>E460</f>
        <v>0</v>
      </c>
      <c r="I460" s="1079">
        <f>I731-H460</f>
        <v>0</v>
      </c>
      <c r="J460" s="1079">
        <f>J731</f>
        <v>0</v>
      </c>
      <c r="K460" s="1079">
        <f t="shared" ref="K460:AF460" si="335">K731</f>
        <v>0</v>
      </c>
      <c r="L460" s="1079">
        <f t="shared" si="335"/>
        <v>0</v>
      </c>
      <c r="M460" s="1079">
        <f t="shared" si="335"/>
        <v>0</v>
      </c>
      <c r="N460" s="1079">
        <f t="shared" si="335"/>
        <v>0</v>
      </c>
      <c r="O460" s="1079">
        <f t="shared" si="335"/>
        <v>0</v>
      </c>
      <c r="P460" s="1079">
        <f t="shared" si="335"/>
        <v>0</v>
      </c>
      <c r="Q460" s="1079">
        <f t="shared" si="335"/>
        <v>0</v>
      </c>
      <c r="R460" s="1079">
        <f t="shared" si="335"/>
        <v>0</v>
      </c>
      <c r="S460" s="1079">
        <f t="shared" si="335"/>
        <v>0</v>
      </c>
      <c r="T460" s="1079">
        <f t="shared" si="335"/>
        <v>0</v>
      </c>
      <c r="U460" s="1079">
        <f t="shared" si="335"/>
        <v>0</v>
      </c>
      <c r="V460" s="1079">
        <f t="shared" si="335"/>
        <v>0</v>
      </c>
      <c r="W460" s="1079">
        <f t="shared" si="335"/>
        <v>0</v>
      </c>
      <c r="X460" s="1079">
        <f t="shared" si="335"/>
        <v>0</v>
      </c>
      <c r="Y460" s="1079">
        <f t="shared" si="335"/>
        <v>0</v>
      </c>
      <c r="Z460" s="1079">
        <f t="shared" si="335"/>
        <v>0</v>
      </c>
      <c r="AA460" s="1079">
        <f t="shared" si="335"/>
        <v>0</v>
      </c>
      <c r="AB460" s="1079">
        <f t="shared" si="335"/>
        <v>0</v>
      </c>
      <c r="AC460" s="1079">
        <f t="shared" si="335"/>
        <v>0</v>
      </c>
      <c r="AD460" s="1079">
        <f t="shared" si="335"/>
        <v>0</v>
      </c>
      <c r="AE460" s="1079">
        <f t="shared" si="335"/>
        <v>0</v>
      </c>
      <c r="AF460" s="1079">
        <f t="shared" si="335"/>
        <v>0</v>
      </c>
      <c r="AG460" s="818"/>
    </row>
    <row r="461" spans="1:33">
      <c r="A461" s="1009"/>
      <c r="B461" s="665" t="s">
        <v>690</v>
      </c>
      <c r="C461" s="665"/>
      <c r="D461" s="665"/>
      <c r="E461" s="1081">
        <v>0</v>
      </c>
      <c r="F461" s="1030"/>
      <c r="G461" s="665"/>
      <c r="H461" s="1070">
        <v>0</v>
      </c>
      <c r="I461" s="1070">
        <v>0</v>
      </c>
      <c r="J461" s="1070">
        <v>0</v>
      </c>
      <c r="K461" s="1070">
        <v>0</v>
      </c>
      <c r="L461" s="1070">
        <v>0</v>
      </c>
      <c r="M461" s="1070">
        <v>0</v>
      </c>
      <c r="N461" s="1070">
        <v>0</v>
      </c>
      <c r="O461" s="1070">
        <v>0</v>
      </c>
      <c r="P461" s="1070">
        <v>0</v>
      </c>
      <c r="Q461" s="1070">
        <v>0</v>
      </c>
      <c r="R461" s="1070">
        <v>0</v>
      </c>
      <c r="S461" s="1070">
        <v>0</v>
      </c>
      <c r="T461" s="1070">
        <v>0</v>
      </c>
      <c r="U461" s="1070">
        <v>0</v>
      </c>
      <c r="V461" s="1070">
        <v>0</v>
      </c>
      <c r="W461" s="1070">
        <v>0</v>
      </c>
      <c r="X461" s="1070">
        <v>0</v>
      </c>
      <c r="Y461" s="1070">
        <v>0</v>
      </c>
      <c r="Z461" s="1070">
        <v>0</v>
      </c>
      <c r="AA461" s="1070">
        <v>0</v>
      </c>
      <c r="AB461" s="1070">
        <v>0</v>
      </c>
      <c r="AC461" s="1070">
        <v>0</v>
      </c>
      <c r="AD461" s="1070">
        <v>0</v>
      </c>
      <c r="AE461" s="1070">
        <v>0</v>
      </c>
      <c r="AF461" s="1070">
        <v>0</v>
      </c>
      <c r="AG461" s="818"/>
    </row>
    <row r="462" spans="1:33">
      <c r="A462" s="1009"/>
      <c r="B462" s="665" t="s">
        <v>691</v>
      </c>
      <c r="C462" s="665"/>
      <c r="D462" s="665"/>
      <c r="E462" s="1010">
        <v>0</v>
      </c>
      <c r="F462" s="1030"/>
      <c r="G462" s="665"/>
      <c r="H462" s="1070">
        <f>E462</f>
        <v>0</v>
      </c>
      <c r="I462" s="1069">
        <f t="shared" ref="I462:S462" si="336">-I579</f>
        <v>0</v>
      </c>
      <c r="J462" s="1069">
        <f t="shared" si="336"/>
        <v>0</v>
      </c>
      <c r="K462" s="1069">
        <f t="shared" si="336"/>
        <v>0</v>
      </c>
      <c r="L462" s="1069">
        <f t="shared" si="336"/>
        <v>0</v>
      </c>
      <c r="M462" s="1069">
        <f t="shared" si="336"/>
        <v>0</v>
      </c>
      <c r="N462" s="1069">
        <f t="shared" si="336"/>
        <v>0</v>
      </c>
      <c r="O462" s="1069">
        <f t="shared" si="336"/>
        <v>0</v>
      </c>
      <c r="P462" s="1069">
        <f t="shared" si="336"/>
        <v>0</v>
      </c>
      <c r="Q462" s="1069">
        <f t="shared" si="336"/>
        <v>0</v>
      </c>
      <c r="R462" s="1069">
        <f t="shared" si="336"/>
        <v>0</v>
      </c>
      <c r="S462" s="1069">
        <f t="shared" si="336"/>
        <v>0</v>
      </c>
      <c r="T462" s="1069">
        <f t="shared" ref="T462:AC462" si="337">-T579</f>
        <v>0</v>
      </c>
      <c r="U462" s="1069">
        <f t="shared" si="337"/>
        <v>0</v>
      </c>
      <c r="V462" s="1069">
        <f t="shared" si="337"/>
        <v>0</v>
      </c>
      <c r="W462" s="1069">
        <f t="shared" si="337"/>
        <v>0</v>
      </c>
      <c r="X462" s="1069">
        <f t="shared" si="337"/>
        <v>0</v>
      </c>
      <c r="Y462" s="1069">
        <f t="shared" si="337"/>
        <v>0</v>
      </c>
      <c r="Z462" s="1069">
        <f t="shared" si="337"/>
        <v>0</v>
      </c>
      <c r="AA462" s="1069">
        <f t="shared" si="337"/>
        <v>0</v>
      </c>
      <c r="AB462" s="1069">
        <f t="shared" si="337"/>
        <v>0</v>
      </c>
      <c r="AC462" s="1069">
        <f t="shared" si="337"/>
        <v>0</v>
      </c>
      <c r="AD462" s="1069">
        <f>-AD579</f>
        <v>0</v>
      </c>
      <c r="AE462" s="1069">
        <f>-AE579</f>
        <v>0</v>
      </c>
      <c r="AF462" s="1069">
        <f>-AF579</f>
        <v>0</v>
      </c>
      <c r="AG462" s="818"/>
    </row>
    <row r="463" spans="1:33">
      <c r="A463" s="1009"/>
      <c r="B463" s="1067" t="s">
        <v>692</v>
      </c>
      <c r="C463" s="818"/>
      <c r="D463" s="818"/>
      <c r="E463" s="1011">
        <f ca="1">I473+I474</f>
        <v>6056.8534156644673</v>
      </c>
      <c r="F463" s="1030"/>
      <c r="G463" s="665"/>
      <c r="H463" s="1082">
        <f ca="1">E463</f>
        <v>6056.8534156644673</v>
      </c>
      <c r="I463" s="1082"/>
      <c r="J463" s="1082"/>
      <c r="K463" s="1082">
        <f>+K340</f>
        <v>0</v>
      </c>
      <c r="L463" s="1082"/>
      <c r="M463" s="1082"/>
      <c r="N463" s="1082"/>
      <c r="O463" s="1082"/>
      <c r="P463" s="1082"/>
      <c r="Q463" s="1082"/>
      <c r="R463" s="1082"/>
      <c r="S463" s="1082"/>
      <c r="T463" s="1082"/>
      <c r="U463" s="1082"/>
      <c r="V463" s="1082"/>
      <c r="W463" s="1082"/>
      <c r="X463" s="1082"/>
      <c r="Y463" s="1082"/>
      <c r="Z463" s="1082"/>
      <c r="AA463" s="1082"/>
      <c r="AB463" s="1082"/>
      <c r="AC463" s="1082"/>
      <c r="AD463" s="1082"/>
      <c r="AE463" s="1082"/>
      <c r="AF463" s="1082"/>
      <c r="AG463" s="818"/>
    </row>
    <row r="464" spans="1:33">
      <c r="A464" s="1009"/>
      <c r="B464" s="1083" t="s">
        <v>693</v>
      </c>
      <c r="C464" s="818"/>
      <c r="D464" s="818"/>
      <c r="E464" s="1042">
        <f ca="1">+Debt!H20+Debt!H21</f>
        <v>7045.7034223582523</v>
      </c>
      <c r="F464" s="1030"/>
      <c r="G464" s="665"/>
      <c r="H464" s="1069">
        <f t="shared" ref="H464:S464" ca="1" si="338">H455-SUM(H458:H463)</f>
        <v>7045.7034223581431</v>
      </c>
      <c r="I464" s="1069">
        <f t="shared" ca="1" si="338"/>
        <v>-48563.258028614982</v>
      </c>
      <c r="J464" s="1069">
        <f t="shared" si="338"/>
        <v>0</v>
      </c>
      <c r="K464" s="1069">
        <f>K455-SUM(K458:K463)</f>
        <v>0</v>
      </c>
      <c r="L464" s="1069">
        <f t="shared" si="338"/>
        <v>0</v>
      </c>
      <c r="M464" s="1069">
        <f t="shared" si="338"/>
        <v>0</v>
      </c>
      <c r="N464" s="1069">
        <f t="shared" si="338"/>
        <v>0</v>
      </c>
      <c r="O464" s="1069">
        <f t="shared" si="338"/>
        <v>0</v>
      </c>
      <c r="P464" s="1069">
        <f t="shared" si="338"/>
        <v>0</v>
      </c>
      <c r="Q464" s="1069">
        <f t="shared" si="338"/>
        <v>0</v>
      </c>
      <c r="R464" s="1069">
        <f t="shared" si="338"/>
        <v>0</v>
      </c>
      <c r="S464" s="1069">
        <f t="shared" si="338"/>
        <v>0</v>
      </c>
      <c r="T464" s="1069">
        <f t="shared" ref="T464:AC464" si="339">T455-SUM(T458:T463)</f>
        <v>0</v>
      </c>
      <c r="U464" s="1069">
        <f t="shared" si="339"/>
        <v>0</v>
      </c>
      <c r="V464" s="1069">
        <f t="shared" si="339"/>
        <v>0</v>
      </c>
      <c r="W464" s="1069">
        <f t="shared" si="339"/>
        <v>0</v>
      </c>
      <c r="X464" s="1069">
        <f t="shared" si="339"/>
        <v>0</v>
      </c>
      <c r="Y464" s="1069">
        <f t="shared" si="339"/>
        <v>0</v>
      </c>
      <c r="Z464" s="1069">
        <f t="shared" si="339"/>
        <v>0</v>
      </c>
      <c r="AA464" s="1069">
        <f t="shared" si="339"/>
        <v>0</v>
      </c>
      <c r="AB464" s="1069">
        <f t="shared" si="339"/>
        <v>0</v>
      </c>
      <c r="AC464" s="1069">
        <f t="shared" si="339"/>
        <v>0</v>
      </c>
      <c r="AD464" s="1069">
        <f>AD455-SUM(AD458:AD463)</f>
        <v>0</v>
      </c>
      <c r="AE464" s="1069">
        <f>AE455-SUM(AE458:AE463)</f>
        <v>0</v>
      </c>
      <c r="AF464" s="1069">
        <f>AF455-SUM(AF458:AF463)</f>
        <v>0</v>
      </c>
      <c r="AG464" s="818"/>
    </row>
    <row r="465" spans="1:33">
      <c r="A465" s="1009"/>
      <c r="B465" s="818"/>
      <c r="C465" s="818"/>
      <c r="D465" s="818"/>
      <c r="E465" s="1011"/>
      <c r="F465" s="1030"/>
      <c r="G465" s="665"/>
      <c r="H465" s="818"/>
      <c r="I465" s="818"/>
      <c r="J465" s="818"/>
      <c r="K465" s="818"/>
      <c r="L465" s="818"/>
      <c r="M465" s="818"/>
      <c r="N465" s="818"/>
      <c r="O465" s="818"/>
      <c r="P465" s="818"/>
      <c r="Q465" s="818"/>
      <c r="R465" s="818"/>
      <c r="S465" s="818"/>
      <c r="T465" s="818"/>
      <c r="U465" s="818"/>
      <c r="V465" s="818"/>
      <c r="W465" s="818"/>
      <c r="X465" s="818"/>
      <c r="Y465" s="818"/>
      <c r="Z465" s="818"/>
      <c r="AA465" s="818"/>
      <c r="AB465" s="818"/>
      <c r="AC465" s="818"/>
      <c r="AD465" s="818"/>
      <c r="AE465" s="818"/>
      <c r="AF465" s="818"/>
      <c r="AG465" s="818"/>
    </row>
    <row r="466" spans="1:33">
      <c r="A466" s="1009"/>
      <c r="B466" s="1016" t="s">
        <v>694</v>
      </c>
      <c r="C466" s="818"/>
      <c r="D466" s="818"/>
      <c r="E466" s="1011">
        <f ca="1">SUM(E458:E465)</f>
        <v>541302.93119863758</v>
      </c>
      <c r="F466" s="1030"/>
      <c r="G466" s="665"/>
      <c r="H466" s="1047">
        <f t="shared" ref="H466:S466" ca="1" si="340">SUM(H458:H465)</f>
        <v>541302.93119863747</v>
      </c>
      <c r="I466" s="1047">
        <f t="shared" ca="1" si="340"/>
        <v>0</v>
      </c>
      <c r="J466" s="1047">
        <f t="shared" si="340"/>
        <v>0</v>
      </c>
      <c r="K466" s="1047">
        <f t="shared" si="340"/>
        <v>0</v>
      </c>
      <c r="L466" s="1047">
        <f t="shared" si="340"/>
        <v>0</v>
      </c>
      <c r="M466" s="1047">
        <f t="shared" si="340"/>
        <v>0</v>
      </c>
      <c r="N466" s="1047">
        <f t="shared" si="340"/>
        <v>0</v>
      </c>
      <c r="O466" s="1047">
        <f t="shared" si="340"/>
        <v>0</v>
      </c>
      <c r="P466" s="1047">
        <f t="shared" si="340"/>
        <v>0</v>
      </c>
      <c r="Q466" s="1047">
        <f t="shared" si="340"/>
        <v>0</v>
      </c>
      <c r="R466" s="1047">
        <f t="shared" si="340"/>
        <v>0</v>
      </c>
      <c r="S466" s="1047">
        <f t="shared" si="340"/>
        <v>0</v>
      </c>
      <c r="T466" s="1047">
        <f t="shared" ref="T466:AC466" si="341">SUM(T458:T465)</f>
        <v>0</v>
      </c>
      <c r="U466" s="1047">
        <f t="shared" si="341"/>
        <v>0</v>
      </c>
      <c r="V466" s="1047">
        <f t="shared" si="341"/>
        <v>0</v>
      </c>
      <c r="W466" s="1047">
        <f t="shared" si="341"/>
        <v>0</v>
      </c>
      <c r="X466" s="1047">
        <f t="shared" si="341"/>
        <v>0</v>
      </c>
      <c r="Y466" s="1047">
        <f t="shared" si="341"/>
        <v>0</v>
      </c>
      <c r="Z466" s="1047">
        <f t="shared" si="341"/>
        <v>0</v>
      </c>
      <c r="AA466" s="1047">
        <f t="shared" si="341"/>
        <v>0</v>
      </c>
      <c r="AB466" s="1047">
        <f t="shared" si="341"/>
        <v>0</v>
      </c>
      <c r="AC466" s="1047">
        <f t="shared" si="341"/>
        <v>0</v>
      </c>
      <c r="AD466" s="1047">
        <f>SUM(AD458:AD465)</f>
        <v>0</v>
      </c>
      <c r="AE466" s="1047">
        <f>SUM(AE458:AE465)</f>
        <v>0</v>
      </c>
      <c r="AF466" s="1047">
        <f>SUM(AF458:AF465)</f>
        <v>0</v>
      </c>
      <c r="AG466" s="818"/>
    </row>
    <row r="467" spans="1:33">
      <c r="A467" s="1009"/>
      <c r="B467" s="996"/>
      <c r="C467" s="1084" t="s">
        <v>695</v>
      </c>
      <c r="D467" s="818"/>
      <c r="E467" s="533">
        <f ca="1">E466-E455</f>
        <v>0</v>
      </c>
      <c r="F467" s="1030"/>
      <c r="G467" s="665"/>
      <c r="H467" s="533">
        <f t="shared" ref="H467:S467" ca="1" si="342">H466-H455</f>
        <v>0</v>
      </c>
      <c r="I467" s="533">
        <f t="shared" ca="1" si="342"/>
        <v>0</v>
      </c>
      <c r="J467" s="533">
        <f t="shared" si="342"/>
        <v>0</v>
      </c>
      <c r="K467" s="533">
        <f t="shared" si="342"/>
        <v>0</v>
      </c>
      <c r="L467" s="533">
        <f t="shared" si="342"/>
        <v>0</v>
      </c>
      <c r="M467" s="533">
        <f t="shared" si="342"/>
        <v>0</v>
      </c>
      <c r="N467" s="533">
        <f t="shared" si="342"/>
        <v>0</v>
      </c>
      <c r="O467" s="533">
        <f t="shared" si="342"/>
        <v>0</v>
      </c>
      <c r="P467" s="533">
        <f t="shared" si="342"/>
        <v>0</v>
      </c>
      <c r="Q467" s="533">
        <f t="shared" si="342"/>
        <v>0</v>
      </c>
      <c r="R467" s="533">
        <f t="shared" si="342"/>
        <v>0</v>
      </c>
      <c r="S467" s="533">
        <f t="shared" si="342"/>
        <v>0</v>
      </c>
      <c r="T467" s="533">
        <f t="shared" ref="T467:AC467" si="343">T466-T455</f>
        <v>0</v>
      </c>
      <c r="U467" s="533">
        <f t="shared" si="343"/>
        <v>0</v>
      </c>
      <c r="V467" s="533">
        <f t="shared" si="343"/>
        <v>0</v>
      </c>
      <c r="W467" s="533">
        <f t="shared" si="343"/>
        <v>0</v>
      </c>
      <c r="X467" s="533">
        <f t="shared" si="343"/>
        <v>0</v>
      </c>
      <c r="Y467" s="533">
        <f t="shared" si="343"/>
        <v>0</v>
      </c>
      <c r="Z467" s="533">
        <f t="shared" si="343"/>
        <v>0</v>
      </c>
      <c r="AA467" s="533">
        <f t="shared" si="343"/>
        <v>0</v>
      </c>
      <c r="AB467" s="533">
        <f t="shared" si="343"/>
        <v>0</v>
      </c>
      <c r="AC467" s="533">
        <f t="shared" si="343"/>
        <v>0</v>
      </c>
      <c r="AD467" s="533">
        <f>AD466-AD455</f>
        <v>0</v>
      </c>
      <c r="AE467" s="533">
        <f>AE466-AE455</f>
        <v>0</v>
      </c>
      <c r="AF467" s="533">
        <f>AF466-AF455</f>
        <v>0</v>
      </c>
      <c r="AG467" s="818"/>
    </row>
    <row r="468" spans="1:33">
      <c r="A468" s="1009"/>
      <c r="B468" s="665"/>
      <c r="C468" s="665"/>
      <c r="D468" s="665"/>
      <c r="E468" s="665"/>
      <c r="F468" s="1030"/>
      <c r="G468" s="665"/>
      <c r="H468" s="818"/>
      <c r="I468" s="818"/>
      <c r="J468" s="818"/>
      <c r="K468" s="818"/>
      <c r="L468" s="818"/>
      <c r="M468" s="818"/>
      <c r="N468" s="818"/>
      <c r="O468" s="818"/>
      <c r="P468" s="818"/>
      <c r="Q468" s="818"/>
      <c r="R468" s="818"/>
      <c r="S468" s="818"/>
      <c r="T468" s="818"/>
      <c r="U468" s="818"/>
      <c r="V468" s="818"/>
      <c r="W468" s="818"/>
      <c r="X468" s="818"/>
      <c r="Y468" s="818"/>
      <c r="Z468" s="818"/>
      <c r="AA468" s="818"/>
      <c r="AB468" s="818"/>
      <c r="AC468" s="818"/>
      <c r="AD468" s="818"/>
      <c r="AE468" s="818"/>
      <c r="AF468" s="818"/>
      <c r="AG468" s="818"/>
    </row>
    <row r="469" spans="1:33" ht="12" thickBot="1">
      <c r="A469" s="1009"/>
      <c r="B469" s="818"/>
      <c r="C469" s="818"/>
      <c r="D469" s="818"/>
      <c r="E469" s="818"/>
      <c r="F469" s="818"/>
      <c r="G469" s="818"/>
      <c r="H469" s="818"/>
      <c r="I469" s="818"/>
      <c r="J469" s="818"/>
      <c r="K469" s="818"/>
      <c r="L469" s="818"/>
      <c r="M469" s="818"/>
      <c r="N469" s="818"/>
      <c r="O469" s="818"/>
      <c r="P469" s="818"/>
      <c r="Q469" s="818"/>
      <c r="R469" s="818"/>
      <c r="S469" s="818"/>
      <c r="T469" s="818"/>
      <c r="U469" s="818"/>
      <c r="V469" s="818"/>
      <c r="W469" s="818"/>
      <c r="X469" s="818"/>
      <c r="Y469" s="818"/>
      <c r="Z469" s="818"/>
      <c r="AA469" s="818"/>
      <c r="AB469" s="818"/>
      <c r="AC469" s="818"/>
      <c r="AD469" s="818"/>
      <c r="AE469" s="818"/>
      <c r="AF469" s="818"/>
      <c r="AG469" s="818"/>
    </row>
    <row r="470" spans="1:33" ht="12.75" thickTop="1" thickBot="1">
      <c r="A470" s="1059"/>
      <c r="B470" s="985"/>
      <c r="C470" s="985"/>
      <c r="D470" s="985"/>
      <c r="E470" s="985"/>
      <c r="F470" s="985"/>
      <c r="G470" s="985"/>
      <c r="H470" s="985"/>
      <c r="I470" s="985"/>
      <c r="J470" s="985"/>
      <c r="K470" s="985"/>
      <c r="L470" s="985"/>
      <c r="M470" s="985"/>
      <c r="N470" s="985"/>
      <c r="O470" s="985"/>
      <c r="P470" s="985"/>
      <c r="Q470" s="985"/>
      <c r="R470" s="985"/>
      <c r="S470" s="985"/>
      <c r="T470" s="985"/>
      <c r="U470" s="985"/>
      <c r="V470" s="985"/>
      <c r="W470" s="985"/>
      <c r="X470" s="985"/>
      <c r="Y470" s="985"/>
      <c r="Z470" s="985"/>
      <c r="AA470" s="985"/>
      <c r="AB470" s="985"/>
      <c r="AC470" s="985"/>
      <c r="AD470" s="985"/>
      <c r="AE470" s="985"/>
      <c r="AF470" s="985"/>
      <c r="AG470" s="818"/>
    </row>
    <row r="471" spans="1:33" ht="12.75" thickTop="1" thickBot="1">
      <c r="A471" s="917" t="s">
        <v>696</v>
      </c>
      <c r="B471" s="818"/>
      <c r="C471" s="741"/>
      <c r="D471" s="818"/>
      <c r="E471" s="741"/>
      <c r="F471" s="1085" t="s">
        <v>697</v>
      </c>
      <c r="G471" s="1086" t="s">
        <v>698</v>
      </c>
      <c r="H471" s="1087"/>
      <c r="I471" s="818"/>
      <c r="J471" s="818"/>
      <c r="K471" s="818"/>
      <c r="L471" s="818"/>
      <c r="M471" s="818"/>
      <c r="N471" s="818"/>
      <c r="O471" s="818"/>
      <c r="P471" s="818"/>
      <c r="Q471" s="818"/>
      <c r="R471" s="818"/>
      <c r="S471" s="818"/>
      <c r="T471" s="818"/>
      <c r="U471" s="818"/>
      <c r="V471" s="818"/>
      <c r="W471" s="818"/>
      <c r="X471" s="818"/>
      <c r="Y471" s="818"/>
      <c r="Z471" s="818"/>
      <c r="AA471" s="818"/>
      <c r="AB471" s="818"/>
      <c r="AC471" s="818"/>
      <c r="AD471" s="818"/>
      <c r="AE471" s="818"/>
      <c r="AF471" s="818"/>
      <c r="AG471" s="818"/>
    </row>
    <row r="472" spans="1:33" ht="12.75" thickTop="1" thickBot="1">
      <c r="A472" s="1009"/>
      <c r="B472" s="818"/>
      <c r="C472" s="1088" t="s">
        <v>699</v>
      </c>
      <c r="D472" s="818"/>
      <c r="E472" s="1088" t="s">
        <v>461</v>
      </c>
      <c r="F472" s="1089" t="s">
        <v>700</v>
      </c>
      <c r="G472" s="1090" t="s">
        <v>701</v>
      </c>
      <c r="H472" s="1091"/>
      <c r="I472" s="1092">
        <f>I$599</f>
        <v>37986</v>
      </c>
      <c r="J472" s="1093">
        <f t="shared" ref="J472:AF472" si="344">J$599</f>
        <v>38352</v>
      </c>
      <c r="K472" s="1093">
        <f t="shared" si="344"/>
        <v>38717</v>
      </c>
      <c r="L472" s="1093">
        <f t="shared" si="344"/>
        <v>39082</v>
      </c>
      <c r="M472" s="1093">
        <f t="shared" si="344"/>
        <v>39447</v>
      </c>
      <c r="N472" s="1093">
        <f t="shared" si="344"/>
        <v>39813</v>
      </c>
      <c r="O472" s="1093">
        <f t="shared" si="344"/>
        <v>40178</v>
      </c>
      <c r="P472" s="1093">
        <f t="shared" si="344"/>
        <v>40543</v>
      </c>
      <c r="Q472" s="1093">
        <f t="shared" si="344"/>
        <v>40908</v>
      </c>
      <c r="R472" s="1093">
        <f t="shared" si="344"/>
        <v>41274</v>
      </c>
      <c r="S472" s="1093">
        <f t="shared" si="344"/>
        <v>41639</v>
      </c>
      <c r="T472" s="1093">
        <f t="shared" si="344"/>
        <v>42004</v>
      </c>
      <c r="U472" s="1093">
        <f t="shared" si="344"/>
        <v>42369</v>
      </c>
      <c r="V472" s="1093">
        <f t="shared" si="344"/>
        <v>42735</v>
      </c>
      <c r="W472" s="1093">
        <f t="shared" si="344"/>
        <v>43100</v>
      </c>
      <c r="X472" s="1093">
        <f t="shared" si="344"/>
        <v>43465</v>
      </c>
      <c r="Y472" s="1093">
        <f t="shared" si="344"/>
        <v>43830</v>
      </c>
      <c r="Z472" s="1093">
        <f t="shared" si="344"/>
        <v>44196</v>
      </c>
      <c r="AA472" s="1093">
        <f t="shared" si="344"/>
        <v>44561</v>
      </c>
      <c r="AB472" s="1093">
        <f t="shared" si="344"/>
        <v>44926</v>
      </c>
      <c r="AC472" s="1093">
        <f t="shared" si="344"/>
        <v>45291</v>
      </c>
      <c r="AD472" s="1093">
        <f t="shared" si="344"/>
        <v>45657</v>
      </c>
      <c r="AE472" s="1093">
        <f t="shared" si="344"/>
        <v>46022</v>
      </c>
      <c r="AF472" s="1093">
        <f t="shared" si="344"/>
        <v>46387</v>
      </c>
      <c r="AG472" s="818"/>
    </row>
    <row r="473" spans="1:33" ht="12" thickTop="1">
      <c r="A473" s="1009" t="s">
        <v>702</v>
      </c>
      <c r="B473" s="818"/>
      <c r="C473" s="818"/>
      <c r="D473" s="818"/>
      <c r="E473" s="997">
        <v>0</v>
      </c>
      <c r="F473" s="531" t="s">
        <v>703</v>
      </c>
      <c r="G473" s="996"/>
      <c r="H473" s="531" t="s">
        <v>704</v>
      </c>
      <c r="I473" s="1094">
        <f>E473+E474</f>
        <v>0</v>
      </c>
      <c r="J473" s="818"/>
      <c r="K473" s="818"/>
      <c r="L473" s="818"/>
      <c r="M473" s="818"/>
      <c r="N473" s="818"/>
      <c r="O473" s="818"/>
      <c r="P473" s="818"/>
      <c r="Q473" s="818"/>
      <c r="R473" s="818"/>
      <c r="S473" s="818"/>
      <c r="T473" s="818"/>
      <c r="U473" s="818"/>
      <c r="V473" s="818"/>
      <c r="W473" s="818"/>
      <c r="X473" s="818"/>
      <c r="Y473" s="818"/>
      <c r="Z473" s="818"/>
      <c r="AA473" s="818"/>
      <c r="AB473" s="818"/>
      <c r="AC473" s="818"/>
      <c r="AD473" s="818"/>
      <c r="AE473" s="818"/>
      <c r="AF473" s="818"/>
      <c r="AG473" s="818"/>
    </row>
    <row r="474" spans="1:33">
      <c r="A474" s="1009" t="s">
        <v>705</v>
      </c>
      <c r="B474" s="818"/>
      <c r="C474" s="818"/>
      <c r="D474" s="818"/>
      <c r="E474" s="997">
        <v>0</v>
      </c>
      <c r="F474" s="531" t="s">
        <v>703</v>
      </c>
      <c r="G474" s="996"/>
      <c r="H474" s="531" t="s">
        <v>706</v>
      </c>
      <c r="I474" s="1094">
        <f ca="1">E479-I473</f>
        <v>6056.8534156644673</v>
      </c>
      <c r="J474" s="818"/>
      <c r="K474" s="818"/>
      <c r="L474" s="818"/>
      <c r="M474" s="818"/>
      <c r="N474" s="818"/>
      <c r="O474" s="818"/>
      <c r="P474" s="818"/>
      <c r="Q474" s="818"/>
      <c r="R474" s="818"/>
      <c r="S474" s="818"/>
      <c r="T474" s="818"/>
      <c r="U474" s="818"/>
      <c r="V474" s="818"/>
      <c r="W474" s="818"/>
      <c r="X474" s="818"/>
      <c r="Y474" s="818"/>
      <c r="Z474" s="818"/>
      <c r="AA474" s="818"/>
      <c r="AB474" s="818"/>
      <c r="AC474" s="818"/>
      <c r="AD474" s="818"/>
      <c r="AE474" s="818"/>
      <c r="AF474" s="818"/>
      <c r="AG474" s="818"/>
    </row>
    <row r="475" spans="1:33">
      <c r="A475" s="1009" t="s">
        <v>707</v>
      </c>
      <c r="B475" s="818"/>
      <c r="C475" s="818"/>
      <c r="D475" s="818"/>
      <c r="E475" s="818"/>
      <c r="F475" s="818"/>
      <c r="G475" s="996"/>
      <c r="H475" s="531" t="s">
        <v>708</v>
      </c>
      <c r="I475" s="818">
        <f>IF($C$442&gt;0,I473,0)</f>
        <v>0</v>
      </c>
      <c r="J475" s="818">
        <f>IF($C$442=0,I473,0)</f>
        <v>0</v>
      </c>
      <c r="K475" s="818"/>
      <c r="L475" s="818"/>
      <c r="M475" s="818"/>
      <c r="N475" s="818"/>
      <c r="O475" s="818"/>
      <c r="P475" s="818"/>
      <c r="Q475" s="818"/>
      <c r="R475" s="818"/>
      <c r="S475" s="818"/>
      <c r="T475" s="818"/>
      <c r="U475" s="818"/>
      <c r="V475" s="818"/>
      <c r="W475" s="818"/>
      <c r="X475" s="818"/>
      <c r="Y475" s="818"/>
      <c r="Z475" s="818"/>
      <c r="AA475" s="818"/>
      <c r="AB475" s="818"/>
      <c r="AC475" s="818"/>
      <c r="AD475" s="818"/>
      <c r="AE475" s="818"/>
      <c r="AF475" s="818"/>
      <c r="AG475" s="818"/>
    </row>
    <row r="476" spans="1:33">
      <c r="A476" s="1009" t="str">
        <f>"    "&amp;B451</f>
        <v xml:space="preserve">    Purchase Term Loan</v>
      </c>
      <c r="B476" s="818"/>
      <c r="C476" s="1095"/>
      <c r="D476" s="818"/>
      <c r="E476" s="818">
        <f ca="1">+Debt!H19</f>
        <v>6056.8534156644673</v>
      </c>
      <c r="F476" s="1096">
        <v>10</v>
      </c>
      <c r="G476" s="818"/>
      <c r="H476" s="818"/>
      <c r="I476" s="818">
        <f ca="1">$E476/$F476*$C$442</f>
        <v>302.84267078322335</v>
      </c>
      <c r="J476" s="818">
        <f t="shared" ref="J476:R476" ca="1" si="345">$E476/$F476</f>
        <v>605.68534156644671</v>
      </c>
      <c r="K476" s="818">
        <f t="shared" ca="1" si="345"/>
        <v>605.68534156644671</v>
      </c>
      <c r="L476" s="818">
        <f t="shared" ca="1" si="345"/>
        <v>605.68534156644671</v>
      </c>
      <c r="M476" s="818">
        <f t="shared" ca="1" si="345"/>
        <v>605.68534156644671</v>
      </c>
      <c r="N476" s="818">
        <f t="shared" ca="1" si="345"/>
        <v>605.68534156644671</v>
      </c>
      <c r="O476" s="818">
        <f t="shared" ca="1" si="345"/>
        <v>605.68534156644671</v>
      </c>
      <c r="P476" s="818">
        <f t="shared" ca="1" si="345"/>
        <v>605.68534156644671</v>
      </c>
      <c r="Q476" s="818">
        <f t="shared" ca="1" si="345"/>
        <v>605.68534156644671</v>
      </c>
      <c r="R476" s="818">
        <f t="shared" ca="1" si="345"/>
        <v>605.68534156644671</v>
      </c>
      <c r="S476" s="818">
        <f ca="1">$E476/$F476*C439</f>
        <v>302.84267078322335</v>
      </c>
      <c r="T476" s="818"/>
      <c r="U476" s="818"/>
      <c r="V476" s="818"/>
      <c r="W476" s="818"/>
      <c r="X476" s="818"/>
      <c r="Y476" s="818"/>
      <c r="Z476" s="818"/>
      <c r="AA476" s="818"/>
      <c r="AB476" s="818"/>
      <c r="AC476" s="818"/>
      <c r="AD476" s="818"/>
      <c r="AE476" s="818"/>
      <c r="AF476" s="818"/>
      <c r="AG476" s="818"/>
    </row>
    <row r="477" spans="1:33">
      <c r="A477" s="1009" t="str">
        <f>"    "&amp;B452</f>
        <v xml:space="preserve">    Scrubber Term Loan</v>
      </c>
      <c r="B477" s="818"/>
      <c r="C477" s="1095">
        <v>0.02</v>
      </c>
      <c r="D477" s="818"/>
      <c r="E477" s="1097">
        <v>0</v>
      </c>
      <c r="F477" s="1096">
        <v>10</v>
      </c>
      <c r="G477" s="818"/>
      <c r="H477" s="818"/>
      <c r="I477" s="1098">
        <v>0</v>
      </c>
      <c r="J477" s="1098">
        <v>0</v>
      </c>
      <c r="K477" s="818">
        <f>+Debt!$Q$19/Template!$F$477</f>
        <v>0</v>
      </c>
      <c r="L477" s="818">
        <f>+Debt!$Q$19/Template!$F$477</f>
        <v>0</v>
      </c>
      <c r="M477" s="818">
        <f>+Debt!$Q$19/Template!$F$477</f>
        <v>0</v>
      </c>
      <c r="N477" s="818">
        <f>+Debt!$Q$19/Template!$F$477</f>
        <v>0</v>
      </c>
      <c r="O477" s="818">
        <f>+Debt!$Q$19/Template!$F$477</f>
        <v>0</v>
      </c>
      <c r="P477" s="818">
        <f>+Debt!$Q$19/Template!$F$477</f>
        <v>0</v>
      </c>
      <c r="Q477" s="818">
        <f>+Debt!$Q$19/Template!$F$477</f>
        <v>0</v>
      </c>
      <c r="R477" s="818">
        <f>+Debt!$Q$19/Template!$F$477</f>
        <v>0</v>
      </c>
      <c r="S477" s="818">
        <f>+Debt!$Q$19/Template!$F$477</f>
        <v>0</v>
      </c>
      <c r="T477" s="818">
        <f>+Debt!$Q$19/Template!$F$477</f>
        <v>0</v>
      </c>
      <c r="U477" s="818"/>
      <c r="V477" s="818"/>
      <c r="W477" s="818"/>
      <c r="X477" s="818"/>
      <c r="Y477" s="818"/>
      <c r="Z477" s="818"/>
      <c r="AA477" s="818"/>
      <c r="AB477" s="818"/>
      <c r="AC477" s="818"/>
      <c r="AD477" s="818"/>
      <c r="AE477" s="818"/>
      <c r="AF477" s="818"/>
      <c r="AG477" s="818"/>
    </row>
    <row r="478" spans="1:33">
      <c r="A478" s="1009" t="str">
        <f>"    "&amp;B453</f>
        <v xml:space="preserve">    Common Stock</v>
      </c>
      <c r="B478" s="818"/>
      <c r="C478" s="1095">
        <v>0</v>
      </c>
      <c r="D478" s="818"/>
      <c r="E478" s="818">
        <f ca="1">C478*SUM(H453:S453)</f>
        <v>0</v>
      </c>
      <c r="F478" s="531" t="s">
        <v>703</v>
      </c>
      <c r="G478" s="818"/>
      <c r="H478" s="818"/>
      <c r="I478" s="818"/>
      <c r="J478" s="818"/>
      <c r="K478" s="818"/>
      <c r="L478" s="818"/>
      <c r="M478" s="818"/>
      <c r="N478" s="818"/>
      <c r="O478" s="818"/>
      <c r="P478" s="818"/>
      <c r="Q478" s="818"/>
      <c r="R478" s="818"/>
      <c r="S478" s="818"/>
      <c r="T478" s="818"/>
      <c r="U478" s="818"/>
      <c r="V478" s="818"/>
      <c r="W478" s="818"/>
      <c r="X478" s="818"/>
      <c r="Y478" s="818"/>
      <c r="Z478" s="818"/>
      <c r="AA478" s="818"/>
      <c r="AB478" s="818"/>
      <c r="AC478" s="818"/>
      <c r="AD478" s="818"/>
      <c r="AE478" s="818"/>
      <c r="AF478" s="818"/>
      <c r="AG478" s="818"/>
    </row>
    <row r="479" spans="1:33" ht="12" thickBot="1">
      <c r="A479" s="1009" t="s">
        <v>709</v>
      </c>
      <c r="B479" s="818"/>
      <c r="C479" s="1009" t="s">
        <v>73</v>
      </c>
      <c r="D479" s="818"/>
      <c r="E479" s="1037">
        <f ca="1">SUM(E473:E478)</f>
        <v>6056.8534156644673</v>
      </c>
      <c r="F479" s="818"/>
      <c r="G479" s="1009" t="s">
        <v>595</v>
      </c>
      <c r="H479" s="818"/>
      <c r="I479" s="1037">
        <f t="shared" ref="I479:W479" ca="1" si="346">SUM(I475:I478)</f>
        <v>302.84267078322335</v>
      </c>
      <c r="J479" s="1037">
        <f t="shared" ca="1" si="346"/>
        <v>605.68534156644671</v>
      </c>
      <c r="K479" s="1037">
        <f t="shared" ca="1" si="346"/>
        <v>605.68534156644671</v>
      </c>
      <c r="L479" s="1037">
        <f t="shared" ca="1" si="346"/>
        <v>605.68534156644671</v>
      </c>
      <c r="M479" s="1037">
        <f t="shared" ca="1" si="346"/>
        <v>605.68534156644671</v>
      </c>
      <c r="N479" s="1037">
        <f t="shared" ca="1" si="346"/>
        <v>605.68534156644671</v>
      </c>
      <c r="O479" s="1037">
        <f t="shared" ca="1" si="346"/>
        <v>605.68534156644671</v>
      </c>
      <c r="P479" s="1037">
        <f t="shared" ca="1" si="346"/>
        <v>605.68534156644671</v>
      </c>
      <c r="Q479" s="1037">
        <f t="shared" ca="1" si="346"/>
        <v>605.68534156644671</v>
      </c>
      <c r="R479" s="1037">
        <f t="shared" ca="1" si="346"/>
        <v>605.68534156644671</v>
      </c>
      <c r="S479" s="1037">
        <f t="shared" ca="1" si="346"/>
        <v>302.84267078322335</v>
      </c>
      <c r="T479" s="1037">
        <f t="shared" si="346"/>
        <v>0</v>
      </c>
      <c r="U479" s="1037">
        <f t="shared" si="346"/>
        <v>0</v>
      </c>
      <c r="V479" s="1037">
        <f t="shared" si="346"/>
        <v>0</v>
      </c>
      <c r="W479" s="1037">
        <f t="shared" si="346"/>
        <v>0</v>
      </c>
      <c r="X479" s="818"/>
      <c r="Y479" s="818"/>
      <c r="Z479" s="818"/>
      <c r="AA479" s="818"/>
      <c r="AB479" s="818"/>
      <c r="AC479" s="818"/>
      <c r="AD479" s="818"/>
      <c r="AE479" s="818"/>
      <c r="AF479" s="818"/>
      <c r="AG479" s="818"/>
    </row>
    <row r="480" spans="1:33" ht="12" thickTop="1">
      <c r="A480" s="1009"/>
      <c r="B480" s="818"/>
      <c r="C480" s="1009"/>
      <c r="D480" s="818"/>
      <c r="E480" s="741"/>
      <c r="F480" s="818"/>
      <c r="G480" s="1009"/>
      <c r="H480" s="818"/>
      <c r="I480" s="741"/>
      <c r="J480" s="741"/>
      <c r="K480" s="741"/>
      <c r="L480" s="741"/>
      <c r="M480" s="741"/>
      <c r="N480" s="741"/>
      <c r="O480" s="741"/>
      <c r="P480" s="741"/>
      <c r="Q480" s="741"/>
      <c r="R480" s="741"/>
      <c r="S480" s="741"/>
      <c r="T480" s="818"/>
      <c r="U480" s="818"/>
      <c r="V480" s="818"/>
      <c r="W480" s="818"/>
      <c r="X480" s="818"/>
      <c r="Y480" s="818"/>
      <c r="Z480" s="818"/>
      <c r="AA480" s="818"/>
      <c r="AB480" s="818"/>
      <c r="AC480" s="818"/>
      <c r="AD480" s="818"/>
      <c r="AE480" s="818"/>
      <c r="AF480" s="818"/>
      <c r="AG480" s="818"/>
    </row>
    <row r="481" spans="1:33" ht="12" thickBot="1">
      <c r="A481" s="1009"/>
      <c r="B481" s="818"/>
      <c r="C481" s="1009"/>
      <c r="D481" s="818"/>
      <c r="E481" s="741"/>
      <c r="F481" s="818"/>
      <c r="G481" s="1009"/>
      <c r="H481" s="818"/>
      <c r="I481" s="741"/>
      <c r="J481" s="741"/>
      <c r="K481" s="741"/>
      <c r="L481" s="741"/>
      <c r="M481" s="741"/>
      <c r="N481" s="741"/>
      <c r="O481" s="741"/>
      <c r="P481" s="741"/>
      <c r="Q481" s="741"/>
      <c r="R481" s="741"/>
      <c r="S481" s="741"/>
      <c r="T481" s="741"/>
      <c r="U481" s="741"/>
      <c r="V481" s="741"/>
      <c r="W481" s="741"/>
      <c r="X481" s="741"/>
      <c r="Y481" s="741"/>
      <c r="Z481" s="741"/>
      <c r="AA481" s="741"/>
      <c r="AB481" s="741"/>
      <c r="AC481" s="741"/>
      <c r="AD481" s="741"/>
      <c r="AE481" s="741"/>
      <c r="AF481" s="741"/>
      <c r="AG481" s="818"/>
    </row>
    <row r="482" spans="1:33" ht="12" thickTop="1">
      <c r="A482" s="1059"/>
      <c r="B482" s="985"/>
      <c r="C482" s="1059"/>
      <c r="D482" s="985"/>
      <c r="E482" s="985"/>
      <c r="F482" s="985"/>
      <c r="G482" s="1059"/>
      <c r="H482" s="985"/>
      <c r="I482" s="985"/>
      <c r="J482" s="985"/>
      <c r="K482" s="985"/>
      <c r="L482" s="985"/>
      <c r="M482" s="985"/>
      <c r="N482" s="985"/>
      <c r="O482" s="985"/>
      <c r="P482" s="985"/>
      <c r="Q482" s="985"/>
      <c r="R482" s="985"/>
      <c r="S482" s="985"/>
      <c r="T482" s="985"/>
      <c r="U482" s="985"/>
      <c r="V482" s="985"/>
      <c r="W482" s="985"/>
      <c r="X482" s="985"/>
      <c r="Y482" s="985"/>
      <c r="Z482" s="985"/>
      <c r="AA482" s="985"/>
      <c r="AB482" s="985"/>
      <c r="AC482" s="985"/>
      <c r="AD482" s="985"/>
      <c r="AE482" s="985"/>
      <c r="AF482" s="985"/>
      <c r="AG482" s="818"/>
    </row>
    <row r="483" spans="1:33" ht="12" thickBot="1">
      <c r="A483" s="917" t="s">
        <v>710</v>
      </c>
      <c r="B483" s="818"/>
      <c r="C483" s="818"/>
      <c r="D483" s="818"/>
      <c r="E483" s="818"/>
      <c r="F483" s="818"/>
      <c r="G483" s="818"/>
      <c r="H483" s="818"/>
      <c r="I483" s="818"/>
      <c r="J483" s="818"/>
      <c r="K483" s="818"/>
      <c r="L483" s="818"/>
      <c r="M483" s="818"/>
      <c r="N483" s="818"/>
      <c r="O483" s="818"/>
      <c r="P483" s="818"/>
      <c r="Q483" s="818"/>
      <c r="R483" s="818"/>
      <c r="S483" s="818"/>
      <c r="T483" s="818"/>
      <c r="U483" s="818"/>
      <c r="V483" s="818"/>
      <c r="W483" s="818"/>
      <c r="X483" s="818"/>
      <c r="Y483" s="818"/>
      <c r="Z483" s="818"/>
      <c r="AA483" s="818"/>
      <c r="AB483" s="818"/>
      <c r="AC483" s="818"/>
      <c r="AD483" s="818"/>
      <c r="AE483" s="818"/>
      <c r="AF483" s="818"/>
      <c r="AG483" s="818"/>
    </row>
    <row r="484" spans="1:33" ht="12.75" thickTop="1" thickBot="1">
      <c r="A484" s="1016" t="s">
        <v>711</v>
      </c>
      <c r="B484" s="818"/>
      <c r="C484" s="818"/>
      <c r="D484" s="818"/>
      <c r="E484" s="1099">
        <f>E599</f>
        <v>36891</v>
      </c>
      <c r="F484" s="1099">
        <f>E484+1</f>
        <v>36892</v>
      </c>
      <c r="G484" s="1099">
        <f>F484+1</f>
        <v>36893</v>
      </c>
      <c r="H484" s="818"/>
      <c r="I484" s="1100">
        <f>C437</f>
        <v>37802</v>
      </c>
      <c r="J484" s="818"/>
      <c r="K484" s="1101" t="s">
        <v>712</v>
      </c>
      <c r="L484" s="1101" t="s">
        <v>713</v>
      </c>
      <c r="M484" s="818"/>
      <c r="N484" s="1100">
        <f>I484</f>
        <v>37802</v>
      </c>
      <c r="O484" s="818"/>
      <c r="P484" s="1102" t="s">
        <v>714</v>
      </c>
      <c r="Q484" s="1103"/>
      <c r="R484" s="665"/>
      <c r="S484" s="818"/>
      <c r="T484" s="818"/>
      <c r="U484" s="818"/>
      <c r="V484" s="818"/>
      <c r="W484" s="818"/>
      <c r="X484" s="818"/>
      <c r="Y484" s="818"/>
      <c r="Z484" s="818"/>
      <c r="AA484" s="818"/>
      <c r="AB484" s="818"/>
      <c r="AC484" s="818"/>
      <c r="AD484" s="818"/>
      <c r="AE484" s="818"/>
      <c r="AF484" s="818"/>
      <c r="AG484" s="818"/>
    </row>
    <row r="485" spans="1:33" ht="12.75" thickTop="1" thickBot="1">
      <c r="A485" s="1009" t="s">
        <v>715</v>
      </c>
      <c r="B485" s="818"/>
      <c r="C485" s="818"/>
      <c r="D485" s="818"/>
      <c r="E485" s="1010">
        <v>0</v>
      </c>
      <c r="F485" s="1010">
        <v>0</v>
      </c>
      <c r="G485" s="1010">
        <v>0</v>
      </c>
      <c r="H485" s="818"/>
      <c r="I485" s="1104">
        <v>0</v>
      </c>
      <c r="J485" s="1011"/>
      <c r="K485" s="1011">
        <f ca="1">+Debt!F69</f>
        <v>17675.182272316943</v>
      </c>
      <c r="L485" s="1011">
        <f>H454</f>
        <v>0</v>
      </c>
      <c r="M485" s="1011"/>
      <c r="N485" s="1011">
        <f ca="1">I485+K485-L485</f>
        <v>17675.182272316943</v>
      </c>
      <c r="O485" s="1011"/>
      <c r="P485" s="1105" t="str">
        <f>"at "&amp;TEXT(N484,"mm/dd/yy")&amp;":*"</f>
        <v>at 06/30/03:*</v>
      </c>
      <c r="Q485" s="1106"/>
      <c r="R485" s="665"/>
      <c r="S485" s="818"/>
      <c r="T485" s="818"/>
      <c r="U485" s="818"/>
      <c r="V485" s="818"/>
      <c r="W485" s="818"/>
      <c r="X485" s="818"/>
      <c r="Y485" s="818"/>
      <c r="Z485" s="818"/>
      <c r="AA485" s="818"/>
      <c r="AB485" s="818"/>
      <c r="AC485" s="818"/>
      <c r="AD485" s="818"/>
      <c r="AE485" s="818"/>
      <c r="AF485" s="818"/>
      <c r="AG485" s="818"/>
    </row>
    <row r="486" spans="1:33" ht="12" thickTop="1">
      <c r="A486" s="1009" t="s">
        <v>716</v>
      </c>
      <c r="B486" s="818"/>
      <c r="C486" s="818"/>
      <c r="D486" s="818"/>
      <c r="E486" s="1010">
        <v>0</v>
      </c>
      <c r="F486" s="1010">
        <v>0</v>
      </c>
      <c r="G486" s="1010">
        <v>0</v>
      </c>
      <c r="H486" s="818"/>
      <c r="I486" s="1010">
        <v>0</v>
      </c>
      <c r="J486" s="1011"/>
      <c r="K486" s="1010">
        <f ca="1">+Debt!F70</f>
        <v>17675.182272316943</v>
      </c>
      <c r="L486" s="1010"/>
      <c r="M486" s="1011"/>
      <c r="N486" s="1011">
        <f ca="1">I486+K486-L486</f>
        <v>17675.182272316943</v>
      </c>
      <c r="O486" s="1011"/>
      <c r="P486" s="1107">
        <v>0</v>
      </c>
      <c r="Q486" s="1108"/>
      <c r="R486" s="665"/>
      <c r="S486" s="818"/>
      <c r="T486" s="818"/>
      <c r="U486" s="818"/>
      <c r="V486" s="818"/>
      <c r="W486" s="818"/>
      <c r="X486" s="818"/>
      <c r="Y486" s="818"/>
      <c r="Z486" s="818"/>
      <c r="AA486" s="818"/>
      <c r="AB486" s="818"/>
      <c r="AC486" s="818"/>
      <c r="AD486" s="818"/>
      <c r="AE486" s="818"/>
      <c r="AF486" s="818"/>
      <c r="AG486" s="818"/>
    </row>
    <row r="487" spans="1:33">
      <c r="A487" s="1009" t="s">
        <v>717</v>
      </c>
      <c r="B487" s="818"/>
      <c r="C487" s="818"/>
      <c r="D487" s="818"/>
      <c r="E487" s="1010">
        <v>0</v>
      </c>
      <c r="F487" s="1010">
        <v>0</v>
      </c>
      <c r="G487" s="1010">
        <v>0</v>
      </c>
      <c r="H487" s="818"/>
      <c r="I487" s="1010">
        <v>0</v>
      </c>
      <c r="J487" s="1011"/>
      <c r="K487" s="1010">
        <f>+Debt!F71</f>
        <v>0</v>
      </c>
      <c r="L487" s="1010"/>
      <c r="M487" s="1011"/>
      <c r="N487" s="1011">
        <f>I487+K487-L487</f>
        <v>0</v>
      </c>
      <c r="O487" s="1011"/>
      <c r="P487" s="818"/>
      <c r="Q487" s="1011"/>
      <c r="R487" s="1011"/>
      <c r="S487" s="818"/>
      <c r="T487" s="818"/>
      <c r="U487" s="818"/>
      <c r="V487" s="818"/>
      <c r="W487" s="818"/>
      <c r="X487" s="818"/>
      <c r="Y487" s="818"/>
      <c r="Z487" s="818"/>
      <c r="AA487" s="818"/>
      <c r="AB487" s="818"/>
      <c r="AC487" s="818"/>
      <c r="AD487" s="818"/>
      <c r="AE487" s="818"/>
      <c r="AF487" s="818"/>
      <c r="AG487" s="818"/>
    </row>
    <row r="488" spans="1:33">
      <c r="A488" s="1009" t="s">
        <v>718</v>
      </c>
      <c r="B488" s="818"/>
      <c r="C488" s="818"/>
      <c r="D488" s="818"/>
      <c r="E488" s="1010">
        <v>0</v>
      </c>
      <c r="F488" s="1010">
        <v>0</v>
      </c>
      <c r="G488" s="1010">
        <v>0</v>
      </c>
      <c r="H488" s="818"/>
      <c r="I488" s="1010">
        <v>0</v>
      </c>
      <c r="J488" s="1011"/>
      <c r="K488" s="1010">
        <v>0</v>
      </c>
      <c r="L488" s="1010"/>
      <c r="M488" s="1011"/>
      <c r="N488" s="1011">
        <f>I488+K488-L488</f>
        <v>0</v>
      </c>
      <c r="O488" s="1011"/>
      <c r="P488" s="818"/>
      <c r="Q488" s="1011"/>
      <c r="R488" s="1011"/>
      <c r="S488" s="818"/>
      <c r="T488" s="818"/>
      <c r="U488" s="818"/>
      <c r="V488" s="818"/>
      <c r="W488" s="818"/>
      <c r="X488" s="818"/>
      <c r="Y488" s="818"/>
      <c r="Z488" s="818"/>
      <c r="AA488" s="818"/>
      <c r="AB488" s="818"/>
      <c r="AC488" s="818"/>
      <c r="AD488" s="818"/>
      <c r="AE488" s="818"/>
      <c r="AF488" s="818"/>
      <c r="AG488" s="818"/>
    </row>
    <row r="489" spans="1:33">
      <c r="A489" s="1016" t="s">
        <v>719</v>
      </c>
      <c r="B489" s="818"/>
      <c r="C489" s="818"/>
      <c r="D489" s="818"/>
      <c r="E489" s="1020">
        <f>SUM(E485:E488)</f>
        <v>0</v>
      </c>
      <c r="F489" s="1020">
        <f>SUM(F485:F488)</f>
        <v>0</v>
      </c>
      <c r="G489" s="1020">
        <f>SUM(G485:G488)</f>
        <v>0</v>
      </c>
      <c r="H489" s="818"/>
      <c r="I489" s="1020">
        <f>SUM(I485:I488)</f>
        <v>0</v>
      </c>
      <c r="J489" s="1011"/>
      <c r="K489" s="1020">
        <f ca="1">SUM(K485:K488)</f>
        <v>35350.364544633885</v>
      </c>
      <c r="L489" s="1020">
        <f>SUM(L485:L488)</f>
        <v>0</v>
      </c>
      <c r="M489" s="1011"/>
      <c r="N489" s="1020">
        <f ca="1">SUM(N485:N488)</f>
        <v>35350.364544633885</v>
      </c>
      <c r="O489" s="1011"/>
      <c r="P489" s="818"/>
      <c r="Q489" s="1011"/>
      <c r="R489" s="1011"/>
      <c r="S489" s="818"/>
      <c r="T489" s="818"/>
      <c r="U489" s="818"/>
      <c r="V489" s="818"/>
      <c r="W489" s="818"/>
      <c r="X489" s="818"/>
      <c r="Y489" s="818"/>
      <c r="Z489" s="818"/>
      <c r="AA489" s="818"/>
      <c r="AB489" s="818"/>
      <c r="AC489" s="818"/>
      <c r="AD489" s="818"/>
      <c r="AE489" s="818"/>
      <c r="AF489" s="818"/>
      <c r="AG489" s="818"/>
    </row>
    <row r="490" spans="1:33">
      <c r="A490" s="818"/>
      <c r="B490" s="818"/>
      <c r="C490" s="818"/>
      <c r="D490" s="818"/>
      <c r="E490" s="1010"/>
      <c r="F490" s="1010"/>
      <c r="G490" s="1010"/>
      <c r="H490" s="818"/>
      <c r="I490" s="1010"/>
      <c r="J490" s="1011"/>
      <c r="K490" s="1011"/>
      <c r="L490" s="1011"/>
      <c r="M490" s="1011"/>
      <c r="N490" s="1011"/>
      <c r="O490" s="1011"/>
      <c r="P490" s="818"/>
      <c r="Q490" s="1011"/>
      <c r="R490" s="1011"/>
      <c r="S490" s="818"/>
      <c r="T490" s="818"/>
      <c r="U490" s="818"/>
      <c r="V490" s="818"/>
      <c r="W490" s="818"/>
      <c r="X490" s="818"/>
      <c r="Y490" s="818"/>
      <c r="Z490" s="818"/>
      <c r="AA490" s="818"/>
      <c r="AB490" s="818"/>
      <c r="AC490" s="818"/>
      <c r="AD490" s="818"/>
      <c r="AE490" s="818"/>
      <c r="AF490" s="818"/>
      <c r="AG490" s="818"/>
    </row>
    <row r="491" spans="1:33">
      <c r="A491" s="1009" t="s">
        <v>720</v>
      </c>
      <c r="B491" s="818"/>
      <c r="C491" s="818"/>
      <c r="D491" s="818"/>
      <c r="E491" s="1010">
        <v>0</v>
      </c>
      <c r="F491" s="1010">
        <v>0</v>
      </c>
      <c r="G491" s="1010">
        <v>0</v>
      </c>
      <c r="H491" s="818"/>
      <c r="I491" s="1010">
        <v>0</v>
      </c>
      <c r="J491" s="1011"/>
      <c r="K491" s="1109">
        <f ca="1">H458</f>
        <v>48563.258028614982</v>
      </c>
      <c r="L491" s="1010"/>
      <c r="M491" s="1011"/>
      <c r="N491" s="1011">
        <f ca="1">I491+K491-L491</f>
        <v>48563.258028614982</v>
      </c>
      <c r="O491" s="1011"/>
      <c r="P491" s="1011"/>
      <c r="Q491" s="1011"/>
      <c r="R491" s="1011"/>
      <c r="S491" s="818"/>
      <c r="T491" s="818"/>
      <c r="U491" s="818"/>
      <c r="V491" s="818"/>
      <c r="W491" s="818"/>
      <c r="X491" s="818"/>
      <c r="Y491" s="818"/>
      <c r="Z491" s="818"/>
      <c r="AA491" s="818"/>
      <c r="AB491" s="818"/>
      <c r="AC491" s="818"/>
      <c r="AD491" s="818"/>
      <c r="AE491" s="818"/>
      <c r="AF491" s="818"/>
      <c r="AG491" s="818"/>
    </row>
    <row r="492" spans="1:33">
      <c r="A492" s="1009" t="s">
        <v>692</v>
      </c>
      <c r="B492" s="818"/>
      <c r="C492" s="818"/>
      <c r="D492" s="818"/>
      <c r="E492" s="1010">
        <v>0</v>
      </c>
      <c r="F492" s="1010">
        <v>0</v>
      </c>
      <c r="G492" s="1010">
        <v>0</v>
      </c>
      <c r="H492" s="818"/>
      <c r="I492" s="1068">
        <f>G492</f>
        <v>0</v>
      </c>
      <c r="J492" s="1011"/>
      <c r="K492" s="1110">
        <f ca="1">E479</f>
        <v>6056.8534156644673</v>
      </c>
      <c r="L492" s="1010"/>
      <c r="M492" s="1011"/>
      <c r="N492" s="1011">
        <f ca="1">I492+K492-L492</f>
        <v>6056.8534156644673</v>
      </c>
      <c r="O492" s="1011"/>
      <c r="P492" s="1011"/>
      <c r="Q492" s="1011"/>
      <c r="R492" s="1011"/>
      <c r="S492" s="818"/>
      <c r="T492" s="818"/>
      <c r="U492" s="818"/>
      <c r="V492" s="818"/>
      <c r="W492" s="818"/>
      <c r="X492" s="818"/>
      <c r="Y492" s="818"/>
      <c r="Z492" s="818"/>
      <c r="AA492" s="818"/>
      <c r="AB492" s="818"/>
      <c r="AC492" s="818"/>
      <c r="AD492" s="818"/>
      <c r="AE492" s="818"/>
      <c r="AF492" s="818"/>
      <c r="AG492" s="818"/>
    </row>
    <row r="493" spans="1:33">
      <c r="A493" s="818"/>
      <c r="B493" s="818"/>
      <c r="C493" s="818"/>
      <c r="D493" s="818"/>
      <c r="E493" s="1010"/>
      <c r="F493" s="1010"/>
      <c r="G493" s="1010"/>
      <c r="H493" s="818"/>
      <c r="I493" s="1010"/>
      <c r="J493" s="1011"/>
      <c r="K493" s="1109"/>
      <c r="L493" s="1010"/>
      <c r="M493" s="1011"/>
      <c r="N493" s="1011"/>
      <c r="O493" s="1011"/>
      <c r="P493" s="1011"/>
      <c r="Q493" s="1011"/>
      <c r="R493" s="1011"/>
      <c r="S493" s="818"/>
      <c r="T493" s="818"/>
      <c r="U493" s="818"/>
      <c r="V493" s="818"/>
      <c r="W493" s="818"/>
      <c r="X493" s="818"/>
      <c r="Y493" s="818"/>
      <c r="Z493" s="818"/>
      <c r="AA493" s="818"/>
      <c r="AB493" s="818"/>
      <c r="AC493" s="818"/>
      <c r="AD493" s="818"/>
      <c r="AE493" s="818"/>
      <c r="AF493" s="818"/>
      <c r="AG493" s="818"/>
    </row>
    <row r="494" spans="1:33">
      <c r="A494" s="1009" t="s">
        <v>721</v>
      </c>
      <c r="B494" s="818"/>
      <c r="C494" s="818"/>
      <c r="D494" s="818"/>
      <c r="E494" s="1010">
        <v>0</v>
      </c>
      <c r="F494" s="1010">
        <v>0</v>
      </c>
      <c r="G494" s="1010">
        <v>0</v>
      </c>
      <c r="H494" s="818"/>
      <c r="I494" s="1010">
        <v>0</v>
      </c>
      <c r="J494" s="1011"/>
      <c r="K494" s="1109">
        <f ca="1">H459</f>
        <v>479637.11633199977</v>
      </c>
      <c r="L494" s="1010"/>
      <c r="M494" s="1011"/>
      <c r="N494" s="1011">
        <f ca="1">I494+K494-L494</f>
        <v>479637.11633199977</v>
      </c>
      <c r="O494" s="1011"/>
      <c r="P494" s="1011"/>
      <c r="Q494" s="1011"/>
      <c r="R494" s="1011"/>
      <c r="S494" s="818"/>
      <c r="T494" s="818"/>
      <c r="U494" s="818"/>
      <c r="V494" s="818"/>
      <c r="W494" s="818"/>
      <c r="X494" s="818"/>
      <c r="Y494" s="818"/>
      <c r="Z494" s="818"/>
      <c r="AA494" s="818"/>
      <c r="AB494" s="818"/>
      <c r="AC494" s="818"/>
      <c r="AD494" s="818"/>
      <c r="AE494" s="818"/>
      <c r="AF494" s="818"/>
      <c r="AG494" s="818"/>
    </row>
    <row r="495" spans="1:33">
      <c r="A495" s="1009" t="s">
        <v>722</v>
      </c>
      <c r="B495" s="818"/>
      <c r="C495" s="818"/>
      <c r="D495" s="818"/>
      <c r="E495" s="1010">
        <v>0</v>
      </c>
      <c r="F495" s="1010">
        <v>0</v>
      </c>
      <c r="G495" s="1010">
        <v>0</v>
      </c>
      <c r="H495" s="818"/>
      <c r="I495" s="1010">
        <v>0</v>
      </c>
      <c r="J495" s="1011"/>
      <c r="K495" s="1010"/>
      <c r="L495" s="1010"/>
      <c r="M495" s="1011"/>
      <c r="N495" s="1011">
        <f>I495+K495-L495</f>
        <v>0</v>
      </c>
      <c r="O495" s="1011"/>
      <c r="P495" s="1011"/>
      <c r="Q495" s="1011"/>
      <c r="R495" s="1011"/>
      <c r="S495" s="818"/>
      <c r="T495" s="818"/>
      <c r="U495" s="818"/>
      <c r="V495" s="818"/>
      <c r="W495" s="818"/>
      <c r="X495" s="818"/>
      <c r="Y495" s="818"/>
      <c r="Z495" s="818"/>
      <c r="AA495" s="818"/>
      <c r="AB495" s="818"/>
      <c r="AC495" s="818"/>
      <c r="AD495" s="818"/>
      <c r="AE495" s="818"/>
      <c r="AF495" s="818"/>
      <c r="AG495" s="818"/>
    </row>
    <row r="496" spans="1:33">
      <c r="A496" s="1016" t="s">
        <v>723</v>
      </c>
      <c r="B496" s="818"/>
      <c r="C496" s="818"/>
      <c r="D496" s="818"/>
      <c r="E496" s="1020">
        <f>E494+E495</f>
        <v>0</v>
      </c>
      <c r="F496" s="1020">
        <f>F494+F495</f>
        <v>0</v>
      </c>
      <c r="G496" s="1020">
        <f>G494+G495</f>
        <v>0</v>
      </c>
      <c r="H496" s="818"/>
      <c r="I496" s="1020">
        <f>I494+I495</f>
        <v>0</v>
      </c>
      <c r="J496" s="1011"/>
      <c r="K496" s="1020">
        <f ca="1">K494+K495</f>
        <v>479637.11633199977</v>
      </c>
      <c r="L496" s="1011"/>
      <c r="M496" s="1011"/>
      <c r="N496" s="1020">
        <f ca="1">N494+N495</f>
        <v>479637.11633199977</v>
      </c>
      <c r="O496" s="1011"/>
      <c r="P496" s="1011"/>
      <c r="Q496" s="1011"/>
      <c r="R496" s="1011"/>
      <c r="S496" s="818"/>
      <c r="T496" s="818"/>
      <c r="U496" s="818"/>
      <c r="V496" s="818"/>
      <c r="W496" s="818"/>
      <c r="X496" s="818"/>
      <c r="Y496" s="818"/>
      <c r="Z496" s="818"/>
      <c r="AA496" s="818"/>
      <c r="AB496" s="818"/>
      <c r="AC496" s="818"/>
      <c r="AD496" s="818"/>
      <c r="AE496" s="818"/>
      <c r="AF496" s="818"/>
      <c r="AG496" s="818"/>
    </row>
    <row r="497" spans="1:33">
      <c r="A497" s="818"/>
      <c r="B497" s="818"/>
      <c r="C497" s="818"/>
      <c r="D497" s="818"/>
      <c r="E497" s="1011"/>
      <c r="F497" s="1011"/>
      <c r="G497" s="1011"/>
      <c r="H497" s="818"/>
      <c r="I497" s="1011"/>
      <c r="J497" s="1011"/>
      <c r="K497" s="1011"/>
      <c r="L497" s="1011"/>
      <c r="M497" s="1011"/>
      <c r="N497" s="1011"/>
      <c r="O497" s="1011"/>
      <c r="P497" s="1011"/>
      <c r="Q497" s="1011"/>
      <c r="R497" s="1011"/>
      <c r="S497" s="818"/>
      <c r="T497" s="818"/>
      <c r="U497" s="818"/>
      <c r="V497" s="818"/>
      <c r="W497" s="818"/>
      <c r="X497" s="818"/>
      <c r="Y497" s="818"/>
      <c r="Z497" s="818"/>
      <c r="AA497" s="818"/>
      <c r="AB497" s="818"/>
      <c r="AC497" s="818"/>
      <c r="AD497" s="818"/>
      <c r="AE497" s="818"/>
      <c r="AF497" s="818"/>
      <c r="AG497" s="818"/>
    </row>
    <row r="498" spans="1:33">
      <c r="A498" s="1009" t="s">
        <v>550</v>
      </c>
      <c r="B498" s="818"/>
      <c r="C498" s="818"/>
      <c r="D498" s="818"/>
      <c r="E498" s="1010">
        <v>0</v>
      </c>
      <c r="F498" s="1010">
        <v>0</v>
      </c>
      <c r="G498" s="1010">
        <v>0</v>
      </c>
      <c r="H498" s="818"/>
      <c r="I498" s="1010">
        <v>0</v>
      </c>
      <c r="J498" s="1011"/>
      <c r="K498" s="1068">
        <f>H460</f>
        <v>0</v>
      </c>
      <c r="L498" s="1010"/>
      <c r="M498" s="1011"/>
      <c r="N498" s="1011">
        <f>I498+K498-L498</f>
        <v>0</v>
      </c>
      <c r="O498" s="1011"/>
      <c r="P498" s="1011"/>
      <c r="Q498" s="1011"/>
      <c r="R498" s="1011"/>
      <c r="S498" s="818"/>
      <c r="T498" s="818"/>
      <c r="U498" s="818"/>
      <c r="V498" s="818"/>
      <c r="W498" s="818"/>
      <c r="X498" s="818"/>
      <c r="Y498" s="818"/>
      <c r="Z498" s="818"/>
      <c r="AA498" s="818"/>
      <c r="AB498" s="818"/>
      <c r="AC498" s="818"/>
      <c r="AD498" s="818"/>
      <c r="AE498" s="818"/>
      <c r="AF498" s="818"/>
      <c r="AG498" s="818"/>
    </row>
    <row r="499" spans="1:33">
      <c r="A499" s="1009" t="s">
        <v>724</v>
      </c>
      <c r="B499" s="818"/>
      <c r="C499" s="818"/>
      <c r="D499" s="818"/>
      <c r="E499" s="1010">
        <v>0</v>
      </c>
      <c r="F499" s="1010">
        <v>0</v>
      </c>
      <c r="G499" s="1010">
        <v>0</v>
      </c>
      <c r="H499" s="818"/>
      <c r="I499" s="1010">
        <v>0</v>
      </c>
      <c r="J499" s="1011"/>
      <c r="K499" s="1010">
        <f>+H559</f>
        <v>0</v>
      </c>
      <c r="L499" s="1010"/>
      <c r="M499" s="1011"/>
      <c r="N499" s="1011">
        <f>I499+K499-L499</f>
        <v>0</v>
      </c>
      <c r="O499" s="1011"/>
      <c r="P499" s="1011"/>
      <c r="Q499" s="1011"/>
      <c r="R499" s="1011"/>
      <c r="S499" s="818"/>
      <c r="T499" s="818"/>
      <c r="U499" s="818"/>
      <c r="V499" s="818"/>
      <c r="W499" s="818"/>
      <c r="X499" s="818"/>
      <c r="Y499" s="818"/>
      <c r="Z499" s="818"/>
      <c r="AA499" s="818"/>
      <c r="AB499" s="818"/>
      <c r="AC499" s="818"/>
      <c r="AD499" s="818"/>
      <c r="AE499" s="818"/>
      <c r="AF499" s="818"/>
      <c r="AG499" s="818"/>
    </row>
    <row r="500" spans="1:33" ht="12" thickBot="1">
      <c r="A500" s="1016" t="s">
        <v>725</v>
      </c>
      <c r="B500" s="818"/>
      <c r="C500" s="818"/>
      <c r="D500" s="818"/>
      <c r="E500" s="1034">
        <f>E489+E491+E492+E496+E498+E499</f>
        <v>0</v>
      </c>
      <c r="F500" s="1034">
        <f>F489+F491+F492+F496+F498+F499</f>
        <v>0</v>
      </c>
      <c r="G500" s="1034">
        <f>G489+G491+G492+G496+G498+G499</f>
        <v>0</v>
      </c>
      <c r="H500" s="818"/>
      <c r="I500" s="1034">
        <f>I489+I491+I492+I496+I498+I499</f>
        <v>0</v>
      </c>
      <c r="J500" s="1011"/>
      <c r="K500" s="1034">
        <f ca="1">K489+K491+K492+K496+K498+K499</f>
        <v>569607.5923209131</v>
      </c>
      <c r="L500" s="1034">
        <f>L489+L491+L492+L496+L498+L499</f>
        <v>0</v>
      </c>
      <c r="M500" s="1011"/>
      <c r="N500" s="1034">
        <f ca="1">N489+N491+N492+N496+N498+N499</f>
        <v>569607.5923209131</v>
      </c>
      <c r="O500" s="1011"/>
      <c r="P500" s="818"/>
      <c r="Q500" s="818"/>
      <c r="R500" s="818"/>
      <c r="S500" s="818"/>
      <c r="T500" s="818"/>
      <c r="U500" s="818"/>
      <c r="V500" s="818"/>
      <c r="W500" s="818"/>
      <c r="X500" s="818"/>
      <c r="Y500" s="818"/>
      <c r="Z500" s="818"/>
      <c r="AA500" s="818"/>
      <c r="AB500" s="818"/>
      <c r="AC500" s="818"/>
      <c r="AD500" s="818"/>
      <c r="AE500" s="818"/>
      <c r="AF500" s="818"/>
      <c r="AG500" s="818"/>
    </row>
    <row r="501" spans="1:33" ht="12" thickTop="1">
      <c r="A501" s="818"/>
      <c r="B501" s="818"/>
      <c r="C501" s="818"/>
      <c r="D501" s="818"/>
      <c r="E501" s="1010"/>
      <c r="F501" s="1010"/>
      <c r="G501" s="1010"/>
      <c r="H501" s="818"/>
      <c r="I501" s="1010"/>
      <c r="J501" s="1011"/>
      <c r="K501" s="1011"/>
      <c r="L501" s="1011"/>
      <c r="M501" s="1011"/>
      <c r="N501" s="1011"/>
      <c r="O501" s="1011"/>
      <c r="P501" s="818"/>
      <c r="Q501" s="818"/>
      <c r="R501" s="818"/>
      <c r="S501" s="818"/>
      <c r="T501" s="818"/>
      <c r="U501" s="818"/>
      <c r="V501" s="818"/>
      <c r="W501" s="818"/>
      <c r="X501" s="818"/>
      <c r="Y501" s="818"/>
      <c r="Z501" s="818"/>
      <c r="AA501" s="818"/>
      <c r="AB501" s="818"/>
      <c r="AC501" s="818"/>
      <c r="AD501" s="818"/>
      <c r="AE501" s="818"/>
      <c r="AF501" s="818"/>
      <c r="AG501" s="818"/>
    </row>
    <row r="502" spans="1:33" ht="12" thickBot="1">
      <c r="A502" s="1016" t="s">
        <v>726</v>
      </c>
      <c r="B502" s="818"/>
      <c r="C502" s="818"/>
      <c r="D502" s="818"/>
      <c r="E502" s="1011"/>
      <c r="F502" s="1011"/>
      <c r="G502" s="1011"/>
      <c r="H502" s="818"/>
      <c r="I502" s="1011"/>
      <c r="J502" s="1011"/>
      <c r="K502" s="1011"/>
      <c r="L502" s="1011"/>
      <c r="M502" s="1011"/>
      <c r="N502" s="1011"/>
      <c r="O502" s="1011"/>
      <c r="P502" s="818"/>
      <c r="Q502" s="818"/>
      <c r="R502" s="818"/>
      <c r="S502" s="818"/>
      <c r="T502" s="818"/>
      <c r="U502" s="818"/>
      <c r="V502" s="818"/>
      <c r="W502" s="818"/>
      <c r="X502" s="818"/>
      <c r="Y502" s="818"/>
      <c r="Z502" s="818"/>
      <c r="AA502" s="818"/>
      <c r="AB502" s="818"/>
      <c r="AC502" s="818"/>
      <c r="AD502" s="818"/>
      <c r="AE502" s="818"/>
      <c r="AF502" s="818"/>
      <c r="AG502" s="818"/>
    </row>
    <row r="503" spans="1:33" ht="12" thickTop="1">
      <c r="A503" s="1009" t="s">
        <v>727</v>
      </c>
      <c r="B503" s="818"/>
      <c r="C503" s="818"/>
      <c r="D503" s="818"/>
      <c r="E503" s="1010">
        <v>0</v>
      </c>
      <c r="F503" s="1010">
        <v>0</v>
      </c>
      <c r="G503" s="1010">
        <v>0</v>
      </c>
      <c r="H503" s="818"/>
      <c r="I503" s="1010">
        <v>0</v>
      </c>
      <c r="J503" s="1011"/>
      <c r="K503" s="1010">
        <f ca="1">+Debt!F73</f>
        <v>10040.306107548124</v>
      </c>
      <c r="L503" s="1010"/>
      <c r="M503" s="1011"/>
      <c r="N503" s="1011">
        <f ca="1">I503+K503-L503</f>
        <v>10040.306107548124</v>
      </c>
      <c r="O503" s="1011"/>
      <c r="P503" s="1111" t="s">
        <v>73</v>
      </c>
      <c r="Q503" s="1112"/>
      <c r="R503" s="1111" t="s">
        <v>728</v>
      </c>
      <c r="S503" s="1112"/>
      <c r="T503" s="818"/>
      <c r="U503" s="818"/>
      <c r="V503" s="818"/>
      <c r="W503" s="818"/>
      <c r="X503" s="818"/>
      <c r="Y503" s="818"/>
      <c r="Z503" s="818"/>
      <c r="AA503" s="818"/>
      <c r="AB503" s="818"/>
      <c r="AC503" s="818"/>
      <c r="AD503" s="818"/>
      <c r="AE503" s="818"/>
      <c r="AF503" s="818"/>
      <c r="AG503" s="818"/>
    </row>
    <row r="504" spans="1:33" ht="12" thickBot="1">
      <c r="A504" s="1009" t="s">
        <v>729</v>
      </c>
      <c r="B504" s="818"/>
      <c r="C504" s="818"/>
      <c r="D504" s="818"/>
      <c r="E504" s="1010">
        <v>0</v>
      </c>
      <c r="F504" s="1010">
        <v>0</v>
      </c>
      <c r="G504" s="1010">
        <v>0</v>
      </c>
      <c r="H504" s="818"/>
      <c r="I504" s="1010">
        <v>0</v>
      </c>
      <c r="J504" s="1011"/>
      <c r="K504" s="1010">
        <f ca="1">+Debt!F74</f>
        <v>18264.355014727509</v>
      </c>
      <c r="L504" s="1010"/>
      <c r="M504" s="1011"/>
      <c r="N504" s="1011">
        <f ca="1">I504+K504-L504</f>
        <v>18264.355014727509</v>
      </c>
      <c r="O504" s="1011"/>
      <c r="P504" s="1113" t="s">
        <v>730</v>
      </c>
      <c r="Q504" s="1114"/>
      <c r="R504" s="1113" t="s">
        <v>730</v>
      </c>
      <c r="S504" s="1114"/>
      <c r="T504" s="818"/>
      <c r="U504" s="818"/>
      <c r="V504" s="818"/>
      <c r="W504" s="818"/>
      <c r="X504" s="818"/>
      <c r="Y504" s="818"/>
      <c r="Z504" s="818"/>
      <c r="AA504" s="818"/>
      <c r="AB504" s="818"/>
      <c r="AC504" s="818"/>
      <c r="AD504" s="818"/>
      <c r="AE504" s="818"/>
      <c r="AF504" s="818"/>
      <c r="AG504" s="818"/>
    </row>
    <row r="505" spans="1:33" ht="12" thickTop="1">
      <c r="A505" s="1009" t="s">
        <v>731</v>
      </c>
      <c r="B505" s="818"/>
      <c r="C505" s="818"/>
      <c r="D505" s="818"/>
      <c r="E505" s="1010">
        <v>0</v>
      </c>
      <c r="F505" s="1010">
        <v>0</v>
      </c>
      <c r="G505" s="1010">
        <v>0</v>
      </c>
      <c r="H505" s="818"/>
      <c r="I505" s="1010">
        <v>0</v>
      </c>
      <c r="J505" s="1011"/>
      <c r="K505" s="1010">
        <f ca="1">+Debt!F75</f>
        <v>0</v>
      </c>
      <c r="L505" s="1010"/>
      <c r="M505" s="1011"/>
      <c r="N505" s="1011">
        <f ca="1">I505+K505-L505</f>
        <v>0</v>
      </c>
      <c r="O505" s="1011"/>
      <c r="P505" s="1073" t="s">
        <v>461</v>
      </c>
      <c r="Q505" s="1073" t="s">
        <v>699</v>
      </c>
      <c r="R505" s="1073" t="s">
        <v>461</v>
      </c>
      <c r="S505" s="1073" t="s">
        <v>699</v>
      </c>
      <c r="T505" s="818"/>
      <c r="U505" s="818"/>
      <c r="V505" s="818"/>
      <c r="W505" s="818"/>
      <c r="X505" s="818"/>
      <c r="Y505" s="818"/>
      <c r="Z505" s="818"/>
      <c r="AA505" s="818"/>
      <c r="AB505" s="818"/>
      <c r="AC505" s="818"/>
      <c r="AD505" s="818"/>
      <c r="AE505" s="818"/>
      <c r="AF505" s="818"/>
      <c r="AG505" s="818"/>
    </row>
    <row r="506" spans="1:33">
      <c r="A506" s="1009" t="s">
        <v>732</v>
      </c>
      <c r="B506" s="818"/>
      <c r="C506" s="818"/>
      <c r="D506" s="818"/>
      <c r="E506" s="1010">
        <v>0</v>
      </c>
      <c r="F506" s="1010">
        <v>0</v>
      </c>
      <c r="G506" s="1010">
        <v>0</v>
      </c>
      <c r="H506" s="818"/>
      <c r="I506" s="1010">
        <v>0</v>
      </c>
      <c r="J506" s="1011"/>
      <c r="K506" s="1010">
        <v>0</v>
      </c>
      <c r="L506" s="1010">
        <v>0</v>
      </c>
      <c r="M506" s="1011"/>
      <c r="N506" s="1011">
        <f>I506+K506-L506</f>
        <v>0</v>
      </c>
      <c r="O506" s="1011"/>
      <c r="P506" s="1011">
        <f>N506</f>
        <v>0</v>
      </c>
      <c r="Q506" s="1030">
        <f ca="1">IF($P$522=0,0,P506/$P$522)</f>
        <v>0</v>
      </c>
      <c r="R506" s="1011">
        <f>N506</f>
        <v>0</v>
      </c>
      <c r="S506" s="1030">
        <f ca="1">IF($R$522=0,0,R506/$R$522)</f>
        <v>0</v>
      </c>
      <c r="T506" s="818"/>
      <c r="U506" s="818"/>
      <c r="V506" s="818"/>
      <c r="W506" s="818"/>
      <c r="X506" s="818"/>
      <c r="Y506" s="818"/>
      <c r="Z506" s="818"/>
      <c r="AA506" s="818"/>
      <c r="AB506" s="818"/>
      <c r="AC506" s="818"/>
      <c r="AD506" s="818"/>
      <c r="AE506" s="818"/>
      <c r="AF506" s="818"/>
      <c r="AG506" s="818"/>
    </row>
    <row r="507" spans="1:33">
      <c r="A507" s="1016" t="s">
        <v>733</v>
      </c>
      <c r="B507" s="818"/>
      <c r="C507" s="818"/>
      <c r="D507" s="818"/>
      <c r="E507" s="1020">
        <f>SUM(E503:E506)</f>
        <v>0</v>
      </c>
      <c r="F507" s="1020">
        <f>SUM(F503:F506)</f>
        <v>0</v>
      </c>
      <c r="G507" s="1020">
        <f>SUM(G503:G506)</f>
        <v>0</v>
      </c>
      <c r="H507" s="818"/>
      <c r="I507" s="1020">
        <f>SUM(I503:I506)</f>
        <v>0</v>
      </c>
      <c r="J507" s="1011"/>
      <c r="K507" s="1020">
        <f ca="1">SUM(K502:K506)</f>
        <v>28304.661122275633</v>
      </c>
      <c r="L507" s="1020">
        <f>SUM(L502:L506)</f>
        <v>0</v>
      </c>
      <c r="M507" s="1011"/>
      <c r="N507" s="1020">
        <f ca="1">SUM(N503:N506)</f>
        <v>28304.661122275633</v>
      </c>
      <c r="O507" s="1011"/>
      <c r="P507" s="1020">
        <f>SUM(P506:P506)</f>
        <v>0</v>
      </c>
      <c r="Q507" s="1071">
        <f ca="1">IF($P$522=0,0,P507/$P$522)</f>
        <v>0</v>
      </c>
      <c r="R507" s="1020">
        <f>SUM(R506:R506)</f>
        <v>0</v>
      </c>
      <c r="S507" s="1071">
        <f ca="1">IF($R$522=0,0,R507/$R$522)</f>
        <v>0</v>
      </c>
      <c r="T507" s="818"/>
      <c r="U507" s="818"/>
      <c r="V507" s="818"/>
      <c r="W507" s="818"/>
      <c r="X507" s="818"/>
      <c r="Y507" s="818"/>
      <c r="Z507" s="818"/>
      <c r="AA507" s="818"/>
      <c r="AB507" s="818"/>
      <c r="AC507" s="818"/>
      <c r="AD507" s="818"/>
      <c r="AE507" s="818"/>
      <c r="AF507" s="818"/>
      <c r="AG507" s="818"/>
    </row>
    <row r="508" spans="1:33">
      <c r="A508" s="818"/>
      <c r="B508" s="818"/>
      <c r="C508" s="818"/>
      <c r="D508" s="818"/>
      <c r="E508" s="1010"/>
      <c r="F508" s="1010"/>
      <c r="G508" s="1010"/>
      <c r="H508" s="818"/>
      <c r="I508" s="1010"/>
      <c r="J508" s="1011"/>
      <c r="K508" s="1011"/>
      <c r="L508" s="1011"/>
      <c r="M508" s="1011"/>
      <c r="N508" s="1011"/>
      <c r="O508" s="1011"/>
      <c r="P508" s="1011"/>
      <c r="Q508" s="1030"/>
      <c r="R508" s="1011"/>
      <c r="S508" s="818"/>
      <c r="T508" s="818"/>
      <c r="U508" s="818"/>
      <c r="V508" s="818"/>
      <c r="W508" s="818"/>
      <c r="X508" s="818"/>
      <c r="Y508" s="818"/>
      <c r="Z508" s="818"/>
      <c r="AA508" s="818"/>
      <c r="AB508" s="818"/>
      <c r="AC508" s="818"/>
      <c r="AD508" s="818"/>
      <c r="AE508" s="818"/>
      <c r="AF508" s="818"/>
      <c r="AG508" s="818"/>
    </row>
    <row r="509" spans="1:33">
      <c r="A509" s="1009" t="str">
        <f>+B451&amp;"  &amp;"&amp;B452&amp;" Debt"</f>
        <v>Purchase Term Loan  &amp;Scrubber Term Loan Debt</v>
      </c>
      <c r="B509" s="818"/>
      <c r="C509" s="818"/>
      <c r="D509" s="818"/>
      <c r="E509" s="1010">
        <v>0</v>
      </c>
      <c r="F509" s="1010">
        <v>0</v>
      </c>
      <c r="G509" s="1010">
        <v>0</v>
      </c>
      <c r="H509" s="818"/>
      <c r="I509" s="1010">
        <v>0</v>
      </c>
      <c r="J509" s="1011"/>
      <c r="K509" s="818">
        <f ca="1">H451+H452</f>
        <v>302842.67078322335</v>
      </c>
      <c r="L509" s="818">
        <v>0</v>
      </c>
      <c r="M509" s="1011"/>
      <c r="N509" s="1011">
        <f ca="1">I509+K509-L509</f>
        <v>302842.67078322335</v>
      </c>
      <c r="O509" s="1011"/>
      <c r="P509" s="818">
        <f ca="1">N509</f>
        <v>302842.67078322335</v>
      </c>
      <c r="Q509" s="1030">
        <f ca="1">IF($P$522=0,0,P509/$P$522)</f>
        <v>0.55946985196001398</v>
      </c>
      <c r="R509" s="818">
        <f ca="1">N509</f>
        <v>302842.67078322335</v>
      </c>
      <c r="S509" s="1030">
        <f ca="1">IF($R$522=0,0,R509/$R$522)</f>
        <v>0.55946985196001398</v>
      </c>
      <c r="T509" s="818"/>
      <c r="U509" s="818"/>
      <c r="V509" s="818"/>
      <c r="W509" s="818"/>
      <c r="X509" s="818"/>
      <c r="Y509" s="818"/>
      <c r="Z509" s="818"/>
      <c r="AA509" s="818"/>
      <c r="AB509" s="818"/>
      <c r="AC509" s="818"/>
      <c r="AD509" s="818"/>
      <c r="AE509" s="818"/>
      <c r="AF509" s="818"/>
      <c r="AG509" s="818"/>
    </row>
    <row r="510" spans="1:33">
      <c r="A510" s="1009" t="s">
        <v>734</v>
      </c>
      <c r="B510" s="818"/>
      <c r="C510" s="818"/>
      <c r="D510" s="818"/>
      <c r="E510" s="1010">
        <v>0</v>
      </c>
      <c r="F510" s="1010">
        <v>0</v>
      </c>
      <c r="G510" s="1010">
        <v>0</v>
      </c>
      <c r="H510" s="818"/>
      <c r="I510" s="1010">
        <v>0</v>
      </c>
      <c r="J510" s="1011"/>
      <c r="K510" s="1010"/>
      <c r="L510" s="1010"/>
      <c r="M510" s="1011"/>
      <c r="N510" s="1011">
        <f>I510+K510-L510</f>
        <v>0</v>
      </c>
      <c r="O510" s="1011"/>
      <c r="P510" s="818"/>
      <c r="Q510" s="1030"/>
      <c r="R510" s="818"/>
      <c r="S510" s="1030"/>
      <c r="T510" s="818"/>
      <c r="U510" s="818"/>
      <c r="V510" s="818"/>
      <c r="W510" s="818"/>
      <c r="X510" s="818"/>
      <c r="Y510" s="818"/>
      <c r="Z510" s="818"/>
      <c r="AA510" s="818"/>
      <c r="AB510" s="818"/>
      <c r="AC510" s="818"/>
      <c r="AD510" s="818"/>
      <c r="AE510" s="818"/>
      <c r="AF510" s="818"/>
      <c r="AG510" s="818"/>
    </row>
    <row r="511" spans="1:33">
      <c r="A511" s="1009" t="s">
        <v>735</v>
      </c>
      <c r="B511" s="818"/>
      <c r="C511" s="818"/>
      <c r="D511" s="818"/>
      <c r="E511" s="997">
        <v>0</v>
      </c>
      <c r="F511" s="997">
        <v>0</v>
      </c>
      <c r="G511" s="997">
        <v>0</v>
      </c>
      <c r="H511" s="818"/>
      <c r="I511" s="997">
        <v>0</v>
      </c>
      <c r="J511" s="996"/>
      <c r="K511" s="1115"/>
      <c r="L511" s="818"/>
      <c r="M511" s="818"/>
      <c r="N511" s="1011">
        <f>I511+K511-L511</f>
        <v>0</v>
      </c>
      <c r="O511" s="818"/>
      <c r="P511" s="818"/>
      <c r="Q511" s="1030"/>
      <c r="R511" s="818"/>
      <c r="S511" s="1030"/>
      <c r="T511" s="818"/>
      <c r="U511" s="818"/>
      <c r="V511" s="818"/>
      <c r="W511" s="818"/>
      <c r="X511" s="818"/>
      <c r="Y511" s="818"/>
      <c r="Z511" s="818"/>
      <c r="AA511" s="818"/>
      <c r="AB511" s="818"/>
      <c r="AC511" s="818"/>
      <c r="AD511" s="818"/>
      <c r="AE511" s="818"/>
      <c r="AF511" s="818"/>
      <c r="AG511" s="818"/>
    </row>
    <row r="512" spans="1:33">
      <c r="A512" s="1016" t="s">
        <v>736</v>
      </c>
      <c r="B512" s="818"/>
      <c r="C512" s="818"/>
      <c r="D512" s="818"/>
      <c r="E512" s="1020">
        <f>+SUM(E509:E511)</f>
        <v>0</v>
      </c>
      <c r="F512" s="1020">
        <f>+SUM(F509:F511)</f>
        <v>0</v>
      </c>
      <c r="G512" s="1020">
        <f>+SUM(G509:G511)</f>
        <v>0</v>
      </c>
      <c r="H512" s="818"/>
      <c r="I512" s="1020">
        <f>+SUM(I509:I511)</f>
        <v>0</v>
      </c>
      <c r="J512" s="996"/>
      <c r="K512" s="1020">
        <f ca="1">+SUM(K509:K511)</f>
        <v>302842.67078322335</v>
      </c>
      <c r="L512" s="1020">
        <f>+SUM(L509:L511)</f>
        <v>0</v>
      </c>
      <c r="M512" s="1011"/>
      <c r="N512" s="1020">
        <f ca="1">+SUM(N509:N511)</f>
        <v>302842.67078322335</v>
      </c>
      <c r="O512" s="1011"/>
      <c r="P512" s="1020">
        <f ca="1">+SUM(P509:P511)</f>
        <v>302842.67078322335</v>
      </c>
      <c r="Q512" s="1071">
        <f ca="1">IF($P$522=0,0,P512/$P$522)</f>
        <v>0.55946985196001398</v>
      </c>
      <c r="R512" s="1020">
        <f ca="1">+SUM(R509:R511)</f>
        <v>302842.67078322335</v>
      </c>
      <c r="S512" s="1071">
        <f ca="1">IF($R$522=0,0,R512/$R$522)</f>
        <v>0.55946985196001398</v>
      </c>
      <c r="T512" s="818"/>
      <c r="U512" s="818"/>
      <c r="V512" s="818"/>
      <c r="W512" s="818"/>
      <c r="X512" s="818"/>
      <c r="Y512" s="818"/>
      <c r="Z512" s="818"/>
      <c r="AA512" s="818"/>
      <c r="AB512" s="818"/>
      <c r="AC512" s="818"/>
      <c r="AD512" s="818"/>
      <c r="AE512" s="818"/>
      <c r="AF512" s="818"/>
      <c r="AG512" s="818"/>
    </row>
    <row r="513" spans="1:33">
      <c r="A513" s="818"/>
      <c r="B513" s="818"/>
      <c r="C513" s="818"/>
      <c r="D513" s="818"/>
      <c r="E513" s="1011"/>
      <c r="F513" s="1011"/>
      <c r="G513" s="1011"/>
      <c r="H513" s="818"/>
      <c r="I513" s="1011"/>
      <c r="J513" s="1011"/>
      <c r="K513" s="1011"/>
      <c r="L513" s="1011"/>
      <c r="M513" s="1011"/>
      <c r="N513" s="1011"/>
      <c r="O513" s="1011"/>
      <c r="P513" s="1011"/>
      <c r="Q513" s="1030"/>
      <c r="R513" s="1011"/>
      <c r="S513" s="1030"/>
      <c r="T513" s="818"/>
      <c r="U513" s="818"/>
      <c r="V513" s="818"/>
      <c r="W513" s="818"/>
      <c r="X513" s="818"/>
      <c r="Y513" s="818"/>
      <c r="Z513" s="818"/>
      <c r="AA513" s="818"/>
      <c r="AB513" s="818"/>
      <c r="AC513" s="818"/>
      <c r="AD513" s="818"/>
      <c r="AE513" s="818"/>
      <c r="AF513" s="818"/>
      <c r="AG513" s="818"/>
    </row>
    <row r="514" spans="1:33">
      <c r="A514" s="1016" t="s">
        <v>737</v>
      </c>
      <c r="B514" s="818"/>
      <c r="C514" s="818"/>
      <c r="D514" s="818"/>
      <c r="E514" s="1011">
        <f>E512+E507</f>
        <v>0</v>
      </c>
      <c r="F514" s="1011">
        <f>F512+F507</f>
        <v>0</v>
      </c>
      <c r="G514" s="1011">
        <f>G512+G507</f>
        <v>0</v>
      </c>
      <c r="H514" s="818"/>
      <c r="I514" s="1011">
        <f>I512+I507</f>
        <v>0</v>
      </c>
      <c r="J514" s="1011"/>
      <c r="K514" s="1011">
        <f ca="1">K512+K507</f>
        <v>331147.33190549898</v>
      </c>
      <c r="L514" s="1011">
        <f>L512+L507</f>
        <v>0</v>
      </c>
      <c r="M514" s="1011"/>
      <c r="N514" s="1011">
        <f ca="1">N507+N512</f>
        <v>331147.33190549898</v>
      </c>
      <c r="O514" s="1011"/>
      <c r="P514" s="1011">
        <f ca="1">P507+P512</f>
        <v>302842.67078322335</v>
      </c>
      <c r="Q514" s="1030">
        <f ca="1">IF($P$522=0,0,P514/$P$522)</f>
        <v>0.55946985196001398</v>
      </c>
      <c r="R514" s="1011">
        <f ca="1">R507+R512</f>
        <v>302842.67078322335</v>
      </c>
      <c r="S514" s="1030">
        <f ca="1">IF($R$522=0,0,R514/$R$522)</f>
        <v>0.55946985196001398</v>
      </c>
      <c r="T514" s="818"/>
      <c r="U514" s="818"/>
      <c r="V514" s="818"/>
      <c r="W514" s="818"/>
      <c r="X514" s="818"/>
      <c r="Y514" s="818"/>
      <c r="Z514" s="818"/>
      <c r="AA514" s="818"/>
      <c r="AB514" s="818"/>
      <c r="AC514" s="818"/>
      <c r="AD514" s="818"/>
      <c r="AE514" s="818"/>
      <c r="AF514" s="818"/>
      <c r="AG514" s="818"/>
    </row>
    <row r="515" spans="1:33">
      <c r="A515" s="818"/>
      <c r="B515" s="818"/>
      <c r="C515" s="818"/>
      <c r="D515" s="818"/>
      <c r="E515" s="1010"/>
      <c r="F515" s="1010"/>
      <c r="G515" s="1010"/>
      <c r="H515" s="818"/>
      <c r="I515" s="1010"/>
      <c r="J515" s="1011"/>
      <c r="K515" s="1011"/>
      <c r="L515" s="1011"/>
      <c r="M515" s="1011"/>
      <c r="N515" s="1011"/>
      <c r="O515" s="1011"/>
      <c r="P515" s="1011"/>
      <c r="Q515" s="1030"/>
      <c r="R515" s="1011"/>
      <c r="S515" s="1030"/>
      <c r="T515" s="818"/>
      <c r="U515" s="818"/>
      <c r="V515" s="818"/>
      <c r="W515" s="818"/>
      <c r="X515" s="818"/>
      <c r="Y515" s="818"/>
      <c r="Z515" s="818"/>
      <c r="AA515" s="818"/>
      <c r="AB515" s="818"/>
      <c r="AC515" s="818"/>
      <c r="AD515" s="818"/>
      <c r="AE515" s="818"/>
      <c r="AF515" s="818"/>
      <c r="AG515" s="818"/>
    </row>
    <row r="516" spans="1:33">
      <c r="A516" s="818" t="str">
        <f>B453</f>
        <v>Common Stock</v>
      </c>
      <c r="B516" s="818"/>
      <c r="C516" s="818"/>
      <c r="D516" s="818"/>
      <c r="E516" s="997">
        <v>0</v>
      </c>
      <c r="F516" s="997">
        <v>0</v>
      </c>
      <c r="G516" s="997">
        <v>0</v>
      </c>
      <c r="H516" s="818"/>
      <c r="I516" s="997">
        <v>0</v>
      </c>
      <c r="J516" s="1011"/>
      <c r="K516" s="1011">
        <f ca="1">H453</f>
        <v>238460.26041541412</v>
      </c>
      <c r="L516" s="1010">
        <v>0</v>
      </c>
      <c r="M516" s="1011"/>
      <c r="N516" s="1011">
        <f ca="1">I516+K516-L516</f>
        <v>238460.26041541412</v>
      </c>
      <c r="O516" s="1011"/>
      <c r="P516" s="1011">
        <f ca="1">N516</f>
        <v>238460.26041541412</v>
      </c>
      <c r="Q516" s="1030">
        <f t="shared" ref="Q516:Q522" ca="1" si="347">IF($P$522=0,0,P516/$P$522)</f>
        <v>0.44053014803998597</v>
      </c>
      <c r="R516" s="1011">
        <f ca="1">N516</f>
        <v>238460.26041541412</v>
      </c>
      <c r="S516" s="1030">
        <f t="shared" ref="S516:S522" ca="1" si="348">IF($R$522=0,0,R516/$R$522)</f>
        <v>0.44053014803998597</v>
      </c>
      <c r="T516" s="818"/>
      <c r="U516" s="818"/>
      <c r="V516" s="818"/>
      <c r="W516" s="818"/>
      <c r="X516" s="818"/>
      <c r="Y516" s="818"/>
      <c r="Z516" s="818"/>
      <c r="AA516" s="818"/>
      <c r="AB516" s="818"/>
      <c r="AC516" s="818"/>
      <c r="AD516" s="818"/>
      <c r="AE516" s="818"/>
      <c r="AF516" s="818"/>
      <c r="AG516" s="818"/>
    </row>
    <row r="517" spans="1:33">
      <c r="A517" s="1009" t="s">
        <v>738</v>
      </c>
      <c r="B517" s="818"/>
      <c r="C517" s="818"/>
      <c r="D517" s="818"/>
      <c r="E517" s="1010">
        <v>0</v>
      </c>
      <c r="F517" s="1010">
        <v>0</v>
      </c>
      <c r="G517" s="1010">
        <v>0</v>
      </c>
      <c r="H517" s="818"/>
      <c r="I517" s="1010">
        <v>0</v>
      </c>
      <c r="J517" s="1011"/>
      <c r="K517" s="1011"/>
      <c r="L517" s="1010">
        <v>0</v>
      </c>
      <c r="M517" s="1011"/>
      <c r="N517" s="1011">
        <f>I517+K517-L517</f>
        <v>0</v>
      </c>
      <c r="O517" s="1011"/>
      <c r="P517" s="1011">
        <f>N517</f>
        <v>0</v>
      </c>
      <c r="Q517" s="1030">
        <f t="shared" ca="1" si="347"/>
        <v>0</v>
      </c>
      <c r="R517" s="1011">
        <f>N517</f>
        <v>0</v>
      </c>
      <c r="S517" s="1030">
        <f t="shared" ca="1" si="348"/>
        <v>0</v>
      </c>
      <c r="T517" s="818"/>
      <c r="U517" s="818"/>
      <c r="V517" s="818"/>
      <c r="W517" s="818"/>
      <c r="X517" s="818"/>
      <c r="Y517" s="818"/>
      <c r="Z517" s="818"/>
      <c r="AA517" s="818"/>
      <c r="AB517" s="818"/>
      <c r="AC517" s="818"/>
      <c r="AD517" s="818"/>
      <c r="AE517" s="818"/>
      <c r="AF517" s="818"/>
      <c r="AG517" s="818"/>
    </row>
    <row r="518" spans="1:33">
      <c r="A518" s="1009" t="s">
        <v>739</v>
      </c>
      <c r="B518" s="818"/>
      <c r="C518" s="818"/>
      <c r="D518" s="818"/>
      <c r="E518" s="1010">
        <v>0</v>
      </c>
      <c r="F518" s="1010">
        <v>0</v>
      </c>
      <c r="G518" s="1010">
        <v>0</v>
      </c>
      <c r="H518" s="818"/>
      <c r="I518" s="1010">
        <v>0</v>
      </c>
      <c r="J518" s="1011"/>
      <c r="K518" s="1010"/>
      <c r="L518" s="1116">
        <f>H462</f>
        <v>0</v>
      </c>
      <c r="M518" s="1011"/>
      <c r="N518" s="1011">
        <f>I518+K518-L518</f>
        <v>0</v>
      </c>
      <c r="O518" s="1011"/>
      <c r="P518" s="1011">
        <f>N518</f>
        <v>0</v>
      </c>
      <c r="Q518" s="1030">
        <f t="shared" ca="1" si="347"/>
        <v>0</v>
      </c>
      <c r="R518" s="1011">
        <f>N518</f>
        <v>0</v>
      </c>
      <c r="S518" s="1030">
        <f t="shared" ca="1" si="348"/>
        <v>0</v>
      </c>
      <c r="T518" s="818"/>
      <c r="U518" s="818"/>
      <c r="V518" s="818"/>
      <c r="W518" s="818"/>
      <c r="X518" s="818"/>
      <c r="Y518" s="818"/>
      <c r="Z518" s="818"/>
      <c r="AA518" s="818"/>
      <c r="AB518" s="818"/>
      <c r="AC518" s="818"/>
      <c r="AD518" s="818"/>
      <c r="AE518" s="818"/>
      <c r="AF518" s="818"/>
      <c r="AG518" s="818"/>
    </row>
    <row r="519" spans="1:33">
      <c r="A519" s="1009" t="s">
        <v>740</v>
      </c>
      <c r="B519" s="818"/>
      <c r="C519" s="818"/>
      <c r="D519" s="818"/>
      <c r="E519" s="1010">
        <v>0</v>
      </c>
      <c r="F519" s="1010">
        <v>0</v>
      </c>
      <c r="G519" s="1010">
        <v>0</v>
      </c>
      <c r="H519" s="818"/>
      <c r="I519" s="1010">
        <v>0</v>
      </c>
      <c r="J519" s="1011"/>
      <c r="K519" s="1010"/>
      <c r="L519" s="1116">
        <f>H461-L517-L516</f>
        <v>0</v>
      </c>
      <c r="M519" s="1011"/>
      <c r="N519" s="1011">
        <f>I519+K519-L519</f>
        <v>0</v>
      </c>
      <c r="O519" s="1011"/>
      <c r="P519" s="1011">
        <f>N519</f>
        <v>0</v>
      </c>
      <c r="Q519" s="1030">
        <f t="shared" ca="1" si="347"/>
        <v>0</v>
      </c>
      <c r="R519" s="1011">
        <f>N519</f>
        <v>0</v>
      </c>
      <c r="S519" s="1030">
        <f t="shared" ca="1" si="348"/>
        <v>0</v>
      </c>
      <c r="T519" s="818"/>
      <c r="U519" s="818"/>
      <c r="V519" s="818"/>
      <c r="W519" s="818"/>
      <c r="X519" s="818"/>
      <c r="Y519" s="818"/>
      <c r="Z519" s="818"/>
      <c r="AA519" s="818"/>
      <c r="AB519" s="818"/>
      <c r="AC519" s="818"/>
      <c r="AD519" s="818"/>
      <c r="AE519" s="818"/>
      <c r="AF519" s="818"/>
      <c r="AG519" s="818"/>
    </row>
    <row r="520" spans="1:33">
      <c r="A520" s="1009" t="s">
        <v>741</v>
      </c>
      <c r="B520" s="818"/>
      <c r="C520" s="818"/>
      <c r="D520" s="818"/>
      <c r="E520" s="997">
        <v>0</v>
      </c>
      <c r="F520" s="997">
        <v>0</v>
      </c>
      <c r="G520" s="997">
        <v>0</v>
      </c>
      <c r="H520" s="818"/>
      <c r="I520" s="1010">
        <v>0</v>
      </c>
      <c r="J520" s="818"/>
      <c r="K520" s="997"/>
      <c r="L520" s="1117"/>
      <c r="M520" s="818"/>
      <c r="N520" s="1011">
        <f>I520+K520-L520</f>
        <v>0</v>
      </c>
      <c r="O520" s="818"/>
      <c r="P520" s="1011">
        <f>N520</f>
        <v>0</v>
      </c>
      <c r="Q520" s="1030">
        <f t="shared" ca="1" si="347"/>
        <v>0</v>
      </c>
      <c r="R520" s="1011">
        <f>N520</f>
        <v>0</v>
      </c>
      <c r="S520" s="1030">
        <f t="shared" ca="1" si="348"/>
        <v>0</v>
      </c>
      <c r="T520" s="818"/>
      <c r="U520" s="818"/>
      <c r="V520" s="818"/>
      <c r="W520" s="818"/>
      <c r="X520" s="818"/>
      <c r="Y520" s="818"/>
      <c r="Z520" s="818"/>
      <c r="AA520" s="818"/>
      <c r="AB520" s="818"/>
      <c r="AC520" s="818"/>
      <c r="AD520" s="818"/>
      <c r="AE520" s="818"/>
      <c r="AF520" s="818"/>
      <c r="AG520" s="818"/>
    </row>
    <row r="521" spans="1:33">
      <c r="A521" s="1016" t="s">
        <v>742</v>
      </c>
      <c r="B521" s="818"/>
      <c r="C521" s="818"/>
      <c r="D521" s="1011"/>
      <c r="E521" s="1020">
        <f>SUM(E516:E520)</f>
        <v>0</v>
      </c>
      <c r="F521" s="1020">
        <f>SUM(F516:F520)</f>
        <v>0</v>
      </c>
      <c r="G521" s="1020">
        <f>SUM(G516:G520)</f>
        <v>0</v>
      </c>
      <c r="H521" s="818"/>
      <c r="I521" s="1020">
        <f>SUM(I516:I520)</f>
        <v>0</v>
      </c>
      <c r="J521" s="1011"/>
      <c r="K521" s="1020">
        <f ca="1">SUM(K516:K520)</f>
        <v>238460.26041541412</v>
      </c>
      <c r="L521" s="1020">
        <f>SUM(L516:L520)</f>
        <v>0</v>
      </c>
      <c r="M521" s="1011"/>
      <c r="N521" s="1020">
        <f ca="1">SUM(N516:N520)</f>
        <v>238460.26041541412</v>
      </c>
      <c r="O521" s="1011"/>
      <c r="P521" s="1020">
        <f ca="1">SUM(P516:P520)</f>
        <v>238460.26041541412</v>
      </c>
      <c r="Q521" s="1071">
        <f t="shared" ca="1" si="347"/>
        <v>0.44053014803998597</v>
      </c>
      <c r="R521" s="1020">
        <f ca="1">SUM(R516:R520)</f>
        <v>238460.26041541412</v>
      </c>
      <c r="S521" s="1071">
        <f t="shared" ca="1" si="348"/>
        <v>0.44053014803998597</v>
      </c>
      <c r="T521" s="818"/>
      <c r="U521" s="818"/>
      <c r="V521" s="818"/>
      <c r="W521" s="818"/>
      <c r="X521" s="818"/>
      <c r="Y521" s="818"/>
      <c r="Z521" s="818"/>
      <c r="AA521" s="818"/>
      <c r="AB521" s="818"/>
      <c r="AC521" s="818"/>
      <c r="AD521" s="818"/>
      <c r="AE521" s="818"/>
      <c r="AF521" s="818"/>
      <c r="AG521" s="818"/>
    </row>
    <row r="522" spans="1:33" ht="12" thickBot="1">
      <c r="A522" s="1016" t="s">
        <v>743</v>
      </c>
      <c r="B522" s="818"/>
      <c r="C522" s="818"/>
      <c r="D522" s="818"/>
      <c r="E522" s="1034">
        <f>E514+E521</f>
        <v>0</v>
      </c>
      <c r="F522" s="1034">
        <f>F514+F521</f>
        <v>0</v>
      </c>
      <c r="G522" s="1034">
        <f>G514+G521</f>
        <v>0</v>
      </c>
      <c r="H522" s="818"/>
      <c r="I522" s="1034">
        <f>I514+I521</f>
        <v>0</v>
      </c>
      <c r="J522" s="1011"/>
      <c r="K522" s="1034">
        <f ca="1">K521+K514</f>
        <v>569607.5923209131</v>
      </c>
      <c r="L522" s="1034">
        <f>L521+L514</f>
        <v>0</v>
      </c>
      <c r="M522" s="1011"/>
      <c r="N522" s="1034">
        <f ca="1">N514+N521</f>
        <v>569607.5923209131</v>
      </c>
      <c r="O522" s="1011"/>
      <c r="P522" s="1034">
        <f ca="1">P514+P521</f>
        <v>541302.93119863747</v>
      </c>
      <c r="Q522" s="1118">
        <f t="shared" ca="1" si="347"/>
        <v>1</v>
      </c>
      <c r="R522" s="1034">
        <f ca="1">R514+R521</f>
        <v>541302.93119863747</v>
      </c>
      <c r="S522" s="1118">
        <f t="shared" ca="1" si="348"/>
        <v>1</v>
      </c>
      <c r="T522" s="818"/>
      <c r="U522" s="818"/>
      <c r="V522" s="818"/>
      <c r="W522" s="818"/>
      <c r="X522" s="818"/>
      <c r="Y522" s="818"/>
      <c r="Z522" s="818"/>
      <c r="AA522" s="818"/>
      <c r="AB522" s="818"/>
      <c r="AC522" s="818"/>
      <c r="AD522" s="818"/>
      <c r="AE522" s="818"/>
      <c r="AF522" s="818"/>
      <c r="AG522" s="818"/>
    </row>
    <row r="523" spans="1:33" ht="12" thickTop="1">
      <c r="A523" s="1046"/>
      <c r="B523" s="818"/>
      <c r="C523" s="818"/>
      <c r="D523" s="818"/>
      <c r="E523" s="818"/>
      <c r="F523" s="818"/>
      <c r="G523" s="818"/>
      <c r="H523" s="818"/>
      <c r="I523" s="818"/>
      <c r="J523" s="1011"/>
      <c r="K523" s="1011"/>
      <c r="L523" s="1011"/>
      <c r="M523" s="1011"/>
      <c r="N523" s="1011"/>
      <c r="O523" s="1011"/>
      <c r="P523" s="1011"/>
      <c r="Q523" s="1030"/>
      <c r="R523" s="1011"/>
      <c r="S523" s="818"/>
      <c r="T523" s="818"/>
      <c r="U523" s="818"/>
      <c r="V523" s="818"/>
      <c r="W523" s="818"/>
      <c r="X523" s="818"/>
      <c r="Y523" s="818"/>
      <c r="Z523" s="818"/>
      <c r="AA523" s="818"/>
      <c r="AB523" s="818"/>
      <c r="AC523" s="818"/>
      <c r="AD523" s="818"/>
      <c r="AE523" s="818"/>
      <c r="AF523" s="818"/>
      <c r="AG523" s="818"/>
    </row>
    <row r="524" spans="1:33">
      <c r="A524" s="1016" t="s">
        <v>444</v>
      </c>
      <c r="B524" s="818"/>
      <c r="C524" s="818"/>
      <c r="D524" s="818"/>
      <c r="E524" s="1011">
        <f>E500-E522</f>
        <v>0</v>
      </c>
      <c r="F524" s="1011">
        <f>F500-F522</f>
        <v>0</v>
      </c>
      <c r="G524" s="1011">
        <f>G500-G522</f>
        <v>0</v>
      </c>
      <c r="H524" s="818"/>
      <c r="I524" s="1011">
        <f>I500-I522</f>
        <v>0</v>
      </c>
      <c r="J524" s="1011"/>
      <c r="K524" s="1011">
        <f ca="1">K500-K522</f>
        <v>0</v>
      </c>
      <c r="L524" s="1011">
        <f>L500-L522</f>
        <v>0</v>
      </c>
      <c r="M524" s="1011"/>
      <c r="N524" s="1011">
        <f ca="1">N500-N522</f>
        <v>0</v>
      </c>
      <c r="O524" s="1011"/>
      <c r="P524" s="1011"/>
      <c r="Q524" s="1011"/>
      <c r="R524" s="1011"/>
      <c r="S524" s="818"/>
      <c r="T524" s="818"/>
      <c r="U524" s="818"/>
      <c r="V524" s="818"/>
      <c r="W524" s="818"/>
      <c r="X524" s="818"/>
      <c r="Y524" s="818"/>
      <c r="Z524" s="818"/>
      <c r="AA524" s="818"/>
      <c r="AB524" s="818"/>
      <c r="AC524" s="818"/>
      <c r="AD524" s="818"/>
      <c r="AE524" s="818"/>
      <c r="AF524" s="818"/>
      <c r="AG524" s="818"/>
    </row>
    <row r="525" spans="1:33">
      <c r="A525" s="818"/>
      <c r="B525" s="818"/>
      <c r="C525" s="818"/>
      <c r="D525" s="818"/>
      <c r="E525" s="818"/>
      <c r="F525" s="818"/>
      <c r="G525" s="818"/>
      <c r="H525" s="818"/>
      <c r="I525" s="818"/>
      <c r="J525" s="818"/>
      <c r="K525" s="818"/>
      <c r="L525" s="818"/>
      <c r="M525" s="818"/>
      <c r="N525" s="818"/>
      <c r="O525" s="818"/>
      <c r="P525" s="818"/>
      <c r="Q525" s="818"/>
      <c r="R525" s="818"/>
      <c r="S525" s="818"/>
      <c r="T525" s="818"/>
      <c r="U525" s="818"/>
      <c r="V525" s="818"/>
      <c r="W525" s="818"/>
      <c r="X525" s="818"/>
      <c r="Y525" s="818"/>
      <c r="Z525" s="818"/>
      <c r="AA525" s="818"/>
      <c r="AB525" s="818"/>
      <c r="AC525" s="818"/>
      <c r="AD525" s="818"/>
      <c r="AE525" s="818"/>
      <c r="AF525" s="818"/>
      <c r="AG525" s="818"/>
    </row>
    <row r="526" spans="1:33" ht="12" thickBot="1">
      <c r="A526" s="1009"/>
      <c r="B526" s="996"/>
      <c r="C526" s="996"/>
      <c r="D526" s="996"/>
      <c r="E526" s="996"/>
      <c r="F526" s="1030"/>
      <c r="G526" s="818"/>
      <c r="H526" s="818"/>
      <c r="I526" s="818"/>
      <c r="J526" s="818"/>
      <c r="K526" s="818"/>
      <c r="L526" s="818"/>
      <c r="M526" s="818"/>
      <c r="N526" s="818"/>
      <c r="O526" s="818"/>
      <c r="P526" s="818"/>
      <c r="Q526" s="818"/>
      <c r="R526" s="818"/>
      <c r="S526" s="818"/>
      <c r="T526" s="818"/>
      <c r="U526" s="818"/>
      <c r="V526" s="818"/>
      <c r="W526" s="818"/>
      <c r="X526" s="818"/>
      <c r="Y526" s="818"/>
      <c r="Z526" s="818"/>
      <c r="AA526" s="818"/>
      <c r="AB526" s="818"/>
      <c r="AC526" s="818"/>
      <c r="AD526" s="818"/>
      <c r="AE526" s="818"/>
      <c r="AF526" s="818"/>
      <c r="AG526" s="818"/>
    </row>
    <row r="527" spans="1:33" ht="12.75" thickTop="1" thickBot="1">
      <c r="A527" s="1060"/>
      <c r="B527" s="1119"/>
      <c r="C527" s="1119"/>
      <c r="D527" s="1119"/>
      <c r="E527" s="1119"/>
      <c r="F527" s="1120"/>
      <c r="G527" s="985"/>
      <c r="H527" s="985"/>
      <c r="I527" s="985"/>
      <c r="J527" s="985"/>
      <c r="K527" s="985"/>
      <c r="L527" s="985"/>
      <c r="M527" s="985"/>
      <c r="N527" s="985"/>
      <c r="O527" s="985"/>
      <c r="P527" s="985"/>
      <c r="Q527" s="985"/>
      <c r="R527" s="985"/>
      <c r="S527" s="985"/>
      <c r="T527" s="985"/>
      <c r="U527" s="985"/>
      <c r="V527" s="985"/>
      <c r="W527" s="985"/>
      <c r="X527" s="985"/>
      <c r="Y527" s="985"/>
      <c r="Z527" s="818"/>
      <c r="AA527" s="818"/>
      <c r="AB527" s="818"/>
      <c r="AC527" s="818"/>
      <c r="AD527" s="818"/>
      <c r="AE527" s="818"/>
      <c r="AF527" s="818"/>
      <c r="AG527" s="818"/>
    </row>
    <row r="528" spans="1:33" ht="12.75" thickTop="1" thickBot="1">
      <c r="A528" s="983" t="s">
        <v>460</v>
      </c>
      <c r="B528" s="818"/>
      <c r="C528" s="818"/>
      <c r="D528" s="1006"/>
      <c r="E528" s="1099">
        <f>E$599</f>
        <v>36891</v>
      </c>
      <c r="F528" s="1099">
        <f>F$599</f>
        <v>37256</v>
      </c>
      <c r="G528" s="1099">
        <f>G$599</f>
        <v>37621</v>
      </c>
      <c r="H528" s="1121">
        <f>H$599</f>
        <v>37802</v>
      </c>
      <c r="I528" s="1092">
        <f>I$599</f>
        <v>37986</v>
      </c>
      <c r="J528" s="1093">
        <f t="shared" ref="J528:AF528" si="349">J$599</f>
        <v>38352</v>
      </c>
      <c r="K528" s="1093">
        <f t="shared" si="349"/>
        <v>38717</v>
      </c>
      <c r="L528" s="1093">
        <f t="shared" si="349"/>
        <v>39082</v>
      </c>
      <c r="M528" s="1093">
        <f t="shared" si="349"/>
        <v>39447</v>
      </c>
      <c r="N528" s="1093">
        <f t="shared" si="349"/>
        <v>39813</v>
      </c>
      <c r="O528" s="1093">
        <f t="shared" si="349"/>
        <v>40178</v>
      </c>
      <c r="P528" s="1093">
        <f t="shared" si="349"/>
        <v>40543</v>
      </c>
      <c r="Q528" s="1093">
        <f t="shared" si="349"/>
        <v>40908</v>
      </c>
      <c r="R528" s="1093">
        <f t="shared" si="349"/>
        <v>41274</v>
      </c>
      <c r="S528" s="1093">
        <f t="shared" si="349"/>
        <v>41639</v>
      </c>
      <c r="T528" s="1093">
        <f t="shared" si="349"/>
        <v>42004</v>
      </c>
      <c r="U528" s="1093">
        <f t="shared" si="349"/>
        <v>42369</v>
      </c>
      <c r="V528" s="1093">
        <f t="shared" si="349"/>
        <v>42735</v>
      </c>
      <c r="W528" s="1093">
        <f t="shared" si="349"/>
        <v>43100</v>
      </c>
      <c r="X528" s="1093">
        <f t="shared" si="349"/>
        <v>43465</v>
      </c>
      <c r="Y528" s="1093">
        <f t="shared" si="349"/>
        <v>43830</v>
      </c>
      <c r="Z528" s="1093">
        <f t="shared" si="349"/>
        <v>44196</v>
      </c>
      <c r="AA528" s="1093">
        <f t="shared" si="349"/>
        <v>44561</v>
      </c>
      <c r="AB528" s="1093">
        <f t="shared" si="349"/>
        <v>44926</v>
      </c>
      <c r="AC528" s="1093">
        <f t="shared" si="349"/>
        <v>45291</v>
      </c>
      <c r="AD528" s="1093">
        <f t="shared" si="349"/>
        <v>45657</v>
      </c>
      <c r="AE528" s="1093">
        <f t="shared" si="349"/>
        <v>46022</v>
      </c>
      <c r="AF528" s="1093">
        <f t="shared" si="349"/>
        <v>46387</v>
      </c>
      <c r="AG528" s="818"/>
    </row>
    <row r="529" spans="1:33" ht="12" thickTop="1">
      <c r="A529" s="1122" t="str">
        <f>A539&amp;"  (Days)"</f>
        <v>Operating Cash Balance  (Days)</v>
      </c>
      <c r="B529" s="1004"/>
      <c r="C529" s="1004"/>
      <c r="D529" s="1004"/>
      <c r="E529" s="1123">
        <v>0</v>
      </c>
      <c r="F529" s="1123">
        <v>0</v>
      </c>
      <c r="G529" s="1123">
        <v>0</v>
      </c>
      <c r="H529" s="1123">
        <v>0</v>
      </c>
      <c r="I529" s="1124">
        <f>Debt!E69</f>
        <v>30</v>
      </c>
      <c r="J529" s="1125">
        <f t="shared" ref="J529:AF529" si="350">I529</f>
        <v>30</v>
      </c>
      <c r="K529" s="1125">
        <f t="shared" si="350"/>
        <v>30</v>
      </c>
      <c r="L529" s="1125">
        <f t="shared" si="350"/>
        <v>30</v>
      </c>
      <c r="M529" s="1125">
        <f t="shared" si="350"/>
        <v>30</v>
      </c>
      <c r="N529" s="1125">
        <f t="shared" si="350"/>
        <v>30</v>
      </c>
      <c r="O529" s="1125">
        <f t="shared" si="350"/>
        <v>30</v>
      </c>
      <c r="P529" s="1125">
        <f t="shared" si="350"/>
        <v>30</v>
      </c>
      <c r="Q529" s="1125">
        <f t="shared" si="350"/>
        <v>30</v>
      </c>
      <c r="R529" s="1125">
        <f t="shared" si="350"/>
        <v>30</v>
      </c>
      <c r="S529" s="1125">
        <f t="shared" si="350"/>
        <v>30</v>
      </c>
      <c r="T529" s="1125">
        <f t="shared" si="350"/>
        <v>30</v>
      </c>
      <c r="U529" s="1125">
        <f t="shared" si="350"/>
        <v>30</v>
      </c>
      <c r="V529" s="1125">
        <f t="shared" si="350"/>
        <v>30</v>
      </c>
      <c r="W529" s="1125">
        <f t="shared" si="350"/>
        <v>30</v>
      </c>
      <c r="X529" s="1125">
        <f t="shared" si="350"/>
        <v>30</v>
      </c>
      <c r="Y529" s="1125">
        <f t="shared" si="350"/>
        <v>30</v>
      </c>
      <c r="Z529" s="1125">
        <f t="shared" si="350"/>
        <v>30</v>
      </c>
      <c r="AA529" s="1125">
        <f t="shared" si="350"/>
        <v>30</v>
      </c>
      <c r="AB529" s="1125">
        <f t="shared" si="350"/>
        <v>30</v>
      </c>
      <c r="AC529" s="1125">
        <f t="shared" si="350"/>
        <v>30</v>
      </c>
      <c r="AD529" s="1125">
        <f t="shared" si="350"/>
        <v>30</v>
      </c>
      <c r="AE529" s="1125">
        <f t="shared" si="350"/>
        <v>30</v>
      </c>
      <c r="AF529" s="1125">
        <f t="shared" si="350"/>
        <v>30</v>
      </c>
      <c r="AG529" s="818"/>
    </row>
    <row r="530" spans="1:33">
      <c r="A530" s="1122" t="str">
        <f>A540&amp;"  (Days)"</f>
        <v>Accounts Receivable  (Days)</v>
      </c>
      <c r="B530" s="1004"/>
      <c r="C530" s="1004"/>
      <c r="D530" s="1004"/>
      <c r="E530" s="1123">
        <v>0</v>
      </c>
      <c r="F530" s="1123">
        <v>0</v>
      </c>
      <c r="G530" s="1123">
        <v>0</v>
      </c>
      <c r="H530" s="1123">
        <v>0</v>
      </c>
      <c r="I530" s="1124">
        <f>Debt!E70</f>
        <v>30</v>
      </c>
      <c r="J530" s="1125">
        <f t="shared" ref="J530:AF530" si="351">I530</f>
        <v>30</v>
      </c>
      <c r="K530" s="1125">
        <f t="shared" si="351"/>
        <v>30</v>
      </c>
      <c r="L530" s="1125">
        <f t="shared" si="351"/>
        <v>30</v>
      </c>
      <c r="M530" s="1125">
        <f t="shared" si="351"/>
        <v>30</v>
      </c>
      <c r="N530" s="1125">
        <f t="shared" si="351"/>
        <v>30</v>
      </c>
      <c r="O530" s="1125">
        <f t="shared" si="351"/>
        <v>30</v>
      </c>
      <c r="P530" s="1125">
        <f t="shared" si="351"/>
        <v>30</v>
      </c>
      <c r="Q530" s="1125">
        <f t="shared" si="351"/>
        <v>30</v>
      </c>
      <c r="R530" s="1125">
        <f t="shared" si="351"/>
        <v>30</v>
      </c>
      <c r="S530" s="1125">
        <f t="shared" si="351"/>
        <v>30</v>
      </c>
      <c r="T530" s="1125">
        <f t="shared" si="351"/>
        <v>30</v>
      </c>
      <c r="U530" s="1125">
        <f t="shared" si="351"/>
        <v>30</v>
      </c>
      <c r="V530" s="1125">
        <f t="shared" si="351"/>
        <v>30</v>
      </c>
      <c r="W530" s="1125">
        <f t="shared" si="351"/>
        <v>30</v>
      </c>
      <c r="X530" s="1125">
        <f t="shared" si="351"/>
        <v>30</v>
      </c>
      <c r="Y530" s="1125">
        <f t="shared" si="351"/>
        <v>30</v>
      </c>
      <c r="Z530" s="1125">
        <f t="shared" si="351"/>
        <v>30</v>
      </c>
      <c r="AA530" s="1125">
        <f t="shared" si="351"/>
        <v>30</v>
      </c>
      <c r="AB530" s="1125">
        <f t="shared" si="351"/>
        <v>30</v>
      </c>
      <c r="AC530" s="1125">
        <f t="shared" si="351"/>
        <v>30</v>
      </c>
      <c r="AD530" s="1125">
        <f t="shared" si="351"/>
        <v>30</v>
      </c>
      <c r="AE530" s="1125">
        <f t="shared" si="351"/>
        <v>30</v>
      </c>
      <c r="AF530" s="1125">
        <f t="shared" si="351"/>
        <v>30</v>
      </c>
      <c r="AG530" s="818"/>
    </row>
    <row r="531" spans="1:33">
      <c r="A531" s="1122" t="str">
        <f>A541&amp;"  (x)"</f>
        <v>Inventories  (x)</v>
      </c>
      <c r="B531" s="1004"/>
      <c r="C531" s="1004"/>
      <c r="D531" s="1004"/>
      <c r="E531" s="1123">
        <v>0</v>
      </c>
      <c r="F531" s="1123">
        <v>0</v>
      </c>
      <c r="G531" s="1123">
        <v>0</v>
      </c>
      <c r="H531" s="1123">
        <v>0</v>
      </c>
      <c r="I531" s="1124">
        <f>Debt!E71</f>
        <v>0</v>
      </c>
      <c r="J531" s="1125">
        <f t="shared" ref="J531:AF531" si="352">I531</f>
        <v>0</v>
      </c>
      <c r="K531" s="1125">
        <f t="shared" si="352"/>
        <v>0</v>
      </c>
      <c r="L531" s="1125">
        <f t="shared" si="352"/>
        <v>0</v>
      </c>
      <c r="M531" s="1125">
        <f t="shared" si="352"/>
        <v>0</v>
      </c>
      <c r="N531" s="1125">
        <f t="shared" si="352"/>
        <v>0</v>
      </c>
      <c r="O531" s="1125">
        <f t="shared" si="352"/>
        <v>0</v>
      </c>
      <c r="P531" s="1125">
        <f t="shared" si="352"/>
        <v>0</v>
      </c>
      <c r="Q531" s="1125">
        <f t="shared" si="352"/>
        <v>0</v>
      </c>
      <c r="R531" s="1125">
        <f t="shared" si="352"/>
        <v>0</v>
      </c>
      <c r="S531" s="1125">
        <f t="shared" si="352"/>
        <v>0</v>
      </c>
      <c r="T531" s="1125">
        <f t="shared" si="352"/>
        <v>0</v>
      </c>
      <c r="U531" s="1125">
        <f t="shared" si="352"/>
        <v>0</v>
      </c>
      <c r="V531" s="1125">
        <f t="shared" si="352"/>
        <v>0</v>
      </c>
      <c r="W531" s="1125">
        <f t="shared" si="352"/>
        <v>0</v>
      </c>
      <c r="X531" s="1125">
        <f t="shared" si="352"/>
        <v>0</v>
      </c>
      <c r="Y531" s="1125">
        <f t="shared" si="352"/>
        <v>0</v>
      </c>
      <c r="Z531" s="1125">
        <f t="shared" si="352"/>
        <v>0</v>
      </c>
      <c r="AA531" s="1125">
        <f t="shared" si="352"/>
        <v>0</v>
      </c>
      <c r="AB531" s="1125">
        <f t="shared" si="352"/>
        <v>0</v>
      </c>
      <c r="AC531" s="1125">
        <f t="shared" si="352"/>
        <v>0</v>
      </c>
      <c r="AD531" s="1125">
        <f t="shared" si="352"/>
        <v>0</v>
      </c>
      <c r="AE531" s="1125">
        <f t="shared" si="352"/>
        <v>0</v>
      </c>
      <c r="AF531" s="1125">
        <f t="shared" si="352"/>
        <v>0</v>
      </c>
      <c r="AG531" s="818"/>
    </row>
    <row r="532" spans="1:33">
      <c r="A532" s="1122" t="str">
        <f>A542&amp;"  ($)"</f>
        <v>Other Current Assets  ($)</v>
      </c>
      <c r="B532" s="1004"/>
      <c r="C532" s="1004"/>
      <c r="D532" s="1004"/>
      <c r="E532" s="1123">
        <v>0</v>
      </c>
      <c r="F532" s="1123">
        <v>0</v>
      </c>
      <c r="G532" s="1123">
        <v>0</v>
      </c>
      <c r="H532" s="1123">
        <v>0</v>
      </c>
      <c r="I532" s="1126">
        <f>Debt!E72</f>
        <v>0</v>
      </c>
      <c r="J532" s="1127">
        <f t="shared" ref="J532:AF532" si="353">I532</f>
        <v>0</v>
      </c>
      <c r="K532" s="1127">
        <f t="shared" si="353"/>
        <v>0</v>
      </c>
      <c r="L532" s="1127">
        <f t="shared" si="353"/>
        <v>0</v>
      </c>
      <c r="M532" s="1127">
        <f t="shared" si="353"/>
        <v>0</v>
      </c>
      <c r="N532" s="1127">
        <f t="shared" si="353"/>
        <v>0</v>
      </c>
      <c r="O532" s="1127">
        <f t="shared" si="353"/>
        <v>0</v>
      </c>
      <c r="P532" s="1127">
        <f t="shared" si="353"/>
        <v>0</v>
      </c>
      <c r="Q532" s="1127">
        <f t="shared" si="353"/>
        <v>0</v>
      </c>
      <c r="R532" s="1127">
        <f t="shared" si="353"/>
        <v>0</v>
      </c>
      <c r="S532" s="1127">
        <f t="shared" si="353"/>
        <v>0</v>
      </c>
      <c r="T532" s="1127">
        <f t="shared" si="353"/>
        <v>0</v>
      </c>
      <c r="U532" s="1127">
        <f t="shared" si="353"/>
        <v>0</v>
      </c>
      <c r="V532" s="1127">
        <f t="shared" si="353"/>
        <v>0</v>
      </c>
      <c r="W532" s="1127">
        <f t="shared" si="353"/>
        <v>0</v>
      </c>
      <c r="X532" s="1127">
        <f t="shared" si="353"/>
        <v>0</v>
      </c>
      <c r="Y532" s="1127">
        <f t="shared" si="353"/>
        <v>0</v>
      </c>
      <c r="Z532" s="1127">
        <f t="shared" si="353"/>
        <v>0</v>
      </c>
      <c r="AA532" s="1127">
        <f t="shared" si="353"/>
        <v>0</v>
      </c>
      <c r="AB532" s="1127">
        <f t="shared" si="353"/>
        <v>0</v>
      </c>
      <c r="AC532" s="1127">
        <f t="shared" si="353"/>
        <v>0</v>
      </c>
      <c r="AD532" s="1127">
        <f t="shared" si="353"/>
        <v>0</v>
      </c>
      <c r="AE532" s="1127">
        <f t="shared" si="353"/>
        <v>0</v>
      </c>
      <c r="AF532" s="1127">
        <f t="shared" si="353"/>
        <v>0</v>
      </c>
      <c r="AG532" s="818"/>
    </row>
    <row r="533" spans="1:33">
      <c r="A533" s="1122" t="str">
        <f>A543&amp;"  (Days)"</f>
        <v>Accounts Payable  (Days)</v>
      </c>
      <c r="B533" s="1004"/>
      <c r="C533" s="1004"/>
      <c r="D533" s="1004"/>
      <c r="E533" s="1123">
        <v>0</v>
      </c>
      <c r="F533" s="1123">
        <v>0</v>
      </c>
      <c r="G533" s="1123">
        <v>0</v>
      </c>
      <c r="H533" s="1123">
        <v>0</v>
      </c>
      <c r="I533" s="1124">
        <f>Debt!E73</f>
        <v>30</v>
      </c>
      <c r="J533" s="1125">
        <f t="shared" ref="J533:AF533" si="354">I533</f>
        <v>30</v>
      </c>
      <c r="K533" s="1125">
        <f t="shared" si="354"/>
        <v>30</v>
      </c>
      <c r="L533" s="1125">
        <f t="shared" si="354"/>
        <v>30</v>
      </c>
      <c r="M533" s="1125">
        <f t="shared" si="354"/>
        <v>30</v>
      </c>
      <c r="N533" s="1125">
        <f t="shared" si="354"/>
        <v>30</v>
      </c>
      <c r="O533" s="1125">
        <f t="shared" si="354"/>
        <v>30</v>
      </c>
      <c r="P533" s="1125">
        <f t="shared" si="354"/>
        <v>30</v>
      </c>
      <c r="Q533" s="1125">
        <f t="shared" si="354"/>
        <v>30</v>
      </c>
      <c r="R533" s="1125">
        <f t="shared" si="354"/>
        <v>30</v>
      </c>
      <c r="S533" s="1125">
        <f t="shared" si="354"/>
        <v>30</v>
      </c>
      <c r="T533" s="1125">
        <f t="shared" si="354"/>
        <v>30</v>
      </c>
      <c r="U533" s="1125">
        <f t="shared" si="354"/>
        <v>30</v>
      </c>
      <c r="V533" s="1125">
        <f t="shared" si="354"/>
        <v>30</v>
      </c>
      <c r="W533" s="1125">
        <f t="shared" si="354"/>
        <v>30</v>
      </c>
      <c r="X533" s="1125">
        <f t="shared" si="354"/>
        <v>30</v>
      </c>
      <c r="Y533" s="1125">
        <f t="shared" si="354"/>
        <v>30</v>
      </c>
      <c r="Z533" s="1125">
        <f t="shared" si="354"/>
        <v>30</v>
      </c>
      <c r="AA533" s="1125">
        <f t="shared" si="354"/>
        <v>30</v>
      </c>
      <c r="AB533" s="1125">
        <f t="shared" si="354"/>
        <v>30</v>
      </c>
      <c r="AC533" s="1125">
        <f t="shared" si="354"/>
        <v>30</v>
      </c>
      <c r="AD533" s="1125">
        <f t="shared" si="354"/>
        <v>30</v>
      </c>
      <c r="AE533" s="1125">
        <f t="shared" si="354"/>
        <v>30</v>
      </c>
      <c r="AF533" s="1125">
        <f t="shared" si="354"/>
        <v>30</v>
      </c>
      <c r="AG533" s="818"/>
    </row>
    <row r="534" spans="1:33">
      <c r="A534" s="1122" t="str">
        <f>A544&amp;"  (Days)"</f>
        <v>Accrued Expenses  (Days)</v>
      </c>
      <c r="B534" s="1004"/>
      <c r="C534" s="1004"/>
      <c r="D534" s="1004"/>
      <c r="E534" s="1123">
        <v>0</v>
      </c>
      <c r="F534" s="1123">
        <v>0</v>
      </c>
      <c r="G534" s="1123">
        <v>0</v>
      </c>
      <c r="H534" s="1123">
        <v>0</v>
      </c>
      <c r="I534" s="1124">
        <f>Debt!E74</f>
        <v>31</v>
      </c>
      <c r="J534" s="1125">
        <f t="shared" ref="J534:AF534" si="355">I534</f>
        <v>31</v>
      </c>
      <c r="K534" s="1125">
        <f t="shared" si="355"/>
        <v>31</v>
      </c>
      <c r="L534" s="1125">
        <f t="shared" si="355"/>
        <v>31</v>
      </c>
      <c r="M534" s="1125">
        <f t="shared" si="355"/>
        <v>31</v>
      </c>
      <c r="N534" s="1125">
        <f t="shared" si="355"/>
        <v>31</v>
      </c>
      <c r="O534" s="1125">
        <f t="shared" si="355"/>
        <v>31</v>
      </c>
      <c r="P534" s="1125">
        <f t="shared" si="355"/>
        <v>31</v>
      </c>
      <c r="Q534" s="1125">
        <f t="shared" si="355"/>
        <v>31</v>
      </c>
      <c r="R534" s="1125">
        <f t="shared" si="355"/>
        <v>31</v>
      </c>
      <c r="S534" s="1125">
        <f t="shared" si="355"/>
        <v>31</v>
      </c>
      <c r="T534" s="1125">
        <f t="shared" si="355"/>
        <v>31</v>
      </c>
      <c r="U534" s="1125">
        <f t="shared" si="355"/>
        <v>31</v>
      </c>
      <c r="V534" s="1125">
        <f t="shared" si="355"/>
        <v>31</v>
      </c>
      <c r="W534" s="1125">
        <f t="shared" si="355"/>
        <v>31</v>
      </c>
      <c r="X534" s="1125">
        <f t="shared" si="355"/>
        <v>31</v>
      </c>
      <c r="Y534" s="1125">
        <f t="shared" si="355"/>
        <v>31</v>
      </c>
      <c r="Z534" s="1125">
        <f t="shared" si="355"/>
        <v>31</v>
      </c>
      <c r="AA534" s="1125">
        <f t="shared" si="355"/>
        <v>31</v>
      </c>
      <c r="AB534" s="1125">
        <f t="shared" si="355"/>
        <v>31</v>
      </c>
      <c r="AC534" s="1125">
        <f t="shared" si="355"/>
        <v>31</v>
      </c>
      <c r="AD534" s="1125">
        <f t="shared" si="355"/>
        <v>31</v>
      </c>
      <c r="AE534" s="1125">
        <f t="shared" si="355"/>
        <v>31</v>
      </c>
      <c r="AF534" s="1125">
        <f t="shared" si="355"/>
        <v>31</v>
      </c>
      <c r="AG534" s="818"/>
    </row>
    <row r="535" spans="1:33">
      <c r="A535" s="1122" t="str">
        <f>A545&amp;"  ($)"</f>
        <v>Other Payables  ($)</v>
      </c>
      <c r="B535" s="1004"/>
      <c r="C535" s="1004"/>
      <c r="D535" s="1004"/>
      <c r="E535" s="1123">
        <v>0</v>
      </c>
      <c r="F535" s="1123">
        <v>0</v>
      </c>
      <c r="G535" s="1123">
        <v>0</v>
      </c>
      <c r="H535" s="1123">
        <v>0</v>
      </c>
      <c r="I535" s="1126">
        <f>Debt!E75</f>
        <v>0</v>
      </c>
      <c r="J535" s="1127">
        <f t="shared" ref="J535:AF535" si="356">I535</f>
        <v>0</v>
      </c>
      <c r="K535" s="1127">
        <f t="shared" si="356"/>
        <v>0</v>
      </c>
      <c r="L535" s="1127">
        <f t="shared" si="356"/>
        <v>0</v>
      </c>
      <c r="M535" s="1127">
        <f t="shared" si="356"/>
        <v>0</v>
      </c>
      <c r="N535" s="1127">
        <f t="shared" si="356"/>
        <v>0</v>
      </c>
      <c r="O535" s="1127">
        <f t="shared" si="356"/>
        <v>0</v>
      </c>
      <c r="P535" s="1127">
        <f t="shared" si="356"/>
        <v>0</v>
      </c>
      <c r="Q535" s="1127">
        <f t="shared" si="356"/>
        <v>0</v>
      </c>
      <c r="R535" s="1127">
        <f t="shared" si="356"/>
        <v>0</v>
      </c>
      <c r="S535" s="1127">
        <f t="shared" si="356"/>
        <v>0</v>
      </c>
      <c r="T535" s="1127">
        <f t="shared" si="356"/>
        <v>0</v>
      </c>
      <c r="U535" s="1127">
        <f t="shared" si="356"/>
        <v>0</v>
      </c>
      <c r="V535" s="1127">
        <f t="shared" si="356"/>
        <v>0</v>
      </c>
      <c r="W535" s="1127">
        <f t="shared" si="356"/>
        <v>0</v>
      </c>
      <c r="X535" s="1127">
        <f t="shared" si="356"/>
        <v>0</v>
      </c>
      <c r="Y535" s="1127">
        <f t="shared" si="356"/>
        <v>0</v>
      </c>
      <c r="Z535" s="1127">
        <f t="shared" si="356"/>
        <v>0</v>
      </c>
      <c r="AA535" s="1127">
        <f t="shared" si="356"/>
        <v>0</v>
      </c>
      <c r="AB535" s="1127">
        <f t="shared" si="356"/>
        <v>0</v>
      </c>
      <c r="AC535" s="1127">
        <f t="shared" si="356"/>
        <v>0</v>
      </c>
      <c r="AD535" s="1127">
        <f t="shared" si="356"/>
        <v>0</v>
      </c>
      <c r="AE535" s="1127">
        <f t="shared" si="356"/>
        <v>0</v>
      </c>
      <c r="AF535" s="1127">
        <f t="shared" si="356"/>
        <v>0</v>
      </c>
      <c r="AG535" s="818"/>
    </row>
    <row r="536" spans="1:33">
      <c r="A536" s="818"/>
      <c r="B536" s="818"/>
      <c r="C536" s="818"/>
      <c r="D536" s="818"/>
      <c r="E536" s="818"/>
      <c r="F536" s="818"/>
      <c r="G536" s="818"/>
      <c r="H536" s="818"/>
      <c r="I536" s="818"/>
      <c r="J536" s="818"/>
      <c r="K536" s="818"/>
      <c r="L536" s="818"/>
      <c r="M536" s="818"/>
      <c r="N536" s="818"/>
      <c r="O536" s="818"/>
      <c r="P536" s="818"/>
      <c r="Q536" s="818"/>
      <c r="R536" s="818"/>
      <c r="S536" s="818"/>
      <c r="T536" s="818"/>
      <c r="U536" s="818"/>
      <c r="V536" s="818"/>
      <c r="W536" s="818"/>
      <c r="X536" s="818"/>
      <c r="Y536" s="818"/>
      <c r="Z536" s="818"/>
      <c r="AA536" s="818"/>
      <c r="AB536" s="818"/>
      <c r="AC536" s="818"/>
      <c r="AD536" s="818"/>
      <c r="AE536" s="818"/>
      <c r="AF536" s="818"/>
      <c r="AG536" s="818"/>
    </row>
    <row r="537" spans="1:33">
      <c r="A537" s="818"/>
      <c r="B537" s="818"/>
      <c r="C537" s="818"/>
      <c r="D537" s="818"/>
      <c r="E537" s="818"/>
      <c r="F537" s="818"/>
      <c r="G537" s="818"/>
      <c r="H537" s="818"/>
      <c r="I537" s="818"/>
      <c r="J537" s="818"/>
      <c r="K537" s="818"/>
      <c r="L537" s="818"/>
      <c r="M537" s="818"/>
      <c r="N537" s="818"/>
      <c r="O537" s="818"/>
      <c r="P537" s="818"/>
      <c r="Q537" s="818"/>
      <c r="R537" s="818"/>
      <c r="S537" s="818"/>
      <c r="T537" s="818"/>
      <c r="U537" s="818"/>
      <c r="V537" s="818"/>
      <c r="W537" s="818"/>
      <c r="X537" s="818"/>
      <c r="Y537" s="818"/>
      <c r="Z537" s="818"/>
      <c r="AA537" s="818"/>
      <c r="AB537" s="818"/>
      <c r="AC537" s="818"/>
      <c r="AD537" s="818"/>
      <c r="AE537" s="818"/>
      <c r="AF537" s="818"/>
      <c r="AG537" s="818"/>
    </row>
    <row r="538" spans="1:33" ht="12" thickBot="1">
      <c r="A538" s="1128" t="s">
        <v>744</v>
      </c>
      <c r="B538" s="1023"/>
      <c r="C538" s="1023"/>
      <c r="D538" s="1023"/>
      <c r="E538" s="1129">
        <f>E$599</f>
        <v>36891</v>
      </c>
      <c r="F538" s="1129">
        <f>F$599</f>
        <v>37256</v>
      </c>
      <c r="G538" s="1129">
        <f>G$599</f>
        <v>37621</v>
      </c>
      <c r="H538" s="1130">
        <f>H$599</f>
        <v>37802</v>
      </c>
      <c r="I538" s="1131">
        <f>I$599</f>
        <v>37986</v>
      </c>
      <c r="J538" s="1132">
        <f t="shared" ref="J538:AF538" si="357">J$599</f>
        <v>38352</v>
      </c>
      <c r="K538" s="1132">
        <f t="shared" si="357"/>
        <v>38717</v>
      </c>
      <c r="L538" s="1132">
        <f t="shared" si="357"/>
        <v>39082</v>
      </c>
      <c r="M538" s="1132">
        <f t="shared" si="357"/>
        <v>39447</v>
      </c>
      <c r="N538" s="1132">
        <f t="shared" si="357"/>
        <v>39813</v>
      </c>
      <c r="O538" s="1132">
        <f t="shared" si="357"/>
        <v>40178</v>
      </c>
      <c r="P538" s="1132">
        <f t="shared" si="357"/>
        <v>40543</v>
      </c>
      <c r="Q538" s="1132">
        <f t="shared" si="357"/>
        <v>40908</v>
      </c>
      <c r="R538" s="1132">
        <f t="shared" si="357"/>
        <v>41274</v>
      </c>
      <c r="S538" s="1132">
        <f t="shared" si="357"/>
        <v>41639</v>
      </c>
      <c r="T538" s="1132">
        <f t="shared" si="357"/>
        <v>42004</v>
      </c>
      <c r="U538" s="1132">
        <f t="shared" si="357"/>
        <v>42369</v>
      </c>
      <c r="V538" s="1132">
        <f t="shared" si="357"/>
        <v>42735</v>
      </c>
      <c r="W538" s="1132">
        <f t="shared" si="357"/>
        <v>43100</v>
      </c>
      <c r="X538" s="1132">
        <f t="shared" si="357"/>
        <v>43465</v>
      </c>
      <c r="Y538" s="1132">
        <f t="shared" si="357"/>
        <v>43830</v>
      </c>
      <c r="Z538" s="1132">
        <f t="shared" si="357"/>
        <v>44196</v>
      </c>
      <c r="AA538" s="1132">
        <f t="shared" si="357"/>
        <v>44561</v>
      </c>
      <c r="AB538" s="1132">
        <f t="shared" si="357"/>
        <v>44926</v>
      </c>
      <c r="AC538" s="1132">
        <f t="shared" si="357"/>
        <v>45291</v>
      </c>
      <c r="AD538" s="1132">
        <f t="shared" si="357"/>
        <v>45657</v>
      </c>
      <c r="AE538" s="1132">
        <f t="shared" si="357"/>
        <v>46022</v>
      </c>
      <c r="AF538" s="1133">
        <f t="shared" si="357"/>
        <v>46387</v>
      </c>
      <c r="AG538" s="818"/>
    </row>
    <row r="539" spans="1:33" ht="12" thickTop="1">
      <c r="A539" s="1134" t="s">
        <v>745</v>
      </c>
      <c r="B539" s="741"/>
      <c r="C539" s="741"/>
      <c r="D539" s="741"/>
      <c r="E539" s="1017">
        <f t="shared" ref="E539:G542" si="358">E485</f>
        <v>0</v>
      </c>
      <c r="F539" s="1017">
        <f t="shared" si="358"/>
        <v>0</v>
      </c>
      <c r="G539" s="1017">
        <f t="shared" si="358"/>
        <v>0</v>
      </c>
      <c r="H539" s="1415">
        <f t="array" ref="H539:H545" ca="1">+Debt!F69:F75</f>
        <v>17675.182272316943</v>
      </c>
      <c r="I539" s="1416">
        <f t="array" ref="I539:I545" ca="1">Debt!F69:F75</f>
        <v>17675.182272316943</v>
      </c>
      <c r="J539" s="1136">
        <f t="shared" ref="J539:AF539" ca="1" si="359">IF(J285=0,0,J529/365*(J$285))</f>
        <v>17675.182272316943</v>
      </c>
      <c r="K539" s="1135">
        <f t="shared" ca="1" si="359"/>
        <v>19390.436232839933</v>
      </c>
      <c r="L539" s="1135">
        <f t="shared" ca="1" si="359"/>
        <v>20149.781875011271</v>
      </c>
      <c r="M539" s="1135">
        <f t="shared" ca="1" si="359"/>
        <v>20448.685552701387</v>
      </c>
      <c r="N539" s="1135">
        <f t="shared" ca="1" si="359"/>
        <v>20261.096676451634</v>
      </c>
      <c r="O539" s="1135">
        <f t="shared" ca="1" si="359"/>
        <v>19952.221419718615</v>
      </c>
      <c r="P539" s="1135">
        <f t="shared" ca="1" si="359"/>
        <v>22391.232417624316</v>
      </c>
      <c r="Q539" s="1135">
        <f t="shared" ca="1" si="359"/>
        <v>22555.26904430283</v>
      </c>
      <c r="R539" s="1135">
        <f t="shared" ca="1" si="359"/>
        <v>22923.537367091907</v>
      </c>
      <c r="S539" s="1135">
        <f t="shared" ca="1" si="359"/>
        <v>23563.827368040824</v>
      </c>
      <c r="T539" s="1135">
        <f t="shared" ca="1" si="359"/>
        <v>23109.322425309096</v>
      </c>
      <c r="U539" s="1135">
        <f t="shared" ca="1" si="359"/>
        <v>23490.942513586175</v>
      </c>
      <c r="V539" s="1135">
        <f t="shared" ca="1" si="359"/>
        <v>23669.488485387621</v>
      </c>
      <c r="W539" s="1135">
        <f t="shared" ca="1" si="359"/>
        <v>23867.365281135739</v>
      </c>
      <c r="X539" s="1135">
        <f t="shared" ca="1" si="359"/>
        <v>23990.130901564531</v>
      </c>
      <c r="Y539" s="1135">
        <f t="shared" ca="1" si="359"/>
        <v>24636.855533754973</v>
      </c>
      <c r="Z539" s="1135">
        <f t="shared" ca="1" si="359"/>
        <v>24485.162296911552</v>
      </c>
      <c r="AA539" s="1135">
        <f t="shared" ca="1" si="359"/>
        <v>23928.635161689555</v>
      </c>
      <c r="AB539" s="1135">
        <f t="shared" ca="1" si="359"/>
        <v>22249.289615098227</v>
      </c>
      <c r="AC539" s="1135">
        <f t="shared" si="359"/>
        <v>0</v>
      </c>
      <c r="AD539" s="1135">
        <f t="shared" si="359"/>
        <v>0</v>
      </c>
      <c r="AE539" s="1135">
        <f t="shared" si="359"/>
        <v>0</v>
      </c>
      <c r="AF539" s="1137">
        <f t="shared" si="359"/>
        <v>0</v>
      </c>
      <c r="AG539" s="818"/>
    </row>
    <row r="540" spans="1:33">
      <c r="A540" s="1134" t="str">
        <f>A370</f>
        <v>Accounts Receivable</v>
      </c>
      <c r="B540" s="741"/>
      <c r="C540" s="1138"/>
      <c r="D540" s="1017"/>
      <c r="E540" s="1017">
        <f t="shared" si="358"/>
        <v>0</v>
      </c>
      <c r="F540" s="1017">
        <f t="shared" si="358"/>
        <v>0</v>
      </c>
      <c r="G540" s="1017">
        <f t="shared" si="358"/>
        <v>0</v>
      </c>
      <c r="H540" s="1415">
        <f ca="1"/>
        <v>17675.182272316943</v>
      </c>
      <c r="I540" s="1416">
        <f ca="1"/>
        <v>17675.182272316943</v>
      </c>
      <c r="J540" s="1136">
        <f t="shared" ref="J540:AF540" ca="1" si="360">J530/365*(J$285)</f>
        <v>17675.182272316943</v>
      </c>
      <c r="K540" s="1135">
        <f t="shared" ca="1" si="360"/>
        <v>19390.436232839933</v>
      </c>
      <c r="L540" s="1135">
        <f t="shared" ca="1" si="360"/>
        <v>20149.781875011271</v>
      </c>
      <c r="M540" s="1135">
        <f t="shared" ca="1" si="360"/>
        <v>20448.685552701387</v>
      </c>
      <c r="N540" s="1135">
        <f t="shared" ca="1" si="360"/>
        <v>20261.096676451634</v>
      </c>
      <c r="O540" s="1135">
        <f t="shared" ca="1" si="360"/>
        <v>19952.221419718615</v>
      </c>
      <c r="P540" s="1135">
        <f t="shared" ca="1" si="360"/>
        <v>22391.232417624316</v>
      </c>
      <c r="Q540" s="1135">
        <f t="shared" ca="1" si="360"/>
        <v>22555.26904430283</v>
      </c>
      <c r="R540" s="1135">
        <f t="shared" ca="1" si="360"/>
        <v>22923.537367091907</v>
      </c>
      <c r="S540" s="1135">
        <f t="shared" ca="1" si="360"/>
        <v>23563.827368040824</v>
      </c>
      <c r="T540" s="1135">
        <f t="shared" ca="1" si="360"/>
        <v>23109.322425309096</v>
      </c>
      <c r="U540" s="1135">
        <f t="shared" ca="1" si="360"/>
        <v>23490.942513586175</v>
      </c>
      <c r="V540" s="1135">
        <f t="shared" ca="1" si="360"/>
        <v>23669.488485387621</v>
      </c>
      <c r="W540" s="1135">
        <f t="shared" ca="1" si="360"/>
        <v>23867.365281135739</v>
      </c>
      <c r="X540" s="1135">
        <f t="shared" ca="1" si="360"/>
        <v>23990.130901564531</v>
      </c>
      <c r="Y540" s="1135">
        <f t="shared" ca="1" si="360"/>
        <v>24636.855533754973</v>
      </c>
      <c r="Z540" s="1135">
        <f t="shared" ca="1" si="360"/>
        <v>24485.162296911552</v>
      </c>
      <c r="AA540" s="1135">
        <f t="shared" ca="1" si="360"/>
        <v>23928.635161689555</v>
      </c>
      <c r="AB540" s="1135">
        <f t="shared" ca="1" si="360"/>
        <v>22249.289615098227</v>
      </c>
      <c r="AC540" s="1135">
        <f t="shared" si="360"/>
        <v>0</v>
      </c>
      <c r="AD540" s="1135">
        <f t="shared" si="360"/>
        <v>0</v>
      </c>
      <c r="AE540" s="1135">
        <f t="shared" si="360"/>
        <v>0</v>
      </c>
      <c r="AF540" s="1137">
        <f t="shared" si="360"/>
        <v>0</v>
      </c>
      <c r="AG540" s="818"/>
    </row>
    <row r="541" spans="1:33">
      <c r="A541" s="1134" t="str">
        <f>A371</f>
        <v>Inventories</v>
      </c>
      <c r="B541" s="741"/>
      <c r="C541" s="1138"/>
      <c r="D541" s="1017"/>
      <c r="E541" s="1017">
        <f t="shared" si="358"/>
        <v>0</v>
      </c>
      <c r="F541" s="1017">
        <f t="shared" si="358"/>
        <v>0</v>
      </c>
      <c r="G541" s="1017">
        <f t="shared" si="358"/>
        <v>0</v>
      </c>
      <c r="H541" s="1415">
        <v>0</v>
      </c>
      <c r="I541" s="1416">
        <v>0</v>
      </c>
      <c r="J541" s="1136">
        <f t="shared" ref="J541:AF541" si="361">IF(J531=0,0,(J$286)/J531)</f>
        <v>0</v>
      </c>
      <c r="K541" s="1135">
        <f t="shared" si="361"/>
        <v>0</v>
      </c>
      <c r="L541" s="1135">
        <f t="shared" si="361"/>
        <v>0</v>
      </c>
      <c r="M541" s="1135">
        <f t="shared" si="361"/>
        <v>0</v>
      </c>
      <c r="N541" s="1135">
        <f t="shared" si="361"/>
        <v>0</v>
      </c>
      <c r="O541" s="1135">
        <f t="shared" si="361"/>
        <v>0</v>
      </c>
      <c r="P541" s="1135">
        <f t="shared" si="361"/>
        <v>0</v>
      </c>
      <c r="Q541" s="1135">
        <f t="shared" si="361"/>
        <v>0</v>
      </c>
      <c r="R541" s="1135">
        <f t="shared" si="361"/>
        <v>0</v>
      </c>
      <c r="S541" s="1135">
        <f t="shared" si="361"/>
        <v>0</v>
      </c>
      <c r="T541" s="1135">
        <f t="shared" si="361"/>
        <v>0</v>
      </c>
      <c r="U541" s="1135">
        <f t="shared" si="361"/>
        <v>0</v>
      </c>
      <c r="V541" s="1135">
        <f t="shared" si="361"/>
        <v>0</v>
      </c>
      <c r="W541" s="1135">
        <f t="shared" si="361"/>
        <v>0</v>
      </c>
      <c r="X541" s="1135">
        <f t="shared" si="361"/>
        <v>0</v>
      </c>
      <c r="Y541" s="1135">
        <f t="shared" si="361"/>
        <v>0</v>
      </c>
      <c r="Z541" s="1135">
        <f t="shared" si="361"/>
        <v>0</v>
      </c>
      <c r="AA541" s="1135">
        <f t="shared" si="361"/>
        <v>0</v>
      </c>
      <c r="AB541" s="1135">
        <f t="shared" si="361"/>
        <v>0</v>
      </c>
      <c r="AC541" s="1135">
        <f t="shared" si="361"/>
        <v>0</v>
      </c>
      <c r="AD541" s="1135">
        <f t="shared" si="361"/>
        <v>0</v>
      </c>
      <c r="AE541" s="1135">
        <f t="shared" si="361"/>
        <v>0</v>
      </c>
      <c r="AF541" s="1137">
        <f t="shared" si="361"/>
        <v>0</v>
      </c>
      <c r="AG541" s="818"/>
    </row>
    <row r="542" spans="1:33">
      <c r="A542" s="1134" t="str">
        <f>A372</f>
        <v>Other Current Assets</v>
      </c>
      <c r="B542" s="741"/>
      <c r="C542" s="1138"/>
      <c r="D542" s="1017"/>
      <c r="E542" s="1017">
        <f t="shared" si="358"/>
        <v>0</v>
      </c>
      <c r="F542" s="1017">
        <f t="shared" si="358"/>
        <v>0</v>
      </c>
      <c r="G542" s="1017">
        <f t="shared" si="358"/>
        <v>0</v>
      </c>
      <c r="H542" s="1415">
        <v>0</v>
      </c>
      <c r="I542" s="1416">
        <v>0</v>
      </c>
      <c r="J542" s="1136">
        <f t="shared" ref="J542:AF542" si="362">J532</f>
        <v>0</v>
      </c>
      <c r="K542" s="1135">
        <f t="shared" si="362"/>
        <v>0</v>
      </c>
      <c r="L542" s="1135">
        <f t="shared" si="362"/>
        <v>0</v>
      </c>
      <c r="M542" s="1135">
        <f t="shared" si="362"/>
        <v>0</v>
      </c>
      <c r="N542" s="1135">
        <f t="shared" si="362"/>
        <v>0</v>
      </c>
      <c r="O542" s="1135">
        <f t="shared" si="362"/>
        <v>0</v>
      </c>
      <c r="P542" s="1135">
        <f t="shared" si="362"/>
        <v>0</v>
      </c>
      <c r="Q542" s="1135">
        <f t="shared" si="362"/>
        <v>0</v>
      </c>
      <c r="R542" s="1135">
        <f t="shared" si="362"/>
        <v>0</v>
      </c>
      <c r="S542" s="1135">
        <f t="shared" si="362"/>
        <v>0</v>
      </c>
      <c r="T542" s="1135">
        <f t="shared" si="362"/>
        <v>0</v>
      </c>
      <c r="U542" s="1135">
        <f t="shared" si="362"/>
        <v>0</v>
      </c>
      <c r="V542" s="1135">
        <f t="shared" si="362"/>
        <v>0</v>
      </c>
      <c r="W542" s="1135">
        <f t="shared" si="362"/>
        <v>0</v>
      </c>
      <c r="X542" s="1135">
        <f t="shared" si="362"/>
        <v>0</v>
      </c>
      <c r="Y542" s="1135">
        <f t="shared" si="362"/>
        <v>0</v>
      </c>
      <c r="Z542" s="1135">
        <f t="shared" si="362"/>
        <v>0</v>
      </c>
      <c r="AA542" s="1135">
        <f t="shared" si="362"/>
        <v>0</v>
      </c>
      <c r="AB542" s="1135">
        <f t="shared" si="362"/>
        <v>0</v>
      </c>
      <c r="AC542" s="1135">
        <f t="shared" si="362"/>
        <v>0</v>
      </c>
      <c r="AD542" s="1135">
        <f t="shared" si="362"/>
        <v>0</v>
      </c>
      <c r="AE542" s="1135">
        <f t="shared" si="362"/>
        <v>0</v>
      </c>
      <c r="AF542" s="1137">
        <f t="shared" si="362"/>
        <v>0</v>
      </c>
      <c r="AG542" s="818"/>
    </row>
    <row r="543" spans="1:33">
      <c r="A543" s="1134" t="str">
        <f>A388</f>
        <v>Accounts Payable</v>
      </c>
      <c r="B543" s="741"/>
      <c r="C543" s="1138"/>
      <c r="D543" s="1017"/>
      <c r="E543" s="1017">
        <f t="shared" ref="E543:G545" si="363">E503</f>
        <v>0</v>
      </c>
      <c r="F543" s="1017">
        <f t="shared" si="363"/>
        <v>0</v>
      </c>
      <c r="G543" s="1017">
        <f t="shared" si="363"/>
        <v>0</v>
      </c>
      <c r="H543" s="1415">
        <f ca="1"/>
        <v>10040.306107548124</v>
      </c>
      <c r="I543" s="1416">
        <f ca="1"/>
        <v>10040.306107548124</v>
      </c>
      <c r="J543" s="1136">
        <f t="shared" ref="J543:AF543" ca="1" si="364">J533/365*(J$286)</f>
        <v>10040.306107548122</v>
      </c>
      <c r="K543" s="1135">
        <f t="shared" ca="1" si="364"/>
        <v>10306.967392437524</v>
      </c>
      <c r="L543" s="1135">
        <f t="shared" ca="1" si="364"/>
        <v>10530.029402512839</v>
      </c>
      <c r="M543" s="1135">
        <f t="shared" ca="1" si="364"/>
        <v>10928.489258997315</v>
      </c>
      <c r="N543" s="1135">
        <f t="shared" ca="1" si="364"/>
        <v>11344.624718582256</v>
      </c>
      <c r="O543" s="1135">
        <f t="shared" ca="1" si="364"/>
        <v>11221.900008174853</v>
      </c>
      <c r="P543" s="1135">
        <f t="shared" ca="1" si="364"/>
        <v>12051.845340980159</v>
      </c>
      <c r="Q543" s="1135">
        <f t="shared" ca="1" si="364"/>
        <v>12425.159893917733</v>
      </c>
      <c r="R543" s="1135">
        <f t="shared" ca="1" si="364"/>
        <v>12670.274640003458</v>
      </c>
      <c r="S543" s="1135">
        <f t="shared" ca="1" si="364"/>
        <v>13124.957776940473</v>
      </c>
      <c r="T543" s="1135">
        <f t="shared" ca="1" si="364"/>
        <v>13488.440823518702</v>
      </c>
      <c r="U543" s="1135">
        <f t="shared" ca="1" si="364"/>
        <v>13079.0688248386</v>
      </c>
      <c r="V543" s="1135">
        <f t="shared" ca="1" si="364"/>
        <v>14079.06743755153</v>
      </c>
      <c r="W543" s="1135">
        <f t="shared" ca="1" si="364"/>
        <v>14529.465681753394</v>
      </c>
      <c r="X543" s="1135">
        <f t="shared" ca="1" si="364"/>
        <v>14843.58050267273</v>
      </c>
      <c r="Y543" s="1135">
        <f t="shared" ca="1" si="364"/>
        <v>15374.64655310311</v>
      </c>
      <c r="Z543" s="1135">
        <f t="shared" ca="1" si="364"/>
        <v>15612.657098310419</v>
      </c>
      <c r="AA543" s="1135">
        <f t="shared" ca="1" si="364"/>
        <v>14958.980314855748</v>
      </c>
      <c r="AB543" s="1135">
        <f t="shared" ca="1" si="364"/>
        <v>14702.865544058926</v>
      </c>
      <c r="AC543" s="1135">
        <f t="shared" si="364"/>
        <v>0</v>
      </c>
      <c r="AD543" s="1135">
        <f t="shared" si="364"/>
        <v>0</v>
      </c>
      <c r="AE543" s="1135">
        <f t="shared" si="364"/>
        <v>0</v>
      </c>
      <c r="AF543" s="1137">
        <f t="shared" si="364"/>
        <v>0</v>
      </c>
      <c r="AG543" s="818"/>
    </row>
    <row r="544" spans="1:33">
      <c r="A544" s="1134" t="str">
        <f>A389</f>
        <v>Accrued Expenses</v>
      </c>
      <c r="B544" s="741"/>
      <c r="C544" s="1138"/>
      <c r="D544" s="1017"/>
      <c r="E544" s="1017">
        <f t="shared" si="363"/>
        <v>0</v>
      </c>
      <c r="F544" s="1017">
        <f t="shared" si="363"/>
        <v>0</v>
      </c>
      <c r="G544" s="1017">
        <f t="shared" si="363"/>
        <v>0</v>
      </c>
      <c r="H544" s="1415">
        <f ca="1"/>
        <v>18264.355014727509</v>
      </c>
      <c r="I544" s="1416">
        <f ca="1"/>
        <v>18264.355014727509</v>
      </c>
      <c r="J544" s="1136">
        <f t="shared" ref="J544:AF544" ca="1" si="365">J534/365*(J$285)</f>
        <v>18264.355014727509</v>
      </c>
      <c r="K544" s="1135">
        <f t="shared" ca="1" si="365"/>
        <v>20036.784107267929</v>
      </c>
      <c r="L544" s="1135">
        <f t="shared" ca="1" si="365"/>
        <v>20821.441270844982</v>
      </c>
      <c r="M544" s="1135">
        <f t="shared" ca="1" si="365"/>
        <v>21130.308404458101</v>
      </c>
      <c r="N544" s="1135">
        <f t="shared" ca="1" si="365"/>
        <v>20936.466565666691</v>
      </c>
      <c r="O544" s="1135">
        <f t="shared" ca="1" si="365"/>
        <v>20617.295467042568</v>
      </c>
      <c r="P544" s="1135">
        <f t="shared" ca="1" si="365"/>
        <v>23137.606831545127</v>
      </c>
      <c r="Q544" s="1135">
        <f t="shared" ca="1" si="365"/>
        <v>23307.111345779591</v>
      </c>
      <c r="R544" s="1135">
        <f t="shared" ca="1" si="365"/>
        <v>23687.655279328304</v>
      </c>
      <c r="S544" s="1135">
        <f t="shared" ca="1" si="365"/>
        <v>24349.288280308854</v>
      </c>
      <c r="T544" s="1135">
        <f t="shared" ca="1" si="365"/>
        <v>23879.633172819398</v>
      </c>
      <c r="U544" s="1135">
        <f t="shared" ca="1" si="365"/>
        <v>24273.973930705717</v>
      </c>
      <c r="V544" s="1135">
        <f t="shared" ca="1" si="365"/>
        <v>24458.471434900541</v>
      </c>
      <c r="W544" s="1135">
        <f t="shared" ca="1" si="365"/>
        <v>24662.944123840265</v>
      </c>
      <c r="X544" s="1135">
        <f t="shared" ca="1" si="365"/>
        <v>24789.801931616683</v>
      </c>
      <c r="Y544" s="1135">
        <f t="shared" ca="1" si="365"/>
        <v>25458.084051546808</v>
      </c>
      <c r="Z544" s="1135">
        <f t="shared" ca="1" si="365"/>
        <v>25301.334373475271</v>
      </c>
      <c r="AA544" s="1135">
        <f t="shared" ca="1" si="365"/>
        <v>24726.256333745874</v>
      </c>
      <c r="AB544" s="1135">
        <f t="shared" ca="1" si="365"/>
        <v>22990.932602268167</v>
      </c>
      <c r="AC544" s="1135">
        <f t="shared" si="365"/>
        <v>0</v>
      </c>
      <c r="AD544" s="1135">
        <f t="shared" si="365"/>
        <v>0</v>
      </c>
      <c r="AE544" s="1135">
        <f t="shared" si="365"/>
        <v>0</v>
      </c>
      <c r="AF544" s="1137">
        <f t="shared" si="365"/>
        <v>0</v>
      </c>
      <c r="AG544" s="818"/>
    </row>
    <row r="545" spans="1:33">
      <c r="A545" s="1134" t="str">
        <f>A390</f>
        <v>Other Payables</v>
      </c>
      <c r="B545" s="741"/>
      <c r="C545" s="1017"/>
      <c r="D545" s="1017"/>
      <c r="E545" s="1017">
        <f t="shared" si="363"/>
        <v>0</v>
      </c>
      <c r="F545" s="1017">
        <f t="shared" si="363"/>
        <v>0</v>
      </c>
      <c r="G545" s="1017">
        <f t="shared" si="363"/>
        <v>0</v>
      </c>
      <c r="H545" s="1415">
        <f ca="1"/>
        <v>0</v>
      </c>
      <c r="I545" s="1416">
        <f ca="1"/>
        <v>0</v>
      </c>
      <c r="J545" s="1136">
        <f t="shared" ref="J545:AF545" si="366">J535</f>
        <v>0</v>
      </c>
      <c r="K545" s="1135">
        <f t="shared" si="366"/>
        <v>0</v>
      </c>
      <c r="L545" s="1135">
        <f t="shared" si="366"/>
        <v>0</v>
      </c>
      <c r="M545" s="1135">
        <f t="shared" si="366"/>
        <v>0</v>
      </c>
      <c r="N545" s="1135">
        <f t="shared" si="366"/>
        <v>0</v>
      </c>
      <c r="O545" s="1135">
        <f t="shared" si="366"/>
        <v>0</v>
      </c>
      <c r="P545" s="1135">
        <f t="shared" si="366"/>
        <v>0</v>
      </c>
      <c r="Q545" s="1135">
        <f t="shared" si="366"/>
        <v>0</v>
      </c>
      <c r="R545" s="1135">
        <f t="shared" si="366"/>
        <v>0</v>
      </c>
      <c r="S545" s="1135">
        <f t="shared" si="366"/>
        <v>0</v>
      </c>
      <c r="T545" s="1135">
        <f t="shared" si="366"/>
        <v>0</v>
      </c>
      <c r="U545" s="1135">
        <f t="shared" si="366"/>
        <v>0</v>
      </c>
      <c r="V545" s="1135">
        <f t="shared" si="366"/>
        <v>0</v>
      </c>
      <c r="W545" s="1135">
        <f t="shared" si="366"/>
        <v>0</v>
      </c>
      <c r="X545" s="1135">
        <f t="shared" si="366"/>
        <v>0</v>
      </c>
      <c r="Y545" s="1135">
        <f t="shared" si="366"/>
        <v>0</v>
      </c>
      <c r="Z545" s="1135">
        <f t="shared" si="366"/>
        <v>0</v>
      </c>
      <c r="AA545" s="1135">
        <f t="shared" si="366"/>
        <v>0</v>
      </c>
      <c r="AB545" s="1135">
        <f t="shared" si="366"/>
        <v>0</v>
      </c>
      <c r="AC545" s="1135">
        <f t="shared" si="366"/>
        <v>0</v>
      </c>
      <c r="AD545" s="1135">
        <f t="shared" si="366"/>
        <v>0</v>
      </c>
      <c r="AE545" s="1135">
        <f t="shared" si="366"/>
        <v>0</v>
      </c>
      <c r="AF545" s="1137">
        <f t="shared" si="366"/>
        <v>0</v>
      </c>
      <c r="AG545" s="818"/>
    </row>
    <row r="546" spans="1:33" ht="12" thickBot="1">
      <c r="A546" s="1134" t="s">
        <v>746</v>
      </c>
      <c r="B546" s="741"/>
      <c r="C546" s="1017"/>
      <c r="D546" s="1139">
        <f>E546</f>
        <v>0</v>
      </c>
      <c r="E546" s="1034">
        <f t="shared" ref="E546:AF546" si="367">E539+E540+E541+E542-E543-E544-E545</f>
        <v>0</v>
      </c>
      <c r="F546" s="1034">
        <f t="shared" si="367"/>
        <v>0</v>
      </c>
      <c r="G546" s="1034">
        <f t="shared" si="367"/>
        <v>0</v>
      </c>
      <c r="H546" s="1034">
        <f t="shared" ca="1" si="367"/>
        <v>7045.7034223582523</v>
      </c>
      <c r="I546" s="1034">
        <f t="shared" ca="1" si="367"/>
        <v>7045.7034223582523</v>
      </c>
      <c r="J546" s="1140">
        <f t="shared" ca="1" si="367"/>
        <v>7045.7034223582523</v>
      </c>
      <c r="K546" s="1034">
        <f t="shared" ca="1" si="367"/>
        <v>8437.1209659744127</v>
      </c>
      <c r="L546" s="1034">
        <f t="shared" ca="1" si="367"/>
        <v>8948.0930766647216</v>
      </c>
      <c r="M546" s="1034">
        <f t="shared" ca="1" si="367"/>
        <v>8838.5734419473556</v>
      </c>
      <c r="N546" s="1034">
        <f t="shared" ca="1" si="367"/>
        <v>8241.1020686543197</v>
      </c>
      <c r="O546" s="1034">
        <f t="shared" ca="1" si="367"/>
        <v>8065.2473642198092</v>
      </c>
      <c r="P546" s="1034">
        <f t="shared" ca="1" si="367"/>
        <v>9593.0126627233476</v>
      </c>
      <c r="Q546" s="1034">
        <f t="shared" ca="1" si="367"/>
        <v>9378.2668489083335</v>
      </c>
      <c r="R546" s="1034">
        <f t="shared" ca="1" si="367"/>
        <v>9489.1448148520503</v>
      </c>
      <c r="S546" s="1034">
        <f t="shared" ca="1" si="367"/>
        <v>9653.408678832322</v>
      </c>
      <c r="T546" s="1034">
        <f t="shared" ca="1" si="367"/>
        <v>8850.570854280093</v>
      </c>
      <c r="U546" s="1034">
        <f t="shared" ca="1" si="367"/>
        <v>9628.8422716280329</v>
      </c>
      <c r="V546" s="1034">
        <f t="shared" ca="1" si="367"/>
        <v>8801.4380983231713</v>
      </c>
      <c r="W546" s="1034">
        <f t="shared" ca="1" si="367"/>
        <v>8542.3207566778146</v>
      </c>
      <c r="X546" s="1034">
        <f t="shared" ca="1" si="367"/>
        <v>8346.8793688396472</v>
      </c>
      <c r="Y546" s="1034">
        <f t="shared" ca="1" si="367"/>
        <v>8440.9804628600323</v>
      </c>
      <c r="Z546" s="1034">
        <f t="shared" ca="1" si="367"/>
        <v>8056.3331220374166</v>
      </c>
      <c r="AA546" s="1034">
        <f t="shared" ca="1" si="367"/>
        <v>8172.0336747774891</v>
      </c>
      <c r="AB546" s="1034">
        <f t="shared" ca="1" si="367"/>
        <v>6804.7810838693586</v>
      </c>
      <c r="AC546" s="1034">
        <f t="shared" si="367"/>
        <v>0</v>
      </c>
      <c r="AD546" s="1034">
        <f t="shared" si="367"/>
        <v>0</v>
      </c>
      <c r="AE546" s="1034">
        <f t="shared" si="367"/>
        <v>0</v>
      </c>
      <c r="AF546" s="1049">
        <f t="shared" si="367"/>
        <v>0</v>
      </c>
      <c r="AG546" s="818"/>
    </row>
    <row r="547" spans="1:33" ht="12" thickTop="1">
      <c r="A547" s="1134"/>
      <c r="B547" s="741"/>
      <c r="C547" s="741"/>
      <c r="D547" s="741"/>
      <c r="E547" s="741"/>
      <c r="F547" s="741"/>
      <c r="G547" s="741"/>
      <c r="H547" s="741"/>
      <c r="I547" s="741"/>
      <c r="J547" s="1052"/>
      <c r="K547" s="741"/>
      <c r="L547" s="741"/>
      <c r="M547" s="741"/>
      <c r="N547" s="741"/>
      <c r="O547" s="741"/>
      <c r="P547" s="741"/>
      <c r="Q547" s="741"/>
      <c r="R547" s="741"/>
      <c r="S547" s="741"/>
      <c r="T547" s="741"/>
      <c r="U547" s="741"/>
      <c r="V547" s="741"/>
      <c r="W547" s="741"/>
      <c r="X547" s="741"/>
      <c r="Y547" s="741"/>
      <c r="Z547" s="741"/>
      <c r="AA547" s="741"/>
      <c r="AB547" s="741"/>
      <c r="AC547" s="741"/>
      <c r="AD547" s="741"/>
      <c r="AE547" s="741"/>
      <c r="AF547" s="1025"/>
      <c r="AG547" s="818"/>
    </row>
    <row r="548" spans="1:33">
      <c r="A548" s="1141" t="s">
        <v>646</v>
      </c>
      <c r="B548" s="1079"/>
      <c r="C548" s="1079"/>
      <c r="D548" s="1079"/>
      <c r="E548" s="1079">
        <f>E546-D546</f>
        <v>0</v>
      </c>
      <c r="F548" s="1079">
        <f>F546-E546</f>
        <v>0</v>
      </c>
      <c r="G548" s="1079">
        <f>G546-F546</f>
        <v>0</v>
      </c>
      <c r="H548" s="1417">
        <f ca="1">H546-G546</f>
        <v>7045.7034223582523</v>
      </c>
      <c r="I548" s="1417">
        <f ca="1">+I546-H546</f>
        <v>0</v>
      </c>
      <c r="J548" s="1079">
        <f t="shared" ref="J548:AF548" ca="1" si="368">+J546-I546</f>
        <v>0</v>
      </c>
      <c r="K548" s="1079">
        <f t="shared" ca="1" si="368"/>
        <v>1391.4175436161604</v>
      </c>
      <c r="L548" s="1079">
        <f t="shared" ca="1" si="368"/>
        <v>510.97211069030891</v>
      </c>
      <c r="M548" s="1079">
        <f t="shared" ca="1" si="368"/>
        <v>-109.51963471736599</v>
      </c>
      <c r="N548" s="1079">
        <f t="shared" ca="1" si="368"/>
        <v>-597.47137329303587</v>
      </c>
      <c r="O548" s="1079">
        <f t="shared" ca="1" si="368"/>
        <v>-175.8547044345105</v>
      </c>
      <c r="P548" s="1079">
        <f t="shared" ca="1" si="368"/>
        <v>1527.7652985035384</v>
      </c>
      <c r="Q548" s="1079">
        <f t="shared" ca="1" si="368"/>
        <v>-214.74581381501412</v>
      </c>
      <c r="R548" s="1079">
        <f t="shared" ca="1" si="368"/>
        <v>110.87796594371684</v>
      </c>
      <c r="S548" s="1079">
        <f t="shared" ca="1" si="368"/>
        <v>164.26386398027171</v>
      </c>
      <c r="T548" s="1079">
        <f t="shared" ca="1" si="368"/>
        <v>-802.83782455222899</v>
      </c>
      <c r="U548" s="1079">
        <f t="shared" ca="1" si="368"/>
        <v>778.27141734793986</v>
      </c>
      <c r="V548" s="1079">
        <f t="shared" ca="1" si="368"/>
        <v>-827.40417330486162</v>
      </c>
      <c r="W548" s="1079">
        <f t="shared" ca="1" si="368"/>
        <v>-259.11734164535665</v>
      </c>
      <c r="X548" s="1079">
        <f t="shared" ca="1" si="368"/>
        <v>-195.44138783816743</v>
      </c>
      <c r="Y548" s="1079">
        <f t="shared" ca="1" si="368"/>
        <v>94.101094020385062</v>
      </c>
      <c r="Z548" s="1079">
        <f t="shared" ca="1" si="368"/>
        <v>-384.64734082261566</v>
      </c>
      <c r="AA548" s="1079">
        <f t="shared" ca="1" si="368"/>
        <v>115.70055274007245</v>
      </c>
      <c r="AB548" s="1079">
        <f t="shared" ca="1" si="368"/>
        <v>-1367.2525909081305</v>
      </c>
      <c r="AC548" s="1079">
        <f t="shared" ca="1" si="368"/>
        <v>-6804.7810838693586</v>
      </c>
      <c r="AD548" s="1079">
        <f t="shared" si="368"/>
        <v>0</v>
      </c>
      <c r="AE548" s="1079">
        <f t="shared" si="368"/>
        <v>0</v>
      </c>
      <c r="AF548" s="1080">
        <f t="shared" si="368"/>
        <v>0</v>
      </c>
      <c r="AG548" s="818"/>
    </row>
    <row r="549" spans="1:33">
      <c r="A549" s="1009"/>
      <c r="B549" s="818"/>
      <c r="C549" s="818"/>
      <c r="D549" s="1741"/>
      <c r="E549" s="1741"/>
      <c r="F549" s="1741"/>
      <c r="G549" s="1741"/>
      <c r="H549" s="1741"/>
      <c r="I549" s="1742"/>
      <c r="J549" s="1742"/>
      <c r="K549" s="818"/>
      <c r="L549" s="818"/>
      <c r="M549" s="818"/>
      <c r="N549" s="818"/>
      <c r="O549" s="818"/>
      <c r="P549" s="818"/>
      <c r="Q549" s="818"/>
      <c r="R549" s="818"/>
      <c r="S549" s="818"/>
      <c r="T549" s="818"/>
      <c r="U549" s="818"/>
      <c r="V549" s="818"/>
      <c r="W549" s="818"/>
      <c r="X549" s="818"/>
      <c r="Y549" s="818"/>
      <c r="Z549" s="818"/>
      <c r="AA549" s="818"/>
      <c r="AB549" s="818"/>
      <c r="AC549" s="818"/>
      <c r="AD549" s="818"/>
      <c r="AE549" s="818"/>
      <c r="AF549" s="818"/>
      <c r="AG549" s="818"/>
    </row>
    <row r="550" spans="1:33">
      <c r="A550" s="1142" t="s">
        <v>747</v>
      </c>
      <c r="B550" s="1023"/>
      <c r="C550" s="1023"/>
      <c r="D550" s="1023"/>
      <c r="E550" s="1143"/>
      <c r="F550" s="1143"/>
      <c r="G550" s="1143"/>
      <c r="H550" s="1143"/>
      <c r="I550" s="1143">
        <v>0</v>
      </c>
      <c r="J550" s="1143">
        <v>0</v>
      </c>
      <c r="K550" s="1143">
        <v>0</v>
      </c>
      <c r="L550" s="1143">
        <v>0</v>
      </c>
      <c r="M550" s="1143">
        <v>0</v>
      </c>
      <c r="N550" s="1143">
        <v>0</v>
      </c>
      <c r="O550" s="1143">
        <v>0</v>
      </c>
      <c r="P550" s="1143">
        <v>0</v>
      </c>
      <c r="Q550" s="1143">
        <v>0</v>
      </c>
      <c r="R550" s="1143">
        <v>0</v>
      </c>
      <c r="S550" s="1143">
        <v>0</v>
      </c>
      <c r="T550" s="1143">
        <v>0</v>
      </c>
      <c r="U550" s="1143">
        <v>0</v>
      </c>
      <c r="V550" s="1143">
        <v>0</v>
      </c>
      <c r="W550" s="1143">
        <v>0</v>
      </c>
      <c r="X550" s="1143">
        <v>0</v>
      </c>
      <c r="Y550" s="1143">
        <v>0</v>
      </c>
      <c r="Z550" s="1143">
        <v>0</v>
      </c>
      <c r="AA550" s="1143">
        <v>0</v>
      </c>
      <c r="AB550" s="1143">
        <v>0</v>
      </c>
      <c r="AC550" s="1143">
        <v>0</v>
      </c>
      <c r="AD550" s="1143">
        <v>0</v>
      </c>
      <c r="AE550" s="1143">
        <v>0</v>
      </c>
      <c r="AF550" s="1144">
        <v>0</v>
      </c>
      <c r="AG550" s="818"/>
    </row>
    <row r="551" spans="1:33">
      <c r="A551" s="875"/>
      <c r="B551" s="741"/>
      <c r="C551" s="741"/>
      <c r="D551" s="741"/>
      <c r="E551" s="741"/>
      <c r="F551" s="741"/>
      <c r="G551" s="880"/>
      <c r="H551" s="880"/>
      <c r="I551" s="880"/>
      <c r="J551" s="880"/>
      <c r="K551" s="880"/>
      <c r="L551" s="880"/>
      <c r="M551" s="880"/>
      <c r="N551" s="880"/>
      <c r="O551" s="880"/>
      <c r="P551" s="880"/>
      <c r="Q551" s="880"/>
      <c r="R551" s="880"/>
      <c r="S551" s="880"/>
      <c r="T551" s="880"/>
      <c r="U551" s="880"/>
      <c r="V551" s="880"/>
      <c r="W551" s="880"/>
      <c r="X551" s="880"/>
      <c r="Y551" s="880"/>
      <c r="Z551" s="880"/>
      <c r="AA551" s="880"/>
      <c r="AB551" s="880"/>
      <c r="AC551" s="880"/>
      <c r="AD551" s="880"/>
      <c r="AE551" s="880"/>
      <c r="AF551" s="876"/>
      <c r="AG551" s="818"/>
    </row>
    <row r="552" spans="1:33">
      <c r="A552" s="875"/>
      <c r="B552" s="741"/>
      <c r="C552" s="741"/>
      <c r="D552" s="741"/>
      <c r="E552" s="741"/>
      <c r="F552" s="741"/>
      <c r="G552" s="741"/>
      <c r="H552" s="741"/>
      <c r="I552" s="1145"/>
      <c r="J552" s="1145"/>
      <c r="K552" s="1145"/>
      <c r="L552" s="1145"/>
      <c r="M552" s="1145"/>
      <c r="N552" s="1145"/>
      <c r="O552" s="1145"/>
      <c r="P552" s="1145"/>
      <c r="Q552" s="1145"/>
      <c r="R552" s="1145"/>
      <c r="S552" s="1145"/>
      <c r="T552" s="1145"/>
      <c r="U552" s="1145"/>
      <c r="V552" s="1145"/>
      <c r="W552" s="1145"/>
      <c r="X552" s="1145"/>
      <c r="Y552" s="1145"/>
      <c r="Z552" s="1145"/>
      <c r="AA552" s="1145"/>
      <c r="AB552" s="1145"/>
      <c r="AC552" s="1145"/>
      <c r="AD552" s="1145"/>
      <c r="AE552" s="1145"/>
      <c r="AF552" s="1146"/>
      <c r="AG552" s="818"/>
    </row>
    <row r="553" spans="1:33">
      <c r="A553" s="1134" t="s">
        <v>748</v>
      </c>
      <c r="B553" s="741"/>
      <c r="C553" s="741"/>
      <c r="D553" s="741"/>
      <c r="E553" s="741"/>
      <c r="F553" s="741"/>
      <c r="G553" s="741"/>
      <c r="H553" s="1145"/>
      <c r="I553" s="1147">
        <f t="shared" ref="I553:AF553" ca="1" si="369">+I$423+I$430+I$308</f>
        <v>14195.750192963595</v>
      </c>
      <c r="J553" s="1147">
        <f t="shared" ca="1" si="369"/>
        <v>37936.53563409872</v>
      </c>
      <c r="K553" s="1147">
        <f t="shared" ca="1" si="369"/>
        <v>37892.526762565147</v>
      </c>
      <c r="L553" s="1147">
        <f t="shared" ca="1" si="369"/>
        <v>37844.392059325299</v>
      </c>
      <c r="M553" s="1147">
        <f t="shared" ca="1" si="369"/>
        <v>37791.744727656704</v>
      </c>
      <c r="N553" s="1147">
        <f t="shared" ca="1" si="369"/>
        <v>37734.161708644191</v>
      </c>
      <c r="O553" s="1147">
        <f t="shared" ca="1" si="369"/>
        <v>37671.180281599249</v>
      </c>
      <c r="P553" s="1147">
        <f t="shared" ca="1" si="369"/>
        <v>37602.294345768838</v>
      </c>
      <c r="Q553" s="1147">
        <f t="shared" ca="1" si="369"/>
        <v>37526.95035345434</v>
      </c>
      <c r="R553" s="1147">
        <f t="shared" ca="1" si="369"/>
        <v>37444.542861860347</v>
      </c>
      <c r="S553" s="1147">
        <f t="shared" ca="1" si="369"/>
        <v>37354.409667929431</v>
      </c>
      <c r="T553" s="1147">
        <f t="shared" ca="1" si="369"/>
        <v>37255.826487067476</v>
      </c>
      <c r="U553" s="1147">
        <f t="shared" ca="1" si="369"/>
        <v>37148.001132999729</v>
      </c>
      <c r="V553" s="1147">
        <f t="shared" ca="1" si="369"/>
        <v>37030.067151988122</v>
      </c>
      <c r="W553" s="1147">
        <f t="shared" ca="1" si="369"/>
        <v>36901.076860256668</v>
      </c>
      <c r="X553" s="1147">
        <f t="shared" ca="1" si="369"/>
        <v>36759.993728675392</v>
      </c>
      <c r="Y553" s="1147">
        <f t="shared" ca="1" si="369"/>
        <v>3.4106051316484809E-12</v>
      </c>
      <c r="Z553" s="1147">
        <f t="shared" ca="1" si="369"/>
        <v>3.4106051316484809E-12</v>
      </c>
      <c r="AA553" s="1147">
        <f t="shared" ca="1" si="369"/>
        <v>3.4106051316484809E-12</v>
      </c>
      <c r="AB553" s="1147">
        <f t="shared" ca="1" si="369"/>
        <v>3.4106051316484809E-12</v>
      </c>
      <c r="AC553" s="1147">
        <f t="shared" ca="1" si="369"/>
        <v>3.4106051316484809E-12</v>
      </c>
      <c r="AD553" s="1147">
        <f t="shared" ca="1" si="369"/>
        <v>3.4106051316484809E-12</v>
      </c>
      <c r="AE553" s="1147">
        <f t="shared" ca="1" si="369"/>
        <v>3.4106051316484809E-12</v>
      </c>
      <c r="AF553" s="1147">
        <f t="shared" ca="1" si="369"/>
        <v>1.6370904631912708E-11</v>
      </c>
      <c r="AG553" s="818"/>
    </row>
    <row r="554" spans="1:33">
      <c r="A554" s="1134" t="s">
        <v>749</v>
      </c>
      <c r="B554" s="741"/>
      <c r="C554" s="741"/>
      <c r="D554" s="741"/>
      <c r="E554" s="741"/>
      <c r="F554" s="741"/>
      <c r="G554" s="741"/>
      <c r="H554" s="1148">
        <f>+H555</f>
        <v>0</v>
      </c>
      <c r="I554" s="1147">
        <f t="shared" ref="I554:AA554" ca="1" si="370">+I553*0.5</f>
        <v>7097.8750964817973</v>
      </c>
      <c r="J554" s="1147">
        <f t="shared" ca="1" si="370"/>
        <v>18968.26781704936</v>
      </c>
      <c r="K554" s="1147">
        <f t="shared" ca="1" si="370"/>
        <v>18946.263381282573</v>
      </c>
      <c r="L554" s="1147">
        <f t="shared" ca="1" si="370"/>
        <v>18922.196029662649</v>
      </c>
      <c r="M554" s="1147">
        <f t="shared" ca="1" si="370"/>
        <v>18895.872363828352</v>
      </c>
      <c r="N554" s="1147">
        <f t="shared" ca="1" si="370"/>
        <v>18867.080854322096</v>
      </c>
      <c r="O554" s="1147">
        <f t="shared" ca="1" si="370"/>
        <v>18835.590140799624</v>
      </c>
      <c r="P554" s="1147">
        <f t="shared" ca="1" si="370"/>
        <v>18801.147172884419</v>
      </c>
      <c r="Q554" s="1147">
        <f t="shared" ca="1" si="370"/>
        <v>18763.47517672717</v>
      </c>
      <c r="R554" s="1147">
        <f t="shared" ca="1" si="370"/>
        <v>18722.271430930174</v>
      </c>
      <c r="S554" s="1147">
        <f t="shared" ca="1" si="370"/>
        <v>18677.204833964715</v>
      </c>
      <c r="T554" s="1147">
        <f t="shared" ca="1" si="370"/>
        <v>18627.913243533738</v>
      </c>
      <c r="U554" s="1147">
        <f t="shared" ca="1" si="370"/>
        <v>18574.000566499864</v>
      </c>
      <c r="V554" s="1147">
        <f t="shared" ca="1" si="370"/>
        <v>18515.033575994061</v>
      </c>
      <c r="W554" s="1147">
        <f t="shared" ca="1" si="370"/>
        <v>18450.538430128334</v>
      </c>
      <c r="X554" s="1147">
        <f t="shared" ca="1" si="370"/>
        <v>18379.996864337696</v>
      </c>
      <c r="Y554" s="1147">
        <f t="shared" ca="1" si="370"/>
        <v>1.7053025658242404E-12</v>
      </c>
      <c r="Z554" s="1147">
        <f t="shared" ca="1" si="370"/>
        <v>1.7053025658242404E-12</v>
      </c>
      <c r="AA554" s="1147">
        <f t="shared" ca="1" si="370"/>
        <v>1.7053025658242404E-12</v>
      </c>
      <c r="AB554" s="1147">
        <f ca="1">+AB553*0.5</f>
        <v>1.7053025658242404E-12</v>
      </c>
      <c r="AC554" s="1147">
        <f ca="1">+AC553*0.5</f>
        <v>1.7053025658242404E-12</v>
      </c>
      <c r="AD554" s="1147">
        <f ca="1">+AD553*0.5</f>
        <v>1.7053025658242404E-12</v>
      </c>
      <c r="AE554" s="1147">
        <f ca="1">+AE553*0.5</f>
        <v>1.7053025658242404E-12</v>
      </c>
      <c r="AF554" s="1147">
        <f ca="1">+AF553*0.5</f>
        <v>8.1854523159563541E-12</v>
      </c>
      <c r="AG554" s="818"/>
    </row>
    <row r="555" spans="1:33">
      <c r="A555" s="1134" t="s">
        <v>750</v>
      </c>
      <c r="B555" s="741"/>
      <c r="C555" s="741"/>
      <c r="D555" s="741"/>
      <c r="E555" s="741"/>
      <c r="F555" s="741"/>
      <c r="G555" s="741"/>
      <c r="H555" s="1149">
        <f>+Debt!H20</f>
        <v>0</v>
      </c>
      <c r="I555" s="1147">
        <f>+H557</f>
        <v>0</v>
      </c>
      <c r="J555" s="1147">
        <f ca="1">+I557</f>
        <v>7097.8750964817973</v>
      </c>
      <c r="K555" s="1147">
        <f t="shared" ref="K555:AA555" ca="1" si="371">+J557</f>
        <v>18968.26781704936</v>
      </c>
      <c r="L555" s="1147">
        <f t="shared" ca="1" si="371"/>
        <v>18946.263381282573</v>
      </c>
      <c r="M555" s="1147">
        <f t="shared" ca="1" si="371"/>
        <v>18922.196029662649</v>
      </c>
      <c r="N555" s="1147">
        <f t="shared" ca="1" si="371"/>
        <v>18895.872363828352</v>
      </c>
      <c r="O555" s="1147">
        <f t="shared" ca="1" si="371"/>
        <v>18867.080854322096</v>
      </c>
      <c r="P555" s="1147">
        <f t="shared" ca="1" si="371"/>
        <v>18835.590140799624</v>
      </c>
      <c r="Q555" s="1147">
        <f t="shared" ca="1" si="371"/>
        <v>18801.147172884419</v>
      </c>
      <c r="R555" s="1147">
        <f t="shared" ca="1" si="371"/>
        <v>18763.47517672717</v>
      </c>
      <c r="S555" s="1147">
        <f t="shared" ca="1" si="371"/>
        <v>18722.271430930174</v>
      </c>
      <c r="T555" s="1147">
        <f t="shared" ca="1" si="371"/>
        <v>18677.204833964715</v>
      </c>
      <c r="U555" s="1147">
        <f t="shared" ca="1" si="371"/>
        <v>18627.913243533738</v>
      </c>
      <c r="V555" s="1147">
        <f t="shared" ca="1" si="371"/>
        <v>18574.000566499864</v>
      </c>
      <c r="W555" s="1147">
        <f t="shared" ca="1" si="371"/>
        <v>18515.033575994061</v>
      </c>
      <c r="X555" s="1147">
        <f t="shared" ca="1" si="371"/>
        <v>18450.538430128334</v>
      </c>
      <c r="Y555" s="1147">
        <f t="shared" ca="1" si="371"/>
        <v>18379.996864337696</v>
      </c>
      <c r="Z555" s="1147">
        <f t="shared" ca="1" si="371"/>
        <v>0</v>
      </c>
      <c r="AA555" s="1147">
        <f t="shared" ca="1" si="371"/>
        <v>1.7053025658242404E-12</v>
      </c>
      <c r="AB555" s="1147">
        <f ca="1">+AA557</f>
        <v>1.7053025658242404E-12</v>
      </c>
      <c r="AC555" s="1147">
        <f ca="1">+AB557</f>
        <v>1.7053025658242404E-12</v>
      </c>
      <c r="AD555" s="1147">
        <f ca="1">+AC557</f>
        <v>1.7053025658242404E-12</v>
      </c>
      <c r="AE555" s="1147">
        <f ca="1">+AD557</f>
        <v>1.7053025658242404E-12</v>
      </c>
      <c r="AF555" s="1147">
        <f ca="1">+AE557</f>
        <v>8.1854523159563541E-12</v>
      </c>
      <c r="AG555" s="818"/>
    </row>
    <row r="556" spans="1:33">
      <c r="A556" s="1134" t="s">
        <v>751</v>
      </c>
      <c r="B556" s="741"/>
      <c r="C556" s="741"/>
      <c r="D556" s="741"/>
      <c r="E556" s="741"/>
      <c r="F556" s="741"/>
      <c r="G556" s="741"/>
      <c r="H556" s="1148">
        <f>+H554-H555</f>
        <v>0</v>
      </c>
      <c r="I556" s="1147">
        <f ca="1">+I554-I555</f>
        <v>7097.8750964817973</v>
      </c>
      <c r="J556" s="1147">
        <f ca="1">+J554-J555</f>
        <v>11870.392720567563</v>
      </c>
      <c r="K556" s="1147">
        <f t="shared" ref="K556:AA556" ca="1" si="372">+K554-K555</f>
        <v>-22.004435766786628</v>
      </c>
      <c r="L556" s="1147">
        <f t="shared" ca="1" si="372"/>
        <v>-24.067351619924011</v>
      </c>
      <c r="M556" s="1147">
        <f t="shared" ca="1" si="372"/>
        <v>-26.323665834297572</v>
      </c>
      <c r="N556" s="1147">
        <f t="shared" ca="1" si="372"/>
        <v>-28.791509506256261</v>
      </c>
      <c r="O556" s="1147">
        <f t="shared" ca="1" si="372"/>
        <v>-31.490713522471196</v>
      </c>
      <c r="P556" s="1147">
        <f t="shared" ca="1" si="372"/>
        <v>-34.442967915205372</v>
      </c>
      <c r="Q556" s="1147">
        <f t="shared" ca="1" si="372"/>
        <v>-37.671996157248941</v>
      </c>
      <c r="R556" s="1147">
        <f t="shared" ca="1" si="372"/>
        <v>-41.203745796996373</v>
      </c>
      <c r="S556" s="1147">
        <f t="shared" ca="1" si="372"/>
        <v>-45.066596965458302</v>
      </c>
      <c r="T556" s="1147">
        <f t="shared" ca="1" si="372"/>
        <v>-49.291590430977521</v>
      </c>
      <c r="U556" s="1147">
        <f t="shared" ca="1" si="372"/>
        <v>-53.912677033873479</v>
      </c>
      <c r="V556" s="1147">
        <f t="shared" ca="1" si="372"/>
        <v>-58.966990505803551</v>
      </c>
      <c r="W556" s="1147">
        <f t="shared" ca="1" si="372"/>
        <v>-64.495145865726954</v>
      </c>
      <c r="X556" s="1147">
        <f t="shared" ca="1" si="372"/>
        <v>-70.541565790637833</v>
      </c>
      <c r="Y556" s="1147">
        <f t="shared" ca="1" si="372"/>
        <v>-18379.996864337696</v>
      </c>
      <c r="Z556" s="1147">
        <f t="shared" ca="1" si="372"/>
        <v>1.7053025658242404E-12</v>
      </c>
      <c r="AA556" s="1147">
        <f t="shared" ca="1" si="372"/>
        <v>0</v>
      </c>
      <c r="AB556" s="1147">
        <f ca="1">+AB554-AB555</f>
        <v>0</v>
      </c>
      <c r="AC556" s="1147">
        <f ca="1">+AC554-AC555</f>
        <v>0</v>
      </c>
      <c r="AD556" s="1147">
        <f ca="1">+AD554-AD555</f>
        <v>0</v>
      </c>
      <c r="AE556" s="1147">
        <f ca="1">+AE554-AE555</f>
        <v>0</v>
      </c>
      <c r="AF556" s="1147">
        <f ca="1">+AF554-AF555</f>
        <v>0</v>
      </c>
      <c r="AG556" s="818"/>
    </row>
    <row r="557" spans="1:33">
      <c r="A557" s="1134" t="s">
        <v>752</v>
      </c>
      <c r="B557" s="741"/>
      <c r="C557" s="741"/>
      <c r="D557" s="741"/>
      <c r="E557" s="741"/>
      <c r="F557" s="741"/>
      <c r="G557" s="741"/>
      <c r="H557" s="1145">
        <f>+H555+H556</f>
        <v>0</v>
      </c>
      <c r="I557" s="1147">
        <f ca="1">+I555+I556</f>
        <v>7097.8750964817973</v>
      </c>
      <c r="J557" s="1147">
        <f ca="1">+J555+J556</f>
        <v>18968.26781704936</v>
      </c>
      <c r="K557" s="1147">
        <f t="shared" ref="K557:AA557" ca="1" si="373">+K555+K556</f>
        <v>18946.263381282573</v>
      </c>
      <c r="L557" s="1147">
        <f t="shared" ca="1" si="373"/>
        <v>18922.196029662649</v>
      </c>
      <c r="M557" s="1147">
        <f t="shared" ca="1" si="373"/>
        <v>18895.872363828352</v>
      </c>
      <c r="N557" s="1147">
        <f t="shared" ca="1" si="373"/>
        <v>18867.080854322096</v>
      </c>
      <c r="O557" s="1147">
        <f t="shared" ca="1" si="373"/>
        <v>18835.590140799624</v>
      </c>
      <c r="P557" s="1147">
        <f t="shared" ca="1" si="373"/>
        <v>18801.147172884419</v>
      </c>
      <c r="Q557" s="1147">
        <f t="shared" ca="1" si="373"/>
        <v>18763.47517672717</v>
      </c>
      <c r="R557" s="1147">
        <f t="shared" ca="1" si="373"/>
        <v>18722.271430930174</v>
      </c>
      <c r="S557" s="1147">
        <f t="shared" ca="1" si="373"/>
        <v>18677.204833964715</v>
      </c>
      <c r="T557" s="1147">
        <f t="shared" ca="1" si="373"/>
        <v>18627.913243533738</v>
      </c>
      <c r="U557" s="1147">
        <f t="shared" ca="1" si="373"/>
        <v>18574.000566499864</v>
      </c>
      <c r="V557" s="1147">
        <f t="shared" ca="1" si="373"/>
        <v>18515.033575994061</v>
      </c>
      <c r="W557" s="1147">
        <f t="shared" ca="1" si="373"/>
        <v>18450.538430128334</v>
      </c>
      <c r="X557" s="1147">
        <f t="shared" ca="1" si="373"/>
        <v>18379.996864337696</v>
      </c>
      <c r="Y557" s="1147">
        <f t="shared" ca="1" si="373"/>
        <v>0</v>
      </c>
      <c r="Z557" s="1147">
        <f t="shared" ca="1" si="373"/>
        <v>1.7053025658242404E-12</v>
      </c>
      <c r="AA557" s="1147">
        <f t="shared" ca="1" si="373"/>
        <v>1.7053025658242404E-12</v>
      </c>
      <c r="AB557" s="1147">
        <f ca="1">+AB555+AB556</f>
        <v>1.7053025658242404E-12</v>
      </c>
      <c r="AC557" s="1147">
        <f ca="1">+AC555+AC556</f>
        <v>1.7053025658242404E-12</v>
      </c>
      <c r="AD557" s="1147">
        <f ca="1">+AD555+AD556</f>
        <v>1.7053025658242404E-12</v>
      </c>
      <c r="AE557" s="1147">
        <f ca="1">+AE555+AE556</f>
        <v>1.7053025658242404E-12</v>
      </c>
      <c r="AF557" s="1147">
        <f ca="1">+AF555+AF556</f>
        <v>8.1854523159563541E-12</v>
      </c>
      <c r="AG557" s="818"/>
    </row>
    <row r="558" spans="1:33">
      <c r="A558" s="1134"/>
      <c r="B558" s="741"/>
      <c r="C558" s="741"/>
      <c r="D558" s="741"/>
      <c r="E558" s="741"/>
      <c r="F558" s="741"/>
      <c r="G558" s="741"/>
      <c r="H558" s="1145"/>
      <c r="I558" s="1145"/>
      <c r="J558" s="1147"/>
      <c r="K558" s="1147"/>
      <c r="L558" s="1147"/>
      <c r="M558" s="1147"/>
      <c r="N558" s="1147"/>
      <c r="O558" s="1147"/>
      <c r="P558" s="1147"/>
      <c r="Q558" s="1147"/>
      <c r="R558" s="1147"/>
      <c r="S558" s="1147"/>
      <c r="T558" s="1147"/>
      <c r="U558" s="1147"/>
      <c r="V558" s="1147"/>
      <c r="W558" s="1147"/>
      <c r="X558" s="1147"/>
      <c r="Y558" s="1147"/>
      <c r="Z558" s="1147"/>
      <c r="AA558" s="1147"/>
      <c r="AB558" s="1147"/>
      <c r="AC558" s="1147"/>
      <c r="AD558" s="1147"/>
      <c r="AE558" s="1147"/>
      <c r="AF558" s="1147"/>
      <c r="AG558" s="818"/>
    </row>
    <row r="559" spans="1:33">
      <c r="A559" s="1134" t="s">
        <v>753</v>
      </c>
      <c r="B559" s="741"/>
      <c r="C559" s="741"/>
      <c r="D559" s="741"/>
      <c r="E559" s="741"/>
      <c r="F559" s="741"/>
      <c r="G559" s="741">
        <v>0</v>
      </c>
      <c r="H559" s="1149">
        <f>+Debt!H20</f>
        <v>0</v>
      </c>
      <c r="I559" s="1150">
        <f ca="1">+I556</f>
        <v>7097.8750964817973</v>
      </c>
      <c r="J559" s="1150">
        <f t="shared" ref="J559:AA559" ca="1" si="374">+J556</f>
        <v>11870.392720567563</v>
      </c>
      <c r="K559" s="1150">
        <f t="shared" ca="1" si="374"/>
        <v>-22.004435766786628</v>
      </c>
      <c r="L559" s="1150">
        <f t="shared" ca="1" si="374"/>
        <v>-24.067351619924011</v>
      </c>
      <c r="M559" s="1150">
        <f t="shared" ca="1" si="374"/>
        <v>-26.323665834297572</v>
      </c>
      <c r="N559" s="1150">
        <f t="shared" ca="1" si="374"/>
        <v>-28.791509506256261</v>
      </c>
      <c r="O559" s="1150">
        <f t="shared" ca="1" si="374"/>
        <v>-31.490713522471196</v>
      </c>
      <c r="P559" s="1150">
        <f t="shared" ca="1" si="374"/>
        <v>-34.442967915205372</v>
      </c>
      <c r="Q559" s="1150">
        <f t="shared" ca="1" si="374"/>
        <v>-37.671996157248941</v>
      </c>
      <c r="R559" s="1150">
        <f t="shared" ca="1" si="374"/>
        <v>-41.203745796996373</v>
      </c>
      <c r="S559" s="1150">
        <f t="shared" ca="1" si="374"/>
        <v>-45.066596965458302</v>
      </c>
      <c r="T559" s="1150">
        <f t="shared" ca="1" si="374"/>
        <v>-49.291590430977521</v>
      </c>
      <c r="U559" s="1150">
        <f t="shared" ca="1" si="374"/>
        <v>-53.912677033873479</v>
      </c>
      <c r="V559" s="1150">
        <f t="shared" ca="1" si="374"/>
        <v>-58.966990505803551</v>
      </c>
      <c r="W559" s="1150">
        <f t="shared" ca="1" si="374"/>
        <v>-64.495145865726954</v>
      </c>
      <c r="X559" s="1150">
        <f t="shared" ca="1" si="374"/>
        <v>-70.541565790637833</v>
      </c>
      <c r="Y559" s="1150">
        <f t="shared" ca="1" si="374"/>
        <v>-18379.996864337696</v>
      </c>
      <c r="Z559" s="1150">
        <f t="shared" ca="1" si="374"/>
        <v>1.7053025658242404E-12</v>
      </c>
      <c r="AA559" s="1150">
        <f t="shared" ca="1" si="374"/>
        <v>0</v>
      </c>
      <c r="AB559" s="1150">
        <f ca="1">+AB556</f>
        <v>0</v>
      </c>
      <c r="AC559" s="1150">
        <f ca="1">+AC556</f>
        <v>0</v>
      </c>
      <c r="AD559" s="1150">
        <f ca="1">+AD556</f>
        <v>0</v>
      </c>
      <c r="AE559" s="1150">
        <f ca="1">+AE556</f>
        <v>0</v>
      </c>
      <c r="AF559" s="1150">
        <f ca="1">+AF556</f>
        <v>0</v>
      </c>
      <c r="AG559" s="818"/>
    </row>
    <row r="560" spans="1:33">
      <c r="A560" s="1141"/>
      <c r="B560" s="1079"/>
      <c r="C560" s="1079"/>
      <c r="D560" s="1079"/>
      <c r="E560" s="1079"/>
      <c r="F560" s="1079"/>
      <c r="G560" s="903"/>
      <c r="H560" s="903"/>
      <c r="I560" s="1079"/>
      <c r="J560" s="1079"/>
      <c r="K560" s="1079"/>
      <c r="L560" s="1079"/>
      <c r="M560" s="1079"/>
      <c r="N560" s="1079"/>
      <c r="O560" s="1079"/>
      <c r="P560" s="1079"/>
      <c r="Q560" s="1079"/>
      <c r="R560" s="1079"/>
      <c r="S560" s="1079"/>
      <c r="T560" s="1079"/>
      <c r="U560" s="1079"/>
      <c r="V560" s="1079"/>
      <c r="W560" s="1079"/>
      <c r="X560" s="1079"/>
      <c r="Y560" s="1079"/>
      <c r="Z560" s="1079"/>
      <c r="AA560" s="1079"/>
      <c r="AB560" s="1079"/>
      <c r="AC560" s="1079"/>
      <c r="AD560" s="1079"/>
      <c r="AE560" s="1079"/>
      <c r="AF560" s="1080"/>
      <c r="AG560" s="818"/>
    </row>
    <row r="561" spans="1:33" ht="12" thickBot="1">
      <c r="A561" s="917" t="s">
        <v>754</v>
      </c>
      <c r="B561" s="818"/>
      <c r="C561" s="818"/>
      <c r="D561" s="818"/>
      <c r="E561" s="818"/>
      <c r="F561" s="818"/>
      <c r="G561" s="818"/>
      <c r="H561" s="818"/>
      <c r="I561" s="741"/>
      <c r="J561" s="741"/>
      <c r="K561" s="818"/>
      <c r="L561" s="818"/>
      <c r="M561" s="818"/>
      <c r="N561" s="818"/>
      <c r="O561" s="818"/>
      <c r="P561" s="818"/>
      <c r="Q561" s="818"/>
      <c r="R561" s="818"/>
      <c r="S561" s="818"/>
      <c r="T561" s="818"/>
      <c r="U561" s="818"/>
      <c r="V561" s="818"/>
      <c r="W561" s="818"/>
      <c r="X561" s="818"/>
      <c r="Y561" s="818"/>
      <c r="Z561" s="818"/>
      <c r="AA561" s="818"/>
      <c r="AB561" s="818"/>
      <c r="AC561" s="818"/>
      <c r="AD561" s="818"/>
      <c r="AE561" s="818"/>
      <c r="AF561" s="818"/>
      <c r="AG561" s="818"/>
    </row>
    <row r="562" spans="1:33" ht="12.75" thickTop="1" thickBot="1">
      <c r="A562" s="917" t="s">
        <v>755</v>
      </c>
      <c r="B562" s="818"/>
      <c r="C562" s="818"/>
      <c r="D562" s="1006"/>
      <c r="E562" s="1099">
        <f>E$599</f>
        <v>36891</v>
      </c>
      <c r="F562" s="1099">
        <f>F$599</f>
        <v>37256</v>
      </c>
      <c r="G562" s="1099">
        <f>G$599</f>
        <v>37621</v>
      </c>
      <c r="H562" s="1121">
        <f>H$599</f>
        <v>37802</v>
      </c>
      <c r="I562" s="1869">
        <f>I$599</f>
        <v>37986</v>
      </c>
      <c r="J562" s="1093">
        <f t="shared" ref="J562:AF562" si="375">J$599</f>
        <v>38352</v>
      </c>
      <c r="K562" s="1093">
        <f t="shared" si="375"/>
        <v>38717</v>
      </c>
      <c r="L562" s="1093">
        <f t="shared" si="375"/>
        <v>39082</v>
      </c>
      <c r="M562" s="1093">
        <f t="shared" si="375"/>
        <v>39447</v>
      </c>
      <c r="N562" s="1093">
        <f t="shared" si="375"/>
        <v>39813</v>
      </c>
      <c r="O562" s="1093">
        <f t="shared" si="375"/>
        <v>40178</v>
      </c>
      <c r="P562" s="1093">
        <f t="shared" si="375"/>
        <v>40543</v>
      </c>
      <c r="Q562" s="1093">
        <f t="shared" si="375"/>
        <v>40908</v>
      </c>
      <c r="R562" s="1093">
        <f t="shared" si="375"/>
        <v>41274</v>
      </c>
      <c r="S562" s="1093">
        <f t="shared" si="375"/>
        <v>41639</v>
      </c>
      <c r="T562" s="1093">
        <f t="shared" si="375"/>
        <v>42004</v>
      </c>
      <c r="U562" s="1093">
        <f t="shared" si="375"/>
        <v>42369</v>
      </c>
      <c r="V562" s="1093">
        <f t="shared" si="375"/>
        <v>42735</v>
      </c>
      <c r="W562" s="1093">
        <f t="shared" si="375"/>
        <v>43100</v>
      </c>
      <c r="X562" s="1093">
        <f t="shared" si="375"/>
        <v>43465</v>
      </c>
      <c r="Y562" s="1093">
        <f t="shared" si="375"/>
        <v>43830</v>
      </c>
      <c r="Z562" s="1093">
        <f t="shared" si="375"/>
        <v>44196</v>
      </c>
      <c r="AA562" s="1093">
        <f t="shared" si="375"/>
        <v>44561</v>
      </c>
      <c r="AB562" s="1093">
        <f t="shared" si="375"/>
        <v>44926</v>
      </c>
      <c r="AC562" s="1093">
        <f t="shared" si="375"/>
        <v>45291</v>
      </c>
      <c r="AD562" s="1093">
        <f t="shared" si="375"/>
        <v>45657</v>
      </c>
      <c r="AE562" s="1093">
        <f t="shared" si="375"/>
        <v>46022</v>
      </c>
      <c r="AF562" s="1093">
        <f t="shared" si="375"/>
        <v>46387</v>
      </c>
      <c r="AG562" s="818"/>
    </row>
    <row r="563" spans="1:33" ht="12" thickTop="1">
      <c r="A563" s="1016"/>
      <c r="B563" s="818"/>
      <c r="C563" s="818"/>
      <c r="D563" s="818"/>
      <c r="E563" s="818"/>
      <c r="F563" s="818"/>
      <c r="G563" s="818"/>
      <c r="H563" s="818"/>
      <c r="I563" s="818"/>
      <c r="J563" s="818"/>
      <c r="K563" s="818"/>
      <c r="L563" s="818"/>
      <c r="M563" s="818"/>
      <c r="N563" s="818"/>
      <c r="O563" s="818"/>
      <c r="P563" s="818"/>
      <c r="Q563" s="818"/>
      <c r="R563" s="818"/>
      <c r="S563" s="818"/>
      <c r="T563" s="818"/>
      <c r="U563" s="818"/>
      <c r="V563" s="818"/>
      <c r="W563" s="818"/>
      <c r="X563" s="818"/>
      <c r="Y563" s="818"/>
      <c r="Z563" s="818"/>
      <c r="AA563" s="818"/>
      <c r="AB563" s="818"/>
      <c r="AC563" s="818"/>
      <c r="AD563" s="818"/>
      <c r="AE563" s="818"/>
      <c r="AF563" s="818"/>
      <c r="AG563" s="818"/>
    </row>
    <row r="564" spans="1:33">
      <c r="A564" s="1016" t="str">
        <f>B451</f>
        <v>Purchase Term Loan</v>
      </c>
      <c r="B564" s="665"/>
      <c r="C564" s="818"/>
      <c r="D564" s="1010"/>
      <c r="E564" s="1010"/>
      <c r="F564" s="1010"/>
      <c r="G564" s="531" t="s">
        <v>668</v>
      </c>
      <c r="H564" s="818"/>
      <c r="I564" s="1010">
        <f ca="1">-Debt!C44</f>
        <v>0</v>
      </c>
      <c r="J564" s="1010">
        <f ca="1">-Debt!D44</f>
        <v>10014.463211196358</v>
      </c>
      <c r="K564" s="1010">
        <f ca="1">-Debt!E44</f>
        <v>10953.319137246017</v>
      </c>
      <c r="L564" s="1010">
        <f ca="1">-Debt!F44</f>
        <v>11980.192806362837</v>
      </c>
      <c r="M564" s="1010">
        <f ca="1">-Debt!G44</f>
        <v>13103.335881959341</v>
      </c>
      <c r="N564" s="1010">
        <f ca="1">-Debt!H44</f>
        <v>14331.773620893036</v>
      </c>
      <c r="O564" s="1010">
        <f ca="1">-Debt!I44</f>
        <v>15675.377397851757</v>
      </c>
      <c r="P564" s="1010">
        <f ca="1">-Debt!J44</f>
        <v>17144.944028900358</v>
      </c>
      <c r="Q564" s="1010">
        <f ca="1">-Debt!K44</f>
        <v>18752.282531609766</v>
      </c>
      <c r="R564" s="1010">
        <f ca="1">-Debt!L44</f>
        <v>20510.309018948181</v>
      </c>
      <c r="S564" s="1010">
        <f ca="1">-Debt!M44</f>
        <v>22433.150489474574</v>
      </c>
      <c r="T564" s="1010">
        <f ca="1">-Debt!N44</f>
        <v>24536.258347862815</v>
      </c>
      <c r="U564" s="1010">
        <f ca="1">-Debt!O44</f>
        <v>26836.532567974959</v>
      </c>
      <c r="V564" s="1010">
        <f ca="1">-Debt!P44</f>
        <v>29352.457496222614</v>
      </c>
      <c r="W564" s="1010">
        <f ca="1">-Debt!Q44</f>
        <v>32104.250386493481</v>
      </c>
      <c r="X564" s="1010">
        <f ca="1">-Debt!R44</f>
        <v>35114.023860227237</v>
      </c>
      <c r="Y564" s="1010">
        <f ca="1">-Debt!S44</f>
        <v>0</v>
      </c>
      <c r="Z564" s="1010">
        <f ca="1">-Debt!T44</f>
        <v>0</v>
      </c>
      <c r="AA564" s="1010">
        <f ca="1">-Debt!U44</f>
        <v>0</v>
      </c>
      <c r="AB564" s="1010">
        <f ca="1">-Debt!V44</f>
        <v>0</v>
      </c>
      <c r="AC564" s="1010">
        <f ca="1">-Debt!W44</f>
        <v>0</v>
      </c>
      <c r="AD564" s="1010">
        <f>-Debt!X44</f>
        <v>0</v>
      </c>
      <c r="AE564" s="1010">
        <f>-Debt!Y44</f>
        <v>0</v>
      </c>
      <c r="AF564" s="1010">
        <f>-Debt!Z44</f>
        <v>0</v>
      </c>
      <c r="AG564" s="818"/>
    </row>
    <row r="565" spans="1:33">
      <c r="A565" s="1016"/>
      <c r="B565" s="665"/>
      <c r="C565" s="818"/>
      <c r="D565" s="818"/>
      <c r="E565" s="818"/>
      <c r="F565" s="818"/>
      <c r="G565" s="1002" t="s">
        <v>756</v>
      </c>
      <c r="H565" s="818"/>
      <c r="I565" s="997">
        <v>0</v>
      </c>
      <c r="J565" s="997">
        <v>0</v>
      </c>
      <c r="K565" s="997">
        <v>0</v>
      </c>
      <c r="L565" s="997">
        <v>0</v>
      </c>
      <c r="M565" s="997">
        <v>0</v>
      </c>
      <c r="N565" s="997">
        <v>0</v>
      </c>
      <c r="O565" s="997">
        <v>0</v>
      </c>
      <c r="P565" s="997">
        <v>0</v>
      </c>
      <c r="Q565" s="997">
        <v>0</v>
      </c>
      <c r="R565" s="997">
        <v>0</v>
      </c>
      <c r="S565" s="997">
        <v>0</v>
      </c>
      <c r="T565" s="997">
        <v>0</v>
      </c>
      <c r="U565" s="997">
        <v>0</v>
      </c>
      <c r="V565" s="997">
        <v>0</v>
      </c>
      <c r="W565" s="997">
        <v>0</v>
      </c>
      <c r="X565" s="997">
        <v>0</v>
      </c>
      <c r="Y565" s="997">
        <v>0</v>
      </c>
      <c r="Z565" s="997">
        <v>0</v>
      </c>
      <c r="AA565" s="997">
        <v>0</v>
      </c>
      <c r="AB565" s="997">
        <v>0</v>
      </c>
      <c r="AC565" s="997">
        <v>0</v>
      </c>
      <c r="AD565" s="997">
        <v>0</v>
      </c>
      <c r="AE565" s="997">
        <v>0</v>
      </c>
      <c r="AF565" s="997">
        <v>0</v>
      </c>
      <c r="AG565" s="818"/>
    </row>
    <row r="566" spans="1:33">
      <c r="A566" s="1016"/>
      <c r="B566" s="665"/>
      <c r="C566" s="818"/>
      <c r="D566" s="1151"/>
      <c r="E566" s="1151"/>
      <c r="F566" s="1151"/>
      <c r="G566" s="531" t="s">
        <v>757</v>
      </c>
      <c r="H566" s="818"/>
      <c r="I566" s="1152" t="s">
        <v>163</v>
      </c>
      <c r="J566" s="1152" t="s">
        <v>163</v>
      </c>
      <c r="K566" s="1152" t="s">
        <v>163</v>
      </c>
      <c r="L566" s="1152" t="s">
        <v>163</v>
      </c>
      <c r="M566" s="1152" t="s">
        <v>163</v>
      </c>
      <c r="N566" s="1152" t="s">
        <v>163</v>
      </c>
      <c r="O566" s="1152" t="s">
        <v>163</v>
      </c>
      <c r="P566" s="1152" t="s">
        <v>163</v>
      </c>
      <c r="Q566" s="1152" t="s">
        <v>163</v>
      </c>
      <c r="R566" s="1152" t="s">
        <v>163</v>
      </c>
      <c r="S566" s="1152" t="s">
        <v>163</v>
      </c>
      <c r="T566" s="1152" t="s">
        <v>163</v>
      </c>
      <c r="U566" s="1152" t="s">
        <v>163</v>
      </c>
      <c r="V566" s="1152" t="s">
        <v>163</v>
      </c>
      <c r="W566" s="1152" t="s">
        <v>163</v>
      </c>
      <c r="X566" s="1152" t="s">
        <v>163</v>
      </c>
      <c r="Y566" s="1152" t="s">
        <v>163</v>
      </c>
      <c r="Z566" s="1152" t="s">
        <v>163</v>
      </c>
      <c r="AA566" s="1152" t="s">
        <v>163</v>
      </c>
      <c r="AB566" s="1152" t="s">
        <v>163</v>
      </c>
      <c r="AC566" s="1152" t="s">
        <v>163</v>
      </c>
      <c r="AD566" s="1152" t="s">
        <v>163</v>
      </c>
      <c r="AE566" s="1152" t="s">
        <v>163</v>
      </c>
      <c r="AF566" s="1152" t="s">
        <v>163</v>
      </c>
      <c r="AG566" s="818"/>
    </row>
    <row r="567" spans="1:33">
      <c r="A567" s="1016"/>
      <c r="B567" s="665"/>
      <c r="C567" s="818"/>
      <c r="D567" s="818"/>
      <c r="E567" s="818"/>
      <c r="F567" s="818"/>
      <c r="G567" s="531" t="s">
        <v>758</v>
      </c>
      <c r="H567" s="818"/>
      <c r="I567" s="1152" t="s">
        <v>759</v>
      </c>
      <c r="J567" s="818"/>
      <c r="K567" s="818"/>
      <c r="L567" s="818"/>
      <c r="M567" s="818"/>
      <c r="N567" s="818"/>
      <c r="O567" s="818"/>
      <c r="P567" s="818"/>
      <c r="Q567" s="818"/>
      <c r="R567" s="818"/>
      <c r="S567" s="818"/>
      <c r="T567" s="818"/>
      <c r="U567" s="818"/>
      <c r="V567" s="818"/>
      <c r="W567" s="818"/>
      <c r="X567" s="818"/>
      <c r="Y567" s="818"/>
      <c r="Z567" s="818"/>
      <c r="AA567" s="818"/>
      <c r="AB567" s="818"/>
      <c r="AC567" s="818"/>
      <c r="AD567" s="818"/>
      <c r="AE567" s="818"/>
      <c r="AF567" s="818"/>
      <c r="AG567" s="818"/>
    </row>
    <row r="568" spans="1:33">
      <c r="A568" s="1016"/>
      <c r="B568" s="665"/>
      <c r="C568" s="818"/>
      <c r="D568" s="1153"/>
      <c r="E568" s="1153"/>
      <c r="F568" s="1153"/>
      <c r="G568" s="531" t="s">
        <v>760</v>
      </c>
      <c r="H568" s="1006"/>
      <c r="I568" s="1153">
        <f>Assumptions!$M$12+VLOOKUP(YEAR(I562),Assumptions!$L$13:$M$16,2)</f>
        <v>9.375E-2</v>
      </c>
      <c r="J568" s="1153">
        <f>Assumptions!$M$12+VLOOKUP(YEAR(J562),Assumptions!$L$13:$M$16,2)</f>
        <v>9.375E-2</v>
      </c>
      <c r="K568" s="1153">
        <f>Assumptions!$M$12+VLOOKUP(YEAR(K562),Assumptions!$L$13:$M$16,2)</f>
        <v>9.375E-2</v>
      </c>
      <c r="L568" s="1153">
        <f>Assumptions!$M$12+VLOOKUP(YEAR(L562),Assumptions!$L$13:$M$16,2)</f>
        <v>9.375E-2</v>
      </c>
      <c r="M568" s="1153">
        <f>Assumptions!$M$12+VLOOKUP(YEAR(M562),Assumptions!$L$13:$M$16,2)</f>
        <v>9.5000000000000001E-2</v>
      </c>
      <c r="N568" s="1153">
        <f>Assumptions!$M$12+VLOOKUP(YEAR(N562),Assumptions!$L$13:$M$16,2)</f>
        <v>9.5000000000000001E-2</v>
      </c>
      <c r="O568" s="1153">
        <f>Assumptions!$M$12+VLOOKUP(YEAR(O562),Assumptions!$L$13:$M$16,2)</f>
        <v>9.5000000000000001E-2</v>
      </c>
      <c r="P568" s="1153">
        <f>Assumptions!$M$12+VLOOKUP(YEAR(P562),Assumptions!$L$13:$M$16,2)</f>
        <v>9.5000000000000001E-2</v>
      </c>
      <c r="Q568" s="1153">
        <f>Assumptions!$M$12+VLOOKUP(YEAR(Q562),Assumptions!$L$13:$M$16,2)</f>
        <v>9.6250000000000002E-2</v>
      </c>
      <c r="R568" s="1153">
        <f>Assumptions!$M$12+VLOOKUP(YEAR(R562),Assumptions!$L$13:$M$16,2)</f>
        <v>9.6250000000000002E-2</v>
      </c>
      <c r="S568" s="1153">
        <f>Assumptions!$M$12+VLOOKUP(YEAR(S562),Assumptions!$L$13:$M$16,2)</f>
        <v>9.6250000000000002E-2</v>
      </c>
      <c r="T568" s="1153">
        <f>Assumptions!$M$12+VLOOKUP(YEAR(T562),Assumptions!$L$13:$M$16,2)</f>
        <v>9.6250000000000002E-2</v>
      </c>
      <c r="U568" s="1153">
        <f>Assumptions!$M$12+VLOOKUP(YEAR(U562),Assumptions!$L$13:$M$16,2)</f>
        <v>9.7500000000000003E-2</v>
      </c>
      <c r="V568" s="1153">
        <f>Assumptions!$M$12+VLOOKUP(YEAR(V562),Assumptions!$L$13:$M$16,2)</f>
        <v>9.7500000000000003E-2</v>
      </c>
      <c r="W568" s="1153">
        <f>Assumptions!$M$12+VLOOKUP(YEAR(W562),Assumptions!$L$13:$M$16,2)</f>
        <v>9.7500000000000003E-2</v>
      </c>
      <c r="X568" s="1153">
        <f>Assumptions!$M$12+VLOOKUP(YEAR(X562),Assumptions!$L$13:$M$16,2)</f>
        <v>9.7500000000000003E-2</v>
      </c>
      <c r="Y568" s="1153">
        <f>Assumptions!$M$12+VLOOKUP(YEAR(Y562),Assumptions!$L$13:$M$16,2)</f>
        <v>9.7500000000000003E-2</v>
      </c>
      <c r="Z568" s="1153">
        <f>Assumptions!$M$12+VLOOKUP(YEAR(Z562),Assumptions!$L$13:$M$16,2)</f>
        <v>9.7500000000000003E-2</v>
      </c>
      <c r="AA568" s="1153">
        <f>Assumptions!$M$12+VLOOKUP(YEAR(AA562),Assumptions!$L$13:$M$16,2)</f>
        <v>9.7500000000000003E-2</v>
      </c>
      <c r="AB568" s="1153">
        <f>Assumptions!$M$12+VLOOKUP(YEAR(AB562),Assumptions!$L$13:$M$16,2)</f>
        <v>9.7500000000000003E-2</v>
      </c>
      <c r="AC568" s="1153">
        <f>Assumptions!$M$12+VLOOKUP(YEAR(AC562),Assumptions!$L$13:$M$16,2)</f>
        <v>9.7500000000000003E-2</v>
      </c>
      <c r="AD568" s="1153">
        <f>Assumptions!$M$12+VLOOKUP(YEAR(AD562),Assumptions!$L$13:$M$16,2)</f>
        <v>9.7500000000000003E-2</v>
      </c>
      <c r="AE568" s="1153">
        <f>Assumptions!$M$12+VLOOKUP(YEAR(AE562),Assumptions!$L$13:$M$16,2)</f>
        <v>9.7500000000000003E-2</v>
      </c>
      <c r="AF568" s="1153">
        <f>Assumptions!$M$12+VLOOKUP(YEAR(AF562),Assumptions!$L$13:$M$16,2)</f>
        <v>9.7500000000000003E-2</v>
      </c>
      <c r="AG568" s="818"/>
    </row>
    <row r="569" spans="1:33">
      <c r="A569" s="1016"/>
      <c r="B569" s="665"/>
      <c r="C569" s="818"/>
      <c r="D569" s="818"/>
      <c r="E569" s="818"/>
      <c r="F569" s="818"/>
      <c r="G569" s="531" t="s">
        <v>761</v>
      </c>
      <c r="H569" s="1011"/>
      <c r="I569" s="1011">
        <f>IF(I566="YES",((1+I568/2)^2-1)*I421*-1,0)*C442</f>
        <v>0</v>
      </c>
      <c r="J569" s="1011">
        <f t="shared" ref="J569:AF569" si="376">IF(J566="YES",((1+J568/2)^2-1)*J421*-1,0)</f>
        <v>0</v>
      </c>
      <c r="K569" s="1011">
        <f t="shared" si="376"/>
        <v>0</v>
      </c>
      <c r="L569" s="1011">
        <f t="shared" si="376"/>
        <v>0</v>
      </c>
      <c r="M569" s="1011">
        <f t="shared" si="376"/>
        <v>0</v>
      </c>
      <c r="N569" s="1011">
        <f t="shared" si="376"/>
        <v>0</v>
      </c>
      <c r="O569" s="1011">
        <f t="shared" si="376"/>
        <v>0</v>
      </c>
      <c r="P569" s="1011">
        <f t="shared" si="376"/>
        <v>0</v>
      </c>
      <c r="Q569" s="1011">
        <f t="shared" si="376"/>
        <v>0</v>
      </c>
      <c r="R569" s="1011">
        <f t="shared" si="376"/>
        <v>0</v>
      </c>
      <c r="S569" s="1011">
        <f t="shared" si="376"/>
        <v>0</v>
      </c>
      <c r="T569" s="1011">
        <f t="shared" si="376"/>
        <v>0</v>
      </c>
      <c r="U569" s="1011">
        <f t="shared" si="376"/>
        <v>0</v>
      </c>
      <c r="V569" s="1011">
        <f t="shared" si="376"/>
        <v>0</v>
      </c>
      <c r="W569" s="1011">
        <f t="shared" si="376"/>
        <v>0</v>
      </c>
      <c r="X569" s="1011">
        <f t="shared" si="376"/>
        <v>0</v>
      </c>
      <c r="Y569" s="1011">
        <f t="shared" si="376"/>
        <v>0</v>
      </c>
      <c r="Z569" s="1011">
        <f t="shared" si="376"/>
        <v>0</v>
      </c>
      <c r="AA569" s="1011">
        <f t="shared" si="376"/>
        <v>0</v>
      </c>
      <c r="AB569" s="1011">
        <f t="shared" si="376"/>
        <v>0</v>
      </c>
      <c r="AC569" s="1011">
        <f t="shared" si="376"/>
        <v>0</v>
      </c>
      <c r="AD569" s="1011">
        <f t="shared" si="376"/>
        <v>0</v>
      </c>
      <c r="AE569" s="1011">
        <f t="shared" si="376"/>
        <v>0</v>
      </c>
      <c r="AF569" s="1011">
        <f t="shared" si="376"/>
        <v>0</v>
      </c>
      <c r="AG569" s="818"/>
    </row>
    <row r="570" spans="1:33">
      <c r="A570" s="1016"/>
      <c r="B570" s="665"/>
      <c r="C570" s="818"/>
      <c r="D570" s="818"/>
      <c r="E570" s="818"/>
      <c r="F570" s="818"/>
      <c r="G570" s="531" t="s">
        <v>762</v>
      </c>
      <c r="H570" s="1011"/>
      <c r="I570" s="1154">
        <v>0</v>
      </c>
      <c r="J570" s="1154">
        <v>0</v>
      </c>
      <c r="K570" s="1154">
        <v>0</v>
      </c>
      <c r="L570" s="1154">
        <v>0</v>
      </c>
      <c r="M570" s="1154">
        <v>0</v>
      </c>
      <c r="N570" s="1154">
        <v>0</v>
      </c>
      <c r="O570" s="1154">
        <v>0</v>
      </c>
      <c r="P570" s="1154">
        <v>0</v>
      </c>
      <c r="Q570" s="1154">
        <v>0</v>
      </c>
      <c r="R570" s="1154">
        <v>0</v>
      </c>
      <c r="S570" s="1154">
        <v>0</v>
      </c>
      <c r="T570" s="1154">
        <v>0</v>
      </c>
      <c r="U570" s="1154">
        <v>0</v>
      </c>
      <c r="V570" s="1154">
        <v>0</v>
      </c>
      <c r="W570" s="1154">
        <v>0</v>
      </c>
      <c r="X570" s="1154">
        <v>0</v>
      </c>
      <c r="Y570" s="1154">
        <v>0</v>
      </c>
      <c r="Z570" s="1154">
        <v>0</v>
      </c>
      <c r="AA570" s="1154">
        <v>0</v>
      </c>
      <c r="AB570" s="1154">
        <v>0</v>
      </c>
      <c r="AC570" s="1154">
        <v>0</v>
      </c>
      <c r="AD570" s="1154">
        <v>0</v>
      </c>
      <c r="AE570" s="1154">
        <v>0</v>
      </c>
      <c r="AF570" s="1154">
        <v>0</v>
      </c>
      <c r="AG570" s="818"/>
    </row>
    <row r="571" spans="1:33">
      <c r="A571" s="1016"/>
      <c r="B571" s="818"/>
      <c r="C571" s="818"/>
      <c r="D571" s="818"/>
      <c r="E571" s="818"/>
      <c r="F571" s="818"/>
      <c r="G571" s="818"/>
      <c r="H571" s="1006"/>
      <c r="I571" s="818"/>
      <c r="J571" s="818"/>
      <c r="K571" s="818"/>
      <c r="L571" s="818"/>
      <c r="M571" s="818"/>
      <c r="N571" s="818"/>
      <c r="O571" s="818"/>
      <c r="P571" s="818"/>
      <c r="Q571" s="818"/>
      <c r="R571" s="818"/>
      <c r="S571" s="818"/>
      <c r="T571" s="818"/>
      <c r="U571" s="818"/>
      <c r="V571" s="818"/>
      <c r="W571" s="818"/>
      <c r="X571" s="818"/>
      <c r="Y571" s="818"/>
      <c r="Z571" s="818"/>
      <c r="AA571" s="818"/>
      <c r="AB571" s="818"/>
      <c r="AC571" s="818"/>
      <c r="AD571" s="818"/>
      <c r="AE571" s="818"/>
      <c r="AF571" s="818"/>
      <c r="AG571" s="818"/>
    </row>
    <row r="572" spans="1:33">
      <c r="A572" s="1016" t="str">
        <f>B452</f>
        <v>Scrubber Term Loan</v>
      </c>
      <c r="B572" s="665"/>
      <c r="C572" s="818"/>
      <c r="D572" s="818"/>
      <c r="E572" s="818"/>
      <c r="F572" s="818"/>
      <c r="G572" s="531" t="s">
        <v>668</v>
      </c>
      <c r="H572" s="1006"/>
      <c r="I572" s="1010">
        <v>0</v>
      </c>
      <c r="J572" s="1010">
        <v>0</v>
      </c>
      <c r="K572" s="1010">
        <v>0</v>
      </c>
      <c r="L572" s="1010">
        <f>+-Debt!F60</f>
        <v>0</v>
      </c>
      <c r="M572" s="1010">
        <f>+-Debt!G60</f>
        <v>0</v>
      </c>
      <c r="N572" s="1010">
        <f>+-Debt!H60</f>
        <v>0</v>
      </c>
      <c r="O572" s="1010">
        <f>+-Debt!I60</f>
        <v>0</v>
      </c>
      <c r="P572" s="1010">
        <f>+-Debt!J60</f>
        <v>0</v>
      </c>
      <c r="Q572" s="1010">
        <f>+-Debt!K60</f>
        <v>0</v>
      </c>
      <c r="R572" s="1010">
        <f>+-Debt!L60</f>
        <v>0</v>
      </c>
      <c r="S572" s="1010">
        <f>+-Debt!M60</f>
        <v>0</v>
      </c>
      <c r="T572" s="1010">
        <f>+-Debt!N60</f>
        <v>0</v>
      </c>
      <c r="U572" s="1010">
        <f>+-Debt!O60</f>
        <v>0</v>
      </c>
      <c r="V572" s="1010">
        <f>+-Debt!P60</f>
        <v>0</v>
      </c>
      <c r="W572" s="1010">
        <f>+-Debt!Q60</f>
        <v>0</v>
      </c>
      <c r="X572" s="1010">
        <f>+-Debt!R60</f>
        <v>0</v>
      </c>
      <c r="Y572" s="1010">
        <f>+-Debt!S60</f>
        <v>0</v>
      </c>
      <c r="Z572" s="1010">
        <f>+-Debt!T60</f>
        <v>0</v>
      </c>
      <c r="AA572" s="1010">
        <f>+-Debt!U60</f>
        <v>0</v>
      </c>
      <c r="AB572" s="1010">
        <f>+-Debt!V60</f>
        <v>0</v>
      </c>
      <c r="AC572" s="1010">
        <f>+-Debt!W56</f>
        <v>0</v>
      </c>
      <c r="AD572" s="1010">
        <f>+-Debt!X56</f>
        <v>0</v>
      </c>
      <c r="AE572" s="1010">
        <f>+-Debt!Y56</f>
        <v>0</v>
      </c>
      <c r="AF572" s="1010">
        <f>+-Debt!Z56</f>
        <v>0</v>
      </c>
      <c r="AG572" s="818"/>
    </row>
    <row r="573" spans="1:33">
      <c r="A573" s="1016"/>
      <c r="B573" s="665"/>
      <c r="C573" s="818"/>
      <c r="D573" s="818"/>
      <c r="E573" s="818"/>
      <c r="F573" s="818"/>
      <c r="G573" s="1002" t="s">
        <v>756</v>
      </c>
      <c r="H573" s="1006"/>
      <c r="I573" s="997">
        <v>0</v>
      </c>
      <c r="J573" s="997">
        <v>0</v>
      </c>
      <c r="K573" s="997">
        <f>-Debt!E50</f>
        <v>0</v>
      </c>
      <c r="L573" s="997">
        <v>0</v>
      </c>
      <c r="M573" s="997">
        <v>0</v>
      </c>
      <c r="N573" s="997">
        <v>0</v>
      </c>
      <c r="O573" s="997">
        <v>0</v>
      </c>
      <c r="P573" s="997">
        <v>0</v>
      </c>
      <c r="Q573" s="997">
        <v>0</v>
      </c>
      <c r="R573" s="997">
        <v>0</v>
      </c>
      <c r="S573" s="997">
        <v>0</v>
      </c>
      <c r="T573" s="997">
        <v>0</v>
      </c>
      <c r="U573" s="997">
        <v>0</v>
      </c>
      <c r="V573" s="997">
        <v>0</v>
      </c>
      <c r="W573" s="997">
        <v>0</v>
      </c>
      <c r="X573" s="997">
        <v>0</v>
      </c>
      <c r="Y573" s="997">
        <v>0</v>
      </c>
      <c r="Z573" s="997">
        <v>0</v>
      </c>
      <c r="AA573" s="997">
        <v>0</v>
      </c>
      <c r="AB573" s="997">
        <v>0</v>
      </c>
      <c r="AC573" s="997">
        <v>0</v>
      </c>
      <c r="AD573" s="997">
        <v>0</v>
      </c>
      <c r="AE573" s="997">
        <v>0</v>
      </c>
      <c r="AF573" s="997">
        <v>0</v>
      </c>
      <c r="AG573" s="818"/>
    </row>
    <row r="574" spans="1:33">
      <c r="A574" s="1016"/>
      <c r="B574" s="665"/>
      <c r="C574" s="818"/>
      <c r="D574" s="818"/>
      <c r="E574" s="818"/>
      <c r="F574" s="818"/>
      <c r="G574" s="531" t="s">
        <v>757</v>
      </c>
      <c r="H574" s="818"/>
      <c r="I574" s="1152" t="s">
        <v>163</v>
      </c>
      <c r="J574" s="1152" t="s">
        <v>163</v>
      </c>
      <c r="K574" s="1152" t="s">
        <v>163</v>
      </c>
      <c r="L574" s="1152" t="s">
        <v>163</v>
      </c>
      <c r="M574" s="1152" t="s">
        <v>163</v>
      </c>
      <c r="N574" s="1152" t="s">
        <v>163</v>
      </c>
      <c r="O574" s="1152" t="s">
        <v>163</v>
      </c>
      <c r="P574" s="1152" t="s">
        <v>163</v>
      </c>
      <c r="Q574" s="1152" t="s">
        <v>163</v>
      </c>
      <c r="R574" s="1152" t="s">
        <v>163</v>
      </c>
      <c r="S574" s="1152" t="s">
        <v>163</v>
      </c>
      <c r="T574" s="1152" t="s">
        <v>163</v>
      </c>
      <c r="U574" s="1152" t="s">
        <v>163</v>
      </c>
      <c r="V574" s="1152" t="s">
        <v>163</v>
      </c>
      <c r="W574" s="1152" t="s">
        <v>163</v>
      </c>
      <c r="X574" s="1152" t="s">
        <v>163</v>
      </c>
      <c r="Y574" s="1152" t="s">
        <v>163</v>
      </c>
      <c r="Z574" s="1152" t="s">
        <v>163</v>
      </c>
      <c r="AA574" s="1152" t="s">
        <v>163</v>
      </c>
      <c r="AB574" s="1152" t="s">
        <v>163</v>
      </c>
      <c r="AC574" s="1152" t="s">
        <v>163</v>
      </c>
      <c r="AD574" s="1152" t="s">
        <v>163</v>
      </c>
      <c r="AE574" s="1152" t="s">
        <v>163</v>
      </c>
      <c r="AF574" s="1152" t="s">
        <v>163</v>
      </c>
      <c r="AG574" s="818"/>
    </row>
    <row r="575" spans="1:33">
      <c r="A575" s="1016"/>
      <c r="B575" s="665"/>
      <c r="C575" s="818"/>
      <c r="D575" s="818"/>
      <c r="E575" s="818"/>
      <c r="F575" s="818"/>
      <c r="G575" s="531" t="s">
        <v>758</v>
      </c>
      <c r="H575" s="818"/>
      <c r="I575" s="1152" t="s">
        <v>759</v>
      </c>
      <c r="J575" s="818"/>
      <c r="K575" s="818"/>
      <c r="L575" s="818"/>
      <c r="M575" s="818"/>
      <c r="N575" s="818"/>
      <c r="O575" s="818"/>
      <c r="P575" s="818"/>
      <c r="Q575" s="818"/>
      <c r="R575" s="818"/>
      <c r="S575" s="818"/>
      <c r="T575" s="818"/>
      <c r="U575" s="818"/>
      <c r="V575" s="818"/>
      <c r="W575" s="818"/>
      <c r="X575" s="818"/>
      <c r="Y575" s="818"/>
      <c r="Z575" s="818"/>
      <c r="AA575" s="818"/>
      <c r="AB575" s="818"/>
      <c r="AC575" s="818"/>
      <c r="AD575" s="818"/>
      <c r="AE575" s="818"/>
      <c r="AF575" s="818"/>
      <c r="AG575" s="818"/>
    </row>
    <row r="576" spans="1:33">
      <c r="A576" s="1016"/>
      <c r="B576" s="665"/>
      <c r="C576" s="818"/>
      <c r="D576" s="818"/>
      <c r="E576" s="818"/>
      <c r="F576" s="818"/>
      <c r="G576" s="531" t="s">
        <v>760</v>
      </c>
      <c r="H576" s="1006"/>
      <c r="I576" s="1153">
        <f t="shared" ref="I576:AF576" si="377">I589</f>
        <v>7.4999999999999997E-2</v>
      </c>
      <c r="J576" s="1153">
        <f t="shared" si="377"/>
        <v>7.4999999999999997E-2</v>
      </c>
      <c r="K576" s="1153">
        <f t="shared" si="377"/>
        <v>7.4999999999999997E-2</v>
      </c>
      <c r="L576" s="1153">
        <f t="shared" si="377"/>
        <v>7.4999999999999997E-2</v>
      </c>
      <c r="M576" s="1153">
        <f t="shared" si="377"/>
        <v>7.4999999999999997E-2</v>
      </c>
      <c r="N576" s="1153">
        <f t="shared" si="377"/>
        <v>7.4999999999999997E-2</v>
      </c>
      <c r="O576" s="1153">
        <f t="shared" si="377"/>
        <v>7.4999999999999997E-2</v>
      </c>
      <c r="P576" s="1153">
        <f t="shared" si="377"/>
        <v>7.4999999999999997E-2</v>
      </c>
      <c r="Q576" s="1153">
        <f t="shared" si="377"/>
        <v>7.4999999999999997E-2</v>
      </c>
      <c r="R576" s="1153">
        <f t="shared" si="377"/>
        <v>7.4999999999999997E-2</v>
      </c>
      <c r="S576" s="1153">
        <f t="shared" si="377"/>
        <v>7.4999999999999997E-2</v>
      </c>
      <c r="T576" s="1153">
        <f t="shared" si="377"/>
        <v>7.4999999999999997E-2</v>
      </c>
      <c r="U576" s="1153">
        <f t="shared" si="377"/>
        <v>7.4999999999999997E-2</v>
      </c>
      <c r="V576" s="1153">
        <f t="shared" si="377"/>
        <v>7.4999999999999997E-2</v>
      </c>
      <c r="W576" s="1153">
        <f t="shared" si="377"/>
        <v>7.4999999999999997E-2</v>
      </c>
      <c r="X576" s="1153">
        <f t="shared" si="377"/>
        <v>7.4999999999999997E-2</v>
      </c>
      <c r="Y576" s="1153">
        <f t="shared" si="377"/>
        <v>7.4999999999999997E-2</v>
      </c>
      <c r="Z576" s="1153">
        <f t="shared" si="377"/>
        <v>7.4999999999999997E-2</v>
      </c>
      <c r="AA576" s="1153">
        <f t="shared" si="377"/>
        <v>7.4999999999999997E-2</v>
      </c>
      <c r="AB576" s="1153">
        <f t="shared" si="377"/>
        <v>7.4999999999999997E-2</v>
      </c>
      <c r="AC576" s="1153">
        <f t="shared" si="377"/>
        <v>7.4999999999999997E-2</v>
      </c>
      <c r="AD576" s="1153">
        <f t="shared" si="377"/>
        <v>7.4999999999999997E-2</v>
      </c>
      <c r="AE576" s="1153">
        <f t="shared" si="377"/>
        <v>7.4999999999999997E-2</v>
      </c>
      <c r="AF576" s="1153">
        <f t="shared" si="377"/>
        <v>7.4999999999999997E-2</v>
      </c>
      <c r="AG576" s="818"/>
    </row>
    <row r="577" spans="1:33">
      <c r="A577" s="1016"/>
      <c r="B577" s="665"/>
      <c r="C577" s="818"/>
      <c r="D577" s="818"/>
      <c r="E577" s="818"/>
      <c r="F577" s="818"/>
      <c r="G577" s="531" t="s">
        <v>763</v>
      </c>
      <c r="H577" s="1011"/>
      <c r="I577" s="1011">
        <f>IF(I574="YES",((1+I576/2)^2-1)*(I428+I431)/2*-1,0)*C442</f>
        <v>0</v>
      </c>
      <c r="J577" s="1011">
        <f t="shared" ref="J577:AF577" si="378">IF(J574="YES",((1+J576/2)^2-1)*(J428+J431)/2*-1,0)</f>
        <v>0</v>
      </c>
      <c r="K577" s="1011">
        <f t="shared" si="378"/>
        <v>0</v>
      </c>
      <c r="L577" s="1011">
        <f t="shared" si="378"/>
        <v>0</v>
      </c>
      <c r="M577" s="1011">
        <f t="shared" si="378"/>
        <v>0</v>
      </c>
      <c r="N577" s="1011">
        <f t="shared" si="378"/>
        <v>0</v>
      </c>
      <c r="O577" s="1011">
        <f t="shared" si="378"/>
        <v>0</v>
      </c>
      <c r="P577" s="1011">
        <f t="shared" si="378"/>
        <v>0</v>
      </c>
      <c r="Q577" s="1011">
        <f t="shared" si="378"/>
        <v>0</v>
      </c>
      <c r="R577" s="1011">
        <f t="shared" si="378"/>
        <v>0</v>
      </c>
      <c r="S577" s="1011">
        <f t="shared" si="378"/>
        <v>0</v>
      </c>
      <c r="T577" s="1011">
        <f t="shared" si="378"/>
        <v>0</v>
      </c>
      <c r="U577" s="1011">
        <f t="shared" si="378"/>
        <v>0</v>
      </c>
      <c r="V577" s="1011">
        <f t="shared" si="378"/>
        <v>0</v>
      </c>
      <c r="W577" s="1011">
        <f t="shared" si="378"/>
        <v>0</v>
      </c>
      <c r="X577" s="1011">
        <f t="shared" si="378"/>
        <v>0</v>
      </c>
      <c r="Y577" s="1011">
        <f t="shared" si="378"/>
        <v>0</v>
      </c>
      <c r="Z577" s="1011">
        <f t="shared" si="378"/>
        <v>0</v>
      </c>
      <c r="AA577" s="1011">
        <f t="shared" si="378"/>
        <v>0</v>
      </c>
      <c r="AB577" s="1011">
        <f t="shared" si="378"/>
        <v>0</v>
      </c>
      <c r="AC577" s="1011">
        <f t="shared" si="378"/>
        <v>0</v>
      </c>
      <c r="AD577" s="1011">
        <f t="shared" si="378"/>
        <v>0</v>
      </c>
      <c r="AE577" s="1011">
        <f t="shared" si="378"/>
        <v>0</v>
      </c>
      <c r="AF577" s="1011">
        <f t="shared" si="378"/>
        <v>0</v>
      </c>
      <c r="AG577" s="818"/>
    </row>
    <row r="578" spans="1:33">
      <c r="A578" s="1016"/>
      <c r="B578" s="818"/>
      <c r="C578" s="818"/>
      <c r="D578" s="818"/>
      <c r="E578" s="818"/>
      <c r="F578" s="818"/>
      <c r="G578" s="818"/>
      <c r="H578" s="1006"/>
      <c r="I578" s="818"/>
      <c r="J578" s="818"/>
      <c r="K578" s="818"/>
      <c r="L578" s="818"/>
      <c r="M578" s="818"/>
      <c r="N578" s="818"/>
      <c r="O578" s="818"/>
      <c r="P578" s="818"/>
      <c r="Q578" s="818"/>
      <c r="R578" s="818"/>
      <c r="S578" s="818"/>
      <c r="T578" s="818"/>
      <c r="U578" s="818"/>
      <c r="V578" s="818"/>
      <c r="W578" s="818"/>
      <c r="X578" s="818"/>
      <c r="Y578" s="818"/>
      <c r="Z578" s="818"/>
      <c r="AA578" s="818"/>
      <c r="AB578" s="818"/>
      <c r="AC578" s="818"/>
      <c r="AD578" s="818"/>
      <c r="AE578" s="818"/>
      <c r="AF578" s="818"/>
      <c r="AG578" s="818"/>
    </row>
    <row r="579" spans="1:33">
      <c r="A579" s="1016" t="str">
        <f>B453</f>
        <v>Common Stock</v>
      </c>
      <c r="B579" s="665"/>
      <c r="C579" s="818"/>
      <c r="D579" s="818"/>
      <c r="E579" s="818"/>
      <c r="F579" s="818"/>
      <c r="G579" s="531" t="s">
        <v>764</v>
      </c>
      <c r="H579" s="818"/>
      <c r="I579" s="997">
        <v>0</v>
      </c>
      <c r="J579" s="997">
        <v>0</v>
      </c>
      <c r="K579" s="997">
        <v>0</v>
      </c>
      <c r="L579" s="997">
        <v>0</v>
      </c>
      <c r="M579" s="997">
        <v>0</v>
      </c>
      <c r="N579" s="997">
        <v>0</v>
      </c>
      <c r="O579" s="997">
        <v>0</v>
      </c>
      <c r="P579" s="997">
        <v>0</v>
      </c>
      <c r="Q579" s="997">
        <v>0</v>
      </c>
      <c r="R579" s="997">
        <v>0</v>
      </c>
      <c r="S579" s="997">
        <v>0</v>
      </c>
      <c r="T579" s="997">
        <v>0</v>
      </c>
      <c r="U579" s="997">
        <v>0</v>
      </c>
      <c r="V579" s="997">
        <v>0</v>
      </c>
      <c r="W579" s="997">
        <v>0</v>
      </c>
      <c r="X579" s="997">
        <v>0</v>
      </c>
      <c r="Y579" s="997">
        <v>0</v>
      </c>
      <c r="Z579" s="997">
        <v>0</v>
      </c>
      <c r="AA579" s="997">
        <v>0</v>
      </c>
      <c r="AB579" s="997">
        <v>0</v>
      </c>
      <c r="AC579" s="997">
        <v>0</v>
      </c>
      <c r="AD579" s="997">
        <v>0</v>
      </c>
      <c r="AE579" s="997">
        <v>0</v>
      </c>
      <c r="AF579" s="997">
        <v>0</v>
      </c>
      <c r="AG579" s="818"/>
    </row>
    <row r="580" spans="1:33" ht="12" thickBot="1">
      <c r="A580" s="1016"/>
      <c r="B580" s="665"/>
      <c r="C580" s="818"/>
      <c r="D580" s="818"/>
      <c r="E580" s="818"/>
      <c r="F580" s="818"/>
      <c r="G580" s="531" t="s">
        <v>765</v>
      </c>
      <c r="H580" s="818"/>
      <c r="I580" s="997">
        <v>0</v>
      </c>
      <c r="J580" s="997">
        <v>0</v>
      </c>
      <c r="K580" s="997">
        <f>-Debt!E49</f>
        <v>0</v>
      </c>
      <c r="L580" s="997">
        <v>0</v>
      </c>
      <c r="M580" s="997">
        <v>0</v>
      </c>
      <c r="N580" s="997">
        <v>0</v>
      </c>
      <c r="O580" s="997">
        <v>0</v>
      </c>
      <c r="P580" s="997">
        <v>0</v>
      </c>
      <c r="Q580" s="997">
        <v>0</v>
      </c>
      <c r="R580" s="997">
        <v>0</v>
      </c>
      <c r="S580" s="997">
        <v>0</v>
      </c>
      <c r="T580" s="997">
        <v>0</v>
      </c>
      <c r="U580" s="997">
        <v>0</v>
      </c>
      <c r="V580" s="997">
        <v>0</v>
      </c>
      <c r="W580" s="997">
        <v>0</v>
      </c>
      <c r="X580" s="997">
        <v>0</v>
      </c>
      <c r="Y580" s="997">
        <v>0</v>
      </c>
      <c r="Z580" s="997">
        <v>0</v>
      </c>
      <c r="AA580" s="997">
        <v>0</v>
      </c>
      <c r="AB580" s="997">
        <v>0</v>
      </c>
      <c r="AC580" s="997">
        <v>0</v>
      </c>
      <c r="AD580" s="997">
        <v>0</v>
      </c>
      <c r="AE580" s="997">
        <v>0</v>
      </c>
      <c r="AF580" s="997">
        <v>0</v>
      </c>
      <c r="AG580" s="818"/>
    </row>
    <row r="581" spans="1:33" ht="12.75" thickTop="1" thickBot="1">
      <c r="A581" s="1059"/>
      <c r="B581" s="985"/>
      <c r="C581" s="985"/>
      <c r="D581" s="985"/>
      <c r="E581" s="1155"/>
      <c r="F581" s="985"/>
      <c r="G581" s="985"/>
      <c r="H581" s="1155"/>
      <c r="I581" s="985"/>
      <c r="J581" s="1155"/>
      <c r="K581" s="985"/>
      <c r="L581" s="985"/>
      <c r="M581" s="985"/>
      <c r="N581" s="985"/>
      <c r="O581" s="985"/>
      <c r="P581" s="985"/>
      <c r="Q581" s="985"/>
      <c r="R581" s="985"/>
      <c r="S581" s="985"/>
      <c r="T581" s="985"/>
      <c r="U581" s="985"/>
      <c r="V581" s="985"/>
      <c r="W581" s="985"/>
      <c r="X581" s="985"/>
      <c r="Y581" s="985"/>
      <c r="Z581" s="985"/>
      <c r="AA581" s="985"/>
      <c r="AB581" s="985"/>
      <c r="AC581" s="985"/>
      <c r="AD581" s="985"/>
      <c r="AE581" s="985"/>
      <c r="AF581" s="985"/>
      <c r="AG581" s="818"/>
    </row>
    <row r="582" spans="1:33" ht="12" thickTop="1">
      <c r="A582" s="917" t="s">
        <v>766</v>
      </c>
      <c r="B582" s="818"/>
      <c r="C582" s="818"/>
      <c r="D582" s="1006"/>
      <c r="E582" s="1156">
        <f>E$599</f>
        <v>36891</v>
      </c>
      <c r="F582" s="1156">
        <f>F$599</f>
        <v>37256</v>
      </c>
      <c r="G582" s="1156">
        <f>G$599</f>
        <v>37621</v>
      </c>
      <c r="H582" s="1157">
        <f>H$599</f>
        <v>37802</v>
      </c>
      <c r="I582" s="1158">
        <f>I$599</f>
        <v>37986</v>
      </c>
      <c r="J582" s="1159">
        <f t="shared" ref="J582:AF582" si="379">J$599</f>
        <v>38352</v>
      </c>
      <c r="K582" s="1159">
        <f t="shared" si="379"/>
        <v>38717</v>
      </c>
      <c r="L582" s="1159">
        <f t="shared" si="379"/>
        <v>39082</v>
      </c>
      <c r="M582" s="1159">
        <f t="shared" si="379"/>
        <v>39447</v>
      </c>
      <c r="N582" s="1159">
        <f t="shared" si="379"/>
        <v>39813</v>
      </c>
      <c r="O582" s="1159">
        <f t="shared" si="379"/>
        <v>40178</v>
      </c>
      <c r="P582" s="1159">
        <f t="shared" si="379"/>
        <v>40543</v>
      </c>
      <c r="Q582" s="1159">
        <f t="shared" si="379"/>
        <v>40908</v>
      </c>
      <c r="R582" s="1159">
        <f t="shared" si="379"/>
        <v>41274</v>
      </c>
      <c r="S582" s="1159">
        <f t="shared" si="379"/>
        <v>41639</v>
      </c>
      <c r="T582" s="1159">
        <f t="shared" si="379"/>
        <v>42004</v>
      </c>
      <c r="U582" s="1159">
        <f t="shared" si="379"/>
        <v>42369</v>
      </c>
      <c r="V582" s="1159">
        <f t="shared" si="379"/>
        <v>42735</v>
      </c>
      <c r="W582" s="1159">
        <f t="shared" si="379"/>
        <v>43100</v>
      </c>
      <c r="X582" s="1159">
        <f t="shared" si="379"/>
        <v>43465</v>
      </c>
      <c r="Y582" s="1159">
        <f t="shared" si="379"/>
        <v>43830</v>
      </c>
      <c r="Z582" s="1159">
        <f t="shared" si="379"/>
        <v>44196</v>
      </c>
      <c r="AA582" s="1159">
        <f t="shared" si="379"/>
        <v>44561</v>
      </c>
      <c r="AB582" s="1159">
        <f t="shared" si="379"/>
        <v>44926</v>
      </c>
      <c r="AC582" s="1159">
        <f t="shared" si="379"/>
        <v>45291</v>
      </c>
      <c r="AD582" s="1159">
        <f t="shared" si="379"/>
        <v>45657</v>
      </c>
      <c r="AE582" s="1159">
        <f t="shared" si="379"/>
        <v>46022</v>
      </c>
      <c r="AF582" s="1159">
        <f t="shared" si="379"/>
        <v>46387</v>
      </c>
      <c r="AG582" s="818"/>
    </row>
    <row r="583" spans="1:33" ht="12" thickBot="1">
      <c r="A583" s="983" t="s">
        <v>767</v>
      </c>
      <c r="B583" s="818"/>
      <c r="C583" s="818"/>
      <c r="D583" s="818"/>
      <c r="E583" s="1160" t="s">
        <v>461</v>
      </c>
      <c r="F583" s="1160" t="s">
        <v>461</v>
      </c>
      <c r="G583" s="1160" t="s">
        <v>461</v>
      </c>
      <c r="H583" s="1161" t="s">
        <v>461</v>
      </c>
      <c r="I583" s="1162" t="s">
        <v>699</v>
      </c>
      <c r="J583" s="1163" t="s">
        <v>699</v>
      </c>
      <c r="K583" s="1163" t="s">
        <v>699</v>
      </c>
      <c r="L583" s="1163" t="s">
        <v>699</v>
      </c>
      <c r="M583" s="1163" t="s">
        <v>699</v>
      </c>
      <c r="N583" s="1163" t="s">
        <v>699</v>
      </c>
      <c r="O583" s="1163" t="s">
        <v>699</v>
      </c>
      <c r="P583" s="1163" t="s">
        <v>699</v>
      </c>
      <c r="Q583" s="1163" t="s">
        <v>699</v>
      </c>
      <c r="R583" s="1163" t="s">
        <v>699</v>
      </c>
      <c r="S583" s="1163" t="s">
        <v>699</v>
      </c>
      <c r="T583" s="1163" t="s">
        <v>699</v>
      </c>
      <c r="U583" s="1163" t="s">
        <v>699</v>
      </c>
      <c r="V583" s="1163" t="s">
        <v>699</v>
      </c>
      <c r="W583" s="1163" t="s">
        <v>699</v>
      </c>
      <c r="X583" s="1163" t="s">
        <v>699</v>
      </c>
      <c r="Y583" s="1163" t="s">
        <v>699</v>
      </c>
      <c r="Z583" s="1163" t="s">
        <v>699</v>
      </c>
      <c r="AA583" s="1163" t="s">
        <v>699</v>
      </c>
      <c r="AB583" s="1163" t="s">
        <v>699</v>
      </c>
      <c r="AC583" s="1163" t="s">
        <v>699</v>
      </c>
      <c r="AD583" s="1163" t="s">
        <v>699</v>
      </c>
      <c r="AE583" s="1163" t="s">
        <v>699</v>
      </c>
      <c r="AF583" s="1163" t="s">
        <v>699</v>
      </c>
      <c r="AG583" s="818"/>
    </row>
    <row r="584" spans="1:33" ht="12" thickTop="1">
      <c r="A584" s="983"/>
      <c r="B584" s="818"/>
      <c r="C584" s="818"/>
      <c r="D584" s="818"/>
      <c r="E584" s="1164"/>
      <c r="F584" s="1164"/>
      <c r="G584" s="1164"/>
      <c r="H584" s="1165"/>
      <c r="I584" s="1165"/>
      <c r="J584" s="1165"/>
      <c r="K584" s="1165"/>
      <c r="L584" s="1165"/>
      <c r="M584" s="1165"/>
      <c r="N584" s="1165"/>
      <c r="O584" s="1165"/>
      <c r="P584" s="1165"/>
      <c r="Q584" s="1165"/>
      <c r="R584" s="1165"/>
      <c r="S584" s="1165"/>
      <c r="T584" s="1165"/>
      <c r="U584" s="1165"/>
      <c r="V584" s="1165"/>
      <c r="W584" s="1165"/>
      <c r="X584" s="1165"/>
      <c r="Y584" s="1165"/>
      <c r="Z584" s="1165"/>
      <c r="AA584" s="1165"/>
      <c r="AB584" s="1165"/>
      <c r="AC584" s="1165"/>
      <c r="AD584" s="1165"/>
      <c r="AE584" s="1165"/>
      <c r="AF584" s="1165"/>
      <c r="AG584" s="818"/>
    </row>
    <row r="585" spans="1:33">
      <c r="A585" s="1009" t="s">
        <v>768</v>
      </c>
      <c r="B585" s="818"/>
      <c r="C585" s="818"/>
      <c r="D585" s="818"/>
      <c r="E585" s="997">
        <v>0</v>
      </c>
      <c r="F585" s="997">
        <v>0</v>
      </c>
      <c r="G585" s="997">
        <v>0</v>
      </c>
      <c r="H585" s="997">
        <v>0</v>
      </c>
      <c r="I585" s="818"/>
      <c r="J585" s="818"/>
      <c r="K585" s="818"/>
      <c r="L585" s="818"/>
      <c r="M585" s="818"/>
      <c r="N585" s="818"/>
      <c r="O585" s="818"/>
      <c r="P585" s="818"/>
      <c r="Q585" s="818"/>
      <c r="R585" s="818"/>
      <c r="S585" s="818"/>
      <c r="T585" s="818"/>
      <c r="U585" s="818"/>
      <c r="V585" s="818"/>
      <c r="W585" s="818"/>
      <c r="X585" s="818"/>
      <c r="Y585" s="818"/>
      <c r="Z585" s="818"/>
      <c r="AA585" s="818"/>
      <c r="AB585" s="818"/>
      <c r="AC585" s="818"/>
      <c r="AD585" s="818"/>
      <c r="AE585" s="818"/>
      <c r="AF585" s="818"/>
      <c r="AG585" s="818"/>
    </row>
    <row r="586" spans="1:33">
      <c r="A586" s="818"/>
      <c r="B586" s="818"/>
      <c r="C586" s="818"/>
      <c r="D586" s="818"/>
      <c r="E586" s="818"/>
      <c r="F586" s="818"/>
      <c r="G586" s="818"/>
      <c r="H586" s="818"/>
      <c r="I586" s="818"/>
      <c r="J586" s="818"/>
      <c r="K586" s="818"/>
      <c r="L586" s="818"/>
      <c r="M586" s="818"/>
      <c r="N586" s="818"/>
      <c r="O586" s="818"/>
      <c r="P586" s="818"/>
      <c r="Q586" s="818"/>
      <c r="R586" s="818"/>
      <c r="S586" s="818"/>
      <c r="T586" s="818"/>
      <c r="U586" s="818"/>
      <c r="V586" s="818"/>
      <c r="W586" s="818"/>
      <c r="X586" s="818"/>
      <c r="Y586" s="818"/>
      <c r="Z586" s="818"/>
      <c r="AA586" s="818"/>
      <c r="AB586" s="818"/>
      <c r="AC586" s="818"/>
      <c r="AD586" s="818"/>
      <c r="AE586" s="818"/>
      <c r="AF586" s="818"/>
      <c r="AG586" s="818"/>
    </row>
    <row r="587" spans="1:33">
      <c r="A587" s="1009" t="s">
        <v>627</v>
      </c>
      <c r="B587" s="818"/>
      <c r="C587" s="818"/>
      <c r="D587" s="818"/>
      <c r="E587" s="1166"/>
      <c r="F587" s="818"/>
      <c r="G587" s="818"/>
      <c r="H587" s="818"/>
      <c r="I587" s="1153">
        <v>0</v>
      </c>
      <c r="J587" s="1153">
        <v>0</v>
      </c>
      <c r="K587" s="1153">
        <v>0</v>
      </c>
      <c r="L587" s="1153">
        <v>0</v>
      </c>
      <c r="M587" s="1153">
        <v>0</v>
      </c>
      <c r="N587" s="1153">
        <v>0</v>
      </c>
      <c r="O587" s="1153">
        <v>0</v>
      </c>
      <c r="P587" s="1153">
        <v>0</v>
      </c>
      <c r="Q587" s="1153">
        <v>0</v>
      </c>
      <c r="R587" s="1153">
        <v>0</v>
      </c>
      <c r="S587" s="1153">
        <v>0</v>
      </c>
      <c r="T587" s="1153">
        <v>0</v>
      </c>
      <c r="U587" s="1153">
        <v>0</v>
      </c>
      <c r="V587" s="1153">
        <v>0</v>
      </c>
      <c r="W587" s="1153">
        <v>0</v>
      </c>
      <c r="X587" s="1153">
        <v>0</v>
      </c>
      <c r="Y587" s="1153">
        <v>0</v>
      </c>
      <c r="Z587" s="1153">
        <v>0</v>
      </c>
      <c r="AA587" s="1153">
        <v>0</v>
      </c>
      <c r="AB587" s="1153">
        <v>0</v>
      </c>
      <c r="AC587" s="1153">
        <v>0</v>
      </c>
      <c r="AD587" s="1153">
        <v>0</v>
      </c>
      <c r="AE587" s="1153">
        <v>0</v>
      </c>
      <c r="AF587" s="1153">
        <v>0</v>
      </c>
      <c r="AG587" s="818"/>
    </row>
    <row r="588" spans="1:33">
      <c r="A588" s="1009" t="str">
        <f>B451</f>
        <v>Purchase Term Loan</v>
      </c>
      <c r="B588" s="818"/>
      <c r="C588" s="818"/>
      <c r="D588" s="1153"/>
      <c r="E588" s="1010"/>
      <c r="F588" s="1010"/>
      <c r="G588" s="1010"/>
      <c r="H588" s="1010"/>
      <c r="I588" s="1454">
        <f>Assumptions!$M$17</f>
        <v>9.375E-2</v>
      </c>
      <c r="J588" s="1454">
        <f>Assumptions!$M$17</f>
        <v>9.375E-2</v>
      </c>
      <c r="K588" s="1454">
        <f>Assumptions!$M$17</f>
        <v>9.375E-2</v>
      </c>
      <c r="L588" s="1454">
        <f>Assumptions!$M$17</f>
        <v>9.375E-2</v>
      </c>
      <c r="M588" s="1454">
        <f>Assumptions!$M$17</f>
        <v>9.375E-2</v>
      </c>
      <c r="N588" s="1454">
        <f>Assumptions!$M$17</f>
        <v>9.375E-2</v>
      </c>
      <c r="O588" s="1454">
        <f>Assumptions!$M$17</f>
        <v>9.375E-2</v>
      </c>
      <c r="P588" s="1454">
        <f>Assumptions!$M$17</f>
        <v>9.375E-2</v>
      </c>
      <c r="Q588" s="1454">
        <f>Assumptions!$M$17</f>
        <v>9.375E-2</v>
      </c>
      <c r="R588" s="1454">
        <f>Assumptions!$M$17</f>
        <v>9.375E-2</v>
      </c>
      <c r="S588" s="1454">
        <f>Assumptions!$M$17</f>
        <v>9.375E-2</v>
      </c>
      <c r="T588" s="1454">
        <f>Assumptions!$M$17</f>
        <v>9.375E-2</v>
      </c>
      <c r="U588" s="1454">
        <f>Assumptions!$M$17</f>
        <v>9.375E-2</v>
      </c>
      <c r="V588" s="1454">
        <f>Assumptions!$M$17</f>
        <v>9.375E-2</v>
      </c>
      <c r="W588" s="1454">
        <f>Assumptions!$M$17</f>
        <v>9.375E-2</v>
      </c>
      <c r="X588" s="1454">
        <f>Assumptions!$M$17</f>
        <v>9.375E-2</v>
      </c>
      <c r="Y588" s="1454">
        <f>Assumptions!$M$17</f>
        <v>9.375E-2</v>
      </c>
      <c r="Z588" s="1454">
        <f>Assumptions!$M$17</f>
        <v>9.375E-2</v>
      </c>
      <c r="AA588" s="1454">
        <f>Assumptions!$M$17</f>
        <v>9.375E-2</v>
      </c>
      <c r="AB588" s="1454">
        <f>Assumptions!$M$17</f>
        <v>9.375E-2</v>
      </c>
      <c r="AC588" s="1454">
        <f>Assumptions!$M$17</f>
        <v>9.375E-2</v>
      </c>
      <c r="AD588" s="1454">
        <f>Assumptions!$M$17</f>
        <v>9.375E-2</v>
      </c>
      <c r="AE588" s="1454">
        <f>Assumptions!$M$17</f>
        <v>9.375E-2</v>
      </c>
      <c r="AF588" s="1454">
        <f>Assumptions!$M$17</f>
        <v>9.375E-2</v>
      </c>
      <c r="AG588" s="818"/>
    </row>
    <row r="589" spans="1:33">
      <c r="A589" s="1009" t="str">
        <f>B452</f>
        <v>Scrubber Term Loan</v>
      </c>
      <c r="B589" s="818"/>
      <c r="C589" s="818"/>
      <c r="D589" s="1153"/>
      <c r="E589" s="1010"/>
      <c r="F589" s="1010"/>
      <c r="G589" s="1010"/>
      <c r="H589" s="1010"/>
      <c r="I589" s="1454">
        <f>+Debt!$N$35</f>
        <v>7.4999999999999997E-2</v>
      </c>
      <c r="J589" s="1454">
        <f>+Debt!$N$35</f>
        <v>7.4999999999999997E-2</v>
      </c>
      <c r="K589" s="1454">
        <f>+Debt!$N$35</f>
        <v>7.4999999999999997E-2</v>
      </c>
      <c r="L589" s="1454">
        <f>+Debt!$N$35</f>
        <v>7.4999999999999997E-2</v>
      </c>
      <c r="M589" s="1454">
        <f>+Debt!$N$35</f>
        <v>7.4999999999999997E-2</v>
      </c>
      <c r="N589" s="1454">
        <f>+Debt!$N$35</f>
        <v>7.4999999999999997E-2</v>
      </c>
      <c r="O589" s="1454">
        <f>+Debt!$N$35</f>
        <v>7.4999999999999997E-2</v>
      </c>
      <c r="P589" s="1454">
        <f>+Debt!$N$35</f>
        <v>7.4999999999999997E-2</v>
      </c>
      <c r="Q589" s="1454">
        <f>+Debt!$N$35</f>
        <v>7.4999999999999997E-2</v>
      </c>
      <c r="R589" s="1454">
        <f>+Debt!$N$35</f>
        <v>7.4999999999999997E-2</v>
      </c>
      <c r="S589" s="1454">
        <f>+Debt!$N$35</f>
        <v>7.4999999999999997E-2</v>
      </c>
      <c r="T589" s="1454">
        <f>+Debt!$N$35</f>
        <v>7.4999999999999997E-2</v>
      </c>
      <c r="U589" s="1454">
        <f>+Debt!$N$35</f>
        <v>7.4999999999999997E-2</v>
      </c>
      <c r="V589" s="1454">
        <f>+Debt!$N$35</f>
        <v>7.4999999999999997E-2</v>
      </c>
      <c r="W589" s="1454">
        <f>+Debt!$N$35</f>
        <v>7.4999999999999997E-2</v>
      </c>
      <c r="X589" s="1454">
        <f>+Debt!$N$35</f>
        <v>7.4999999999999997E-2</v>
      </c>
      <c r="Y589" s="1454">
        <f>+Debt!$N$35</f>
        <v>7.4999999999999997E-2</v>
      </c>
      <c r="Z589" s="1454">
        <f>+Debt!$N$35</f>
        <v>7.4999999999999997E-2</v>
      </c>
      <c r="AA589" s="1454">
        <f>+Debt!$N$35</f>
        <v>7.4999999999999997E-2</v>
      </c>
      <c r="AB589" s="1454">
        <f>+Debt!$N$35</f>
        <v>7.4999999999999997E-2</v>
      </c>
      <c r="AC589" s="1454">
        <f>+Debt!$N$35</f>
        <v>7.4999999999999997E-2</v>
      </c>
      <c r="AD589" s="1454">
        <f>+Debt!$N$35</f>
        <v>7.4999999999999997E-2</v>
      </c>
      <c r="AE589" s="1454">
        <f>+Debt!$N$35</f>
        <v>7.4999999999999997E-2</v>
      </c>
      <c r="AF589" s="1454">
        <f>+Debt!$N$35</f>
        <v>7.4999999999999997E-2</v>
      </c>
      <c r="AG589" s="818"/>
    </row>
    <row r="590" spans="1:33">
      <c r="A590" s="1009" t="s">
        <v>769</v>
      </c>
      <c r="B590" s="818"/>
      <c r="C590" s="818"/>
      <c r="D590" s="818"/>
      <c r="E590" s="1010"/>
      <c r="F590" s="1010"/>
      <c r="G590" s="1010"/>
      <c r="H590" s="1010"/>
      <c r="I590" s="1153">
        <v>0</v>
      </c>
      <c r="J590" s="1153">
        <f t="shared" ref="J590:AF590" si="380">I590</f>
        <v>0</v>
      </c>
      <c r="K590" s="1153">
        <f t="shared" si="380"/>
        <v>0</v>
      </c>
      <c r="L590" s="1153">
        <f t="shared" si="380"/>
        <v>0</v>
      </c>
      <c r="M590" s="1153">
        <f t="shared" si="380"/>
        <v>0</v>
      </c>
      <c r="N590" s="1153">
        <f t="shared" si="380"/>
        <v>0</v>
      </c>
      <c r="O590" s="1153">
        <f t="shared" si="380"/>
        <v>0</v>
      </c>
      <c r="P590" s="1153">
        <f t="shared" si="380"/>
        <v>0</v>
      </c>
      <c r="Q590" s="1153">
        <f t="shared" si="380"/>
        <v>0</v>
      </c>
      <c r="R590" s="1153">
        <f t="shared" si="380"/>
        <v>0</v>
      </c>
      <c r="S590" s="1153">
        <f t="shared" si="380"/>
        <v>0</v>
      </c>
      <c r="T590" s="1153">
        <f t="shared" si="380"/>
        <v>0</v>
      </c>
      <c r="U590" s="1153">
        <f t="shared" si="380"/>
        <v>0</v>
      </c>
      <c r="V590" s="1153">
        <f t="shared" si="380"/>
        <v>0</v>
      </c>
      <c r="W590" s="1153">
        <f t="shared" si="380"/>
        <v>0</v>
      </c>
      <c r="X590" s="1153">
        <f t="shared" si="380"/>
        <v>0</v>
      </c>
      <c r="Y590" s="1153">
        <f t="shared" si="380"/>
        <v>0</v>
      </c>
      <c r="Z590" s="1153">
        <f t="shared" si="380"/>
        <v>0</v>
      </c>
      <c r="AA590" s="1153">
        <f t="shared" si="380"/>
        <v>0</v>
      </c>
      <c r="AB590" s="1153">
        <f t="shared" si="380"/>
        <v>0</v>
      </c>
      <c r="AC590" s="1153">
        <f t="shared" si="380"/>
        <v>0</v>
      </c>
      <c r="AD590" s="1153">
        <f t="shared" si="380"/>
        <v>0</v>
      </c>
      <c r="AE590" s="1153">
        <f t="shared" si="380"/>
        <v>0</v>
      </c>
      <c r="AF590" s="1153">
        <f t="shared" si="380"/>
        <v>0</v>
      </c>
      <c r="AG590" s="818"/>
    </row>
    <row r="591" spans="1:33">
      <c r="A591" s="1009"/>
      <c r="B591" s="818"/>
      <c r="C591" s="818"/>
      <c r="D591" s="818"/>
      <c r="E591" s="818"/>
      <c r="F591" s="818"/>
      <c r="G591" s="818"/>
      <c r="H591" s="818"/>
      <c r="I591" s="818"/>
      <c r="J591" s="818"/>
      <c r="K591" s="818"/>
      <c r="L591" s="818"/>
      <c r="M591" s="818"/>
      <c r="N591" s="818"/>
      <c r="O591" s="818"/>
      <c r="P591" s="818"/>
      <c r="Q591" s="818"/>
      <c r="R591" s="818"/>
      <c r="S591" s="818"/>
      <c r="T591" s="818"/>
      <c r="U591" s="818"/>
      <c r="V591" s="818"/>
      <c r="W591" s="818"/>
      <c r="X591" s="818"/>
      <c r="Y591" s="818"/>
      <c r="Z591" s="818"/>
      <c r="AA591" s="818"/>
      <c r="AB591" s="818"/>
      <c r="AC591" s="818"/>
      <c r="AD591" s="818"/>
      <c r="AE591" s="818"/>
      <c r="AF591" s="818"/>
      <c r="AG591" s="818"/>
    </row>
    <row r="592" spans="1:33">
      <c r="A592" s="1167" t="s">
        <v>624</v>
      </c>
      <c r="B592" s="818"/>
      <c r="C592" s="818"/>
      <c r="D592" s="818"/>
      <c r="E592" s="818"/>
      <c r="F592" s="818"/>
      <c r="G592" s="818"/>
      <c r="H592" s="818"/>
      <c r="I592" s="818"/>
      <c r="J592" s="818"/>
      <c r="K592" s="818"/>
      <c r="L592" s="818"/>
      <c r="M592" s="818"/>
      <c r="N592" s="818"/>
      <c r="O592" s="818"/>
      <c r="P592" s="818"/>
      <c r="Q592" s="818"/>
      <c r="R592" s="818"/>
      <c r="S592" s="818"/>
      <c r="T592" s="818"/>
      <c r="U592" s="818"/>
      <c r="V592" s="818"/>
      <c r="W592" s="818"/>
      <c r="X592" s="818"/>
      <c r="Y592" s="818"/>
      <c r="Z592" s="818"/>
      <c r="AA592" s="818"/>
      <c r="AB592" s="818"/>
      <c r="AC592" s="818"/>
      <c r="AD592" s="818"/>
      <c r="AE592" s="818"/>
      <c r="AF592" s="818"/>
      <c r="AG592" s="818"/>
    </row>
    <row r="593" spans="1:33">
      <c r="A593" s="1009" t="s">
        <v>770</v>
      </c>
      <c r="B593" s="818"/>
      <c r="C593" s="818"/>
      <c r="D593" s="818"/>
      <c r="E593" s="1168" t="s">
        <v>163</v>
      </c>
      <c r="F593" s="818"/>
      <c r="G593" s="818"/>
      <c r="H593" s="818"/>
      <c r="I593" s="818"/>
      <c r="J593" s="818"/>
      <c r="K593" s="818"/>
      <c r="L593" s="818"/>
      <c r="M593" s="818"/>
      <c r="N593" s="818"/>
      <c r="O593" s="818"/>
      <c r="P593" s="818"/>
      <c r="Q593" s="818"/>
      <c r="R593" s="818"/>
      <c r="S593" s="818"/>
      <c r="T593" s="818"/>
      <c r="U593" s="818"/>
      <c r="V593" s="818"/>
      <c r="W593" s="818"/>
      <c r="X593" s="818"/>
      <c r="Y593" s="818"/>
      <c r="Z593" s="818"/>
      <c r="AA593" s="818"/>
      <c r="AB593" s="818"/>
      <c r="AC593" s="818"/>
      <c r="AD593" s="818"/>
      <c r="AE593" s="818"/>
      <c r="AF593" s="818"/>
      <c r="AG593" s="818"/>
    </row>
    <row r="594" spans="1:33">
      <c r="A594" s="1009" t="s">
        <v>771</v>
      </c>
      <c r="B594" s="818"/>
      <c r="C594" s="818"/>
      <c r="D594" s="1153"/>
      <c r="E594" s="1010">
        <v>0</v>
      </c>
      <c r="F594" s="1010">
        <v>0</v>
      </c>
      <c r="G594" s="1010">
        <v>0</v>
      </c>
      <c r="H594" s="1010">
        <v>0</v>
      </c>
      <c r="I594" s="1153">
        <v>0.1</v>
      </c>
      <c r="J594" s="1153">
        <f t="shared" ref="J594:AF594" si="381">I594</f>
        <v>0.1</v>
      </c>
      <c r="K594" s="1153">
        <f t="shared" si="381"/>
        <v>0.1</v>
      </c>
      <c r="L594" s="1153">
        <f t="shared" si="381"/>
        <v>0.1</v>
      </c>
      <c r="M594" s="1153">
        <f t="shared" si="381"/>
        <v>0.1</v>
      </c>
      <c r="N594" s="1153">
        <f t="shared" si="381"/>
        <v>0.1</v>
      </c>
      <c r="O594" s="1153">
        <f t="shared" si="381"/>
        <v>0.1</v>
      </c>
      <c r="P594" s="1153">
        <f t="shared" si="381"/>
        <v>0.1</v>
      </c>
      <c r="Q594" s="1153">
        <f t="shared" si="381"/>
        <v>0.1</v>
      </c>
      <c r="R594" s="1153">
        <f t="shared" si="381"/>
        <v>0.1</v>
      </c>
      <c r="S594" s="1153">
        <f t="shared" si="381"/>
        <v>0.1</v>
      </c>
      <c r="T594" s="1153">
        <f t="shared" si="381"/>
        <v>0.1</v>
      </c>
      <c r="U594" s="1153">
        <f t="shared" si="381"/>
        <v>0.1</v>
      </c>
      <c r="V594" s="1153">
        <f t="shared" si="381"/>
        <v>0.1</v>
      </c>
      <c r="W594" s="1153">
        <f t="shared" si="381"/>
        <v>0.1</v>
      </c>
      <c r="X594" s="1153">
        <f t="shared" si="381"/>
        <v>0.1</v>
      </c>
      <c r="Y594" s="1153">
        <f t="shared" si="381"/>
        <v>0.1</v>
      </c>
      <c r="Z594" s="1153">
        <f t="shared" si="381"/>
        <v>0.1</v>
      </c>
      <c r="AA594" s="1153">
        <f t="shared" si="381"/>
        <v>0.1</v>
      </c>
      <c r="AB594" s="1153">
        <f t="shared" si="381"/>
        <v>0.1</v>
      </c>
      <c r="AC594" s="1153">
        <f t="shared" si="381"/>
        <v>0.1</v>
      </c>
      <c r="AD594" s="1153">
        <f t="shared" si="381"/>
        <v>0.1</v>
      </c>
      <c r="AE594" s="1153">
        <f t="shared" si="381"/>
        <v>0.1</v>
      </c>
      <c r="AF594" s="1153">
        <f t="shared" si="381"/>
        <v>0.1</v>
      </c>
      <c r="AG594" s="818"/>
    </row>
    <row r="595" spans="1:33">
      <c r="A595" s="1009"/>
      <c r="B595" s="818"/>
      <c r="C595" s="818"/>
      <c r="D595" s="818"/>
      <c r="E595" s="1011"/>
      <c r="F595" s="1011"/>
      <c r="G595" s="1011"/>
      <c r="H595" s="1011"/>
      <c r="I595" s="818"/>
      <c r="J595" s="818"/>
      <c r="K595" s="818"/>
      <c r="L595" s="818"/>
      <c r="M595" s="818"/>
      <c r="N595" s="818"/>
      <c r="O595" s="818"/>
      <c r="P595" s="818"/>
      <c r="Q595" s="818"/>
      <c r="R595" s="818"/>
      <c r="S595" s="818"/>
      <c r="T595" s="818"/>
      <c r="U595" s="818"/>
      <c r="V595" s="818"/>
      <c r="W595" s="818"/>
      <c r="X595" s="818"/>
      <c r="Y595" s="818"/>
      <c r="Z595" s="818"/>
      <c r="AA595" s="818"/>
      <c r="AB595" s="818"/>
      <c r="AC595" s="818"/>
      <c r="AD595" s="818"/>
      <c r="AE595" s="818"/>
      <c r="AF595" s="818"/>
      <c r="AG595" s="818"/>
    </row>
    <row r="596" spans="1:33" ht="12" thickBot="1">
      <c r="A596" s="1009"/>
      <c r="B596" s="818"/>
      <c r="C596" s="818"/>
      <c r="D596" s="818"/>
      <c r="E596" s="1011"/>
      <c r="F596" s="1011"/>
      <c r="G596" s="1011"/>
      <c r="H596" s="1011"/>
      <c r="I596" s="818"/>
      <c r="J596" s="818"/>
      <c r="K596" s="818"/>
      <c r="L596" s="818"/>
      <c r="M596" s="818"/>
      <c r="N596" s="818"/>
      <c r="O596" s="818"/>
      <c r="P596" s="818"/>
      <c r="Q596" s="818"/>
      <c r="R596" s="818"/>
      <c r="S596" s="818"/>
      <c r="T596" s="818"/>
      <c r="U596" s="818"/>
      <c r="V596" s="818"/>
      <c r="W596" s="818"/>
      <c r="X596" s="818"/>
      <c r="Y596" s="818"/>
      <c r="Z596" s="818"/>
      <c r="AA596" s="818"/>
      <c r="AB596" s="818"/>
      <c r="AC596" s="818"/>
      <c r="AD596" s="818"/>
      <c r="AE596" s="818"/>
      <c r="AF596" s="818"/>
      <c r="AG596" s="818"/>
    </row>
    <row r="597" spans="1:33" ht="12.75" thickTop="1" thickBot="1">
      <c r="A597" s="1059"/>
      <c r="B597" s="985"/>
      <c r="C597" s="985"/>
      <c r="D597" s="985"/>
      <c r="E597" s="1155"/>
      <c r="F597" s="1155"/>
      <c r="G597" s="1155"/>
      <c r="H597" s="1155"/>
      <c r="I597" s="985"/>
      <c r="J597" s="985"/>
      <c r="K597" s="985"/>
      <c r="L597" s="985"/>
      <c r="M597" s="985"/>
      <c r="N597" s="985"/>
      <c r="O597" s="985"/>
      <c r="P597" s="985"/>
      <c r="Q597" s="985"/>
      <c r="R597" s="985"/>
      <c r="S597" s="985"/>
      <c r="T597" s="985"/>
      <c r="U597" s="985"/>
      <c r="V597" s="985"/>
      <c r="W597" s="985"/>
      <c r="X597" s="985"/>
      <c r="Y597" s="985"/>
      <c r="Z597" s="985"/>
      <c r="AA597" s="985"/>
      <c r="AB597" s="985"/>
      <c r="AC597" s="985"/>
      <c r="AD597" s="985"/>
      <c r="AE597" s="985"/>
      <c r="AF597" s="985"/>
      <c r="AG597" s="818"/>
    </row>
    <row r="598" spans="1:33" ht="12.75" thickTop="1" thickBot="1">
      <c r="A598" s="983" t="s">
        <v>772</v>
      </c>
      <c r="B598" s="818"/>
      <c r="C598" s="818"/>
      <c r="D598" s="818"/>
      <c r="E598" s="917"/>
      <c r="F598" s="818"/>
      <c r="G598" s="818"/>
      <c r="H598" s="1169" t="str">
        <f>TEXT(C440,"0")&amp;" M"</f>
        <v>6 M</v>
      </c>
      <c r="I598" s="1170" t="str">
        <f>TEXT(C443,"0")&amp;" M"</f>
        <v>6 M</v>
      </c>
      <c r="J598" s="818"/>
      <c r="K598" s="818"/>
      <c r="L598" s="818"/>
      <c r="M598" s="818"/>
      <c r="N598" s="818"/>
      <c r="O598" s="818"/>
      <c r="P598" s="818"/>
      <c r="Q598" s="818"/>
      <c r="R598" s="818"/>
      <c r="S598" s="818"/>
      <c r="T598" s="818"/>
      <c r="U598" s="818"/>
      <c r="V598" s="818"/>
      <c r="W598" s="818"/>
      <c r="X598" s="818"/>
      <c r="Y598" s="818"/>
      <c r="Z598" s="818"/>
      <c r="AA598" s="818"/>
      <c r="AB598" s="818"/>
      <c r="AC598" s="818"/>
      <c r="AD598" s="818"/>
      <c r="AE598" s="818"/>
      <c r="AF598" s="818"/>
      <c r="AG598" s="818"/>
    </row>
    <row r="599" spans="1:33" ht="12.75" thickTop="1" thickBot="1">
      <c r="A599" s="531" t="s">
        <v>773</v>
      </c>
      <c r="B599" s="1171">
        <f>E445</f>
        <v>37986</v>
      </c>
      <c r="C599" s="665"/>
      <c r="D599" s="818"/>
      <c r="E599" s="1099">
        <f>DATE(YEAR(F599)-1,12,31)</f>
        <v>36891</v>
      </c>
      <c r="F599" s="1099">
        <f>DATE(YEAR(G599)-1,12,31)</f>
        <v>37256</v>
      </c>
      <c r="G599" s="1099">
        <f>DATE(YEAR(H599)-1,12,31)</f>
        <v>37621</v>
      </c>
      <c r="H599" s="1121">
        <f>C437</f>
        <v>37802</v>
      </c>
      <c r="I599" s="1172">
        <f>E445</f>
        <v>37986</v>
      </c>
      <c r="J599" s="1173">
        <f>DATE(YEAR(I599)+1,12,31)</f>
        <v>38352</v>
      </c>
      <c r="K599" s="1173">
        <f t="shared" ref="K599:AF599" si="382">DATE(YEAR(J599)+1,12,31)</f>
        <v>38717</v>
      </c>
      <c r="L599" s="1173">
        <f t="shared" si="382"/>
        <v>39082</v>
      </c>
      <c r="M599" s="1173">
        <f t="shared" si="382"/>
        <v>39447</v>
      </c>
      <c r="N599" s="1173">
        <f t="shared" si="382"/>
        <v>39813</v>
      </c>
      <c r="O599" s="1173">
        <f t="shared" si="382"/>
        <v>40178</v>
      </c>
      <c r="P599" s="1173">
        <f t="shared" si="382"/>
        <v>40543</v>
      </c>
      <c r="Q599" s="1173">
        <f t="shared" si="382"/>
        <v>40908</v>
      </c>
      <c r="R599" s="1173">
        <f t="shared" si="382"/>
        <v>41274</v>
      </c>
      <c r="S599" s="1173">
        <f t="shared" si="382"/>
        <v>41639</v>
      </c>
      <c r="T599" s="1173">
        <f t="shared" si="382"/>
        <v>42004</v>
      </c>
      <c r="U599" s="1173">
        <f t="shared" si="382"/>
        <v>42369</v>
      </c>
      <c r="V599" s="1173">
        <f t="shared" si="382"/>
        <v>42735</v>
      </c>
      <c r="W599" s="1173">
        <f t="shared" si="382"/>
        <v>43100</v>
      </c>
      <c r="X599" s="1173">
        <f t="shared" si="382"/>
        <v>43465</v>
      </c>
      <c r="Y599" s="1173">
        <f t="shared" si="382"/>
        <v>43830</v>
      </c>
      <c r="Z599" s="1173">
        <f t="shared" si="382"/>
        <v>44196</v>
      </c>
      <c r="AA599" s="1173">
        <f t="shared" si="382"/>
        <v>44561</v>
      </c>
      <c r="AB599" s="1173">
        <f t="shared" si="382"/>
        <v>44926</v>
      </c>
      <c r="AC599" s="1173">
        <f t="shared" si="382"/>
        <v>45291</v>
      </c>
      <c r="AD599" s="1173">
        <f t="shared" si="382"/>
        <v>45657</v>
      </c>
      <c r="AE599" s="1173">
        <f t="shared" si="382"/>
        <v>46022</v>
      </c>
      <c r="AF599" s="1173">
        <f t="shared" si="382"/>
        <v>46387</v>
      </c>
      <c r="AG599" s="818"/>
    </row>
    <row r="600" spans="1:33" ht="12" thickTop="1">
      <c r="A600" s="917" t="s">
        <v>708</v>
      </c>
      <c r="B600" s="818"/>
      <c r="C600" s="818"/>
      <c r="D600" s="818"/>
      <c r="E600" s="818"/>
      <c r="F600" s="818"/>
      <c r="G600" s="1010"/>
      <c r="H600" s="818"/>
      <c r="I600" s="818"/>
      <c r="J600" s="818"/>
      <c r="K600" s="818"/>
      <c r="L600" s="818"/>
      <c r="M600" s="818"/>
      <c r="N600" s="818"/>
      <c r="O600" s="818"/>
      <c r="P600" s="818"/>
      <c r="Q600" s="818"/>
      <c r="R600" s="818"/>
      <c r="S600" s="818"/>
      <c r="T600" s="818"/>
      <c r="U600" s="818"/>
      <c r="V600" s="818"/>
      <c r="W600" s="818"/>
      <c r="X600" s="818"/>
      <c r="Y600" s="818"/>
      <c r="Z600" s="818"/>
      <c r="AA600" s="818"/>
      <c r="AB600" s="818"/>
      <c r="AC600" s="818"/>
      <c r="AD600" s="818"/>
      <c r="AE600" s="818"/>
      <c r="AF600" s="818"/>
      <c r="AG600" s="818"/>
    </row>
    <row r="601" spans="1:33">
      <c r="A601" s="1009" t="s">
        <v>774</v>
      </c>
      <c r="B601" s="818"/>
      <c r="C601" s="818"/>
      <c r="D601" s="1010"/>
      <c r="E601" s="1010"/>
      <c r="F601" s="1010"/>
      <c r="G601" s="1010"/>
      <c r="H601" s="1010"/>
      <c r="I601" s="1011">
        <f t="shared" ref="I601:AF601" ca="1" si="383">I479</f>
        <v>302.84267078322335</v>
      </c>
      <c r="J601" s="1011">
        <f t="shared" ca="1" si="383"/>
        <v>605.68534156644671</v>
      </c>
      <c r="K601" s="1011">
        <f t="shared" ca="1" si="383"/>
        <v>605.68534156644671</v>
      </c>
      <c r="L601" s="1011">
        <f t="shared" ca="1" si="383"/>
        <v>605.68534156644671</v>
      </c>
      <c r="M601" s="1011">
        <f t="shared" ca="1" si="383"/>
        <v>605.68534156644671</v>
      </c>
      <c r="N601" s="1011">
        <f t="shared" ca="1" si="383"/>
        <v>605.68534156644671</v>
      </c>
      <c r="O601" s="1011">
        <f t="shared" ca="1" si="383"/>
        <v>605.68534156644671</v>
      </c>
      <c r="P601" s="1011">
        <f t="shared" ca="1" si="383"/>
        <v>605.68534156644671</v>
      </c>
      <c r="Q601" s="1011">
        <f t="shared" ca="1" si="383"/>
        <v>605.68534156644671</v>
      </c>
      <c r="R601" s="1011">
        <f t="shared" ca="1" si="383"/>
        <v>605.68534156644671</v>
      </c>
      <c r="S601" s="1011">
        <f t="shared" ca="1" si="383"/>
        <v>302.84267078322335</v>
      </c>
      <c r="T601" s="1011">
        <f t="shared" si="383"/>
        <v>0</v>
      </c>
      <c r="U601" s="1011">
        <f t="shared" si="383"/>
        <v>0</v>
      </c>
      <c r="V601" s="1011">
        <f t="shared" si="383"/>
        <v>0</v>
      </c>
      <c r="W601" s="1011">
        <f t="shared" si="383"/>
        <v>0</v>
      </c>
      <c r="X601" s="1011">
        <f t="shared" si="383"/>
        <v>0</v>
      </c>
      <c r="Y601" s="1011">
        <f t="shared" si="383"/>
        <v>0</v>
      </c>
      <c r="Z601" s="1011">
        <f t="shared" si="383"/>
        <v>0</v>
      </c>
      <c r="AA601" s="1011">
        <f t="shared" si="383"/>
        <v>0</v>
      </c>
      <c r="AB601" s="1011">
        <f t="shared" si="383"/>
        <v>0</v>
      </c>
      <c r="AC601" s="1011">
        <f t="shared" si="383"/>
        <v>0</v>
      </c>
      <c r="AD601" s="1011">
        <f t="shared" si="383"/>
        <v>0</v>
      </c>
      <c r="AE601" s="1011">
        <f t="shared" si="383"/>
        <v>0</v>
      </c>
      <c r="AF601" s="1011">
        <f t="shared" si="383"/>
        <v>0</v>
      </c>
      <c r="AG601" s="818"/>
    </row>
    <row r="602" spans="1:33">
      <c r="A602" s="992" t="s">
        <v>907</v>
      </c>
      <c r="B602" s="818"/>
      <c r="C602" s="818"/>
      <c r="D602" s="1151"/>
      <c r="E602" s="1068">
        <f t="shared" ref="E602:AF602" si="384">E735</f>
        <v>0</v>
      </c>
      <c r="F602" s="1068">
        <f t="shared" si="384"/>
        <v>0</v>
      </c>
      <c r="G602" s="1068">
        <f t="shared" si="384"/>
        <v>0</v>
      </c>
      <c r="H602" s="1068">
        <f t="shared" si="384"/>
        <v>0</v>
      </c>
      <c r="I602" s="1068">
        <f t="shared" ca="1" si="384"/>
        <v>3468.8041449010702</v>
      </c>
      <c r="J602" s="1068">
        <f t="shared" ca="1" si="384"/>
        <v>6937.6082898021405</v>
      </c>
      <c r="K602" s="1068">
        <f t="shared" ca="1" si="384"/>
        <v>6937.6082898021405</v>
      </c>
      <c r="L602" s="1068">
        <f t="shared" ca="1" si="384"/>
        <v>6937.6082898021405</v>
      </c>
      <c r="M602" s="1068">
        <f t="shared" ca="1" si="384"/>
        <v>6937.6082898021405</v>
      </c>
      <c r="N602" s="1068">
        <f t="shared" ca="1" si="384"/>
        <v>6937.6082898021405</v>
      </c>
      <c r="O602" s="1068">
        <f t="shared" ca="1" si="384"/>
        <v>6937.6082898021405</v>
      </c>
      <c r="P602" s="1068">
        <f t="shared" ca="1" si="384"/>
        <v>3468.8041449010702</v>
      </c>
      <c r="Q602" s="1068">
        <f t="shared" ca="1" si="384"/>
        <v>0</v>
      </c>
      <c r="R602" s="1068">
        <f t="shared" ca="1" si="384"/>
        <v>0</v>
      </c>
      <c r="S602" s="1068">
        <f t="shared" ca="1" si="384"/>
        <v>0</v>
      </c>
      <c r="T602" s="1068">
        <f t="shared" ca="1" si="384"/>
        <v>0</v>
      </c>
      <c r="U602" s="1068">
        <f t="shared" ca="1" si="384"/>
        <v>0</v>
      </c>
      <c r="V602" s="1068">
        <f t="shared" ca="1" si="384"/>
        <v>0</v>
      </c>
      <c r="W602" s="1068">
        <f t="shared" ca="1" si="384"/>
        <v>0</v>
      </c>
      <c r="X602" s="1068">
        <f t="shared" ca="1" si="384"/>
        <v>0</v>
      </c>
      <c r="Y602" s="1068">
        <f t="shared" ca="1" si="384"/>
        <v>0</v>
      </c>
      <c r="Z602" s="1068">
        <f t="shared" ca="1" si="384"/>
        <v>0</v>
      </c>
      <c r="AA602" s="1068">
        <f t="shared" ca="1" si="384"/>
        <v>0</v>
      </c>
      <c r="AB602" s="1068">
        <f t="shared" ca="1" si="384"/>
        <v>0</v>
      </c>
      <c r="AC602" s="1068">
        <f t="shared" ca="1" si="384"/>
        <v>0</v>
      </c>
      <c r="AD602" s="1068">
        <f t="shared" ca="1" si="384"/>
        <v>0</v>
      </c>
      <c r="AE602" s="1068">
        <f t="shared" ca="1" si="384"/>
        <v>0</v>
      </c>
      <c r="AF602" s="1068">
        <f t="shared" ca="1" si="384"/>
        <v>0</v>
      </c>
      <c r="AG602" s="818"/>
    </row>
    <row r="603" spans="1:33" ht="12" thickBot="1">
      <c r="A603" s="1009" t="s">
        <v>775</v>
      </c>
      <c r="B603" s="818"/>
      <c r="C603" s="818"/>
      <c r="D603" s="1010"/>
      <c r="E603" s="1174">
        <f t="shared" ref="E603:AF603" si="385">SUM(E601:E602)</f>
        <v>0</v>
      </c>
      <c r="F603" s="1174">
        <f t="shared" si="385"/>
        <v>0</v>
      </c>
      <c r="G603" s="1174">
        <f t="shared" si="385"/>
        <v>0</v>
      </c>
      <c r="H603" s="1174">
        <f t="shared" si="385"/>
        <v>0</v>
      </c>
      <c r="I603" s="1174">
        <f t="shared" ca="1" si="385"/>
        <v>3771.6468156842934</v>
      </c>
      <c r="J603" s="1174">
        <f t="shared" ca="1" si="385"/>
        <v>7543.2936313685868</v>
      </c>
      <c r="K603" s="1174">
        <f t="shared" ca="1" si="385"/>
        <v>7543.2936313685868</v>
      </c>
      <c r="L603" s="1174">
        <f t="shared" ca="1" si="385"/>
        <v>7543.2936313685868</v>
      </c>
      <c r="M603" s="1174">
        <f t="shared" ca="1" si="385"/>
        <v>7543.2936313685868</v>
      </c>
      <c r="N603" s="1174">
        <f t="shared" ca="1" si="385"/>
        <v>7543.2936313685868</v>
      </c>
      <c r="O603" s="1174">
        <f t="shared" ca="1" si="385"/>
        <v>7543.2936313685868</v>
      </c>
      <c r="P603" s="1174">
        <f t="shared" ca="1" si="385"/>
        <v>4074.4894864675171</v>
      </c>
      <c r="Q603" s="1174">
        <f t="shared" ca="1" si="385"/>
        <v>605.68534156644671</v>
      </c>
      <c r="R603" s="1174">
        <f t="shared" ca="1" si="385"/>
        <v>605.68534156644671</v>
      </c>
      <c r="S603" s="1174">
        <f t="shared" ca="1" si="385"/>
        <v>302.84267078322335</v>
      </c>
      <c r="T603" s="1174">
        <f t="shared" ca="1" si="385"/>
        <v>0</v>
      </c>
      <c r="U603" s="1174">
        <f t="shared" ca="1" si="385"/>
        <v>0</v>
      </c>
      <c r="V603" s="1174">
        <f t="shared" ca="1" si="385"/>
        <v>0</v>
      </c>
      <c r="W603" s="1174">
        <f t="shared" ca="1" si="385"/>
        <v>0</v>
      </c>
      <c r="X603" s="1174">
        <f t="shared" ca="1" si="385"/>
        <v>0</v>
      </c>
      <c r="Y603" s="1174">
        <f t="shared" ca="1" si="385"/>
        <v>0</v>
      </c>
      <c r="Z603" s="1174">
        <f t="shared" ca="1" si="385"/>
        <v>0</v>
      </c>
      <c r="AA603" s="1174">
        <f t="shared" ca="1" si="385"/>
        <v>0</v>
      </c>
      <c r="AB603" s="1174">
        <f t="shared" ca="1" si="385"/>
        <v>0</v>
      </c>
      <c r="AC603" s="1174">
        <f t="shared" ca="1" si="385"/>
        <v>0</v>
      </c>
      <c r="AD603" s="1174">
        <f t="shared" ca="1" si="385"/>
        <v>0</v>
      </c>
      <c r="AE603" s="1174">
        <f t="shared" ca="1" si="385"/>
        <v>0</v>
      </c>
      <c r="AF603" s="1174">
        <f t="shared" ca="1" si="385"/>
        <v>0</v>
      </c>
      <c r="AG603" s="818"/>
    </row>
    <row r="604" spans="1:33" ht="12" thickTop="1">
      <c r="A604" s="1009"/>
      <c r="B604" s="818"/>
      <c r="C604" s="818"/>
      <c r="D604" s="1010"/>
      <c r="E604" s="1010"/>
      <c r="F604" s="1010"/>
      <c r="G604" s="1010"/>
      <c r="H604" s="1010"/>
      <c r="I604" s="1011"/>
      <c r="J604" s="1011"/>
      <c r="K604" s="1011"/>
      <c r="L604" s="1011"/>
      <c r="M604" s="1011"/>
      <c r="N604" s="1011"/>
      <c r="O604" s="1011"/>
      <c r="P604" s="1011"/>
      <c r="Q604" s="1011"/>
      <c r="R604" s="1011"/>
      <c r="S604" s="1011"/>
      <c r="T604" s="1011"/>
      <c r="U604" s="1011"/>
      <c r="V604" s="1011"/>
      <c r="W604" s="1011"/>
      <c r="X604" s="1011"/>
      <c r="Y604" s="1011"/>
      <c r="Z604" s="1011"/>
      <c r="AA604" s="1011"/>
      <c r="AB604" s="1011"/>
      <c r="AC604" s="1011"/>
      <c r="AD604" s="1011"/>
      <c r="AE604" s="1011"/>
      <c r="AF604" s="1011"/>
      <c r="AG604" s="818"/>
    </row>
    <row r="605" spans="1:33">
      <c r="A605" s="917" t="s">
        <v>623</v>
      </c>
      <c r="B605" s="818"/>
      <c r="C605" s="818"/>
      <c r="D605" s="818"/>
      <c r="E605" s="818"/>
      <c r="F605" s="818"/>
      <c r="G605" s="818"/>
      <c r="H605" s="818"/>
      <c r="I605" s="1010"/>
      <c r="J605" s="1010"/>
      <c r="K605" s="1010"/>
      <c r="L605" s="1010"/>
      <c r="M605" s="1010"/>
      <c r="N605" s="1010"/>
      <c r="O605" s="1010"/>
      <c r="P605" s="1010"/>
      <c r="Q605" s="1010"/>
      <c r="R605" s="1010"/>
      <c r="S605" s="1010"/>
      <c r="T605" s="1010"/>
      <c r="U605" s="1010"/>
      <c r="V605" s="1010"/>
      <c r="W605" s="1010"/>
      <c r="X605" s="1010"/>
      <c r="Y605" s="1010"/>
      <c r="Z605" s="1010"/>
      <c r="AA605" s="1010"/>
      <c r="AB605" s="1010"/>
      <c r="AC605" s="1010"/>
      <c r="AD605" s="1010"/>
      <c r="AE605" s="1010"/>
      <c r="AF605" s="1010"/>
      <c r="AG605" s="818"/>
    </row>
    <row r="606" spans="1:33">
      <c r="A606" s="992" t="s">
        <v>776</v>
      </c>
      <c r="B606" s="1009"/>
      <c r="C606" s="818"/>
      <c r="D606" s="818"/>
      <c r="E606" s="997">
        <v>0</v>
      </c>
      <c r="F606" s="997">
        <v>0</v>
      </c>
      <c r="G606" s="997">
        <v>0</v>
      </c>
      <c r="H606" s="997">
        <v>0</v>
      </c>
      <c r="I606" s="997">
        <v>0</v>
      </c>
      <c r="J606" s="997">
        <v>0</v>
      </c>
      <c r="K606" s="997">
        <v>0</v>
      </c>
      <c r="L606" s="997">
        <v>0</v>
      </c>
      <c r="M606" s="997">
        <v>0</v>
      </c>
      <c r="N606" s="997">
        <v>0</v>
      </c>
      <c r="O606" s="997">
        <v>0</v>
      </c>
      <c r="P606" s="997">
        <v>0</v>
      </c>
      <c r="Q606" s="997">
        <v>0</v>
      </c>
      <c r="R606" s="997">
        <v>0</v>
      </c>
      <c r="S606" s="997">
        <v>0</v>
      </c>
      <c r="T606" s="997">
        <v>0</v>
      </c>
      <c r="U606" s="997">
        <v>0</v>
      </c>
      <c r="V606" s="997">
        <v>0</v>
      </c>
      <c r="W606" s="997">
        <v>0</v>
      </c>
      <c r="X606" s="997">
        <v>0</v>
      </c>
      <c r="Y606" s="997">
        <v>0</v>
      </c>
      <c r="Z606" s="997">
        <v>0</v>
      </c>
      <c r="AA606" s="997">
        <v>0</v>
      </c>
      <c r="AB606" s="997">
        <v>0</v>
      </c>
      <c r="AC606" s="997">
        <v>0</v>
      </c>
      <c r="AD606" s="997">
        <v>0</v>
      </c>
      <c r="AE606" s="997">
        <v>0</v>
      </c>
      <c r="AF606" s="997">
        <v>0</v>
      </c>
      <c r="AG606" s="818"/>
    </row>
    <row r="607" spans="1:33" ht="12" thickBot="1">
      <c r="A607" s="1009"/>
      <c r="B607" s="818"/>
      <c r="C607" s="818"/>
      <c r="D607" s="818"/>
      <c r="E607" s="1011"/>
      <c r="F607" s="1011"/>
      <c r="G607" s="1011"/>
      <c r="H607" s="1011"/>
      <c r="I607" s="818"/>
      <c r="J607" s="818"/>
      <c r="K607" s="818"/>
      <c r="L607" s="818"/>
      <c r="M607" s="818"/>
      <c r="N607" s="818"/>
      <c r="O607" s="818"/>
      <c r="P607" s="818"/>
      <c r="Q607" s="818"/>
      <c r="R607" s="818"/>
      <c r="S607" s="818"/>
      <c r="T607" s="818"/>
      <c r="U607" s="818"/>
      <c r="V607" s="818"/>
      <c r="W607" s="818"/>
      <c r="X607" s="818"/>
      <c r="Y607" s="818"/>
      <c r="Z607" s="818"/>
      <c r="AA607" s="818"/>
      <c r="AB607" s="818"/>
      <c r="AC607" s="818"/>
      <c r="AD607" s="818"/>
      <c r="AE607" s="818"/>
      <c r="AF607" s="818"/>
      <c r="AG607" s="818"/>
    </row>
    <row r="608" spans="1:33" ht="12.75" thickTop="1" thickBot="1">
      <c r="A608" s="985"/>
      <c r="B608" s="985"/>
      <c r="C608" s="985"/>
      <c r="D608" s="985"/>
      <c r="E608" s="985"/>
      <c r="F608" s="985"/>
      <c r="G608" s="985"/>
      <c r="H608" s="985"/>
      <c r="I608" s="985"/>
      <c r="J608" s="985"/>
      <c r="K608" s="985"/>
      <c r="L608" s="985"/>
      <c r="M608" s="985"/>
      <c r="N608" s="985"/>
      <c r="O608" s="985"/>
      <c r="P608" s="985"/>
      <c r="Q608" s="985"/>
      <c r="R608" s="985"/>
      <c r="S608" s="985"/>
      <c r="T608" s="985"/>
      <c r="U608" s="985"/>
      <c r="V608" s="985"/>
      <c r="W608" s="985"/>
      <c r="X608" s="985"/>
      <c r="Y608" s="985"/>
      <c r="Z608" s="985"/>
      <c r="AA608" s="985"/>
      <c r="AB608" s="985"/>
      <c r="AC608" s="985"/>
      <c r="AD608" s="985"/>
      <c r="AE608" s="985"/>
      <c r="AF608" s="985"/>
      <c r="AG608" s="818"/>
    </row>
    <row r="609" spans="1:33" ht="12.75" thickTop="1" thickBot="1">
      <c r="A609" s="1175" t="s">
        <v>777</v>
      </c>
      <c r="B609" s="818"/>
      <c r="C609" s="818"/>
      <c r="D609" s="818"/>
      <c r="E609" s="1099">
        <f>E$599</f>
        <v>36891</v>
      </c>
      <c r="F609" s="1099">
        <f>F$599</f>
        <v>37256</v>
      </c>
      <c r="G609" s="1099">
        <f>G$599</f>
        <v>37621</v>
      </c>
      <c r="H609" s="1121">
        <f>H$599</f>
        <v>37802</v>
      </c>
      <c r="I609" s="1054">
        <f>I$599</f>
        <v>37986</v>
      </c>
      <c r="J609" s="1055">
        <f t="shared" ref="J609:AF609" si="386">J$599</f>
        <v>38352</v>
      </c>
      <c r="K609" s="1055">
        <f t="shared" si="386"/>
        <v>38717</v>
      </c>
      <c r="L609" s="1055">
        <f t="shared" si="386"/>
        <v>39082</v>
      </c>
      <c r="M609" s="1055">
        <f t="shared" si="386"/>
        <v>39447</v>
      </c>
      <c r="N609" s="1055">
        <f t="shared" si="386"/>
        <v>39813</v>
      </c>
      <c r="O609" s="1055">
        <f t="shared" si="386"/>
        <v>40178</v>
      </c>
      <c r="P609" s="1055">
        <f t="shared" si="386"/>
        <v>40543</v>
      </c>
      <c r="Q609" s="1055">
        <f t="shared" si="386"/>
        <v>40908</v>
      </c>
      <c r="R609" s="1055">
        <f t="shared" si="386"/>
        <v>41274</v>
      </c>
      <c r="S609" s="1055">
        <f t="shared" si="386"/>
        <v>41639</v>
      </c>
      <c r="T609" s="1055">
        <f t="shared" si="386"/>
        <v>42004</v>
      </c>
      <c r="U609" s="1055">
        <f t="shared" si="386"/>
        <v>42369</v>
      </c>
      <c r="V609" s="1055">
        <f t="shared" si="386"/>
        <v>42735</v>
      </c>
      <c r="W609" s="1055">
        <f t="shared" si="386"/>
        <v>43100</v>
      </c>
      <c r="X609" s="1055">
        <f t="shared" si="386"/>
        <v>43465</v>
      </c>
      <c r="Y609" s="1055">
        <f t="shared" si="386"/>
        <v>43830</v>
      </c>
      <c r="Z609" s="1055">
        <f t="shared" si="386"/>
        <v>44196</v>
      </c>
      <c r="AA609" s="1055">
        <f t="shared" si="386"/>
        <v>44561</v>
      </c>
      <c r="AB609" s="1055">
        <f t="shared" si="386"/>
        <v>44926</v>
      </c>
      <c r="AC609" s="1055">
        <f t="shared" si="386"/>
        <v>45291</v>
      </c>
      <c r="AD609" s="1055">
        <f t="shared" si="386"/>
        <v>45657</v>
      </c>
      <c r="AE609" s="1055">
        <f t="shared" si="386"/>
        <v>46022</v>
      </c>
      <c r="AF609" s="1176">
        <f t="shared" si="386"/>
        <v>46387</v>
      </c>
      <c r="AG609" s="1173"/>
    </row>
    <row r="610" spans="1:33" ht="12" thickTop="1">
      <c r="A610" s="1009" t="s">
        <v>778</v>
      </c>
      <c r="B610" s="818"/>
      <c r="C610" s="818"/>
      <c r="D610" s="818"/>
      <c r="E610" s="818"/>
      <c r="F610" s="818"/>
      <c r="G610" s="818"/>
      <c r="H610" s="818"/>
      <c r="I610" s="997">
        <v>0</v>
      </c>
      <c r="J610" s="997">
        <v>0</v>
      </c>
      <c r="K610" s="997">
        <v>0</v>
      </c>
      <c r="L610" s="997">
        <v>0</v>
      </c>
      <c r="M610" s="997">
        <v>0</v>
      </c>
      <c r="N610" s="997">
        <v>0</v>
      </c>
      <c r="O610" s="997">
        <v>0</v>
      </c>
      <c r="P610" s="997">
        <v>0</v>
      </c>
      <c r="Q610" s="997">
        <v>0</v>
      </c>
      <c r="R610" s="997">
        <v>0</v>
      </c>
      <c r="S610" s="997">
        <v>0</v>
      </c>
      <c r="T610" s="997">
        <v>0</v>
      </c>
      <c r="U610" s="997">
        <v>0</v>
      </c>
      <c r="V610" s="997">
        <v>0</v>
      </c>
      <c r="W610" s="997">
        <v>0</v>
      </c>
      <c r="X610" s="997">
        <v>0</v>
      </c>
      <c r="Y610" s="997">
        <v>0</v>
      </c>
      <c r="Z610" s="997">
        <v>0</v>
      </c>
      <c r="AA610" s="997">
        <v>0</v>
      </c>
      <c r="AB610" s="997">
        <v>0</v>
      </c>
      <c r="AC610" s="997">
        <v>0</v>
      </c>
      <c r="AD610" s="997">
        <v>0</v>
      </c>
      <c r="AE610" s="997">
        <v>0</v>
      </c>
      <c r="AF610" s="997">
        <v>0</v>
      </c>
      <c r="AG610" s="1004"/>
    </row>
    <row r="611" spans="1:33">
      <c r="A611" s="1009"/>
      <c r="B611" s="818"/>
      <c r="C611" s="818"/>
      <c r="D611" s="818"/>
      <c r="E611" s="818"/>
      <c r="F611" s="818"/>
      <c r="G611" s="818"/>
      <c r="H611" s="818"/>
      <c r="I611" s="997"/>
      <c r="J611" s="997"/>
      <c r="K611" s="997"/>
      <c r="L611" s="997"/>
      <c r="M611" s="997"/>
      <c r="N611" s="997"/>
      <c r="O611" s="997"/>
      <c r="P611" s="997"/>
      <c r="Q611" s="997"/>
      <c r="R611" s="997"/>
      <c r="S611" s="997"/>
      <c r="T611" s="997"/>
      <c r="U611" s="997"/>
      <c r="V611" s="997"/>
      <c r="W611" s="997"/>
      <c r="X611" s="997"/>
      <c r="Y611" s="997"/>
      <c r="Z611" s="997"/>
      <c r="AA611" s="997"/>
      <c r="AB611" s="997"/>
      <c r="AC611" s="997"/>
      <c r="AD611" s="997"/>
      <c r="AE611" s="997"/>
      <c r="AF611" s="997"/>
      <c r="AG611" s="1004"/>
    </row>
    <row r="612" spans="1:33">
      <c r="A612" s="992" t="s">
        <v>779</v>
      </c>
      <c r="B612" s="818"/>
      <c r="C612" s="818"/>
      <c r="D612" s="818"/>
      <c r="E612" s="818"/>
      <c r="F612" s="818"/>
      <c r="G612" s="818"/>
      <c r="H612" s="818"/>
      <c r="I612" s="997">
        <v>0</v>
      </c>
      <c r="J612" s="997">
        <v>0</v>
      </c>
      <c r="K612" s="997">
        <v>0</v>
      </c>
      <c r="L612" s="997">
        <v>0</v>
      </c>
      <c r="M612" s="997">
        <v>0</v>
      </c>
      <c r="N612" s="997">
        <v>0</v>
      </c>
      <c r="O612" s="997">
        <v>0</v>
      </c>
      <c r="P612" s="997">
        <v>0</v>
      </c>
      <c r="Q612" s="997">
        <v>0</v>
      </c>
      <c r="R612" s="997">
        <v>0</v>
      </c>
      <c r="S612" s="997">
        <v>0</v>
      </c>
      <c r="T612" s="997">
        <v>0</v>
      </c>
      <c r="U612" s="997">
        <v>0</v>
      </c>
      <c r="V612" s="997">
        <v>0</v>
      </c>
      <c r="W612" s="997">
        <v>0</v>
      </c>
      <c r="X612" s="997">
        <v>0</v>
      </c>
      <c r="Y612" s="997">
        <v>0</v>
      </c>
      <c r="Z612" s="997">
        <v>0</v>
      </c>
      <c r="AA612" s="997">
        <v>0</v>
      </c>
      <c r="AB612" s="997">
        <v>0</v>
      </c>
      <c r="AC612" s="997">
        <v>0</v>
      </c>
      <c r="AD612" s="997">
        <v>0</v>
      </c>
      <c r="AE612" s="997">
        <v>0</v>
      </c>
      <c r="AF612" s="997">
        <v>0</v>
      </c>
      <c r="AG612" s="1004"/>
    </row>
    <row r="613" spans="1:33">
      <c r="A613" s="992" t="s">
        <v>780</v>
      </c>
      <c r="B613" s="818"/>
      <c r="C613" s="818"/>
      <c r="D613" s="818"/>
      <c r="E613" s="818"/>
      <c r="F613" s="818"/>
      <c r="G613" s="818"/>
      <c r="H613" s="818"/>
      <c r="I613" s="997">
        <v>0</v>
      </c>
      <c r="J613" s="997">
        <v>0</v>
      </c>
      <c r="K613" s="997">
        <v>0</v>
      </c>
      <c r="L613" s="997">
        <v>0</v>
      </c>
      <c r="M613" s="997">
        <v>0</v>
      </c>
      <c r="N613" s="997">
        <v>0</v>
      </c>
      <c r="O613" s="997">
        <v>0</v>
      </c>
      <c r="P613" s="997">
        <v>0</v>
      </c>
      <c r="Q613" s="997">
        <v>0</v>
      </c>
      <c r="R613" s="997">
        <v>0</v>
      </c>
      <c r="S613" s="997">
        <v>0</v>
      </c>
      <c r="T613" s="997">
        <v>0</v>
      </c>
      <c r="U613" s="997">
        <v>0</v>
      </c>
      <c r="V613" s="997">
        <v>0</v>
      </c>
      <c r="W613" s="997">
        <v>0</v>
      </c>
      <c r="X613" s="997">
        <v>0</v>
      </c>
      <c r="Y613" s="997">
        <v>0</v>
      </c>
      <c r="Z613" s="997">
        <v>0</v>
      </c>
      <c r="AA613" s="997">
        <v>0</v>
      </c>
      <c r="AB613" s="997">
        <v>0</v>
      </c>
      <c r="AC613" s="997">
        <v>0</v>
      </c>
      <c r="AD613" s="997">
        <v>0</v>
      </c>
      <c r="AE613" s="997">
        <v>0</v>
      </c>
      <c r="AF613" s="997">
        <v>0</v>
      </c>
      <c r="AG613" s="1004"/>
    </row>
    <row r="614" spans="1:33">
      <c r="A614" s="1009" t="s">
        <v>781</v>
      </c>
      <c r="B614" s="818"/>
      <c r="C614" s="818"/>
      <c r="D614" s="818"/>
      <c r="E614" s="818"/>
      <c r="F614" s="818"/>
      <c r="G614" s="818"/>
      <c r="H614" s="818"/>
      <c r="I614" s="1023">
        <f t="shared" ref="I614:AF614" si="387">I612-I613</f>
        <v>0</v>
      </c>
      <c r="J614" s="1023">
        <f t="shared" si="387"/>
        <v>0</v>
      </c>
      <c r="K614" s="1023">
        <f t="shared" si="387"/>
        <v>0</v>
      </c>
      <c r="L614" s="1023">
        <f t="shared" si="387"/>
        <v>0</v>
      </c>
      <c r="M614" s="1023">
        <f t="shared" si="387"/>
        <v>0</v>
      </c>
      <c r="N614" s="1023">
        <f t="shared" si="387"/>
        <v>0</v>
      </c>
      <c r="O614" s="1023">
        <f t="shared" si="387"/>
        <v>0</v>
      </c>
      <c r="P614" s="1023">
        <f t="shared" si="387"/>
        <v>0</v>
      </c>
      <c r="Q614" s="1023">
        <f t="shared" si="387"/>
        <v>0</v>
      </c>
      <c r="R614" s="1023">
        <f t="shared" si="387"/>
        <v>0</v>
      </c>
      <c r="S614" s="1023">
        <f t="shared" si="387"/>
        <v>0</v>
      </c>
      <c r="T614" s="1023">
        <f t="shared" si="387"/>
        <v>0</v>
      </c>
      <c r="U614" s="1023">
        <f t="shared" si="387"/>
        <v>0</v>
      </c>
      <c r="V614" s="1023">
        <f t="shared" si="387"/>
        <v>0</v>
      </c>
      <c r="W614" s="1023">
        <f t="shared" si="387"/>
        <v>0</v>
      </c>
      <c r="X614" s="1023">
        <f t="shared" si="387"/>
        <v>0</v>
      </c>
      <c r="Y614" s="1023">
        <f t="shared" si="387"/>
        <v>0</v>
      </c>
      <c r="Z614" s="1023">
        <f t="shared" si="387"/>
        <v>0</v>
      </c>
      <c r="AA614" s="1023">
        <f t="shared" si="387"/>
        <v>0</v>
      </c>
      <c r="AB614" s="1023">
        <f t="shared" si="387"/>
        <v>0</v>
      </c>
      <c r="AC614" s="1023">
        <f t="shared" si="387"/>
        <v>0</v>
      </c>
      <c r="AD614" s="1023">
        <f t="shared" si="387"/>
        <v>0</v>
      </c>
      <c r="AE614" s="1023">
        <f t="shared" si="387"/>
        <v>0</v>
      </c>
      <c r="AF614" s="1023">
        <f t="shared" si="387"/>
        <v>0</v>
      </c>
      <c r="AG614" s="1004"/>
    </row>
    <row r="615" spans="1:33">
      <c r="A615" s="1016" t="s">
        <v>782</v>
      </c>
      <c r="B615" s="818"/>
      <c r="C615" s="818"/>
      <c r="D615" s="818"/>
      <c r="E615" s="1143">
        <v>0</v>
      </c>
      <c r="F615" s="1143">
        <v>0</v>
      </c>
      <c r="G615" s="1143">
        <v>0</v>
      </c>
      <c r="H615" s="1143">
        <v>0</v>
      </c>
      <c r="I615" s="1023">
        <f t="shared" ref="I615:AF615" si="388">I610-I614</f>
        <v>0</v>
      </c>
      <c r="J615" s="1023">
        <f t="shared" si="388"/>
        <v>0</v>
      </c>
      <c r="K615" s="1023">
        <f t="shared" si="388"/>
        <v>0</v>
      </c>
      <c r="L615" s="1023">
        <f t="shared" si="388"/>
        <v>0</v>
      </c>
      <c r="M615" s="1023">
        <f t="shared" si="388"/>
        <v>0</v>
      </c>
      <c r="N615" s="1023">
        <f t="shared" si="388"/>
        <v>0</v>
      </c>
      <c r="O615" s="1023">
        <f t="shared" si="388"/>
        <v>0</v>
      </c>
      <c r="P615" s="1023">
        <f t="shared" si="388"/>
        <v>0</v>
      </c>
      <c r="Q615" s="1023">
        <f t="shared" si="388"/>
        <v>0</v>
      </c>
      <c r="R615" s="1023">
        <f t="shared" si="388"/>
        <v>0</v>
      </c>
      <c r="S615" s="1023">
        <f t="shared" si="388"/>
        <v>0</v>
      </c>
      <c r="T615" s="1023">
        <f t="shared" si="388"/>
        <v>0</v>
      </c>
      <c r="U615" s="1023">
        <f t="shared" si="388"/>
        <v>0</v>
      </c>
      <c r="V615" s="1023">
        <f t="shared" si="388"/>
        <v>0</v>
      </c>
      <c r="W615" s="1023">
        <f t="shared" si="388"/>
        <v>0</v>
      </c>
      <c r="X615" s="1023">
        <f t="shared" si="388"/>
        <v>0</v>
      </c>
      <c r="Y615" s="1023">
        <f t="shared" si="388"/>
        <v>0</v>
      </c>
      <c r="Z615" s="1023">
        <f t="shared" si="388"/>
        <v>0</v>
      </c>
      <c r="AA615" s="1023">
        <f t="shared" si="388"/>
        <v>0</v>
      </c>
      <c r="AB615" s="1023">
        <f t="shared" si="388"/>
        <v>0</v>
      </c>
      <c r="AC615" s="1023">
        <f t="shared" si="388"/>
        <v>0</v>
      </c>
      <c r="AD615" s="1023">
        <f t="shared" si="388"/>
        <v>0</v>
      </c>
      <c r="AE615" s="1023">
        <f t="shared" si="388"/>
        <v>0</v>
      </c>
      <c r="AF615" s="1023">
        <f t="shared" si="388"/>
        <v>0</v>
      </c>
      <c r="AG615" s="1004"/>
    </row>
    <row r="616" spans="1:33">
      <c r="A616" s="992" t="s">
        <v>783</v>
      </c>
      <c r="B616" s="818"/>
      <c r="C616" s="818"/>
      <c r="D616" s="818"/>
      <c r="E616" s="818"/>
      <c r="F616" s="818"/>
      <c r="G616" s="818"/>
      <c r="H616" s="818"/>
      <c r="I616" s="997">
        <v>0</v>
      </c>
      <c r="J616" s="997">
        <v>0</v>
      </c>
      <c r="K616" s="997">
        <v>0</v>
      </c>
      <c r="L616" s="997">
        <v>0</v>
      </c>
      <c r="M616" s="997">
        <v>0</v>
      </c>
      <c r="N616" s="997">
        <v>0</v>
      </c>
      <c r="O616" s="997">
        <v>0</v>
      </c>
      <c r="P616" s="997">
        <v>0</v>
      </c>
      <c r="Q616" s="997">
        <v>0</v>
      </c>
      <c r="R616" s="997">
        <v>0</v>
      </c>
      <c r="S616" s="997">
        <v>0</v>
      </c>
      <c r="T616" s="997">
        <v>0</v>
      </c>
      <c r="U616" s="997">
        <v>0</v>
      </c>
      <c r="V616" s="997">
        <v>0</v>
      </c>
      <c r="W616" s="997">
        <v>0</v>
      </c>
      <c r="X616" s="997">
        <v>0</v>
      </c>
      <c r="Y616" s="997">
        <v>0</v>
      </c>
      <c r="Z616" s="997">
        <v>0</v>
      </c>
      <c r="AA616" s="997">
        <v>0</v>
      </c>
      <c r="AB616" s="997">
        <v>0</v>
      </c>
      <c r="AC616" s="997">
        <v>0</v>
      </c>
      <c r="AD616" s="997">
        <v>0</v>
      </c>
      <c r="AE616" s="997">
        <v>0</v>
      </c>
      <c r="AF616" s="997">
        <v>0</v>
      </c>
      <c r="AG616" s="1004"/>
    </row>
    <row r="617" spans="1:33">
      <c r="A617" s="1009"/>
      <c r="B617" s="818"/>
      <c r="C617" s="818"/>
      <c r="D617" s="818"/>
      <c r="E617" s="818"/>
      <c r="F617" s="818"/>
      <c r="G617" s="818"/>
      <c r="H617" s="818"/>
      <c r="I617" s="818"/>
      <c r="J617" s="818"/>
      <c r="K617" s="818"/>
      <c r="L617" s="818"/>
      <c r="M617" s="818"/>
      <c r="N617" s="818"/>
      <c r="O617" s="818"/>
      <c r="P617" s="818"/>
      <c r="Q617" s="818"/>
      <c r="R617" s="818"/>
      <c r="S617" s="818"/>
      <c r="T617" s="818"/>
      <c r="U617" s="818"/>
      <c r="V617" s="818"/>
      <c r="W617" s="818"/>
      <c r="X617" s="818"/>
      <c r="Y617" s="818"/>
      <c r="Z617" s="818"/>
      <c r="AA617" s="818"/>
      <c r="AB617" s="818"/>
      <c r="AC617" s="818"/>
      <c r="AD617" s="818"/>
      <c r="AE617" s="818"/>
      <c r="AF617" s="818"/>
      <c r="AG617" s="1004"/>
    </row>
    <row r="618" spans="1:33">
      <c r="A618" s="1009" t="s">
        <v>784</v>
      </c>
      <c r="B618" s="818"/>
      <c r="C618" s="818"/>
      <c r="D618" s="818"/>
      <c r="E618" s="818"/>
      <c r="F618" s="818"/>
      <c r="G618" s="818"/>
      <c r="H618" s="818"/>
      <c r="I618" s="997">
        <f>I614</f>
        <v>0</v>
      </c>
      <c r="J618" s="997">
        <v>0</v>
      </c>
      <c r="K618" s="997">
        <v>0</v>
      </c>
      <c r="L618" s="997">
        <v>0</v>
      </c>
      <c r="M618" s="997">
        <v>0</v>
      </c>
      <c r="N618" s="997">
        <v>0</v>
      </c>
      <c r="O618" s="997">
        <v>0</v>
      </c>
      <c r="P618" s="997">
        <v>0</v>
      </c>
      <c r="Q618" s="997">
        <v>0</v>
      </c>
      <c r="R618" s="997">
        <v>0</v>
      </c>
      <c r="S618" s="997">
        <v>0</v>
      </c>
      <c r="T618" s="997">
        <v>0</v>
      </c>
      <c r="U618" s="997">
        <v>0</v>
      </c>
      <c r="V618" s="997">
        <v>0</v>
      </c>
      <c r="W618" s="997">
        <v>0</v>
      </c>
      <c r="X618" s="997">
        <v>0</v>
      </c>
      <c r="Y618" s="997">
        <v>0</v>
      </c>
      <c r="Z618" s="997">
        <v>0</v>
      </c>
      <c r="AA618" s="997">
        <v>0</v>
      </c>
      <c r="AB618" s="997">
        <v>0</v>
      </c>
      <c r="AC618" s="997">
        <v>0</v>
      </c>
      <c r="AD618" s="997">
        <v>0</v>
      </c>
      <c r="AE618" s="997">
        <v>0</v>
      </c>
      <c r="AF618" s="997">
        <v>0</v>
      </c>
      <c r="AG618" s="818"/>
    </row>
    <row r="619" spans="1:33">
      <c r="A619" s="1016" t="s">
        <v>785</v>
      </c>
      <c r="B619" s="818"/>
      <c r="C619" s="818"/>
      <c r="D619" s="818"/>
      <c r="E619" s="818"/>
      <c r="F619" s="818"/>
      <c r="G619" s="818"/>
      <c r="H619" s="818"/>
      <c r="I619" s="818">
        <f t="shared" ref="I619:AF619" si="389">I610-I618</f>
        <v>0</v>
      </c>
      <c r="J619" s="818">
        <f t="shared" si="389"/>
        <v>0</v>
      </c>
      <c r="K619" s="818">
        <f t="shared" si="389"/>
        <v>0</v>
      </c>
      <c r="L619" s="818">
        <f t="shared" si="389"/>
        <v>0</v>
      </c>
      <c r="M619" s="818">
        <f t="shared" si="389"/>
        <v>0</v>
      </c>
      <c r="N619" s="818">
        <f t="shared" si="389"/>
        <v>0</v>
      </c>
      <c r="O619" s="818">
        <f t="shared" si="389"/>
        <v>0</v>
      </c>
      <c r="P619" s="818">
        <f t="shared" si="389"/>
        <v>0</v>
      </c>
      <c r="Q619" s="818">
        <f t="shared" si="389"/>
        <v>0</v>
      </c>
      <c r="R619" s="818">
        <f t="shared" si="389"/>
        <v>0</v>
      </c>
      <c r="S619" s="818">
        <f t="shared" si="389"/>
        <v>0</v>
      </c>
      <c r="T619" s="818">
        <f t="shared" si="389"/>
        <v>0</v>
      </c>
      <c r="U619" s="818">
        <f t="shared" si="389"/>
        <v>0</v>
      </c>
      <c r="V619" s="818">
        <f t="shared" si="389"/>
        <v>0</v>
      </c>
      <c r="W619" s="818">
        <f t="shared" si="389"/>
        <v>0</v>
      </c>
      <c r="X619" s="818">
        <f t="shared" si="389"/>
        <v>0</v>
      </c>
      <c r="Y619" s="818">
        <f t="shared" si="389"/>
        <v>0</v>
      </c>
      <c r="Z619" s="818">
        <f t="shared" si="389"/>
        <v>0</v>
      </c>
      <c r="AA619" s="818">
        <f t="shared" si="389"/>
        <v>0</v>
      </c>
      <c r="AB619" s="818">
        <f t="shared" si="389"/>
        <v>0</v>
      </c>
      <c r="AC619" s="818">
        <f t="shared" si="389"/>
        <v>0</v>
      </c>
      <c r="AD619" s="818">
        <f t="shared" si="389"/>
        <v>0</v>
      </c>
      <c r="AE619" s="818">
        <f t="shared" si="389"/>
        <v>0</v>
      </c>
      <c r="AF619" s="818">
        <f t="shared" si="389"/>
        <v>0</v>
      </c>
      <c r="AG619" s="818"/>
    </row>
    <row r="620" spans="1:33">
      <c r="A620" s="992" t="s">
        <v>786</v>
      </c>
      <c r="B620" s="818"/>
      <c r="C620" s="818"/>
      <c r="D620" s="818"/>
      <c r="E620" s="818"/>
      <c r="F620" s="818"/>
      <c r="G620" s="818"/>
      <c r="H620" s="818"/>
      <c r="I620" s="997">
        <v>0</v>
      </c>
      <c r="J620" s="997">
        <v>0</v>
      </c>
      <c r="K620" s="997">
        <v>0</v>
      </c>
      <c r="L620" s="997">
        <v>0</v>
      </c>
      <c r="M620" s="997">
        <v>0</v>
      </c>
      <c r="N620" s="997">
        <v>0</v>
      </c>
      <c r="O620" s="997">
        <v>0</v>
      </c>
      <c r="P620" s="997">
        <v>0</v>
      </c>
      <c r="Q620" s="997">
        <v>0</v>
      </c>
      <c r="R620" s="997">
        <v>0</v>
      </c>
      <c r="S620" s="997">
        <v>0</v>
      </c>
      <c r="T620" s="997">
        <v>0</v>
      </c>
      <c r="U620" s="997">
        <v>0</v>
      </c>
      <c r="V620" s="997">
        <v>0</v>
      </c>
      <c r="W620" s="997">
        <v>0</v>
      </c>
      <c r="X620" s="997">
        <v>0</v>
      </c>
      <c r="Y620" s="997">
        <v>0</v>
      </c>
      <c r="Z620" s="997">
        <v>0</v>
      </c>
      <c r="AA620" s="997">
        <v>0</v>
      </c>
      <c r="AB620" s="997">
        <v>0</v>
      </c>
      <c r="AC620" s="997">
        <v>0</v>
      </c>
      <c r="AD620" s="997">
        <v>0</v>
      </c>
      <c r="AE620" s="997">
        <v>0</v>
      </c>
      <c r="AF620" s="997">
        <v>0</v>
      </c>
      <c r="AG620" s="818"/>
    </row>
    <row r="621" spans="1:33">
      <c r="A621" s="1009"/>
      <c r="B621" s="818"/>
      <c r="C621" s="818"/>
      <c r="D621" s="818"/>
      <c r="E621" s="818"/>
      <c r="F621" s="818"/>
      <c r="G621" s="818"/>
      <c r="H621" s="818"/>
      <c r="I621" s="818"/>
      <c r="J621" s="818"/>
      <c r="K621" s="818"/>
      <c r="L621" s="818"/>
      <c r="M621" s="818"/>
      <c r="N621" s="818"/>
      <c r="O621" s="818"/>
      <c r="P621" s="818"/>
      <c r="Q621" s="818"/>
      <c r="R621" s="818"/>
      <c r="S621" s="818"/>
      <c r="T621" s="818"/>
      <c r="U621" s="818"/>
      <c r="V621" s="818"/>
      <c r="W621" s="818"/>
      <c r="X621" s="818"/>
      <c r="Y621" s="818"/>
      <c r="Z621" s="818"/>
      <c r="AA621" s="818"/>
      <c r="AB621" s="818"/>
      <c r="AC621" s="818"/>
      <c r="AD621" s="818"/>
      <c r="AE621" s="818"/>
      <c r="AF621" s="818"/>
      <c r="AG621" s="818"/>
    </row>
    <row r="622" spans="1:33">
      <c r="A622" s="1009" t="s">
        <v>787</v>
      </c>
      <c r="B622" s="818"/>
      <c r="C622" s="818"/>
      <c r="D622" s="818"/>
      <c r="E622" s="818"/>
      <c r="F622" s="818"/>
      <c r="G622" s="818"/>
      <c r="H622" s="818"/>
      <c r="I622" s="818"/>
      <c r="J622" s="818"/>
      <c r="K622" s="818"/>
      <c r="L622" s="818"/>
      <c r="M622" s="818"/>
      <c r="N622" s="818"/>
      <c r="O622" s="818"/>
      <c r="P622" s="818"/>
      <c r="Q622" s="818"/>
      <c r="R622" s="818"/>
      <c r="S622" s="818"/>
      <c r="T622" s="818"/>
      <c r="U622" s="818"/>
      <c r="V622" s="818"/>
      <c r="W622" s="818"/>
      <c r="X622" s="818"/>
      <c r="Y622" s="818"/>
      <c r="Z622" s="818"/>
      <c r="AA622" s="818"/>
      <c r="AB622" s="818"/>
      <c r="AC622" s="818"/>
      <c r="AD622" s="818"/>
      <c r="AE622" s="818"/>
      <c r="AF622" s="818"/>
      <c r="AG622" s="818"/>
    </row>
    <row r="623" spans="1:33" ht="12" thickBot="1">
      <c r="A623" s="1009"/>
      <c r="B623" s="818"/>
      <c r="C623" s="818"/>
      <c r="D623" s="818"/>
      <c r="E623" s="1011"/>
      <c r="F623" s="1011"/>
      <c r="G623" s="1011"/>
      <c r="H623" s="1011"/>
      <c r="I623" s="818"/>
      <c r="J623" s="818"/>
      <c r="K623" s="818"/>
      <c r="L623" s="818"/>
      <c r="M623" s="818"/>
      <c r="N623" s="818"/>
      <c r="O623" s="818"/>
      <c r="P623" s="818"/>
      <c r="Q623" s="818"/>
      <c r="R623" s="818"/>
      <c r="S623" s="818"/>
      <c r="T623" s="818"/>
      <c r="U623" s="818"/>
      <c r="V623" s="818"/>
      <c r="W623" s="818"/>
      <c r="X623" s="818"/>
      <c r="Y623" s="818"/>
      <c r="Z623" s="818"/>
      <c r="AA623" s="818"/>
      <c r="AB623" s="818"/>
      <c r="AC623" s="818"/>
      <c r="AD623" s="818"/>
      <c r="AE623" s="818"/>
      <c r="AF623" s="818"/>
      <c r="AG623" s="818"/>
    </row>
    <row r="624" spans="1:33" ht="12.75" thickTop="1" thickBot="1">
      <c r="A624" s="985"/>
      <c r="B624" s="985"/>
      <c r="C624" s="985"/>
      <c r="D624" s="985"/>
      <c r="E624" s="985"/>
      <c r="F624" s="985"/>
      <c r="G624" s="985"/>
      <c r="H624" s="985"/>
      <c r="I624" s="985"/>
      <c r="J624" s="985"/>
      <c r="K624" s="985"/>
      <c r="L624" s="985"/>
      <c r="M624" s="985"/>
      <c r="N624" s="985"/>
      <c r="O624" s="985"/>
      <c r="P624" s="985"/>
      <c r="Q624" s="985"/>
      <c r="R624" s="985"/>
      <c r="S624" s="985"/>
      <c r="T624" s="985"/>
      <c r="U624" s="985"/>
      <c r="V624" s="985"/>
      <c r="W624" s="985"/>
      <c r="X624" s="985"/>
      <c r="Y624" s="985"/>
      <c r="Z624" s="985"/>
      <c r="AA624" s="985"/>
      <c r="AB624" s="985"/>
      <c r="AC624" s="985"/>
      <c r="AD624" s="985"/>
      <c r="AE624" s="985"/>
      <c r="AF624" s="985"/>
      <c r="AG624" s="818"/>
    </row>
    <row r="625" spans="1:33" ht="12" thickTop="1">
      <c r="A625" s="983" t="s">
        <v>788</v>
      </c>
      <c r="B625" s="818"/>
      <c r="C625" s="818"/>
      <c r="D625" s="818"/>
      <c r="E625" s="1156">
        <f>E$599</f>
        <v>36891</v>
      </c>
      <c r="F625" s="1156">
        <f>F$599</f>
        <v>37256</v>
      </c>
      <c r="G625" s="1156">
        <f>G$599</f>
        <v>37621</v>
      </c>
      <c r="H625" s="1157">
        <f>H$599</f>
        <v>37802</v>
      </c>
      <c r="I625" s="1158">
        <f>I$599</f>
        <v>37986</v>
      </c>
      <c r="J625" s="1159">
        <f t="shared" ref="J625:AF625" si="390">J$599</f>
        <v>38352</v>
      </c>
      <c r="K625" s="1159">
        <f t="shared" si="390"/>
        <v>38717</v>
      </c>
      <c r="L625" s="1159">
        <f t="shared" si="390"/>
        <v>39082</v>
      </c>
      <c r="M625" s="1159">
        <f t="shared" si="390"/>
        <v>39447</v>
      </c>
      <c r="N625" s="1159">
        <f t="shared" si="390"/>
        <v>39813</v>
      </c>
      <c r="O625" s="1159">
        <f t="shared" si="390"/>
        <v>40178</v>
      </c>
      <c r="P625" s="1159">
        <f t="shared" si="390"/>
        <v>40543</v>
      </c>
      <c r="Q625" s="1159">
        <f t="shared" si="390"/>
        <v>40908</v>
      </c>
      <c r="R625" s="1159">
        <f t="shared" si="390"/>
        <v>41274</v>
      </c>
      <c r="S625" s="1159">
        <f t="shared" si="390"/>
        <v>41639</v>
      </c>
      <c r="T625" s="1159">
        <f t="shared" si="390"/>
        <v>42004</v>
      </c>
      <c r="U625" s="1159">
        <f t="shared" si="390"/>
        <v>42369</v>
      </c>
      <c r="V625" s="1159">
        <f t="shared" si="390"/>
        <v>42735</v>
      </c>
      <c r="W625" s="1159">
        <f t="shared" si="390"/>
        <v>43100</v>
      </c>
      <c r="X625" s="1159">
        <f t="shared" si="390"/>
        <v>43465</v>
      </c>
      <c r="Y625" s="1159">
        <f t="shared" si="390"/>
        <v>43830</v>
      </c>
      <c r="Z625" s="1159">
        <f t="shared" si="390"/>
        <v>44196</v>
      </c>
      <c r="AA625" s="1159">
        <f t="shared" si="390"/>
        <v>44561</v>
      </c>
      <c r="AB625" s="1159">
        <f t="shared" si="390"/>
        <v>44926</v>
      </c>
      <c r="AC625" s="1159">
        <f t="shared" si="390"/>
        <v>45291</v>
      </c>
      <c r="AD625" s="1159">
        <f t="shared" si="390"/>
        <v>45657</v>
      </c>
      <c r="AE625" s="1159">
        <f t="shared" si="390"/>
        <v>46022</v>
      </c>
      <c r="AF625" s="1159">
        <f t="shared" si="390"/>
        <v>46387</v>
      </c>
      <c r="AG625" s="818"/>
    </row>
    <row r="626" spans="1:33" ht="12" thickBot="1">
      <c r="A626" s="818"/>
      <c r="B626" s="818"/>
      <c r="C626" s="818"/>
      <c r="D626" s="818"/>
      <c r="E626" s="1160" t="s">
        <v>789</v>
      </c>
      <c r="F626" s="1160" t="s">
        <v>789</v>
      </c>
      <c r="G626" s="1160" t="s">
        <v>789</v>
      </c>
      <c r="H626" s="1161" t="s">
        <v>789</v>
      </c>
      <c r="I626" s="1162" t="s">
        <v>790</v>
      </c>
      <c r="J626" s="1163" t="s">
        <v>790</v>
      </c>
      <c r="K626" s="1163" t="s">
        <v>790</v>
      </c>
      <c r="L626" s="1163" t="s">
        <v>790</v>
      </c>
      <c r="M626" s="1163" t="s">
        <v>790</v>
      </c>
      <c r="N626" s="1163" t="s">
        <v>790</v>
      </c>
      <c r="O626" s="1163" t="s">
        <v>790</v>
      </c>
      <c r="P626" s="1163" t="s">
        <v>790</v>
      </c>
      <c r="Q626" s="1163" t="s">
        <v>790</v>
      </c>
      <c r="R626" s="1163" t="s">
        <v>790</v>
      </c>
      <c r="S626" s="1163" t="s">
        <v>790</v>
      </c>
      <c r="T626" s="1163" t="s">
        <v>790</v>
      </c>
      <c r="U626" s="1163" t="s">
        <v>790</v>
      </c>
      <c r="V626" s="1163" t="s">
        <v>790</v>
      </c>
      <c r="W626" s="1163" t="s">
        <v>790</v>
      </c>
      <c r="X626" s="1163" t="s">
        <v>790</v>
      </c>
      <c r="Y626" s="1163" t="s">
        <v>790</v>
      </c>
      <c r="Z626" s="1163" t="s">
        <v>790</v>
      </c>
      <c r="AA626" s="1163" t="s">
        <v>790</v>
      </c>
      <c r="AB626" s="1163" t="s">
        <v>790</v>
      </c>
      <c r="AC626" s="1163" t="s">
        <v>790</v>
      </c>
      <c r="AD626" s="1163" t="s">
        <v>790</v>
      </c>
      <c r="AE626" s="1163" t="s">
        <v>790</v>
      </c>
      <c r="AF626" s="1163" t="s">
        <v>790</v>
      </c>
      <c r="AG626" s="818"/>
    </row>
    <row r="627" spans="1:33" ht="12" thickTop="1">
      <c r="A627" s="1009" t="s">
        <v>791</v>
      </c>
      <c r="B627" s="818"/>
      <c r="C627" s="818"/>
      <c r="D627" s="818"/>
      <c r="E627" s="1010">
        <v>0</v>
      </c>
      <c r="F627" s="1010">
        <v>0</v>
      </c>
      <c r="G627" s="1010">
        <v>0</v>
      </c>
      <c r="H627" s="1010">
        <v>0</v>
      </c>
      <c r="I627" s="818"/>
      <c r="J627" s="818"/>
      <c r="K627" s="818"/>
      <c r="L627" s="818"/>
      <c r="M627" s="818"/>
      <c r="N627" s="818"/>
      <c r="O627" s="818"/>
      <c r="P627" s="818"/>
      <c r="Q627" s="818"/>
      <c r="R627" s="818"/>
      <c r="S627" s="818"/>
      <c r="T627" s="818"/>
      <c r="U627" s="818"/>
      <c r="V627" s="818"/>
      <c r="W627" s="818"/>
      <c r="X627" s="818"/>
      <c r="Y627" s="818"/>
      <c r="Z627" s="818"/>
      <c r="AA627" s="818"/>
      <c r="AB627" s="818"/>
      <c r="AC627" s="818"/>
      <c r="AD627" s="818"/>
      <c r="AE627" s="818"/>
      <c r="AF627" s="818"/>
      <c r="AG627" s="818"/>
    </row>
    <row r="628" spans="1:33">
      <c r="A628" s="1009" t="s">
        <v>792</v>
      </c>
      <c r="B628" s="818"/>
      <c r="C628" s="818"/>
      <c r="D628" s="818"/>
      <c r="E628" s="818"/>
      <c r="F628" s="818"/>
      <c r="G628" s="818"/>
      <c r="H628" s="818"/>
      <c r="I628" s="1558">
        <f>Assumptions!$C$21</f>
        <v>0.35</v>
      </c>
      <c r="J628" s="1558">
        <f>Assumptions!$C$21</f>
        <v>0.35</v>
      </c>
      <c r="K628" s="1558">
        <f>Assumptions!$C$21</f>
        <v>0.35</v>
      </c>
      <c r="L628" s="1558">
        <f>Assumptions!$C$21</f>
        <v>0.35</v>
      </c>
      <c r="M628" s="1558">
        <f>Assumptions!$C$21</f>
        <v>0.35</v>
      </c>
      <c r="N628" s="1558">
        <f>Assumptions!$C$21</f>
        <v>0.35</v>
      </c>
      <c r="O628" s="1558">
        <f>Assumptions!$C$21</f>
        <v>0.35</v>
      </c>
      <c r="P628" s="1558">
        <f>Assumptions!$C$21</f>
        <v>0.35</v>
      </c>
      <c r="Q628" s="1558">
        <f>Assumptions!$C$21</f>
        <v>0.35</v>
      </c>
      <c r="R628" s="1558">
        <f>Assumptions!$C$21</f>
        <v>0.35</v>
      </c>
      <c r="S628" s="1558">
        <f>Assumptions!$C$21</f>
        <v>0.35</v>
      </c>
      <c r="T628" s="1558">
        <f>Assumptions!$C$21</f>
        <v>0.35</v>
      </c>
      <c r="U628" s="1558">
        <f>Assumptions!$C$21</f>
        <v>0.35</v>
      </c>
      <c r="V628" s="1558">
        <f>Assumptions!$C$21</f>
        <v>0.35</v>
      </c>
      <c r="W628" s="1558">
        <f>Assumptions!$C$21</f>
        <v>0.35</v>
      </c>
      <c r="X628" s="1558">
        <f>Assumptions!$C$21</f>
        <v>0.35</v>
      </c>
      <c r="Y628" s="1558">
        <f>Assumptions!$C$21</f>
        <v>0.35</v>
      </c>
      <c r="Z628" s="1558">
        <f>Assumptions!$C$21</f>
        <v>0.35</v>
      </c>
      <c r="AA628" s="1558">
        <f>Assumptions!$C$21</f>
        <v>0.35</v>
      </c>
      <c r="AB628" s="1558">
        <f>Assumptions!$C$21</f>
        <v>0.35</v>
      </c>
      <c r="AC628" s="1558">
        <f>Assumptions!$C$21</f>
        <v>0.35</v>
      </c>
      <c r="AD628" s="1558">
        <f>Assumptions!$C$21</f>
        <v>0.35</v>
      </c>
      <c r="AE628" s="1558">
        <f>Assumptions!$C$21</f>
        <v>0.35</v>
      </c>
      <c r="AF628" s="1558">
        <f>Assumptions!$C$21</f>
        <v>0.35</v>
      </c>
      <c r="AG628" s="818"/>
    </row>
    <row r="629" spans="1:33">
      <c r="A629" s="1009" t="s">
        <v>793</v>
      </c>
      <c r="B629" s="818"/>
      <c r="C629" s="818"/>
      <c r="D629" s="818"/>
      <c r="E629" s="818"/>
      <c r="F629" s="818"/>
      <c r="G629" s="818"/>
      <c r="H629" s="818"/>
      <c r="I629" s="1558">
        <f>Assumptions!$C$22</f>
        <v>8.8400000000000006E-2</v>
      </c>
      <c r="J629" s="1558">
        <f>Assumptions!$C$22</f>
        <v>8.8400000000000006E-2</v>
      </c>
      <c r="K629" s="1558">
        <f>Assumptions!$C$22</f>
        <v>8.8400000000000006E-2</v>
      </c>
      <c r="L629" s="1558">
        <f>Assumptions!$C$22</f>
        <v>8.8400000000000006E-2</v>
      </c>
      <c r="M629" s="1558">
        <f>Assumptions!$C$22</f>
        <v>8.8400000000000006E-2</v>
      </c>
      <c r="N629" s="1558">
        <f>Assumptions!$C$22</f>
        <v>8.8400000000000006E-2</v>
      </c>
      <c r="O629" s="1558">
        <f>Assumptions!$C$22</f>
        <v>8.8400000000000006E-2</v>
      </c>
      <c r="P629" s="1558">
        <f>Assumptions!$C$22</f>
        <v>8.8400000000000006E-2</v>
      </c>
      <c r="Q629" s="1558">
        <f>Assumptions!$C$22</f>
        <v>8.8400000000000006E-2</v>
      </c>
      <c r="R629" s="1558">
        <f>Assumptions!$C$22</f>
        <v>8.8400000000000006E-2</v>
      </c>
      <c r="S629" s="1558">
        <f>Assumptions!$C$22</f>
        <v>8.8400000000000006E-2</v>
      </c>
      <c r="T629" s="1558">
        <f>Assumptions!$C$22</f>
        <v>8.8400000000000006E-2</v>
      </c>
      <c r="U629" s="1558">
        <f>Assumptions!$C$22</f>
        <v>8.8400000000000006E-2</v>
      </c>
      <c r="V629" s="1558">
        <f>Assumptions!$C$22</f>
        <v>8.8400000000000006E-2</v>
      </c>
      <c r="W629" s="1558">
        <f>Assumptions!$C$22</f>
        <v>8.8400000000000006E-2</v>
      </c>
      <c r="X629" s="1558">
        <f>Assumptions!$C$22</f>
        <v>8.8400000000000006E-2</v>
      </c>
      <c r="Y629" s="1558">
        <f>Assumptions!$C$22</f>
        <v>8.8400000000000006E-2</v>
      </c>
      <c r="Z629" s="1558">
        <f>Assumptions!$C$22</f>
        <v>8.8400000000000006E-2</v>
      </c>
      <c r="AA629" s="1558">
        <f>Assumptions!$C$22</f>
        <v>8.8400000000000006E-2</v>
      </c>
      <c r="AB629" s="1558">
        <f>Assumptions!$C$22</f>
        <v>8.8400000000000006E-2</v>
      </c>
      <c r="AC629" s="1558">
        <f>Assumptions!$C$22</f>
        <v>8.8400000000000006E-2</v>
      </c>
      <c r="AD629" s="1558">
        <f>Assumptions!$C$22</f>
        <v>8.8400000000000006E-2</v>
      </c>
      <c r="AE629" s="1558">
        <f>Assumptions!$C$22</f>
        <v>8.8400000000000006E-2</v>
      </c>
      <c r="AF629" s="1558">
        <f>Assumptions!$C$22</f>
        <v>8.8400000000000006E-2</v>
      </c>
      <c r="AG629" s="818"/>
    </row>
    <row r="630" spans="1:33">
      <c r="A630" s="1177" t="s">
        <v>794</v>
      </c>
      <c r="B630" s="1004"/>
      <c r="C630" s="1004"/>
      <c r="D630" s="1004"/>
      <c r="E630" s="1004"/>
      <c r="F630" s="1004"/>
      <c r="G630" s="1004"/>
      <c r="H630" s="1004"/>
      <c r="I630" s="1153">
        <v>0</v>
      </c>
      <c r="J630" s="1153">
        <v>0</v>
      </c>
      <c r="K630" s="1153">
        <v>0</v>
      </c>
      <c r="L630" s="1153">
        <v>0</v>
      </c>
      <c r="M630" s="1153">
        <v>0</v>
      </c>
      <c r="N630" s="1153">
        <v>0</v>
      </c>
      <c r="O630" s="1153">
        <v>0</v>
      </c>
      <c r="P630" s="1153">
        <v>0</v>
      </c>
      <c r="Q630" s="1153">
        <v>0</v>
      </c>
      <c r="R630" s="1153">
        <v>0</v>
      </c>
      <c r="S630" s="1153">
        <v>0</v>
      </c>
      <c r="T630" s="1153">
        <v>0</v>
      </c>
      <c r="U630" s="1153">
        <v>0</v>
      </c>
      <c r="V630" s="1153">
        <v>0</v>
      </c>
      <c r="W630" s="1153">
        <v>0</v>
      </c>
      <c r="X630" s="1153">
        <v>0</v>
      </c>
      <c r="Y630" s="1153">
        <v>0</v>
      </c>
      <c r="Z630" s="1153">
        <v>0</v>
      </c>
      <c r="AA630" s="1153">
        <v>0</v>
      </c>
      <c r="AB630" s="1153">
        <v>0</v>
      </c>
      <c r="AC630" s="1153">
        <v>0</v>
      </c>
      <c r="AD630" s="1153">
        <v>0</v>
      </c>
      <c r="AE630" s="1153">
        <v>0</v>
      </c>
      <c r="AF630" s="1153">
        <v>0</v>
      </c>
      <c r="AG630" s="818"/>
    </row>
    <row r="631" spans="1:33">
      <c r="A631" s="1009"/>
      <c r="B631" s="818"/>
      <c r="C631" s="818"/>
      <c r="D631" s="818"/>
      <c r="E631" s="818"/>
      <c r="F631" s="818"/>
      <c r="G631" s="818"/>
      <c r="H631" s="818"/>
      <c r="I631" s="1153"/>
      <c r="J631" s="1153"/>
      <c r="K631" s="1153"/>
      <c r="L631" s="1153"/>
      <c r="M631" s="1153"/>
      <c r="N631" s="1153"/>
      <c r="O631" s="1153"/>
      <c r="P631" s="1153"/>
      <c r="Q631" s="1153"/>
      <c r="R631" s="1153"/>
      <c r="S631" s="1153"/>
      <c r="T631" s="1153"/>
      <c r="U631" s="1153"/>
      <c r="V631" s="1153"/>
      <c r="W631" s="1153"/>
      <c r="X631" s="1153"/>
      <c r="Y631" s="1153"/>
      <c r="Z631" s="1153"/>
      <c r="AA631" s="1153"/>
      <c r="AB631" s="1153"/>
      <c r="AC631" s="1153"/>
      <c r="AD631" s="1153"/>
      <c r="AE631" s="1153"/>
      <c r="AF631" s="1153"/>
      <c r="AG631" s="818"/>
    </row>
    <row r="632" spans="1:33" ht="12" thickBot="1">
      <c r="A632" s="1178"/>
      <c r="B632" s="1179"/>
      <c r="C632" s="1180"/>
      <c r="D632" s="1179"/>
      <c r="E632" s="1179"/>
      <c r="F632" s="1179"/>
      <c r="G632" s="1180"/>
      <c r="H632" s="1181"/>
      <c r="I632" s="1182"/>
      <c r="J632" s="1179"/>
      <c r="K632" s="1179"/>
      <c r="L632" s="1183"/>
      <c r="M632" s="1183"/>
      <c r="N632" s="1183"/>
      <c r="O632" s="1183"/>
      <c r="P632" s="1183"/>
      <c r="Q632" s="1183"/>
      <c r="R632" s="1183"/>
      <c r="S632" s="1183"/>
      <c r="T632" s="1183"/>
      <c r="U632" s="1183"/>
      <c r="V632" s="1183"/>
      <c r="W632" s="1183"/>
      <c r="X632" s="1183"/>
      <c r="Y632" s="1183"/>
      <c r="Z632" s="1183"/>
      <c r="AA632" s="1183"/>
      <c r="AB632" s="1183"/>
      <c r="AC632" s="1183"/>
      <c r="AD632" s="1183"/>
      <c r="AE632" s="1183"/>
      <c r="AF632" s="1183"/>
      <c r="AG632" s="818"/>
    </row>
    <row r="633" spans="1:33" ht="12.75" thickTop="1" thickBot="1">
      <c r="A633" s="1009"/>
      <c r="B633" s="818"/>
      <c r="C633" s="818"/>
      <c r="D633" s="818"/>
      <c r="E633" s="818"/>
      <c r="F633" s="818"/>
      <c r="G633" s="818"/>
      <c r="H633" s="818"/>
      <c r="I633" s="818"/>
      <c r="J633" s="818"/>
      <c r="K633" s="818"/>
      <c r="L633" s="818"/>
      <c r="M633" s="818"/>
      <c r="N633" s="818"/>
      <c r="O633" s="818"/>
      <c r="P633" s="818"/>
      <c r="Q633" s="818"/>
      <c r="R633" s="818"/>
      <c r="S633" s="818"/>
      <c r="T633" s="818"/>
      <c r="U633" s="818"/>
      <c r="V633" s="818"/>
      <c r="W633" s="818"/>
      <c r="X633" s="818"/>
      <c r="Y633" s="818"/>
      <c r="Z633" s="818"/>
      <c r="AA633" s="818"/>
      <c r="AB633" s="818"/>
      <c r="AC633" s="818"/>
      <c r="AD633" s="818"/>
      <c r="AE633" s="818"/>
      <c r="AF633" s="818"/>
      <c r="AG633" s="818"/>
    </row>
    <row r="634" spans="1:33" ht="12.75" thickTop="1" thickBot="1">
      <c r="A634" s="1184" t="s">
        <v>795</v>
      </c>
      <c r="B634" s="818"/>
      <c r="C634" s="818"/>
      <c r="D634" s="1011"/>
      <c r="E634" s="1006"/>
      <c r="F634" s="1006"/>
      <c r="G634" s="1006"/>
      <c r="H634" s="842">
        <f>H$599</f>
        <v>37802</v>
      </c>
      <c r="I634" s="1054">
        <f>I$599</f>
        <v>37986</v>
      </c>
      <c r="J634" s="1055">
        <f t="shared" ref="J634:AF634" si="391">J$599</f>
        <v>38352</v>
      </c>
      <c r="K634" s="1055">
        <f t="shared" si="391"/>
        <v>38717</v>
      </c>
      <c r="L634" s="1055">
        <f t="shared" si="391"/>
        <v>39082</v>
      </c>
      <c r="M634" s="1055">
        <f t="shared" si="391"/>
        <v>39447</v>
      </c>
      <c r="N634" s="1055">
        <f t="shared" si="391"/>
        <v>39813</v>
      </c>
      <c r="O634" s="1055">
        <f t="shared" si="391"/>
        <v>40178</v>
      </c>
      <c r="P634" s="1055">
        <f t="shared" si="391"/>
        <v>40543</v>
      </c>
      <c r="Q634" s="1055">
        <f t="shared" si="391"/>
        <v>40908</v>
      </c>
      <c r="R634" s="1055">
        <f t="shared" si="391"/>
        <v>41274</v>
      </c>
      <c r="S634" s="1055">
        <f t="shared" si="391"/>
        <v>41639</v>
      </c>
      <c r="T634" s="1055">
        <f t="shared" si="391"/>
        <v>42004</v>
      </c>
      <c r="U634" s="1055">
        <f t="shared" si="391"/>
        <v>42369</v>
      </c>
      <c r="V634" s="1055">
        <f t="shared" si="391"/>
        <v>42735</v>
      </c>
      <c r="W634" s="1055">
        <f t="shared" si="391"/>
        <v>43100</v>
      </c>
      <c r="X634" s="1055">
        <f t="shared" si="391"/>
        <v>43465</v>
      </c>
      <c r="Y634" s="1055">
        <f t="shared" si="391"/>
        <v>43830</v>
      </c>
      <c r="Z634" s="1055">
        <f t="shared" si="391"/>
        <v>44196</v>
      </c>
      <c r="AA634" s="1055">
        <f t="shared" si="391"/>
        <v>44561</v>
      </c>
      <c r="AB634" s="1055">
        <f t="shared" si="391"/>
        <v>44926</v>
      </c>
      <c r="AC634" s="1055">
        <f t="shared" si="391"/>
        <v>45291</v>
      </c>
      <c r="AD634" s="1055">
        <f t="shared" si="391"/>
        <v>45657</v>
      </c>
      <c r="AE634" s="1055">
        <f t="shared" si="391"/>
        <v>46022</v>
      </c>
      <c r="AF634" s="1055">
        <f t="shared" si="391"/>
        <v>46387</v>
      </c>
      <c r="AG634" s="818"/>
    </row>
    <row r="635" spans="1:33" ht="12" thickTop="1">
      <c r="A635" s="1185" t="s">
        <v>796</v>
      </c>
      <c r="B635" s="818"/>
      <c r="C635" s="818"/>
      <c r="D635" s="1011"/>
      <c r="E635" s="1011"/>
      <c r="F635" s="1011"/>
      <c r="G635" s="1011"/>
      <c r="H635" s="1011"/>
      <c r="I635" s="741"/>
      <c r="J635" s="1186"/>
      <c r="K635" s="1011"/>
      <c r="L635" s="1011"/>
      <c r="M635" s="1011"/>
      <c r="N635" s="1011"/>
      <c r="O635" s="1011"/>
      <c r="P635" s="1011"/>
      <c r="Q635" s="1011"/>
      <c r="R635" s="1011"/>
      <c r="S635" s="1011"/>
      <c r="T635" s="1011"/>
      <c r="U635" s="1011"/>
      <c r="V635" s="1011"/>
      <c r="W635" s="1011"/>
      <c r="X635" s="1011"/>
      <c r="Y635" s="1011"/>
      <c r="Z635" s="1011"/>
      <c r="AA635" s="1011"/>
      <c r="AB635" s="1011"/>
      <c r="AC635" s="1011"/>
      <c r="AD635" s="1011"/>
      <c r="AE635" s="1011"/>
      <c r="AF635" s="1011"/>
      <c r="AG635" s="818"/>
    </row>
    <row r="636" spans="1:33">
      <c r="A636" s="1187" t="s">
        <v>797</v>
      </c>
      <c r="B636" s="818"/>
      <c r="C636" s="1011"/>
      <c r="D636" s="1011"/>
      <c r="E636" s="1011"/>
      <c r="F636" s="1011"/>
      <c r="G636" s="1011"/>
      <c r="H636" s="1188">
        <f t="shared" ref="H636:AF636" si="392">H314</f>
        <v>0</v>
      </c>
      <c r="I636" s="1188">
        <f t="shared" ca="1" si="392"/>
        <v>12281.390840316231</v>
      </c>
      <c r="J636" s="1189">
        <f t="shared" ca="1" si="392"/>
        <v>14581.093552485239</v>
      </c>
      <c r="K636" s="1190">
        <f t="shared" ca="1" si="392"/>
        <v>32647.763335927339</v>
      </c>
      <c r="L636" s="1190">
        <f t="shared" ca="1" si="392"/>
        <v>39815.506806261197</v>
      </c>
      <c r="M636" s="1190">
        <f t="shared" ca="1" si="392"/>
        <v>39411.264534111506</v>
      </c>
      <c r="N636" s="1190">
        <f t="shared" ca="1" si="392"/>
        <v>33037.661584640795</v>
      </c>
      <c r="O636" s="1190">
        <f t="shared" ca="1" si="392"/>
        <v>31834.990741681198</v>
      </c>
      <c r="P636" s="1190">
        <f t="shared" ca="1" si="392"/>
        <v>55820.07642586279</v>
      </c>
      <c r="Q636" s="1190">
        <f t="shared" ca="1" si="392"/>
        <v>58043.793591853537</v>
      </c>
      <c r="R636" s="1190">
        <f t="shared" ca="1" si="392"/>
        <v>60953.688432959112</v>
      </c>
      <c r="S636" s="1190">
        <f t="shared" ca="1" si="392"/>
        <v>65082.932357273108</v>
      </c>
      <c r="T636" s="1190">
        <f t="shared" ca="1" si="392"/>
        <v>57294.87611377814</v>
      </c>
      <c r="U636" s="1190">
        <f t="shared" ca="1" si="392"/>
        <v>68816.982116015919</v>
      </c>
      <c r="V636" s="1190">
        <f t="shared" ca="1" si="392"/>
        <v>61111.800546313789</v>
      </c>
      <c r="W636" s="1190">
        <f t="shared" ca="1" si="392"/>
        <v>60485.944875549765</v>
      </c>
      <c r="X636" s="1190">
        <f t="shared" ca="1" si="392"/>
        <v>60869.429476664562</v>
      </c>
      <c r="Y636" s="1190">
        <f t="shared" ca="1" si="392"/>
        <v>63428.808336532937</v>
      </c>
      <c r="Z636" s="1190">
        <f t="shared" ca="1" si="392"/>
        <v>58241.643818278128</v>
      </c>
      <c r="AA636" s="1190">
        <f t="shared" ca="1" si="392"/>
        <v>58946.910430698321</v>
      </c>
      <c r="AB636" s="1190">
        <f t="shared" ca="1" si="392"/>
        <v>41270.983340027655</v>
      </c>
      <c r="AC636" s="1190">
        <f t="shared" ca="1" si="392"/>
        <v>-38198.703782627912</v>
      </c>
      <c r="AD636" s="1190">
        <f t="shared" ca="1" si="392"/>
        <v>-26501.916163709921</v>
      </c>
      <c r="AE636" s="1190">
        <f t="shared" ca="1" si="392"/>
        <v>-27031.954486984119</v>
      </c>
      <c r="AF636" s="1190">
        <f t="shared" ca="1" si="392"/>
        <v>-27572.593576723819</v>
      </c>
      <c r="AG636" s="818"/>
    </row>
    <row r="637" spans="1:33">
      <c r="A637" s="1187" t="s">
        <v>798</v>
      </c>
      <c r="B637" s="1187" t="s">
        <v>799</v>
      </c>
      <c r="C637" s="1011"/>
      <c r="D637" s="1011"/>
      <c r="E637" s="1011"/>
      <c r="F637" s="1011"/>
      <c r="G637" s="1011"/>
      <c r="H637" s="1188">
        <f t="shared" ref="H637:AF637" si="393">H733+H616</f>
        <v>0</v>
      </c>
      <c r="I637" s="1188">
        <f t="shared" ca="1" si="393"/>
        <v>11990.927908299995</v>
      </c>
      <c r="J637" s="1189">
        <f t="shared" ca="1" si="393"/>
        <v>23981.855816599989</v>
      </c>
      <c r="K637" s="1188">
        <f t="shared" ca="1" si="393"/>
        <v>23981.855816599989</v>
      </c>
      <c r="L637" s="1188">
        <f t="shared" ca="1" si="393"/>
        <v>23981.855816599989</v>
      </c>
      <c r="M637" s="1188">
        <f t="shared" ca="1" si="393"/>
        <v>23981.855816599989</v>
      </c>
      <c r="N637" s="1188">
        <f t="shared" ca="1" si="393"/>
        <v>23981.855816599989</v>
      </c>
      <c r="O637" s="1188">
        <f t="shared" ca="1" si="393"/>
        <v>23981.855816599989</v>
      </c>
      <c r="P637" s="1188">
        <f t="shared" ca="1" si="393"/>
        <v>23981.855816599989</v>
      </c>
      <c r="Q637" s="1188">
        <f t="shared" ca="1" si="393"/>
        <v>23981.855816599989</v>
      </c>
      <c r="R637" s="1188">
        <f t="shared" ca="1" si="393"/>
        <v>23981.855816599989</v>
      </c>
      <c r="S637" s="1188">
        <f t="shared" ca="1" si="393"/>
        <v>23981.855816599989</v>
      </c>
      <c r="T637" s="1188">
        <f t="shared" ca="1" si="393"/>
        <v>23981.855816599989</v>
      </c>
      <c r="U637" s="1188">
        <f t="shared" ca="1" si="393"/>
        <v>23981.855816599989</v>
      </c>
      <c r="V637" s="1188">
        <f t="shared" ca="1" si="393"/>
        <v>23981.855816599989</v>
      </c>
      <c r="W637" s="1188">
        <f t="shared" ca="1" si="393"/>
        <v>23981.855816599989</v>
      </c>
      <c r="X637" s="1188">
        <f t="shared" ca="1" si="393"/>
        <v>23981.855816599989</v>
      </c>
      <c r="Y637" s="1188">
        <f t="shared" ca="1" si="393"/>
        <v>23981.855816599989</v>
      </c>
      <c r="Z637" s="1188">
        <f t="shared" ca="1" si="393"/>
        <v>23981.855816599989</v>
      </c>
      <c r="AA637" s="1188">
        <f t="shared" ca="1" si="393"/>
        <v>23981.855816599989</v>
      </c>
      <c r="AB637" s="1188">
        <f t="shared" ca="1" si="393"/>
        <v>23981.855816599989</v>
      </c>
      <c r="AC637" s="1188">
        <f t="shared" ca="1" si="393"/>
        <v>11990.927908299995</v>
      </c>
      <c r="AD637" s="1188">
        <f t="shared" ca="1" si="393"/>
        <v>0</v>
      </c>
      <c r="AE637" s="1188">
        <f t="shared" ca="1" si="393"/>
        <v>0</v>
      </c>
      <c r="AF637" s="1188">
        <f t="shared" ca="1" si="393"/>
        <v>0</v>
      </c>
      <c r="AG637" s="818"/>
    </row>
    <row r="638" spans="1:33">
      <c r="A638" s="996"/>
      <c r="B638" s="1191" t="s">
        <v>800</v>
      </c>
      <c r="C638" s="818"/>
      <c r="D638" s="818"/>
      <c r="E638" s="818"/>
      <c r="F638" s="818"/>
      <c r="G638" s="818"/>
      <c r="H638" s="1192">
        <f t="shared" ref="H638:AF638" si="394">-H312</f>
        <v>0</v>
      </c>
      <c r="I638" s="1192">
        <f t="shared" si="394"/>
        <v>0</v>
      </c>
      <c r="J638" s="1193">
        <f t="shared" si="394"/>
        <v>0</v>
      </c>
      <c r="K638" s="1192">
        <f t="shared" si="394"/>
        <v>0</v>
      </c>
      <c r="L638" s="1192">
        <f t="shared" si="394"/>
        <v>0</v>
      </c>
      <c r="M638" s="1192">
        <f t="shared" si="394"/>
        <v>0</v>
      </c>
      <c r="N638" s="1192">
        <f t="shared" si="394"/>
        <v>0</v>
      </c>
      <c r="O638" s="1192">
        <f t="shared" si="394"/>
        <v>0</v>
      </c>
      <c r="P638" s="1192">
        <f t="shared" si="394"/>
        <v>0</v>
      </c>
      <c r="Q638" s="1192">
        <f t="shared" si="394"/>
        <v>0</v>
      </c>
      <c r="R638" s="1192">
        <f t="shared" si="394"/>
        <v>0</v>
      </c>
      <c r="S638" s="1192">
        <f t="shared" si="394"/>
        <v>0</v>
      </c>
      <c r="T638" s="1192">
        <f t="shared" si="394"/>
        <v>0</v>
      </c>
      <c r="U638" s="1192">
        <f t="shared" si="394"/>
        <v>0</v>
      </c>
      <c r="V638" s="1192">
        <f t="shared" si="394"/>
        <v>0</v>
      </c>
      <c r="W638" s="1192">
        <f t="shared" si="394"/>
        <v>0</v>
      </c>
      <c r="X638" s="1192">
        <f t="shared" si="394"/>
        <v>0</v>
      </c>
      <c r="Y638" s="1192">
        <f t="shared" si="394"/>
        <v>0</v>
      </c>
      <c r="Z638" s="1192">
        <f t="shared" si="394"/>
        <v>0</v>
      </c>
      <c r="AA638" s="1192">
        <f t="shared" si="394"/>
        <v>0</v>
      </c>
      <c r="AB638" s="1192">
        <f t="shared" si="394"/>
        <v>0</v>
      </c>
      <c r="AC638" s="1192">
        <f t="shared" si="394"/>
        <v>0</v>
      </c>
      <c r="AD638" s="1192">
        <f t="shared" si="394"/>
        <v>0</v>
      </c>
      <c r="AE638" s="1192">
        <f t="shared" si="394"/>
        <v>0</v>
      </c>
      <c r="AF638" s="1192">
        <f t="shared" si="394"/>
        <v>0</v>
      </c>
      <c r="AG638" s="818"/>
    </row>
    <row r="639" spans="1:33">
      <c r="A639" s="1187" t="s">
        <v>801</v>
      </c>
      <c r="B639" s="1042" t="s">
        <v>802</v>
      </c>
      <c r="C639" s="1011"/>
      <c r="D639" s="1010"/>
      <c r="E639" s="1010"/>
      <c r="F639" s="1010"/>
      <c r="G639" s="1010"/>
      <c r="H639" s="1188">
        <f t="shared" ref="H639:AF639" si="395">-(H734+H620)</f>
        <v>0</v>
      </c>
      <c r="I639" s="1188">
        <f t="shared" ca="1" si="395"/>
        <v>-17986.391862449989</v>
      </c>
      <c r="J639" s="1189">
        <f t="shared" ca="1" si="395"/>
        <v>-34625.003428007069</v>
      </c>
      <c r="K639" s="1188">
        <f t="shared" ca="1" si="395"/>
        <v>-32025.370257487622</v>
      </c>
      <c r="L639" s="1188">
        <f t="shared" ca="1" si="395"/>
        <v>-29627.184675827626</v>
      </c>
      <c r="M639" s="1188">
        <f t="shared" ca="1" si="395"/>
        <v>-27401.668456047148</v>
      </c>
      <c r="N639" s="1188">
        <f t="shared" ca="1" si="395"/>
        <v>-25348.821598146187</v>
      </c>
      <c r="O639" s="1188">
        <f t="shared" ca="1" si="395"/>
        <v>-23444.662246308148</v>
      </c>
      <c r="P639" s="1188">
        <f t="shared" ca="1" si="395"/>
        <v>-21689.190400533033</v>
      </c>
      <c r="Q639" s="1188">
        <f t="shared" ca="1" si="395"/>
        <v>-21401.408130733831</v>
      </c>
      <c r="R639" s="1188">
        <f t="shared" ca="1" si="395"/>
        <v>-21396.611759570507</v>
      </c>
      <c r="S639" s="1188">
        <f t="shared" ca="1" si="395"/>
        <v>-21401.408130733831</v>
      </c>
      <c r="T639" s="1188">
        <f t="shared" ca="1" si="395"/>
        <v>-21396.611759570507</v>
      </c>
      <c r="U639" s="1188">
        <f t="shared" ca="1" si="395"/>
        <v>-21401.408130733831</v>
      </c>
      <c r="V639" s="1188">
        <f t="shared" ca="1" si="395"/>
        <v>-21396.611759570507</v>
      </c>
      <c r="W639" s="1188">
        <f t="shared" ca="1" si="395"/>
        <v>-21401.408130733831</v>
      </c>
      <c r="X639" s="1188">
        <f t="shared" ca="1" si="395"/>
        <v>-21396.611759570507</v>
      </c>
      <c r="Y639" s="1188">
        <f t="shared" ca="1" si="395"/>
        <v>-21401.408130733831</v>
      </c>
      <c r="Z639" s="1188">
        <f t="shared" ca="1" si="395"/>
        <v>-21396.611759570507</v>
      </c>
      <c r="AA639" s="1188">
        <f t="shared" ca="1" si="395"/>
        <v>-21401.408130733831</v>
      </c>
      <c r="AB639" s="1188">
        <f t="shared" ca="1" si="395"/>
        <v>-21396.611759570507</v>
      </c>
      <c r="AC639" s="1188">
        <f t="shared" ca="1" si="395"/>
        <v>-10700.704065366916</v>
      </c>
      <c r="AD639" s="1188">
        <f t="shared" ca="1" si="395"/>
        <v>0</v>
      </c>
      <c r="AE639" s="1188">
        <f t="shared" ca="1" si="395"/>
        <v>0</v>
      </c>
      <c r="AF639" s="1188">
        <f t="shared" ca="1" si="395"/>
        <v>0</v>
      </c>
      <c r="AG639" s="818"/>
    </row>
    <row r="640" spans="1:33">
      <c r="A640" s="996"/>
      <c r="B640" s="1191" t="s">
        <v>803</v>
      </c>
      <c r="C640" s="818"/>
      <c r="D640" s="818"/>
      <c r="E640" s="818"/>
      <c r="F640" s="818"/>
      <c r="G640" s="818"/>
      <c r="H640" s="1192">
        <f t="shared" ref="H640:AF640" si="396">H619</f>
        <v>0</v>
      </c>
      <c r="I640" s="1192">
        <f t="shared" si="396"/>
        <v>0</v>
      </c>
      <c r="J640" s="1193">
        <f t="shared" si="396"/>
        <v>0</v>
      </c>
      <c r="K640" s="1194">
        <f t="shared" si="396"/>
        <v>0</v>
      </c>
      <c r="L640" s="1194">
        <f t="shared" si="396"/>
        <v>0</v>
      </c>
      <c r="M640" s="1194">
        <f t="shared" si="396"/>
        <v>0</v>
      </c>
      <c r="N640" s="1194">
        <f t="shared" si="396"/>
        <v>0</v>
      </c>
      <c r="O640" s="1194">
        <f t="shared" si="396"/>
        <v>0</v>
      </c>
      <c r="P640" s="1194">
        <f t="shared" si="396"/>
        <v>0</v>
      </c>
      <c r="Q640" s="1194">
        <f t="shared" si="396"/>
        <v>0</v>
      </c>
      <c r="R640" s="1194">
        <f t="shared" si="396"/>
        <v>0</v>
      </c>
      <c r="S640" s="1194">
        <f t="shared" si="396"/>
        <v>0</v>
      </c>
      <c r="T640" s="1194">
        <f t="shared" si="396"/>
        <v>0</v>
      </c>
      <c r="U640" s="1194">
        <f t="shared" si="396"/>
        <v>0</v>
      </c>
      <c r="V640" s="1194">
        <f t="shared" si="396"/>
        <v>0</v>
      </c>
      <c r="W640" s="1194">
        <f t="shared" si="396"/>
        <v>0</v>
      </c>
      <c r="X640" s="1194">
        <f t="shared" si="396"/>
        <v>0</v>
      </c>
      <c r="Y640" s="1194">
        <f t="shared" si="396"/>
        <v>0</v>
      </c>
      <c r="Z640" s="1194">
        <f t="shared" si="396"/>
        <v>0</v>
      </c>
      <c r="AA640" s="1194">
        <f t="shared" si="396"/>
        <v>0</v>
      </c>
      <c r="AB640" s="1194">
        <f t="shared" si="396"/>
        <v>0</v>
      </c>
      <c r="AC640" s="1194">
        <f t="shared" si="396"/>
        <v>0</v>
      </c>
      <c r="AD640" s="1194">
        <f t="shared" si="396"/>
        <v>0</v>
      </c>
      <c r="AE640" s="1194">
        <f t="shared" si="396"/>
        <v>0</v>
      </c>
      <c r="AF640" s="1194">
        <f t="shared" si="396"/>
        <v>0</v>
      </c>
      <c r="AG640" s="818"/>
    </row>
    <row r="641" spans="1:33">
      <c r="A641" s="1187" t="s">
        <v>804</v>
      </c>
      <c r="B641" s="818"/>
      <c r="C641" s="1011"/>
      <c r="D641" s="1011"/>
      <c r="E641" s="1011"/>
      <c r="F641" s="1011"/>
      <c r="G641" s="1011"/>
      <c r="H641" s="1195">
        <f t="shared" ref="H641:AF641" si="397">SUM(H636:H640)</f>
        <v>0</v>
      </c>
      <c r="I641" s="1195">
        <f t="shared" ca="1" si="397"/>
        <v>6285.9268861662385</v>
      </c>
      <c r="J641" s="1196">
        <f t="shared" ca="1" si="397"/>
        <v>3937.9459410781565</v>
      </c>
      <c r="K641" s="1195">
        <f t="shared" ca="1" si="397"/>
        <v>24604.248895039709</v>
      </c>
      <c r="L641" s="1195">
        <f t="shared" ca="1" si="397"/>
        <v>34170.17794703356</v>
      </c>
      <c r="M641" s="1195">
        <f t="shared" ca="1" si="397"/>
        <v>35991.451894664351</v>
      </c>
      <c r="N641" s="1195">
        <f t="shared" ca="1" si="397"/>
        <v>31670.695803094593</v>
      </c>
      <c r="O641" s="1195">
        <f t="shared" ca="1" si="397"/>
        <v>32372.184311973044</v>
      </c>
      <c r="P641" s="1195">
        <f t="shared" ca="1" si="397"/>
        <v>58112.741841929746</v>
      </c>
      <c r="Q641" s="1195">
        <f t="shared" ca="1" si="397"/>
        <v>60624.241277719688</v>
      </c>
      <c r="R641" s="1195">
        <f t="shared" ca="1" si="397"/>
        <v>63538.932489988591</v>
      </c>
      <c r="S641" s="1195">
        <f t="shared" ca="1" si="397"/>
        <v>67663.380043139259</v>
      </c>
      <c r="T641" s="1195">
        <f t="shared" ca="1" si="397"/>
        <v>59880.120170807619</v>
      </c>
      <c r="U641" s="1195">
        <f t="shared" ca="1" si="397"/>
        <v>71397.42980188207</v>
      </c>
      <c r="V641" s="1195">
        <f t="shared" ca="1" si="397"/>
        <v>63697.044603343275</v>
      </c>
      <c r="W641" s="1195">
        <f t="shared" ca="1" si="397"/>
        <v>63066.392561415923</v>
      </c>
      <c r="X641" s="1195">
        <f t="shared" ca="1" si="397"/>
        <v>63454.67353369404</v>
      </c>
      <c r="Y641" s="1195">
        <f t="shared" ca="1" si="397"/>
        <v>66009.256022399088</v>
      </c>
      <c r="Z641" s="1195">
        <f t="shared" ca="1" si="397"/>
        <v>60826.887875307606</v>
      </c>
      <c r="AA641" s="1195">
        <f t="shared" ca="1" si="397"/>
        <v>61527.358116564472</v>
      </c>
      <c r="AB641" s="1195">
        <f t="shared" ca="1" si="397"/>
        <v>43856.227397057133</v>
      </c>
      <c r="AC641" s="1195">
        <f t="shared" ca="1" si="397"/>
        <v>-36908.479939694837</v>
      </c>
      <c r="AD641" s="1195">
        <f t="shared" ca="1" si="397"/>
        <v>-26501.916163709921</v>
      </c>
      <c r="AE641" s="1195">
        <f t="shared" ca="1" si="397"/>
        <v>-27031.954486984119</v>
      </c>
      <c r="AF641" s="1195">
        <f t="shared" ca="1" si="397"/>
        <v>-27572.593576723819</v>
      </c>
      <c r="AG641" s="818"/>
    </row>
    <row r="642" spans="1:33">
      <c r="A642" s="1187"/>
      <c r="B642" s="818"/>
      <c r="C642" s="818"/>
      <c r="D642" s="818"/>
      <c r="E642" s="818"/>
      <c r="F642" s="818"/>
      <c r="G642" s="818"/>
      <c r="H642" s="1194"/>
      <c r="I642" s="1192"/>
      <c r="J642" s="1193"/>
      <c r="K642" s="1194"/>
      <c r="L642" s="1194"/>
      <c r="M642" s="1194"/>
      <c r="N642" s="1194"/>
      <c r="O642" s="1194"/>
      <c r="P642" s="1194"/>
      <c r="Q642" s="1194"/>
      <c r="R642" s="1194"/>
      <c r="S642" s="1194"/>
      <c r="T642" s="1194"/>
      <c r="U642" s="1194"/>
      <c r="V642" s="1194"/>
      <c r="W642" s="1194"/>
      <c r="X642" s="1194"/>
      <c r="Y642" s="1194"/>
      <c r="Z642" s="1194"/>
      <c r="AA642" s="1194"/>
      <c r="AB642" s="1194"/>
      <c r="AC642" s="1194"/>
      <c r="AD642" s="1194"/>
      <c r="AE642" s="1194"/>
      <c r="AF642" s="1194"/>
      <c r="AG642" s="818"/>
    </row>
    <row r="643" spans="1:33" s="665" customFormat="1">
      <c r="A643" s="1004" t="s">
        <v>805</v>
      </c>
      <c r="B643" s="1004"/>
      <c r="C643" s="1004"/>
      <c r="D643" s="1004"/>
      <c r="E643" s="1004"/>
      <c r="F643" s="1004"/>
      <c r="G643" s="1004"/>
      <c r="H643" s="1197">
        <f>G620</f>
        <v>0</v>
      </c>
      <c r="I643" s="1197">
        <f t="shared" ref="I643:AA643" si="398">H648</f>
        <v>0</v>
      </c>
      <c r="J643" s="1198">
        <f t="shared" ca="1" si="398"/>
        <v>0</v>
      </c>
      <c r="K643" s="1199">
        <f t="shared" ca="1" si="398"/>
        <v>0</v>
      </c>
      <c r="L643" s="1199">
        <f t="shared" ca="1" si="398"/>
        <v>0</v>
      </c>
      <c r="M643" s="1199">
        <f t="shared" ca="1" si="398"/>
        <v>0</v>
      </c>
      <c r="N643" s="1199">
        <f t="shared" ca="1" si="398"/>
        <v>0</v>
      </c>
      <c r="O643" s="1199">
        <f t="shared" ca="1" si="398"/>
        <v>0</v>
      </c>
      <c r="P643" s="1199">
        <f t="shared" ca="1" si="398"/>
        <v>0</v>
      </c>
      <c r="Q643" s="1199">
        <f t="shared" ca="1" si="398"/>
        <v>0</v>
      </c>
      <c r="R643" s="1199">
        <f t="shared" ca="1" si="398"/>
        <v>0</v>
      </c>
      <c r="S643" s="1199">
        <f t="shared" ca="1" si="398"/>
        <v>0</v>
      </c>
      <c r="T643" s="1199">
        <f t="shared" ca="1" si="398"/>
        <v>0</v>
      </c>
      <c r="U643" s="1199">
        <f t="shared" ca="1" si="398"/>
        <v>0</v>
      </c>
      <c r="V643" s="1199">
        <f t="shared" ca="1" si="398"/>
        <v>0</v>
      </c>
      <c r="W643" s="1199">
        <f t="shared" ca="1" si="398"/>
        <v>0</v>
      </c>
      <c r="X643" s="1199">
        <f t="shared" ca="1" si="398"/>
        <v>0</v>
      </c>
      <c r="Y643" s="1199">
        <f t="shared" ca="1" si="398"/>
        <v>0</v>
      </c>
      <c r="Z643" s="1199">
        <f t="shared" ca="1" si="398"/>
        <v>0</v>
      </c>
      <c r="AA643" s="1199">
        <f t="shared" ca="1" si="398"/>
        <v>0</v>
      </c>
      <c r="AB643" s="1199">
        <f ca="1">AA648</f>
        <v>0</v>
      </c>
      <c r="AC643" s="1199">
        <f ca="1">AB648</f>
        <v>0</v>
      </c>
      <c r="AD643" s="1199">
        <f ca="1">AC648</f>
        <v>36908.479939694837</v>
      </c>
      <c r="AE643" s="1199">
        <f ca="1">AD648</f>
        <v>63410.396103404753</v>
      </c>
      <c r="AF643" s="1199">
        <f ca="1">AE648</f>
        <v>90442.350590388916</v>
      </c>
    </row>
    <row r="644" spans="1:33" s="665" customFormat="1">
      <c r="A644" s="746" t="s">
        <v>806</v>
      </c>
      <c r="B644" s="1004"/>
      <c r="C644" s="1004"/>
      <c r="D644" s="1004"/>
      <c r="E644" s="1004"/>
      <c r="F644" s="1004"/>
      <c r="G644" s="1004"/>
      <c r="H644" s="1200">
        <v>0</v>
      </c>
      <c r="I644" s="1200">
        <v>0</v>
      </c>
      <c r="J644" s="1201">
        <v>0</v>
      </c>
      <c r="K644" s="1202">
        <v>0</v>
      </c>
      <c r="L644" s="1202">
        <v>0</v>
      </c>
      <c r="M644" s="1202">
        <v>0</v>
      </c>
      <c r="N644" s="1202">
        <v>0</v>
      </c>
      <c r="O644" s="1202">
        <v>0</v>
      </c>
      <c r="P644" s="1202">
        <v>0</v>
      </c>
      <c r="Q644" s="1202">
        <v>0</v>
      </c>
      <c r="R644" s="1202">
        <v>0</v>
      </c>
      <c r="S644" s="1202">
        <v>0</v>
      </c>
      <c r="T644" s="1202">
        <v>0</v>
      </c>
      <c r="U644" s="1202">
        <v>0</v>
      </c>
      <c r="V644" s="1202">
        <v>0</v>
      </c>
      <c r="W644" s="1202">
        <v>0</v>
      </c>
      <c r="X644" s="1202">
        <v>0</v>
      </c>
      <c r="Y644" s="1202">
        <v>0</v>
      </c>
      <c r="Z644" s="1202">
        <v>0</v>
      </c>
      <c r="AA644" s="1202">
        <v>0</v>
      </c>
      <c r="AB644" s="1202">
        <v>0</v>
      </c>
      <c r="AC644" s="1202">
        <v>0</v>
      </c>
      <c r="AD644" s="1202">
        <v>0</v>
      </c>
      <c r="AE644" s="1202">
        <v>0</v>
      </c>
      <c r="AF644" s="1202">
        <v>0</v>
      </c>
    </row>
    <row r="645" spans="1:33" s="665" customFormat="1">
      <c r="A645" s="746" t="s">
        <v>807</v>
      </c>
      <c r="B645" s="1004"/>
      <c r="C645" s="1004"/>
      <c r="D645" s="1004"/>
      <c r="E645" s="1004"/>
      <c r="F645" s="1004"/>
      <c r="G645" s="1004"/>
      <c r="H645" s="1197">
        <f t="shared" ref="H645:AA645" si="399">IF(H643-H644&lt;0,0,H643-H644)</f>
        <v>0</v>
      </c>
      <c r="I645" s="1197">
        <f t="shared" si="399"/>
        <v>0</v>
      </c>
      <c r="J645" s="1198">
        <f t="shared" ca="1" si="399"/>
        <v>0</v>
      </c>
      <c r="K645" s="1197">
        <f t="shared" ca="1" si="399"/>
        <v>0</v>
      </c>
      <c r="L645" s="1197">
        <f t="shared" ca="1" si="399"/>
        <v>0</v>
      </c>
      <c r="M645" s="1197">
        <f t="shared" ca="1" si="399"/>
        <v>0</v>
      </c>
      <c r="N645" s="1197">
        <f t="shared" ca="1" si="399"/>
        <v>0</v>
      </c>
      <c r="O645" s="1197">
        <f t="shared" ca="1" si="399"/>
        <v>0</v>
      </c>
      <c r="P645" s="1197">
        <f t="shared" ca="1" si="399"/>
        <v>0</v>
      </c>
      <c r="Q645" s="1197">
        <f t="shared" ca="1" si="399"/>
        <v>0</v>
      </c>
      <c r="R645" s="1197">
        <f t="shared" ca="1" si="399"/>
        <v>0</v>
      </c>
      <c r="S645" s="1197">
        <f t="shared" ca="1" si="399"/>
        <v>0</v>
      </c>
      <c r="T645" s="1197">
        <f t="shared" ca="1" si="399"/>
        <v>0</v>
      </c>
      <c r="U645" s="1197">
        <f t="shared" ca="1" si="399"/>
        <v>0</v>
      </c>
      <c r="V645" s="1197">
        <f t="shared" ca="1" si="399"/>
        <v>0</v>
      </c>
      <c r="W645" s="1197">
        <f t="shared" ca="1" si="399"/>
        <v>0</v>
      </c>
      <c r="X645" s="1197">
        <f t="shared" ca="1" si="399"/>
        <v>0</v>
      </c>
      <c r="Y645" s="1197">
        <f t="shared" ca="1" si="399"/>
        <v>0</v>
      </c>
      <c r="Z645" s="1197">
        <f t="shared" ca="1" si="399"/>
        <v>0</v>
      </c>
      <c r="AA645" s="1197">
        <f t="shared" ca="1" si="399"/>
        <v>0</v>
      </c>
      <c r="AB645" s="1197">
        <f ca="1">IF(AB643-AB644&lt;0,0,AB643-AB644)</f>
        <v>0</v>
      </c>
      <c r="AC645" s="1197">
        <f ca="1">IF(AC643-AC644&lt;0,0,AC643-AC644)</f>
        <v>0</v>
      </c>
      <c r="AD645" s="1197">
        <f ca="1">IF(AD643-AD644&lt;0,0,AD643-AD644)</f>
        <v>36908.479939694837</v>
      </c>
      <c r="AE645" s="1197">
        <f ca="1">IF(AE643-AE644&lt;0,0,AE643-AE644)</f>
        <v>63410.396103404753</v>
      </c>
      <c r="AF645" s="1197">
        <f ca="1">IF(AF643-AF644&lt;0,0,AF643-AF644)</f>
        <v>90442.350590388916</v>
      </c>
    </row>
    <row r="646" spans="1:33" s="665" customFormat="1">
      <c r="A646" s="746" t="s">
        <v>808</v>
      </c>
      <c r="B646" s="1004"/>
      <c r="C646" s="1004"/>
      <c r="D646" s="1004"/>
      <c r="E646" s="1004"/>
      <c r="F646" s="1004"/>
      <c r="G646" s="1004"/>
      <c r="H646" s="1197">
        <f>IF(H641&lt;=0,H641,0)</f>
        <v>0</v>
      </c>
      <c r="I646" s="1197">
        <f t="shared" ref="I646:AA646" ca="1" si="400">IF(I641&lt;=0,I641,0)</f>
        <v>0</v>
      </c>
      <c r="J646" s="1198">
        <f t="shared" ca="1" si="400"/>
        <v>0</v>
      </c>
      <c r="K646" s="1197">
        <f t="shared" ca="1" si="400"/>
        <v>0</v>
      </c>
      <c r="L646" s="1197">
        <f t="shared" ca="1" si="400"/>
        <v>0</v>
      </c>
      <c r="M646" s="1197">
        <f t="shared" ca="1" si="400"/>
        <v>0</v>
      </c>
      <c r="N646" s="1197">
        <f t="shared" ca="1" si="400"/>
        <v>0</v>
      </c>
      <c r="O646" s="1197">
        <f t="shared" ca="1" si="400"/>
        <v>0</v>
      </c>
      <c r="P646" s="1197">
        <f t="shared" ca="1" si="400"/>
        <v>0</v>
      </c>
      <c r="Q646" s="1197">
        <f t="shared" ca="1" si="400"/>
        <v>0</v>
      </c>
      <c r="R646" s="1197">
        <f t="shared" ca="1" si="400"/>
        <v>0</v>
      </c>
      <c r="S646" s="1197">
        <f t="shared" ca="1" si="400"/>
        <v>0</v>
      </c>
      <c r="T646" s="1197">
        <f t="shared" ca="1" si="400"/>
        <v>0</v>
      </c>
      <c r="U646" s="1197">
        <f t="shared" ca="1" si="400"/>
        <v>0</v>
      </c>
      <c r="V646" s="1197">
        <f t="shared" ca="1" si="400"/>
        <v>0</v>
      </c>
      <c r="W646" s="1197">
        <f t="shared" ca="1" si="400"/>
        <v>0</v>
      </c>
      <c r="X646" s="1197">
        <f t="shared" ca="1" si="400"/>
        <v>0</v>
      </c>
      <c r="Y646" s="1197">
        <f t="shared" ca="1" si="400"/>
        <v>0</v>
      </c>
      <c r="Z646" s="1197">
        <f t="shared" ca="1" si="400"/>
        <v>0</v>
      </c>
      <c r="AA646" s="1197">
        <f t="shared" ca="1" si="400"/>
        <v>0</v>
      </c>
      <c r="AB646" s="1197">
        <f ca="1">IF(AB641&lt;=0,AB641,0)</f>
        <v>0</v>
      </c>
      <c r="AC646" s="1197">
        <f ca="1">IF(AC641&lt;=0,AC641,0)</f>
        <v>-36908.479939694837</v>
      </c>
      <c r="AD646" s="1197">
        <f ca="1">IF(AD641&lt;=0,AD641,0)</f>
        <v>-26501.916163709921</v>
      </c>
      <c r="AE646" s="1197">
        <f ca="1">IF(AE641&lt;=0,AE641,0)</f>
        <v>-27031.954486984119</v>
      </c>
      <c r="AF646" s="1197">
        <f ca="1">IF(AF641&lt;=0,AF641,0)</f>
        <v>-27572.593576723819</v>
      </c>
    </row>
    <row r="647" spans="1:33" s="665" customFormat="1">
      <c r="A647" s="746" t="s">
        <v>809</v>
      </c>
      <c r="B647" s="1004"/>
      <c r="C647" s="1004"/>
      <c r="D647" s="1004"/>
      <c r="E647" s="1004"/>
      <c r="F647" s="1004"/>
      <c r="G647" s="1004"/>
      <c r="H647" s="1197">
        <f>IF(H641&gt;0,IF(H645&lt;=H641,H645,H641),0)</f>
        <v>0</v>
      </c>
      <c r="I647" s="1197">
        <f t="shared" ref="I647:AA647" ca="1" si="401">IF(I641&gt;0,IF(I645&lt;=I641,I645,I641),0)</f>
        <v>0</v>
      </c>
      <c r="J647" s="1198">
        <f t="shared" ca="1" si="401"/>
        <v>0</v>
      </c>
      <c r="K647" s="1197">
        <f t="shared" ca="1" si="401"/>
        <v>0</v>
      </c>
      <c r="L647" s="1197">
        <f t="shared" ca="1" si="401"/>
        <v>0</v>
      </c>
      <c r="M647" s="1197">
        <f t="shared" ca="1" si="401"/>
        <v>0</v>
      </c>
      <c r="N647" s="1197">
        <f t="shared" ca="1" si="401"/>
        <v>0</v>
      </c>
      <c r="O647" s="1197">
        <f t="shared" ca="1" si="401"/>
        <v>0</v>
      </c>
      <c r="P647" s="1197">
        <f t="shared" ca="1" si="401"/>
        <v>0</v>
      </c>
      <c r="Q647" s="1197">
        <f t="shared" ca="1" si="401"/>
        <v>0</v>
      </c>
      <c r="R647" s="1197">
        <f t="shared" ca="1" si="401"/>
        <v>0</v>
      </c>
      <c r="S647" s="1197">
        <f t="shared" ca="1" si="401"/>
        <v>0</v>
      </c>
      <c r="T647" s="1197">
        <f t="shared" ca="1" si="401"/>
        <v>0</v>
      </c>
      <c r="U647" s="1197">
        <f t="shared" ca="1" si="401"/>
        <v>0</v>
      </c>
      <c r="V647" s="1197">
        <f t="shared" ca="1" si="401"/>
        <v>0</v>
      </c>
      <c r="W647" s="1197">
        <f t="shared" ca="1" si="401"/>
        <v>0</v>
      </c>
      <c r="X647" s="1197">
        <f t="shared" ca="1" si="401"/>
        <v>0</v>
      </c>
      <c r="Y647" s="1197">
        <f t="shared" ca="1" si="401"/>
        <v>0</v>
      </c>
      <c r="Z647" s="1197">
        <f t="shared" ca="1" si="401"/>
        <v>0</v>
      </c>
      <c r="AA647" s="1197">
        <f t="shared" ca="1" si="401"/>
        <v>0</v>
      </c>
      <c r="AB647" s="1197">
        <f ca="1">IF(AB641&gt;0,IF(AB645&lt;=AB641,AB645,AB641),0)</f>
        <v>0</v>
      </c>
      <c r="AC647" s="1197">
        <f ca="1">IF(AC641&gt;0,IF(AC645&lt;=AC641,AC645,AC641),0)</f>
        <v>0</v>
      </c>
      <c r="AD647" s="1197">
        <f ca="1">IF(AD641&gt;0,IF(AD645&lt;=AD641,AD645,AD641),0)</f>
        <v>0</v>
      </c>
      <c r="AE647" s="1197">
        <f ca="1">IF(AE641&gt;0,IF(AE645&lt;=AE641,AE645,AE641),0)</f>
        <v>0</v>
      </c>
      <c r="AF647" s="1197">
        <f ca="1">IF(AF641&gt;0,IF(AF645&lt;=AF641,AF645,AF641),0)</f>
        <v>0</v>
      </c>
    </row>
    <row r="648" spans="1:33" s="665" customFormat="1">
      <c r="A648" s="746" t="s">
        <v>810</v>
      </c>
      <c r="B648" s="1004"/>
      <c r="C648" s="1004"/>
      <c r="D648" s="1004"/>
      <c r="E648" s="1004"/>
      <c r="F648" s="1004"/>
      <c r="G648" s="1004"/>
      <c r="H648" s="1203">
        <f t="shared" ref="H648:AA648" si="402">IF(H645-H646-H647&lt;0,0,H645-H646-H647)</f>
        <v>0</v>
      </c>
      <c r="I648" s="1203">
        <f t="shared" ca="1" si="402"/>
        <v>0</v>
      </c>
      <c r="J648" s="1204">
        <f t="shared" ca="1" si="402"/>
        <v>0</v>
      </c>
      <c r="K648" s="1203">
        <f t="shared" ca="1" si="402"/>
        <v>0</v>
      </c>
      <c r="L648" s="1203">
        <f t="shared" ca="1" si="402"/>
        <v>0</v>
      </c>
      <c r="M648" s="1203">
        <f t="shared" ca="1" si="402"/>
        <v>0</v>
      </c>
      <c r="N648" s="1203">
        <f t="shared" ca="1" si="402"/>
        <v>0</v>
      </c>
      <c r="O648" s="1203">
        <f t="shared" ca="1" si="402"/>
        <v>0</v>
      </c>
      <c r="P648" s="1203">
        <f t="shared" ca="1" si="402"/>
        <v>0</v>
      </c>
      <c r="Q648" s="1203">
        <f t="shared" ca="1" si="402"/>
        <v>0</v>
      </c>
      <c r="R648" s="1203">
        <f t="shared" ca="1" si="402"/>
        <v>0</v>
      </c>
      <c r="S648" s="1203">
        <f t="shared" ca="1" si="402"/>
        <v>0</v>
      </c>
      <c r="T648" s="1203">
        <f t="shared" ca="1" si="402"/>
        <v>0</v>
      </c>
      <c r="U648" s="1203">
        <f t="shared" ca="1" si="402"/>
        <v>0</v>
      </c>
      <c r="V648" s="1203">
        <f t="shared" ca="1" si="402"/>
        <v>0</v>
      </c>
      <c r="W648" s="1203">
        <f t="shared" ca="1" si="402"/>
        <v>0</v>
      </c>
      <c r="X648" s="1203">
        <f t="shared" ca="1" si="402"/>
        <v>0</v>
      </c>
      <c r="Y648" s="1203">
        <f t="shared" ca="1" si="402"/>
        <v>0</v>
      </c>
      <c r="Z648" s="1203">
        <f t="shared" ca="1" si="402"/>
        <v>0</v>
      </c>
      <c r="AA648" s="1203">
        <f t="shared" ca="1" si="402"/>
        <v>0</v>
      </c>
      <c r="AB648" s="1203">
        <f ca="1">IF(AB645-AB646-AB647&lt;0,0,AB645-AB646-AB647)</f>
        <v>0</v>
      </c>
      <c r="AC648" s="1203">
        <f ca="1">IF(AC645-AC646-AC647&lt;0,0,AC645-AC646-AC647)</f>
        <v>36908.479939694837</v>
      </c>
      <c r="AD648" s="1203">
        <f ca="1">IF(AD645-AD646-AD647&lt;0,0,AD645-AD646-AD647)</f>
        <v>63410.396103404753</v>
      </c>
      <c r="AE648" s="1203">
        <f ca="1">IF(AE645-AE646-AE647&lt;0,0,AE645-AE646-AE647)</f>
        <v>90442.350590388873</v>
      </c>
      <c r="AF648" s="1203">
        <f ca="1">IF(AF645-AF646-AF647&lt;0,0,AF645-AF646-AF647)</f>
        <v>118014.94416711273</v>
      </c>
    </row>
    <row r="649" spans="1:33">
      <c r="A649" s="1205"/>
      <c r="B649" s="818"/>
      <c r="C649" s="818"/>
      <c r="D649" s="818"/>
      <c r="E649" s="818"/>
      <c r="F649" s="818"/>
      <c r="G649" s="818"/>
      <c r="H649" s="1194"/>
      <c r="I649" s="1192"/>
      <c r="J649" s="1193"/>
      <c r="K649" s="1194"/>
      <c r="L649" s="1194"/>
      <c r="M649" s="1194"/>
      <c r="N649" s="1194"/>
      <c r="O649" s="1194"/>
      <c r="P649" s="1194"/>
      <c r="Q649" s="1194"/>
      <c r="R649" s="1194"/>
      <c r="S649" s="1194"/>
      <c r="T649" s="1194"/>
      <c r="U649" s="1194"/>
      <c r="V649" s="1194"/>
      <c r="W649" s="1194"/>
      <c r="X649" s="1194"/>
      <c r="Y649" s="1194"/>
      <c r="Z649" s="1194"/>
      <c r="AA649" s="1194"/>
      <c r="AB649" s="1194"/>
      <c r="AC649" s="1194"/>
      <c r="AD649" s="1194"/>
      <c r="AE649" s="1194"/>
      <c r="AF649" s="1194"/>
      <c r="AG649" s="818"/>
    </row>
    <row r="650" spans="1:33">
      <c r="A650" s="1187" t="s">
        <v>811</v>
      </c>
      <c r="B650" s="818"/>
      <c r="C650" s="818"/>
      <c r="D650" s="818"/>
      <c r="E650" s="818"/>
      <c r="F650" s="818"/>
      <c r="G650" s="818"/>
      <c r="H650" s="1192">
        <f>IF(H641&lt;=0,0,H641-H647)</f>
        <v>0</v>
      </c>
      <c r="I650" s="1192">
        <f t="shared" ref="I650:AA650" ca="1" si="403">IF(I641&lt;=0,0,I641-I647)</f>
        <v>6285.9268861662385</v>
      </c>
      <c r="J650" s="1193">
        <f t="shared" ca="1" si="403"/>
        <v>3937.9459410781565</v>
      </c>
      <c r="K650" s="1192">
        <f t="shared" ca="1" si="403"/>
        <v>24604.248895039709</v>
      </c>
      <c r="L650" s="1192">
        <f t="shared" ca="1" si="403"/>
        <v>34170.17794703356</v>
      </c>
      <c r="M650" s="1192">
        <f t="shared" ca="1" si="403"/>
        <v>35991.451894664351</v>
      </c>
      <c r="N650" s="1192">
        <f t="shared" ca="1" si="403"/>
        <v>31670.695803094593</v>
      </c>
      <c r="O650" s="1192">
        <f t="shared" ca="1" si="403"/>
        <v>32372.184311973044</v>
      </c>
      <c r="P650" s="1192">
        <f t="shared" ca="1" si="403"/>
        <v>58112.741841929746</v>
      </c>
      <c r="Q650" s="1192">
        <f t="shared" ca="1" si="403"/>
        <v>60624.241277719688</v>
      </c>
      <c r="R650" s="1192">
        <f t="shared" ca="1" si="403"/>
        <v>63538.932489988591</v>
      </c>
      <c r="S650" s="1192">
        <f t="shared" ca="1" si="403"/>
        <v>67663.380043139259</v>
      </c>
      <c r="T650" s="1192">
        <f t="shared" ca="1" si="403"/>
        <v>59880.120170807619</v>
      </c>
      <c r="U650" s="1192">
        <f t="shared" ca="1" si="403"/>
        <v>71397.42980188207</v>
      </c>
      <c r="V650" s="1192">
        <f t="shared" ca="1" si="403"/>
        <v>63697.044603343275</v>
      </c>
      <c r="W650" s="1192">
        <f t="shared" ca="1" si="403"/>
        <v>63066.392561415923</v>
      </c>
      <c r="X650" s="1192">
        <f t="shared" ca="1" si="403"/>
        <v>63454.67353369404</v>
      </c>
      <c r="Y650" s="1192">
        <f t="shared" ca="1" si="403"/>
        <v>66009.256022399088</v>
      </c>
      <c r="Z650" s="1192">
        <f t="shared" ca="1" si="403"/>
        <v>60826.887875307606</v>
      </c>
      <c r="AA650" s="1192">
        <f t="shared" ca="1" si="403"/>
        <v>61527.358116564472</v>
      </c>
      <c r="AB650" s="1192">
        <f ca="1">IF(AB641&lt;=0,0,AB641-AB647)</f>
        <v>43856.227397057133</v>
      </c>
      <c r="AC650" s="1192">
        <f ca="1">IF(AC641&lt;=0,0,AC641-AC647)</f>
        <v>0</v>
      </c>
      <c r="AD650" s="1192">
        <f ca="1">IF(AD641&lt;=0,0,AD641-AD647)</f>
        <v>0</v>
      </c>
      <c r="AE650" s="1192">
        <f ca="1">IF(AE641&lt;=0,0,AE641-AE647)</f>
        <v>0</v>
      </c>
      <c r="AF650" s="1192">
        <f ca="1">IF(AF641&lt;=0,0,AF641-AF647)</f>
        <v>0</v>
      </c>
      <c r="AG650" s="818"/>
    </row>
    <row r="651" spans="1:33">
      <c r="A651" s="1187"/>
      <c r="B651" s="818"/>
      <c r="C651" s="818"/>
      <c r="D651" s="818"/>
      <c r="E651" s="818"/>
      <c r="F651" s="818"/>
      <c r="G651" s="818"/>
      <c r="H651" s="1192"/>
      <c r="I651" s="1192"/>
      <c r="J651" s="1193"/>
      <c r="K651" s="1194"/>
      <c r="L651" s="1194"/>
      <c r="M651" s="1194"/>
      <c r="N651" s="1194"/>
      <c r="O651" s="1194"/>
      <c r="P651" s="1194"/>
      <c r="Q651" s="1194"/>
      <c r="R651" s="1194"/>
      <c r="S651" s="1194"/>
      <c r="T651" s="1194"/>
      <c r="U651" s="1194"/>
      <c r="V651" s="1194"/>
      <c r="W651" s="1194"/>
      <c r="X651" s="1194"/>
      <c r="Y651" s="1194"/>
      <c r="Z651" s="1194"/>
      <c r="AA651" s="1194"/>
      <c r="AB651" s="1194"/>
      <c r="AC651" s="1194"/>
      <c r="AD651" s="1194"/>
      <c r="AE651" s="1194"/>
      <c r="AF651" s="1194"/>
      <c r="AG651" s="818"/>
    </row>
    <row r="652" spans="1:33">
      <c r="A652" s="1187" t="s">
        <v>812</v>
      </c>
      <c r="B652" s="665"/>
      <c r="C652" s="1030">
        <f>I629</f>
        <v>8.8400000000000006E-2</v>
      </c>
      <c r="D652" s="818"/>
      <c r="E652" s="818"/>
      <c r="F652" s="818"/>
      <c r="G652" s="818"/>
      <c r="H652" s="1188">
        <f t="shared" ref="H652:AA652" si="404">H650*H629</f>
        <v>0</v>
      </c>
      <c r="I652" s="1188">
        <f t="shared" ca="1" si="404"/>
        <v>555.67593673709553</v>
      </c>
      <c r="J652" s="1189">
        <f t="shared" ca="1" si="404"/>
        <v>348.11442119130908</v>
      </c>
      <c r="K652" s="1190">
        <f t="shared" ca="1" si="404"/>
        <v>2175.0156023215104</v>
      </c>
      <c r="L652" s="1190">
        <f t="shared" ca="1" si="404"/>
        <v>3020.6437305177669</v>
      </c>
      <c r="M652" s="1190">
        <f t="shared" ca="1" si="404"/>
        <v>3181.644347488329</v>
      </c>
      <c r="N652" s="1190">
        <f t="shared" ca="1" si="404"/>
        <v>2799.6895089935624</v>
      </c>
      <c r="O652" s="1190">
        <f t="shared" ca="1" si="404"/>
        <v>2861.7010931784171</v>
      </c>
      <c r="P652" s="1190">
        <f t="shared" ca="1" si="404"/>
        <v>5137.1663788265896</v>
      </c>
      <c r="Q652" s="1190">
        <f t="shared" ca="1" si="404"/>
        <v>5359.1829289504212</v>
      </c>
      <c r="R652" s="1190">
        <f t="shared" ca="1" si="404"/>
        <v>5616.8416321149916</v>
      </c>
      <c r="S652" s="1190">
        <f t="shared" ca="1" si="404"/>
        <v>5981.4427958135111</v>
      </c>
      <c r="T652" s="1190">
        <f t="shared" ca="1" si="404"/>
        <v>5293.4026230993941</v>
      </c>
      <c r="U652" s="1190">
        <f t="shared" ca="1" si="404"/>
        <v>6311.5327944863757</v>
      </c>
      <c r="V652" s="1190">
        <f t="shared" ca="1" si="404"/>
        <v>5630.8187429355457</v>
      </c>
      <c r="W652" s="1190">
        <f t="shared" ca="1" si="404"/>
        <v>5575.0691024291682</v>
      </c>
      <c r="X652" s="1190">
        <f t="shared" ca="1" si="404"/>
        <v>5609.3931403785537</v>
      </c>
      <c r="Y652" s="1190">
        <f t="shared" ca="1" si="404"/>
        <v>5835.2182323800798</v>
      </c>
      <c r="Z652" s="1190">
        <f t="shared" ca="1" si="404"/>
        <v>5377.0968881771923</v>
      </c>
      <c r="AA652" s="1190">
        <f t="shared" ca="1" si="404"/>
        <v>5439.0184575042995</v>
      </c>
      <c r="AB652" s="1190">
        <f ca="1">AB650*AB629</f>
        <v>3876.8905018998507</v>
      </c>
      <c r="AC652" s="1190">
        <f ca="1">AC650*AC629</f>
        <v>0</v>
      </c>
      <c r="AD652" s="1190">
        <f ca="1">AD650*AD629</f>
        <v>0</v>
      </c>
      <c r="AE652" s="1190">
        <f ca="1">AE650*AE629</f>
        <v>0</v>
      </c>
      <c r="AF652" s="1190">
        <f ca="1">AF650*AF629</f>
        <v>0</v>
      </c>
      <c r="AG652" s="818"/>
    </row>
    <row r="653" spans="1:33">
      <c r="A653" s="1187" t="s">
        <v>813</v>
      </c>
      <c r="B653" s="665"/>
      <c r="C653" s="1030">
        <f>I628</f>
        <v>0.35</v>
      </c>
      <c r="D653" s="818"/>
      <c r="E653" s="818"/>
      <c r="F653" s="818"/>
      <c r="G653" s="818"/>
      <c r="H653" s="1192">
        <f t="shared" ref="H653:AA653" si="405">(H650-H652)*H628</f>
        <v>0</v>
      </c>
      <c r="I653" s="1192">
        <f t="shared" ca="1" si="405"/>
        <v>2005.5878323001998</v>
      </c>
      <c r="J653" s="1193">
        <f t="shared" ca="1" si="405"/>
        <v>1256.4410319603965</v>
      </c>
      <c r="K653" s="1194">
        <f t="shared" ca="1" si="405"/>
        <v>7850.231652451369</v>
      </c>
      <c r="L653" s="1194">
        <f t="shared" ca="1" si="405"/>
        <v>10902.336975780527</v>
      </c>
      <c r="M653" s="1194">
        <f t="shared" ca="1" si="405"/>
        <v>11483.432641511608</v>
      </c>
      <c r="N653" s="1194">
        <f t="shared" ca="1" si="405"/>
        <v>10104.852202935361</v>
      </c>
      <c r="O653" s="1194">
        <f t="shared" ca="1" si="405"/>
        <v>10328.669126578119</v>
      </c>
      <c r="P653" s="1194">
        <f t="shared" ca="1" si="405"/>
        <v>18541.451412086106</v>
      </c>
      <c r="Q653" s="1194">
        <f t="shared" ca="1" si="405"/>
        <v>19342.770422069239</v>
      </c>
      <c r="R653" s="1194">
        <f t="shared" ca="1" si="405"/>
        <v>20272.731800255759</v>
      </c>
      <c r="S653" s="1194">
        <f t="shared" ca="1" si="405"/>
        <v>21588.678036564012</v>
      </c>
      <c r="T653" s="1194">
        <f t="shared" ca="1" si="405"/>
        <v>19105.35114169788</v>
      </c>
      <c r="U653" s="1194">
        <f t="shared" ca="1" si="405"/>
        <v>22780.063952588491</v>
      </c>
      <c r="V653" s="1194">
        <f t="shared" ca="1" si="405"/>
        <v>20323.179051142703</v>
      </c>
      <c r="W653" s="1194">
        <f t="shared" ca="1" si="405"/>
        <v>20121.963210645365</v>
      </c>
      <c r="X653" s="1194">
        <f t="shared" ca="1" si="405"/>
        <v>20245.848137660418</v>
      </c>
      <c r="Y653" s="1194">
        <f t="shared" ca="1" si="405"/>
        <v>21060.913226506651</v>
      </c>
      <c r="Z653" s="1194">
        <f t="shared" ca="1" si="405"/>
        <v>19407.426845495644</v>
      </c>
      <c r="AA653" s="1194">
        <f t="shared" ca="1" si="405"/>
        <v>19630.918880671059</v>
      </c>
      <c r="AB653" s="1194">
        <f ca="1">(AB650-AB652)*AB628</f>
        <v>13992.76791330505</v>
      </c>
      <c r="AC653" s="1194">
        <f ca="1">(AC650-AC652)*AC628</f>
        <v>0</v>
      </c>
      <c r="AD653" s="1194">
        <f ca="1">(AD650-AD652)*AD628</f>
        <v>0</v>
      </c>
      <c r="AE653" s="1194">
        <f ca="1">(AE650-AE652)*AE628</f>
        <v>0</v>
      </c>
      <c r="AF653" s="1194">
        <f ca="1">(AF650-AF652)*AF628</f>
        <v>0</v>
      </c>
      <c r="AG653" s="818"/>
    </row>
    <row r="654" spans="1:33" ht="12" thickBot="1">
      <c r="A654" s="1187" t="s">
        <v>814</v>
      </c>
      <c r="B654" s="818"/>
      <c r="C654" s="1011"/>
      <c r="D654" s="1011"/>
      <c r="E654" s="1011"/>
      <c r="F654" s="1011"/>
      <c r="G654" s="1011"/>
      <c r="H654" s="1206">
        <f t="shared" ref="H654:AA654" si="406">H652+H653</f>
        <v>0</v>
      </c>
      <c r="I654" s="1206">
        <f t="shared" ca="1" si="406"/>
        <v>2561.2637690372953</v>
      </c>
      <c r="J654" s="1207">
        <f t="shared" ca="1" si="406"/>
        <v>1604.5554531517055</v>
      </c>
      <c r="K654" s="1206">
        <f t="shared" ca="1" si="406"/>
        <v>10025.247254772879</v>
      </c>
      <c r="L654" s="1206">
        <f t="shared" ca="1" si="406"/>
        <v>13922.980706298295</v>
      </c>
      <c r="M654" s="1206">
        <f t="shared" ca="1" si="406"/>
        <v>14665.076988999937</v>
      </c>
      <c r="N654" s="1206">
        <f t="shared" ca="1" si="406"/>
        <v>12904.541711928923</v>
      </c>
      <c r="O654" s="1206">
        <f t="shared" ca="1" si="406"/>
        <v>13190.370219756536</v>
      </c>
      <c r="P654" s="1206">
        <f t="shared" ca="1" si="406"/>
        <v>23678.617790912696</v>
      </c>
      <c r="Q654" s="1206">
        <f t="shared" ca="1" si="406"/>
        <v>24701.95335101966</v>
      </c>
      <c r="R654" s="1206">
        <f t="shared" ca="1" si="406"/>
        <v>25889.573432370751</v>
      </c>
      <c r="S654" s="1206">
        <f t="shared" ca="1" si="406"/>
        <v>27570.120832377521</v>
      </c>
      <c r="T654" s="1206">
        <f t="shared" ca="1" si="406"/>
        <v>24398.753764797275</v>
      </c>
      <c r="U654" s="1206">
        <f t="shared" ca="1" si="406"/>
        <v>29091.596747074866</v>
      </c>
      <c r="V654" s="1206">
        <f t="shared" ca="1" si="406"/>
        <v>25953.997794078248</v>
      </c>
      <c r="W654" s="1206">
        <f t="shared" ca="1" si="406"/>
        <v>25697.032313074531</v>
      </c>
      <c r="X654" s="1206">
        <f t="shared" ca="1" si="406"/>
        <v>25855.241278038971</v>
      </c>
      <c r="Y654" s="1206">
        <f t="shared" ca="1" si="406"/>
        <v>26896.131458886732</v>
      </c>
      <c r="Z654" s="1206">
        <f t="shared" ca="1" si="406"/>
        <v>24784.523733672835</v>
      </c>
      <c r="AA654" s="1206">
        <f t="shared" ca="1" si="406"/>
        <v>25069.937338175358</v>
      </c>
      <c r="AB654" s="1206">
        <f ca="1">AB652+AB653</f>
        <v>17869.6584152049</v>
      </c>
      <c r="AC654" s="1206">
        <f ca="1">AC652+AC653</f>
        <v>0</v>
      </c>
      <c r="AD654" s="1206">
        <f ca="1">AD652+AD653</f>
        <v>0</v>
      </c>
      <c r="AE654" s="1206">
        <f ca="1">AE652+AE653</f>
        <v>0</v>
      </c>
      <c r="AF654" s="1206">
        <f ca="1">AF652+AF653</f>
        <v>0</v>
      </c>
      <c r="AG654" s="818"/>
    </row>
    <row r="655" spans="1:33" ht="12" thickTop="1">
      <c r="A655" s="1187"/>
      <c r="B655" s="818"/>
      <c r="C655" s="818"/>
      <c r="D655" s="818"/>
      <c r="E655" s="818"/>
      <c r="F655" s="818"/>
      <c r="G655" s="818"/>
      <c r="H655" s="1194"/>
      <c r="I655" s="1194"/>
      <c r="J655" s="1193"/>
      <c r="K655" s="1194"/>
      <c r="L655" s="1194"/>
      <c r="M655" s="1194"/>
      <c r="N655" s="1194"/>
      <c r="O655" s="1194"/>
      <c r="P655" s="1194"/>
      <c r="Q655" s="1194"/>
      <c r="R655" s="1194"/>
      <c r="S655" s="1194"/>
      <c r="T655" s="1194"/>
      <c r="U655" s="1194"/>
      <c r="V655" s="1194"/>
      <c r="W655" s="1194"/>
      <c r="X655" s="1194"/>
      <c r="Y655" s="1194"/>
      <c r="Z655" s="1194"/>
      <c r="AA655" s="1194"/>
      <c r="AB655" s="1194"/>
      <c r="AC655" s="1194"/>
      <c r="AD655" s="1194"/>
      <c r="AE655" s="1194"/>
      <c r="AF655" s="1194"/>
      <c r="AG655" s="818"/>
    </row>
    <row r="656" spans="1:33">
      <c r="A656" s="1185" t="s">
        <v>815</v>
      </c>
      <c r="B656" s="818"/>
      <c r="C656" s="1011"/>
      <c r="D656" s="1011"/>
      <c r="E656" s="1011"/>
      <c r="F656" s="1011"/>
      <c r="G656" s="1011"/>
      <c r="H656" s="1208"/>
      <c r="I656" s="1208"/>
      <c r="J656" s="1209"/>
      <c r="K656" s="1190"/>
      <c r="L656" s="1190"/>
      <c r="M656" s="1190"/>
      <c r="N656" s="1190"/>
      <c r="O656" s="1190"/>
      <c r="P656" s="1190"/>
      <c r="Q656" s="1190"/>
      <c r="R656" s="1190"/>
      <c r="S656" s="1190"/>
      <c r="T656" s="1194"/>
      <c r="U656" s="1194"/>
      <c r="V656" s="1194"/>
      <c r="W656" s="1194"/>
      <c r="X656" s="1194"/>
      <c r="Y656" s="1194"/>
      <c r="Z656" s="1194"/>
      <c r="AA656" s="1194"/>
      <c r="AB656" s="1194"/>
      <c r="AC656" s="1194"/>
      <c r="AD656" s="1194"/>
      <c r="AE656" s="1194"/>
      <c r="AF656" s="1194"/>
      <c r="AG656" s="818"/>
    </row>
    <row r="657" spans="1:33">
      <c r="A657" s="1187" t="str">
        <f>A636</f>
        <v>Income before Taxes</v>
      </c>
      <c r="B657" s="818"/>
      <c r="C657" s="1011"/>
      <c r="D657" s="1011"/>
      <c r="E657" s="1011"/>
      <c r="F657" s="1011"/>
      <c r="G657" s="1011"/>
      <c r="H657" s="1188">
        <f>H314</f>
        <v>0</v>
      </c>
      <c r="I657" s="1188">
        <f ca="1">I314</f>
        <v>12281.390840316231</v>
      </c>
      <c r="J657" s="1209">
        <f t="shared" ref="J657:AA657" ca="1" si="407">J314</f>
        <v>14581.093552485239</v>
      </c>
      <c r="K657" s="1188">
        <f t="shared" ca="1" si="407"/>
        <v>32647.763335927339</v>
      </c>
      <c r="L657" s="1188">
        <f t="shared" ca="1" si="407"/>
        <v>39815.506806261197</v>
      </c>
      <c r="M657" s="1188">
        <f t="shared" ca="1" si="407"/>
        <v>39411.264534111506</v>
      </c>
      <c r="N657" s="1188">
        <f t="shared" ca="1" si="407"/>
        <v>33037.661584640795</v>
      </c>
      <c r="O657" s="1188">
        <f t="shared" ca="1" si="407"/>
        <v>31834.990741681198</v>
      </c>
      <c r="P657" s="1188">
        <f t="shared" ca="1" si="407"/>
        <v>55820.07642586279</v>
      </c>
      <c r="Q657" s="1188">
        <f t="shared" ca="1" si="407"/>
        <v>58043.793591853537</v>
      </c>
      <c r="R657" s="1188">
        <f t="shared" ca="1" si="407"/>
        <v>60953.688432959112</v>
      </c>
      <c r="S657" s="1188">
        <f t="shared" ca="1" si="407"/>
        <v>65082.932357273108</v>
      </c>
      <c r="T657" s="1188">
        <f t="shared" ca="1" si="407"/>
        <v>57294.87611377814</v>
      </c>
      <c r="U657" s="1188">
        <f t="shared" ca="1" si="407"/>
        <v>68816.982116015919</v>
      </c>
      <c r="V657" s="1188">
        <f t="shared" ca="1" si="407"/>
        <v>61111.800546313789</v>
      </c>
      <c r="W657" s="1188">
        <f t="shared" ca="1" si="407"/>
        <v>60485.944875549765</v>
      </c>
      <c r="X657" s="1188">
        <f t="shared" ca="1" si="407"/>
        <v>60869.429476664562</v>
      </c>
      <c r="Y657" s="1188">
        <f t="shared" ca="1" si="407"/>
        <v>63428.808336532937</v>
      </c>
      <c r="Z657" s="1188">
        <f t="shared" ca="1" si="407"/>
        <v>58241.643818278128</v>
      </c>
      <c r="AA657" s="1188">
        <f t="shared" ca="1" si="407"/>
        <v>58946.910430698321</v>
      </c>
      <c r="AB657" s="1188">
        <f ca="1">AB314</f>
        <v>41270.983340027655</v>
      </c>
      <c r="AC657" s="1188">
        <f ca="1">AC314</f>
        <v>-38198.703782627912</v>
      </c>
      <c r="AD657" s="1188">
        <f ca="1">AD314</f>
        <v>-26501.916163709921</v>
      </c>
      <c r="AE657" s="1188">
        <f ca="1">AE314</f>
        <v>-27031.954486984119</v>
      </c>
      <c r="AF657" s="1188">
        <f ca="1">AF314</f>
        <v>-27572.593576723819</v>
      </c>
      <c r="AG657" s="818"/>
    </row>
    <row r="658" spans="1:33">
      <c r="A658" s="1187" t="s">
        <v>816</v>
      </c>
      <c r="B658" s="818"/>
      <c r="C658" s="1011"/>
      <c r="D658" s="1011"/>
      <c r="E658" s="1011"/>
      <c r="F658" s="1011"/>
      <c r="G658" s="1011"/>
      <c r="H658" s="1188">
        <f t="shared" ref="H658:AA658" si="408">H657</f>
        <v>0</v>
      </c>
      <c r="I658" s="1188">
        <f t="shared" ca="1" si="408"/>
        <v>12281.390840316231</v>
      </c>
      <c r="J658" s="1189">
        <f t="shared" ca="1" si="408"/>
        <v>14581.093552485239</v>
      </c>
      <c r="K658" s="1188">
        <f t="shared" ca="1" si="408"/>
        <v>32647.763335927339</v>
      </c>
      <c r="L658" s="1188">
        <f t="shared" ca="1" si="408"/>
        <v>39815.506806261197</v>
      </c>
      <c r="M658" s="1188">
        <f t="shared" ca="1" si="408"/>
        <v>39411.264534111506</v>
      </c>
      <c r="N658" s="1188">
        <f t="shared" ca="1" si="408"/>
        <v>33037.661584640795</v>
      </c>
      <c r="O658" s="1188">
        <f t="shared" ca="1" si="408"/>
        <v>31834.990741681198</v>
      </c>
      <c r="P658" s="1188">
        <f t="shared" ca="1" si="408"/>
        <v>55820.07642586279</v>
      </c>
      <c r="Q658" s="1188">
        <f t="shared" ca="1" si="408"/>
        <v>58043.793591853537</v>
      </c>
      <c r="R658" s="1188">
        <f t="shared" ca="1" si="408"/>
        <v>60953.688432959112</v>
      </c>
      <c r="S658" s="1188">
        <f t="shared" ca="1" si="408"/>
        <v>65082.932357273108</v>
      </c>
      <c r="T658" s="1188">
        <f t="shared" ca="1" si="408"/>
        <v>57294.87611377814</v>
      </c>
      <c r="U658" s="1188">
        <f t="shared" ca="1" si="408"/>
        <v>68816.982116015919</v>
      </c>
      <c r="V658" s="1188">
        <f t="shared" ca="1" si="408"/>
        <v>61111.800546313789</v>
      </c>
      <c r="W658" s="1188">
        <f t="shared" ca="1" si="408"/>
        <v>60485.944875549765</v>
      </c>
      <c r="X658" s="1188">
        <f t="shared" ca="1" si="408"/>
        <v>60869.429476664562</v>
      </c>
      <c r="Y658" s="1188">
        <f t="shared" ca="1" si="408"/>
        <v>63428.808336532937</v>
      </c>
      <c r="Z658" s="1188">
        <f t="shared" ca="1" si="408"/>
        <v>58241.643818278128</v>
      </c>
      <c r="AA658" s="1188">
        <f t="shared" ca="1" si="408"/>
        <v>58946.910430698321</v>
      </c>
      <c r="AB658" s="1188">
        <f ca="1">AB657</f>
        <v>41270.983340027655</v>
      </c>
      <c r="AC658" s="1188">
        <f ca="1">AC657</f>
        <v>-38198.703782627912</v>
      </c>
      <c r="AD658" s="1188">
        <f ca="1">AD657</f>
        <v>-26501.916163709921</v>
      </c>
      <c r="AE658" s="1188">
        <f ca="1">AE657</f>
        <v>-27031.954486984119</v>
      </c>
      <c r="AF658" s="1188">
        <f ca="1">AF657</f>
        <v>-27572.593576723819</v>
      </c>
      <c r="AG658" s="818"/>
    </row>
    <row r="659" spans="1:33">
      <c r="A659" s="1187"/>
      <c r="B659" s="818"/>
      <c r="C659" s="1011"/>
      <c r="D659" s="1011"/>
      <c r="E659" s="1011"/>
      <c r="F659" s="1011"/>
      <c r="G659" s="1011"/>
      <c r="H659" s="1190"/>
      <c r="I659" s="1188"/>
      <c r="J659" s="1189"/>
      <c r="K659" s="1190"/>
      <c r="L659" s="1190"/>
      <c r="M659" s="1190"/>
      <c r="N659" s="1190"/>
      <c r="O659" s="1190"/>
      <c r="P659" s="1190"/>
      <c r="Q659" s="1190"/>
      <c r="R659" s="1190"/>
      <c r="S659" s="1190"/>
      <c r="T659" s="1190"/>
      <c r="U659" s="1190"/>
      <c r="V659" s="1190"/>
      <c r="W659" s="1190"/>
      <c r="X659" s="1190"/>
      <c r="Y659" s="1190"/>
      <c r="Z659" s="1190"/>
      <c r="AA659" s="1190"/>
      <c r="AB659" s="1190"/>
      <c r="AC659" s="1190"/>
      <c r="AD659" s="1190"/>
      <c r="AE659" s="1190"/>
      <c r="AF659" s="1190"/>
      <c r="AG659" s="818"/>
    </row>
    <row r="660" spans="1:33" s="665" customFormat="1">
      <c r="A660" s="1004" t="s">
        <v>805</v>
      </c>
      <c r="B660" s="1004"/>
      <c r="C660" s="1004"/>
      <c r="D660" s="1004"/>
      <c r="E660" s="1004"/>
      <c r="F660" s="1004"/>
      <c r="G660" s="1004"/>
      <c r="H660" s="1197">
        <f>G636</f>
        <v>0</v>
      </c>
      <c r="I660" s="1197">
        <f t="shared" ref="I660:AA660" si="409">H665</f>
        <v>0</v>
      </c>
      <c r="J660" s="1198">
        <f t="shared" ca="1" si="409"/>
        <v>0</v>
      </c>
      <c r="K660" s="1199">
        <f t="shared" ca="1" si="409"/>
        <v>0</v>
      </c>
      <c r="L660" s="1199">
        <f t="shared" ca="1" si="409"/>
        <v>0</v>
      </c>
      <c r="M660" s="1199">
        <f t="shared" ca="1" si="409"/>
        <v>0</v>
      </c>
      <c r="N660" s="1199">
        <f t="shared" ca="1" si="409"/>
        <v>0</v>
      </c>
      <c r="O660" s="1199">
        <f t="shared" ca="1" si="409"/>
        <v>0</v>
      </c>
      <c r="P660" s="1199">
        <f t="shared" ca="1" si="409"/>
        <v>0</v>
      </c>
      <c r="Q660" s="1199">
        <f t="shared" ca="1" si="409"/>
        <v>0</v>
      </c>
      <c r="R660" s="1199">
        <f t="shared" ca="1" si="409"/>
        <v>0</v>
      </c>
      <c r="S660" s="1199">
        <f t="shared" ca="1" si="409"/>
        <v>0</v>
      </c>
      <c r="T660" s="1199">
        <f t="shared" ca="1" si="409"/>
        <v>0</v>
      </c>
      <c r="U660" s="1199">
        <f t="shared" ca="1" si="409"/>
        <v>0</v>
      </c>
      <c r="V660" s="1199">
        <f t="shared" ca="1" si="409"/>
        <v>0</v>
      </c>
      <c r="W660" s="1199">
        <f t="shared" ca="1" si="409"/>
        <v>0</v>
      </c>
      <c r="X660" s="1199">
        <f t="shared" ca="1" si="409"/>
        <v>0</v>
      </c>
      <c r="Y660" s="1199">
        <f t="shared" ca="1" si="409"/>
        <v>0</v>
      </c>
      <c r="Z660" s="1199">
        <f t="shared" ca="1" si="409"/>
        <v>0</v>
      </c>
      <c r="AA660" s="1199">
        <f t="shared" ca="1" si="409"/>
        <v>0</v>
      </c>
      <c r="AB660" s="1199">
        <f ca="1">AA665</f>
        <v>0</v>
      </c>
      <c r="AC660" s="1199">
        <f ca="1">AB665</f>
        <v>0</v>
      </c>
      <c r="AD660" s="1199">
        <f ca="1">AC665</f>
        <v>38198.703782627912</v>
      </c>
      <c r="AE660" s="1199">
        <f ca="1">AD665</f>
        <v>64700.619946337829</v>
      </c>
      <c r="AF660" s="1199">
        <f ca="1">AE665</f>
        <v>91732.574433321992</v>
      </c>
    </row>
    <row r="661" spans="1:33" s="665" customFormat="1">
      <c r="A661" s="746" t="s">
        <v>806</v>
      </c>
      <c r="B661" s="1004"/>
      <c r="C661" s="1004"/>
      <c r="D661" s="1004"/>
      <c r="E661" s="1004"/>
      <c r="F661" s="1004"/>
      <c r="G661" s="1004"/>
      <c r="H661" s="1200">
        <v>0</v>
      </c>
      <c r="I661" s="1200">
        <v>0</v>
      </c>
      <c r="J661" s="1201">
        <v>0</v>
      </c>
      <c r="K661" s="1202">
        <v>0</v>
      </c>
      <c r="L661" s="1202">
        <v>0</v>
      </c>
      <c r="M661" s="1202">
        <v>0</v>
      </c>
      <c r="N661" s="1202">
        <v>0</v>
      </c>
      <c r="O661" s="1202">
        <v>0</v>
      </c>
      <c r="P661" s="1202">
        <v>0</v>
      </c>
      <c r="Q661" s="1202">
        <v>0</v>
      </c>
      <c r="R661" s="1202">
        <v>0</v>
      </c>
      <c r="S661" s="1202">
        <v>0</v>
      </c>
      <c r="T661" s="1202">
        <v>0</v>
      </c>
      <c r="U661" s="1202">
        <v>0</v>
      </c>
      <c r="V661" s="1202">
        <v>0</v>
      </c>
      <c r="W661" s="1202">
        <v>0</v>
      </c>
      <c r="X661" s="1202">
        <v>0</v>
      </c>
      <c r="Y661" s="1202">
        <v>0</v>
      </c>
      <c r="Z661" s="1202">
        <v>0</v>
      </c>
      <c r="AA661" s="1202">
        <v>0</v>
      </c>
      <c r="AB661" s="1202">
        <v>0</v>
      </c>
      <c r="AC661" s="1202">
        <v>0</v>
      </c>
      <c r="AD661" s="1202">
        <v>0</v>
      </c>
      <c r="AE661" s="1202">
        <v>0</v>
      </c>
      <c r="AF661" s="1202">
        <v>0</v>
      </c>
    </row>
    <row r="662" spans="1:33" s="665" customFormat="1">
      <c r="A662" s="746" t="s">
        <v>807</v>
      </c>
      <c r="B662" s="1004"/>
      <c r="C662" s="1004"/>
      <c r="D662" s="1004"/>
      <c r="E662" s="1004"/>
      <c r="F662" s="1004"/>
      <c r="G662" s="1004"/>
      <c r="H662" s="1197">
        <f t="shared" ref="H662:AA662" si="410">IF(H660-H661&lt;0,0,H660-H661)</f>
        <v>0</v>
      </c>
      <c r="I662" s="1197">
        <f t="shared" si="410"/>
        <v>0</v>
      </c>
      <c r="J662" s="1198">
        <f t="shared" ca="1" si="410"/>
        <v>0</v>
      </c>
      <c r="K662" s="1197">
        <f t="shared" ca="1" si="410"/>
        <v>0</v>
      </c>
      <c r="L662" s="1197">
        <f t="shared" ca="1" si="410"/>
        <v>0</v>
      </c>
      <c r="M662" s="1197">
        <f t="shared" ca="1" si="410"/>
        <v>0</v>
      </c>
      <c r="N662" s="1197">
        <f t="shared" ca="1" si="410"/>
        <v>0</v>
      </c>
      <c r="O662" s="1197">
        <f t="shared" ca="1" si="410"/>
        <v>0</v>
      </c>
      <c r="P662" s="1197">
        <f t="shared" ca="1" si="410"/>
        <v>0</v>
      </c>
      <c r="Q662" s="1197">
        <f t="shared" ca="1" si="410"/>
        <v>0</v>
      </c>
      <c r="R662" s="1197">
        <f t="shared" ca="1" si="410"/>
        <v>0</v>
      </c>
      <c r="S662" s="1197">
        <f t="shared" ca="1" si="410"/>
        <v>0</v>
      </c>
      <c r="T662" s="1197">
        <f t="shared" ca="1" si="410"/>
        <v>0</v>
      </c>
      <c r="U662" s="1197">
        <f t="shared" ca="1" si="410"/>
        <v>0</v>
      </c>
      <c r="V662" s="1197">
        <f t="shared" ca="1" si="410"/>
        <v>0</v>
      </c>
      <c r="W662" s="1197">
        <f t="shared" ca="1" si="410"/>
        <v>0</v>
      </c>
      <c r="X662" s="1197">
        <f t="shared" ca="1" si="410"/>
        <v>0</v>
      </c>
      <c r="Y662" s="1197">
        <f t="shared" ca="1" si="410"/>
        <v>0</v>
      </c>
      <c r="Z662" s="1197">
        <f t="shared" ca="1" si="410"/>
        <v>0</v>
      </c>
      <c r="AA662" s="1197">
        <f t="shared" ca="1" si="410"/>
        <v>0</v>
      </c>
      <c r="AB662" s="1197">
        <f ca="1">IF(AB660-AB661&lt;0,0,AB660-AB661)</f>
        <v>0</v>
      </c>
      <c r="AC662" s="1197">
        <f ca="1">IF(AC660-AC661&lt;0,0,AC660-AC661)</f>
        <v>0</v>
      </c>
      <c r="AD662" s="1197">
        <f ca="1">IF(AD660-AD661&lt;0,0,AD660-AD661)</f>
        <v>38198.703782627912</v>
      </c>
      <c r="AE662" s="1197">
        <f ca="1">IF(AE660-AE661&lt;0,0,AE660-AE661)</f>
        <v>64700.619946337829</v>
      </c>
      <c r="AF662" s="1197">
        <f ca="1">IF(AF660-AF661&lt;0,0,AF660-AF661)</f>
        <v>91732.574433321992</v>
      </c>
    </row>
    <row r="663" spans="1:33" s="665" customFormat="1">
      <c r="A663" s="746" t="s">
        <v>808</v>
      </c>
      <c r="B663" s="1004"/>
      <c r="C663" s="1004"/>
      <c r="D663" s="1004"/>
      <c r="E663" s="1004"/>
      <c r="F663" s="1004"/>
      <c r="G663" s="1004"/>
      <c r="H663" s="1197">
        <f>IF(H658&lt;=0,H658,0)</f>
        <v>0</v>
      </c>
      <c r="I663" s="1197">
        <f t="shared" ref="I663:AA663" ca="1" si="411">IF(I658&lt;=0,I658,0)</f>
        <v>0</v>
      </c>
      <c r="J663" s="1198">
        <f t="shared" ca="1" si="411"/>
        <v>0</v>
      </c>
      <c r="K663" s="1197">
        <f t="shared" ca="1" si="411"/>
        <v>0</v>
      </c>
      <c r="L663" s="1197">
        <f t="shared" ca="1" si="411"/>
        <v>0</v>
      </c>
      <c r="M663" s="1197">
        <f t="shared" ca="1" si="411"/>
        <v>0</v>
      </c>
      <c r="N663" s="1197">
        <f t="shared" ca="1" si="411"/>
        <v>0</v>
      </c>
      <c r="O663" s="1197">
        <f t="shared" ca="1" si="411"/>
        <v>0</v>
      </c>
      <c r="P663" s="1197">
        <f t="shared" ca="1" si="411"/>
        <v>0</v>
      </c>
      <c r="Q663" s="1197">
        <f t="shared" ca="1" si="411"/>
        <v>0</v>
      </c>
      <c r="R663" s="1197">
        <f t="shared" ca="1" si="411"/>
        <v>0</v>
      </c>
      <c r="S663" s="1197">
        <f t="shared" ca="1" si="411"/>
        <v>0</v>
      </c>
      <c r="T663" s="1197">
        <f t="shared" ca="1" si="411"/>
        <v>0</v>
      </c>
      <c r="U663" s="1197">
        <f t="shared" ca="1" si="411"/>
        <v>0</v>
      </c>
      <c r="V663" s="1197">
        <f t="shared" ca="1" si="411"/>
        <v>0</v>
      </c>
      <c r="W663" s="1197">
        <f t="shared" ca="1" si="411"/>
        <v>0</v>
      </c>
      <c r="X663" s="1197">
        <f t="shared" ca="1" si="411"/>
        <v>0</v>
      </c>
      <c r="Y663" s="1197">
        <f t="shared" ca="1" si="411"/>
        <v>0</v>
      </c>
      <c r="Z663" s="1197">
        <f t="shared" ca="1" si="411"/>
        <v>0</v>
      </c>
      <c r="AA663" s="1197">
        <f t="shared" ca="1" si="411"/>
        <v>0</v>
      </c>
      <c r="AB663" s="1197">
        <f ca="1">IF(AB658&lt;=0,AB658,0)</f>
        <v>0</v>
      </c>
      <c r="AC663" s="1197">
        <f ca="1">IF(AC658&lt;=0,AC658,0)</f>
        <v>-38198.703782627912</v>
      </c>
      <c r="AD663" s="1197">
        <f ca="1">IF(AD658&lt;=0,AD658,0)</f>
        <v>-26501.916163709921</v>
      </c>
      <c r="AE663" s="1197">
        <f ca="1">IF(AE658&lt;=0,AE658,0)</f>
        <v>-27031.954486984119</v>
      </c>
      <c r="AF663" s="1197">
        <f ca="1">IF(AF658&lt;=0,AF658,0)</f>
        <v>-27572.593576723819</v>
      </c>
    </row>
    <row r="664" spans="1:33" s="665" customFormat="1">
      <c r="A664" s="746" t="s">
        <v>809</v>
      </c>
      <c r="B664" s="1004"/>
      <c r="C664" s="1004"/>
      <c r="D664" s="1004"/>
      <c r="E664" s="1004"/>
      <c r="F664" s="1004"/>
      <c r="G664" s="1004"/>
      <c r="H664" s="1197">
        <f>IF(H658&gt;0,IF(H662&lt;=H658,H662,H658),0)</f>
        <v>0</v>
      </c>
      <c r="I664" s="1197">
        <f t="shared" ref="I664:AA664" ca="1" si="412">IF(I658&gt;0,IF(I662&lt;=I658,I662,I658),0)</f>
        <v>0</v>
      </c>
      <c r="J664" s="1198">
        <f t="shared" ca="1" si="412"/>
        <v>0</v>
      </c>
      <c r="K664" s="1197">
        <f t="shared" ca="1" si="412"/>
        <v>0</v>
      </c>
      <c r="L664" s="1197">
        <f t="shared" ca="1" si="412"/>
        <v>0</v>
      </c>
      <c r="M664" s="1197">
        <f t="shared" ca="1" si="412"/>
        <v>0</v>
      </c>
      <c r="N664" s="1197">
        <f t="shared" ca="1" si="412"/>
        <v>0</v>
      </c>
      <c r="O664" s="1197">
        <f t="shared" ca="1" si="412"/>
        <v>0</v>
      </c>
      <c r="P664" s="1197">
        <f t="shared" ca="1" si="412"/>
        <v>0</v>
      </c>
      <c r="Q664" s="1197">
        <f t="shared" ca="1" si="412"/>
        <v>0</v>
      </c>
      <c r="R664" s="1197">
        <f t="shared" ca="1" si="412"/>
        <v>0</v>
      </c>
      <c r="S664" s="1197">
        <f t="shared" ca="1" si="412"/>
        <v>0</v>
      </c>
      <c r="T664" s="1197">
        <f t="shared" ca="1" si="412"/>
        <v>0</v>
      </c>
      <c r="U664" s="1197">
        <f t="shared" ca="1" si="412"/>
        <v>0</v>
      </c>
      <c r="V664" s="1197">
        <f t="shared" ca="1" si="412"/>
        <v>0</v>
      </c>
      <c r="W664" s="1197">
        <f t="shared" ca="1" si="412"/>
        <v>0</v>
      </c>
      <c r="X664" s="1197">
        <f t="shared" ca="1" si="412"/>
        <v>0</v>
      </c>
      <c r="Y664" s="1197">
        <f t="shared" ca="1" si="412"/>
        <v>0</v>
      </c>
      <c r="Z664" s="1197">
        <f t="shared" ca="1" si="412"/>
        <v>0</v>
      </c>
      <c r="AA664" s="1197">
        <f t="shared" ca="1" si="412"/>
        <v>0</v>
      </c>
      <c r="AB664" s="1197">
        <f ca="1">IF(AB658&gt;0,IF(AB662&lt;=AB658,AB662,AB658),0)</f>
        <v>0</v>
      </c>
      <c r="AC664" s="1197">
        <f ca="1">IF(AC658&gt;0,IF(AC662&lt;=AC658,AC662,AC658),0)</f>
        <v>0</v>
      </c>
      <c r="AD664" s="1197">
        <f ca="1">IF(AD658&gt;0,IF(AD662&lt;=AD658,AD662,AD658),0)</f>
        <v>0</v>
      </c>
      <c r="AE664" s="1197">
        <f ca="1">IF(AE658&gt;0,IF(AE662&lt;=AE658,AE662,AE658),0)</f>
        <v>0</v>
      </c>
      <c r="AF664" s="1197">
        <f ca="1">IF(AF658&gt;0,IF(AF662&lt;=AF658,AF662,AF658),0)</f>
        <v>0</v>
      </c>
    </row>
    <row r="665" spans="1:33" s="665" customFormat="1">
      <c r="A665" s="746" t="s">
        <v>810</v>
      </c>
      <c r="B665" s="1004"/>
      <c r="C665" s="1004"/>
      <c r="D665" s="1004"/>
      <c r="E665" s="1004"/>
      <c r="F665" s="1004"/>
      <c r="G665" s="1004"/>
      <c r="H665" s="1203">
        <f t="shared" ref="H665:AA665" si="413">IF(H662-H663-H664&lt;0,0,H662-H663-H664)</f>
        <v>0</v>
      </c>
      <c r="I665" s="1203">
        <f t="shared" ca="1" si="413"/>
        <v>0</v>
      </c>
      <c r="J665" s="1204">
        <f t="shared" ca="1" si="413"/>
        <v>0</v>
      </c>
      <c r="K665" s="1203">
        <f t="shared" ca="1" si="413"/>
        <v>0</v>
      </c>
      <c r="L665" s="1203">
        <f t="shared" ca="1" si="413"/>
        <v>0</v>
      </c>
      <c r="M665" s="1203">
        <f t="shared" ca="1" si="413"/>
        <v>0</v>
      </c>
      <c r="N665" s="1203">
        <f t="shared" ca="1" si="413"/>
        <v>0</v>
      </c>
      <c r="O665" s="1203">
        <f t="shared" ca="1" si="413"/>
        <v>0</v>
      </c>
      <c r="P665" s="1203">
        <f t="shared" ca="1" si="413"/>
        <v>0</v>
      </c>
      <c r="Q665" s="1203">
        <f t="shared" ca="1" si="413"/>
        <v>0</v>
      </c>
      <c r="R665" s="1203">
        <f t="shared" ca="1" si="413"/>
        <v>0</v>
      </c>
      <c r="S665" s="1203">
        <f t="shared" ca="1" si="413"/>
        <v>0</v>
      </c>
      <c r="T665" s="1203">
        <f t="shared" ca="1" si="413"/>
        <v>0</v>
      </c>
      <c r="U665" s="1203">
        <f t="shared" ca="1" si="413"/>
        <v>0</v>
      </c>
      <c r="V665" s="1203">
        <f t="shared" ca="1" si="413"/>
        <v>0</v>
      </c>
      <c r="W665" s="1203">
        <f t="shared" ca="1" si="413"/>
        <v>0</v>
      </c>
      <c r="X665" s="1203">
        <f t="shared" ca="1" si="413"/>
        <v>0</v>
      </c>
      <c r="Y665" s="1203">
        <f t="shared" ca="1" si="413"/>
        <v>0</v>
      </c>
      <c r="Z665" s="1203">
        <f t="shared" ca="1" si="413"/>
        <v>0</v>
      </c>
      <c r="AA665" s="1203">
        <f t="shared" ca="1" si="413"/>
        <v>0</v>
      </c>
      <c r="AB665" s="1203">
        <f ca="1">IF(AB662-AB663-AB664&lt;0,0,AB662-AB663-AB664)</f>
        <v>0</v>
      </c>
      <c r="AC665" s="1203">
        <f ca="1">IF(AC662-AC663-AC664&lt;0,0,AC662-AC663-AC664)</f>
        <v>38198.703782627912</v>
      </c>
      <c r="AD665" s="1203">
        <f ca="1">IF(AD662-AD663-AD664&lt;0,0,AD662-AD663-AD664)</f>
        <v>64700.619946337829</v>
      </c>
      <c r="AE665" s="1203">
        <f ca="1">IF(AE662-AE663-AE664&lt;0,0,AE662-AE663-AE664)</f>
        <v>91732.574433321948</v>
      </c>
      <c r="AF665" s="1203">
        <f ca="1">IF(AF662-AF663-AF664&lt;0,0,AF662-AF663-AF664)</f>
        <v>119305.1680100458</v>
      </c>
    </row>
    <row r="666" spans="1:33">
      <c r="A666" s="1205"/>
      <c r="B666" s="818"/>
      <c r="C666" s="818"/>
      <c r="D666" s="818"/>
      <c r="E666" s="818"/>
      <c r="F666" s="818"/>
      <c r="G666" s="818"/>
      <c r="H666" s="1192"/>
      <c r="I666" s="1192"/>
      <c r="J666" s="1193"/>
      <c r="K666" s="1192"/>
      <c r="L666" s="1192"/>
      <c r="M666" s="1192"/>
      <c r="N666" s="1192"/>
      <c r="O666" s="1192"/>
      <c r="P666" s="1192"/>
      <c r="Q666" s="1192"/>
      <c r="R666" s="1192"/>
      <c r="S666" s="1192"/>
      <c r="T666" s="1192"/>
      <c r="U666" s="1192"/>
      <c r="V666" s="1192"/>
      <c r="W666" s="1192"/>
      <c r="X666" s="1192"/>
      <c r="Y666" s="1192"/>
      <c r="Z666" s="1192"/>
      <c r="AA666" s="1192"/>
      <c r="AB666" s="1192"/>
      <c r="AC666" s="1192"/>
      <c r="AD666" s="1192"/>
      <c r="AE666" s="1192"/>
      <c r="AF666" s="1192"/>
      <c r="AG666" s="818"/>
    </row>
    <row r="667" spans="1:33">
      <c r="A667" s="1187" t="s">
        <v>817</v>
      </c>
      <c r="B667" s="818"/>
      <c r="C667" s="818"/>
      <c r="D667" s="818"/>
      <c r="E667" s="818"/>
      <c r="F667" s="818"/>
      <c r="G667" s="818"/>
      <c r="H667" s="1192">
        <f>IF(H658&lt;=0,0,H658-H664)</f>
        <v>0</v>
      </c>
      <c r="I667" s="1192">
        <f t="shared" ref="I667:AA667" ca="1" si="414">IF(I658&lt;=0,0,I658-I664)</f>
        <v>12281.390840316231</v>
      </c>
      <c r="J667" s="1193">
        <f t="shared" ca="1" si="414"/>
        <v>14581.093552485239</v>
      </c>
      <c r="K667" s="1192">
        <f t="shared" ca="1" si="414"/>
        <v>32647.763335927339</v>
      </c>
      <c r="L667" s="1192">
        <f t="shared" ca="1" si="414"/>
        <v>39815.506806261197</v>
      </c>
      <c r="M667" s="1192">
        <f t="shared" ca="1" si="414"/>
        <v>39411.264534111506</v>
      </c>
      <c r="N667" s="1192">
        <f t="shared" ca="1" si="414"/>
        <v>33037.661584640795</v>
      </c>
      <c r="O667" s="1192">
        <f t="shared" ca="1" si="414"/>
        <v>31834.990741681198</v>
      </c>
      <c r="P667" s="1192">
        <f t="shared" ca="1" si="414"/>
        <v>55820.07642586279</v>
      </c>
      <c r="Q667" s="1192">
        <f t="shared" ca="1" si="414"/>
        <v>58043.793591853537</v>
      </c>
      <c r="R667" s="1192">
        <f t="shared" ca="1" si="414"/>
        <v>60953.688432959112</v>
      </c>
      <c r="S667" s="1192">
        <f t="shared" ca="1" si="414"/>
        <v>65082.932357273108</v>
      </c>
      <c r="T667" s="1192">
        <f t="shared" ca="1" si="414"/>
        <v>57294.87611377814</v>
      </c>
      <c r="U667" s="1192">
        <f t="shared" ca="1" si="414"/>
        <v>68816.982116015919</v>
      </c>
      <c r="V667" s="1192">
        <f t="shared" ca="1" si="414"/>
        <v>61111.800546313789</v>
      </c>
      <c r="W667" s="1192">
        <f t="shared" ca="1" si="414"/>
        <v>60485.944875549765</v>
      </c>
      <c r="X667" s="1192">
        <f t="shared" ca="1" si="414"/>
        <v>60869.429476664562</v>
      </c>
      <c r="Y667" s="1192">
        <f t="shared" ca="1" si="414"/>
        <v>63428.808336532937</v>
      </c>
      <c r="Z667" s="1192">
        <f t="shared" ca="1" si="414"/>
        <v>58241.643818278128</v>
      </c>
      <c r="AA667" s="1192">
        <f t="shared" ca="1" si="414"/>
        <v>58946.910430698321</v>
      </c>
      <c r="AB667" s="1192">
        <f ca="1">IF(AB658&lt;=0,0,AB658-AB664)</f>
        <v>41270.983340027655</v>
      </c>
      <c r="AC667" s="1192">
        <f ca="1">IF(AC658&lt;=0,0,AC658-AC664)</f>
        <v>0</v>
      </c>
      <c r="AD667" s="1192">
        <f ca="1">IF(AD658&lt;=0,0,AD658-AD664)</f>
        <v>0</v>
      </c>
      <c r="AE667" s="1192">
        <f ca="1">IF(AE658&lt;=0,0,AE658-AE664)</f>
        <v>0</v>
      </c>
      <c r="AF667" s="1192">
        <f ca="1">IF(AF658&lt;=0,0,AF658-AF664)</f>
        <v>0</v>
      </c>
      <c r="AG667" s="818"/>
    </row>
    <row r="668" spans="1:33">
      <c r="A668" s="1187"/>
      <c r="B668" s="818"/>
      <c r="C668" s="818"/>
      <c r="D668" s="818"/>
      <c r="E668" s="818"/>
      <c r="F668" s="818"/>
      <c r="G668" s="818"/>
      <c r="H668" s="1192"/>
      <c r="I668" s="1192"/>
      <c r="J668" s="1193"/>
      <c r="K668" s="1194"/>
      <c r="L668" s="1194"/>
      <c r="M668" s="1194"/>
      <c r="N668" s="1194"/>
      <c r="O668" s="1194"/>
      <c r="P668" s="1194"/>
      <c r="Q668" s="1194"/>
      <c r="R668" s="1194"/>
      <c r="S668" s="1194"/>
      <c r="T668" s="1194"/>
      <c r="U668" s="1194"/>
      <c r="V668" s="1194"/>
      <c r="W668" s="1194"/>
      <c r="X668" s="1194"/>
      <c r="Y668" s="1194"/>
      <c r="Z668" s="1194"/>
      <c r="AA668" s="1194"/>
      <c r="AB668" s="1194"/>
      <c r="AC668" s="1194"/>
      <c r="AD668" s="1194"/>
      <c r="AE668" s="1194"/>
      <c r="AF668" s="1194"/>
      <c r="AG668" s="818"/>
    </row>
    <row r="669" spans="1:33">
      <c r="A669" s="1187" t="s">
        <v>812</v>
      </c>
      <c r="B669" s="665"/>
      <c r="C669" s="1030">
        <f>I629</f>
        <v>8.8400000000000006E-2</v>
      </c>
      <c r="D669" s="818"/>
      <c r="E669" s="818"/>
      <c r="F669" s="818"/>
      <c r="G669" s="818"/>
      <c r="H669" s="1188">
        <f t="shared" ref="H669:AA669" si="415">H667*H629</f>
        <v>0</v>
      </c>
      <c r="I669" s="1188">
        <f t="shared" ca="1" si="415"/>
        <v>1085.674950283955</v>
      </c>
      <c r="J669" s="1189">
        <f t="shared" ca="1" si="415"/>
        <v>1288.9686700396953</v>
      </c>
      <c r="K669" s="1190">
        <f t="shared" ca="1" si="415"/>
        <v>2886.0622788959768</v>
      </c>
      <c r="L669" s="1190">
        <f t="shared" ca="1" si="415"/>
        <v>3519.6908016734901</v>
      </c>
      <c r="M669" s="1190">
        <f t="shared" ca="1" si="415"/>
        <v>3483.9557848154573</v>
      </c>
      <c r="N669" s="1190">
        <f t="shared" ca="1" si="415"/>
        <v>2920.5292840822467</v>
      </c>
      <c r="O669" s="1190">
        <f t="shared" ca="1" si="415"/>
        <v>2814.213181564618</v>
      </c>
      <c r="P669" s="1190">
        <f t="shared" ca="1" si="415"/>
        <v>4934.4947560462706</v>
      </c>
      <c r="Q669" s="1190">
        <f t="shared" ca="1" si="415"/>
        <v>5131.0713535198529</v>
      </c>
      <c r="R669" s="1190">
        <f t="shared" ca="1" si="415"/>
        <v>5388.3060574735855</v>
      </c>
      <c r="S669" s="1190">
        <f t="shared" ca="1" si="415"/>
        <v>5753.3312203829428</v>
      </c>
      <c r="T669" s="1190">
        <f t="shared" ca="1" si="415"/>
        <v>5064.8670484579879</v>
      </c>
      <c r="U669" s="1190">
        <f t="shared" ca="1" si="415"/>
        <v>6083.4212190558073</v>
      </c>
      <c r="V669" s="1190">
        <f t="shared" ca="1" si="415"/>
        <v>5402.2831682941396</v>
      </c>
      <c r="W669" s="1190">
        <f t="shared" ca="1" si="415"/>
        <v>5346.9575269985999</v>
      </c>
      <c r="X669" s="1190">
        <f t="shared" ca="1" si="415"/>
        <v>5380.8575657371475</v>
      </c>
      <c r="Y669" s="1190">
        <f t="shared" ca="1" si="415"/>
        <v>5607.1066569495124</v>
      </c>
      <c r="Z669" s="1190">
        <f t="shared" ca="1" si="415"/>
        <v>5148.5613135357871</v>
      </c>
      <c r="AA669" s="1190">
        <f t="shared" ca="1" si="415"/>
        <v>5210.906882073732</v>
      </c>
      <c r="AB669" s="1190">
        <f ca="1">AB667*AB629</f>
        <v>3648.3549272584451</v>
      </c>
      <c r="AC669" s="1190">
        <f ca="1">AC667*AC629</f>
        <v>0</v>
      </c>
      <c r="AD669" s="1190">
        <f ca="1">AD667*AD629</f>
        <v>0</v>
      </c>
      <c r="AE669" s="1190">
        <f ca="1">AE667*AE629</f>
        <v>0</v>
      </c>
      <c r="AF669" s="1190">
        <f ca="1">AF667*AF629</f>
        <v>0</v>
      </c>
      <c r="AG669" s="818"/>
    </row>
    <row r="670" spans="1:33">
      <c r="A670" s="1187" t="s">
        <v>813</v>
      </c>
      <c r="B670" s="665"/>
      <c r="C670" s="1030">
        <f>I628</f>
        <v>0.35</v>
      </c>
      <c r="D670" s="818"/>
      <c r="E670" s="818"/>
      <c r="F670" s="818"/>
      <c r="G670" s="818"/>
      <c r="H670" s="1192">
        <f t="shared" ref="H670:AA670" si="416">(H667-H669)*H628</f>
        <v>0</v>
      </c>
      <c r="I670" s="1210">
        <f t="shared" ca="1" si="416"/>
        <v>3918.5005615112964</v>
      </c>
      <c r="J670" s="1194">
        <f t="shared" ca="1" si="416"/>
        <v>4652.24370885594</v>
      </c>
      <c r="K670" s="1194">
        <f t="shared" ca="1" si="416"/>
        <v>10416.595369960976</v>
      </c>
      <c r="L670" s="1194">
        <f t="shared" ca="1" si="416"/>
        <v>12703.535601605698</v>
      </c>
      <c r="M670" s="1194">
        <f t="shared" ca="1" si="416"/>
        <v>12574.558062253616</v>
      </c>
      <c r="N670" s="1194">
        <f t="shared" ca="1" si="416"/>
        <v>10540.996305195491</v>
      </c>
      <c r="O670" s="1194">
        <f t="shared" ca="1" si="416"/>
        <v>10157.272146040803</v>
      </c>
      <c r="P670" s="1194">
        <f t="shared" ca="1" si="416"/>
        <v>17809.953584435782</v>
      </c>
      <c r="Q670" s="1194">
        <f t="shared" ca="1" si="416"/>
        <v>18519.452783416789</v>
      </c>
      <c r="R670" s="1194">
        <f t="shared" ca="1" si="416"/>
        <v>19447.883831419931</v>
      </c>
      <c r="S670" s="1194">
        <f t="shared" ca="1" si="416"/>
        <v>20765.360397911558</v>
      </c>
      <c r="T670" s="1194">
        <f t="shared" ca="1" si="416"/>
        <v>18280.503172862052</v>
      </c>
      <c r="U670" s="1194">
        <f t="shared" ca="1" si="416"/>
        <v>21956.746313936037</v>
      </c>
      <c r="V670" s="1194">
        <f t="shared" ca="1" si="416"/>
        <v>19498.331082306875</v>
      </c>
      <c r="W670" s="1194">
        <f t="shared" ca="1" si="416"/>
        <v>19298.645571992907</v>
      </c>
      <c r="X670" s="1194">
        <f t="shared" ca="1" si="416"/>
        <v>19421.000168824594</v>
      </c>
      <c r="Y670" s="1194">
        <f t="shared" ca="1" si="416"/>
        <v>20237.595587854197</v>
      </c>
      <c r="Z670" s="1194">
        <f t="shared" ca="1" si="416"/>
        <v>18582.57887665982</v>
      </c>
      <c r="AA670" s="1194">
        <f t="shared" ca="1" si="416"/>
        <v>18807.601242018605</v>
      </c>
      <c r="AB670" s="1194">
        <f ca="1">(AB667-AB669)*AB628</f>
        <v>13167.919944469224</v>
      </c>
      <c r="AC670" s="1194">
        <f ca="1">(AC667-AC669)*AC628</f>
        <v>0</v>
      </c>
      <c r="AD670" s="1194">
        <f ca="1">(AD667-AD669)*AD628</f>
        <v>0</v>
      </c>
      <c r="AE670" s="1194">
        <f ca="1">(AE667-AE669)*AE628</f>
        <v>0</v>
      </c>
      <c r="AF670" s="1194">
        <f ca="1">(AF667-AF669)*AF628</f>
        <v>0</v>
      </c>
      <c r="AG670" s="818"/>
    </row>
    <row r="671" spans="1:33" ht="12" thickBot="1">
      <c r="A671" s="1187" t="s">
        <v>818</v>
      </c>
      <c r="B671" s="818"/>
      <c r="C671" s="818"/>
      <c r="D671" s="818"/>
      <c r="E671" s="818"/>
      <c r="F671" s="818"/>
      <c r="G671" s="818"/>
      <c r="H671" s="1206">
        <f t="shared" ref="H671:AA671" si="417">H669+H670</f>
        <v>0</v>
      </c>
      <c r="I671" s="1211">
        <f t="shared" ca="1" si="417"/>
        <v>5004.1755117952516</v>
      </c>
      <c r="J671" s="1206">
        <f t="shared" ca="1" si="417"/>
        <v>5941.2123788956351</v>
      </c>
      <c r="K671" s="1206">
        <f t="shared" ca="1" si="417"/>
        <v>13302.657648856954</v>
      </c>
      <c r="L671" s="1206">
        <f t="shared" ca="1" si="417"/>
        <v>16223.226403279188</v>
      </c>
      <c r="M671" s="1206">
        <f t="shared" ca="1" si="417"/>
        <v>16058.513847069073</v>
      </c>
      <c r="N671" s="1206">
        <f t="shared" ca="1" si="417"/>
        <v>13461.525589277739</v>
      </c>
      <c r="O671" s="1206">
        <f t="shared" ca="1" si="417"/>
        <v>12971.48532760542</v>
      </c>
      <c r="P671" s="1206">
        <f t="shared" ca="1" si="417"/>
        <v>22744.448340482053</v>
      </c>
      <c r="Q671" s="1206">
        <f t="shared" ca="1" si="417"/>
        <v>23650.524136936641</v>
      </c>
      <c r="R671" s="1206">
        <f t="shared" ca="1" si="417"/>
        <v>24836.189888893517</v>
      </c>
      <c r="S671" s="1206">
        <f t="shared" ca="1" si="417"/>
        <v>26518.691618294499</v>
      </c>
      <c r="T671" s="1206">
        <f t="shared" ca="1" si="417"/>
        <v>23345.370221320041</v>
      </c>
      <c r="U671" s="1206">
        <f t="shared" ca="1" si="417"/>
        <v>28040.167532991843</v>
      </c>
      <c r="V671" s="1206">
        <f t="shared" ca="1" si="417"/>
        <v>24900.614250601015</v>
      </c>
      <c r="W671" s="1206">
        <f t="shared" ca="1" si="417"/>
        <v>24645.603098991509</v>
      </c>
      <c r="X671" s="1206">
        <f t="shared" ca="1" si="417"/>
        <v>24801.857734561741</v>
      </c>
      <c r="Y671" s="1206">
        <f t="shared" ca="1" si="417"/>
        <v>25844.70224480371</v>
      </c>
      <c r="Z671" s="1206">
        <f t="shared" ca="1" si="417"/>
        <v>23731.140190195605</v>
      </c>
      <c r="AA671" s="1206">
        <f t="shared" ca="1" si="417"/>
        <v>24018.508124092339</v>
      </c>
      <c r="AB671" s="1206">
        <f ca="1">AB669+AB670</f>
        <v>16816.27487172767</v>
      </c>
      <c r="AC671" s="1206">
        <f ca="1">AC669+AC670</f>
        <v>0</v>
      </c>
      <c r="AD671" s="1206">
        <f ca="1">AD669+AD670</f>
        <v>0</v>
      </c>
      <c r="AE671" s="1206">
        <f ca="1">AE669+AE670</f>
        <v>0</v>
      </c>
      <c r="AF671" s="1206">
        <f ca="1">AF669+AF670</f>
        <v>0</v>
      </c>
      <c r="AG671" s="818"/>
    </row>
    <row r="672" spans="1:33" ht="12" thickTop="1">
      <c r="A672" s="1187"/>
      <c r="B672" s="818"/>
      <c r="C672" s="818"/>
      <c r="D672" s="818"/>
      <c r="E672" s="818"/>
      <c r="F672" s="818"/>
      <c r="G672" s="818"/>
      <c r="H672" s="1194"/>
      <c r="I672" s="1194"/>
      <c r="J672" s="1194"/>
      <c r="K672" s="1194"/>
      <c r="L672" s="1194"/>
      <c r="M672" s="1194"/>
      <c r="N672" s="1194"/>
      <c r="O672" s="1194"/>
      <c r="P672" s="1194"/>
      <c r="Q672" s="1194"/>
      <c r="R672" s="1194"/>
      <c r="S672" s="1194"/>
      <c r="T672" s="1194"/>
      <c r="U672" s="1194"/>
      <c r="V672" s="1194"/>
      <c r="W672" s="1194"/>
      <c r="X672" s="1194"/>
      <c r="Y672" s="1194"/>
      <c r="Z672" s="1194"/>
      <c r="AA672" s="1194"/>
      <c r="AB672" s="1194"/>
      <c r="AC672" s="1194"/>
      <c r="AD672" s="1194"/>
      <c r="AE672" s="1194"/>
      <c r="AF672" s="1194"/>
      <c r="AG672" s="818"/>
    </row>
    <row r="673" spans="1:33">
      <c r="A673" s="1187"/>
      <c r="B673" s="818"/>
      <c r="C673" s="818"/>
      <c r="D673" s="818"/>
      <c r="E673" s="818"/>
      <c r="F673" s="818"/>
      <c r="G673" s="818"/>
      <c r="H673" s="1208"/>
      <c r="I673" s="1210"/>
      <c r="J673" s="1194"/>
      <c r="K673" s="1194"/>
      <c r="L673" s="1194"/>
      <c r="M673" s="1194"/>
      <c r="N673" s="1194"/>
      <c r="O673" s="1194"/>
      <c r="P673" s="1194"/>
      <c r="Q673" s="1194"/>
      <c r="R673" s="1194"/>
      <c r="S673" s="1194"/>
      <c r="T673" s="1194"/>
      <c r="U673" s="1194"/>
      <c r="V673" s="1194"/>
      <c r="W673" s="1194"/>
      <c r="X673" s="1194"/>
      <c r="Y673" s="1194"/>
      <c r="Z673" s="1194"/>
      <c r="AA673" s="1194"/>
      <c r="AB673" s="1194"/>
      <c r="AC673" s="1194"/>
      <c r="AD673" s="1194"/>
      <c r="AE673" s="1194"/>
      <c r="AF673" s="1194"/>
      <c r="AG673" s="818"/>
    </row>
    <row r="674" spans="1:33">
      <c r="A674" s="1187" t="s">
        <v>819</v>
      </c>
      <c r="B674" s="818"/>
      <c r="C674" s="818"/>
      <c r="D674" s="818"/>
      <c r="E674" s="818"/>
      <c r="F674" s="818"/>
      <c r="G674" s="818"/>
      <c r="H674" s="1192">
        <f t="shared" ref="H674:AA674" si="418">+H654</f>
        <v>0</v>
      </c>
      <c r="I674" s="1192">
        <f t="shared" ca="1" si="418"/>
        <v>2561.2637690372953</v>
      </c>
      <c r="J674" s="1193">
        <f t="shared" ca="1" si="418"/>
        <v>1604.5554531517055</v>
      </c>
      <c r="K674" s="1192">
        <f t="shared" ca="1" si="418"/>
        <v>10025.247254772879</v>
      </c>
      <c r="L674" s="1192">
        <f t="shared" ca="1" si="418"/>
        <v>13922.980706298295</v>
      </c>
      <c r="M674" s="1192">
        <f t="shared" ca="1" si="418"/>
        <v>14665.076988999937</v>
      </c>
      <c r="N674" s="1192">
        <f t="shared" ca="1" si="418"/>
        <v>12904.541711928923</v>
      </c>
      <c r="O674" s="1192">
        <f t="shared" ca="1" si="418"/>
        <v>13190.370219756536</v>
      </c>
      <c r="P674" s="1192">
        <f t="shared" ca="1" si="418"/>
        <v>23678.617790912696</v>
      </c>
      <c r="Q674" s="1192">
        <f t="shared" ca="1" si="418"/>
        <v>24701.95335101966</v>
      </c>
      <c r="R674" s="1192">
        <f t="shared" ca="1" si="418"/>
        <v>25889.573432370751</v>
      </c>
      <c r="S674" s="1192">
        <f t="shared" ca="1" si="418"/>
        <v>27570.120832377521</v>
      </c>
      <c r="T674" s="1192">
        <f t="shared" ca="1" si="418"/>
        <v>24398.753764797275</v>
      </c>
      <c r="U674" s="1192">
        <f t="shared" ca="1" si="418"/>
        <v>29091.596747074866</v>
      </c>
      <c r="V674" s="1192">
        <f t="shared" ca="1" si="418"/>
        <v>25953.997794078248</v>
      </c>
      <c r="W674" s="1192">
        <f t="shared" ca="1" si="418"/>
        <v>25697.032313074531</v>
      </c>
      <c r="X674" s="1192">
        <f t="shared" ca="1" si="418"/>
        <v>25855.241278038971</v>
      </c>
      <c r="Y674" s="1192">
        <f t="shared" ca="1" si="418"/>
        <v>26896.131458886732</v>
      </c>
      <c r="Z674" s="1192">
        <f t="shared" ca="1" si="418"/>
        <v>24784.523733672835</v>
      </c>
      <c r="AA674" s="1192">
        <f t="shared" ca="1" si="418"/>
        <v>25069.937338175358</v>
      </c>
      <c r="AB674" s="1192">
        <f ca="1">+AB654</f>
        <v>17869.6584152049</v>
      </c>
      <c r="AC674" s="1192">
        <f ca="1">+AC654</f>
        <v>0</v>
      </c>
      <c r="AD674" s="1192">
        <f ca="1">+AD654</f>
        <v>0</v>
      </c>
      <c r="AE674" s="1192">
        <f ca="1">+AE654</f>
        <v>0</v>
      </c>
      <c r="AF674" s="1192">
        <f ca="1">+AF654</f>
        <v>0</v>
      </c>
      <c r="AG674" s="818"/>
    </row>
    <row r="675" spans="1:33">
      <c r="A675" s="1187" t="s">
        <v>818</v>
      </c>
      <c r="B675" s="818"/>
      <c r="C675" s="818"/>
      <c r="D675" s="818"/>
      <c r="E675" s="818"/>
      <c r="F675" s="818"/>
      <c r="G675" s="818"/>
      <c r="H675" s="1192">
        <f t="shared" ref="H675:AA675" si="419">H671</f>
        <v>0</v>
      </c>
      <c r="I675" s="1210">
        <f t="shared" ca="1" si="419"/>
        <v>5004.1755117952516</v>
      </c>
      <c r="J675" s="1194">
        <f t="shared" ca="1" si="419"/>
        <v>5941.2123788956351</v>
      </c>
      <c r="K675" s="1194">
        <f t="shared" ca="1" si="419"/>
        <v>13302.657648856954</v>
      </c>
      <c r="L675" s="1194">
        <f t="shared" ca="1" si="419"/>
        <v>16223.226403279188</v>
      </c>
      <c r="M675" s="1194">
        <f t="shared" ca="1" si="419"/>
        <v>16058.513847069073</v>
      </c>
      <c r="N675" s="1194">
        <f t="shared" ca="1" si="419"/>
        <v>13461.525589277739</v>
      </c>
      <c r="O675" s="1194">
        <f t="shared" ca="1" si="419"/>
        <v>12971.48532760542</v>
      </c>
      <c r="P675" s="1194">
        <f t="shared" ca="1" si="419"/>
        <v>22744.448340482053</v>
      </c>
      <c r="Q675" s="1194">
        <f t="shared" ca="1" si="419"/>
        <v>23650.524136936641</v>
      </c>
      <c r="R675" s="1194">
        <f t="shared" ca="1" si="419"/>
        <v>24836.189888893517</v>
      </c>
      <c r="S675" s="1194">
        <f t="shared" ca="1" si="419"/>
        <v>26518.691618294499</v>
      </c>
      <c r="T675" s="1194">
        <f t="shared" ca="1" si="419"/>
        <v>23345.370221320041</v>
      </c>
      <c r="U675" s="1194">
        <f t="shared" ca="1" si="419"/>
        <v>28040.167532991843</v>
      </c>
      <c r="V675" s="1194">
        <f t="shared" ca="1" si="419"/>
        <v>24900.614250601015</v>
      </c>
      <c r="W675" s="1194">
        <f t="shared" ca="1" si="419"/>
        <v>24645.603098991509</v>
      </c>
      <c r="X675" s="1194">
        <f t="shared" ca="1" si="419"/>
        <v>24801.857734561741</v>
      </c>
      <c r="Y675" s="1194">
        <f t="shared" ca="1" si="419"/>
        <v>25844.70224480371</v>
      </c>
      <c r="Z675" s="1194">
        <f t="shared" ca="1" si="419"/>
        <v>23731.140190195605</v>
      </c>
      <c r="AA675" s="1194">
        <f t="shared" ca="1" si="419"/>
        <v>24018.508124092339</v>
      </c>
      <c r="AB675" s="1194">
        <f ca="1">AB671</f>
        <v>16816.27487172767</v>
      </c>
      <c r="AC675" s="1194">
        <f ca="1">AC671</f>
        <v>0</v>
      </c>
      <c r="AD675" s="1194">
        <f ca="1">AD671</f>
        <v>0</v>
      </c>
      <c r="AE675" s="1194">
        <f ca="1">AE671</f>
        <v>0</v>
      </c>
      <c r="AF675" s="1194">
        <f ca="1">AF671</f>
        <v>0</v>
      </c>
      <c r="AG675" s="818"/>
    </row>
    <row r="676" spans="1:33" ht="12" thickBot="1">
      <c r="A676" s="1187" t="s">
        <v>641</v>
      </c>
      <c r="B676" s="818"/>
      <c r="C676" s="1011"/>
      <c r="D676" s="1011"/>
      <c r="E676" s="1011"/>
      <c r="F676" s="1011"/>
      <c r="G676" s="1011"/>
      <c r="H676" s="1212">
        <f t="shared" ref="H676:AA676" si="420">H675-H674</f>
        <v>0</v>
      </c>
      <c r="I676" s="1213">
        <f t="shared" ca="1" si="420"/>
        <v>2442.9117427579563</v>
      </c>
      <c r="J676" s="1212">
        <f t="shared" ca="1" si="420"/>
        <v>4336.6569257439296</v>
      </c>
      <c r="K676" s="1212">
        <f t="shared" ca="1" si="420"/>
        <v>3277.4103940840741</v>
      </c>
      <c r="L676" s="1212">
        <f t="shared" ca="1" si="420"/>
        <v>2300.2456969808936</v>
      </c>
      <c r="M676" s="1212">
        <f t="shared" ca="1" si="420"/>
        <v>1393.4368580691353</v>
      </c>
      <c r="N676" s="1212">
        <f t="shared" ca="1" si="420"/>
        <v>556.98387734881544</v>
      </c>
      <c r="O676" s="1212">
        <f t="shared" ca="1" si="420"/>
        <v>-218.88489215111622</v>
      </c>
      <c r="P676" s="1212">
        <f t="shared" ca="1" si="420"/>
        <v>-934.16945043064334</v>
      </c>
      <c r="Q676" s="1212">
        <f t="shared" ca="1" si="420"/>
        <v>-1051.4292140830185</v>
      </c>
      <c r="R676" s="1212">
        <f t="shared" ca="1" si="420"/>
        <v>-1053.3835434772336</v>
      </c>
      <c r="S676" s="1212">
        <f t="shared" ca="1" si="420"/>
        <v>-1051.4292140830221</v>
      </c>
      <c r="T676" s="1212">
        <f t="shared" ca="1" si="420"/>
        <v>-1053.3835434772336</v>
      </c>
      <c r="U676" s="1212">
        <f t="shared" ca="1" si="420"/>
        <v>-1051.4292140830221</v>
      </c>
      <c r="V676" s="1212">
        <f t="shared" ca="1" si="420"/>
        <v>-1053.3835434772336</v>
      </c>
      <c r="W676" s="1212">
        <f t="shared" ca="1" si="420"/>
        <v>-1051.4292140830221</v>
      </c>
      <c r="X676" s="1212">
        <f t="shared" ca="1" si="420"/>
        <v>-1053.38354347723</v>
      </c>
      <c r="Y676" s="1212">
        <f t="shared" ca="1" si="420"/>
        <v>-1051.4292140830221</v>
      </c>
      <c r="Z676" s="1212">
        <f t="shared" ca="1" si="420"/>
        <v>-1053.38354347723</v>
      </c>
      <c r="AA676" s="1212">
        <f t="shared" ca="1" si="420"/>
        <v>-1051.4292140830185</v>
      </c>
      <c r="AB676" s="1212">
        <f ca="1">AB675-AB674</f>
        <v>-1053.38354347723</v>
      </c>
      <c r="AC676" s="1212">
        <f ca="1">AC675-AC674</f>
        <v>0</v>
      </c>
      <c r="AD676" s="1212">
        <f ca="1">AD675-AD674</f>
        <v>0</v>
      </c>
      <c r="AE676" s="1212">
        <f ca="1">AE675-AE674</f>
        <v>0</v>
      </c>
      <c r="AF676" s="1212">
        <f ca="1">AF675-AF674</f>
        <v>0</v>
      </c>
      <c r="AG676" s="818"/>
    </row>
    <row r="677" spans="1:33" ht="12" thickTop="1">
      <c r="A677" s="1187"/>
      <c r="B677" s="818"/>
      <c r="C677" s="1011"/>
      <c r="D677" s="1011"/>
      <c r="E677" s="1011"/>
      <c r="F677" s="1011"/>
      <c r="G677" s="1011"/>
      <c r="H677" s="665"/>
      <c r="I677" s="1017"/>
      <c r="J677" s="1017"/>
      <c r="K677" s="1017"/>
      <c r="L677" s="1017"/>
      <c r="M677" s="1017"/>
      <c r="N677" s="1017"/>
      <c r="O677" s="1017"/>
      <c r="P677" s="1017"/>
      <c r="Q677" s="1017"/>
      <c r="R677" s="1017"/>
      <c r="S677" s="1017"/>
      <c r="T677" s="1017"/>
      <c r="U677" s="1017"/>
      <c r="V677" s="1017"/>
      <c r="W677" s="1017"/>
      <c r="X677" s="1017"/>
      <c r="Y677" s="1017"/>
      <c r="Z677" s="1017"/>
      <c r="AA677" s="1017"/>
      <c r="AB677" s="1017"/>
      <c r="AC677" s="1017"/>
      <c r="AD677" s="1017"/>
      <c r="AE677" s="1017"/>
      <c r="AF677" s="1017"/>
      <c r="AG677" s="818"/>
    </row>
    <row r="678" spans="1:33" ht="12" thickBot="1">
      <c r="A678" s="1214"/>
      <c r="B678" s="1214"/>
      <c r="C678" s="1214"/>
      <c r="D678" s="1214"/>
      <c r="E678" s="1214"/>
      <c r="F678" s="1214"/>
      <c r="G678" s="1214"/>
      <c r="H678" s="1214"/>
      <c r="I678" s="1214"/>
      <c r="J678" s="1214"/>
      <c r="K678" s="1214"/>
      <c r="L678" s="1214"/>
      <c r="M678" s="1214"/>
      <c r="N678" s="1214"/>
      <c r="O678" s="1214"/>
      <c r="P678" s="1214"/>
      <c r="Q678" s="1214"/>
      <c r="R678" s="1214"/>
      <c r="S678" s="1214"/>
      <c r="T678" s="1179"/>
      <c r="U678" s="1179"/>
      <c r="V678" s="1179"/>
      <c r="W678" s="1179"/>
      <c r="X678" s="1179"/>
      <c r="Y678" s="1179"/>
      <c r="Z678" s="1179"/>
      <c r="AA678" s="1179"/>
      <c r="AB678" s="1179"/>
      <c r="AC678" s="1179"/>
      <c r="AD678" s="1179"/>
      <c r="AE678" s="1179"/>
      <c r="AF678" s="1179"/>
      <c r="AG678" s="818"/>
    </row>
    <row r="679" spans="1:33" ht="12.75" thickTop="1" thickBot="1"/>
    <row r="680" spans="1:33" ht="12.75" thickTop="1" thickBot="1">
      <c r="A680" s="917" t="s">
        <v>820</v>
      </c>
      <c r="B680" s="818"/>
      <c r="C680" s="818"/>
      <c r="D680" s="818"/>
      <c r="E680" s="818"/>
      <c r="F680" s="818"/>
      <c r="G680" s="818"/>
      <c r="H680" s="1215">
        <f>H$599</f>
        <v>37802</v>
      </c>
      <c r="I680" s="1216">
        <f>I$599</f>
        <v>37986</v>
      </c>
      <c r="J680" s="1055">
        <f t="shared" ref="J680:AF680" si="421">J$599</f>
        <v>38352</v>
      </c>
      <c r="K680" s="1055">
        <f t="shared" si="421"/>
        <v>38717</v>
      </c>
      <c r="L680" s="1055">
        <f t="shared" si="421"/>
        <v>39082</v>
      </c>
      <c r="M680" s="1055">
        <f t="shared" si="421"/>
        <v>39447</v>
      </c>
      <c r="N680" s="1055">
        <f t="shared" si="421"/>
        <v>39813</v>
      </c>
      <c r="O680" s="1055">
        <f t="shared" si="421"/>
        <v>40178</v>
      </c>
      <c r="P680" s="1055">
        <f t="shared" si="421"/>
        <v>40543</v>
      </c>
      <c r="Q680" s="1055">
        <f t="shared" si="421"/>
        <v>40908</v>
      </c>
      <c r="R680" s="1055">
        <f t="shared" si="421"/>
        <v>41274</v>
      </c>
      <c r="S680" s="1055">
        <f t="shared" si="421"/>
        <v>41639</v>
      </c>
      <c r="T680" s="1055">
        <f t="shared" si="421"/>
        <v>42004</v>
      </c>
      <c r="U680" s="1055">
        <f t="shared" si="421"/>
        <v>42369</v>
      </c>
      <c r="V680" s="1055">
        <f t="shared" si="421"/>
        <v>42735</v>
      </c>
      <c r="W680" s="1055">
        <f t="shared" si="421"/>
        <v>43100</v>
      </c>
      <c r="X680" s="1055">
        <f t="shared" si="421"/>
        <v>43465</v>
      </c>
      <c r="Y680" s="1055">
        <f t="shared" si="421"/>
        <v>43830</v>
      </c>
      <c r="Z680" s="1055">
        <f t="shared" si="421"/>
        <v>44196</v>
      </c>
      <c r="AA680" s="1055">
        <f t="shared" si="421"/>
        <v>44561</v>
      </c>
      <c r="AB680" s="1055">
        <f t="shared" si="421"/>
        <v>44926</v>
      </c>
      <c r="AC680" s="1055">
        <f t="shared" si="421"/>
        <v>45291</v>
      </c>
      <c r="AD680" s="1055">
        <f t="shared" si="421"/>
        <v>45657</v>
      </c>
      <c r="AE680" s="1055">
        <f t="shared" si="421"/>
        <v>46022</v>
      </c>
      <c r="AF680" s="1055">
        <f t="shared" si="421"/>
        <v>46387</v>
      </c>
      <c r="AG680" s="818"/>
    </row>
    <row r="681" spans="1:33" ht="12" thickTop="1">
      <c r="A681" s="1016" t="s">
        <v>821</v>
      </c>
      <c r="B681" s="818"/>
      <c r="C681" s="818"/>
      <c r="D681" s="818"/>
      <c r="E681" s="818"/>
      <c r="F681" s="818"/>
      <c r="G681" s="818"/>
      <c r="H681" s="1006"/>
      <c r="I681" s="1217"/>
      <c r="J681" s="665"/>
      <c r="K681" s="665"/>
      <c r="L681" s="665"/>
      <c r="M681" s="665"/>
      <c r="N681" s="665"/>
      <c r="O681" s="665"/>
      <c r="P681" s="665"/>
      <c r="Q681" s="665"/>
      <c r="R681" s="665"/>
      <c r="S681" s="665"/>
      <c r="T681" s="665"/>
      <c r="U681" s="665"/>
      <c r="V681" s="665"/>
      <c r="W681" s="665"/>
      <c r="X681" s="665"/>
      <c r="Y681" s="665"/>
      <c r="Z681" s="665"/>
      <c r="AA681" s="665"/>
      <c r="AB681" s="665"/>
      <c r="AC681" s="665"/>
      <c r="AD681" s="665"/>
      <c r="AE681" s="665"/>
      <c r="AF681" s="665"/>
      <c r="AG681" s="818"/>
    </row>
    <row r="682" spans="1:33">
      <c r="A682" s="1016" t="s">
        <v>822</v>
      </c>
      <c r="B682" s="818"/>
      <c r="C682" s="818"/>
      <c r="D682" s="818"/>
      <c r="E682" s="818"/>
      <c r="F682" s="818"/>
      <c r="G682" s="818"/>
      <c r="H682" s="1190">
        <f ca="1">-H453</f>
        <v>-238460.26041541412</v>
      </c>
      <c r="I682" s="1218">
        <v>0</v>
      </c>
      <c r="J682" s="1219">
        <v>0</v>
      </c>
      <c r="K682" s="1219">
        <v>0</v>
      </c>
      <c r="L682" s="1219">
        <v>0</v>
      </c>
      <c r="M682" s="1219">
        <v>0</v>
      </c>
      <c r="N682" s="1219">
        <v>0</v>
      </c>
      <c r="O682" s="1219">
        <v>0</v>
      </c>
      <c r="P682" s="1219">
        <v>0</v>
      </c>
      <c r="Q682" s="1219">
        <v>0</v>
      </c>
      <c r="R682" s="1219">
        <v>0</v>
      </c>
      <c r="S682" s="1219">
        <v>0</v>
      </c>
      <c r="T682" s="1219">
        <v>0</v>
      </c>
      <c r="U682" s="1219">
        <v>0</v>
      </c>
      <c r="V682" s="1219">
        <v>0</v>
      </c>
      <c r="W682" s="1219">
        <v>0</v>
      </c>
      <c r="X682" s="1219">
        <v>0</v>
      </c>
      <c r="Y682" s="1219">
        <v>0</v>
      </c>
      <c r="Z682" s="1219">
        <v>0</v>
      </c>
      <c r="AA682" s="1219">
        <v>0</v>
      </c>
      <c r="AB682" s="1219">
        <v>0</v>
      </c>
      <c r="AC682" s="1219">
        <v>0</v>
      </c>
      <c r="AD682" s="1219">
        <v>0</v>
      </c>
      <c r="AE682" s="1219">
        <v>0</v>
      </c>
      <c r="AF682" s="1219">
        <v>0</v>
      </c>
      <c r="AG682" s="818"/>
    </row>
    <row r="683" spans="1:33">
      <c r="A683" s="1016"/>
      <c r="B683" s="818"/>
      <c r="C683" s="818"/>
      <c r="D683" s="818"/>
      <c r="E683" s="818"/>
      <c r="F683" s="818"/>
      <c r="G683" s="818"/>
      <c r="H683" s="1190"/>
      <c r="I683" s="1189"/>
      <c r="J683" s="1188"/>
      <c r="K683" s="1188"/>
      <c r="L683" s="1188"/>
      <c r="M683" s="1188"/>
      <c r="N683" s="1188"/>
      <c r="O683" s="1188"/>
      <c r="P683" s="1188"/>
      <c r="Q683" s="1188"/>
      <c r="R683" s="1188"/>
      <c r="S683" s="1188"/>
      <c r="T683" s="1188"/>
      <c r="U683" s="1188"/>
      <c r="V683" s="1188"/>
      <c r="W683" s="1188"/>
      <c r="X683" s="1188"/>
      <c r="Y683" s="1188"/>
      <c r="Z683" s="1188"/>
      <c r="AA683" s="1188"/>
      <c r="AB683" s="1188"/>
      <c r="AC683" s="1188"/>
      <c r="AD683" s="1188"/>
      <c r="AE683" s="1188"/>
      <c r="AF683" s="1188"/>
      <c r="AG683" s="818"/>
    </row>
    <row r="684" spans="1:33">
      <c r="A684" s="1016" t="s">
        <v>634</v>
      </c>
      <c r="B684" s="818"/>
      <c r="C684" s="818"/>
      <c r="D684" s="818"/>
      <c r="E684" s="818"/>
      <c r="F684" s="818"/>
      <c r="G684" s="818"/>
      <c r="H684" s="818"/>
      <c r="I684" s="1052">
        <f ca="1">I$317</f>
        <v>7277.2153285209797</v>
      </c>
      <c r="J684" s="741">
        <f ca="1">J$317</f>
        <v>8639.8811735896052</v>
      </c>
      <c r="K684" s="741">
        <f t="shared" ref="K684:AF684" ca="1" si="422">K$317</f>
        <v>19345.105687070383</v>
      </c>
      <c r="L684" s="741">
        <f t="shared" ca="1" si="422"/>
        <v>23592.280402982011</v>
      </c>
      <c r="M684" s="741">
        <f t="shared" ca="1" si="422"/>
        <v>23352.750687042433</v>
      </c>
      <c r="N684" s="741">
        <f t="shared" ca="1" si="422"/>
        <v>19576.135995363056</v>
      </c>
      <c r="O684" s="741">
        <f t="shared" ca="1" si="422"/>
        <v>18863.505414075778</v>
      </c>
      <c r="P684" s="741">
        <f t="shared" ca="1" si="422"/>
        <v>33075.62808538074</v>
      </c>
      <c r="Q684" s="741">
        <f t="shared" ca="1" si="422"/>
        <v>34393.269454916895</v>
      </c>
      <c r="R684" s="741">
        <f t="shared" ca="1" si="422"/>
        <v>36117.498544065595</v>
      </c>
      <c r="S684" s="741">
        <f t="shared" ca="1" si="422"/>
        <v>38564.240738978609</v>
      </c>
      <c r="T684" s="741">
        <f t="shared" ca="1" si="422"/>
        <v>33949.505892458095</v>
      </c>
      <c r="U684" s="741">
        <f t="shared" ca="1" si="422"/>
        <v>40776.814583024076</v>
      </c>
      <c r="V684" s="741">
        <f t="shared" ca="1" si="422"/>
        <v>36211.186295712774</v>
      </c>
      <c r="W684" s="741">
        <f t="shared" ca="1" si="422"/>
        <v>35840.341776558256</v>
      </c>
      <c r="X684" s="741">
        <f t="shared" ca="1" si="422"/>
        <v>36067.571742102824</v>
      </c>
      <c r="Y684" s="741">
        <f t="shared" ca="1" si="422"/>
        <v>37584.106091729227</v>
      </c>
      <c r="Z684" s="741">
        <f t="shared" ca="1" si="422"/>
        <v>34510.503628082522</v>
      </c>
      <c r="AA684" s="741">
        <f t="shared" ca="1" si="422"/>
        <v>34928.402306605982</v>
      </c>
      <c r="AB684" s="741">
        <f t="shared" ca="1" si="422"/>
        <v>24454.708468299985</v>
      </c>
      <c r="AC684" s="741">
        <f t="shared" ca="1" si="422"/>
        <v>-38198.703782627912</v>
      </c>
      <c r="AD684" s="741">
        <f t="shared" ca="1" si="422"/>
        <v>-26501.916163709921</v>
      </c>
      <c r="AE684" s="741">
        <f t="shared" ca="1" si="422"/>
        <v>-27031.954486984119</v>
      </c>
      <c r="AF684" s="741">
        <f t="shared" ca="1" si="422"/>
        <v>-27572.593576723819</v>
      </c>
      <c r="AG684" s="818"/>
    </row>
    <row r="685" spans="1:33">
      <c r="A685" s="1009"/>
      <c r="B685" s="818"/>
      <c r="C685" s="818"/>
      <c r="D685" s="818"/>
      <c r="E685" s="818"/>
      <c r="F685" s="818"/>
      <c r="G685" s="818"/>
      <c r="H685" s="818"/>
      <c r="I685" s="1052"/>
      <c r="J685" s="741"/>
      <c r="K685" s="741"/>
      <c r="L685" s="741"/>
      <c r="M685" s="741"/>
      <c r="N685" s="741"/>
      <c r="O685" s="741"/>
      <c r="P685" s="741"/>
      <c r="Q685" s="741"/>
      <c r="R685" s="741"/>
      <c r="S685" s="741"/>
      <c r="T685" s="741"/>
      <c r="U685" s="741"/>
      <c r="V685" s="741"/>
      <c r="W685" s="741"/>
      <c r="X685" s="741"/>
      <c r="Y685" s="741"/>
      <c r="Z685" s="741"/>
      <c r="AA685" s="741"/>
      <c r="AB685" s="741"/>
      <c r="AC685" s="741"/>
      <c r="AD685" s="741"/>
      <c r="AE685" s="741"/>
      <c r="AF685" s="741"/>
      <c r="AG685" s="818"/>
    </row>
    <row r="686" spans="1:33">
      <c r="A686" s="1009" t="s">
        <v>823</v>
      </c>
      <c r="B686" s="1009" t="s">
        <v>824</v>
      </c>
      <c r="C686" s="818"/>
      <c r="D686" s="818"/>
      <c r="E686" s="818"/>
      <c r="F686" s="818"/>
      <c r="G686" s="818"/>
      <c r="H686" s="818"/>
      <c r="I686" s="1052">
        <f ca="1">I$293+I$294+I$292</f>
        <v>15762.574723984288</v>
      </c>
      <c r="J686" s="741">
        <f ca="1">J$293+J$294+J$292</f>
        <v>31525.149447968575</v>
      </c>
      <c r="K686" s="741">
        <f t="shared" ref="K686:AF686" ca="1" si="423">K$293+K$294+K$292</f>
        <v>31525.149447968575</v>
      </c>
      <c r="L686" s="741">
        <f t="shared" ca="1" si="423"/>
        <v>31525.149447968575</v>
      </c>
      <c r="M686" s="741">
        <f t="shared" ca="1" si="423"/>
        <v>31525.149447968575</v>
      </c>
      <c r="N686" s="741">
        <f t="shared" ca="1" si="423"/>
        <v>31525.149447968575</v>
      </c>
      <c r="O686" s="741">
        <f t="shared" ca="1" si="423"/>
        <v>31525.149447968575</v>
      </c>
      <c r="P686" s="741">
        <f t="shared" ca="1" si="423"/>
        <v>28056.345303067508</v>
      </c>
      <c r="Q686" s="741">
        <f t="shared" ca="1" si="423"/>
        <v>24587.541158166438</v>
      </c>
      <c r="R686" s="741">
        <f t="shared" ca="1" si="423"/>
        <v>24587.541158166438</v>
      </c>
      <c r="S686" s="741">
        <f t="shared" ca="1" si="423"/>
        <v>24284.698487383212</v>
      </c>
      <c r="T686" s="741">
        <f t="shared" ca="1" si="423"/>
        <v>23981.855816599989</v>
      </c>
      <c r="U686" s="741">
        <f t="shared" ca="1" si="423"/>
        <v>23981.855816599989</v>
      </c>
      <c r="V686" s="741">
        <f t="shared" ca="1" si="423"/>
        <v>23981.855816599989</v>
      </c>
      <c r="W686" s="741">
        <f t="shared" ca="1" si="423"/>
        <v>23981.855816599989</v>
      </c>
      <c r="X686" s="741">
        <f t="shared" ca="1" si="423"/>
        <v>23981.855816599989</v>
      </c>
      <c r="Y686" s="741">
        <f t="shared" ca="1" si="423"/>
        <v>23981.855816599989</v>
      </c>
      <c r="Z686" s="741">
        <f t="shared" ca="1" si="423"/>
        <v>23981.855816599989</v>
      </c>
      <c r="AA686" s="741">
        <f t="shared" ca="1" si="423"/>
        <v>23981.855816599989</v>
      </c>
      <c r="AB686" s="741">
        <f t="shared" ca="1" si="423"/>
        <v>23981.855816599989</v>
      </c>
      <c r="AC686" s="741">
        <f t="shared" ca="1" si="423"/>
        <v>11990.927908299995</v>
      </c>
      <c r="AD686" s="741">
        <f t="shared" ca="1" si="423"/>
        <v>0</v>
      </c>
      <c r="AE686" s="741">
        <f t="shared" ca="1" si="423"/>
        <v>0</v>
      </c>
      <c r="AF686" s="741">
        <f t="shared" ca="1" si="423"/>
        <v>0</v>
      </c>
      <c r="AG686" s="818"/>
    </row>
    <row r="687" spans="1:33">
      <c r="A687" s="665"/>
      <c r="B687" s="1009" t="s">
        <v>641</v>
      </c>
      <c r="C687" s="818"/>
      <c r="D687" s="818"/>
      <c r="E687" s="818"/>
      <c r="F687" s="818"/>
      <c r="G687" s="818"/>
      <c r="H687" s="818"/>
      <c r="I687" s="1052">
        <f ca="1">+I$332</f>
        <v>2442.9117427579563</v>
      </c>
      <c r="J687" s="741">
        <f ca="1">+J$332</f>
        <v>4336.6569257439296</v>
      </c>
      <c r="K687" s="741">
        <f t="shared" ref="K687:AF687" ca="1" si="424">+K$332</f>
        <v>3277.4103940840741</v>
      </c>
      <c r="L687" s="741">
        <f t="shared" ca="1" si="424"/>
        <v>2300.2456969808936</v>
      </c>
      <c r="M687" s="741">
        <f t="shared" ca="1" si="424"/>
        <v>1393.4368580691353</v>
      </c>
      <c r="N687" s="741">
        <f t="shared" ca="1" si="424"/>
        <v>556.98387734881544</v>
      </c>
      <c r="O687" s="741">
        <f t="shared" ca="1" si="424"/>
        <v>-218.88489215111622</v>
      </c>
      <c r="P687" s="741">
        <f t="shared" ca="1" si="424"/>
        <v>-934.16945043064334</v>
      </c>
      <c r="Q687" s="741">
        <f t="shared" ca="1" si="424"/>
        <v>-1051.4292140830185</v>
      </c>
      <c r="R687" s="741">
        <f t="shared" ca="1" si="424"/>
        <v>-1053.3835434772336</v>
      </c>
      <c r="S687" s="741">
        <f t="shared" ca="1" si="424"/>
        <v>-1051.4292140830221</v>
      </c>
      <c r="T687" s="741">
        <f t="shared" ca="1" si="424"/>
        <v>-1053.3835434772336</v>
      </c>
      <c r="U687" s="741">
        <f t="shared" ca="1" si="424"/>
        <v>-1051.4292140830221</v>
      </c>
      <c r="V687" s="741">
        <f t="shared" ca="1" si="424"/>
        <v>-1053.3835434772336</v>
      </c>
      <c r="W687" s="741">
        <f t="shared" ca="1" si="424"/>
        <v>-1051.4292140830221</v>
      </c>
      <c r="X687" s="741">
        <f t="shared" ca="1" si="424"/>
        <v>-1053.38354347723</v>
      </c>
      <c r="Y687" s="741">
        <f t="shared" ca="1" si="424"/>
        <v>-1051.4292140830221</v>
      </c>
      <c r="Z687" s="741">
        <f t="shared" ca="1" si="424"/>
        <v>-1053.38354347723</v>
      </c>
      <c r="AA687" s="741">
        <f t="shared" ca="1" si="424"/>
        <v>-1051.4292140830185</v>
      </c>
      <c r="AB687" s="741">
        <f t="shared" ca="1" si="424"/>
        <v>-1053.38354347723</v>
      </c>
      <c r="AC687" s="741">
        <f t="shared" ca="1" si="424"/>
        <v>0</v>
      </c>
      <c r="AD687" s="741">
        <f t="shared" ca="1" si="424"/>
        <v>0</v>
      </c>
      <c r="AE687" s="741">
        <f t="shared" ca="1" si="424"/>
        <v>0</v>
      </c>
      <c r="AF687" s="741">
        <f t="shared" ca="1" si="424"/>
        <v>0</v>
      </c>
      <c r="AG687" s="818"/>
    </row>
    <row r="688" spans="1:33">
      <c r="A688" s="1009" t="s">
        <v>825</v>
      </c>
      <c r="B688" s="1009" t="s">
        <v>937</v>
      </c>
      <c r="C688" s="818"/>
      <c r="D688" s="818"/>
      <c r="E688" s="818"/>
      <c r="F688" s="818"/>
      <c r="G688" s="818"/>
      <c r="H688" s="818"/>
      <c r="I688" s="1052">
        <f ca="1">I$548-(I539-H539)</f>
        <v>0</v>
      </c>
      <c r="J688" s="741">
        <f t="shared" ref="J688:AF688" ca="1" si="425">J$548-(J539-I539)</f>
        <v>0</v>
      </c>
      <c r="K688" s="741">
        <f t="shared" ca="1" si="425"/>
        <v>-323.83641690682998</v>
      </c>
      <c r="L688" s="741">
        <f t="shared" ca="1" si="425"/>
        <v>-248.3735314810292</v>
      </c>
      <c r="M688" s="741">
        <f t="shared" ca="1" si="425"/>
        <v>-408.42331240748172</v>
      </c>
      <c r="N688" s="741">
        <f t="shared" ca="1" si="425"/>
        <v>-409.88249704328337</v>
      </c>
      <c r="O688" s="741">
        <f t="shared" ca="1" si="425"/>
        <v>133.02055229850885</v>
      </c>
      <c r="P688" s="741">
        <f t="shared" ca="1" si="425"/>
        <v>-911.24569940216315</v>
      </c>
      <c r="Q688" s="741">
        <f t="shared" ca="1" si="425"/>
        <v>-378.78244049352725</v>
      </c>
      <c r="R688" s="741">
        <f t="shared" ca="1" si="425"/>
        <v>-257.39035684536066</v>
      </c>
      <c r="S688" s="741">
        <f t="shared" ca="1" si="425"/>
        <v>-476.02613696864501</v>
      </c>
      <c r="T688" s="741">
        <f t="shared" ca="1" si="425"/>
        <v>-348.33288182050092</v>
      </c>
      <c r="U688" s="741">
        <f t="shared" ca="1" si="425"/>
        <v>396.65132907086081</v>
      </c>
      <c r="V688" s="741">
        <f t="shared" ca="1" si="425"/>
        <v>-1005.9501451063079</v>
      </c>
      <c r="W688" s="741">
        <f t="shared" ca="1" si="425"/>
        <v>-456.99413739347438</v>
      </c>
      <c r="X688" s="741">
        <f t="shared" ca="1" si="425"/>
        <v>-318.20700826695975</v>
      </c>
      <c r="Y688" s="741">
        <f t="shared" ca="1" si="425"/>
        <v>-552.62353817005715</v>
      </c>
      <c r="Z688" s="741">
        <f t="shared" ca="1" si="425"/>
        <v>-232.95410397919477</v>
      </c>
      <c r="AA688" s="741">
        <f t="shared" ca="1" si="425"/>
        <v>672.22768796206947</v>
      </c>
      <c r="AB688" s="741">
        <f t="shared" ca="1" si="425"/>
        <v>312.09295568319794</v>
      </c>
      <c r="AC688" s="741">
        <f t="shared" ca="1" si="425"/>
        <v>15444.508531228868</v>
      </c>
      <c r="AD688" s="741">
        <f t="shared" si="425"/>
        <v>0</v>
      </c>
      <c r="AE688" s="741">
        <f t="shared" si="425"/>
        <v>0</v>
      </c>
      <c r="AF688" s="741">
        <f t="shared" si="425"/>
        <v>0</v>
      </c>
      <c r="AG688" s="818"/>
    </row>
    <row r="689" spans="1:33" s="880" customFormat="1">
      <c r="A689" s="1009"/>
      <c r="B689" s="820"/>
      <c r="C689" s="818"/>
      <c r="D689" s="818"/>
      <c r="E689" s="818"/>
      <c r="F689" s="818"/>
      <c r="G689" s="818"/>
      <c r="H689" s="818"/>
      <c r="I689" s="1052"/>
      <c r="AG689" s="741"/>
    </row>
    <row r="690" spans="1:33" s="880" customFormat="1">
      <c r="A690" s="1009"/>
      <c r="B690" s="1009" t="s">
        <v>828</v>
      </c>
      <c r="C690" s="818"/>
      <c r="D690" s="818"/>
      <c r="E690" s="818"/>
      <c r="F690" s="818"/>
      <c r="G690" s="818"/>
      <c r="H690" s="818"/>
      <c r="I690" s="1220">
        <f t="shared" ref="I690:Y690" ca="1" si="426">+I684+I686+I687-I688</f>
        <v>25482.701795263223</v>
      </c>
      <c r="J690" s="1221">
        <f t="shared" ca="1" si="426"/>
        <v>44501.687547302106</v>
      </c>
      <c r="K690" s="1221">
        <f t="shared" ca="1" si="426"/>
        <v>54471.501946029857</v>
      </c>
      <c r="L690" s="1221">
        <f t="shared" ca="1" si="426"/>
        <v>57666.049079412507</v>
      </c>
      <c r="M690" s="1221">
        <f t="shared" ca="1" si="426"/>
        <v>56679.760305487624</v>
      </c>
      <c r="N690" s="1221">
        <f t="shared" ca="1" si="426"/>
        <v>52068.15181772373</v>
      </c>
      <c r="O690" s="1221">
        <f t="shared" ca="1" si="426"/>
        <v>50036.749417594721</v>
      </c>
      <c r="P690" s="1221">
        <f t="shared" ca="1" si="426"/>
        <v>61109.049637419768</v>
      </c>
      <c r="Q690" s="1221">
        <f t="shared" ca="1" si="426"/>
        <v>58308.163839493835</v>
      </c>
      <c r="R690" s="1221">
        <f t="shared" ca="1" si="426"/>
        <v>59909.046515600159</v>
      </c>
      <c r="S690" s="1221">
        <f t="shared" ca="1" si="426"/>
        <v>62273.536149247448</v>
      </c>
      <c r="T690" s="1221">
        <f t="shared" ca="1" si="426"/>
        <v>57226.311047401352</v>
      </c>
      <c r="U690" s="1221">
        <f t="shared" ca="1" si="426"/>
        <v>63310.589856470186</v>
      </c>
      <c r="V690" s="1221">
        <f t="shared" ca="1" si="426"/>
        <v>60145.608713941838</v>
      </c>
      <c r="W690" s="1221">
        <f t="shared" ca="1" si="426"/>
        <v>59227.762516468691</v>
      </c>
      <c r="X690" s="1221">
        <f t="shared" ca="1" si="426"/>
        <v>59314.251023492536</v>
      </c>
      <c r="Y690" s="1221">
        <f t="shared" ca="1" si="426"/>
        <v>61067.156232416251</v>
      </c>
      <c r="Z690" s="1221">
        <f ca="1">+Z684+Z686+Z687-Z688</f>
        <v>57671.930005184477</v>
      </c>
      <c r="AA690" s="1221">
        <f t="shared" ref="AA690:AF690" ca="1" si="427">+AA684+AA686+AA687-AA688</f>
        <v>57186.601221160883</v>
      </c>
      <c r="AB690" s="1221">
        <f t="shared" ca="1" si="427"/>
        <v>47071.087785739539</v>
      </c>
      <c r="AC690" s="1221">
        <f t="shared" ca="1" si="427"/>
        <v>-41652.284405556784</v>
      </c>
      <c r="AD690" s="1221">
        <f t="shared" ca="1" si="427"/>
        <v>-26501.916163709921</v>
      </c>
      <c r="AE690" s="1221">
        <f t="shared" ca="1" si="427"/>
        <v>-27031.954486984119</v>
      </c>
      <c r="AF690" s="1221">
        <f t="shared" ca="1" si="427"/>
        <v>-27572.593576723819</v>
      </c>
      <c r="AG690" s="741"/>
    </row>
    <row r="691" spans="1:33" s="880" customFormat="1">
      <c r="A691" s="1009"/>
      <c r="B691" s="1009"/>
      <c r="C691" s="818"/>
      <c r="D691" s="818"/>
      <c r="E691" s="818"/>
      <c r="F691" s="818"/>
      <c r="G691" s="818"/>
      <c r="H691" s="818"/>
      <c r="I691" s="1052"/>
      <c r="J691" s="741"/>
      <c r="K691" s="741"/>
      <c r="L691" s="741"/>
      <c r="M691" s="741"/>
      <c r="N691" s="741"/>
      <c r="O691" s="741"/>
      <c r="P691" s="741"/>
      <c r="Q691" s="741"/>
      <c r="R691" s="741"/>
      <c r="S691" s="741"/>
      <c r="T691" s="741"/>
      <c r="U691" s="741"/>
      <c r="V691" s="741"/>
      <c r="W691" s="741"/>
      <c r="X691" s="741"/>
      <c r="Y691" s="741"/>
      <c r="Z691" s="741"/>
      <c r="AA691" s="741"/>
      <c r="AB691" s="741"/>
      <c r="AC691" s="741"/>
      <c r="AD691" s="741"/>
      <c r="AE691" s="741"/>
      <c r="AF691" s="741"/>
      <c r="AG691" s="741"/>
    </row>
    <row r="692" spans="1:33">
      <c r="A692" s="1009"/>
      <c r="B692" s="1009" t="s">
        <v>829</v>
      </c>
      <c r="C692" s="818"/>
      <c r="D692" s="818"/>
      <c r="E692" s="818"/>
      <c r="F692" s="818"/>
      <c r="G692" s="818"/>
      <c r="H692" s="818"/>
      <c r="I692" s="1052">
        <f ca="1">-I$339</f>
        <v>0</v>
      </c>
      <c r="J692" s="741">
        <f>-J$339</f>
        <v>0</v>
      </c>
      <c r="K692" s="741">
        <f t="shared" ref="K692:AF692" si="428">-K$339</f>
        <v>0</v>
      </c>
      <c r="L692" s="741">
        <f t="shared" si="428"/>
        <v>0</v>
      </c>
      <c r="M692" s="741">
        <f t="shared" si="428"/>
        <v>0</v>
      </c>
      <c r="N692" s="741">
        <f t="shared" si="428"/>
        <v>0</v>
      </c>
      <c r="O692" s="741">
        <f t="shared" si="428"/>
        <v>0</v>
      </c>
      <c r="P692" s="741">
        <f t="shared" si="428"/>
        <v>0</v>
      </c>
      <c r="Q692" s="741">
        <f t="shared" si="428"/>
        <v>0</v>
      </c>
      <c r="R692" s="741">
        <f t="shared" si="428"/>
        <v>0</v>
      </c>
      <c r="S692" s="741">
        <f t="shared" si="428"/>
        <v>0</v>
      </c>
      <c r="T692" s="741">
        <f t="shared" si="428"/>
        <v>0</v>
      </c>
      <c r="U692" s="741">
        <f t="shared" si="428"/>
        <v>0</v>
      </c>
      <c r="V692" s="741">
        <f t="shared" si="428"/>
        <v>0</v>
      </c>
      <c r="W692" s="741">
        <f t="shared" si="428"/>
        <v>0</v>
      </c>
      <c r="X692" s="741">
        <f t="shared" si="428"/>
        <v>0</v>
      </c>
      <c r="Y692" s="741">
        <f t="shared" si="428"/>
        <v>0</v>
      </c>
      <c r="Z692" s="741">
        <f t="shared" si="428"/>
        <v>0</v>
      </c>
      <c r="AA692" s="741">
        <f t="shared" si="428"/>
        <v>0</v>
      </c>
      <c r="AB692" s="741">
        <f t="shared" si="428"/>
        <v>0</v>
      </c>
      <c r="AC692" s="741">
        <f t="shared" si="428"/>
        <v>0</v>
      </c>
      <c r="AD692" s="741">
        <f t="shared" si="428"/>
        <v>0</v>
      </c>
      <c r="AE692" s="741">
        <f t="shared" si="428"/>
        <v>0</v>
      </c>
      <c r="AF692" s="741">
        <f t="shared" si="428"/>
        <v>0</v>
      </c>
      <c r="AG692" s="818"/>
    </row>
    <row r="693" spans="1:33">
      <c r="A693" s="1009"/>
      <c r="B693" s="1009" t="s">
        <v>830</v>
      </c>
      <c r="C693" s="818"/>
      <c r="D693" s="818"/>
      <c r="E693" s="818"/>
      <c r="F693" s="818"/>
      <c r="G693" s="818"/>
      <c r="H693" s="818"/>
      <c r="I693" s="1052">
        <f ca="1">-I$343-I$344+I$364</f>
        <v>0</v>
      </c>
      <c r="J693" s="741">
        <f ca="1">-J$343-J$344+J$364</f>
        <v>-10014.463211196358</v>
      </c>
      <c r="K693" s="741">
        <f t="shared" ref="K693:AF693" ca="1" si="429">-K$343-K$344+K$364</f>
        <v>-10953.319137246017</v>
      </c>
      <c r="L693" s="741">
        <f t="shared" ca="1" si="429"/>
        <v>-11980.192806362837</v>
      </c>
      <c r="M693" s="741">
        <f t="shared" ca="1" si="429"/>
        <v>-13103.335881959341</v>
      </c>
      <c r="N693" s="741">
        <f t="shared" ca="1" si="429"/>
        <v>-14331.773620893036</v>
      </c>
      <c r="O693" s="741">
        <f t="shared" ca="1" si="429"/>
        <v>-15675.377397851757</v>
      </c>
      <c r="P693" s="741">
        <f t="shared" ca="1" si="429"/>
        <v>-17144.944028900358</v>
      </c>
      <c r="Q693" s="741">
        <f t="shared" ca="1" si="429"/>
        <v>-18752.282531609766</v>
      </c>
      <c r="R693" s="741">
        <f t="shared" ca="1" si="429"/>
        <v>-20510.309018948181</v>
      </c>
      <c r="S693" s="741">
        <f t="shared" ca="1" si="429"/>
        <v>-22433.150489474574</v>
      </c>
      <c r="T693" s="741">
        <f t="shared" ca="1" si="429"/>
        <v>-24536.258347862815</v>
      </c>
      <c r="U693" s="741">
        <f t="shared" ca="1" si="429"/>
        <v>-26836.532567974959</v>
      </c>
      <c r="V693" s="741">
        <f t="shared" ca="1" si="429"/>
        <v>-29352.457496222614</v>
      </c>
      <c r="W693" s="741">
        <f t="shared" ca="1" si="429"/>
        <v>-32104.250386493481</v>
      </c>
      <c r="X693" s="741">
        <f t="shared" ca="1" si="429"/>
        <v>-35114.023860227237</v>
      </c>
      <c r="Y693" s="741">
        <f t="shared" ca="1" si="429"/>
        <v>0</v>
      </c>
      <c r="Z693" s="741">
        <f t="shared" ca="1" si="429"/>
        <v>0</v>
      </c>
      <c r="AA693" s="741">
        <f t="shared" ca="1" si="429"/>
        <v>0</v>
      </c>
      <c r="AB693" s="741">
        <f t="shared" ca="1" si="429"/>
        <v>0</v>
      </c>
      <c r="AC693" s="741">
        <f t="shared" ca="1" si="429"/>
        <v>0</v>
      </c>
      <c r="AD693" s="741">
        <f t="shared" ca="1" si="429"/>
        <v>0</v>
      </c>
      <c r="AE693" s="741">
        <f t="shared" ca="1" si="429"/>
        <v>0</v>
      </c>
      <c r="AF693" s="741">
        <f t="shared" ca="1" si="429"/>
        <v>0</v>
      </c>
      <c r="AG693" s="818"/>
    </row>
    <row r="694" spans="1:33">
      <c r="A694" s="1009"/>
      <c r="B694" s="1009" t="s">
        <v>831</v>
      </c>
      <c r="C694" s="818"/>
      <c r="D694" s="818"/>
      <c r="E694" s="818"/>
      <c r="F694" s="818"/>
      <c r="G694" s="818"/>
      <c r="H694" s="818"/>
      <c r="I694" s="1052">
        <f>+I$351+I$352</f>
        <v>0</v>
      </c>
      <c r="J694" s="741">
        <f>+J$351+J$352</f>
        <v>0</v>
      </c>
      <c r="K694" s="741">
        <f t="shared" ref="K694:AF694" si="430">+K$351+K$352</f>
        <v>0</v>
      </c>
      <c r="L694" s="741">
        <f t="shared" si="430"/>
        <v>0</v>
      </c>
      <c r="M694" s="741">
        <f t="shared" si="430"/>
        <v>0</v>
      </c>
      <c r="N694" s="741">
        <f t="shared" si="430"/>
        <v>0</v>
      </c>
      <c r="O694" s="741">
        <f t="shared" si="430"/>
        <v>0</v>
      </c>
      <c r="P694" s="741">
        <f t="shared" si="430"/>
        <v>0</v>
      </c>
      <c r="Q694" s="741">
        <f t="shared" si="430"/>
        <v>0</v>
      </c>
      <c r="R694" s="741">
        <f t="shared" si="430"/>
        <v>0</v>
      </c>
      <c r="S694" s="741">
        <f t="shared" si="430"/>
        <v>0</v>
      </c>
      <c r="T694" s="741">
        <f t="shared" si="430"/>
        <v>0</v>
      </c>
      <c r="U694" s="741">
        <f t="shared" si="430"/>
        <v>0</v>
      </c>
      <c r="V694" s="741">
        <f t="shared" si="430"/>
        <v>0</v>
      </c>
      <c r="W694" s="741">
        <f t="shared" si="430"/>
        <v>0</v>
      </c>
      <c r="X694" s="741">
        <f t="shared" si="430"/>
        <v>0</v>
      </c>
      <c r="Y694" s="741">
        <f t="shared" si="430"/>
        <v>0</v>
      </c>
      <c r="Z694" s="741">
        <f t="shared" si="430"/>
        <v>0</v>
      </c>
      <c r="AA694" s="741">
        <f t="shared" si="430"/>
        <v>0</v>
      </c>
      <c r="AB694" s="741">
        <f t="shared" si="430"/>
        <v>0</v>
      </c>
      <c r="AC694" s="741">
        <f t="shared" si="430"/>
        <v>0</v>
      </c>
      <c r="AD694" s="741">
        <f t="shared" si="430"/>
        <v>0</v>
      </c>
      <c r="AE694" s="741">
        <f t="shared" si="430"/>
        <v>0</v>
      </c>
      <c r="AF694" s="741">
        <f t="shared" si="430"/>
        <v>0</v>
      </c>
      <c r="AG694" s="818"/>
    </row>
    <row r="695" spans="1:33">
      <c r="A695" s="1009"/>
      <c r="B695" s="1009" t="str">
        <f>+A340</f>
        <v>Transaction Fees</v>
      </c>
      <c r="C695" s="818"/>
      <c r="D695" s="818"/>
      <c r="E695" s="818"/>
      <c r="F695" s="818"/>
      <c r="G695" s="818"/>
      <c r="H695" s="741"/>
      <c r="I695" s="1052">
        <f t="shared" ref="I695:AF695" si="431">-I340</f>
        <v>0</v>
      </c>
      <c r="J695" s="741">
        <f t="shared" si="431"/>
        <v>0</v>
      </c>
      <c r="K695" s="741">
        <f t="shared" si="431"/>
        <v>0</v>
      </c>
      <c r="L695" s="741">
        <f t="shared" si="431"/>
        <v>0</v>
      </c>
      <c r="M695" s="741">
        <f t="shared" si="431"/>
        <v>0</v>
      </c>
      <c r="N695" s="741">
        <f t="shared" si="431"/>
        <v>0</v>
      </c>
      <c r="O695" s="741">
        <f t="shared" si="431"/>
        <v>0</v>
      </c>
      <c r="P695" s="741">
        <f t="shared" si="431"/>
        <v>0</v>
      </c>
      <c r="Q695" s="741">
        <f t="shared" si="431"/>
        <v>0</v>
      </c>
      <c r="R695" s="741">
        <f t="shared" si="431"/>
        <v>0</v>
      </c>
      <c r="S695" s="741">
        <f t="shared" si="431"/>
        <v>0</v>
      </c>
      <c r="T695" s="741">
        <f t="shared" si="431"/>
        <v>0</v>
      </c>
      <c r="U695" s="741">
        <f t="shared" si="431"/>
        <v>0</v>
      </c>
      <c r="V695" s="741">
        <f t="shared" si="431"/>
        <v>0</v>
      </c>
      <c r="W695" s="741">
        <f t="shared" si="431"/>
        <v>0</v>
      </c>
      <c r="X695" s="741">
        <f t="shared" si="431"/>
        <v>0</v>
      </c>
      <c r="Y695" s="741">
        <f t="shared" si="431"/>
        <v>0</v>
      </c>
      <c r="Z695" s="741">
        <f t="shared" si="431"/>
        <v>0</v>
      </c>
      <c r="AA695" s="741">
        <f t="shared" si="431"/>
        <v>0</v>
      </c>
      <c r="AB695" s="741">
        <f t="shared" si="431"/>
        <v>0</v>
      </c>
      <c r="AC695" s="741">
        <f t="shared" si="431"/>
        <v>0</v>
      </c>
      <c r="AD695" s="741">
        <f t="shared" si="431"/>
        <v>0</v>
      </c>
      <c r="AE695" s="741">
        <f t="shared" si="431"/>
        <v>0</v>
      </c>
      <c r="AF695" s="741">
        <f t="shared" si="431"/>
        <v>0</v>
      </c>
      <c r="AG695" s="818"/>
    </row>
    <row r="696" spans="1:33">
      <c r="A696" s="1009"/>
      <c r="B696" s="1009" t="s">
        <v>827</v>
      </c>
      <c r="C696" s="818"/>
      <c r="D696" s="818"/>
      <c r="E696" s="818"/>
      <c r="F696" s="818"/>
      <c r="G696" s="818"/>
      <c r="H696" s="741"/>
      <c r="I696" s="1052">
        <f ca="1">+I$334-I$342</f>
        <v>-7097.8750964817973</v>
      </c>
      <c r="J696" s="741">
        <f ca="1">+J$334-J$342</f>
        <v>-11870.392720567563</v>
      </c>
      <c r="K696" s="741">
        <f t="shared" ref="K696:AF696" ca="1" si="432">+K$334-K$342</f>
        <v>22.004435766786628</v>
      </c>
      <c r="L696" s="741">
        <f t="shared" ca="1" si="432"/>
        <v>24.067351619924011</v>
      </c>
      <c r="M696" s="741">
        <f t="shared" ca="1" si="432"/>
        <v>26.323665834297572</v>
      </c>
      <c r="N696" s="741">
        <f t="shared" ca="1" si="432"/>
        <v>28.791509506256261</v>
      </c>
      <c r="O696" s="741">
        <f t="shared" ca="1" si="432"/>
        <v>31.490713522471196</v>
      </c>
      <c r="P696" s="741">
        <f t="shared" ca="1" si="432"/>
        <v>34.442967915205372</v>
      </c>
      <c r="Q696" s="741">
        <f t="shared" ca="1" si="432"/>
        <v>37.671996157248941</v>
      </c>
      <c r="R696" s="741">
        <f t="shared" ca="1" si="432"/>
        <v>41.203745796996373</v>
      </c>
      <c r="S696" s="741">
        <f t="shared" ca="1" si="432"/>
        <v>45.066596965458302</v>
      </c>
      <c r="T696" s="741">
        <f t="shared" ca="1" si="432"/>
        <v>49.291590430977521</v>
      </c>
      <c r="U696" s="741">
        <f t="shared" ca="1" si="432"/>
        <v>53.912677033873479</v>
      </c>
      <c r="V696" s="741">
        <f t="shared" ca="1" si="432"/>
        <v>58.966990505803551</v>
      </c>
      <c r="W696" s="741">
        <f t="shared" ca="1" si="432"/>
        <v>64.495145865726954</v>
      </c>
      <c r="X696" s="741">
        <f t="shared" ca="1" si="432"/>
        <v>70.541565790637833</v>
      </c>
      <c r="Y696" s="741">
        <f t="shared" ca="1" si="432"/>
        <v>18379.996864337696</v>
      </c>
      <c r="Z696" s="741">
        <f t="shared" ca="1" si="432"/>
        <v>-1.7053025658242404E-12</v>
      </c>
      <c r="AA696" s="741">
        <f t="shared" ca="1" si="432"/>
        <v>0</v>
      </c>
      <c r="AB696" s="741">
        <f t="shared" ca="1" si="432"/>
        <v>0</v>
      </c>
      <c r="AC696" s="741">
        <f t="shared" ca="1" si="432"/>
        <v>0</v>
      </c>
      <c r="AD696" s="741">
        <f t="shared" ca="1" si="432"/>
        <v>0</v>
      </c>
      <c r="AE696" s="741">
        <f t="shared" ca="1" si="432"/>
        <v>0</v>
      </c>
      <c r="AF696" s="741">
        <f t="shared" ca="1" si="432"/>
        <v>0</v>
      </c>
      <c r="AG696" s="818"/>
    </row>
    <row r="697" spans="1:33" ht="12" thickBot="1">
      <c r="A697" s="1222" t="s">
        <v>832</v>
      </c>
      <c r="B697" s="818"/>
      <c r="C697" s="818"/>
      <c r="D697" s="818"/>
      <c r="E697" s="818"/>
      <c r="F697" s="818"/>
      <c r="G697" s="818"/>
      <c r="H697" s="1223">
        <f ca="1">+H682</f>
        <v>-238460.26041541412</v>
      </c>
      <c r="I697" s="1224">
        <f ca="1">I690+I692+I693+I694+I695+I696</f>
        <v>18384.826698781428</v>
      </c>
      <c r="J697" s="1225">
        <f ca="1">J690+J692+J693+J694+J695+J696</f>
        <v>22616.831615538184</v>
      </c>
      <c r="K697" s="1225">
        <f t="shared" ref="K697:AF697" ca="1" si="433">K690+K692+K693+K694+K695+K696</f>
        <v>43540.187244550623</v>
      </c>
      <c r="L697" s="1225">
        <f t="shared" ca="1" si="433"/>
        <v>45709.923624669595</v>
      </c>
      <c r="M697" s="1225">
        <f t="shared" ca="1" si="433"/>
        <v>43602.748089362576</v>
      </c>
      <c r="N697" s="1225">
        <f t="shared" ca="1" si="433"/>
        <v>37765.16970633695</v>
      </c>
      <c r="O697" s="1225">
        <f t="shared" ca="1" si="433"/>
        <v>34392.862733265436</v>
      </c>
      <c r="P697" s="1225">
        <f t="shared" ca="1" si="433"/>
        <v>43998.548576434623</v>
      </c>
      <c r="Q697" s="1225">
        <f t="shared" ca="1" si="433"/>
        <v>39593.553304041314</v>
      </c>
      <c r="R697" s="1225">
        <f t="shared" ca="1" si="433"/>
        <v>39439.941242448971</v>
      </c>
      <c r="S697" s="1225">
        <f t="shared" ca="1" si="433"/>
        <v>39885.452256738332</v>
      </c>
      <c r="T697" s="1225">
        <f t="shared" ca="1" si="433"/>
        <v>32739.344289969515</v>
      </c>
      <c r="U697" s="1225">
        <f t="shared" ca="1" si="433"/>
        <v>36527.969965529104</v>
      </c>
      <c r="V697" s="1225">
        <f t="shared" ca="1" si="433"/>
        <v>30852.118208225027</v>
      </c>
      <c r="W697" s="1225">
        <f t="shared" ca="1" si="433"/>
        <v>27188.007275840937</v>
      </c>
      <c r="X697" s="1225">
        <f t="shared" ca="1" si="433"/>
        <v>24270.768729055937</v>
      </c>
      <c r="Y697" s="1225">
        <f t="shared" ca="1" si="433"/>
        <v>79447.153096753944</v>
      </c>
      <c r="Z697" s="1225">
        <f t="shared" ca="1" si="433"/>
        <v>57671.930005184477</v>
      </c>
      <c r="AA697" s="1225">
        <f t="shared" ca="1" si="433"/>
        <v>57186.601221160883</v>
      </c>
      <c r="AB697" s="1225">
        <f t="shared" ca="1" si="433"/>
        <v>47071.087785739539</v>
      </c>
      <c r="AC697" s="1225">
        <f t="shared" ca="1" si="433"/>
        <v>-41652.284405556784</v>
      </c>
      <c r="AD697" s="1225">
        <f t="shared" ca="1" si="433"/>
        <v>-26501.916163709921</v>
      </c>
      <c r="AE697" s="1225">
        <f t="shared" ca="1" si="433"/>
        <v>-27031.954486984119</v>
      </c>
      <c r="AF697" s="1225">
        <f t="shared" ca="1" si="433"/>
        <v>-27572.593576723819</v>
      </c>
      <c r="AG697" s="818"/>
    </row>
    <row r="698" spans="1:33" ht="12" thickTop="1">
      <c r="A698" s="1457" t="s">
        <v>443</v>
      </c>
      <c r="B698" s="1458">
        <f ca="1">+SUM(I698:S698)</f>
        <v>0</v>
      </c>
      <c r="C698" s="1458"/>
      <c r="D698" s="1458"/>
      <c r="E698" s="1458"/>
      <c r="F698" s="1458"/>
      <c r="G698" s="1458"/>
      <c r="H698" s="1459"/>
      <c r="I698" s="1460">
        <f ca="1">-I$356-I$353+I$345+I$362+I$363-I697</f>
        <v>0</v>
      </c>
      <c r="J698" s="1460">
        <f t="shared" ref="J698:AF698" ca="1" si="434">-J$356-J$353+J$345+J$362+J$363-J697</f>
        <v>0</v>
      </c>
      <c r="K698" s="1460">
        <f t="shared" ca="1" si="434"/>
        <v>0</v>
      </c>
      <c r="L698" s="1460">
        <f t="shared" ca="1" si="434"/>
        <v>0</v>
      </c>
      <c r="M698" s="1460">
        <f t="shared" ca="1" si="434"/>
        <v>0</v>
      </c>
      <c r="N698" s="1460">
        <f t="shared" ca="1" si="434"/>
        <v>0</v>
      </c>
      <c r="O698" s="1460">
        <f t="shared" ca="1" si="434"/>
        <v>0</v>
      </c>
      <c r="P698" s="1460">
        <f t="shared" ca="1" si="434"/>
        <v>0</v>
      </c>
      <c r="Q698" s="1460">
        <f t="shared" ca="1" si="434"/>
        <v>0</v>
      </c>
      <c r="R698" s="1460">
        <f t="shared" ca="1" si="434"/>
        <v>0</v>
      </c>
      <c r="S698" s="1460">
        <f t="shared" ca="1" si="434"/>
        <v>0</v>
      </c>
      <c r="T698" s="1460">
        <f t="shared" ca="1" si="434"/>
        <v>0</v>
      </c>
      <c r="U698" s="1460">
        <f t="shared" ca="1" si="434"/>
        <v>0</v>
      </c>
      <c r="V698" s="1460">
        <f t="shared" ca="1" si="434"/>
        <v>0</v>
      </c>
      <c r="W698" s="1460">
        <f t="shared" ca="1" si="434"/>
        <v>0</v>
      </c>
      <c r="X698" s="1460">
        <f t="shared" ca="1" si="434"/>
        <v>0</v>
      </c>
      <c r="Y698" s="1460">
        <f t="shared" ca="1" si="434"/>
        <v>0</v>
      </c>
      <c r="Z698" s="1460">
        <f t="shared" ca="1" si="434"/>
        <v>0</v>
      </c>
      <c r="AA698" s="1460">
        <f t="shared" ca="1" si="434"/>
        <v>0</v>
      </c>
      <c r="AB698" s="1460">
        <f t="shared" ca="1" si="434"/>
        <v>0</v>
      </c>
      <c r="AC698" s="1460">
        <f t="shared" ca="1" si="434"/>
        <v>0</v>
      </c>
      <c r="AD698" s="1460">
        <f t="shared" ca="1" si="434"/>
        <v>0</v>
      </c>
      <c r="AE698" s="1460">
        <f t="shared" ca="1" si="434"/>
        <v>0</v>
      </c>
      <c r="AF698" s="1460">
        <f t="shared" ca="1" si="434"/>
        <v>0</v>
      </c>
      <c r="AG698" s="818"/>
    </row>
    <row r="699" spans="1:33">
      <c r="A699" s="1461" t="s">
        <v>443</v>
      </c>
      <c r="B699" s="1458">
        <f ca="1">+SUM(I699:S699)</f>
        <v>0</v>
      </c>
      <c r="C699" s="1461"/>
      <c r="D699" s="1461"/>
      <c r="E699" s="1461"/>
      <c r="F699" s="1461"/>
      <c r="G699" s="1461"/>
      <c r="H699" s="1461"/>
      <c r="I699" s="1462">
        <f t="shared" ref="I699:AF699" ca="1" si="435">+I780-I353-I697</f>
        <v>0</v>
      </c>
      <c r="J699" s="1462">
        <f t="shared" ca="1" si="435"/>
        <v>0</v>
      </c>
      <c r="K699" s="1462">
        <f t="shared" ca="1" si="435"/>
        <v>0</v>
      </c>
      <c r="L699" s="1462">
        <f t="shared" ca="1" si="435"/>
        <v>0</v>
      </c>
      <c r="M699" s="1462">
        <f t="shared" ca="1" si="435"/>
        <v>0</v>
      </c>
      <c r="N699" s="1462">
        <f t="shared" ca="1" si="435"/>
        <v>0</v>
      </c>
      <c r="O699" s="1462">
        <f t="shared" ca="1" si="435"/>
        <v>0</v>
      </c>
      <c r="P699" s="1462">
        <f t="shared" ca="1" si="435"/>
        <v>0</v>
      </c>
      <c r="Q699" s="1462">
        <f t="shared" ca="1" si="435"/>
        <v>0</v>
      </c>
      <c r="R699" s="1462">
        <f t="shared" ca="1" si="435"/>
        <v>0</v>
      </c>
      <c r="S699" s="1462">
        <f t="shared" ca="1" si="435"/>
        <v>0</v>
      </c>
      <c r="T699" s="1462">
        <f t="shared" ca="1" si="435"/>
        <v>0</v>
      </c>
      <c r="U699" s="1462">
        <f t="shared" ca="1" si="435"/>
        <v>0</v>
      </c>
      <c r="V699" s="1462">
        <f t="shared" ca="1" si="435"/>
        <v>0</v>
      </c>
      <c r="W699" s="1462">
        <f t="shared" ca="1" si="435"/>
        <v>0</v>
      </c>
      <c r="X699" s="1462">
        <f t="shared" ca="1" si="435"/>
        <v>0</v>
      </c>
      <c r="Y699" s="1462">
        <f t="shared" ca="1" si="435"/>
        <v>0</v>
      </c>
      <c r="Z699" s="1462">
        <f t="shared" ca="1" si="435"/>
        <v>0</v>
      </c>
      <c r="AA699" s="1462">
        <f t="shared" ca="1" si="435"/>
        <v>0</v>
      </c>
      <c r="AB699" s="1462">
        <f t="shared" ca="1" si="435"/>
        <v>0</v>
      </c>
      <c r="AC699" s="1462">
        <f t="shared" ca="1" si="435"/>
        <v>0</v>
      </c>
      <c r="AD699" s="1462">
        <f t="shared" ca="1" si="435"/>
        <v>0</v>
      </c>
      <c r="AE699" s="1462">
        <f t="shared" ca="1" si="435"/>
        <v>0</v>
      </c>
      <c r="AF699" s="1462">
        <f t="shared" ca="1" si="435"/>
        <v>-1.0732037480920553E-9</v>
      </c>
      <c r="AG699" s="818"/>
    </row>
    <row r="700" spans="1:33" ht="12" thickBot="1">
      <c r="D700" s="880"/>
      <c r="E700" s="880"/>
      <c r="F700" s="880"/>
      <c r="AG700" s="818"/>
    </row>
    <row r="701" spans="1:33">
      <c r="A701" s="1226" t="s">
        <v>833</v>
      </c>
      <c r="B701" s="1227"/>
      <c r="C701" s="1227"/>
      <c r="D701" s="1227"/>
      <c r="E701" s="1228" t="s">
        <v>834</v>
      </c>
      <c r="F701" s="1229"/>
      <c r="G701" s="880"/>
      <c r="H701" s="880"/>
      <c r="I701" s="880"/>
      <c r="J701" s="880"/>
      <c r="K701" s="880"/>
      <c r="L701" s="880"/>
      <c r="M701" s="880"/>
      <c r="N701" s="880"/>
      <c r="O701" s="880"/>
      <c r="P701" s="880"/>
      <c r="Q701" s="880"/>
      <c r="R701" s="880"/>
      <c r="S701" s="880"/>
      <c r="T701" s="880"/>
      <c r="U701" s="880"/>
      <c r="V701" s="880"/>
      <c r="W701" s="880"/>
      <c r="X701" s="880"/>
      <c r="Y701" s="880"/>
      <c r="Z701" s="880"/>
      <c r="AA701" s="880"/>
      <c r="AB701" s="880"/>
      <c r="AC701" s="880"/>
      <c r="AD701" s="880"/>
      <c r="AE701" s="880"/>
      <c r="AF701" s="880"/>
      <c r="AG701" s="818"/>
    </row>
    <row r="702" spans="1:33">
      <c r="A702" s="1238" t="str">
        <f>+"(Federal Taxes @ " &amp; TEXT(I628,"0.00%")&amp;")"</f>
        <v>(Federal Taxes @ 35.00%)</v>
      </c>
      <c r="B702" s="741"/>
      <c r="C702" s="741"/>
      <c r="D702" s="741"/>
      <c r="E702" s="1165" t="s">
        <v>835</v>
      </c>
      <c r="F702" s="1231"/>
      <c r="G702" s="741"/>
      <c r="H702" s="692"/>
      <c r="I702" s="1232">
        <f>+I680</f>
        <v>37986</v>
      </c>
      <c r="J702" s="1232">
        <f t="shared" ref="J702:S702" si="436">+J680</f>
        <v>38352</v>
      </c>
      <c r="K702" s="1232">
        <f t="shared" si="436"/>
        <v>38717</v>
      </c>
      <c r="L702" s="1232">
        <f t="shared" si="436"/>
        <v>39082</v>
      </c>
      <c r="M702" s="1232">
        <f t="shared" si="436"/>
        <v>39447</v>
      </c>
      <c r="N702" s="1232">
        <f t="shared" si="436"/>
        <v>39813</v>
      </c>
      <c r="O702" s="1232">
        <f t="shared" si="436"/>
        <v>40178</v>
      </c>
      <c r="P702" s="1232">
        <f t="shared" si="436"/>
        <v>40543</v>
      </c>
      <c r="Q702" s="1232">
        <f t="shared" si="436"/>
        <v>40908</v>
      </c>
      <c r="R702" s="1232">
        <f t="shared" si="436"/>
        <v>41274</v>
      </c>
      <c r="S702" s="1232">
        <f t="shared" si="436"/>
        <v>41639</v>
      </c>
      <c r="T702" s="1232">
        <f t="shared" ref="T702:AC702" si="437">+T680</f>
        <v>42004</v>
      </c>
      <c r="U702" s="1232">
        <f t="shared" si="437"/>
        <v>42369</v>
      </c>
      <c r="V702" s="1232">
        <f t="shared" si="437"/>
        <v>42735</v>
      </c>
      <c r="W702" s="1232">
        <f t="shared" si="437"/>
        <v>43100</v>
      </c>
      <c r="X702" s="1232">
        <f t="shared" si="437"/>
        <v>43465</v>
      </c>
      <c r="Y702" s="1232">
        <f t="shared" si="437"/>
        <v>43830</v>
      </c>
      <c r="Z702" s="1232">
        <f t="shared" si="437"/>
        <v>44196</v>
      </c>
      <c r="AA702" s="1232">
        <f t="shared" si="437"/>
        <v>44561</v>
      </c>
      <c r="AB702" s="1232">
        <f t="shared" si="437"/>
        <v>44926</v>
      </c>
      <c r="AC702" s="1232">
        <f t="shared" si="437"/>
        <v>45291</v>
      </c>
      <c r="AD702" s="880"/>
      <c r="AE702" s="880"/>
      <c r="AF702" s="880"/>
      <c r="AG702" s="818"/>
    </row>
    <row r="703" spans="1:33">
      <c r="A703" s="1233"/>
      <c r="B703" s="741"/>
      <c r="C703" s="741"/>
      <c r="D703" s="741"/>
      <c r="E703" s="741"/>
      <c r="F703" s="1231"/>
      <c r="G703" s="1234" t="s">
        <v>836</v>
      </c>
      <c r="H703" s="880"/>
      <c r="I703" s="988">
        <f ca="1">+I$314+I$295</f>
        <v>28043.965564300521</v>
      </c>
      <c r="J703" s="988">
        <f ca="1">+J$314+J$295</f>
        <v>46106.243000453818</v>
      </c>
      <c r="K703" s="988">
        <f t="shared" ref="K703:AC703" ca="1" si="438">+K$314+K$295</f>
        <v>64172.912783895918</v>
      </c>
      <c r="L703" s="988">
        <f t="shared" ca="1" si="438"/>
        <v>71340.656254229776</v>
      </c>
      <c r="M703" s="988">
        <f t="shared" ca="1" si="438"/>
        <v>70936.413982080092</v>
      </c>
      <c r="N703" s="988">
        <f t="shared" ca="1" si="438"/>
        <v>64562.811032609374</v>
      </c>
      <c r="O703" s="988">
        <f t="shared" ca="1" si="438"/>
        <v>63360.140189649777</v>
      </c>
      <c r="P703" s="988">
        <f t="shared" ca="1" si="438"/>
        <v>83876.421728930291</v>
      </c>
      <c r="Q703" s="988">
        <f t="shared" ca="1" si="438"/>
        <v>82631.334750019974</v>
      </c>
      <c r="R703" s="988">
        <f t="shared" ca="1" si="438"/>
        <v>85541.22959112555</v>
      </c>
      <c r="S703" s="988">
        <f t="shared" ca="1" si="438"/>
        <v>89367.63084465632</v>
      </c>
      <c r="T703" s="988">
        <f t="shared" ca="1" si="438"/>
        <v>81276.731930378126</v>
      </c>
      <c r="U703" s="988">
        <f t="shared" ca="1" si="438"/>
        <v>92798.837932615905</v>
      </c>
      <c r="V703" s="988">
        <f t="shared" ca="1" si="438"/>
        <v>85093.656362913782</v>
      </c>
      <c r="W703" s="988">
        <f t="shared" ca="1" si="438"/>
        <v>84467.800692149758</v>
      </c>
      <c r="X703" s="988">
        <f t="shared" ca="1" si="438"/>
        <v>84851.285293264547</v>
      </c>
      <c r="Y703" s="988">
        <f t="shared" ca="1" si="438"/>
        <v>87410.664153132922</v>
      </c>
      <c r="Z703" s="988">
        <f t="shared" ca="1" si="438"/>
        <v>82223.499634878113</v>
      </c>
      <c r="AA703" s="988">
        <f t="shared" ca="1" si="438"/>
        <v>82928.766247298307</v>
      </c>
      <c r="AB703" s="988">
        <f t="shared" ca="1" si="438"/>
        <v>65252.83915662764</v>
      </c>
      <c r="AC703" s="988">
        <f t="shared" ca="1" si="438"/>
        <v>-26207.775874327919</v>
      </c>
      <c r="AD703" s="880"/>
      <c r="AE703" s="880"/>
      <c r="AF703" s="880"/>
      <c r="AG703" s="818"/>
    </row>
    <row r="704" spans="1:33">
      <c r="A704" s="1235"/>
      <c r="B704" s="880"/>
      <c r="C704" s="880"/>
      <c r="D704" s="880"/>
      <c r="E704" s="880"/>
      <c r="F704" s="1231"/>
      <c r="G704" s="1234" t="s">
        <v>837</v>
      </c>
      <c r="H704" s="880"/>
      <c r="I704" s="988">
        <f ca="1">+I308</f>
        <v>14195.750192963595</v>
      </c>
      <c r="J704" s="988">
        <f t="shared" ref="J704:AC704" ca="1" si="439">+J308</f>
        <v>27922.072422902362</v>
      </c>
      <c r="K704" s="988">
        <f t="shared" ca="1" si="439"/>
        <v>26939.207625319126</v>
      </c>
      <c r="L704" s="988">
        <f t="shared" ca="1" si="439"/>
        <v>25864.199252962459</v>
      </c>
      <c r="M704" s="988">
        <f t="shared" ca="1" si="439"/>
        <v>24688.408845697362</v>
      </c>
      <c r="N704" s="988">
        <f t="shared" ca="1" si="439"/>
        <v>23402.388087751155</v>
      </c>
      <c r="O704" s="988">
        <f t="shared" ca="1" si="439"/>
        <v>21995.802883747492</v>
      </c>
      <c r="P704" s="988">
        <f t="shared" ca="1" si="439"/>
        <v>20457.350316868484</v>
      </c>
      <c r="Q704" s="988">
        <f t="shared" ca="1" si="439"/>
        <v>18774.667821844574</v>
      </c>
      <c r="R704" s="988">
        <f t="shared" ca="1" si="439"/>
        <v>16934.23384291217</v>
      </c>
      <c r="S704" s="988">
        <f t="shared" ca="1" si="439"/>
        <v>14921.259178454853</v>
      </c>
      <c r="T704" s="988">
        <f t="shared" ca="1" si="439"/>
        <v>12719.568139204664</v>
      </c>
      <c r="U704" s="988">
        <f t="shared" ca="1" si="439"/>
        <v>10311.468565024768</v>
      </c>
      <c r="V704" s="988">
        <f t="shared" ca="1" si="439"/>
        <v>7677.6096557655055</v>
      </c>
      <c r="W704" s="988">
        <f t="shared" ca="1" si="439"/>
        <v>4796.8264737631889</v>
      </c>
      <c r="X704" s="988">
        <f t="shared" ca="1" si="439"/>
        <v>1645.969868448155</v>
      </c>
      <c r="Y704" s="988">
        <f t="shared" ca="1" si="439"/>
        <v>3.4106051316484809E-12</v>
      </c>
      <c r="Z704" s="988">
        <f t="shared" ca="1" si="439"/>
        <v>3.4106051316484809E-12</v>
      </c>
      <c r="AA704" s="988">
        <f t="shared" ca="1" si="439"/>
        <v>3.4106051316484809E-12</v>
      </c>
      <c r="AB704" s="988">
        <f t="shared" ca="1" si="439"/>
        <v>3.4106051316484809E-12</v>
      </c>
      <c r="AC704" s="988">
        <f t="shared" ca="1" si="439"/>
        <v>3.4106051316484809E-12</v>
      </c>
      <c r="AD704" s="880"/>
      <c r="AE704" s="880"/>
      <c r="AF704" s="880"/>
      <c r="AG704" s="818"/>
    </row>
    <row r="705" spans="1:33">
      <c r="A705" s="1233" t="s">
        <v>838</v>
      </c>
      <c r="B705" s="741"/>
      <c r="C705" s="741"/>
      <c r="D705" s="741"/>
      <c r="E705" s="1796">
        <f>Assumptions!L44</f>
        <v>0.12</v>
      </c>
      <c r="F705" s="1231"/>
      <c r="G705" s="1234" t="s">
        <v>839</v>
      </c>
      <c r="H705" s="880"/>
      <c r="I705" s="988">
        <f ca="1">I$343+I$344</f>
        <v>0</v>
      </c>
      <c r="J705" s="988">
        <f ca="1">J$343+J$344</f>
        <v>10014.463211196358</v>
      </c>
      <c r="K705" s="988">
        <f t="shared" ref="K705:AC705" ca="1" si="440">K$343+K$344</f>
        <v>10953.319137246017</v>
      </c>
      <c r="L705" s="988">
        <f t="shared" ca="1" si="440"/>
        <v>11980.192806362837</v>
      </c>
      <c r="M705" s="988">
        <f t="shared" ca="1" si="440"/>
        <v>13103.335881959341</v>
      </c>
      <c r="N705" s="988">
        <f t="shared" ca="1" si="440"/>
        <v>14331.773620893036</v>
      </c>
      <c r="O705" s="988">
        <f t="shared" ca="1" si="440"/>
        <v>15675.377397851757</v>
      </c>
      <c r="P705" s="988">
        <f t="shared" ca="1" si="440"/>
        <v>17144.944028900358</v>
      </c>
      <c r="Q705" s="988">
        <f t="shared" ca="1" si="440"/>
        <v>18752.282531609766</v>
      </c>
      <c r="R705" s="988">
        <f t="shared" ca="1" si="440"/>
        <v>20510.309018948181</v>
      </c>
      <c r="S705" s="988">
        <f t="shared" ca="1" si="440"/>
        <v>22433.150489474574</v>
      </c>
      <c r="T705" s="988">
        <f t="shared" ca="1" si="440"/>
        <v>24536.258347862815</v>
      </c>
      <c r="U705" s="988">
        <f t="shared" ca="1" si="440"/>
        <v>26836.532567974959</v>
      </c>
      <c r="V705" s="988">
        <f t="shared" ca="1" si="440"/>
        <v>29352.457496222614</v>
      </c>
      <c r="W705" s="988">
        <f t="shared" ca="1" si="440"/>
        <v>32104.250386493481</v>
      </c>
      <c r="X705" s="988">
        <f t="shared" ca="1" si="440"/>
        <v>35114.023860227237</v>
      </c>
      <c r="Y705" s="988">
        <f t="shared" ca="1" si="440"/>
        <v>0</v>
      </c>
      <c r="Z705" s="988">
        <f t="shared" ca="1" si="440"/>
        <v>0</v>
      </c>
      <c r="AA705" s="988">
        <f t="shared" ca="1" si="440"/>
        <v>0</v>
      </c>
      <c r="AB705" s="988">
        <f t="shared" ca="1" si="440"/>
        <v>0</v>
      </c>
      <c r="AC705" s="988">
        <f t="shared" ca="1" si="440"/>
        <v>0</v>
      </c>
      <c r="AD705" s="880"/>
      <c r="AE705" s="880"/>
      <c r="AF705" s="880"/>
      <c r="AG705" s="818"/>
    </row>
    <row r="706" spans="1:33">
      <c r="A706" s="1235"/>
      <c r="B706" s="880"/>
      <c r="C706" s="880"/>
      <c r="D706" s="880"/>
      <c r="E706" s="880"/>
      <c r="F706" s="1231"/>
      <c r="G706" s="1236" t="s">
        <v>840</v>
      </c>
      <c r="H706" s="880"/>
      <c r="I706" s="1237">
        <f ca="1">(I703+I704)/(I704+I705)</f>
        <v>2.9755183898770681</v>
      </c>
      <c r="J706" s="1237">
        <f ca="1">(J703+J704)/(J704+J705)</f>
        <v>1.9513725801787993</v>
      </c>
      <c r="K706" s="1237">
        <f t="shared" ref="K706:S706" ca="1" si="441">(K703+K704)/(K704+K705)</f>
        <v>2.4044878553526998</v>
      </c>
      <c r="L706" s="1237">
        <f t="shared" ca="1" si="441"/>
        <v>2.5685405476936398</v>
      </c>
      <c r="M706" s="1237">
        <f t="shared" ca="1" si="441"/>
        <v>2.5303098207529282</v>
      </c>
      <c r="N706" s="1237">
        <f t="shared" ca="1" si="441"/>
        <v>2.3311820148427822</v>
      </c>
      <c r="O706" s="1237">
        <f t="shared" ca="1" si="441"/>
        <v>2.2658154704828819</v>
      </c>
      <c r="P706" s="1237">
        <f t="shared" ca="1" si="441"/>
        <v>2.7746650533184507</v>
      </c>
      <c r="Q706" s="1237">
        <f t="shared" ca="1" si="441"/>
        <v>2.7022180490755003</v>
      </c>
      <c r="R706" s="1237">
        <f t="shared" ca="1" si="441"/>
        <v>2.7367262517288071</v>
      </c>
      <c r="S706" s="1237">
        <f t="shared" ca="1" si="441"/>
        <v>2.7918762724457733</v>
      </c>
      <c r="T706" s="1237">
        <f t="shared" ref="T706:AC706" ca="1" si="442">(T703+T704)/(T704+T705)</f>
        <v>2.5229959695622779</v>
      </c>
      <c r="U706" s="1237">
        <f t="shared" ca="1" si="442"/>
        <v>2.7756623062564887</v>
      </c>
      <c r="V706" s="1237">
        <f t="shared" ca="1" si="442"/>
        <v>2.5052956463163869</v>
      </c>
      <c r="W706" s="1237">
        <f t="shared" ca="1" si="442"/>
        <v>2.4190249922503768</v>
      </c>
      <c r="X706" s="1237">
        <f t="shared" ca="1" si="442"/>
        <v>2.3530269292249288</v>
      </c>
      <c r="Y706" s="1237">
        <f t="shared" ca="1" si="442"/>
        <v>2.5629077767464648E+16</v>
      </c>
      <c r="Z706" s="1237">
        <f t="shared" ca="1" si="442"/>
        <v>2.4108185046662448E+16</v>
      </c>
      <c r="AA706" s="1237">
        <f t="shared" ca="1" si="442"/>
        <v>2.4314971404272632E+16</v>
      </c>
      <c r="AB706" s="1237">
        <f t="shared" ca="1" si="442"/>
        <v>1.9132334772829112E+16</v>
      </c>
      <c r="AC706" s="1237">
        <f t="shared" ca="1" si="442"/>
        <v>-7684201149858898</v>
      </c>
      <c r="AD706" s="880"/>
      <c r="AE706" s="880"/>
      <c r="AF706" s="880"/>
      <c r="AG706" s="818"/>
    </row>
    <row r="707" spans="1:33">
      <c r="A707" s="1238" t="s">
        <v>841</v>
      </c>
      <c r="B707" s="741"/>
      <c r="C707" s="741"/>
      <c r="D707" s="741"/>
      <c r="E707" s="1239"/>
      <c r="F707" s="1231"/>
      <c r="G707" s="1236" t="s">
        <v>842</v>
      </c>
      <c r="H707" s="880"/>
      <c r="I707" s="1240">
        <f ca="1">XIRR($H697:I697,$H680:I680,0.15)</f>
        <v>-0.99380226379726078</v>
      </c>
      <c r="J707" s="1240">
        <f ca="1">XIRR($H697:J697,$H680:J680,0.15)</f>
        <v>-0.7648522462695837</v>
      </c>
      <c r="K707" s="1240">
        <f ca="1">XIRR($H697:K697,$H680:K680,0.15)</f>
        <v>-0.41113219074904911</v>
      </c>
      <c r="L707" s="1240">
        <f ca="1">XIRR($H697:L697,$H680:L680,0.15)</f>
        <v>-0.21302150879055259</v>
      </c>
      <c r="M707" s="1240">
        <f ca="1">XIRR($H697:M697,$H680:M680,0.15)</f>
        <v>-9.9534510076045982E-2</v>
      </c>
      <c r="N707" s="1240">
        <f ca="1">XIRR($H697:N697,$H680:N680,0.15)</f>
        <v>-3.4213037788867945E-2</v>
      </c>
      <c r="O707" s="1240">
        <f ca="1">XIRR($H697:O697,$H680:O680,0.15)</f>
        <v>8.2105770707130432E-3</v>
      </c>
      <c r="P707" s="1240">
        <f ca="1">XIRR($H697:P697,$H680:P680,0.15)</f>
        <v>4.6751748025417331E-2</v>
      </c>
      <c r="Q707" s="1240">
        <f ca="1">XIRR($H697:Q697,$H680:Q680,0.15)</f>
        <v>7.1561761200428023E-2</v>
      </c>
      <c r="R707" s="1240">
        <f ca="1">XIRR($H697:R697,$H680:R680,0.15)</f>
        <v>8.9986713230609902E-2</v>
      </c>
      <c r="S707" s="1240">
        <f ca="1">XIRR($H697:S697,$H680:S680,0.15)</f>
        <v>0.10413569658994677</v>
      </c>
      <c r="T707" s="1240">
        <f ca="1">XIRR($H697:T697,$H680:T680,0.15)</f>
        <v>0.11320437043905257</v>
      </c>
      <c r="U707" s="1240">
        <f ca="1">XIRR($H697:U697,$H680:U680,0.15)</f>
        <v>0.12124844938516616</v>
      </c>
      <c r="V707" s="1240">
        <f ca="1">XIRR($H697:V697,$H680:V680,0.15)</f>
        <v>0.12670492976903913</v>
      </c>
      <c r="W707" s="1240">
        <f ca="1">XIRR($H697:W697,$H680:W680,0.15)</f>
        <v>0.13064651638269426</v>
      </c>
      <c r="X707" s="1240">
        <f ca="1">XIRR($H697:X697,$H680:X680,0.15)</f>
        <v>0.13356834501028064</v>
      </c>
      <c r="Y707" s="1240">
        <f ca="1">XIRR($H697:Y697,$H680:Y680,0.15)</f>
        <v>0.14114885777235031</v>
      </c>
      <c r="Z707" s="1240">
        <f ca="1">XIRR($H697:Z697,$H680:Z680,0.15)</f>
        <v>0.14541251510381703</v>
      </c>
      <c r="AA707" s="1240">
        <f ca="1">XIRR($H697:AA697,$H680:AA680,0.15)</f>
        <v>0.14880359619855882</v>
      </c>
      <c r="AB707" s="1240">
        <f ca="1">XIRR($H697:AB697,$H680:AB680,0.15)</f>
        <v>0.15107752829790116</v>
      </c>
      <c r="AC707" s="1240">
        <f ca="1">XIRR($H697:AC697,$H680:AC680,0.15)</f>
        <v>0.14933806210756301</v>
      </c>
      <c r="AD707" s="880"/>
      <c r="AE707" s="880"/>
      <c r="AF707" s="880"/>
      <c r="AG707" s="818"/>
    </row>
    <row r="708" spans="1:33">
      <c r="A708" s="1241" t="s">
        <v>843</v>
      </c>
      <c r="B708" s="1242"/>
      <c r="C708" s="1242"/>
      <c r="D708" s="1242"/>
      <c r="E708" s="1418">
        <f ca="1">3*HLOOKUP(Assumptions!$C$18,Template!$I$283:$AF$290,8)</f>
        <v>195758.51746988291</v>
      </c>
      <c r="F708" s="1231"/>
      <c r="G708" s="1236"/>
      <c r="H708" s="880"/>
      <c r="I708" s="692"/>
      <c r="J708" s="1243"/>
      <c r="K708" s="1243"/>
      <c r="L708" s="1243"/>
      <c r="M708" s="1243"/>
      <c r="N708" s="1243"/>
      <c r="O708" s="1243"/>
      <c r="P708" s="1243"/>
      <c r="Q708" s="1243"/>
      <c r="R708" s="1243"/>
      <c r="S708" s="1243"/>
      <c r="T708" s="880"/>
      <c r="U708" s="880"/>
      <c r="V708" s="880"/>
      <c r="W708" s="880"/>
      <c r="X708" s="880"/>
      <c r="Y708" s="880"/>
      <c r="Z708" s="880"/>
      <c r="AA708" s="880"/>
      <c r="AB708" s="880"/>
      <c r="AC708" s="880"/>
      <c r="AD708" s="880"/>
      <c r="AE708" s="880"/>
      <c r="AF708" s="880"/>
      <c r="AG708" s="818"/>
    </row>
    <row r="709" spans="1:33">
      <c r="A709" s="1244" t="s">
        <v>844</v>
      </c>
      <c r="B709" s="932"/>
      <c r="C709" s="932"/>
      <c r="D709" s="932"/>
      <c r="E709" s="1245">
        <f ca="1">+$N$51-SUM($I$93:INDEX($I$61:$AF$93,33,MATCH(YEAR(Assumptions!$C$18),Template!$I$61:$AF$61)))</f>
        <v>10700.704065367056</v>
      </c>
      <c r="F709" s="1231"/>
      <c r="G709" s="880"/>
      <c r="H709" s="880"/>
      <c r="I709" s="880"/>
      <c r="J709" s="880"/>
      <c r="K709" s="880"/>
      <c r="L709" s="880"/>
      <c r="M709" s="880"/>
      <c r="N709" s="880"/>
      <c r="O709" s="880"/>
      <c r="P709" s="880"/>
      <c r="Q709" s="880"/>
      <c r="R709" s="880"/>
      <c r="S709" s="880"/>
      <c r="T709" s="880"/>
      <c r="U709" s="880"/>
      <c r="V709" s="880"/>
      <c r="W709" s="880"/>
      <c r="X709" s="880"/>
      <c r="Y709" s="880"/>
      <c r="Z709" s="880"/>
      <c r="AA709" s="880"/>
      <c r="AB709" s="880"/>
      <c r="AC709" s="880"/>
      <c r="AD709" s="880"/>
      <c r="AE709" s="880"/>
      <c r="AF709" s="880"/>
      <c r="AG709" s="818"/>
    </row>
    <row r="710" spans="1:33">
      <c r="A710" s="1246" t="s">
        <v>845</v>
      </c>
      <c r="B710" s="880"/>
      <c r="C710" s="880"/>
      <c r="D710" s="880"/>
      <c r="E710" s="1247">
        <f ca="1">+E708-(MAX((E708-E709)*Assumptions!$C$23,0))</f>
        <v>120354.86082007889</v>
      </c>
      <c r="F710" s="1231"/>
      <c r="G710" s="1236"/>
      <c r="H710" s="880"/>
      <c r="I710" s="880"/>
      <c r="J710" s="1248"/>
      <c r="K710" s="1248"/>
      <c r="L710" s="1248"/>
      <c r="M710" s="1248"/>
      <c r="N710" s="1248"/>
      <c r="O710" s="1248"/>
      <c r="P710" s="1248"/>
      <c r="Q710" s="1248"/>
      <c r="R710" s="1248"/>
      <c r="S710" s="1248"/>
      <c r="T710" s="880"/>
      <c r="U710" s="880"/>
      <c r="V710" s="880"/>
      <c r="W710" s="880"/>
      <c r="X710" s="880"/>
      <c r="Y710" s="880"/>
      <c r="Z710" s="880"/>
      <c r="AA710" s="880"/>
      <c r="AB710" s="880"/>
      <c r="AC710" s="880"/>
      <c r="AD710" s="880"/>
      <c r="AE710" s="880"/>
      <c r="AF710" s="880"/>
      <c r="AG710" s="818"/>
    </row>
    <row r="711" spans="1:33">
      <c r="A711" s="1249" t="s">
        <v>846</v>
      </c>
      <c r="B711" s="1250"/>
      <c r="C711" s="1250"/>
      <c r="D711" s="1250"/>
      <c r="E711" s="1247">
        <f ca="1">HLOOKUP(Assumptions!$C$18,Template!$J$538:$AF$546,9)</f>
        <v>6804.7810838693586</v>
      </c>
      <c r="F711" s="1231"/>
      <c r="G711" s="1236"/>
      <c r="H711" s="692"/>
      <c r="I711" s="692"/>
      <c r="J711" s="1251"/>
      <c r="K711" s="1251"/>
      <c r="L711" s="1251"/>
      <c r="M711" s="1251"/>
      <c r="N711" s="1251"/>
      <c r="O711" s="1251"/>
      <c r="P711" s="1251"/>
      <c r="Q711" s="1251"/>
      <c r="R711" s="1251"/>
      <c r="S711" s="1251"/>
      <c r="T711" s="880"/>
      <c r="U711" s="880"/>
      <c r="V711" s="880"/>
      <c r="W711" s="880"/>
      <c r="X711" s="880"/>
      <c r="Y711" s="880"/>
      <c r="Z711" s="880"/>
      <c r="AA711" s="880"/>
      <c r="AB711" s="880"/>
      <c r="AC711" s="880"/>
      <c r="AD711" s="880"/>
      <c r="AE711" s="880"/>
      <c r="AF711" s="880"/>
      <c r="AG711" s="818"/>
    </row>
    <row r="712" spans="1:33">
      <c r="A712" s="1249" t="s">
        <v>847</v>
      </c>
      <c r="B712" s="1250"/>
      <c r="C712" s="1250"/>
      <c r="D712" s="1250"/>
      <c r="E712" s="1247">
        <f ca="1">HLOOKUP(Assumptions!$C$18,Template!$I$367:$AF$384,18)</f>
        <v>1.7053025658242404E-12</v>
      </c>
      <c r="F712" s="1231"/>
      <c r="G712" s="880"/>
      <c r="H712" s="880"/>
      <c r="I712" s="880"/>
      <c r="J712" s="880"/>
      <c r="K712" s="880"/>
      <c r="L712" s="880"/>
      <c r="M712" s="880"/>
      <c r="N712" s="880"/>
      <c r="O712" s="880"/>
      <c r="P712" s="880"/>
      <c r="Q712" s="880"/>
      <c r="R712" s="880"/>
      <c r="S712" s="880"/>
      <c r="T712" s="880"/>
      <c r="U712" s="880"/>
      <c r="V712" s="880"/>
      <c r="W712" s="880"/>
      <c r="X712" s="880"/>
      <c r="Y712" s="880"/>
      <c r="Z712" s="880"/>
      <c r="AA712" s="880"/>
      <c r="AB712" s="880"/>
      <c r="AC712" s="880"/>
      <c r="AD712" s="880"/>
      <c r="AE712" s="880"/>
      <c r="AF712" s="880"/>
      <c r="AG712" s="818"/>
    </row>
    <row r="713" spans="1:33">
      <c r="A713" s="1249" t="s">
        <v>848</v>
      </c>
      <c r="B713" s="1250"/>
      <c r="C713" s="1250"/>
      <c r="D713" s="1250"/>
      <c r="E713" s="1247">
        <f ca="1">-HLOOKUP(Assumptions!$C$18,Template!$I$367:$AF$395,25)-HLOOKUP(Assumptions!$C$18,Template!$I$367:$AF$395,26)-HLOOKUP(Assumptions!$C$18,Template!$I$367:$AF$395,29)</f>
        <v>-3.637978807091713E-11</v>
      </c>
      <c r="F713" s="1231"/>
      <c r="G713" s="880"/>
      <c r="H713" s="880"/>
      <c r="I713" s="880"/>
      <c r="J713" s="880"/>
      <c r="K713" s="880"/>
      <c r="L713" s="880"/>
      <c r="M713" s="880"/>
      <c r="N713" s="880"/>
      <c r="O713" s="880"/>
      <c r="P713" s="880"/>
      <c r="Q713" s="880"/>
      <c r="R713" s="880"/>
      <c r="S713" s="880"/>
      <c r="T713" s="880"/>
      <c r="U713" s="880"/>
      <c r="V713" s="880"/>
      <c r="W713" s="880"/>
      <c r="X713" s="880"/>
      <c r="Y713" s="880"/>
      <c r="Z713" s="880"/>
      <c r="AA713" s="880"/>
      <c r="AB713" s="880"/>
      <c r="AC713" s="880"/>
      <c r="AD713" s="880"/>
      <c r="AE713" s="880"/>
      <c r="AF713" s="880"/>
      <c r="AG713" s="818"/>
    </row>
    <row r="714" spans="1:33">
      <c r="A714" s="1233"/>
      <c r="B714" s="741"/>
      <c r="C714" s="741"/>
      <c r="D714" s="741"/>
      <c r="E714" s="1252"/>
      <c r="F714" s="1231"/>
      <c r="AG714" s="818"/>
    </row>
    <row r="715" spans="1:33" ht="12" thickBot="1">
      <c r="A715" s="1253" t="s">
        <v>73</v>
      </c>
      <c r="B715" s="1079"/>
      <c r="C715" s="1079"/>
      <c r="D715" s="1079"/>
      <c r="E715" s="1254">
        <f ca="1">MAX(0,+SUM(E710:E713))</f>
        <v>127159.64190394821</v>
      </c>
      <c r="F715" s="1231"/>
      <c r="AG715" s="818"/>
    </row>
    <row r="716" spans="1:33" ht="12" thickTop="1">
      <c r="A716" s="1230" t="str">
        <f>"VALUATION as of "&amp;TEXT(H680,"m/d/y")</f>
        <v>VALUATION as of 6/30/03</v>
      </c>
      <c r="B716" s="741"/>
      <c r="C716" s="741"/>
      <c r="D716" s="741"/>
      <c r="E716" s="741"/>
      <c r="F716" s="1231"/>
      <c r="AG716" s="818"/>
    </row>
    <row r="717" spans="1:33">
      <c r="A717" s="1233" t="s">
        <v>849</v>
      </c>
      <c r="B717" s="741"/>
      <c r="C717" s="741"/>
      <c r="D717" s="741"/>
      <c r="E717" s="741">
        <f ca="1">XNPV(E705,$H$697:INDEX($I$680:$AF$697,18,MATCH(Assumptions!$C$18,$H$680:$AF$680)),H$680:INDEX($I$680:$AF$680,1,MATCH(Assumptions!$C$18,$H$680:$AF$680)))</f>
        <v>45784.018752416283</v>
      </c>
      <c r="F717" s="1231"/>
      <c r="AG717" s="818"/>
    </row>
    <row r="718" spans="1:33">
      <c r="A718" s="1255" t="s">
        <v>850</v>
      </c>
      <c r="B718" s="741"/>
      <c r="C718" s="741"/>
      <c r="D718" s="741"/>
      <c r="E718" s="741">
        <f ca="1">+E715/(1+E705)^((Assumptions!$C$18-TDATE)/365)</f>
        <v>13922.632792006689</v>
      </c>
      <c r="F718" s="1231"/>
      <c r="AG718" s="818"/>
    </row>
    <row r="719" spans="1:33">
      <c r="A719" s="1233" t="s">
        <v>851</v>
      </c>
      <c r="B719" s="741"/>
      <c r="C719" s="741"/>
      <c r="D719" s="741"/>
      <c r="E719" s="741">
        <f ca="1">Q$850</f>
        <v>0.155</v>
      </c>
      <c r="F719" s="1231"/>
      <c r="AG719" s="818"/>
    </row>
    <row r="720" spans="1:33">
      <c r="A720" s="1249" t="s">
        <v>852</v>
      </c>
      <c r="B720" s="1250"/>
      <c r="C720" s="1250"/>
      <c r="D720" s="1250"/>
      <c r="E720" s="1256">
        <f ca="1">SUM(E717:E719)</f>
        <v>59706.806544422972</v>
      </c>
      <c r="F720" s="1231"/>
      <c r="AG720" s="818"/>
    </row>
    <row r="721" spans="1:33" ht="12" thickBot="1">
      <c r="A721" s="1257" t="s">
        <v>853</v>
      </c>
      <c r="B721" s="1258"/>
      <c r="C721" s="1258"/>
      <c r="D721" s="1258"/>
      <c r="E721" s="1619">
        <f ca="1">HLOOKUP(Assumptions!$C$18,Template!$I$702:$AC$707,6)</f>
        <v>0.15107752829790116</v>
      </c>
      <c r="F721" s="1259"/>
      <c r="AG721" s="818"/>
    </row>
    <row r="722" spans="1:33">
      <c r="T722" s="818"/>
      <c r="U722" s="818"/>
      <c r="V722" s="818"/>
      <c r="W722" s="818"/>
      <c r="X722" s="818"/>
      <c r="Y722" s="818"/>
      <c r="Z722" s="818"/>
      <c r="AA722" s="818"/>
      <c r="AB722" s="818"/>
      <c r="AC722" s="818"/>
      <c r="AD722" s="818"/>
      <c r="AE722" s="818"/>
      <c r="AF722" s="818"/>
      <c r="AG722" s="818"/>
    </row>
    <row r="723" spans="1:33" ht="12" outlineLevel="1" thickBot="1">
      <c r="A723" s="665"/>
      <c r="B723" s="665"/>
      <c r="C723" s="665"/>
      <c r="D723" s="665"/>
      <c r="E723" s="665"/>
      <c r="F723" s="665"/>
      <c r="G723" s="665"/>
      <c r="H723" s="665"/>
      <c r="I723" s="665"/>
      <c r="J723" s="665"/>
      <c r="K723" s="665"/>
      <c r="L723" s="665"/>
      <c r="M723" s="665"/>
      <c r="N723" s="665"/>
      <c r="O723" s="665"/>
      <c r="P723" s="665"/>
      <c r="Q723" s="665"/>
      <c r="R723" s="665"/>
      <c r="S723" s="665"/>
      <c r="T723" s="818"/>
      <c r="U723" s="818"/>
      <c r="V723" s="818"/>
      <c r="W723" s="818"/>
      <c r="X723" s="818"/>
      <c r="Y723" s="818"/>
      <c r="Z723" s="818"/>
      <c r="AA723" s="818"/>
      <c r="AB723" s="818"/>
      <c r="AC723" s="818"/>
      <c r="AD723" s="818"/>
      <c r="AE723" s="818"/>
      <c r="AF723" s="818"/>
      <c r="AG723" s="818"/>
    </row>
    <row r="724" spans="1:33" ht="12" outlineLevel="1" thickTop="1">
      <c r="A724" s="1260"/>
      <c r="B724" s="1260"/>
      <c r="C724" s="1260"/>
      <c r="D724" s="1260"/>
      <c r="E724" s="1260"/>
      <c r="F724" s="1260"/>
      <c r="G724" s="1260"/>
      <c r="H724" s="1260"/>
      <c r="I724" s="1260"/>
      <c r="J724" s="1260"/>
      <c r="K724" s="1260"/>
      <c r="L724" s="1260"/>
      <c r="M724" s="1260"/>
      <c r="N724" s="1260"/>
      <c r="O724" s="1260"/>
      <c r="P724" s="1260"/>
      <c r="Q724" s="1260"/>
      <c r="R724" s="1260"/>
      <c r="S724" s="1260"/>
      <c r="T724" s="1261"/>
      <c r="U724" s="1261"/>
      <c r="V724" s="1261"/>
      <c r="W724" s="1261"/>
      <c r="X724" s="1261"/>
      <c r="Y724" s="1261"/>
      <c r="Z724" s="1261"/>
      <c r="AA724" s="1261"/>
      <c r="AB724" s="1261"/>
      <c r="AC724" s="1261"/>
      <c r="AD724" s="1261"/>
      <c r="AE724" s="1261"/>
      <c r="AF724" s="1261"/>
      <c r="AG724" s="818"/>
    </row>
    <row r="725" spans="1:33" outlineLevel="1">
      <c r="A725" s="1262" t="s">
        <v>854</v>
      </c>
      <c r="B725" s="1263"/>
      <c r="C725" s="1263"/>
      <c r="D725" s="1263"/>
      <c r="E725" s="1263"/>
      <c r="F725" s="1263"/>
      <c r="G725" s="1263"/>
      <c r="H725" s="1263"/>
      <c r="I725" s="1263"/>
      <c r="J725" s="1263"/>
      <c r="K725" s="1263"/>
      <c r="L725" s="1263"/>
      <c r="M725" s="1263"/>
      <c r="N725" s="1263"/>
      <c r="O725" s="1263"/>
      <c r="P725" s="1263"/>
      <c r="Q725" s="1263"/>
      <c r="R725" s="1263"/>
      <c r="S725" s="1263"/>
      <c r="T725" s="1264"/>
      <c r="U725" s="1264"/>
      <c r="V725" s="1264"/>
      <c r="W725" s="1264"/>
      <c r="X725" s="1264"/>
      <c r="Y725" s="1264"/>
      <c r="Z725" s="1264"/>
      <c r="AA725" s="1264"/>
      <c r="AB725" s="1264"/>
      <c r="AC725" s="1264"/>
      <c r="AD725" s="1264"/>
      <c r="AE725" s="1264"/>
      <c r="AF725" s="1264"/>
      <c r="AG725" s="818"/>
    </row>
    <row r="726" spans="1:33" outlineLevel="1">
      <c r="A726" s="1263"/>
      <c r="B726" s="1265" t="str">
        <f>+Template!B265</f>
        <v>Revenues (excluding deferred PP revenue)</v>
      </c>
      <c r="C726" s="1265"/>
      <c r="D726" s="1265"/>
      <c r="E726" s="1265">
        <f>+Template!E265</f>
        <v>0</v>
      </c>
      <c r="F726" s="1265">
        <f>+Template!F265</f>
        <v>0</v>
      </c>
      <c r="G726" s="1265">
        <f>+Template!G265</f>
        <v>0</v>
      </c>
      <c r="H726" s="1265">
        <f>+Template!H265</f>
        <v>0</v>
      </c>
      <c r="I726" s="1265">
        <f ca="1">+Template!I265</f>
        <v>115135.71555674403</v>
      </c>
      <c r="J726" s="1265">
        <f ca="1">+Template!J265</f>
        <v>215048.05097985614</v>
      </c>
      <c r="K726" s="1265">
        <f ca="1">+Template!K265</f>
        <v>235916.97416621918</v>
      </c>
      <c r="L726" s="1265">
        <f ca="1">+Template!L265</f>
        <v>245155.67947930383</v>
      </c>
      <c r="M726" s="1265">
        <f ca="1">+Template!M265</f>
        <v>248792.34089120023</v>
      </c>
      <c r="N726" s="1265">
        <f ca="1">+Template!N265</f>
        <v>246510.00956349491</v>
      </c>
      <c r="O726" s="1265">
        <f ca="1">+Template!O265</f>
        <v>242752.02727324315</v>
      </c>
      <c r="P726" s="1265">
        <f ca="1">+Template!P265</f>
        <v>272426.66108109587</v>
      </c>
      <c r="Q726" s="1265">
        <f ca="1">+Template!Q265</f>
        <v>274422.44003901776</v>
      </c>
      <c r="R726" s="1265">
        <f ca="1">+Template!R265</f>
        <v>278903.0379662849</v>
      </c>
      <c r="S726" s="1265">
        <f ca="1">+Template!S265</f>
        <v>286693.23297783005</v>
      </c>
      <c r="T726" s="1265">
        <f ca="1">+Template!T265</f>
        <v>281163.42284126068</v>
      </c>
      <c r="U726" s="1265">
        <f ca="1">+Template!U265</f>
        <v>285806.46724863182</v>
      </c>
      <c r="V726" s="1265">
        <f ca="1">+Template!V265</f>
        <v>287978.77657221607</v>
      </c>
      <c r="W726" s="1265">
        <f ca="1">+Template!W265</f>
        <v>290386.2775871515</v>
      </c>
      <c r="X726" s="1265">
        <f ca="1">+Template!X265</f>
        <v>291879.92596903513</v>
      </c>
      <c r="Y726" s="1265">
        <f ca="1">+Template!Y265</f>
        <v>299748.40899401886</v>
      </c>
      <c r="Z726" s="1265">
        <f ca="1">+Template!Z265</f>
        <v>297902.80794575723</v>
      </c>
      <c r="AA726" s="1265">
        <f ca="1">+Template!AA265</f>
        <v>291131.72780055628</v>
      </c>
      <c r="AB726" s="1265">
        <f ca="1">+Template!AB265</f>
        <v>270699.69031702843</v>
      </c>
      <c r="AC726" s="1265">
        <f>+Template!AC265</f>
        <v>0</v>
      </c>
      <c r="AD726" s="1265">
        <f>+Template!AD265</f>
        <v>0</v>
      </c>
      <c r="AE726" s="1265">
        <f>+Template!AE265</f>
        <v>0</v>
      </c>
      <c r="AF726" s="1265">
        <f>+Template!AF265</f>
        <v>0</v>
      </c>
      <c r="AG726" s="818"/>
    </row>
    <row r="727" spans="1:33" outlineLevel="1">
      <c r="A727" s="1263"/>
      <c r="B727" s="1265" t="str">
        <f>+Template!B266</f>
        <v>Cost of Sales</v>
      </c>
      <c r="C727" s="1265"/>
      <c r="D727" s="1265"/>
      <c r="E727" s="1265">
        <f>+Template!E266</f>
        <v>0</v>
      </c>
      <c r="F727" s="1265">
        <f>+Template!F266</f>
        <v>0</v>
      </c>
      <c r="G727" s="1265">
        <f>+Template!G266</f>
        <v>0</v>
      </c>
      <c r="H727" s="1265">
        <f>+Template!H266</f>
        <v>0</v>
      </c>
      <c r="I727" s="1265">
        <f ca="1">+Template!I266</f>
        <v>63590.006530416016</v>
      </c>
      <c r="J727" s="1265">
        <f ca="1">+Template!J266</f>
        <v>122157.05764183549</v>
      </c>
      <c r="K727" s="1265">
        <f ca="1">+Template!K266</f>
        <v>125401.43660798989</v>
      </c>
      <c r="L727" s="1265">
        <f ca="1">+Template!L266</f>
        <v>128115.35773057288</v>
      </c>
      <c r="M727" s="1265">
        <f ca="1">+Template!M266</f>
        <v>132963.28598446734</v>
      </c>
      <c r="N727" s="1265">
        <f ca="1">+Template!N266</f>
        <v>138026.26740941746</v>
      </c>
      <c r="O727" s="1265">
        <f ca="1">+Template!O266</f>
        <v>136533.11676612738</v>
      </c>
      <c r="P727" s="1265">
        <f ca="1">+Template!P266</f>
        <v>146630.78498192527</v>
      </c>
      <c r="Q727" s="1265">
        <f ca="1">+Template!Q266</f>
        <v>151172.77870933243</v>
      </c>
      <c r="R727" s="1265">
        <f ca="1">+Template!R266</f>
        <v>154155.00812004207</v>
      </c>
      <c r="S727" s="1265">
        <f ca="1">+Template!S266</f>
        <v>159686.98628610911</v>
      </c>
      <c r="T727" s="1265">
        <f ca="1">+Template!T266</f>
        <v>164109.36335281088</v>
      </c>
      <c r="U727" s="1265">
        <f ca="1">+Template!U266</f>
        <v>159128.67070220297</v>
      </c>
      <c r="V727" s="1265">
        <f ca="1">+Template!V266</f>
        <v>171295.32049021029</v>
      </c>
      <c r="W727" s="1265">
        <f ca="1">+Template!W266</f>
        <v>176775.1657946663</v>
      </c>
      <c r="X727" s="1265">
        <f ca="1">+Template!X266</f>
        <v>180596.89611585156</v>
      </c>
      <c r="Y727" s="1265">
        <f ca="1">+Template!Y266</f>
        <v>187058.19972942118</v>
      </c>
      <c r="Z727" s="1265">
        <f ca="1">+Template!Z266</f>
        <v>189953.99469611011</v>
      </c>
      <c r="AA727" s="1265">
        <f ca="1">+Template!AA266</f>
        <v>182000.92716407828</v>
      </c>
      <c r="AB727" s="1265">
        <f ca="1">+Template!AB266</f>
        <v>178884.86411938362</v>
      </c>
      <c r="AC727" s="1265">
        <f>+Template!AC266</f>
        <v>0</v>
      </c>
      <c r="AD727" s="1265">
        <f>+Template!AD266</f>
        <v>0</v>
      </c>
      <c r="AE727" s="1265">
        <f>+Template!AE266</f>
        <v>0</v>
      </c>
      <c r="AF727" s="1265">
        <f>+Template!AF266</f>
        <v>0</v>
      </c>
      <c r="AG727" s="818"/>
    </row>
    <row r="728" spans="1:33" outlineLevel="1">
      <c r="A728" s="1263"/>
      <c r="B728" s="1265" t="str">
        <f>+Template!B267</f>
        <v>Cash Expenses</v>
      </c>
      <c r="C728" s="1265"/>
      <c r="D728" s="1265"/>
      <c r="E728" s="1265">
        <f>+Template!E267</f>
        <v>0</v>
      </c>
      <c r="F728" s="1265">
        <f>+Template!F267</f>
        <v>0</v>
      </c>
      <c r="G728" s="1265">
        <f>+Template!G267</f>
        <v>0</v>
      </c>
      <c r="H728" s="1265">
        <f>+Template!H267</f>
        <v>0</v>
      </c>
      <c r="I728" s="1265">
        <f>+Template!I267</f>
        <v>9305.9932690639052</v>
      </c>
      <c r="J728" s="1265">
        <f>+Template!J267</f>
        <v>18862.677914664469</v>
      </c>
      <c r="K728" s="1265">
        <f>+Template!K267</f>
        <v>19403.417149014251</v>
      </c>
      <c r="L728" s="1265">
        <f>+Template!L267</f>
        <v>19835.466241538721</v>
      </c>
      <c r="M728" s="1265">
        <f>+Template!M267</f>
        <v>20204.232078955443</v>
      </c>
      <c r="N728" s="1265">
        <f>+Template!N267</f>
        <v>20518.543033716927</v>
      </c>
      <c r="O728" s="1265">
        <f>+Template!O267</f>
        <v>20862.967433718492</v>
      </c>
      <c r="P728" s="1265">
        <f>+Template!P267</f>
        <v>21462.104053371815</v>
      </c>
      <c r="Q728" s="1265">
        <f>+Template!Q267</f>
        <v>21843.658757820776</v>
      </c>
      <c r="R728" s="1265">
        <f>+Template!R267</f>
        <v>22272.566412205117</v>
      </c>
      <c r="S728" s="1265">
        <f>+Template!S267</f>
        <v>22717.356668609762</v>
      </c>
      <c r="T728" s="1265">
        <f>+Template!T267</f>
        <v>23057.759418867008</v>
      </c>
      <c r="U728" s="1265">
        <f>+Template!U267</f>
        <v>23567.490048788171</v>
      </c>
      <c r="V728" s="1265">
        <f>+Template!V267</f>
        <v>23912.1900633265</v>
      </c>
      <c r="W728" s="1265">
        <f>+Template!W267</f>
        <v>24346.484626572259</v>
      </c>
      <c r="X728" s="1265">
        <f>+Template!X267</f>
        <v>24785.774691470877</v>
      </c>
      <c r="Y728" s="1265">
        <f>+Template!Y267</f>
        <v>25279.545111464762</v>
      </c>
      <c r="Z728" s="1265">
        <f>+Template!Z267</f>
        <v>25725.313614769009</v>
      </c>
      <c r="AA728" s="1265">
        <f>+Template!AA267</f>
        <v>26202.034389179702</v>
      </c>
      <c r="AB728" s="1265">
        <f>+Template!AB267</f>
        <v>26561.987041017175</v>
      </c>
      <c r="AC728" s="1265">
        <f>+Template!AC267</f>
        <v>26207.775874327919</v>
      </c>
      <c r="AD728" s="1265">
        <f>+Template!AD267</f>
        <v>26501.916163709917</v>
      </c>
      <c r="AE728" s="1265">
        <f>+Template!AE267</f>
        <v>27031.954486984116</v>
      </c>
      <c r="AF728" s="1265">
        <f>+Template!AF267</f>
        <v>27572.593576723801</v>
      </c>
      <c r="AG728" s="818"/>
    </row>
    <row r="729" spans="1:33" outlineLevel="1">
      <c r="A729" s="1266"/>
      <c r="B729" s="1265" t="str">
        <f>+Template!B268</f>
        <v>Capital Expenditures - Total</v>
      </c>
      <c r="C729" s="1265"/>
      <c r="D729" s="1265"/>
      <c r="E729" s="1265">
        <f>+Template!E268</f>
        <v>0</v>
      </c>
      <c r="F729" s="1265">
        <f>+Template!F268</f>
        <v>0</v>
      </c>
      <c r="G729" s="1265">
        <f>+Template!G268</f>
        <v>0</v>
      </c>
      <c r="H729" s="1265">
        <f>+Template!H268</f>
        <v>0</v>
      </c>
      <c r="I729" s="1265">
        <f ca="1">+Template!I268</f>
        <v>528200.37436061481</v>
      </c>
      <c r="J729" s="1265">
        <f>+Template!J268</f>
        <v>0</v>
      </c>
      <c r="K729" s="1265">
        <f>+Template!K268</f>
        <v>0</v>
      </c>
      <c r="L729" s="1265">
        <f>+Template!L268</f>
        <v>0</v>
      </c>
      <c r="M729" s="1265">
        <f>+Template!M268</f>
        <v>0</v>
      </c>
      <c r="N729" s="1265">
        <f>+Template!N268</f>
        <v>0</v>
      </c>
      <c r="O729" s="1265">
        <f>+Template!O268</f>
        <v>0</v>
      </c>
      <c r="P729" s="1265">
        <f>+Template!P268</f>
        <v>0</v>
      </c>
      <c r="Q729" s="1265">
        <f>+Template!Q268</f>
        <v>0</v>
      </c>
      <c r="R729" s="1265">
        <f>+Template!R268</f>
        <v>0</v>
      </c>
      <c r="S729" s="1265">
        <f>+Template!S268</f>
        <v>0</v>
      </c>
      <c r="T729" s="1265">
        <f>+Template!T268</f>
        <v>0</v>
      </c>
      <c r="U729" s="1265">
        <f>+Template!U268</f>
        <v>0</v>
      </c>
      <c r="V729" s="1265">
        <f>+Template!V268</f>
        <v>0</v>
      </c>
      <c r="W729" s="1265">
        <f>+Template!W268</f>
        <v>0</v>
      </c>
      <c r="X729" s="1265">
        <f>+Template!X268</f>
        <v>0</v>
      </c>
      <c r="Y729" s="1265">
        <f>+Template!Y268</f>
        <v>0</v>
      </c>
      <c r="Z729" s="1265">
        <f>+Template!Z268</f>
        <v>0</v>
      </c>
      <c r="AA729" s="1265">
        <f>+Template!AA268</f>
        <v>0</v>
      </c>
      <c r="AB729" s="1265">
        <f>+Template!AB268</f>
        <v>0</v>
      </c>
      <c r="AC729" s="1265">
        <f>+Template!AC268</f>
        <v>0</v>
      </c>
      <c r="AD729" s="1265">
        <f>+Template!AD268</f>
        <v>0</v>
      </c>
      <c r="AE729" s="1265">
        <f>+Template!AE268</f>
        <v>0</v>
      </c>
      <c r="AF729" s="1265">
        <f>+Template!AF268</f>
        <v>0</v>
      </c>
      <c r="AG729" s="818"/>
    </row>
    <row r="730" spans="1:33" outlineLevel="1">
      <c r="A730" s="1266"/>
      <c r="B730" s="1265"/>
      <c r="C730" s="1265"/>
      <c r="D730" s="1265"/>
      <c r="E730" s="1265"/>
      <c r="F730" s="1265"/>
      <c r="G730" s="1265"/>
      <c r="H730" s="1265"/>
      <c r="I730" s="1265"/>
      <c r="J730" s="1265"/>
      <c r="K730" s="1265"/>
      <c r="L730" s="1265"/>
      <c r="M730" s="1265"/>
      <c r="N730" s="1265"/>
      <c r="O730" s="1265"/>
      <c r="P730" s="1265"/>
      <c r="Q730" s="1265"/>
      <c r="R730" s="1265"/>
      <c r="S730" s="1265"/>
      <c r="T730" s="1265"/>
      <c r="U730" s="1265"/>
      <c r="V730" s="1265"/>
      <c r="W730" s="1265"/>
      <c r="X730" s="1265"/>
      <c r="Y730" s="1265"/>
      <c r="Z730" s="1265"/>
      <c r="AA730" s="1265"/>
      <c r="AB730" s="1265"/>
      <c r="AC730" s="1265"/>
      <c r="AD730" s="1265"/>
      <c r="AE730" s="1265"/>
      <c r="AF730" s="1265"/>
      <c r="AG730" s="818"/>
    </row>
    <row r="731" spans="1:33" outlineLevel="1">
      <c r="A731" s="1266"/>
      <c r="B731" s="1265" t="str">
        <f>+Template!B270</f>
        <v>Capital Expenditures - Land</v>
      </c>
      <c r="C731" s="1265"/>
      <c r="D731" s="1265"/>
      <c r="E731" s="1265">
        <f>+Template!E270</f>
        <v>0</v>
      </c>
      <c r="F731" s="1265">
        <f>+Template!F270</f>
        <v>0</v>
      </c>
      <c r="G731" s="1265">
        <f>+Template!G270</f>
        <v>0</v>
      </c>
      <c r="H731" s="1265">
        <f>+Template!H270</f>
        <v>0</v>
      </c>
      <c r="I731" s="1265">
        <f>+Template!I270</f>
        <v>0</v>
      </c>
      <c r="J731" s="1265">
        <f>+Template!J270</f>
        <v>0</v>
      </c>
      <c r="K731" s="1265">
        <f>+Template!K270</f>
        <v>0</v>
      </c>
      <c r="L731" s="1265">
        <f>+Template!L270</f>
        <v>0</v>
      </c>
      <c r="M731" s="1265">
        <f>+Template!M270</f>
        <v>0</v>
      </c>
      <c r="N731" s="1265">
        <f>+Template!N270</f>
        <v>0</v>
      </c>
      <c r="O731" s="1265">
        <f>+Template!O270</f>
        <v>0</v>
      </c>
      <c r="P731" s="1265">
        <f>+Template!P270</f>
        <v>0</v>
      </c>
      <c r="Q731" s="1265">
        <f>+Template!Q270</f>
        <v>0</v>
      </c>
      <c r="R731" s="1265">
        <f>+Template!R270</f>
        <v>0</v>
      </c>
      <c r="S731" s="1265">
        <f>+Template!S270</f>
        <v>0</v>
      </c>
      <c r="T731" s="1265">
        <f>+Template!T270</f>
        <v>0</v>
      </c>
      <c r="U731" s="1265">
        <f>+Template!U270</f>
        <v>0</v>
      </c>
      <c r="V731" s="1265">
        <f>+Template!V270</f>
        <v>0</v>
      </c>
      <c r="W731" s="1265">
        <f>+Template!W270</f>
        <v>0</v>
      </c>
      <c r="X731" s="1265">
        <f>+Template!X270</f>
        <v>0</v>
      </c>
      <c r="Y731" s="1265">
        <f>+Template!Y270</f>
        <v>0</v>
      </c>
      <c r="Z731" s="1265">
        <f>+Template!Z270</f>
        <v>0</v>
      </c>
      <c r="AA731" s="1265">
        <f>+Template!AA270</f>
        <v>0</v>
      </c>
      <c r="AB731" s="1265">
        <f>+Template!AB270</f>
        <v>0</v>
      </c>
      <c r="AC731" s="1265">
        <f>+Template!AC270</f>
        <v>0</v>
      </c>
      <c r="AD731" s="1265">
        <f>+Template!AD270</f>
        <v>0</v>
      </c>
      <c r="AE731" s="1265">
        <f>+Template!AE270</f>
        <v>0</v>
      </c>
      <c r="AF731" s="1265">
        <f>+Template!AF270</f>
        <v>0</v>
      </c>
      <c r="AG731" s="818"/>
    </row>
    <row r="732" spans="1:33" outlineLevel="1">
      <c r="A732" s="1263"/>
      <c r="B732" s="1265" t="str">
        <f>+Template!B271</f>
        <v>Capitalized Costs</v>
      </c>
      <c r="C732" s="1265"/>
      <c r="D732" s="1265"/>
      <c r="E732" s="1265">
        <f>+Template!E271</f>
        <v>0</v>
      </c>
      <c r="F732" s="1265">
        <f>+Template!F271</f>
        <v>0</v>
      </c>
      <c r="G732" s="1265">
        <f>+Template!G271</f>
        <v>0</v>
      </c>
      <c r="H732" s="1265">
        <f>+Template!H271</f>
        <v>0</v>
      </c>
      <c r="I732" s="1265">
        <f ca="1">+Template!I271</f>
        <v>48563.258028614982</v>
      </c>
      <c r="J732" s="1265">
        <f>+Template!J271</f>
        <v>0</v>
      </c>
      <c r="K732" s="1265">
        <f>+Template!K271</f>
        <v>0</v>
      </c>
      <c r="L732" s="1265">
        <f>+Template!L271</f>
        <v>0</v>
      </c>
      <c r="M732" s="1265">
        <f>+Template!M271</f>
        <v>0</v>
      </c>
      <c r="N732" s="1265">
        <f>+Template!N271</f>
        <v>0</v>
      </c>
      <c r="O732" s="1265">
        <f>+Template!O271</f>
        <v>0</v>
      </c>
      <c r="P732" s="1265">
        <f>+Template!P271</f>
        <v>0</v>
      </c>
      <c r="Q732" s="1265">
        <f>+Template!Q271</f>
        <v>0</v>
      </c>
      <c r="R732" s="1265">
        <f>+Template!R271</f>
        <v>0</v>
      </c>
      <c r="S732" s="1265">
        <f>+Template!S271</f>
        <v>0</v>
      </c>
      <c r="T732" s="1265">
        <f>+Template!T271</f>
        <v>0</v>
      </c>
      <c r="U732" s="1265">
        <f>+Template!U271</f>
        <v>0</v>
      </c>
      <c r="V732" s="1265">
        <f>+Template!V271</f>
        <v>0</v>
      </c>
      <c r="W732" s="1265">
        <f>+Template!W271</f>
        <v>0</v>
      </c>
      <c r="X732" s="1265">
        <f>+Template!X271</f>
        <v>0</v>
      </c>
      <c r="Y732" s="1265">
        <f>+Template!Y271</f>
        <v>0</v>
      </c>
      <c r="Z732" s="1265">
        <f>+Template!Z271</f>
        <v>0</v>
      </c>
      <c r="AA732" s="1265">
        <f>+Template!AA271</f>
        <v>0</v>
      </c>
      <c r="AB732" s="1265">
        <f>+Template!AB271</f>
        <v>0</v>
      </c>
      <c r="AC732" s="1265">
        <f>+Template!AC271</f>
        <v>0</v>
      </c>
      <c r="AD732" s="1265">
        <f>+Template!AD271</f>
        <v>0</v>
      </c>
      <c r="AE732" s="1265">
        <f>+Template!AE271</f>
        <v>0</v>
      </c>
      <c r="AF732" s="1265">
        <f>+Template!AF271</f>
        <v>0</v>
      </c>
      <c r="AG732" s="818"/>
    </row>
    <row r="733" spans="1:33" outlineLevel="1">
      <c r="A733" s="1263"/>
      <c r="B733" s="1265" t="str">
        <f>+Template!B272</f>
        <v>Depreciation Expense - Book</v>
      </c>
      <c r="C733" s="1265"/>
      <c r="D733" s="1265"/>
      <c r="E733" s="1265">
        <f>+Template!E272</f>
        <v>0</v>
      </c>
      <c r="F733" s="1265">
        <f>+Template!F272</f>
        <v>0</v>
      </c>
      <c r="G733" s="1265">
        <f>+Template!G272</f>
        <v>0</v>
      </c>
      <c r="H733" s="1265">
        <f>+Template!H272</f>
        <v>0</v>
      </c>
      <c r="I733" s="1265">
        <f ca="1">+Template!I272</f>
        <v>11990.927908299995</v>
      </c>
      <c r="J733" s="1265">
        <f ca="1">+Template!J272</f>
        <v>23981.855816599989</v>
      </c>
      <c r="K733" s="1265">
        <f ca="1">+Template!K272</f>
        <v>23981.855816599989</v>
      </c>
      <c r="L733" s="1265">
        <f ca="1">+Template!L272</f>
        <v>23981.855816599989</v>
      </c>
      <c r="M733" s="1265">
        <f ca="1">+Template!M272</f>
        <v>23981.855816599989</v>
      </c>
      <c r="N733" s="1265">
        <f ca="1">+Template!N272</f>
        <v>23981.855816599989</v>
      </c>
      <c r="O733" s="1265">
        <f ca="1">+Template!O272</f>
        <v>23981.855816599989</v>
      </c>
      <c r="P733" s="1265">
        <f ca="1">+Template!P272</f>
        <v>23981.855816599989</v>
      </c>
      <c r="Q733" s="1265">
        <f ca="1">+Template!Q272</f>
        <v>23981.855816599989</v>
      </c>
      <c r="R733" s="1265">
        <f ca="1">+Template!R272</f>
        <v>23981.855816599989</v>
      </c>
      <c r="S733" s="1265">
        <f ca="1">+Template!S272</f>
        <v>23981.855816599989</v>
      </c>
      <c r="T733" s="1265">
        <f ca="1">+Template!T272</f>
        <v>23981.855816599989</v>
      </c>
      <c r="U733" s="1265">
        <f ca="1">+Template!U272</f>
        <v>23981.855816599989</v>
      </c>
      <c r="V733" s="1265">
        <f ca="1">+Template!V272</f>
        <v>23981.855816599989</v>
      </c>
      <c r="W733" s="1265">
        <f ca="1">+Template!W272</f>
        <v>23981.855816599989</v>
      </c>
      <c r="X733" s="1265">
        <f ca="1">+Template!X272</f>
        <v>23981.855816599989</v>
      </c>
      <c r="Y733" s="1265">
        <f ca="1">+Template!Y272</f>
        <v>23981.855816599989</v>
      </c>
      <c r="Z733" s="1265">
        <f ca="1">+Template!Z272</f>
        <v>23981.855816599989</v>
      </c>
      <c r="AA733" s="1265">
        <f ca="1">+Template!AA272</f>
        <v>23981.855816599989</v>
      </c>
      <c r="AB733" s="1265">
        <f ca="1">+Template!AB272</f>
        <v>23981.855816599989</v>
      </c>
      <c r="AC733" s="1265">
        <f ca="1">+Template!AC272</f>
        <v>11990.927908299995</v>
      </c>
      <c r="AD733" s="1265">
        <f ca="1">+Template!AD272</f>
        <v>0</v>
      </c>
      <c r="AE733" s="1265">
        <f ca="1">+Template!AE272</f>
        <v>0</v>
      </c>
      <c r="AF733" s="1265">
        <f ca="1">+Template!AF272</f>
        <v>0</v>
      </c>
      <c r="AG733" s="818"/>
    </row>
    <row r="734" spans="1:33" outlineLevel="1">
      <c r="A734" s="1263"/>
      <c r="B734" s="1265" t="str">
        <f>+Template!B273</f>
        <v>Depreciation Expense - Tax</v>
      </c>
      <c r="C734" s="1265"/>
      <c r="D734" s="1265"/>
      <c r="E734" s="1265">
        <f>+Template!E273</f>
        <v>0</v>
      </c>
      <c r="F734" s="1265">
        <f>+Template!F273</f>
        <v>0</v>
      </c>
      <c r="G734" s="1265">
        <f>+Template!G273</f>
        <v>0</v>
      </c>
      <c r="H734" s="1265">
        <f>+Template!H273</f>
        <v>0</v>
      </c>
      <c r="I734" s="1265">
        <f ca="1">+Template!I273</f>
        <v>17986.391862449989</v>
      </c>
      <c r="J734" s="1265">
        <f ca="1">+Template!J273</f>
        <v>34625.003428007069</v>
      </c>
      <c r="K734" s="1265">
        <f ca="1">+Template!K273</f>
        <v>32025.370257487622</v>
      </c>
      <c r="L734" s="1265">
        <f ca="1">+Template!L273</f>
        <v>29627.184675827626</v>
      </c>
      <c r="M734" s="1265">
        <f ca="1">+Template!M273</f>
        <v>27401.668456047148</v>
      </c>
      <c r="N734" s="1265">
        <f ca="1">+Template!N273</f>
        <v>25348.821598146187</v>
      </c>
      <c r="O734" s="1265">
        <f ca="1">+Template!O273</f>
        <v>23444.662246308148</v>
      </c>
      <c r="P734" s="1265">
        <f ca="1">+Template!P273</f>
        <v>21689.190400533033</v>
      </c>
      <c r="Q734" s="1265">
        <f ca="1">+Template!Q273</f>
        <v>21401.408130733831</v>
      </c>
      <c r="R734" s="1265">
        <f ca="1">+Template!R273</f>
        <v>21396.611759570507</v>
      </c>
      <c r="S734" s="1265">
        <f ca="1">+Template!S273</f>
        <v>21401.408130733831</v>
      </c>
      <c r="T734" s="1265">
        <f ca="1">+Template!T273</f>
        <v>21396.611759570507</v>
      </c>
      <c r="U734" s="1265">
        <f ca="1">+Template!U273</f>
        <v>21401.408130733831</v>
      </c>
      <c r="V734" s="1265">
        <f ca="1">+Template!V273</f>
        <v>21396.611759570507</v>
      </c>
      <c r="W734" s="1265">
        <f ca="1">+Template!W273</f>
        <v>21401.408130733831</v>
      </c>
      <c r="X734" s="1265">
        <f ca="1">+Template!X273</f>
        <v>21396.611759570507</v>
      </c>
      <c r="Y734" s="1265">
        <f ca="1">+Template!Y273</f>
        <v>21401.408130733831</v>
      </c>
      <c r="Z734" s="1265">
        <f ca="1">+Template!Z273</f>
        <v>21396.611759570507</v>
      </c>
      <c r="AA734" s="1265">
        <f ca="1">+Template!AA273</f>
        <v>21401.408130733831</v>
      </c>
      <c r="AB734" s="1265">
        <f ca="1">+Template!AB273</f>
        <v>21396.611759570507</v>
      </c>
      <c r="AC734" s="1265">
        <f ca="1">+Template!AC273</f>
        <v>10700.704065366916</v>
      </c>
      <c r="AD734" s="1265">
        <f ca="1">+Template!AD273</f>
        <v>0</v>
      </c>
      <c r="AE734" s="1265">
        <f ca="1">+Template!AE273</f>
        <v>0</v>
      </c>
      <c r="AF734" s="1265">
        <f ca="1">+Template!AF273</f>
        <v>0</v>
      </c>
      <c r="AG734" s="818"/>
    </row>
    <row r="735" spans="1:33" outlineLevel="1">
      <c r="A735" s="1263"/>
      <c r="B735" s="1265" t="str">
        <f>+Template!B274</f>
        <v>Amortization of Intangibles - Book</v>
      </c>
      <c r="C735" s="1265"/>
      <c r="D735" s="1265"/>
      <c r="E735" s="1265">
        <f>+Template!E274</f>
        <v>0</v>
      </c>
      <c r="F735" s="1265">
        <f>+Template!F274</f>
        <v>0</v>
      </c>
      <c r="G735" s="1265">
        <f>+Template!G274</f>
        <v>0</v>
      </c>
      <c r="H735" s="1265">
        <f>+Template!H274</f>
        <v>0</v>
      </c>
      <c r="I735" s="1265">
        <f ca="1">+Template!I274</f>
        <v>3468.8041449010702</v>
      </c>
      <c r="J735" s="1265">
        <f ca="1">+Template!J274</f>
        <v>6937.6082898021405</v>
      </c>
      <c r="K735" s="1265">
        <f ca="1">+Template!K274</f>
        <v>6937.6082898021405</v>
      </c>
      <c r="L735" s="1265">
        <f ca="1">+Template!L274</f>
        <v>6937.6082898021405</v>
      </c>
      <c r="M735" s="1265">
        <f ca="1">+Template!M274</f>
        <v>6937.6082898021405</v>
      </c>
      <c r="N735" s="1265">
        <f ca="1">+Template!N274</f>
        <v>6937.6082898021405</v>
      </c>
      <c r="O735" s="1265">
        <f ca="1">+Template!O274</f>
        <v>6937.6082898021405</v>
      </c>
      <c r="P735" s="1265">
        <f ca="1">+Template!P274</f>
        <v>3468.8041449010702</v>
      </c>
      <c r="Q735" s="1265">
        <f ca="1">+Template!Q274</f>
        <v>0</v>
      </c>
      <c r="R735" s="1265">
        <f ca="1">+Template!R274</f>
        <v>0</v>
      </c>
      <c r="S735" s="1265">
        <f ca="1">+Template!S274</f>
        <v>0</v>
      </c>
      <c r="T735" s="1265">
        <f ca="1">+Template!T274</f>
        <v>0</v>
      </c>
      <c r="U735" s="1265">
        <f ca="1">+Template!U274</f>
        <v>0</v>
      </c>
      <c r="V735" s="1265">
        <f ca="1">+Template!V274</f>
        <v>0</v>
      </c>
      <c r="W735" s="1265">
        <f ca="1">+Template!W274</f>
        <v>0</v>
      </c>
      <c r="X735" s="1265">
        <f ca="1">+Template!X274</f>
        <v>0</v>
      </c>
      <c r="Y735" s="1265">
        <f ca="1">+Template!Y274</f>
        <v>0</v>
      </c>
      <c r="Z735" s="1265">
        <f ca="1">+Template!Z274</f>
        <v>0</v>
      </c>
      <c r="AA735" s="1265">
        <f ca="1">+Template!AA274</f>
        <v>0</v>
      </c>
      <c r="AB735" s="1265">
        <f ca="1">+Template!AB274</f>
        <v>0</v>
      </c>
      <c r="AC735" s="1265">
        <f ca="1">+Template!AC274</f>
        <v>0</v>
      </c>
      <c r="AD735" s="1265">
        <f ca="1">+Template!AD274</f>
        <v>0</v>
      </c>
      <c r="AE735" s="1265">
        <f ca="1">+Template!AE274</f>
        <v>0</v>
      </c>
      <c r="AF735" s="1265">
        <f ca="1">+Template!AF274</f>
        <v>0</v>
      </c>
      <c r="AG735" s="818"/>
    </row>
    <row r="736" spans="1:33" outlineLevel="1">
      <c r="A736" s="1263"/>
      <c r="B736" s="1265"/>
      <c r="C736" s="1265"/>
      <c r="D736" s="1265"/>
      <c r="E736" s="1265"/>
      <c r="F736" s="1265"/>
      <c r="G736" s="1265"/>
      <c r="H736" s="1265"/>
      <c r="I736" s="1265"/>
      <c r="J736" s="1265"/>
      <c r="K736" s="1265"/>
      <c r="L736" s="1265"/>
      <c r="M736" s="1265"/>
      <c r="N736" s="1265"/>
      <c r="O736" s="1265"/>
      <c r="P736" s="1265"/>
      <c r="Q736" s="1265"/>
      <c r="R736" s="1265"/>
      <c r="S736" s="1265"/>
      <c r="T736" s="1265"/>
      <c r="U736" s="1265"/>
      <c r="V736" s="1265"/>
      <c r="W736" s="1265"/>
      <c r="X736" s="1265"/>
      <c r="Y736" s="1265"/>
      <c r="Z736" s="1265"/>
      <c r="AA736" s="1265"/>
      <c r="AB736" s="1265"/>
      <c r="AC736" s="1265"/>
      <c r="AD736" s="1265"/>
      <c r="AE736" s="1265"/>
      <c r="AF736" s="1265"/>
      <c r="AG736" s="818"/>
    </row>
    <row r="737" spans="1:33" ht="12" outlineLevel="1" thickBot="1">
      <c r="A737" s="1267"/>
      <c r="B737" s="1268"/>
      <c r="C737" s="1268"/>
      <c r="D737" s="1268"/>
      <c r="E737" s="1268"/>
      <c r="F737" s="1268"/>
      <c r="G737" s="1268"/>
      <c r="H737" s="1268"/>
      <c r="I737" s="1268"/>
      <c r="J737" s="1268"/>
      <c r="K737" s="1268"/>
      <c r="L737" s="1268"/>
      <c r="M737" s="1268"/>
      <c r="N737" s="1268"/>
      <c r="O737" s="1268"/>
      <c r="P737" s="1268"/>
      <c r="Q737" s="1268"/>
      <c r="R737" s="1268"/>
      <c r="S737" s="1268"/>
      <c r="T737" s="1268"/>
      <c r="U737" s="1268"/>
      <c r="V737" s="1268"/>
      <c r="W737" s="1268"/>
      <c r="X737" s="1268"/>
      <c r="Y737" s="1268"/>
      <c r="Z737" s="1268"/>
      <c r="AA737" s="1268"/>
      <c r="AB737" s="1268"/>
      <c r="AC737" s="1268"/>
      <c r="AD737" s="1268"/>
      <c r="AE737" s="1268"/>
      <c r="AF737" s="1268"/>
      <c r="AG737" s="818"/>
    </row>
    <row r="738" spans="1:33" ht="12" outlineLevel="1" thickTop="1">
      <c r="A738" s="1264"/>
      <c r="B738" s="1263"/>
      <c r="C738" s="1263"/>
      <c r="D738" s="1263"/>
      <c r="E738" s="1263"/>
      <c r="F738" s="1263"/>
      <c r="G738" s="1263"/>
      <c r="H738" s="1263"/>
      <c r="I738" s="1263"/>
      <c r="J738" s="1263"/>
      <c r="K738" s="1263"/>
      <c r="L738" s="1263"/>
      <c r="M738" s="1263"/>
      <c r="N738" s="1263"/>
      <c r="O738" s="1263"/>
      <c r="P738" s="1263"/>
      <c r="Q738" s="1263"/>
      <c r="R738" s="1263"/>
      <c r="S738" s="1263"/>
      <c r="T738" s="1263"/>
      <c r="U738" s="1263"/>
      <c r="V738" s="1263"/>
      <c r="W738" s="1263"/>
      <c r="X738" s="1263"/>
      <c r="Y738" s="1263"/>
      <c r="Z738" s="1263"/>
      <c r="AA738" s="1263"/>
      <c r="AB738" s="1263"/>
      <c r="AC738" s="1263"/>
      <c r="AD738" s="1263"/>
      <c r="AE738" s="1263"/>
      <c r="AF738" s="1263"/>
      <c r="AG738" s="818"/>
    </row>
    <row r="739" spans="1:33" outlineLevel="1">
      <c r="A739" s="1269" t="s">
        <v>855</v>
      </c>
      <c r="B739" s="1263"/>
      <c r="C739" s="1263"/>
      <c r="D739" s="1263"/>
      <c r="E739" s="1263"/>
      <c r="F739" s="1263"/>
      <c r="G739" s="1263"/>
      <c r="H739" s="1263"/>
      <c r="I739" s="1263"/>
      <c r="J739" s="1263"/>
      <c r="K739" s="1263"/>
      <c r="L739" s="1263"/>
      <c r="M739" s="1263"/>
      <c r="N739" s="1263"/>
      <c r="O739" s="1263"/>
      <c r="P739" s="1263"/>
      <c r="Q739" s="1263"/>
      <c r="R739" s="1263"/>
      <c r="S739" s="1263"/>
      <c r="T739" s="1263"/>
      <c r="U739" s="1263"/>
      <c r="V739" s="1263"/>
      <c r="W739" s="1263"/>
      <c r="X739" s="1263"/>
      <c r="Y739" s="1263"/>
      <c r="Z739" s="1263"/>
      <c r="AA739" s="1263"/>
      <c r="AB739" s="1263"/>
      <c r="AC739" s="1263"/>
      <c r="AD739" s="1263"/>
      <c r="AE739" s="1263"/>
      <c r="AF739" s="1263"/>
      <c r="AG739" s="818"/>
    </row>
    <row r="740" spans="1:33" outlineLevel="1">
      <c r="A740" s="1263"/>
      <c r="B740" s="1263"/>
      <c r="C740" s="1263"/>
      <c r="D740" s="1263"/>
      <c r="E740" s="1263" t="s">
        <v>856</v>
      </c>
      <c r="F740" s="1263"/>
      <c r="G740" s="1263"/>
      <c r="H740" s="1270">
        <f>+C442</f>
        <v>0.5</v>
      </c>
      <c r="I740" s="1263"/>
      <c r="J740" s="1263"/>
      <c r="K740" s="1263"/>
      <c r="L740" s="1263"/>
      <c r="M740" s="1263"/>
      <c r="N740" s="1263"/>
      <c r="O740" s="1263"/>
      <c r="P740" s="1263"/>
      <c r="Q740" s="1263"/>
      <c r="R740" s="1263"/>
      <c r="S740" s="1263"/>
      <c r="T740" s="1263"/>
      <c r="U740" s="1263"/>
      <c r="V740" s="1263"/>
      <c r="W740" s="1263"/>
      <c r="X740" s="1263"/>
      <c r="Y740" s="1263"/>
      <c r="Z740" s="1263"/>
      <c r="AA740" s="1263"/>
      <c r="AB740" s="1263"/>
      <c r="AC740" s="1263"/>
      <c r="AD740" s="1263"/>
      <c r="AE740" s="1263"/>
      <c r="AF740" s="1263"/>
      <c r="AG740" s="818"/>
    </row>
    <row r="741" spans="1:33" outlineLevel="1">
      <c r="A741" s="1263"/>
      <c r="B741" s="1263"/>
      <c r="C741" s="1263"/>
      <c r="D741" s="1263"/>
      <c r="E741" s="1271" t="s">
        <v>857</v>
      </c>
      <c r="F741" s="1263"/>
      <c r="G741" s="1272"/>
      <c r="H741" s="1273">
        <f>IF(F282="Millions",1000000,IF(F282="Thousands",1000,1))</f>
        <v>1000</v>
      </c>
      <c r="I741" s="1263"/>
      <c r="J741" s="1274"/>
      <c r="K741" s="1274"/>
      <c r="L741" s="1274"/>
      <c r="M741" s="1274"/>
      <c r="N741" s="1274"/>
      <c r="O741" s="1274"/>
      <c r="P741" s="1274"/>
      <c r="Q741" s="1274"/>
      <c r="R741" s="1274"/>
      <c r="S741" s="1274"/>
      <c r="T741" s="1274"/>
      <c r="U741" s="1274"/>
      <c r="V741" s="1274"/>
      <c r="W741" s="1274"/>
      <c r="X741" s="1274"/>
      <c r="Y741" s="1274"/>
      <c r="Z741" s="1274"/>
      <c r="AA741" s="1274"/>
      <c r="AB741" s="1274"/>
      <c r="AC741" s="1274"/>
      <c r="AD741" s="1274"/>
      <c r="AE741" s="1274"/>
      <c r="AF741" s="1274"/>
      <c r="AG741" s="818"/>
    </row>
    <row r="742" spans="1:33" outlineLevel="1">
      <c r="A742" s="1263"/>
      <c r="B742" s="1263"/>
      <c r="C742" s="1263"/>
      <c r="D742" s="1263"/>
      <c r="E742" s="1275"/>
      <c r="F742" s="1263"/>
      <c r="G742" s="1272"/>
      <c r="H742" s="1273"/>
      <c r="I742" s="1265"/>
      <c r="J742" s="1265"/>
      <c r="K742" s="1265"/>
      <c r="L742" s="1265"/>
      <c r="M742" s="1265"/>
      <c r="N742" s="1265"/>
      <c r="O742" s="1265"/>
      <c r="P742" s="1265"/>
      <c r="Q742" s="1265"/>
      <c r="R742" s="1265"/>
      <c r="S742" s="1265"/>
      <c r="T742" s="1265"/>
      <c r="U742" s="1265"/>
      <c r="V742" s="1265"/>
      <c r="W742" s="1265"/>
      <c r="X742" s="1265"/>
      <c r="Y742" s="1265"/>
      <c r="Z742" s="1265"/>
      <c r="AA742" s="1265"/>
      <c r="AB742" s="1265"/>
      <c r="AC742" s="1265"/>
      <c r="AD742" s="1265"/>
      <c r="AE742" s="1265"/>
      <c r="AF742" s="1265"/>
      <c r="AG742" s="818"/>
    </row>
    <row r="743" spans="1:33" outlineLevel="1">
      <c r="A743" s="1263"/>
      <c r="B743" s="1263"/>
      <c r="C743" s="1263"/>
      <c r="D743" s="1263"/>
      <c r="E743" s="1275"/>
      <c r="F743" s="1263"/>
      <c r="G743" s="1272"/>
      <c r="H743" s="1273"/>
      <c r="I743" s="1265"/>
      <c r="J743" s="1265"/>
      <c r="K743" s="1265"/>
      <c r="L743" s="1265"/>
      <c r="M743" s="1265"/>
      <c r="N743" s="1265"/>
      <c r="O743" s="1265"/>
      <c r="P743" s="1265"/>
      <c r="Q743" s="1265"/>
      <c r="R743" s="1265"/>
      <c r="S743" s="1265"/>
      <c r="T743" s="1265"/>
      <c r="U743" s="1265"/>
      <c r="V743" s="1265"/>
      <c r="W743" s="1265"/>
      <c r="X743" s="1265"/>
      <c r="Y743" s="1265"/>
      <c r="Z743" s="1265"/>
      <c r="AA743" s="1265"/>
      <c r="AB743" s="1265"/>
      <c r="AC743" s="1265"/>
      <c r="AD743" s="1265"/>
      <c r="AE743" s="1265"/>
      <c r="AF743" s="1265"/>
      <c r="AG743" s="818"/>
    </row>
    <row r="744" spans="1:33" outlineLevel="1">
      <c r="A744" s="1263"/>
      <c r="B744" s="1263"/>
      <c r="C744" s="1263"/>
      <c r="D744" s="1263"/>
      <c r="E744" s="1275"/>
      <c r="F744" s="1263"/>
      <c r="G744" s="1272"/>
      <c r="H744" s="1273"/>
      <c r="I744" s="1265"/>
      <c r="J744" s="1265"/>
      <c r="K744" s="1265"/>
      <c r="L744" s="1265"/>
      <c r="M744" s="1265"/>
      <c r="N744" s="1265"/>
      <c r="O744" s="1265"/>
      <c r="P744" s="1265"/>
      <c r="Q744" s="1265"/>
      <c r="R744" s="1265"/>
      <c r="S744" s="1265"/>
      <c r="T744" s="1265"/>
      <c r="U744" s="1265"/>
      <c r="V744" s="1265"/>
      <c r="W744" s="1265"/>
      <c r="X744" s="1265"/>
      <c r="Y744" s="1265"/>
      <c r="Z744" s="1265"/>
      <c r="AA744" s="1265"/>
      <c r="AB744" s="1265"/>
      <c r="AC744" s="1265"/>
      <c r="AD744" s="1265"/>
      <c r="AE744" s="1265"/>
      <c r="AF744" s="1265"/>
      <c r="AG744" s="818"/>
    </row>
    <row r="745" spans="1:33" ht="12" outlineLevel="1" thickBot="1">
      <c r="A745" s="1267"/>
      <c r="B745" s="1267"/>
      <c r="C745" s="1267"/>
      <c r="D745" s="1267"/>
      <c r="E745" s="1267"/>
      <c r="F745" s="1267"/>
      <c r="G745" s="1267"/>
      <c r="H745" s="1267"/>
      <c r="I745" s="1267"/>
      <c r="J745" s="1267"/>
      <c r="K745" s="1267"/>
      <c r="L745" s="1267"/>
      <c r="M745" s="1267"/>
      <c r="N745" s="1267"/>
      <c r="O745" s="1267"/>
      <c r="P745" s="1267"/>
      <c r="Q745" s="1267"/>
      <c r="R745" s="1267"/>
      <c r="S745" s="1267"/>
      <c r="T745" s="1267"/>
      <c r="U745" s="1267"/>
      <c r="V745" s="1267"/>
      <c r="W745" s="1267"/>
      <c r="X745" s="1267"/>
      <c r="Y745" s="1267"/>
      <c r="Z745" s="1267"/>
      <c r="AA745" s="1267"/>
      <c r="AB745" s="1267"/>
      <c r="AC745" s="1267"/>
      <c r="AD745" s="1267"/>
      <c r="AE745" s="1267"/>
      <c r="AF745" s="1267"/>
      <c r="AG745" s="818"/>
    </row>
    <row r="746" spans="1:33" ht="12" outlineLevel="1" thickTop="1">
      <c r="A746" s="1276"/>
      <c r="B746" s="1276"/>
      <c r="C746" s="1276"/>
      <c r="D746" s="1276"/>
      <c r="E746" s="1276"/>
      <c r="F746" s="1276"/>
      <c r="G746" s="1276"/>
      <c r="H746" s="1276"/>
      <c r="I746" s="1276"/>
      <c r="J746" s="1276"/>
      <c r="K746" s="1276"/>
      <c r="L746" s="1276"/>
      <c r="M746" s="1276"/>
      <c r="N746" s="1276"/>
      <c r="O746" s="1276"/>
      <c r="P746" s="1276"/>
      <c r="Q746" s="1276"/>
      <c r="R746" s="1276"/>
      <c r="S746" s="1276"/>
      <c r="T746" s="1276"/>
      <c r="U746" s="1276"/>
      <c r="V746" s="1276"/>
      <c r="W746" s="1276"/>
      <c r="X746" s="1276"/>
      <c r="Y746" s="1276"/>
      <c r="Z746" s="1276"/>
      <c r="AA746" s="1276"/>
      <c r="AB746" s="1276"/>
      <c r="AC746" s="1276"/>
      <c r="AD746" s="1276"/>
      <c r="AE746" s="1276"/>
      <c r="AF746" s="1276"/>
      <c r="AG746" s="818"/>
    </row>
    <row r="747" spans="1:33" ht="12" outlineLevel="1" thickBot="1">
      <c r="A747" s="818"/>
      <c r="B747" s="818"/>
      <c r="C747" s="818"/>
      <c r="D747" s="818"/>
      <c r="E747" s="818"/>
      <c r="F747" s="818"/>
      <c r="G747" s="818"/>
      <c r="H747" s="818"/>
      <c r="I747" s="818"/>
      <c r="J747" s="818"/>
      <c r="K747" s="818"/>
      <c r="L747" s="818"/>
      <c r="M747" s="818"/>
      <c r="N747" s="818"/>
      <c r="O747" s="818"/>
      <c r="P747" s="818"/>
      <c r="Q747" s="818"/>
      <c r="R747" s="818"/>
      <c r="S747" s="818"/>
      <c r="T747" s="818"/>
      <c r="U747" s="818"/>
      <c r="V747" s="818"/>
      <c r="W747" s="818"/>
      <c r="X747" s="818"/>
      <c r="Y747" s="818"/>
      <c r="Z747" s="818"/>
      <c r="AA747" s="818"/>
      <c r="AB747" s="818"/>
      <c r="AC747" s="818"/>
      <c r="AD747" s="818"/>
      <c r="AE747" s="818"/>
      <c r="AF747" s="818"/>
      <c r="AG747" s="818"/>
    </row>
    <row r="748" spans="1:33" ht="12.75" thickTop="1" thickBot="1">
      <c r="A748" s="917" t="s">
        <v>858</v>
      </c>
      <c r="B748" s="818"/>
      <c r="C748" s="818"/>
      <c r="D748" s="818"/>
      <c r="E748" s="1099">
        <f>E$599</f>
        <v>36891</v>
      </c>
      <c r="F748" s="1099">
        <f>F$599</f>
        <v>37256</v>
      </c>
      <c r="G748" s="1099">
        <f>G$599</f>
        <v>37621</v>
      </c>
      <c r="H748" s="1121">
        <f>H$599</f>
        <v>37802</v>
      </c>
      <c r="I748" s="1054">
        <f>I$599</f>
        <v>37986</v>
      </c>
      <c r="J748" s="1055">
        <f t="shared" ref="J748:AF748" si="443">J$599</f>
        <v>38352</v>
      </c>
      <c r="K748" s="1055">
        <f t="shared" si="443"/>
        <v>38717</v>
      </c>
      <c r="L748" s="1055">
        <f t="shared" si="443"/>
        <v>39082</v>
      </c>
      <c r="M748" s="1055">
        <f t="shared" si="443"/>
        <v>39447</v>
      </c>
      <c r="N748" s="1055">
        <f t="shared" si="443"/>
        <v>39813</v>
      </c>
      <c r="O748" s="1055">
        <f t="shared" si="443"/>
        <v>40178</v>
      </c>
      <c r="P748" s="1055">
        <f t="shared" si="443"/>
        <v>40543</v>
      </c>
      <c r="Q748" s="1055">
        <f t="shared" si="443"/>
        <v>40908</v>
      </c>
      <c r="R748" s="1055">
        <f t="shared" si="443"/>
        <v>41274</v>
      </c>
      <c r="S748" s="1055">
        <f t="shared" si="443"/>
        <v>41639</v>
      </c>
      <c r="T748" s="1055">
        <f t="shared" si="443"/>
        <v>42004</v>
      </c>
      <c r="U748" s="1055">
        <f t="shared" si="443"/>
        <v>42369</v>
      </c>
      <c r="V748" s="1055">
        <f t="shared" si="443"/>
        <v>42735</v>
      </c>
      <c r="W748" s="1055">
        <f t="shared" si="443"/>
        <v>43100</v>
      </c>
      <c r="X748" s="1055">
        <f t="shared" si="443"/>
        <v>43465</v>
      </c>
      <c r="Y748" s="1055">
        <f t="shared" si="443"/>
        <v>43830</v>
      </c>
      <c r="Z748" s="1055">
        <f t="shared" si="443"/>
        <v>44196</v>
      </c>
      <c r="AA748" s="1055">
        <f t="shared" si="443"/>
        <v>44561</v>
      </c>
      <c r="AB748" s="1055">
        <f t="shared" si="443"/>
        <v>44926</v>
      </c>
      <c r="AC748" s="1055">
        <f t="shared" si="443"/>
        <v>45291</v>
      </c>
      <c r="AD748" s="1055">
        <f t="shared" si="443"/>
        <v>45657</v>
      </c>
      <c r="AE748" s="1055">
        <f t="shared" si="443"/>
        <v>46022</v>
      </c>
      <c r="AF748" s="1055">
        <f t="shared" si="443"/>
        <v>46387</v>
      </c>
      <c r="AG748" s="818"/>
    </row>
    <row r="749" spans="1:33" ht="12" thickTop="1">
      <c r="A749" s="1277" t="s">
        <v>859</v>
      </c>
      <c r="B749" s="818"/>
      <c r="C749" s="818"/>
      <c r="D749" s="818"/>
      <c r="E749" s="818"/>
      <c r="F749" s="818"/>
      <c r="G749" s="818"/>
      <c r="H749" s="818"/>
      <c r="I749" s="818"/>
      <c r="J749" s="1052"/>
      <c r="K749" s="818"/>
      <c r="L749" s="818"/>
      <c r="M749" s="818"/>
      <c r="N749" s="818"/>
      <c r="O749" s="818"/>
      <c r="P749" s="818"/>
      <c r="Q749" s="818"/>
      <c r="R749" s="818"/>
      <c r="S749" s="818"/>
      <c r="T749" s="818"/>
      <c r="U749" s="818"/>
      <c r="V749" s="818"/>
      <c r="W749" s="818"/>
      <c r="X749" s="818"/>
      <c r="Y749" s="818"/>
      <c r="Z749" s="818"/>
      <c r="AA749" s="818"/>
      <c r="AB749" s="818"/>
      <c r="AC749" s="818"/>
      <c r="AD749" s="818"/>
      <c r="AE749" s="818"/>
      <c r="AF749" s="818"/>
      <c r="AG749" s="818"/>
    </row>
    <row r="750" spans="1:33">
      <c r="A750" s="1009"/>
      <c r="B750" s="1009" t="s">
        <v>634</v>
      </c>
      <c r="C750" s="665"/>
      <c r="D750" s="818"/>
      <c r="E750" s="818"/>
      <c r="F750" s="818"/>
      <c r="G750" s="818"/>
      <c r="H750" s="818"/>
      <c r="I750" s="818">
        <f t="shared" ref="I750:AF750" ca="1" si="444">I330</f>
        <v>7277.2153285209797</v>
      </c>
      <c r="J750" s="1052">
        <f t="shared" ca="1" si="444"/>
        <v>8639.8811735896052</v>
      </c>
      <c r="K750" s="818">
        <f t="shared" ca="1" si="444"/>
        <v>19345.105687070383</v>
      </c>
      <c r="L750" s="818">
        <f t="shared" ca="1" si="444"/>
        <v>23592.280402982011</v>
      </c>
      <c r="M750" s="818">
        <f t="shared" ca="1" si="444"/>
        <v>23352.750687042433</v>
      </c>
      <c r="N750" s="818">
        <f t="shared" ca="1" si="444"/>
        <v>19576.135995363056</v>
      </c>
      <c r="O750" s="818">
        <f t="shared" ca="1" si="444"/>
        <v>18863.505414075778</v>
      </c>
      <c r="P750" s="818">
        <f t="shared" ca="1" si="444"/>
        <v>33075.62808538074</v>
      </c>
      <c r="Q750" s="818">
        <f t="shared" ca="1" si="444"/>
        <v>34393.269454916895</v>
      </c>
      <c r="R750" s="818">
        <f t="shared" ca="1" si="444"/>
        <v>36117.498544065595</v>
      </c>
      <c r="S750" s="818">
        <f t="shared" ca="1" si="444"/>
        <v>38564.240738978609</v>
      </c>
      <c r="T750" s="818">
        <f t="shared" ca="1" si="444"/>
        <v>33949.505892458095</v>
      </c>
      <c r="U750" s="818">
        <f t="shared" ca="1" si="444"/>
        <v>40776.814583024076</v>
      </c>
      <c r="V750" s="818">
        <f t="shared" ca="1" si="444"/>
        <v>36211.186295712774</v>
      </c>
      <c r="W750" s="818">
        <f t="shared" ca="1" si="444"/>
        <v>35840.341776558256</v>
      </c>
      <c r="X750" s="818">
        <f t="shared" ca="1" si="444"/>
        <v>36067.571742102824</v>
      </c>
      <c r="Y750" s="818">
        <f t="shared" ca="1" si="444"/>
        <v>37584.106091729227</v>
      </c>
      <c r="Z750" s="818">
        <f t="shared" ca="1" si="444"/>
        <v>34510.503628082522</v>
      </c>
      <c r="AA750" s="818">
        <f t="shared" ca="1" si="444"/>
        <v>34928.402306605982</v>
      </c>
      <c r="AB750" s="818">
        <f t="shared" ca="1" si="444"/>
        <v>24454.708468299985</v>
      </c>
      <c r="AC750" s="818">
        <f t="shared" ca="1" si="444"/>
        <v>-38198.703782627912</v>
      </c>
      <c r="AD750" s="818">
        <f t="shared" ca="1" si="444"/>
        <v>-26501.916163709921</v>
      </c>
      <c r="AE750" s="818">
        <f t="shared" ca="1" si="444"/>
        <v>-27031.954486984119</v>
      </c>
      <c r="AF750" s="818">
        <f t="shared" ca="1" si="444"/>
        <v>-27572.593576723819</v>
      </c>
      <c r="AG750" s="818"/>
    </row>
    <row r="751" spans="1:33">
      <c r="A751" s="1009"/>
      <c r="B751" s="1009"/>
      <c r="C751" s="665"/>
      <c r="D751" s="818"/>
      <c r="E751" s="818"/>
      <c r="F751" s="818"/>
      <c r="G751" s="818"/>
      <c r="H751" s="818"/>
      <c r="I751" s="818"/>
      <c r="J751" s="1052"/>
      <c r="K751" s="818"/>
      <c r="L751" s="818"/>
      <c r="M751" s="818"/>
      <c r="N751" s="818"/>
      <c r="O751" s="818"/>
      <c r="P751" s="818"/>
      <c r="Q751" s="818"/>
      <c r="R751" s="818"/>
      <c r="S751" s="818"/>
      <c r="T751" s="818"/>
      <c r="U751" s="818"/>
      <c r="V751" s="818"/>
      <c r="W751" s="818"/>
      <c r="X751" s="818"/>
      <c r="Y751" s="818"/>
      <c r="Z751" s="818"/>
      <c r="AA751" s="818"/>
      <c r="AB751" s="818"/>
      <c r="AC751" s="818"/>
      <c r="AD751" s="818"/>
      <c r="AE751" s="818"/>
      <c r="AF751" s="818"/>
      <c r="AG751" s="818"/>
    </row>
    <row r="752" spans="1:33">
      <c r="A752" s="1016" t="s">
        <v>798</v>
      </c>
      <c r="B752" s="818" t="str">
        <f>A331</f>
        <v>Depreciation &amp; Amortization</v>
      </c>
      <c r="C752" s="665"/>
      <c r="D752" s="818"/>
      <c r="E752" s="818"/>
      <c r="F752" s="818"/>
      <c r="G752" s="818"/>
      <c r="H752" s="818"/>
      <c r="I752" s="818">
        <f t="shared" ref="I752:AF752" ca="1" si="445">I331</f>
        <v>15762.574723984289</v>
      </c>
      <c r="J752" s="1052">
        <f t="shared" ca="1" si="445"/>
        <v>31525.149447968579</v>
      </c>
      <c r="K752" s="818">
        <f t="shared" ca="1" si="445"/>
        <v>31525.149447968579</v>
      </c>
      <c r="L752" s="818">
        <f t="shared" ca="1" si="445"/>
        <v>31525.149447968579</v>
      </c>
      <c r="M752" s="818">
        <f t="shared" ca="1" si="445"/>
        <v>31525.149447968579</v>
      </c>
      <c r="N752" s="818">
        <f t="shared" ca="1" si="445"/>
        <v>31525.149447968579</v>
      </c>
      <c r="O752" s="818">
        <f t="shared" ca="1" si="445"/>
        <v>31525.149447968579</v>
      </c>
      <c r="P752" s="818">
        <f t="shared" ca="1" si="445"/>
        <v>28056.345303067508</v>
      </c>
      <c r="Q752" s="818">
        <f t="shared" ca="1" si="445"/>
        <v>24587.541158166438</v>
      </c>
      <c r="R752" s="818">
        <f t="shared" ca="1" si="445"/>
        <v>24587.541158166438</v>
      </c>
      <c r="S752" s="818">
        <f t="shared" ca="1" si="445"/>
        <v>24284.698487383212</v>
      </c>
      <c r="T752" s="818">
        <f t="shared" ca="1" si="445"/>
        <v>23981.855816599989</v>
      </c>
      <c r="U752" s="818">
        <f t="shared" ca="1" si="445"/>
        <v>23981.855816599989</v>
      </c>
      <c r="V752" s="818">
        <f t="shared" ca="1" si="445"/>
        <v>23981.855816599989</v>
      </c>
      <c r="W752" s="818">
        <f t="shared" ca="1" si="445"/>
        <v>23981.855816599989</v>
      </c>
      <c r="X752" s="818">
        <f t="shared" ca="1" si="445"/>
        <v>23981.855816599989</v>
      </c>
      <c r="Y752" s="818">
        <f t="shared" ca="1" si="445"/>
        <v>23981.855816599989</v>
      </c>
      <c r="Z752" s="818">
        <f t="shared" ca="1" si="445"/>
        <v>23981.855816599989</v>
      </c>
      <c r="AA752" s="818">
        <f t="shared" ca="1" si="445"/>
        <v>23981.855816599989</v>
      </c>
      <c r="AB752" s="818">
        <f t="shared" ca="1" si="445"/>
        <v>23981.855816599989</v>
      </c>
      <c r="AC752" s="818">
        <f t="shared" ca="1" si="445"/>
        <v>11990.927908299995</v>
      </c>
      <c r="AD752" s="818">
        <f t="shared" ca="1" si="445"/>
        <v>0</v>
      </c>
      <c r="AE752" s="818">
        <f t="shared" ca="1" si="445"/>
        <v>0</v>
      </c>
      <c r="AF752" s="818">
        <f t="shared" ca="1" si="445"/>
        <v>0</v>
      </c>
      <c r="AG752" s="818"/>
    </row>
    <row r="753" spans="1:33">
      <c r="A753" s="1009"/>
      <c r="B753" s="818" t="str">
        <f>A332</f>
        <v>Deferred Income Taxes</v>
      </c>
      <c r="C753" s="665"/>
      <c r="D753" s="818"/>
      <c r="E753" s="818"/>
      <c r="F753" s="818"/>
      <c r="G753" s="818"/>
      <c r="H753" s="818"/>
      <c r="I753" s="818">
        <f t="shared" ref="I753:AF753" ca="1" si="446">I332</f>
        <v>2442.9117427579563</v>
      </c>
      <c r="J753" s="1052">
        <f t="shared" ca="1" si="446"/>
        <v>4336.6569257439296</v>
      </c>
      <c r="K753" s="818">
        <f t="shared" ca="1" si="446"/>
        <v>3277.4103940840741</v>
      </c>
      <c r="L753" s="818">
        <f t="shared" ca="1" si="446"/>
        <v>2300.2456969808936</v>
      </c>
      <c r="M753" s="818">
        <f t="shared" ca="1" si="446"/>
        <v>1393.4368580691353</v>
      </c>
      <c r="N753" s="818">
        <f t="shared" ca="1" si="446"/>
        <v>556.98387734881544</v>
      </c>
      <c r="O753" s="818">
        <f t="shared" ca="1" si="446"/>
        <v>-218.88489215111622</v>
      </c>
      <c r="P753" s="818">
        <f t="shared" ca="1" si="446"/>
        <v>-934.16945043064334</v>
      </c>
      <c r="Q753" s="818">
        <f t="shared" ca="1" si="446"/>
        <v>-1051.4292140830185</v>
      </c>
      <c r="R753" s="818">
        <f t="shared" ca="1" si="446"/>
        <v>-1053.3835434772336</v>
      </c>
      <c r="S753" s="818">
        <f t="shared" ca="1" si="446"/>
        <v>-1051.4292140830221</v>
      </c>
      <c r="T753" s="818">
        <f t="shared" ca="1" si="446"/>
        <v>-1053.3835434772336</v>
      </c>
      <c r="U753" s="818">
        <f t="shared" ca="1" si="446"/>
        <v>-1051.4292140830221</v>
      </c>
      <c r="V753" s="818">
        <f t="shared" ca="1" si="446"/>
        <v>-1053.3835434772336</v>
      </c>
      <c r="W753" s="818">
        <f t="shared" ca="1" si="446"/>
        <v>-1051.4292140830221</v>
      </c>
      <c r="X753" s="818">
        <f t="shared" ca="1" si="446"/>
        <v>-1053.38354347723</v>
      </c>
      <c r="Y753" s="818">
        <f t="shared" ca="1" si="446"/>
        <v>-1051.4292140830221</v>
      </c>
      <c r="Z753" s="818">
        <f t="shared" ca="1" si="446"/>
        <v>-1053.38354347723</v>
      </c>
      <c r="AA753" s="818">
        <f t="shared" ca="1" si="446"/>
        <v>-1051.4292140830185</v>
      </c>
      <c r="AB753" s="818">
        <f t="shared" ca="1" si="446"/>
        <v>-1053.38354347723</v>
      </c>
      <c r="AC753" s="818">
        <f t="shared" ca="1" si="446"/>
        <v>0</v>
      </c>
      <c r="AD753" s="818">
        <f t="shared" ca="1" si="446"/>
        <v>0</v>
      </c>
      <c r="AE753" s="818">
        <f t="shared" ca="1" si="446"/>
        <v>0</v>
      </c>
      <c r="AF753" s="818">
        <f t="shared" ca="1" si="446"/>
        <v>0</v>
      </c>
      <c r="AG753" s="818"/>
    </row>
    <row r="754" spans="1:33">
      <c r="A754" s="1009"/>
      <c r="B754" s="818" t="str">
        <f>A333</f>
        <v>Non-Cash Interest and Dividends</v>
      </c>
      <c r="C754" s="665"/>
      <c r="D754" s="818"/>
      <c r="E754" s="818"/>
      <c r="F754" s="818"/>
      <c r="G754" s="818"/>
      <c r="H754" s="818"/>
      <c r="I754" s="818">
        <f t="shared" ref="I754:AF754" si="447">I333</f>
        <v>0</v>
      </c>
      <c r="J754" s="1052">
        <f t="shared" si="447"/>
        <v>0</v>
      </c>
      <c r="K754" s="818">
        <f t="shared" si="447"/>
        <v>0</v>
      </c>
      <c r="L754" s="818">
        <f t="shared" si="447"/>
        <v>0</v>
      </c>
      <c r="M754" s="818">
        <f t="shared" si="447"/>
        <v>0</v>
      </c>
      <c r="N754" s="818">
        <f t="shared" si="447"/>
        <v>0</v>
      </c>
      <c r="O754" s="818">
        <f t="shared" si="447"/>
        <v>0</v>
      </c>
      <c r="P754" s="818">
        <f t="shared" si="447"/>
        <v>0</v>
      </c>
      <c r="Q754" s="818">
        <f t="shared" si="447"/>
        <v>0</v>
      </c>
      <c r="R754" s="818">
        <f t="shared" si="447"/>
        <v>0</v>
      </c>
      <c r="S754" s="818">
        <f t="shared" si="447"/>
        <v>0</v>
      </c>
      <c r="T754" s="818">
        <f t="shared" si="447"/>
        <v>0</v>
      </c>
      <c r="U754" s="818">
        <f t="shared" si="447"/>
        <v>0</v>
      </c>
      <c r="V754" s="818">
        <f t="shared" si="447"/>
        <v>0</v>
      </c>
      <c r="W754" s="818">
        <f t="shared" si="447"/>
        <v>0</v>
      </c>
      <c r="X754" s="818">
        <f t="shared" si="447"/>
        <v>0</v>
      </c>
      <c r="Y754" s="818">
        <f t="shared" si="447"/>
        <v>0</v>
      </c>
      <c r="Z754" s="818">
        <f t="shared" si="447"/>
        <v>0</v>
      </c>
      <c r="AA754" s="818">
        <f t="shared" si="447"/>
        <v>0</v>
      </c>
      <c r="AB754" s="818">
        <f t="shared" si="447"/>
        <v>0</v>
      </c>
      <c r="AC754" s="818">
        <f t="shared" si="447"/>
        <v>0</v>
      </c>
      <c r="AD754" s="818">
        <f t="shared" si="447"/>
        <v>0</v>
      </c>
      <c r="AE754" s="818">
        <f t="shared" si="447"/>
        <v>0</v>
      </c>
      <c r="AF754" s="818">
        <f t="shared" si="447"/>
        <v>0</v>
      </c>
      <c r="AG754" s="818"/>
    </row>
    <row r="755" spans="1:33">
      <c r="A755" s="1009"/>
      <c r="B755" s="1009" t="s">
        <v>860</v>
      </c>
      <c r="C755" s="665"/>
      <c r="D755" s="818"/>
      <c r="E755" s="818"/>
      <c r="F755" s="818"/>
      <c r="G755" s="818"/>
      <c r="H755" s="818"/>
      <c r="I755" s="818">
        <f t="shared" ref="I755:AF755" si="448">-I615</f>
        <v>0</v>
      </c>
      <c r="J755" s="1052">
        <f t="shared" si="448"/>
        <v>0</v>
      </c>
      <c r="K755" s="818">
        <f t="shared" si="448"/>
        <v>0</v>
      </c>
      <c r="L755" s="818">
        <f t="shared" si="448"/>
        <v>0</v>
      </c>
      <c r="M755" s="818">
        <f t="shared" si="448"/>
        <v>0</v>
      </c>
      <c r="N755" s="818">
        <f t="shared" si="448"/>
        <v>0</v>
      </c>
      <c r="O755" s="818">
        <f t="shared" si="448"/>
        <v>0</v>
      </c>
      <c r="P755" s="818">
        <f t="shared" si="448"/>
        <v>0</v>
      </c>
      <c r="Q755" s="818">
        <f t="shared" si="448"/>
        <v>0</v>
      </c>
      <c r="R755" s="818">
        <f t="shared" si="448"/>
        <v>0</v>
      </c>
      <c r="S755" s="818">
        <f t="shared" si="448"/>
        <v>0</v>
      </c>
      <c r="T755" s="818">
        <f t="shared" si="448"/>
        <v>0</v>
      </c>
      <c r="U755" s="818">
        <f t="shared" si="448"/>
        <v>0</v>
      </c>
      <c r="V755" s="818">
        <f t="shared" si="448"/>
        <v>0</v>
      </c>
      <c r="W755" s="818">
        <f t="shared" si="448"/>
        <v>0</v>
      </c>
      <c r="X755" s="818">
        <f t="shared" si="448"/>
        <v>0</v>
      </c>
      <c r="Y755" s="818">
        <f t="shared" si="448"/>
        <v>0</v>
      </c>
      <c r="Z755" s="818">
        <f t="shared" si="448"/>
        <v>0</v>
      </c>
      <c r="AA755" s="818">
        <f t="shared" si="448"/>
        <v>0</v>
      </c>
      <c r="AB755" s="818">
        <f t="shared" si="448"/>
        <v>0</v>
      </c>
      <c r="AC755" s="818">
        <f t="shared" si="448"/>
        <v>0</v>
      </c>
      <c r="AD755" s="818">
        <f t="shared" si="448"/>
        <v>0</v>
      </c>
      <c r="AE755" s="818">
        <f t="shared" si="448"/>
        <v>0</v>
      </c>
      <c r="AF755" s="818">
        <f t="shared" si="448"/>
        <v>0</v>
      </c>
      <c r="AG755" s="818"/>
    </row>
    <row r="756" spans="1:33">
      <c r="A756" s="1009"/>
      <c r="B756" s="818"/>
      <c r="C756" s="818"/>
      <c r="D756" s="818"/>
      <c r="E756" s="818"/>
      <c r="F756" s="818"/>
      <c r="G756" s="818"/>
      <c r="H756" s="818"/>
      <c r="I756" s="818"/>
      <c r="J756" s="1052"/>
      <c r="K756" s="818"/>
      <c r="L756" s="818"/>
      <c r="M756" s="818"/>
      <c r="N756" s="818"/>
      <c r="O756" s="818"/>
      <c r="P756" s="818"/>
      <c r="Q756" s="818"/>
      <c r="R756" s="818"/>
      <c r="S756" s="818"/>
      <c r="T756" s="818"/>
      <c r="U756" s="818"/>
      <c r="V756" s="818"/>
      <c r="W756" s="818"/>
      <c r="X756" s="818"/>
      <c r="Y756" s="818"/>
      <c r="Z756" s="818"/>
      <c r="AA756" s="818"/>
      <c r="AB756" s="818"/>
      <c r="AC756" s="818"/>
      <c r="AD756" s="818"/>
      <c r="AE756" s="818"/>
      <c r="AF756" s="818"/>
      <c r="AG756" s="818"/>
    </row>
    <row r="757" spans="1:33">
      <c r="A757" s="1016" t="s">
        <v>861</v>
      </c>
      <c r="B757" s="818" t="str">
        <f t="shared" ref="B757:B762" si="449">A540</f>
        <v>Accounts Receivable</v>
      </c>
      <c r="C757" s="818"/>
      <c r="D757" s="818"/>
      <c r="E757" s="818"/>
      <c r="F757" s="818"/>
      <c r="G757" s="818"/>
      <c r="H757" s="818"/>
      <c r="I757" s="818">
        <f t="shared" ref="I757:AF757" ca="1" si="450">-I540+H540</f>
        <v>0</v>
      </c>
      <c r="J757" s="1052">
        <f t="shared" ca="1" si="450"/>
        <v>0</v>
      </c>
      <c r="K757" s="818">
        <f t="shared" ca="1" si="450"/>
        <v>-1715.2539605229904</v>
      </c>
      <c r="L757" s="818">
        <f t="shared" ca="1" si="450"/>
        <v>-759.34564217133811</v>
      </c>
      <c r="M757" s="818">
        <f t="shared" ca="1" si="450"/>
        <v>-298.90367769011573</v>
      </c>
      <c r="N757" s="818">
        <f t="shared" ca="1" si="450"/>
        <v>187.5888762497525</v>
      </c>
      <c r="O757" s="818">
        <f t="shared" ca="1" si="450"/>
        <v>308.87525673301934</v>
      </c>
      <c r="P757" s="818">
        <f t="shared" ca="1" si="450"/>
        <v>-2439.0109979057015</v>
      </c>
      <c r="Q757" s="818">
        <f t="shared" ca="1" si="450"/>
        <v>-164.03662667851313</v>
      </c>
      <c r="R757" s="818">
        <f t="shared" ca="1" si="450"/>
        <v>-368.2683227890775</v>
      </c>
      <c r="S757" s="818">
        <f t="shared" ca="1" si="450"/>
        <v>-640.29000094891671</v>
      </c>
      <c r="T757" s="818">
        <f t="shared" ca="1" si="450"/>
        <v>454.50494273172808</v>
      </c>
      <c r="U757" s="818">
        <f t="shared" ca="1" si="450"/>
        <v>-381.62008827707905</v>
      </c>
      <c r="V757" s="818">
        <f t="shared" ca="1" si="450"/>
        <v>-178.54597180144629</v>
      </c>
      <c r="W757" s="818">
        <f t="shared" ca="1" si="450"/>
        <v>-197.87679574811773</v>
      </c>
      <c r="X757" s="818">
        <f t="shared" ca="1" si="450"/>
        <v>-122.76562042879232</v>
      </c>
      <c r="Y757" s="818">
        <f t="shared" ca="1" si="450"/>
        <v>-646.72463219044221</v>
      </c>
      <c r="Z757" s="818">
        <f t="shared" ca="1" si="450"/>
        <v>151.69323684342089</v>
      </c>
      <c r="AA757" s="818">
        <f t="shared" ca="1" si="450"/>
        <v>556.52713522199701</v>
      </c>
      <c r="AB757" s="818">
        <f t="shared" ca="1" si="450"/>
        <v>1679.3455465913285</v>
      </c>
      <c r="AC757" s="818">
        <f t="shared" ca="1" si="450"/>
        <v>22249.289615098227</v>
      </c>
      <c r="AD757" s="818">
        <f t="shared" si="450"/>
        <v>0</v>
      </c>
      <c r="AE757" s="818">
        <f t="shared" si="450"/>
        <v>0</v>
      </c>
      <c r="AF757" s="818">
        <f t="shared" si="450"/>
        <v>0</v>
      </c>
      <c r="AG757" s="818"/>
    </row>
    <row r="758" spans="1:33">
      <c r="A758" s="1278" t="s">
        <v>862</v>
      </c>
      <c r="B758" s="818" t="str">
        <f t="shared" si="449"/>
        <v>Inventories</v>
      </c>
      <c r="C758" s="818"/>
      <c r="D758" s="818"/>
      <c r="E758" s="818"/>
      <c r="F758" s="818"/>
      <c r="G758" s="818"/>
      <c r="H758" s="818"/>
      <c r="I758" s="818">
        <f t="shared" ref="I758:AF758" si="451">-I541+H541</f>
        <v>0</v>
      </c>
      <c r="J758" s="1052">
        <f t="shared" si="451"/>
        <v>0</v>
      </c>
      <c r="K758" s="818">
        <f t="shared" si="451"/>
        <v>0</v>
      </c>
      <c r="L758" s="818">
        <f t="shared" si="451"/>
        <v>0</v>
      </c>
      <c r="M758" s="818">
        <f t="shared" si="451"/>
        <v>0</v>
      </c>
      <c r="N758" s="818">
        <f t="shared" si="451"/>
        <v>0</v>
      </c>
      <c r="O758" s="818">
        <f t="shared" si="451"/>
        <v>0</v>
      </c>
      <c r="P758" s="818">
        <f t="shared" si="451"/>
        <v>0</v>
      </c>
      <c r="Q758" s="818">
        <f t="shared" si="451"/>
        <v>0</v>
      </c>
      <c r="R758" s="818">
        <f t="shared" si="451"/>
        <v>0</v>
      </c>
      <c r="S758" s="818">
        <f t="shared" si="451"/>
        <v>0</v>
      </c>
      <c r="T758" s="818">
        <f t="shared" si="451"/>
        <v>0</v>
      </c>
      <c r="U758" s="818">
        <f t="shared" si="451"/>
        <v>0</v>
      </c>
      <c r="V758" s="818">
        <f t="shared" si="451"/>
        <v>0</v>
      </c>
      <c r="W758" s="818">
        <f t="shared" si="451"/>
        <v>0</v>
      </c>
      <c r="X758" s="818">
        <f t="shared" si="451"/>
        <v>0</v>
      </c>
      <c r="Y758" s="818">
        <f t="shared" si="451"/>
        <v>0</v>
      </c>
      <c r="Z758" s="818">
        <f t="shared" si="451"/>
        <v>0</v>
      </c>
      <c r="AA758" s="818">
        <f t="shared" si="451"/>
        <v>0</v>
      </c>
      <c r="AB758" s="818">
        <f t="shared" si="451"/>
        <v>0</v>
      </c>
      <c r="AC758" s="818">
        <f t="shared" si="451"/>
        <v>0</v>
      </c>
      <c r="AD758" s="818">
        <f t="shared" si="451"/>
        <v>0</v>
      </c>
      <c r="AE758" s="818">
        <f t="shared" si="451"/>
        <v>0</v>
      </c>
      <c r="AF758" s="818">
        <f t="shared" si="451"/>
        <v>0</v>
      </c>
      <c r="AG758" s="818"/>
    </row>
    <row r="759" spans="1:33">
      <c r="A759" s="1016" t="s">
        <v>863</v>
      </c>
      <c r="B759" s="818" t="str">
        <f t="shared" si="449"/>
        <v>Other Current Assets</v>
      </c>
      <c r="C759" s="818"/>
      <c r="D759" s="818"/>
      <c r="E759" s="818"/>
      <c r="F759" s="818"/>
      <c r="G759" s="818"/>
      <c r="H759" s="818"/>
      <c r="I759" s="818">
        <f t="shared" ref="I759:AF759" si="452">-I542+H542</f>
        <v>0</v>
      </c>
      <c r="J759" s="1052">
        <f t="shared" si="452"/>
        <v>0</v>
      </c>
      <c r="K759" s="818">
        <f t="shared" si="452"/>
        <v>0</v>
      </c>
      <c r="L759" s="818">
        <f t="shared" si="452"/>
        <v>0</v>
      </c>
      <c r="M759" s="818">
        <f t="shared" si="452"/>
        <v>0</v>
      </c>
      <c r="N759" s="818">
        <f t="shared" si="452"/>
        <v>0</v>
      </c>
      <c r="O759" s="818">
        <f t="shared" si="452"/>
        <v>0</v>
      </c>
      <c r="P759" s="818">
        <f t="shared" si="452"/>
        <v>0</v>
      </c>
      <c r="Q759" s="818">
        <f t="shared" si="452"/>
        <v>0</v>
      </c>
      <c r="R759" s="818">
        <f t="shared" si="452"/>
        <v>0</v>
      </c>
      <c r="S759" s="818">
        <f t="shared" si="452"/>
        <v>0</v>
      </c>
      <c r="T759" s="818">
        <f t="shared" si="452"/>
        <v>0</v>
      </c>
      <c r="U759" s="818">
        <f t="shared" si="452"/>
        <v>0</v>
      </c>
      <c r="V759" s="818">
        <f t="shared" si="452"/>
        <v>0</v>
      </c>
      <c r="W759" s="818">
        <f t="shared" si="452"/>
        <v>0</v>
      </c>
      <c r="X759" s="818">
        <f t="shared" si="452"/>
        <v>0</v>
      </c>
      <c r="Y759" s="818">
        <f t="shared" si="452"/>
        <v>0</v>
      </c>
      <c r="Z759" s="818">
        <f t="shared" si="452"/>
        <v>0</v>
      </c>
      <c r="AA759" s="818">
        <f t="shared" si="452"/>
        <v>0</v>
      </c>
      <c r="AB759" s="818">
        <f t="shared" si="452"/>
        <v>0</v>
      </c>
      <c r="AC759" s="818">
        <f t="shared" si="452"/>
        <v>0</v>
      </c>
      <c r="AD759" s="818">
        <f t="shared" si="452"/>
        <v>0</v>
      </c>
      <c r="AE759" s="818">
        <f t="shared" si="452"/>
        <v>0</v>
      </c>
      <c r="AF759" s="818">
        <f t="shared" si="452"/>
        <v>0</v>
      </c>
      <c r="AG759" s="818"/>
    </row>
    <row r="760" spans="1:33">
      <c r="A760" s="1009"/>
      <c r="B760" s="818" t="str">
        <f t="shared" si="449"/>
        <v>Accounts Payable</v>
      </c>
      <c r="C760" s="818"/>
      <c r="D760" s="818"/>
      <c r="E760" s="818"/>
      <c r="F760" s="818"/>
      <c r="G760" s="818"/>
      <c r="H760" s="818"/>
      <c r="I760" s="818">
        <f t="shared" ref="I760:AF760" ca="1" si="453">I543-H543</f>
        <v>0</v>
      </c>
      <c r="J760" s="1052">
        <f t="shared" ca="1" si="453"/>
        <v>0</v>
      </c>
      <c r="K760" s="818">
        <f t="shared" ca="1" si="453"/>
        <v>266.66128488940194</v>
      </c>
      <c r="L760" s="818">
        <f t="shared" ca="1" si="453"/>
        <v>223.0620100753149</v>
      </c>
      <c r="M760" s="818">
        <f t="shared" ca="1" si="453"/>
        <v>398.4598564844764</v>
      </c>
      <c r="N760" s="818">
        <f t="shared" ca="1" si="453"/>
        <v>416.13545958494069</v>
      </c>
      <c r="O760" s="818">
        <f t="shared" ca="1" si="453"/>
        <v>-122.72471040740311</v>
      </c>
      <c r="P760" s="818">
        <f t="shared" ca="1" si="453"/>
        <v>829.94533280530595</v>
      </c>
      <c r="Q760" s="818">
        <f t="shared" ca="1" si="453"/>
        <v>373.31455293757426</v>
      </c>
      <c r="R760" s="818">
        <f t="shared" ca="1" si="453"/>
        <v>245.11474608572462</v>
      </c>
      <c r="S760" s="818">
        <f t="shared" ca="1" si="453"/>
        <v>454.68313693701566</v>
      </c>
      <c r="T760" s="818">
        <f t="shared" ca="1" si="453"/>
        <v>363.48304657822882</v>
      </c>
      <c r="U760" s="818">
        <f t="shared" ca="1" si="453"/>
        <v>-409.37199868010248</v>
      </c>
      <c r="V760" s="818">
        <f t="shared" ca="1" si="453"/>
        <v>999.99861271293048</v>
      </c>
      <c r="W760" s="818">
        <f t="shared" ca="1" si="453"/>
        <v>450.39824420186414</v>
      </c>
      <c r="X760" s="818">
        <f t="shared" ca="1" si="453"/>
        <v>314.11482091933613</v>
      </c>
      <c r="Y760" s="818">
        <f t="shared" ca="1" si="453"/>
        <v>531.06605043037962</v>
      </c>
      <c r="Z760" s="818">
        <f t="shared" ca="1" si="453"/>
        <v>238.01054520730941</v>
      </c>
      <c r="AA760" s="818">
        <f t="shared" ca="1" si="453"/>
        <v>-653.67678345467175</v>
      </c>
      <c r="AB760" s="818">
        <f t="shared" ca="1" si="453"/>
        <v>-256.11477079682118</v>
      </c>
      <c r="AC760" s="818">
        <f t="shared" ca="1" si="453"/>
        <v>-14702.865544058926</v>
      </c>
      <c r="AD760" s="818">
        <f t="shared" si="453"/>
        <v>0</v>
      </c>
      <c r="AE760" s="818">
        <f t="shared" si="453"/>
        <v>0</v>
      </c>
      <c r="AF760" s="818">
        <f t="shared" si="453"/>
        <v>0</v>
      </c>
      <c r="AG760" s="818"/>
    </row>
    <row r="761" spans="1:33">
      <c r="A761" s="1009"/>
      <c r="B761" s="818" t="str">
        <f t="shared" si="449"/>
        <v>Accrued Expenses</v>
      </c>
      <c r="C761" s="818"/>
      <c r="D761" s="818"/>
      <c r="E761" s="818"/>
      <c r="F761" s="818"/>
      <c r="G761" s="818"/>
      <c r="H761" s="818"/>
      <c r="I761" s="818">
        <f t="shared" ref="I761:AF761" ca="1" si="454">I544-H544</f>
        <v>0</v>
      </c>
      <c r="J761" s="1052">
        <f t="shared" ca="1" si="454"/>
        <v>0</v>
      </c>
      <c r="K761" s="818">
        <f t="shared" ca="1" si="454"/>
        <v>1772.4290925404202</v>
      </c>
      <c r="L761" s="818">
        <f t="shared" ca="1" si="454"/>
        <v>784.65716357705242</v>
      </c>
      <c r="M761" s="818">
        <f t="shared" ca="1" si="454"/>
        <v>308.86713361311922</v>
      </c>
      <c r="N761" s="818">
        <f t="shared" ca="1" si="454"/>
        <v>-193.84183879140983</v>
      </c>
      <c r="O761" s="818">
        <f t="shared" ca="1" si="454"/>
        <v>-319.17109862412326</v>
      </c>
      <c r="P761" s="818">
        <f t="shared" ca="1" si="454"/>
        <v>2520.3113645025587</v>
      </c>
      <c r="Q761" s="818">
        <f t="shared" ca="1" si="454"/>
        <v>169.5045142344643</v>
      </c>
      <c r="R761" s="818">
        <f t="shared" ca="1" si="454"/>
        <v>380.54393354871354</v>
      </c>
      <c r="S761" s="818">
        <f t="shared" ca="1" si="454"/>
        <v>661.6330009805497</v>
      </c>
      <c r="T761" s="818">
        <f t="shared" ca="1" si="454"/>
        <v>-469.65510748945599</v>
      </c>
      <c r="U761" s="818">
        <f t="shared" ca="1" si="454"/>
        <v>394.3407578863189</v>
      </c>
      <c r="V761" s="818">
        <f t="shared" ca="1" si="454"/>
        <v>184.4975041948237</v>
      </c>
      <c r="W761" s="818">
        <f t="shared" ca="1" si="454"/>
        <v>204.47268893972432</v>
      </c>
      <c r="X761" s="818">
        <f t="shared" ca="1" si="454"/>
        <v>126.85780777641776</v>
      </c>
      <c r="Y761" s="818">
        <f t="shared" ca="1" si="454"/>
        <v>668.28211993012519</v>
      </c>
      <c r="Z761" s="818">
        <f t="shared" ca="1" si="454"/>
        <v>-156.74967807153735</v>
      </c>
      <c r="AA761" s="818">
        <f t="shared" ca="1" si="454"/>
        <v>-575.07803972939655</v>
      </c>
      <c r="AB761" s="818">
        <f t="shared" ca="1" si="454"/>
        <v>-1735.323731477707</v>
      </c>
      <c r="AC761" s="818">
        <f t="shared" ca="1" si="454"/>
        <v>-22990.932602268167</v>
      </c>
      <c r="AD761" s="818">
        <f t="shared" si="454"/>
        <v>0</v>
      </c>
      <c r="AE761" s="818">
        <f t="shared" si="454"/>
        <v>0</v>
      </c>
      <c r="AF761" s="818">
        <f t="shared" si="454"/>
        <v>0</v>
      </c>
      <c r="AG761" s="818"/>
    </row>
    <row r="762" spans="1:33">
      <c r="A762" s="1009"/>
      <c r="B762" s="818" t="str">
        <f t="shared" si="449"/>
        <v>Other Payables</v>
      </c>
      <c r="C762" s="818"/>
      <c r="D762" s="818"/>
      <c r="E762" s="818"/>
      <c r="F762" s="818"/>
      <c r="G762" s="818"/>
      <c r="H762" s="818"/>
      <c r="I762" s="818">
        <f t="shared" ref="I762:AF762" ca="1" si="455">I545-H545</f>
        <v>0</v>
      </c>
      <c r="J762" s="1052">
        <f t="shared" ca="1" si="455"/>
        <v>0</v>
      </c>
      <c r="K762" s="818">
        <f t="shared" si="455"/>
        <v>0</v>
      </c>
      <c r="L762" s="818">
        <f t="shared" si="455"/>
        <v>0</v>
      </c>
      <c r="M762" s="818">
        <f t="shared" si="455"/>
        <v>0</v>
      </c>
      <c r="N762" s="818">
        <f t="shared" si="455"/>
        <v>0</v>
      </c>
      <c r="O762" s="818">
        <f t="shared" si="455"/>
        <v>0</v>
      </c>
      <c r="P762" s="818">
        <f t="shared" si="455"/>
        <v>0</v>
      </c>
      <c r="Q762" s="818">
        <f t="shared" si="455"/>
        <v>0</v>
      </c>
      <c r="R762" s="818">
        <f t="shared" si="455"/>
        <v>0</v>
      </c>
      <c r="S762" s="818">
        <f t="shared" si="455"/>
        <v>0</v>
      </c>
      <c r="T762" s="818">
        <f t="shared" si="455"/>
        <v>0</v>
      </c>
      <c r="U762" s="818">
        <f t="shared" si="455"/>
        <v>0</v>
      </c>
      <c r="V762" s="818">
        <f t="shared" si="455"/>
        <v>0</v>
      </c>
      <c r="W762" s="818">
        <f t="shared" si="455"/>
        <v>0</v>
      </c>
      <c r="X762" s="818">
        <f t="shared" si="455"/>
        <v>0</v>
      </c>
      <c r="Y762" s="818">
        <f t="shared" si="455"/>
        <v>0</v>
      </c>
      <c r="Z762" s="818">
        <f t="shared" si="455"/>
        <v>0</v>
      </c>
      <c r="AA762" s="818">
        <f t="shared" si="455"/>
        <v>0</v>
      </c>
      <c r="AB762" s="818">
        <f t="shared" si="455"/>
        <v>0</v>
      </c>
      <c r="AC762" s="818">
        <f t="shared" si="455"/>
        <v>0</v>
      </c>
      <c r="AD762" s="818">
        <f t="shared" si="455"/>
        <v>0</v>
      </c>
      <c r="AE762" s="818">
        <f t="shared" si="455"/>
        <v>0</v>
      </c>
      <c r="AF762" s="818">
        <f t="shared" si="455"/>
        <v>0</v>
      </c>
      <c r="AG762" s="818"/>
    </row>
    <row r="763" spans="1:33">
      <c r="A763" s="1277" t="str">
        <f>A749</f>
        <v>Cash Flow From Operating Activities:</v>
      </c>
      <c r="B763" s="818"/>
      <c r="C763" s="818"/>
      <c r="D763" s="818"/>
      <c r="E763" s="818"/>
      <c r="F763" s="818"/>
      <c r="G763" s="818"/>
      <c r="H763" s="818"/>
      <c r="I763" s="1028">
        <f t="shared" ref="I763:AF763" ca="1" si="456">SUM(I750:I762)</f>
        <v>25482.701795263223</v>
      </c>
      <c r="J763" s="1279">
        <f t="shared" ca="1" si="456"/>
        <v>44501.687547302106</v>
      </c>
      <c r="K763" s="1028">
        <f t="shared" ca="1" si="456"/>
        <v>54471.501946029864</v>
      </c>
      <c r="L763" s="1028">
        <f t="shared" ca="1" si="456"/>
        <v>57666.049079412507</v>
      </c>
      <c r="M763" s="1028">
        <f t="shared" ca="1" si="456"/>
        <v>56679.760305487638</v>
      </c>
      <c r="N763" s="1028">
        <f t="shared" ca="1" si="456"/>
        <v>52068.15181772373</v>
      </c>
      <c r="O763" s="1028">
        <f t="shared" ca="1" si="456"/>
        <v>50036.749417594736</v>
      </c>
      <c r="P763" s="1028">
        <f t="shared" ca="1" si="456"/>
        <v>61109.049637419768</v>
      </c>
      <c r="Q763" s="1028">
        <f t="shared" ca="1" si="456"/>
        <v>58308.163839493835</v>
      </c>
      <c r="R763" s="1028">
        <f t="shared" ca="1" si="456"/>
        <v>59909.046515600159</v>
      </c>
      <c r="S763" s="1028">
        <f t="shared" ca="1" si="456"/>
        <v>62273.536149247448</v>
      </c>
      <c r="T763" s="1028">
        <f t="shared" ca="1" si="456"/>
        <v>57226.311047401352</v>
      </c>
      <c r="U763" s="1028">
        <f t="shared" ca="1" si="456"/>
        <v>63310.589856470186</v>
      </c>
      <c r="V763" s="1028">
        <f t="shared" ca="1" si="456"/>
        <v>60145.608713941838</v>
      </c>
      <c r="W763" s="1028">
        <f t="shared" ca="1" si="456"/>
        <v>59227.762516468691</v>
      </c>
      <c r="X763" s="1028">
        <f t="shared" ca="1" si="456"/>
        <v>59314.251023492536</v>
      </c>
      <c r="Y763" s="1028">
        <f t="shared" ca="1" si="456"/>
        <v>61067.156232416266</v>
      </c>
      <c r="Z763" s="1028">
        <f t="shared" ca="1" si="456"/>
        <v>57671.930005184477</v>
      </c>
      <c r="AA763" s="1028">
        <f t="shared" ca="1" si="456"/>
        <v>57186.60122116089</v>
      </c>
      <c r="AB763" s="1028">
        <f t="shared" ca="1" si="456"/>
        <v>47071.087785739539</v>
      </c>
      <c r="AC763" s="1028">
        <f t="shared" ca="1" si="456"/>
        <v>-41652.284405556784</v>
      </c>
      <c r="AD763" s="1028">
        <f t="shared" ca="1" si="456"/>
        <v>-26501.916163709921</v>
      </c>
      <c r="AE763" s="1028">
        <f t="shared" ca="1" si="456"/>
        <v>-27031.954486984119</v>
      </c>
      <c r="AF763" s="1028">
        <f t="shared" ca="1" si="456"/>
        <v>-27572.593576723819</v>
      </c>
      <c r="AG763" s="818"/>
    </row>
    <row r="764" spans="1:33">
      <c r="A764" s="1009"/>
      <c r="B764" s="818"/>
      <c r="C764" s="818"/>
      <c r="D764" s="818"/>
      <c r="E764" s="818"/>
      <c r="F764" s="818"/>
      <c r="G764" s="818"/>
      <c r="H764" s="818"/>
      <c r="I764" s="818"/>
      <c r="J764" s="1052"/>
      <c r="K764" s="818"/>
      <c r="L764" s="818"/>
      <c r="M764" s="818"/>
      <c r="N764" s="818"/>
      <c r="O764" s="818"/>
      <c r="P764" s="818"/>
      <c r="Q764" s="818"/>
      <c r="R764" s="818"/>
      <c r="S764" s="818"/>
      <c r="T764" s="818"/>
      <c r="U764" s="818"/>
      <c r="V764" s="818"/>
      <c r="W764" s="818"/>
      <c r="X764" s="818"/>
      <c r="Y764" s="818"/>
      <c r="Z764" s="818"/>
      <c r="AA764" s="818"/>
      <c r="AB764" s="818"/>
      <c r="AC764" s="818"/>
      <c r="AD764" s="818"/>
      <c r="AE764" s="818"/>
      <c r="AF764" s="818"/>
      <c r="AG764" s="818"/>
    </row>
    <row r="765" spans="1:33">
      <c r="A765" s="1009"/>
      <c r="B765" s="818"/>
      <c r="C765" s="818"/>
      <c r="D765" s="818"/>
      <c r="E765" s="818"/>
      <c r="F765" s="818"/>
      <c r="G765" s="818"/>
      <c r="H765" s="818"/>
      <c r="I765" s="818"/>
      <c r="J765" s="1052"/>
      <c r="K765" s="818"/>
      <c r="L765" s="818"/>
      <c r="M765" s="818"/>
      <c r="N765" s="818"/>
      <c r="O765" s="818"/>
      <c r="P765" s="818"/>
      <c r="Q765" s="818"/>
      <c r="R765" s="818"/>
      <c r="S765" s="818"/>
      <c r="T765" s="818"/>
      <c r="U765" s="818"/>
      <c r="V765" s="818"/>
      <c r="W765" s="818"/>
      <c r="X765" s="818"/>
      <c r="Y765" s="818"/>
      <c r="Z765" s="818"/>
      <c r="AA765" s="818"/>
      <c r="AB765" s="818"/>
      <c r="AC765" s="818"/>
      <c r="AD765" s="818"/>
      <c r="AE765" s="818"/>
      <c r="AF765" s="818"/>
      <c r="AG765" s="818"/>
    </row>
    <row r="766" spans="1:33">
      <c r="A766" s="1277" t="s">
        <v>864</v>
      </c>
      <c r="B766" s="818"/>
      <c r="C766" s="818"/>
      <c r="D766" s="818"/>
      <c r="E766" s="818"/>
      <c r="F766" s="818"/>
      <c r="G766" s="818"/>
      <c r="H766" s="818"/>
      <c r="I766" s="818"/>
      <c r="J766" s="1052"/>
      <c r="K766" s="818"/>
      <c r="L766" s="818"/>
      <c r="M766" s="818"/>
      <c r="N766" s="818"/>
      <c r="O766" s="818"/>
      <c r="P766" s="818"/>
      <c r="Q766" s="818"/>
      <c r="R766" s="818"/>
      <c r="S766" s="818"/>
      <c r="T766" s="818"/>
      <c r="U766" s="818"/>
      <c r="V766" s="818"/>
      <c r="W766" s="818"/>
      <c r="X766" s="818"/>
      <c r="Y766" s="818"/>
      <c r="Z766" s="818"/>
      <c r="AA766" s="818"/>
      <c r="AB766" s="818"/>
      <c r="AC766" s="818"/>
      <c r="AD766" s="818"/>
      <c r="AE766" s="818"/>
      <c r="AF766" s="818"/>
      <c r="AG766" s="818"/>
    </row>
    <row r="767" spans="1:33">
      <c r="A767" s="818"/>
      <c r="B767" s="818" t="str">
        <f>A335</f>
        <v>Net Proceeds from Sale of Assets</v>
      </c>
      <c r="C767" s="818"/>
      <c r="D767" s="818"/>
      <c r="E767" s="818"/>
      <c r="F767" s="818"/>
      <c r="G767" s="818"/>
      <c r="H767" s="818"/>
      <c r="I767" s="818">
        <f t="shared" ref="I767:AF767" si="457">I335</f>
        <v>0</v>
      </c>
      <c r="J767" s="1052">
        <f t="shared" si="457"/>
        <v>0</v>
      </c>
      <c r="K767" s="818">
        <f t="shared" si="457"/>
        <v>0</v>
      </c>
      <c r="L767" s="818">
        <f t="shared" si="457"/>
        <v>0</v>
      </c>
      <c r="M767" s="818">
        <f t="shared" si="457"/>
        <v>0</v>
      </c>
      <c r="N767" s="818">
        <f t="shared" si="457"/>
        <v>0</v>
      </c>
      <c r="O767" s="818">
        <f t="shared" si="457"/>
        <v>0</v>
      </c>
      <c r="P767" s="818">
        <f t="shared" si="457"/>
        <v>0</v>
      </c>
      <c r="Q767" s="818">
        <f t="shared" si="457"/>
        <v>0</v>
      </c>
      <c r="R767" s="818">
        <f t="shared" si="457"/>
        <v>0</v>
      </c>
      <c r="S767" s="818">
        <f t="shared" si="457"/>
        <v>0</v>
      </c>
      <c r="T767" s="818">
        <f t="shared" si="457"/>
        <v>0</v>
      </c>
      <c r="U767" s="818">
        <f t="shared" si="457"/>
        <v>0</v>
      </c>
      <c r="V767" s="818">
        <f t="shared" si="457"/>
        <v>0</v>
      </c>
      <c r="W767" s="818">
        <f t="shared" si="457"/>
        <v>0</v>
      </c>
      <c r="X767" s="818">
        <f t="shared" si="457"/>
        <v>0</v>
      </c>
      <c r="Y767" s="818">
        <f t="shared" si="457"/>
        <v>0</v>
      </c>
      <c r="Z767" s="818">
        <f t="shared" si="457"/>
        <v>0</v>
      </c>
      <c r="AA767" s="818">
        <f t="shared" si="457"/>
        <v>0</v>
      </c>
      <c r="AB767" s="818">
        <f t="shared" si="457"/>
        <v>0</v>
      </c>
      <c r="AC767" s="818">
        <f t="shared" si="457"/>
        <v>0</v>
      </c>
      <c r="AD767" s="818">
        <f t="shared" si="457"/>
        <v>0</v>
      </c>
      <c r="AE767" s="818">
        <f t="shared" si="457"/>
        <v>0</v>
      </c>
      <c r="AF767" s="818">
        <f t="shared" si="457"/>
        <v>0</v>
      </c>
      <c r="AG767" s="818"/>
    </row>
    <row r="768" spans="1:33">
      <c r="A768" s="818"/>
      <c r="B768" s="818" t="str">
        <f>A339</f>
        <v>Total Capital Expenditures</v>
      </c>
      <c r="C768" s="818"/>
      <c r="D768" s="818"/>
      <c r="E768" s="818"/>
      <c r="F768" s="818"/>
      <c r="G768" s="818"/>
      <c r="H768" s="818"/>
      <c r="I768" s="818">
        <f t="shared" ref="I768:AF768" ca="1" si="458">-I339</f>
        <v>0</v>
      </c>
      <c r="J768" s="1052">
        <f t="shared" si="458"/>
        <v>0</v>
      </c>
      <c r="K768" s="818">
        <f t="shared" si="458"/>
        <v>0</v>
      </c>
      <c r="L768" s="818">
        <f t="shared" si="458"/>
        <v>0</v>
      </c>
      <c r="M768" s="818">
        <f t="shared" si="458"/>
        <v>0</v>
      </c>
      <c r="N768" s="818">
        <f t="shared" si="458"/>
        <v>0</v>
      </c>
      <c r="O768" s="818">
        <f t="shared" si="458"/>
        <v>0</v>
      </c>
      <c r="P768" s="818">
        <f t="shared" si="458"/>
        <v>0</v>
      </c>
      <c r="Q768" s="818">
        <f t="shared" si="458"/>
        <v>0</v>
      </c>
      <c r="R768" s="818">
        <f t="shared" si="458"/>
        <v>0</v>
      </c>
      <c r="S768" s="818">
        <f t="shared" si="458"/>
        <v>0</v>
      </c>
      <c r="T768" s="818">
        <f t="shared" si="458"/>
        <v>0</v>
      </c>
      <c r="U768" s="818">
        <f t="shared" si="458"/>
        <v>0</v>
      </c>
      <c r="V768" s="818">
        <f t="shared" si="458"/>
        <v>0</v>
      </c>
      <c r="W768" s="818">
        <f t="shared" si="458"/>
        <v>0</v>
      </c>
      <c r="X768" s="818">
        <f t="shared" si="458"/>
        <v>0</v>
      </c>
      <c r="Y768" s="818">
        <f t="shared" si="458"/>
        <v>0</v>
      </c>
      <c r="Z768" s="818">
        <f t="shared" si="458"/>
        <v>0</v>
      </c>
      <c r="AA768" s="818">
        <f t="shared" si="458"/>
        <v>0</v>
      </c>
      <c r="AB768" s="818">
        <f t="shared" si="458"/>
        <v>0</v>
      </c>
      <c r="AC768" s="818">
        <f t="shared" si="458"/>
        <v>0</v>
      </c>
      <c r="AD768" s="818">
        <f t="shared" si="458"/>
        <v>0</v>
      </c>
      <c r="AE768" s="818">
        <f t="shared" si="458"/>
        <v>0</v>
      </c>
      <c r="AF768" s="818">
        <f t="shared" si="458"/>
        <v>0</v>
      </c>
      <c r="AG768" s="818"/>
    </row>
    <row r="769" spans="1:33">
      <c r="A769" s="818"/>
      <c r="B769" s="818" t="str">
        <f>A334</f>
        <v>Increase/(Decrease) in Other Liabilities</v>
      </c>
      <c r="C769" s="818"/>
      <c r="D769" s="818"/>
      <c r="E769" s="818"/>
      <c r="F769" s="818"/>
      <c r="G769" s="818"/>
      <c r="H769" s="818"/>
      <c r="I769" s="818">
        <f t="shared" ref="I769:AF769" si="459">I334</f>
        <v>0</v>
      </c>
      <c r="J769" s="1052">
        <f t="shared" si="459"/>
        <v>0</v>
      </c>
      <c r="K769" s="818">
        <f t="shared" si="459"/>
        <v>0</v>
      </c>
      <c r="L769" s="818">
        <f t="shared" si="459"/>
        <v>0</v>
      </c>
      <c r="M769" s="818">
        <f t="shared" si="459"/>
        <v>0</v>
      </c>
      <c r="N769" s="818">
        <f t="shared" si="459"/>
        <v>0</v>
      </c>
      <c r="O769" s="818">
        <f t="shared" si="459"/>
        <v>0</v>
      </c>
      <c r="P769" s="818">
        <f t="shared" si="459"/>
        <v>0</v>
      </c>
      <c r="Q769" s="818">
        <f t="shared" si="459"/>
        <v>0</v>
      </c>
      <c r="R769" s="818">
        <f t="shared" si="459"/>
        <v>0</v>
      </c>
      <c r="S769" s="818">
        <f t="shared" si="459"/>
        <v>0</v>
      </c>
      <c r="T769" s="818">
        <f t="shared" si="459"/>
        <v>0</v>
      </c>
      <c r="U769" s="818">
        <f t="shared" si="459"/>
        <v>0</v>
      </c>
      <c r="V769" s="818">
        <f t="shared" si="459"/>
        <v>0</v>
      </c>
      <c r="W769" s="818">
        <f t="shared" si="459"/>
        <v>0</v>
      </c>
      <c r="X769" s="818">
        <f t="shared" si="459"/>
        <v>0</v>
      </c>
      <c r="Y769" s="818">
        <f t="shared" si="459"/>
        <v>0</v>
      </c>
      <c r="Z769" s="818">
        <f t="shared" si="459"/>
        <v>0</v>
      </c>
      <c r="AA769" s="818">
        <f t="shared" si="459"/>
        <v>0</v>
      </c>
      <c r="AB769" s="818">
        <f t="shared" si="459"/>
        <v>0</v>
      </c>
      <c r="AC769" s="818">
        <f t="shared" si="459"/>
        <v>0</v>
      </c>
      <c r="AD769" s="818">
        <f t="shared" si="459"/>
        <v>0</v>
      </c>
      <c r="AE769" s="818">
        <f t="shared" si="459"/>
        <v>0</v>
      </c>
      <c r="AF769" s="818">
        <f t="shared" si="459"/>
        <v>0</v>
      </c>
      <c r="AG769" s="818"/>
    </row>
    <row r="770" spans="1:33">
      <c r="A770" s="818"/>
      <c r="B770" s="818" t="str">
        <f>A342</f>
        <v>Increase/(Decrease) in Other Assets (DS Reserve)</v>
      </c>
      <c r="C770" s="818"/>
      <c r="D770" s="818"/>
      <c r="E770" s="818"/>
      <c r="F770" s="818"/>
      <c r="G770" s="818"/>
      <c r="H770" s="818"/>
      <c r="I770" s="818">
        <f t="shared" ref="I770:AF770" ca="1" si="460">-I342</f>
        <v>-7097.8750964817973</v>
      </c>
      <c r="J770" s="1052">
        <f t="shared" ca="1" si="460"/>
        <v>-11870.392720567563</v>
      </c>
      <c r="K770" s="818">
        <f t="shared" ca="1" si="460"/>
        <v>22.004435766786628</v>
      </c>
      <c r="L770" s="818">
        <f t="shared" ca="1" si="460"/>
        <v>24.067351619924011</v>
      </c>
      <c r="M770" s="818">
        <f t="shared" ca="1" si="460"/>
        <v>26.323665834297572</v>
      </c>
      <c r="N770" s="818">
        <f t="shared" ca="1" si="460"/>
        <v>28.791509506256261</v>
      </c>
      <c r="O770" s="818">
        <f t="shared" ca="1" si="460"/>
        <v>31.490713522471196</v>
      </c>
      <c r="P770" s="818">
        <f t="shared" ca="1" si="460"/>
        <v>34.442967915205372</v>
      </c>
      <c r="Q770" s="818">
        <f t="shared" ca="1" si="460"/>
        <v>37.671996157248941</v>
      </c>
      <c r="R770" s="818">
        <f t="shared" ca="1" si="460"/>
        <v>41.203745796996373</v>
      </c>
      <c r="S770" s="818">
        <f t="shared" ca="1" si="460"/>
        <v>45.066596965458302</v>
      </c>
      <c r="T770" s="818">
        <f t="shared" ca="1" si="460"/>
        <v>49.291590430977521</v>
      </c>
      <c r="U770" s="818">
        <f t="shared" ca="1" si="460"/>
        <v>53.912677033873479</v>
      </c>
      <c r="V770" s="818">
        <f t="shared" ca="1" si="460"/>
        <v>58.966990505803551</v>
      </c>
      <c r="W770" s="818">
        <f t="shared" ca="1" si="460"/>
        <v>64.495145865726954</v>
      </c>
      <c r="X770" s="818">
        <f t="shared" ca="1" si="460"/>
        <v>70.541565790637833</v>
      </c>
      <c r="Y770" s="818">
        <f t="shared" ca="1" si="460"/>
        <v>18379.996864337696</v>
      </c>
      <c r="Z770" s="818">
        <f t="shared" ca="1" si="460"/>
        <v>-1.7053025658242404E-12</v>
      </c>
      <c r="AA770" s="818">
        <f t="shared" ca="1" si="460"/>
        <v>0</v>
      </c>
      <c r="AB770" s="818">
        <f t="shared" ca="1" si="460"/>
        <v>0</v>
      </c>
      <c r="AC770" s="818">
        <f t="shared" ca="1" si="460"/>
        <v>0</v>
      </c>
      <c r="AD770" s="818">
        <f t="shared" ca="1" si="460"/>
        <v>0</v>
      </c>
      <c r="AE770" s="818">
        <f t="shared" ca="1" si="460"/>
        <v>0</v>
      </c>
      <c r="AF770" s="818">
        <f t="shared" ca="1" si="460"/>
        <v>0</v>
      </c>
      <c r="AG770" s="818"/>
    </row>
    <row r="771" spans="1:33">
      <c r="A771" s="818"/>
      <c r="B771" s="818" t="s">
        <v>438</v>
      </c>
      <c r="C771" s="818"/>
      <c r="D771" s="818"/>
      <c r="E771" s="818"/>
      <c r="F771" s="818"/>
      <c r="G771" s="818"/>
      <c r="H771" s="818"/>
      <c r="I771" s="818">
        <f>-I340</f>
        <v>0</v>
      </c>
      <c r="J771" s="1052">
        <f>-J340</f>
        <v>0</v>
      </c>
      <c r="K771" s="818">
        <f>-K340</f>
        <v>0</v>
      </c>
      <c r="L771" s="818">
        <f t="shared" ref="L771:AF771" si="461">-L340</f>
        <v>0</v>
      </c>
      <c r="M771" s="818">
        <f t="shared" si="461"/>
        <v>0</v>
      </c>
      <c r="N771" s="818">
        <f t="shared" si="461"/>
        <v>0</v>
      </c>
      <c r="O771" s="818">
        <f t="shared" si="461"/>
        <v>0</v>
      </c>
      <c r="P771" s="818">
        <f t="shared" si="461"/>
        <v>0</v>
      </c>
      <c r="Q771" s="818">
        <f t="shared" si="461"/>
        <v>0</v>
      </c>
      <c r="R771" s="818">
        <f t="shared" si="461"/>
        <v>0</v>
      </c>
      <c r="S771" s="818">
        <f t="shared" si="461"/>
        <v>0</v>
      </c>
      <c r="T771" s="818">
        <f t="shared" si="461"/>
        <v>0</v>
      </c>
      <c r="U771" s="818">
        <f t="shared" si="461"/>
        <v>0</v>
      </c>
      <c r="V771" s="818">
        <f t="shared" si="461"/>
        <v>0</v>
      </c>
      <c r="W771" s="818">
        <f t="shared" si="461"/>
        <v>0</v>
      </c>
      <c r="X771" s="818">
        <f t="shared" si="461"/>
        <v>0</v>
      </c>
      <c r="Y771" s="818">
        <f t="shared" si="461"/>
        <v>0</v>
      </c>
      <c r="Z771" s="818">
        <f t="shared" si="461"/>
        <v>0</v>
      </c>
      <c r="AA771" s="818">
        <f t="shared" si="461"/>
        <v>0</v>
      </c>
      <c r="AB771" s="818">
        <f t="shared" si="461"/>
        <v>0</v>
      </c>
      <c r="AC771" s="818">
        <f t="shared" si="461"/>
        <v>0</v>
      </c>
      <c r="AD771" s="818">
        <f t="shared" si="461"/>
        <v>0</v>
      </c>
      <c r="AE771" s="818">
        <f t="shared" si="461"/>
        <v>0</v>
      </c>
      <c r="AF771" s="818">
        <f t="shared" si="461"/>
        <v>0</v>
      </c>
      <c r="AG771" s="818"/>
    </row>
    <row r="772" spans="1:33">
      <c r="A772" s="1280" t="str">
        <f>A766</f>
        <v>Cash Flow From Investing Activities:</v>
      </c>
      <c r="B772" s="818"/>
      <c r="C772" s="818"/>
      <c r="D772" s="818"/>
      <c r="E772" s="818"/>
      <c r="F772" s="818"/>
      <c r="G772" s="818"/>
      <c r="H772" s="818"/>
      <c r="I772" s="1028">
        <f ca="1">SUM(I767:I771)</f>
        <v>-7097.8750964817973</v>
      </c>
      <c r="J772" s="1279">
        <f ca="1">SUM(J767:J771)</f>
        <v>-11870.392720567563</v>
      </c>
      <c r="K772" s="1028">
        <f ca="1">SUM(K767:K771)</f>
        <v>22.004435766786628</v>
      </c>
      <c r="L772" s="1028">
        <f t="shared" ref="L772:AF772" ca="1" si="462">SUM(L767:L771)</f>
        <v>24.067351619924011</v>
      </c>
      <c r="M772" s="1028">
        <f t="shared" ca="1" si="462"/>
        <v>26.323665834297572</v>
      </c>
      <c r="N772" s="1028">
        <f t="shared" ca="1" si="462"/>
        <v>28.791509506256261</v>
      </c>
      <c r="O772" s="1028">
        <f t="shared" ca="1" si="462"/>
        <v>31.490713522471196</v>
      </c>
      <c r="P772" s="1028">
        <f t="shared" ca="1" si="462"/>
        <v>34.442967915205372</v>
      </c>
      <c r="Q772" s="1028">
        <f t="shared" ca="1" si="462"/>
        <v>37.671996157248941</v>
      </c>
      <c r="R772" s="1028">
        <f t="shared" ca="1" si="462"/>
        <v>41.203745796996373</v>
      </c>
      <c r="S772" s="1028">
        <f t="shared" ca="1" si="462"/>
        <v>45.066596965458302</v>
      </c>
      <c r="T772" s="1028">
        <f t="shared" ca="1" si="462"/>
        <v>49.291590430977521</v>
      </c>
      <c r="U772" s="1028">
        <f t="shared" ca="1" si="462"/>
        <v>53.912677033873479</v>
      </c>
      <c r="V772" s="1028">
        <f t="shared" ca="1" si="462"/>
        <v>58.966990505803551</v>
      </c>
      <c r="W772" s="1028">
        <f t="shared" ca="1" si="462"/>
        <v>64.495145865726954</v>
      </c>
      <c r="X772" s="1028">
        <f t="shared" ca="1" si="462"/>
        <v>70.541565790637833</v>
      </c>
      <c r="Y772" s="1028">
        <f t="shared" ca="1" si="462"/>
        <v>18379.996864337696</v>
      </c>
      <c r="Z772" s="1028">
        <f t="shared" ca="1" si="462"/>
        <v>-1.7053025658242404E-12</v>
      </c>
      <c r="AA772" s="1028">
        <f t="shared" ca="1" si="462"/>
        <v>0</v>
      </c>
      <c r="AB772" s="1028">
        <f t="shared" ca="1" si="462"/>
        <v>0</v>
      </c>
      <c r="AC772" s="1028">
        <f t="shared" ca="1" si="462"/>
        <v>0</v>
      </c>
      <c r="AD772" s="1028">
        <f t="shared" ca="1" si="462"/>
        <v>0</v>
      </c>
      <c r="AE772" s="1028">
        <f t="shared" ca="1" si="462"/>
        <v>0</v>
      </c>
      <c r="AF772" s="1028">
        <f t="shared" ca="1" si="462"/>
        <v>0</v>
      </c>
      <c r="AG772" s="818"/>
    </row>
    <row r="773" spans="1:33">
      <c r="A773" s="818"/>
      <c r="B773" s="818"/>
      <c r="C773" s="818"/>
      <c r="D773" s="818"/>
      <c r="E773" s="818"/>
      <c r="F773" s="818"/>
      <c r="G773" s="818"/>
      <c r="H773" s="818"/>
      <c r="I773" s="818"/>
      <c r="J773" s="1052"/>
      <c r="K773" s="818"/>
      <c r="L773" s="818"/>
      <c r="M773" s="818"/>
      <c r="N773" s="818"/>
      <c r="O773" s="818"/>
      <c r="P773" s="818"/>
      <c r="Q773" s="818"/>
      <c r="R773" s="818"/>
      <c r="S773" s="818"/>
      <c r="T773" s="818"/>
      <c r="U773" s="818"/>
      <c r="V773" s="818"/>
      <c r="W773" s="818"/>
      <c r="X773" s="818"/>
      <c r="Y773" s="818"/>
      <c r="Z773" s="818"/>
      <c r="AA773" s="818"/>
      <c r="AB773" s="818"/>
      <c r="AC773" s="818"/>
      <c r="AD773" s="818"/>
      <c r="AE773" s="818"/>
      <c r="AF773" s="818"/>
      <c r="AG773" s="818"/>
    </row>
    <row r="774" spans="1:33">
      <c r="A774" s="1277" t="s">
        <v>865</v>
      </c>
      <c r="B774" s="818"/>
      <c r="C774" s="818"/>
      <c r="D774" s="818"/>
      <c r="E774" s="818"/>
      <c r="F774" s="818"/>
      <c r="G774" s="818"/>
      <c r="H774" s="818"/>
      <c r="I774" s="818"/>
      <c r="J774" s="1052"/>
      <c r="K774" s="818"/>
      <c r="L774" s="818"/>
      <c r="M774" s="818"/>
      <c r="N774" s="818"/>
      <c r="O774" s="818"/>
      <c r="P774" s="818"/>
      <c r="Q774" s="818"/>
      <c r="R774" s="818"/>
      <c r="S774" s="818"/>
      <c r="T774" s="818"/>
      <c r="U774" s="818"/>
      <c r="V774" s="818"/>
      <c r="W774" s="818"/>
      <c r="X774" s="818"/>
      <c r="Y774" s="818"/>
      <c r="Z774" s="818"/>
      <c r="AA774" s="818"/>
      <c r="AB774" s="818"/>
      <c r="AC774" s="818"/>
      <c r="AD774" s="818"/>
      <c r="AE774" s="818"/>
      <c r="AF774" s="818"/>
      <c r="AG774" s="818"/>
    </row>
    <row r="775" spans="1:33">
      <c r="A775" s="818"/>
      <c r="B775" s="1009" t="s">
        <v>866</v>
      </c>
      <c r="C775" s="818"/>
      <c r="D775" s="818"/>
      <c r="E775" s="818"/>
      <c r="F775" s="818"/>
      <c r="G775" s="818"/>
      <c r="H775" s="818"/>
      <c r="I775" s="818">
        <f t="shared" ref="I775:AF775" ca="1" si="463">-I345</f>
        <v>0</v>
      </c>
      <c r="J775" s="1052">
        <f t="shared" ca="1" si="463"/>
        <v>0</v>
      </c>
      <c r="K775" s="818">
        <f t="shared" ca="1" si="463"/>
        <v>0</v>
      </c>
      <c r="L775" s="818">
        <f t="shared" ca="1" si="463"/>
        <v>0</v>
      </c>
      <c r="M775" s="818">
        <f t="shared" ca="1" si="463"/>
        <v>0</v>
      </c>
      <c r="N775" s="818">
        <f t="shared" ca="1" si="463"/>
        <v>0</v>
      </c>
      <c r="O775" s="818">
        <f t="shared" ca="1" si="463"/>
        <v>0</v>
      </c>
      <c r="P775" s="818">
        <f t="shared" ca="1" si="463"/>
        <v>0</v>
      </c>
      <c r="Q775" s="818">
        <f t="shared" ca="1" si="463"/>
        <v>0</v>
      </c>
      <c r="R775" s="818">
        <f t="shared" ca="1" si="463"/>
        <v>0</v>
      </c>
      <c r="S775" s="818">
        <f t="shared" ca="1" si="463"/>
        <v>0</v>
      </c>
      <c r="T775" s="818">
        <f t="shared" ca="1" si="463"/>
        <v>0</v>
      </c>
      <c r="U775" s="818">
        <f t="shared" ca="1" si="463"/>
        <v>0</v>
      </c>
      <c r="V775" s="818">
        <f t="shared" ca="1" si="463"/>
        <v>0</v>
      </c>
      <c r="W775" s="818">
        <f t="shared" ca="1" si="463"/>
        <v>0</v>
      </c>
      <c r="X775" s="818">
        <f t="shared" ca="1" si="463"/>
        <v>0</v>
      </c>
      <c r="Y775" s="818">
        <f t="shared" ca="1" si="463"/>
        <v>0</v>
      </c>
      <c r="Z775" s="818">
        <f t="shared" ca="1" si="463"/>
        <v>0</v>
      </c>
      <c r="AA775" s="818">
        <f t="shared" ca="1" si="463"/>
        <v>0</v>
      </c>
      <c r="AB775" s="818">
        <f t="shared" ca="1" si="463"/>
        <v>0</v>
      </c>
      <c r="AC775" s="818">
        <f t="shared" ca="1" si="463"/>
        <v>0</v>
      </c>
      <c r="AD775" s="818">
        <f t="shared" ca="1" si="463"/>
        <v>0</v>
      </c>
      <c r="AE775" s="818">
        <f t="shared" ca="1" si="463"/>
        <v>0</v>
      </c>
      <c r="AF775" s="818">
        <f t="shared" ca="1" si="463"/>
        <v>0</v>
      </c>
      <c r="AG775" s="818"/>
    </row>
    <row r="776" spans="1:33">
      <c r="A776" s="818"/>
      <c r="B776" s="1009" t="s">
        <v>867</v>
      </c>
      <c r="C776" s="818"/>
      <c r="D776" s="818"/>
      <c r="E776" s="818"/>
      <c r="F776" s="818"/>
      <c r="G776" s="818"/>
      <c r="H776" s="818"/>
      <c r="I776" s="818">
        <f t="shared" ref="I776:AF776" ca="1" si="464">-SUM(I343:I344)</f>
        <v>0</v>
      </c>
      <c r="J776" s="1052">
        <f t="shared" ca="1" si="464"/>
        <v>-10014.463211196358</v>
      </c>
      <c r="K776" s="818">
        <f t="shared" ca="1" si="464"/>
        <v>-10953.319137246017</v>
      </c>
      <c r="L776" s="818">
        <f t="shared" ca="1" si="464"/>
        <v>-11980.192806362837</v>
      </c>
      <c r="M776" s="818">
        <f t="shared" ca="1" si="464"/>
        <v>-13103.335881959341</v>
      </c>
      <c r="N776" s="818">
        <f t="shared" ca="1" si="464"/>
        <v>-14331.773620893036</v>
      </c>
      <c r="O776" s="818">
        <f t="shared" ca="1" si="464"/>
        <v>-15675.377397851757</v>
      </c>
      <c r="P776" s="818">
        <f t="shared" ca="1" si="464"/>
        <v>-17144.944028900358</v>
      </c>
      <c r="Q776" s="818">
        <f t="shared" ca="1" si="464"/>
        <v>-18752.282531609766</v>
      </c>
      <c r="R776" s="818">
        <f t="shared" ca="1" si="464"/>
        <v>-20510.309018948181</v>
      </c>
      <c r="S776" s="818">
        <f t="shared" ca="1" si="464"/>
        <v>-22433.150489474574</v>
      </c>
      <c r="T776" s="818">
        <f t="shared" ca="1" si="464"/>
        <v>-24536.258347862815</v>
      </c>
      <c r="U776" s="818">
        <f t="shared" ca="1" si="464"/>
        <v>-26836.532567974959</v>
      </c>
      <c r="V776" s="818">
        <f t="shared" ca="1" si="464"/>
        <v>-29352.457496222614</v>
      </c>
      <c r="W776" s="818">
        <f t="shared" ca="1" si="464"/>
        <v>-32104.250386493481</v>
      </c>
      <c r="X776" s="818">
        <f t="shared" ca="1" si="464"/>
        <v>-35114.023860227237</v>
      </c>
      <c r="Y776" s="818">
        <f t="shared" ca="1" si="464"/>
        <v>0</v>
      </c>
      <c r="Z776" s="818">
        <f t="shared" ca="1" si="464"/>
        <v>0</v>
      </c>
      <c r="AA776" s="818">
        <f t="shared" ca="1" si="464"/>
        <v>0</v>
      </c>
      <c r="AB776" s="818">
        <f t="shared" ca="1" si="464"/>
        <v>0</v>
      </c>
      <c r="AC776" s="818">
        <f t="shared" ca="1" si="464"/>
        <v>0</v>
      </c>
      <c r="AD776" s="818">
        <f t="shared" si="464"/>
        <v>0</v>
      </c>
      <c r="AE776" s="818">
        <f t="shared" si="464"/>
        <v>0</v>
      </c>
      <c r="AF776" s="818">
        <f t="shared" si="464"/>
        <v>0</v>
      </c>
      <c r="AG776" s="818"/>
    </row>
    <row r="777" spans="1:33">
      <c r="A777" s="818"/>
      <c r="B777" s="1009" t="s">
        <v>868</v>
      </c>
      <c r="C777" s="818"/>
      <c r="D777" s="818"/>
      <c r="E777" s="818"/>
      <c r="F777" s="818"/>
      <c r="G777" s="818"/>
      <c r="H777" s="818"/>
      <c r="I777" s="818">
        <f t="shared" ref="I777:AF777" si="465">SUM(I351:I353)</f>
        <v>0</v>
      </c>
      <c r="J777" s="1052">
        <f t="shared" si="465"/>
        <v>0</v>
      </c>
      <c r="K777" s="818">
        <f t="shared" si="465"/>
        <v>0</v>
      </c>
      <c r="L777" s="818">
        <f t="shared" si="465"/>
        <v>0</v>
      </c>
      <c r="M777" s="818">
        <f t="shared" si="465"/>
        <v>0</v>
      </c>
      <c r="N777" s="818">
        <f t="shared" si="465"/>
        <v>0</v>
      </c>
      <c r="O777" s="818">
        <f t="shared" si="465"/>
        <v>0</v>
      </c>
      <c r="P777" s="818">
        <f t="shared" si="465"/>
        <v>0</v>
      </c>
      <c r="Q777" s="818">
        <f t="shared" si="465"/>
        <v>0</v>
      </c>
      <c r="R777" s="818">
        <f t="shared" si="465"/>
        <v>0</v>
      </c>
      <c r="S777" s="818">
        <f t="shared" si="465"/>
        <v>0</v>
      </c>
      <c r="T777" s="818">
        <f t="shared" si="465"/>
        <v>0</v>
      </c>
      <c r="U777" s="818">
        <f t="shared" si="465"/>
        <v>0</v>
      </c>
      <c r="V777" s="818">
        <f t="shared" si="465"/>
        <v>0</v>
      </c>
      <c r="W777" s="818">
        <f t="shared" si="465"/>
        <v>0</v>
      </c>
      <c r="X777" s="818">
        <f t="shared" si="465"/>
        <v>0</v>
      </c>
      <c r="Y777" s="818">
        <f t="shared" si="465"/>
        <v>0</v>
      </c>
      <c r="Z777" s="818">
        <f t="shared" si="465"/>
        <v>0</v>
      </c>
      <c r="AA777" s="818">
        <f t="shared" si="465"/>
        <v>0</v>
      </c>
      <c r="AB777" s="818">
        <f t="shared" si="465"/>
        <v>0</v>
      </c>
      <c r="AC777" s="818">
        <f t="shared" si="465"/>
        <v>0</v>
      </c>
      <c r="AD777" s="818">
        <f t="shared" si="465"/>
        <v>0</v>
      </c>
      <c r="AE777" s="818">
        <f t="shared" si="465"/>
        <v>0</v>
      </c>
      <c r="AF777" s="818">
        <f t="shared" si="465"/>
        <v>0</v>
      </c>
      <c r="AG777" s="818"/>
    </row>
    <row r="778" spans="1:33">
      <c r="A778" s="1280" t="str">
        <f>A774</f>
        <v>Cash Flow From Financing Activities:</v>
      </c>
      <c r="B778" s="818"/>
      <c r="C778" s="818"/>
      <c r="D778" s="818"/>
      <c r="E778" s="818"/>
      <c r="F778" s="818"/>
      <c r="G778" s="818"/>
      <c r="H778" s="818"/>
      <c r="I778" s="1028">
        <f t="shared" ref="I778:AF778" ca="1" si="466">SUM(I775:I777)</f>
        <v>0</v>
      </c>
      <c r="J778" s="1279">
        <f t="shared" ca="1" si="466"/>
        <v>-10014.463211196358</v>
      </c>
      <c r="K778" s="1028">
        <f t="shared" ca="1" si="466"/>
        <v>-10953.319137246017</v>
      </c>
      <c r="L778" s="1028">
        <f t="shared" ca="1" si="466"/>
        <v>-11980.192806362837</v>
      </c>
      <c r="M778" s="1028">
        <f t="shared" ca="1" si="466"/>
        <v>-13103.335881959341</v>
      </c>
      <c r="N778" s="1028">
        <f t="shared" ca="1" si="466"/>
        <v>-14331.773620893036</v>
      </c>
      <c r="O778" s="1028">
        <f t="shared" ca="1" si="466"/>
        <v>-15675.377397851757</v>
      </c>
      <c r="P778" s="1028">
        <f t="shared" ca="1" si="466"/>
        <v>-17144.944028900358</v>
      </c>
      <c r="Q778" s="1028">
        <f t="shared" ca="1" si="466"/>
        <v>-18752.282531609766</v>
      </c>
      <c r="R778" s="1028">
        <f t="shared" ca="1" si="466"/>
        <v>-20510.309018948181</v>
      </c>
      <c r="S778" s="1028">
        <f t="shared" ca="1" si="466"/>
        <v>-22433.150489474574</v>
      </c>
      <c r="T778" s="1028">
        <f t="shared" ca="1" si="466"/>
        <v>-24536.258347862815</v>
      </c>
      <c r="U778" s="1028">
        <f t="shared" ca="1" si="466"/>
        <v>-26836.532567974959</v>
      </c>
      <c r="V778" s="1028">
        <f t="shared" ca="1" si="466"/>
        <v>-29352.457496222614</v>
      </c>
      <c r="W778" s="1028">
        <f t="shared" ca="1" si="466"/>
        <v>-32104.250386493481</v>
      </c>
      <c r="X778" s="1028">
        <f t="shared" ca="1" si="466"/>
        <v>-35114.023860227237</v>
      </c>
      <c r="Y778" s="1028">
        <f t="shared" ca="1" si="466"/>
        <v>0</v>
      </c>
      <c r="Z778" s="1028">
        <f t="shared" ca="1" si="466"/>
        <v>0</v>
      </c>
      <c r="AA778" s="1028">
        <f t="shared" ca="1" si="466"/>
        <v>0</v>
      </c>
      <c r="AB778" s="1028">
        <f t="shared" ca="1" si="466"/>
        <v>0</v>
      </c>
      <c r="AC778" s="1028">
        <f t="shared" ca="1" si="466"/>
        <v>0</v>
      </c>
      <c r="AD778" s="1028">
        <f t="shared" ca="1" si="466"/>
        <v>0</v>
      </c>
      <c r="AE778" s="1028">
        <f t="shared" ca="1" si="466"/>
        <v>0</v>
      </c>
      <c r="AF778" s="1028">
        <f t="shared" ca="1" si="466"/>
        <v>0</v>
      </c>
      <c r="AG778" s="818"/>
    </row>
    <row r="779" spans="1:33">
      <c r="A779" s="818"/>
      <c r="B779" s="818"/>
      <c r="C779" s="818"/>
      <c r="D779" s="818"/>
      <c r="E779" s="818"/>
      <c r="F779" s="818"/>
      <c r="G779" s="818"/>
      <c r="H779" s="818"/>
      <c r="I779" s="818"/>
      <c r="J779" s="1052"/>
      <c r="K779" s="818"/>
      <c r="L779" s="818"/>
      <c r="M779" s="818"/>
      <c r="N779" s="818"/>
      <c r="O779" s="818"/>
      <c r="P779" s="818"/>
      <c r="Q779" s="818"/>
      <c r="R779" s="818"/>
      <c r="S779" s="818"/>
      <c r="T779" s="818"/>
      <c r="U779" s="818"/>
      <c r="V779" s="818"/>
      <c r="W779" s="818"/>
      <c r="X779" s="818"/>
      <c r="Y779" s="818"/>
      <c r="Z779" s="818"/>
      <c r="AA779" s="818"/>
      <c r="AB779" s="818"/>
      <c r="AC779" s="818"/>
      <c r="AD779" s="818"/>
      <c r="AE779" s="818"/>
      <c r="AF779" s="818"/>
      <c r="AG779" s="818"/>
    </row>
    <row r="780" spans="1:33" ht="12" thickBot="1">
      <c r="A780" s="1277" t="s">
        <v>869</v>
      </c>
      <c r="B780" s="818"/>
      <c r="C780" s="818"/>
      <c r="D780" s="818"/>
      <c r="E780" s="818"/>
      <c r="F780" s="818"/>
      <c r="G780" s="818"/>
      <c r="H780" s="818"/>
      <c r="I780" s="1281">
        <f t="shared" ref="I780:AF780" ca="1" si="467">I778+I772+I763</f>
        <v>18384.826698781428</v>
      </c>
      <c r="J780" s="1282">
        <f t="shared" ca="1" si="467"/>
        <v>22616.831615538184</v>
      </c>
      <c r="K780" s="1281">
        <f t="shared" ca="1" si="467"/>
        <v>43540.187244550631</v>
      </c>
      <c r="L780" s="1281">
        <f t="shared" ca="1" si="467"/>
        <v>45709.923624669595</v>
      </c>
      <c r="M780" s="1281">
        <f t="shared" ca="1" si="467"/>
        <v>43602.748089362591</v>
      </c>
      <c r="N780" s="1281">
        <f t="shared" ca="1" si="467"/>
        <v>37765.16970633695</v>
      </c>
      <c r="O780" s="1281">
        <f t="shared" ca="1" si="467"/>
        <v>34392.862733265451</v>
      </c>
      <c r="P780" s="1281">
        <f t="shared" ca="1" si="467"/>
        <v>43998.548576434616</v>
      </c>
      <c r="Q780" s="1281">
        <f t="shared" ca="1" si="467"/>
        <v>39593.553304041314</v>
      </c>
      <c r="R780" s="1281">
        <f t="shared" ca="1" si="467"/>
        <v>39439.941242448971</v>
      </c>
      <c r="S780" s="1281">
        <f t="shared" ca="1" si="467"/>
        <v>39885.452256738332</v>
      </c>
      <c r="T780" s="1281">
        <f t="shared" ca="1" si="467"/>
        <v>32739.344289969515</v>
      </c>
      <c r="U780" s="1281">
        <f t="shared" ca="1" si="467"/>
        <v>36527.969965529104</v>
      </c>
      <c r="V780" s="1281">
        <f t="shared" ca="1" si="467"/>
        <v>30852.118208225027</v>
      </c>
      <c r="W780" s="1281">
        <f t="shared" ca="1" si="467"/>
        <v>27188.007275840937</v>
      </c>
      <c r="X780" s="1281">
        <f t="shared" ca="1" si="467"/>
        <v>24270.768729055933</v>
      </c>
      <c r="Y780" s="1281">
        <f t="shared" ca="1" si="467"/>
        <v>79447.153096753958</v>
      </c>
      <c r="Z780" s="1281">
        <f t="shared" ca="1" si="467"/>
        <v>57671.930005184477</v>
      </c>
      <c r="AA780" s="1281">
        <f t="shared" ca="1" si="467"/>
        <v>57186.60122116089</v>
      </c>
      <c r="AB780" s="1281">
        <f t="shared" ca="1" si="467"/>
        <v>47071.087785739539</v>
      </c>
      <c r="AC780" s="1281">
        <f t="shared" ca="1" si="467"/>
        <v>-41652.284405556784</v>
      </c>
      <c r="AD780" s="1281">
        <f t="shared" ca="1" si="467"/>
        <v>-26501.916163709921</v>
      </c>
      <c r="AE780" s="1281">
        <f t="shared" ca="1" si="467"/>
        <v>-27031.954486984119</v>
      </c>
      <c r="AF780" s="1281">
        <f t="shared" ca="1" si="467"/>
        <v>-27572.593576723819</v>
      </c>
      <c r="AG780" s="818"/>
    </row>
    <row r="781" spans="1:33" ht="12" thickTop="1"/>
    <row r="783" spans="1:33">
      <c r="I783" s="1283"/>
      <c r="J783" s="1283"/>
      <c r="K783" s="1283"/>
      <c r="L783" s="1283"/>
    </row>
    <row r="826" spans="1:32" ht="12" thickBot="1"/>
    <row r="827" spans="1:32" ht="12.75" thickTop="1" thickBot="1">
      <c r="A827" s="917" t="s">
        <v>820</v>
      </c>
      <c r="B827" s="818"/>
      <c r="C827" s="818"/>
      <c r="D827" s="818"/>
      <c r="E827" s="818"/>
      <c r="F827" s="818"/>
      <c r="G827" s="818"/>
      <c r="H827" s="842">
        <f>H$599</f>
        <v>37802</v>
      </c>
      <c r="I827" s="1054">
        <f>I$599</f>
        <v>37986</v>
      </c>
      <c r="J827" s="1055">
        <f t="shared" ref="J827:AF827" si="468">J$599</f>
        <v>38352</v>
      </c>
      <c r="K827" s="1055">
        <f t="shared" si="468"/>
        <v>38717</v>
      </c>
      <c r="L827" s="1055">
        <f t="shared" si="468"/>
        <v>39082</v>
      </c>
      <c r="M827" s="1055">
        <f t="shared" si="468"/>
        <v>39447</v>
      </c>
      <c r="N827" s="1055">
        <f t="shared" si="468"/>
        <v>39813</v>
      </c>
      <c r="O827" s="1055">
        <f t="shared" si="468"/>
        <v>40178</v>
      </c>
      <c r="P827" s="1055">
        <f t="shared" si="468"/>
        <v>40543</v>
      </c>
      <c r="Q827" s="1055">
        <f t="shared" si="468"/>
        <v>40908</v>
      </c>
      <c r="R827" s="1055">
        <f t="shared" si="468"/>
        <v>41274</v>
      </c>
      <c r="S827" s="1055">
        <f t="shared" si="468"/>
        <v>41639</v>
      </c>
      <c r="T827" s="1055">
        <f t="shared" si="468"/>
        <v>42004</v>
      </c>
      <c r="U827" s="1055">
        <f t="shared" si="468"/>
        <v>42369</v>
      </c>
      <c r="V827" s="1055">
        <f t="shared" si="468"/>
        <v>42735</v>
      </c>
      <c r="W827" s="1055">
        <f t="shared" si="468"/>
        <v>43100</v>
      </c>
      <c r="X827" s="1055">
        <f t="shared" si="468"/>
        <v>43465</v>
      </c>
      <c r="Y827" s="1055">
        <f t="shared" si="468"/>
        <v>43830</v>
      </c>
      <c r="Z827" s="1055">
        <f t="shared" si="468"/>
        <v>44196</v>
      </c>
      <c r="AA827" s="1055">
        <f t="shared" si="468"/>
        <v>44561</v>
      </c>
      <c r="AB827" s="1055">
        <f t="shared" si="468"/>
        <v>44926</v>
      </c>
      <c r="AC827" s="1055">
        <f t="shared" si="468"/>
        <v>45291</v>
      </c>
      <c r="AD827" s="1055">
        <f t="shared" si="468"/>
        <v>45657</v>
      </c>
      <c r="AE827" s="1055">
        <f t="shared" si="468"/>
        <v>46022</v>
      </c>
      <c r="AF827" s="1055">
        <f t="shared" si="468"/>
        <v>46387</v>
      </c>
    </row>
    <row r="828" spans="1:32" ht="12" thickTop="1">
      <c r="A828" s="1016" t="s">
        <v>821</v>
      </c>
      <c r="B828" s="818"/>
      <c r="C828" s="818"/>
      <c r="D828" s="818"/>
      <c r="E828" s="818"/>
      <c r="F828" s="818"/>
      <c r="G828" s="818"/>
      <c r="H828" s="1006"/>
      <c r="I828" s="1008"/>
      <c r="J828" s="665"/>
      <c r="K828" s="665"/>
      <c r="L828" s="665"/>
      <c r="M828" s="665"/>
      <c r="N828" s="665"/>
      <c r="O828" s="665"/>
      <c r="P828" s="665"/>
      <c r="Q828" s="665"/>
      <c r="R828" s="665"/>
      <c r="S828" s="665"/>
      <c r="T828" s="665"/>
      <c r="U828" s="665"/>
      <c r="V828" s="665"/>
      <c r="W828" s="665"/>
      <c r="X828" s="665"/>
      <c r="Y828" s="665"/>
      <c r="Z828" s="665"/>
      <c r="AA828" s="665"/>
      <c r="AB828" s="665"/>
      <c r="AC828" s="665"/>
      <c r="AD828" s="665"/>
      <c r="AE828" s="665"/>
      <c r="AF828" s="665"/>
    </row>
    <row r="829" spans="1:32">
      <c r="A829" s="1016" t="s">
        <v>634</v>
      </c>
      <c r="B829" s="818"/>
      <c r="C829" s="818"/>
      <c r="D829" s="818"/>
      <c r="E829" s="818"/>
      <c r="F829" s="818"/>
      <c r="G829" s="818"/>
      <c r="H829" s="818"/>
      <c r="I829" s="1033">
        <f t="shared" ref="I829:AF829" ca="1" si="469">I317</f>
        <v>7277.2153285209797</v>
      </c>
      <c r="J829" s="1279">
        <f t="shared" ca="1" si="469"/>
        <v>8639.8811735896052</v>
      </c>
      <c r="K829" s="1028">
        <f t="shared" ca="1" si="469"/>
        <v>19345.105687070383</v>
      </c>
      <c r="L829" s="1028">
        <f t="shared" ca="1" si="469"/>
        <v>23592.280402982011</v>
      </c>
      <c r="M829" s="1028">
        <f t="shared" ca="1" si="469"/>
        <v>23352.750687042433</v>
      </c>
      <c r="N829" s="1028">
        <f t="shared" ca="1" si="469"/>
        <v>19576.135995363056</v>
      </c>
      <c r="O829" s="1028">
        <f t="shared" ca="1" si="469"/>
        <v>18863.505414075778</v>
      </c>
      <c r="P829" s="1028">
        <f t="shared" ca="1" si="469"/>
        <v>33075.62808538074</v>
      </c>
      <c r="Q829" s="1028">
        <f t="shared" ca="1" si="469"/>
        <v>34393.269454916895</v>
      </c>
      <c r="R829" s="1028">
        <f t="shared" ca="1" si="469"/>
        <v>36117.498544065595</v>
      </c>
      <c r="S829" s="1028">
        <f t="shared" ca="1" si="469"/>
        <v>38564.240738978609</v>
      </c>
      <c r="T829" s="1028">
        <f t="shared" ca="1" si="469"/>
        <v>33949.505892458095</v>
      </c>
      <c r="U829" s="1028">
        <f t="shared" ca="1" si="469"/>
        <v>40776.814583024076</v>
      </c>
      <c r="V829" s="1028">
        <f t="shared" ca="1" si="469"/>
        <v>36211.186295712774</v>
      </c>
      <c r="W829" s="1028">
        <f t="shared" ca="1" si="469"/>
        <v>35840.341776558256</v>
      </c>
      <c r="X829" s="1028">
        <f t="shared" ca="1" si="469"/>
        <v>36067.571742102824</v>
      </c>
      <c r="Y829" s="1028">
        <f t="shared" ca="1" si="469"/>
        <v>37584.106091729227</v>
      </c>
      <c r="Z829" s="1028">
        <f t="shared" ca="1" si="469"/>
        <v>34510.503628082522</v>
      </c>
      <c r="AA829" s="1028">
        <f t="shared" ca="1" si="469"/>
        <v>34928.402306605982</v>
      </c>
      <c r="AB829" s="1028">
        <f t="shared" ca="1" si="469"/>
        <v>24454.708468299985</v>
      </c>
      <c r="AC829" s="1028">
        <f t="shared" ca="1" si="469"/>
        <v>-38198.703782627912</v>
      </c>
      <c r="AD829" s="1028">
        <f t="shared" ca="1" si="469"/>
        <v>-26501.916163709921</v>
      </c>
      <c r="AE829" s="1028">
        <f t="shared" ca="1" si="469"/>
        <v>-27031.954486984119</v>
      </c>
      <c r="AF829" s="1033">
        <f t="shared" ca="1" si="469"/>
        <v>-27572.593576723819</v>
      </c>
    </row>
    <row r="830" spans="1:32">
      <c r="A830" s="1009"/>
      <c r="B830" s="818"/>
      <c r="C830" s="818"/>
      <c r="D830" s="818"/>
      <c r="E830" s="818"/>
      <c r="F830" s="818"/>
      <c r="G830" s="818"/>
      <c r="H830" s="818"/>
      <c r="I830" s="1025"/>
      <c r="J830" s="818"/>
      <c r="K830" s="818"/>
      <c r="L830" s="818"/>
      <c r="M830" s="818"/>
      <c r="N830" s="818"/>
      <c r="O830" s="818"/>
      <c r="P830" s="818"/>
      <c r="Q830" s="818"/>
      <c r="R830" s="818"/>
      <c r="S830" s="818"/>
      <c r="T830" s="818"/>
      <c r="U830" s="818"/>
      <c r="V830" s="818"/>
      <c r="W830" s="818"/>
      <c r="X830" s="818"/>
      <c r="Y830" s="818"/>
      <c r="Z830" s="818"/>
      <c r="AA830" s="818"/>
      <c r="AB830" s="818"/>
      <c r="AC830" s="818"/>
      <c r="AD830" s="818"/>
      <c r="AE830" s="818"/>
      <c r="AF830" s="818"/>
    </row>
    <row r="831" spans="1:32">
      <c r="A831" s="1009" t="s">
        <v>823</v>
      </c>
      <c r="B831" s="1009" t="s">
        <v>528</v>
      </c>
      <c r="C831" s="818"/>
      <c r="D831" s="818"/>
      <c r="E831" s="818"/>
      <c r="F831" s="818"/>
      <c r="G831" s="818"/>
      <c r="H831" s="818"/>
      <c r="I831" s="741">
        <f t="shared" ref="I831:AF831" ca="1" si="470">I292</f>
        <v>11990.927908299995</v>
      </c>
      <c r="J831" s="1052">
        <f t="shared" ca="1" si="470"/>
        <v>23981.855816599989</v>
      </c>
      <c r="K831" s="818">
        <f t="shared" ca="1" si="470"/>
        <v>23981.855816599989</v>
      </c>
      <c r="L831" s="818">
        <f t="shared" ca="1" si="470"/>
        <v>23981.855816599989</v>
      </c>
      <c r="M831" s="818">
        <f t="shared" ca="1" si="470"/>
        <v>23981.855816599989</v>
      </c>
      <c r="N831" s="818">
        <f t="shared" ca="1" si="470"/>
        <v>23981.855816599989</v>
      </c>
      <c r="O831" s="818">
        <f t="shared" ca="1" si="470"/>
        <v>23981.855816599989</v>
      </c>
      <c r="P831" s="818">
        <f t="shared" ca="1" si="470"/>
        <v>23981.855816599989</v>
      </c>
      <c r="Q831" s="818">
        <f t="shared" ca="1" si="470"/>
        <v>23981.855816599989</v>
      </c>
      <c r="R831" s="818">
        <f t="shared" ca="1" si="470"/>
        <v>23981.855816599989</v>
      </c>
      <c r="S831" s="818">
        <f t="shared" ca="1" si="470"/>
        <v>23981.855816599989</v>
      </c>
      <c r="T831" s="818">
        <f t="shared" ca="1" si="470"/>
        <v>23981.855816599989</v>
      </c>
      <c r="U831" s="818">
        <f t="shared" ca="1" si="470"/>
        <v>23981.855816599989</v>
      </c>
      <c r="V831" s="818">
        <f t="shared" ca="1" si="470"/>
        <v>23981.855816599989</v>
      </c>
      <c r="W831" s="818">
        <f t="shared" ca="1" si="470"/>
        <v>23981.855816599989</v>
      </c>
      <c r="X831" s="818">
        <f t="shared" ca="1" si="470"/>
        <v>23981.855816599989</v>
      </c>
      <c r="Y831" s="818">
        <f t="shared" ca="1" si="470"/>
        <v>23981.855816599989</v>
      </c>
      <c r="Z831" s="818">
        <f t="shared" ca="1" si="470"/>
        <v>23981.855816599989</v>
      </c>
      <c r="AA831" s="818">
        <f t="shared" ca="1" si="470"/>
        <v>23981.855816599989</v>
      </c>
      <c r="AB831" s="818">
        <f t="shared" ca="1" si="470"/>
        <v>23981.855816599989</v>
      </c>
      <c r="AC831" s="818">
        <f t="shared" ca="1" si="470"/>
        <v>11990.927908299995</v>
      </c>
      <c r="AD831" s="818">
        <f t="shared" ca="1" si="470"/>
        <v>0</v>
      </c>
      <c r="AE831" s="818">
        <f t="shared" ca="1" si="470"/>
        <v>0</v>
      </c>
      <c r="AF831" s="818">
        <f t="shared" ca="1" si="470"/>
        <v>0</v>
      </c>
    </row>
    <row r="832" spans="1:32">
      <c r="A832" s="665"/>
      <c r="B832" s="1009" t="s">
        <v>449</v>
      </c>
      <c r="C832" s="818"/>
      <c r="D832" s="818"/>
      <c r="E832" s="818"/>
      <c r="F832" s="818"/>
      <c r="G832" s="818"/>
      <c r="H832" s="818"/>
      <c r="I832" s="741">
        <f t="shared" ref="I832:S832" ca="1" si="471">I293+I294</f>
        <v>3771.6468156842934</v>
      </c>
      <c r="J832" s="1052">
        <f t="shared" ca="1" si="471"/>
        <v>7543.2936313685868</v>
      </c>
      <c r="K832" s="741">
        <f t="shared" ca="1" si="471"/>
        <v>7543.2936313685868</v>
      </c>
      <c r="L832" s="741">
        <f t="shared" ca="1" si="471"/>
        <v>7543.2936313685868</v>
      </c>
      <c r="M832" s="741">
        <f t="shared" ca="1" si="471"/>
        <v>7543.2936313685868</v>
      </c>
      <c r="N832" s="741">
        <f t="shared" ca="1" si="471"/>
        <v>7543.2936313685868</v>
      </c>
      <c r="O832" s="741">
        <f t="shared" ca="1" si="471"/>
        <v>7543.2936313685868</v>
      </c>
      <c r="P832" s="741">
        <f t="shared" ca="1" si="471"/>
        <v>4074.4894864675171</v>
      </c>
      <c r="Q832" s="741">
        <f t="shared" ca="1" si="471"/>
        <v>605.68534156644671</v>
      </c>
      <c r="R832" s="741">
        <f t="shared" ca="1" si="471"/>
        <v>605.68534156644671</v>
      </c>
      <c r="S832" s="741">
        <f t="shared" ca="1" si="471"/>
        <v>302.84267078322335</v>
      </c>
      <c r="T832" s="818"/>
      <c r="U832" s="818"/>
      <c r="V832" s="818"/>
      <c r="W832" s="818"/>
      <c r="X832" s="818"/>
      <c r="Y832" s="818"/>
      <c r="Z832" s="818"/>
      <c r="AA832" s="818"/>
      <c r="AB832" s="818"/>
      <c r="AC832" s="818"/>
      <c r="AD832" s="818"/>
      <c r="AE832" s="818"/>
      <c r="AF832" s="818"/>
    </row>
    <row r="833" spans="1:32">
      <c r="A833" s="1009" t="s">
        <v>825</v>
      </c>
      <c r="B833" s="1009" t="s">
        <v>826</v>
      </c>
      <c r="C833" s="818"/>
      <c r="D833" s="818"/>
      <c r="E833" s="818"/>
      <c r="F833" s="818"/>
      <c r="G833" s="818"/>
      <c r="H833" s="818"/>
      <c r="I833" s="741">
        <f t="shared" ref="I833:S833" ca="1" si="472">I341</f>
        <v>0</v>
      </c>
      <c r="J833" s="1052">
        <f t="shared" ca="1" si="472"/>
        <v>0</v>
      </c>
      <c r="K833" s="818">
        <f t="shared" ca="1" si="472"/>
        <v>1391.4175436161604</v>
      </c>
      <c r="L833" s="818">
        <f t="shared" ca="1" si="472"/>
        <v>510.97211069030891</v>
      </c>
      <c r="M833" s="818">
        <f t="shared" ca="1" si="472"/>
        <v>-109.51963471736599</v>
      </c>
      <c r="N833" s="818">
        <f t="shared" ca="1" si="472"/>
        <v>-597.47137329303587</v>
      </c>
      <c r="O833" s="818">
        <f t="shared" ca="1" si="472"/>
        <v>-175.8547044345105</v>
      </c>
      <c r="P833" s="818">
        <f t="shared" ca="1" si="472"/>
        <v>1527.7652985035384</v>
      </c>
      <c r="Q833" s="818">
        <f t="shared" ca="1" si="472"/>
        <v>-214.74581381501412</v>
      </c>
      <c r="R833" s="818">
        <f t="shared" ca="1" si="472"/>
        <v>110.87796594371684</v>
      </c>
      <c r="S833" s="818">
        <f t="shared" ca="1" si="472"/>
        <v>164.26386398027171</v>
      </c>
      <c r="T833" s="818"/>
      <c r="U833" s="818"/>
      <c r="V833" s="818"/>
      <c r="W833" s="818"/>
      <c r="X833" s="818"/>
      <c r="Y833" s="818"/>
      <c r="Z833" s="818"/>
      <c r="AA833" s="818"/>
      <c r="AB833" s="818"/>
      <c r="AC833" s="818"/>
      <c r="AD833" s="818"/>
      <c r="AE833" s="818"/>
      <c r="AF833" s="818"/>
    </row>
    <row r="834" spans="1:32">
      <c r="A834" s="1009"/>
      <c r="B834" s="1009" t="s">
        <v>829</v>
      </c>
      <c r="C834" s="818"/>
      <c r="D834" s="818"/>
      <c r="E834" s="818"/>
      <c r="F834" s="818"/>
      <c r="G834" s="818"/>
      <c r="H834" s="818"/>
      <c r="I834" s="1025">
        <f t="shared" ref="I834:S834" ca="1" si="473">I339</f>
        <v>0</v>
      </c>
      <c r="J834" s="818">
        <f t="shared" si="473"/>
        <v>0</v>
      </c>
      <c r="K834" s="818">
        <f t="shared" si="473"/>
        <v>0</v>
      </c>
      <c r="L834" s="818">
        <f t="shared" si="473"/>
        <v>0</v>
      </c>
      <c r="M834" s="818">
        <f t="shared" si="473"/>
        <v>0</v>
      </c>
      <c r="N834" s="818">
        <f t="shared" si="473"/>
        <v>0</v>
      </c>
      <c r="O834" s="818">
        <f t="shared" si="473"/>
        <v>0</v>
      </c>
      <c r="P834" s="818">
        <f t="shared" si="473"/>
        <v>0</v>
      </c>
      <c r="Q834" s="818">
        <f t="shared" si="473"/>
        <v>0</v>
      </c>
      <c r="R834" s="818">
        <f t="shared" si="473"/>
        <v>0</v>
      </c>
      <c r="S834" s="818">
        <f t="shared" si="473"/>
        <v>0</v>
      </c>
      <c r="T834" s="818"/>
      <c r="U834" s="818"/>
      <c r="V834" s="818"/>
      <c r="W834" s="818"/>
      <c r="X834" s="818"/>
      <c r="Y834" s="818"/>
      <c r="Z834" s="818"/>
      <c r="AA834" s="818"/>
      <c r="AB834" s="818"/>
      <c r="AC834" s="818"/>
      <c r="AD834" s="818"/>
      <c r="AE834" s="818"/>
      <c r="AF834" s="818"/>
    </row>
    <row r="835" spans="1:32" ht="12" thickBot="1">
      <c r="A835" s="1016" t="s">
        <v>870</v>
      </c>
      <c r="B835" s="818"/>
      <c r="C835" s="818"/>
      <c r="D835" s="818"/>
      <c r="E835" s="818"/>
      <c r="F835" s="818"/>
      <c r="G835" s="818"/>
      <c r="H835" s="1284">
        <v>0</v>
      </c>
      <c r="I835" s="1285">
        <f t="shared" ref="I835:S835" ca="1" si="474">I829+I831+I832-I833-I834</f>
        <v>23039.790052505268</v>
      </c>
      <c r="J835" s="1037">
        <f t="shared" ca="1" si="474"/>
        <v>40165.03062155818</v>
      </c>
      <c r="K835" s="1037">
        <f t="shared" ca="1" si="474"/>
        <v>49478.837591422802</v>
      </c>
      <c r="L835" s="1037">
        <f t="shared" ca="1" si="474"/>
        <v>54606.457740260274</v>
      </c>
      <c r="M835" s="1037">
        <f t="shared" ca="1" si="474"/>
        <v>54987.419769728382</v>
      </c>
      <c r="N835" s="1037">
        <f t="shared" ca="1" si="474"/>
        <v>51698.756816624664</v>
      </c>
      <c r="O835" s="1037">
        <f t="shared" ca="1" si="474"/>
        <v>50564.509566478868</v>
      </c>
      <c r="P835" s="1037">
        <f t="shared" ca="1" si="474"/>
        <v>59604.208089944703</v>
      </c>
      <c r="Q835" s="1037">
        <f t="shared" ca="1" si="474"/>
        <v>59195.556426898343</v>
      </c>
      <c r="R835" s="1037">
        <f t="shared" ca="1" si="474"/>
        <v>60594.161736288312</v>
      </c>
      <c r="S835" s="1037">
        <f t="shared" ca="1" si="474"/>
        <v>62684.675362381546</v>
      </c>
      <c r="T835" s="818"/>
      <c r="U835" s="818"/>
      <c r="V835" s="818"/>
      <c r="W835" s="818"/>
      <c r="X835" s="818"/>
      <c r="Y835" s="818"/>
      <c r="Z835" s="818"/>
      <c r="AA835" s="818"/>
      <c r="AB835" s="818"/>
      <c r="AC835" s="818"/>
      <c r="AD835" s="818"/>
      <c r="AE835" s="818"/>
      <c r="AF835" s="818"/>
    </row>
    <row r="836" spans="1:32" ht="12" thickTop="1">
      <c r="A836" s="1016"/>
      <c r="B836" s="818"/>
      <c r="C836" s="818"/>
      <c r="D836" s="818"/>
      <c r="E836" s="818"/>
      <c r="F836" s="818"/>
      <c r="G836" s="818"/>
      <c r="H836" s="1284"/>
      <c r="I836" s="741"/>
      <c r="J836" s="741"/>
      <c r="K836" s="741"/>
      <c r="L836" s="741"/>
      <c r="M836" s="741"/>
      <c r="N836" s="741"/>
      <c r="O836" s="741"/>
      <c r="P836" s="741"/>
      <c r="Q836" s="741"/>
      <c r="R836" s="741"/>
      <c r="S836" s="741"/>
      <c r="T836" s="818"/>
      <c r="U836" s="818"/>
      <c r="V836" s="818"/>
      <c r="W836" s="818"/>
      <c r="X836" s="818"/>
      <c r="Y836" s="818"/>
      <c r="Z836" s="818"/>
      <c r="AA836" s="818"/>
      <c r="AB836" s="818"/>
      <c r="AC836" s="818"/>
      <c r="AD836" s="818"/>
      <c r="AE836" s="818"/>
      <c r="AF836" s="818"/>
    </row>
    <row r="837" spans="1:32" ht="12" thickBot="1">
      <c r="A837" s="1009"/>
      <c r="B837" s="818"/>
      <c r="C837" s="818"/>
      <c r="D837" s="818"/>
      <c r="E837" s="818"/>
      <c r="F837" s="818"/>
      <c r="G837" s="818"/>
      <c r="H837" s="818"/>
      <c r="I837" s="818"/>
      <c r="J837" s="818"/>
      <c r="K837" s="818"/>
      <c r="L837" s="818"/>
      <c r="M837" s="818"/>
      <c r="N837" s="818"/>
      <c r="O837" s="818"/>
      <c r="P837" s="818"/>
      <c r="Q837" s="818"/>
      <c r="R837" s="818"/>
      <c r="S837" s="818"/>
      <c r="T837" s="818"/>
      <c r="U837" s="818"/>
      <c r="V837" s="818"/>
      <c r="W837" s="818"/>
      <c r="X837" s="818"/>
      <c r="Y837" s="818"/>
      <c r="Z837" s="818"/>
      <c r="AA837" s="818"/>
      <c r="AB837" s="818"/>
      <c r="AC837" s="818"/>
      <c r="AD837" s="818"/>
      <c r="AE837" s="818"/>
      <c r="AF837" s="818"/>
    </row>
    <row r="838" spans="1:32" ht="12" thickTop="1">
      <c r="A838" s="1009"/>
      <c r="B838" s="818"/>
      <c r="C838" s="818"/>
      <c r="D838" s="818"/>
      <c r="E838" s="1286" t="s">
        <v>871</v>
      </c>
      <c r="F838" s="818"/>
      <c r="G838" s="1286" t="s">
        <v>871</v>
      </c>
      <c r="H838" s="818"/>
      <c r="I838" s="1286" t="s">
        <v>872</v>
      </c>
      <c r="J838" s="818"/>
      <c r="K838" s="818"/>
      <c r="L838" s="1277" t="s">
        <v>873</v>
      </c>
      <c r="M838" s="818"/>
      <c r="N838" s="818"/>
      <c r="O838" s="818"/>
      <c r="P838" s="818"/>
      <c r="Q838" s="818"/>
      <c r="R838" s="818"/>
      <c r="S838" s="818"/>
      <c r="T838" s="818"/>
      <c r="U838" s="818"/>
      <c r="V838" s="818"/>
      <c r="W838" s="818"/>
      <c r="X838" s="818"/>
      <c r="Y838" s="818"/>
      <c r="Z838" s="818"/>
      <c r="AA838" s="818"/>
      <c r="AB838" s="818"/>
      <c r="AC838" s="818"/>
      <c r="AD838" s="818"/>
      <c r="AE838" s="818"/>
      <c r="AF838" s="818"/>
    </row>
    <row r="839" spans="1:32" ht="12" thickBot="1">
      <c r="A839" s="1016" t="s">
        <v>874</v>
      </c>
      <c r="B839" s="818"/>
      <c r="C839" s="818"/>
      <c r="D839" s="818"/>
      <c r="E839" s="1287" t="s">
        <v>834</v>
      </c>
      <c r="F839" s="818"/>
      <c r="G839" s="1287" t="s">
        <v>875</v>
      </c>
      <c r="H839" s="818"/>
      <c r="I839" s="1287" t="s">
        <v>876</v>
      </c>
      <c r="J839" s="818"/>
      <c r="K839" s="818"/>
      <c r="L839" s="1009" t="s">
        <v>877</v>
      </c>
      <c r="M839" s="818"/>
      <c r="N839" s="818"/>
      <c r="O839" s="818"/>
      <c r="P839" s="818"/>
      <c r="Q839" s="818">
        <v>10</v>
      </c>
      <c r="R839" s="818"/>
      <c r="S839" s="818"/>
      <c r="T839" s="818"/>
      <c r="U839" s="818"/>
      <c r="V839" s="818"/>
      <c r="W839" s="818"/>
      <c r="X839" s="818"/>
      <c r="Y839" s="818"/>
      <c r="Z839" s="818"/>
      <c r="AA839" s="818"/>
      <c r="AB839" s="818"/>
      <c r="AC839" s="818"/>
      <c r="AD839" s="818"/>
      <c r="AE839" s="818"/>
      <c r="AF839" s="818"/>
    </row>
    <row r="840" spans="1:32" ht="12" thickTop="1">
      <c r="A840" s="1009" t="s">
        <v>878</v>
      </c>
      <c r="B840" s="818"/>
      <c r="C840" s="818"/>
      <c r="D840" s="818"/>
      <c r="E840" s="1028"/>
      <c r="F840" s="818"/>
      <c r="G840" s="1028"/>
      <c r="H840" s="818"/>
      <c r="I840" s="1028">
        <f ca="1">S829+S831+S832</f>
        <v>62848.939226361821</v>
      </c>
      <c r="J840" s="818"/>
      <c r="K840" s="818"/>
      <c r="L840" s="992" t="s">
        <v>879</v>
      </c>
      <c r="M840" s="818"/>
      <c r="N840" s="818"/>
      <c r="O840" s="818"/>
      <c r="P840" s="818"/>
      <c r="Q840" s="1117">
        <f ca="1">N485-P486</f>
        <v>17675.182272316943</v>
      </c>
      <c r="R840" s="818"/>
      <c r="S840" s="818"/>
      <c r="T840" s="818"/>
      <c r="U840" s="818"/>
      <c r="V840" s="818"/>
      <c r="W840" s="818"/>
      <c r="X840" s="818"/>
      <c r="Y840" s="818"/>
      <c r="Z840" s="818"/>
      <c r="AA840" s="818"/>
      <c r="AB840" s="818"/>
      <c r="AC840" s="818"/>
      <c r="AD840" s="818"/>
      <c r="AE840" s="818"/>
      <c r="AF840" s="818"/>
    </row>
    <row r="841" spans="1:32">
      <c r="A841" s="1009" t="s">
        <v>880</v>
      </c>
      <c r="B841" s="818"/>
      <c r="C841" s="818"/>
      <c r="D841" s="818"/>
      <c r="E841" s="818">
        <f ca="1">$S$829</f>
        <v>38564.240738978609</v>
      </c>
      <c r="F841" s="818"/>
      <c r="G841" s="818">
        <f ca="1">E841</f>
        <v>38564.240738978609</v>
      </c>
      <c r="H841" s="818"/>
      <c r="I841" s="818"/>
      <c r="J841" s="818"/>
      <c r="K841" s="818"/>
      <c r="L841" s="1009" t="s">
        <v>881</v>
      </c>
      <c r="M841" s="818"/>
      <c r="N841" s="818"/>
      <c r="O841" s="818"/>
      <c r="P841" s="818"/>
      <c r="Q841" s="1117">
        <v>0</v>
      </c>
      <c r="R841" s="818"/>
      <c r="S841" s="818"/>
      <c r="T841" s="818"/>
      <c r="U841" s="818"/>
      <c r="V841" s="818"/>
      <c r="W841" s="818"/>
      <c r="X841" s="818"/>
      <c r="Y841" s="818"/>
      <c r="Z841" s="818"/>
      <c r="AA841" s="818"/>
      <c r="AB841" s="818"/>
      <c r="AC841" s="818"/>
      <c r="AD841" s="818"/>
      <c r="AE841" s="818"/>
      <c r="AF841" s="818"/>
    </row>
    <row r="842" spans="1:32">
      <c r="A842" s="1009"/>
      <c r="B842" s="818"/>
      <c r="C842" s="818"/>
      <c r="D842" s="818"/>
      <c r="E842" s="818"/>
      <c r="F842" s="818"/>
      <c r="G842" s="818"/>
      <c r="H842" s="818"/>
      <c r="I842" s="818"/>
      <c r="J842" s="818"/>
      <c r="K842" s="818"/>
      <c r="L842" s="1009" t="s">
        <v>882</v>
      </c>
      <c r="M842" s="818"/>
      <c r="N842" s="818"/>
      <c r="O842" s="818"/>
      <c r="P842" s="818"/>
      <c r="Q842" s="997">
        <v>25000</v>
      </c>
      <c r="R842" s="818"/>
      <c r="S842" s="818"/>
      <c r="T842" s="741">
        <f t="shared" ref="T842:AF842" ca="1" si="475">T293+T294</f>
        <v>0</v>
      </c>
      <c r="U842" s="741">
        <f t="shared" ca="1" si="475"/>
        <v>0</v>
      </c>
      <c r="V842" s="741">
        <f t="shared" ca="1" si="475"/>
        <v>0</v>
      </c>
      <c r="W842" s="741">
        <f t="shared" ca="1" si="475"/>
        <v>0</v>
      </c>
      <c r="X842" s="741">
        <f t="shared" ca="1" si="475"/>
        <v>0</v>
      </c>
      <c r="Y842" s="741">
        <f t="shared" ca="1" si="475"/>
        <v>0</v>
      </c>
      <c r="Z842" s="741">
        <f t="shared" ca="1" si="475"/>
        <v>0</v>
      </c>
      <c r="AA842" s="741">
        <f t="shared" ca="1" si="475"/>
        <v>0</v>
      </c>
      <c r="AB842" s="741">
        <f t="shared" ca="1" si="475"/>
        <v>0</v>
      </c>
      <c r="AC842" s="741">
        <f t="shared" ca="1" si="475"/>
        <v>0</v>
      </c>
      <c r="AD842" s="741">
        <f t="shared" ca="1" si="475"/>
        <v>0</v>
      </c>
      <c r="AE842" s="741">
        <f t="shared" ca="1" si="475"/>
        <v>0</v>
      </c>
      <c r="AF842" s="741">
        <f t="shared" ca="1" si="475"/>
        <v>0</v>
      </c>
    </row>
    <row r="843" spans="1:32">
      <c r="A843" s="1009" t="s">
        <v>883</v>
      </c>
      <c r="B843" s="818"/>
      <c r="C843" s="818"/>
      <c r="D843" s="818"/>
      <c r="E843" s="1030">
        <f>R854</f>
        <v>0.12787500000000002</v>
      </c>
      <c r="F843" s="818"/>
      <c r="G843" s="1030">
        <f>E843</f>
        <v>0.12787500000000002</v>
      </c>
      <c r="H843" s="818"/>
      <c r="I843" s="818"/>
      <c r="J843" s="818"/>
      <c r="K843" s="818"/>
      <c r="L843" s="1009" t="s">
        <v>884</v>
      </c>
      <c r="M843" s="818"/>
      <c r="N843" s="818"/>
      <c r="O843" s="818"/>
      <c r="P843" s="818"/>
      <c r="Q843" s="1153">
        <v>0.01</v>
      </c>
      <c r="R843" s="818"/>
      <c r="S843" s="818"/>
      <c r="T843" s="818">
        <f t="shared" ref="T843:AF843" ca="1" si="476">T341</f>
        <v>-802.83782455222899</v>
      </c>
      <c r="U843" s="818">
        <f t="shared" ca="1" si="476"/>
        <v>778.27141734793986</v>
      </c>
      <c r="V843" s="818">
        <f t="shared" ca="1" si="476"/>
        <v>-827.40417330486162</v>
      </c>
      <c r="W843" s="818">
        <f t="shared" ca="1" si="476"/>
        <v>-259.11734164535665</v>
      </c>
      <c r="X843" s="818">
        <f t="shared" ca="1" si="476"/>
        <v>-195.44138783816743</v>
      </c>
      <c r="Y843" s="818">
        <f t="shared" ca="1" si="476"/>
        <v>94.101094020385062</v>
      </c>
      <c r="Z843" s="818">
        <f t="shared" ca="1" si="476"/>
        <v>-384.64734082261566</v>
      </c>
      <c r="AA843" s="818">
        <f t="shared" ca="1" si="476"/>
        <v>115.70055274007245</v>
      </c>
      <c r="AB843" s="818">
        <f t="shared" ca="1" si="476"/>
        <v>-1367.2525909081305</v>
      </c>
      <c r="AC843" s="818">
        <f t="shared" ca="1" si="476"/>
        <v>-6804.7810838693586</v>
      </c>
      <c r="AD843" s="818">
        <f t="shared" si="476"/>
        <v>0</v>
      </c>
      <c r="AE843" s="818">
        <f t="shared" si="476"/>
        <v>0</v>
      </c>
      <c r="AF843" s="818">
        <f t="shared" si="476"/>
        <v>0</v>
      </c>
    </row>
    <row r="844" spans="1:32">
      <c r="A844" s="1009" t="s">
        <v>884</v>
      </c>
      <c r="B844" s="818"/>
      <c r="C844" s="818"/>
      <c r="D844" s="818"/>
      <c r="E844" s="1030"/>
      <c r="F844" s="818"/>
      <c r="G844" s="1030">
        <f>Q843</f>
        <v>0.01</v>
      </c>
      <c r="H844" s="818"/>
      <c r="I844" s="818"/>
      <c r="J844" s="818"/>
      <c r="K844" s="818"/>
      <c r="L844" s="1009" t="s">
        <v>885</v>
      </c>
      <c r="M844" s="818"/>
      <c r="N844" s="818"/>
      <c r="O844" s="818"/>
      <c r="P844" s="818"/>
      <c r="Q844" s="1288">
        <v>6</v>
      </c>
      <c r="R844" s="818"/>
      <c r="S844" s="818"/>
      <c r="T844" s="818">
        <f t="shared" ref="T844:AF844" si="477">T339</f>
        <v>0</v>
      </c>
      <c r="U844" s="818">
        <f t="shared" si="477"/>
        <v>0</v>
      </c>
      <c r="V844" s="818">
        <f t="shared" si="477"/>
        <v>0</v>
      </c>
      <c r="W844" s="818">
        <f t="shared" si="477"/>
        <v>0</v>
      </c>
      <c r="X844" s="818">
        <f t="shared" si="477"/>
        <v>0</v>
      </c>
      <c r="Y844" s="818">
        <f t="shared" si="477"/>
        <v>0</v>
      </c>
      <c r="Z844" s="818">
        <f t="shared" si="477"/>
        <v>0</v>
      </c>
      <c r="AA844" s="818">
        <f t="shared" si="477"/>
        <v>0</v>
      </c>
      <c r="AB844" s="818">
        <f t="shared" si="477"/>
        <v>0</v>
      </c>
      <c r="AC844" s="818">
        <f t="shared" si="477"/>
        <v>0</v>
      </c>
      <c r="AD844" s="818">
        <f t="shared" si="477"/>
        <v>0</v>
      </c>
      <c r="AE844" s="818">
        <f t="shared" si="477"/>
        <v>0</v>
      </c>
      <c r="AF844" s="818">
        <f t="shared" si="477"/>
        <v>0</v>
      </c>
    </row>
    <row r="845" spans="1:32" ht="12" thickBot="1">
      <c r="A845" s="1009" t="s">
        <v>886</v>
      </c>
      <c r="B845" s="818"/>
      <c r="C845" s="818"/>
      <c r="D845" s="818"/>
      <c r="E845" s="1030"/>
      <c r="F845" s="818"/>
      <c r="G845" s="1030"/>
      <c r="H845" s="818"/>
      <c r="I845" s="1289">
        <f>Q844</f>
        <v>6</v>
      </c>
      <c r="J845" s="818"/>
      <c r="K845" s="818"/>
      <c r="L845" s="818"/>
      <c r="M845" s="818"/>
      <c r="N845" s="818"/>
      <c r="O845" s="818"/>
      <c r="P845" s="818"/>
      <c r="Q845" s="818"/>
      <c r="R845" s="818"/>
      <c r="S845" s="818"/>
      <c r="T845" s="1037">
        <f t="shared" ref="T845:AF845" ca="1" si="478">T829+T831+T842-T843-T844</f>
        <v>58734.199533610314</v>
      </c>
      <c r="U845" s="1037">
        <f t="shared" ca="1" si="478"/>
        <v>63980.398982276129</v>
      </c>
      <c r="V845" s="1037">
        <f t="shared" ca="1" si="478"/>
        <v>61020.446285617625</v>
      </c>
      <c r="W845" s="1037">
        <f t="shared" ca="1" si="478"/>
        <v>60081.314934803595</v>
      </c>
      <c r="X845" s="1037">
        <f t="shared" ca="1" si="478"/>
        <v>60244.868946540977</v>
      </c>
      <c r="Y845" s="1037">
        <f t="shared" ca="1" si="478"/>
        <v>61471.860814308835</v>
      </c>
      <c r="Z845" s="1037">
        <f t="shared" ca="1" si="478"/>
        <v>58877.006785505131</v>
      </c>
      <c r="AA845" s="1037">
        <f t="shared" ca="1" si="478"/>
        <v>58794.557570465899</v>
      </c>
      <c r="AB845" s="1037">
        <f t="shared" ca="1" si="478"/>
        <v>49803.816875808101</v>
      </c>
      <c r="AC845" s="1037">
        <f t="shared" ca="1" si="478"/>
        <v>-19402.994790458561</v>
      </c>
      <c r="AD845" s="1037">
        <f t="shared" ca="1" si="478"/>
        <v>-26501.916163709921</v>
      </c>
      <c r="AE845" s="1037">
        <f t="shared" ca="1" si="478"/>
        <v>-27031.954486984119</v>
      </c>
      <c r="AF845" s="1037">
        <f t="shared" ca="1" si="478"/>
        <v>-27572.593576723819</v>
      </c>
    </row>
    <row r="846" spans="1:32" ht="12" thickTop="1">
      <c r="A846" s="1009" t="s">
        <v>887</v>
      </c>
      <c r="B846" s="818"/>
      <c r="C846" s="818"/>
      <c r="D846" s="818"/>
      <c r="E846" s="1028">
        <f ca="1">IF(ISERR(E841/$R$854),0,E841/$R$854)</f>
        <v>301577.64018751599</v>
      </c>
      <c r="F846" s="818"/>
      <c r="G846" s="1028">
        <f ca="1">IF(ISERR((G841*(1+G844))/($R$854-G844)),0,(G841*(1+G844))/(R854-G844))</f>
        <v>330433.79127353884</v>
      </c>
      <c r="H846" s="818"/>
      <c r="I846" s="1028">
        <f ca="1">I845*I840</f>
        <v>377093.63535817096</v>
      </c>
      <c r="J846" s="818"/>
      <c r="K846" s="818"/>
      <c r="L846" s="1016" t="s">
        <v>888</v>
      </c>
      <c r="M846" s="818"/>
      <c r="N846" s="818"/>
      <c r="O846" s="818"/>
      <c r="P846" s="818"/>
      <c r="Q846" s="997"/>
      <c r="R846" s="818"/>
      <c r="S846" s="818"/>
    </row>
    <row r="847" spans="1:32">
      <c r="A847" s="1009"/>
      <c r="B847" s="818"/>
      <c r="C847" s="818"/>
      <c r="D847" s="818"/>
      <c r="E847" s="818"/>
      <c r="F847" s="818"/>
      <c r="G847" s="818"/>
      <c r="H847" s="818"/>
      <c r="I847" s="818"/>
      <c r="J847" s="818"/>
      <c r="K847" s="818"/>
      <c r="L847" s="1009" t="s">
        <v>889</v>
      </c>
      <c r="M847" s="818"/>
      <c r="N847" s="818"/>
      <c r="O847" s="818"/>
      <c r="P847" s="818"/>
      <c r="Q847" s="1153">
        <v>0.35</v>
      </c>
      <c r="R847" s="818"/>
      <c r="S847" s="818"/>
    </row>
    <row r="848" spans="1:32">
      <c r="A848" s="1016" t="str">
        <f>"VALUATION as of "&amp;TEXT(H827,"m/d/y")</f>
        <v>VALUATION as of 6/30/03</v>
      </c>
      <c r="B848" s="818"/>
      <c r="C848" s="818"/>
      <c r="D848" s="818"/>
      <c r="E848" s="818"/>
      <c r="F848" s="818"/>
      <c r="G848" s="818"/>
      <c r="H848" s="818"/>
      <c r="I848" s="818"/>
      <c r="J848" s="818"/>
      <c r="K848" s="818"/>
      <c r="L848" s="1009" t="s">
        <v>890</v>
      </c>
      <c r="M848" s="818"/>
      <c r="N848" s="818"/>
      <c r="O848" s="818"/>
      <c r="P848" s="818"/>
      <c r="Q848" s="1153">
        <v>1</v>
      </c>
      <c r="R848" s="818"/>
      <c r="S848" s="818"/>
    </row>
    <row r="849" spans="1:19">
      <c r="A849" s="1009" t="s">
        <v>849</v>
      </c>
      <c r="B849" s="818"/>
      <c r="C849" s="818"/>
      <c r="D849" s="818"/>
      <c r="E849" s="818">
        <f ca="1">XNPV($R$854,$H$835:$S$835,H827:$S$827)</f>
        <v>291686.55347184179</v>
      </c>
      <c r="F849" s="818"/>
      <c r="G849" s="818">
        <f ca="1">XNPV($R$854,$H$835:$S$835,$H$827:$S$827)</f>
        <v>291686.55347184179</v>
      </c>
      <c r="H849" s="818"/>
      <c r="I849" s="818">
        <f ca="1">XNPV($R$854,$H$835:$S$835,$H$827:$S$827)</f>
        <v>291686.55347184179</v>
      </c>
      <c r="J849" s="818"/>
      <c r="K849" s="818"/>
      <c r="L849" s="1009" t="s">
        <v>891</v>
      </c>
      <c r="M849" s="818"/>
      <c r="N849" s="818"/>
      <c r="O849" s="818"/>
      <c r="P849" s="818"/>
      <c r="Q849" s="1030">
        <f>(100*Q848)/(100*Q848+100)</f>
        <v>0.5</v>
      </c>
      <c r="R849" s="818"/>
      <c r="S849" s="818"/>
    </row>
    <row r="850" spans="1:19">
      <c r="A850" s="1009" t="s">
        <v>850</v>
      </c>
      <c r="B850" s="818"/>
      <c r="C850" s="818"/>
      <c r="D850" s="818"/>
      <c r="E850" s="818">
        <f ca="1">(E846/(1+$R$854)^$Q$839)/(1+$R$854)^IF($C$442=1,0,$C$442)</f>
        <v>85243.043962324882</v>
      </c>
      <c r="F850" s="818"/>
      <c r="G850" s="818">
        <f ca="1">(G846/(1+$R$854)^$Q$839)/(1+$R$854)^IF($C$442=1,0,$C$442)</f>
        <v>93399.438296068867</v>
      </c>
      <c r="H850" s="818"/>
      <c r="I850" s="818">
        <f ca="1">(I846/(1+$R$854)^$Q$839)/(1+$R$854)^IF($C$442=1,0,$C$442)</f>
        <v>106588.17184444606</v>
      </c>
      <c r="J850" s="818"/>
      <c r="K850" s="818"/>
      <c r="L850" s="1009" t="s">
        <v>892</v>
      </c>
      <c r="M850" s="818"/>
      <c r="N850" s="818"/>
      <c r="O850" s="818"/>
      <c r="P850" s="818"/>
      <c r="Q850" s="1030">
        <f>O860</f>
        <v>0.155</v>
      </c>
      <c r="R850" s="818"/>
      <c r="S850" s="818"/>
    </row>
    <row r="851" spans="1:19">
      <c r="A851" s="1009" t="s">
        <v>851</v>
      </c>
      <c r="B851" s="818"/>
      <c r="C851" s="818"/>
      <c r="D851" s="818"/>
      <c r="E851" s="818">
        <f ca="1">Q840</f>
        <v>17675.182272316943</v>
      </c>
      <c r="F851" s="818"/>
      <c r="G851" s="818">
        <f ca="1">E851</f>
        <v>17675.182272316943</v>
      </c>
      <c r="H851" s="818"/>
      <c r="I851" s="818">
        <f ca="1">G851</f>
        <v>17675.182272316943</v>
      </c>
      <c r="J851" s="818"/>
      <c r="K851" s="818"/>
      <c r="L851" s="1009" t="s">
        <v>893</v>
      </c>
      <c r="M851" s="818"/>
      <c r="N851" s="818"/>
      <c r="O851" s="818"/>
      <c r="P851" s="818"/>
      <c r="Q851" s="1030"/>
      <c r="R851" s="1030">
        <f>Q850+((1-Q847)*(Q850-Q852)*Q848)</f>
        <v>0.20700000000000002</v>
      </c>
      <c r="S851" s="818"/>
    </row>
    <row r="852" spans="1:19">
      <c r="A852" s="1009" t="s">
        <v>852</v>
      </c>
      <c r="B852" s="818"/>
      <c r="C852" s="818"/>
      <c r="D852" s="818"/>
      <c r="E852" s="1028">
        <f ca="1">SUM(E849:E851)</f>
        <v>394604.77970648365</v>
      </c>
      <c r="F852" s="818"/>
      <c r="G852" s="1028">
        <f ca="1">SUM(G849:G851)</f>
        <v>402761.1740402276</v>
      </c>
      <c r="H852" s="818"/>
      <c r="I852" s="1028">
        <f ca="1">SUM(I849:I851)</f>
        <v>415949.90758860478</v>
      </c>
      <c r="J852" s="818"/>
      <c r="K852" s="818"/>
      <c r="L852" s="1009" t="s">
        <v>894</v>
      </c>
      <c r="M852" s="818"/>
      <c r="N852" s="818"/>
      <c r="O852" s="818"/>
      <c r="P852" s="818"/>
      <c r="Q852" s="1153">
        <v>7.4999999999999997E-2</v>
      </c>
      <c r="R852" s="1030"/>
      <c r="S852" s="818"/>
    </row>
    <row r="853" spans="1:19">
      <c r="A853" s="1009"/>
      <c r="B853" s="818"/>
      <c r="C853" s="818"/>
      <c r="D853" s="818"/>
      <c r="E853" s="818"/>
      <c r="F853" s="818"/>
      <c r="G853" s="818"/>
      <c r="H853" s="818"/>
      <c r="I853" s="818"/>
      <c r="J853" s="818"/>
      <c r="K853" s="818"/>
      <c r="L853" s="1009" t="s">
        <v>895</v>
      </c>
      <c r="M853" s="818"/>
      <c r="N853" s="818"/>
      <c r="O853" s="818"/>
      <c r="P853" s="818"/>
      <c r="Q853" s="1153"/>
      <c r="R853" s="1030">
        <f>Q852*(1-Q847)</f>
        <v>4.8750000000000002E-2</v>
      </c>
      <c r="S853" s="818"/>
    </row>
    <row r="854" spans="1:19" ht="12" thickBot="1">
      <c r="A854" s="1009" t="s">
        <v>896</v>
      </c>
      <c r="B854" s="818"/>
      <c r="C854" s="818"/>
      <c r="D854" s="818"/>
      <c r="E854" s="818">
        <f>Q841</f>
        <v>0</v>
      </c>
      <c r="F854" s="818"/>
      <c r="G854" s="818">
        <f>E854</f>
        <v>0</v>
      </c>
      <c r="H854" s="818"/>
      <c r="I854" s="818">
        <f>G854</f>
        <v>0</v>
      </c>
      <c r="J854" s="818"/>
      <c r="K854" s="818"/>
      <c r="L854" s="1016" t="s">
        <v>897</v>
      </c>
      <c r="M854" s="818"/>
      <c r="N854" s="818"/>
      <c r="O854" s="818"/>
      <c r="P854" s="818"/>
      <c r="Q854" s="1153"/>
      <c r="R854" s="1290">
        <f>Q849*R853+R851*(1-Q849)</f>
        <v>0.12787500000000002</v>
      </c>
      <c r="S854" s="818"/>
    </row>
    <row r="855" spans="1:19" ht="12.75" thickTop="1" thickBot="1">
      <c r="A855" s="1009" t="s">
        <v>898</v>
      </c>
      <c r="B855" s="818"/>
      <c r="C855" s="818"/>
      <c r="D855" s="818"/>
      <c r="E855" s="1037">
        <f ca="1">E852-E854</f>
        <v>394604.77970648365</v>
      </c>
      <c r="F855" s="818"/>
      <c r="G855" s="1037">
        <f ca="1">G852-G854</f>
        <v>402761.1740402276</v>
      </c>
      <c r="H855" s="818"/>
      <c r="I855" s="1037">
        <f ca="1">I852-I854</f>
        <v>415949.90758860478</v>
      </c>
      <c r="J855" s="818"/>
      <c r="K855" s="818"/>
      <c r="L855" s="818"/>
      <c r="M855" s="818"/>
      <c r="N855" s="818"/>
      <c r="O855" s="818"/>
      <c r="P855" s="818"/>
      <c r="Q855" s="818"/>
      <c r="R855" s="818"/>
      <c r="S855" s="818"/>
    </row>
    <row r="856" spans="1:19" ht="12" thickTop="1">
      <c r="A856" s="1009"/>
      <c r="B856" s="818"/>
      <c r="C856" s="818"/>
      <c r="D856" s="818"/>
      <c r="E856" s="818"/>
      <c r="F856" s="818"/>
      <c r="G856" s="818"/>
      <c r="H856" s="818"/>
      <c r="I856" s="818"/>
      <c r="J856" s="818"/>
      <c r="K856" s="818"/>
      <c r="L856" s="1016" t="s">
        <v>899</v>
      </c>
      <c r="M856" s="818"/>
      <c r="N856" s="818"/>
      <c r="O856" s="818"/>
      <c r="P856" s="818"/>
      <c r="Q856" s="818"/>
      <c r="R856" s="1030"/>
      <c r="S856" s="818"/>
    </row>
    <row r="857" spans="1:19">
      <c r="A857" s="1009" t="str">
        <f>"Number of Shares Outstanding at "&amp;TEXT(H827,"m/d/y")</f>
        <v>Number of Shares Outstanding at 6/30/03</v>
      </c>
      <c r="B857" s="818"/>
      <c r="C857" s="818"/>
      <c r="D857" s="818"/>
      <c r="E857" s="1011">
        <f>Q842</f>
        <v>25000</v>
      </c>
      <c r="F857" s="818"/>
      <c r="G857" s="1011">
        <f>E857</f>
        <v>25000</v>
      </c>
      <c r="H857" s="818"/>
      <c r="I857" s="1011">
        <f>G857</f>
        <v>25000</v>
      </c>
      <c r="J857" s="818"/>
      <c r="K857" s="818"/>
      <c r="L857" s="1009" t="s">
        <v>900</v>
      </c>
      <c r="M857" s="818"/>
      <c r="N857" s="818"/>
      <c r="O857" s="1153">
        <v>7.4999999999999997E-2</v>
      </c>
      <c r="P857" s="992" t="s">
        <v>901</v>
      </c>
      <c r="Q857" s="818"/>
      <c r="R857" s="818"/>
      <c r="S857" s="818"/>
    </row>
    <row r="858" spans="1:19">
      <c r="A858" s="1009"/>
      <c r="B858" s="818"/>
      <c r="C858" s="818"/>
      <c r="D858" s="818"/>
      <c r="E858" s="818"/>
      <c r="F858" s="818"/>
      <c r="G858" s="818"/>
      <c r="H858" s="818"/>
      <c r="I858" s="818"/>
      <c r="J858" s="818"/>
      <c r="K858" s="818"/>
      <c r="L858" s="1009" t="s">
        <v>902</v>
      </c>
      <c r="M858" s="818"/>
      <c r="N858" s="818"/>
      <c r="O858" s="1291">
        <v>2</v>
      </c>
      <c r="P858" s="1009" t="s">
        <v>903</v>
      </c>
      <c r="Q858" s="818"/>
      <c r="R858" s="818"/>
      <c r="S858" s="818"/>
    </row>
    <row r="859" spans="1:19">
      <c r="A859" s="1009"/>
      <c r="B859" s="818"/>
      <c r="C859" s="818"/>
      <c r="D859" s="818"/>
      <c r="E859" s="818"/>
      <c r="F859" s="818"/>
      <c r="G859" s="818"/>
      <c r="H859" s="818"/>
      <c r="I859" s="818"/>
      <c r="J859" s="818"/>
      <c r="K859" s="818"/>
      <c r="L859" s="1009" t="s">
        <v>904</v>
      </c>
      <c r="M859" s="818"/>
      <c r="N859" s="818"/>
      <c r="O859" s="1153">
        <v>0.04</v>
      </c>
      <c r="P859" s="1009"/>
      <c r="Q859" s="818"/>
      <c r="R859" s="818"/>
      <c r="S859" s="818"/>
    </row>
    <row r="860" spans="1:19" ht="12" thickBot="1">
      <c r="A860" s="1009" t="s">
        <v>905</v>
      </c>
      <c r="B860" s="818"/>
      <c r="C860" s="818"/>
      <c r="D860" s="818"/>
      <c r="E860" s="1292">
        <f ca="1">IF(ISERR(E855/E857),0,E855/E857)</f>
        <v>15.784191188259346</v>
      </c>
      <c r="F860" s="818"/>
      <c r="G860" s="1292">
        <f ca="1">IF(ISERR(G855/G857),0,G855/G857)</f>
        <v>16.110446961609103</v>
      </c>
      <c r="H860" s="818"/>
      <c r="I860" s="1292">
        <f ca="1">IF(ISERR(I855/I857),0,I855/I857)</f>
        <v>16.637996303544192</v>
      </c>
      <c r="J860" s="818"/>
      <c r="K860" s="818"/>
      <c r="L860" s="1016" t="s">
        <v>906</v>
      </c>
      <c r="M860" s="818"/>
      <c r="N860" s="818"/>
      <c r="O860" s="1290">
        <f>O857+(O858*O859)</f>
        <v>0.155</v>
      </c>
      <c r="P860" s="818"/>
      <c r="Q860" s="818"/>
      <c r="R860" s="818"/>
      <c r="S860" s="818"/>
    </row>
    <row r="861" spans="1:19" ht="12" thickTop="1"/>
  </sheetData>
  <printOptions horizontalCentered="1"/>
  <pageMargins left="0.1" right="0.1" top="0.4" bottom="0.75" header="0.5" footer="0.5"/>
  <pageSetup scale="21" orientation="landscape" horizontalDpi="4294967292" r:id="rId1"/>
  <headerFooter alignWithMargins="0">
    <oddFooter>&amp;C&amp;D  &amp;T&amp;R&amp;F</oddFooter>
  </headerFooter>
  <rowBreaks count="2" manualBreakCount="2">
    <brk id="122" max="28" man="1"/>
    <brk id="225" max="28"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3" r:id="rId4" name="Button 3">
              <controlPr defaultSize="0" print="0" autoFill="0" autoLine="0" autoPict="0" macro="[0]!CFMODEL_Macros.Optimize">
                <anchor moveWithCells="1" sizeWithCells="1">
                  <from>
                    <xdr:col>1</xdr:col>
                    <xdr:colOff>838200</xdr:colOff>
                    <xdr:row>0</xdr:row>
                    <xdr:rowOff>0</xdr:rowOff>
                  </from>
                  <to>
                    <xdr:col>2</xdr:col>
                    <xdr:colOff>838200</xdr:colOff>
                    <xdr:row>2</xdr:row>
                    <xdr:rowOff>9525</xdr:rowOff>
                  </to>
                </anchor>
              </controlPr>
            </control>
          </mc:Choice>
        </mc:AlternateContent>
        <mc:AlternateContent xmlns:mc="http://schemas.openxmlformats.org/markup-compatibility/2006">
          <mc:Choice Requires="x14">
            <control shapeId="30725" r:id="rId5" name="Button 5">
              <controlPr defaultSize="0" print="0" autoFill="0" autoPict="0" macro="[0]!CFMODEL_Macros.inp">
                <anchor moveWithCells="1" sizeWithCells="1">
                  <from>
                    <xdr:col>0</xdr:col>
                    <xdr:colOff>0</xdr:colOff>
                    <xdr:row>0</xdr:row>
                    <xdr:rowOff>9525</xdr:rowOff>
                  </from>
                  <to>
                    <xdr:col>1</xdr:col>
                    <xdr:colOff>0</xdr:colOff>
                    <xdr:row>1</xdr:row>
                    <xdr:rowOff>9525</xdr:rowOff>
                  </to>
                </anchor>
              </controlPr>
            </control>
          </mc:Choice>
        </mc:AlternateContent>
        <mc:AlternateContent xmlns:mc="http://schemas.openxmlformats.org/markup-compatibility/2006">
          <mc:Choice Requires="x14">
            <control shapeId="30726" r:id="rId6" name="Button 6">
              <controlPr defaultSize="0" print="0" autoFill="0" autoPict="0" macro="[0]!CFMODEL_Macros.go">
                <anchor moveWithCells="1">
                  <from>
                    <xdr:col>1</xdr:col>
                    <xdr:colOff>0</xdr:colOff>
                    <xdr:row>0</xdr:row>
                    <xdr:rowOff>9525</xdr:rowOff>
                  </from>
                  <to>
                    <xdr:col>1</xdr:col>
                    <xdr:colOff>838200</xdr:colOff>
                    <xdr:row>1</xdr:row>
                    <xdr:rowOff>9525</xdr:rowOff>
                  </to>
                </anchor>
              </controlPr>
            </control>
          </mc:Choice>
        </mc:AlternateContent>
        <mc:AlternateContent xmlns:mc="http://schemas.openxmlformats.org/markup-compatibility/2006">
          <mc:Choice Requires="x14">
            <control shapeId="30727" r:id="rId7" name="Button 7">
              <controlPr defaultSize="0" print="0" autoFill="0" autoPict="0" macro="[0]!CFMODEL_Macros.setcalc">
                <anchor moveWithCells="1">
                  <from>
                    <xdr:col>0</xdr:col>
                    <xdr:colOff>0</xdr:colOff>
                    <xdr:row>1</xdr:row>
                    <xdr:rowOff>9525</xdr:rowOff>
                  </from>
                  <to>
                    <xdr:col>1</xdr:col>
                    <xdr:colOff>0</xdr:colOff>
                    <xdr:row>2</xdr:row>
                    <xdr:rowOff>19050</xdr:rowOff>
                  </to>
                </anchor>
              </controlPr>
            </control>
          </mc:Choice>
        </mc:AlternateContent>
        <mc:AlternateContent xmlns:mc="http://schemas.openxmlformats.org/markup-compatibility/2006">
          <mc:Choice Requires="x14">
            <control shapeId="30728" r:id="rId8" name="Button 8">
              <controlPr defaultSize="0" print="0" autoFill="0" autoPict="0" macro="[0]!CFMODEL_Macros.prt">
                <anchor moveWithCells="1">
                  <from>
                    <xdr:col>1</xdr:col>
                    <xdr:colOff>0</xdr:colOff>
                    <xdr:row>1</xdr:row>
                    <xdr:rowOff>9525</xdr:rowOff>
                  </from>
                  <to>
                    <xdr:col>1</xdr:col>
                    <xdr:colOff>838200</xdr:colOff>
                    <xdr:row>2</xdr:row>
                    <xdr:rowOff>19050</xdr:rowOff>
                  </to>
                </anchor>
              </controlPr>
            </control>
          </mc:Choice>
        </mc:AlternateContent>
        <mc:AlternateContent xmlns:mc="http://schemas.openxmlformats.org/markup-compatibility/2006">
          <mc:Choice Requires="x14">
            <control shapeId="30729" r:id="rId9" name="Button 9">
              <controlPr defaultSize="0" print="0" autoFill="0" autoPict="0" macro="[0]!CFMODEL_Macros.Clear">
                <anchor moveWithCells="1">
                  <from>
                    <xdr:col>0</xdr:col>
                    <xdr:colOff>0</xdr:colOff>
                    <xdr:row>2</xdr:row>
                    <xdr:rowOff>19050</xdr:rowOff>
                  </from>
                  <to>
                    <xdr:col>1</xdr:col>
                    <xdr:colOff>0</xdr:colOff>
                    <xdr:row>3</xdr:row>
                    <xdr:rowOff>0</xdr:rowOff>
                  </to>
                </anchor>
              </controlPr>
            </control>
          </mc:Choice>
        </mc:AlternateContent>
        <mc:AlternateContent xmlns:mc="http://schemas.openxmlformats.org/markup-compatibility/2006">
          <mc:Choice Requires="x14">
            <control shapeId="30885" r:id="rId10" name="Button 165">
              <controlPr defaultSize="0" print="0" autoFill="0" autoPict="0" macro="[0]!WCPrint">
                <anchor moveWithCells="1">
                  <from>
                    <xdr:col>3</xdr:col>
                    <xdr:colOff>0</xdr:colOff>
                    <xdr:row>0</xdr:row>
                    <xdr:rowOff>9525</xdr:rowOff>
                  </from>
                  <to>
                    <xdr:col>4</xdr:col>
                    <xdr:colOff>285750</xdr:colOff>
                    <xdr:row>1</xdr:row>
                    <xdr:rowOff>19050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P289"/>
  <sheetViews>
    <sheetView topLeftCell="A261" workbookViewId="0">
      <selection activeCell="A6" sqref="A6:N289"/>
    </sheetView>
  </sheetViews>
  <sheetFormatPr defaultRowHeight="12.75"/>
  <sheetData>
    <row r="1" spans="1:16" ht="23.25">
      <c r="A1" s="16" t="s">
        <v>1075</v>
      </c>
    </row>
    <row r="2" spans="1:16" ht="15.75" thickBot="1">
      <c r="A2" s="364" t="s">
        <v>288</v>
      </c>
      <c r="B2" s="11"/>
      <c r="C2" s="11"/>
      <c r="D2" s="11"/>
      <c r="E2" s="11"/>
      <c r="F2" s="11"/>
      <c r="G2" s="11"/>
      <c r="H2" s="11"/>
      <c r="I2" s="11"/>
      <c r="J2" s="11"/>
      <c r="K2" s="11"/>
      <c r="L2" s="11"/>
      <c r="M2" s="11"/>
      <c r="N2" s="11"/>
    </row>
    <row r="3" spans="1:16">
      <c r="A3" s="361"/>
      <c r="B3" s="400" t="s">
        <v>1078</v>
      </c>
      <c r="C3" s="117"/>
      <c r="D3" s="117"/>
      <c r="E3" s="117"/>
      <c r="F3" s="117"/>
      <c r="G3" s="117"/>
      <c r="H3" s="410" t="s">
        <v>1079</v>
      </c>
      <c r="I3" s="411"/>
      <c r="J3" s="412"/>
      <c r="K3" s="446" t="s">
        <v>290</v>
      </c>
      <c r="L3" s="434"/>
      <c r="M3" s="434" t="s">
        <v>291</v>
      </c>
      <c r="N3" s="434" t="s">
        <v>291</v>
      </c>
      <c r="O3" s="434"/>
      <c r="P3" s="434"/>
    </row>
    <row r="4" spans="1:16">
      <c r="A4" s="406" t="s">
        <v>172</v>
      </c>
      <c r="B4" s="401" t="s">
        <v>191</v>
      </c>
      <c r="C4" s="399"/>
      <c r="D4" s="1605"/>
      <c r="E4" s="398" t="s">
        <v>343</v>
      </c>
      <c r="F4" s="399"/>
      <c r="G4" s="402"/>
      <c r="H4" s="409">
        <f>'Curve Paste'!BX4</f>
        <v>7.0000000000000007E-2</v>
      </c>
      <c r="I4" s="408" t="s">
        <v>294</v>
      </c>
      <c r="J4" s="409">
        <f>'Curve Paste'!BZ4</f>
        <v>7.0000000000000007E-2</v>
      </c>
      <c r="K4" s="447" t="s">
        <v>295</v>
      </c>
      <c r="L4" s="435" t="s">
        <v>194</v>
      </c>
      <c r="M4" s="435" t="s">
        <v>1080</v>
      </c>
      <c r="N4" s="435" t="s">
        <v>1080</v>
      </c>
      <c r="O4" s="435" t="s">
        <v>1220</v>
      </c>
      <c r="P4" s="435" t="s">
        <v>1262</v>
      </c>
    </row>
    <row r="5" spans="1:16" ht="13.5" thickBot="1">
      <c r="A5" s="407"/>
      <c r="B5" s="403" t="s">
        <v>181</v>
      </c>
      <c r="C5" s="404" t="s">
        <v>296</v>
      </c>
      <c r="D5" s="404" t="s">
        <v>182</v>
      </c>
      <c r="E5" s="404" t="s">
        <v>181</v>
      </c>
      <c r="F5" s="404" t="s">
        <v>296</v>
      </c>
      <c r="G5" s="405" t="s">
        <v>182</v>
      </c>
      <c r="H5" s="403" t="s">
        <v>181</v>
      </c>
      <c r="I5" s="404" t="s">
        <v>296</v>
      </c>
      <c r="J5" s="405" t="s">
        <v>182</v>
      </c>
      <c r="K5" s="448" t="s">
        <v>297</v>
      </c>
      <c r="L5" s="436"/>
      <c r="M5" s="436" t="s">
        <v>191</v>
      </c>
      <c r="N5" s="436" t="s">
        <v>183</v>
      </c>
      <c r="O5" s="436" t="s">
        <v>194</v>
      </c>
      <c r="P5" s="436" t="s">
        <v>1136</v>
      </c>
    </row>
    <row r="6" spans="1:16">
      <c r="A6" s="325">
        <f>'Curve Paste'!BQ6</f>
        <v>36647</v>
      </c>
      <c r="B6" s="415">
        <f>IF(Assumptions!$L$30=4,VLOOKUP($A6,'Henwood Reference'!$E$9:$R$296,14),'Curve Paste'!BR6)</f>
        <v>2.0584367957593788</v>
      </c>
      <c r="C6" s="415">
        <f>IF(Assumptions!$L$30=4,VLOOKUP($A6,'Henwood Reference'!$E$9:$R$296,14),'Curve Paste'!BS6)</f>
        <v>2.0584367957593788</v>
      </c>
      <c r="D6" s="415">
        <f>IF(Assumptions!$L$30=4,VLOOKUP($A6,'Henwood Reference'!$E$9:$R$296,14),'Curve Paste'!BT6)</f>
        <v>2.0584367957593788</v>
      </c>
      <c r="E6" s="416">
        <f>'Curve Paste'!BU6</f>
        <v>0.33250000000000002</v>
      </c>
      <c r="F6" s="416">
        <v>0.56000000000000005</v>
      </c>
      <c r="G6" s="416">
        <v>0.5675</v>
      </c>
      <c r="H6" s="416">
        <f t="shared" ref="H6:H69" si="0">I6-$H$4</f>
        <v>-7.0000000000000007E-2</v>
      </c>
      <c r="I6" s="416"/>
      <c r="J6" s="416">
        <f t="shared" ref="J6:J69" si="1">I6+$J$4</f>
        <v>7.0000000000000007E-2</v>
      </c>
      <c r="K6" s="433">
        <v>0</v>
      </c>
      <c r="L6" s="1618">
        <f>IF(Assumptions!$L$30=4,0,O6+P6)</f>
        <v>0</v>
      </c>
      <c r="M6" s="445">
        <f t="shared" ref="M6:M69" si="2">(IF(GasPriceCurve,IF(OBuySell=OCallPut,D6,B6),C6)+K6/1000+L6)/(1-GasTransportPercent)</f>
        <v>2.0834380523880354</v>
      </c>
      <c r="N6" s="449">
        <f>IF(Assumptions!$L$30=4,F6,CHOOSE(Assumptions!$L$30,E6,F6,G6))</f>
        <v>0.56000000000000005</v>
      </c>
      <c r="O6">
        <v>4.4999999999999998E-2</v>
      </c>
      <c r="P6" s="1720">
        <f>Assumptions!$L$32*(1+Assumptions!$C$26)^(YEAR(A6)-2000)</f>
        <v>8.199999999999999E-2</v>
      </c>
    </row>
    <row r="7" spans="1:16">
      <c r="A7" s="325">
        <f>'Curve Paste'!BQ7</f>
        <v>36678</v>
      </c>
      <c r="B7" s="415">
        <f>IF(Assumptions!$L$30=4,VLOOKUP($A7,'Henwood Reference'!$E$9:$R$296,14),'Curve Paste'!BR7)</f>
        <v>2.0798030269004881</v>
      </c>
      <c r="C7" s="415">
        <f>IF(Assumptions!$L$30=4,VLOOKUP($A7,'Henwood Reference'!$E$9:$R$296,14),'Curve Paste'!BS7)</f>
        <v>2.0798030269004881</v>
      </c>
      <c r="D7" s="415">
        <f>IF(Assumptions!$L$30=4,VLOOKUP($A7,'Henwood Reference'!$E$9:$R$296,14),'Curve Paste'!BT7)</f>
        <v>2.0798030269004881</v>
      </c>
      <c r="E7" s="416">
        <v>0.45</v>
      </c>
      <c r="F7" s="416">
        <v>0.45750000000000002</v>
      </c>
      <c r="G7" s="416">
        <v>0.46500000000000002</v>
      </c>
      <c r="H7" s="416">
        <f t="shared" si="0"/>
        <v>-7.0000000000000007E-2</v>
      </c>
      <c r="I7" s="416"/>
      <c r="J7" s="416">
        <f t="shared" si="1"/>
        <v>7.0000000000000007E-2</v>
      </c>
      <c r="K7" s="433">
        <v>0</v>
      </c>
      <c r="L7" s="1618">
        <f>IF(Assumptions!$L$30=4,0,O7+P7)</f>
        <v>0</v>
      </c>
      <c r="M7" s="445">
        <f t="shared" si="2"/>
        <v>2.1050637924094011</v>
      </c>
      <c r="N7" s="449">
        <f>IF(Assumptions!$L$30=4,F7,CHOOSE(Assumptions!$L$30,E7,F7,G7))</f>
        <v>0.45750000000000002</v>
      </c>
      <c r="O7">
        <v>8.5000000000000006E-2</v>
      </c>
      <c r="P7" s="1720">
        <f>Assumptions!$L$32*(1+Assumptions!$C$26)^(YEAR(A7)-2000)</f>
        <v>8.199999999999999E-2</v>
      </c>
    </row>
    <row r="8" spans="1:16">
      <c r="A8" s="325">
        <f>'Curve Paste'!BQ8</f>
        <v>36708</v>
      </c>
      <c r="B8" s="415">
        <f>IF(Assumptions!$L$30=4,VLOOKUP($A8,'Henwood Reference'!$E$9:$R$296,14),'Curve Paste'!BR8)</f>
        <v>2.1331012078788594</v>
      </c>
      <c r="C8" s="415">
        <f>IF(Assumptions!$L$30=4,VLOOKUP($A8,'Henwood Reference'!$E$9:$R$296,14),'Curve Paste'!BS8)</f>
        <v>2.1331012078788594</v>
      </c>
      <c r="D8" s="415">
        <f>IF(Assumptions!$L$30=4,VLOOKUP($A8,'Henwood Reference'!$E$9:$R$296,14),'Curve Paste'!BT8)</f>
        <v>2.1331012078788594</v>
      </c>
      <c r="E8" s="416">
        <v>0.41249999999999998</v>
      </c>
      <c r="F8" s="416">
        <v>0.42</v>
      </c>
      <c r="G8" s="416">
        <v>0.42749999999999999</v>
      </c>
      <c r="H8" s="416">
        <f t="shared" si="0"/>
        <v>-7.0000000000000007E-2</v>
      </c>
      <c r="I8" s="416"/>
      <c r="J8" s="416">
        <f t="shared" si="1"/>
        <v>7.0000000000000007E-2</v>
      </c>
      <c r="K8" s="433">
        <v>0</v>
      </c>
      <c r="L8" s="1618">
        <f>IF(Assumptions!$L$30=4,0,O8+P8)</f>
        <v>0</v>
      </c>
      <c r="M8" s="445">
        <f t="shared" si="2"/>
        <v>2.1590093197154445</v>
      </c>
      <c r="N8" s="449">
        <f>IF(Assumptions!$L$30=4,F8,CHOOSE(Assumptions!$L$30,E8,F8,G8))</f>
        <v>0.42</v>
      </c>
      <c r="O8">
        <v>0.17499999999999999</v>
      </c>
      <c r="P8" s="1720">
        <f>Assumptions!$L$32*(1+Assumptions!$C$26)^(YEAR(A8)-2000)</f>
        <v>8.199999999999999E-2</v>
      </c>
    </row>
    <row r="9" spans="1:16">
      <c r="A9" s="325">
        <f>'Curve Paste'!BQ9</f>
        <v>36739</v>
      </c>
      <c r="B9" s="415">
        <f>IF(Assumptions!$L$30=4,VLOOKUP($A9,'Henwood Reference'!$E$9:$R$296,14),'Curve Paste'!BR9)</f>
        <v>2.2098787637375699</v>
      </c>
      <c r="C9" s="415">
        <f>IF(Assumptions!$L$30=4,VLOOKUP($A9,'Henwood Reference'!$E$9:$R$296,14),'Curve Paste'!BS9)</f>
        <v>2.2098787637375699</v>
      </c>
      <c r="D9" s="415">
        <f>IF(Assumptions!$L$30=4,VLOOKUP($A9,'Henwood Reference'!$E$9:$R$296,14),'Curve Paste'!BT9)</f>
        <v>2.2098787637375699</v>
      </c>
      <c r="E9" s="416">
        <v>0.38750000000000001</v>
      </c>
      <c r="F9" s="416">
        <v>0.39500000000000002</v>
      </c>
      <c r="G9" s="416">
        <v>0.40250000000000002</v>
      </c>
      <c r="H9" s="416">
        <f t="shared" si="0"/>
        <v>-7.0000000000000007E-2</v>
      </c>
      <c r="I9" s="416"/>
      <c r="J9" s="416">
        <f t="shared" si="1"/>
        <v>7.0000000000000007E-2</v>
      </c>
      <c r="K9" s="433">
        <v>0</v>
      </c>
      <c r="L9" s="1618">
        <f>IF(Assumptions!$L$30=4,0,O9+P9)</f>
        <v>0</v>
      </c>
      <c r="M9" s="445">
        <f t="shared" si="2"/>
        <v>2.2367193964955159</v>
      </c>
      <c r="N9" s="449">
        <f>IF(Assumptions!$L$30=4,F9,CHOOSE(Assumptions!$L$30,E9,F9,G9))</f>
        <v>0.39500000000000002</v>
      </c>
      <c r="O9">
        <v>0.185</v>
      </c>
      <c r="P9" s="1720">
        <f>Assumptions!$L$32*(1+Assumptions!$C$26)^(YEAR(A9)-2000)</f>
        <v>8.199999999999999E-2</v>
      </c>
    </row>
    <row r="10" spans="1:16">
      <c r="A10" s="325">
        <f>'Curve Paste'!BQ10</f>
        <v>36770</v>
      </c>
      <c r="B10" s="415">
        <f>IF(Assumptions!$L$30=4,VLOOKUP($A10,'Henwood Reference'!$E$9:$R$296,14),'Curve Paste'!BR10)</f>
        <v>2.3016831195196983</v>
      </c>
      <c r="C10" s="415">
        <f>IF(Assumptions!$L$30=4,VLOOKUP($A10,'Henwood Reference'!$E$9:$R$296,14),'Curve Paste'!BS10)</f>
        <v>2.3016831195196983</v>
      </c>
      <c r="D10" s="415">
        <f>IF(Assumptions!$L$30=4,VLOOKUP($A10,'Henwood Reference'!$E$9:$R$296,14),'Curve Paste'!BT10)</f>
        <v>2.3016831195196983</v>
      </c>
      <c r="E10" s="416">
        <v>0.36499999999999999</v>
      </c>
      <c r="F10" s="416">
        <v>0.3725</v>
      </c>
      <c r="G10" s="416">
        <v>0.38</v>
      </c>
      <c r="H10" s="416">
        <f t="shared" si="0"/>
        <v>-7.0000000000000007E-2</v>
      </c>
      <c r="I10" s="416"/>
      <c r="J10" s="416">
        <f t="shared" si="1"/>
        <v>7.0000000000000007E-2</v>
      </c>
      <c r="K10" s="433">
        <v>0</v>
      </c>
      <c r="L10" s="1618">
        <f>IF(Assumptions!$L$30=4,0,O10+P10)</f>
        <v>0</v>
      </c>
      <c r="M10" s="445">
        <f t="shared" si="2"/>
        <v>2.3296387849389659</v>
      </c>
      <c r="N10" s="449">
        <f>IF(Assumptions!$L$30=4,F10,CHOOSE(Assumptions!$L$30,E10,F10,G10))</f>
        <v>0.3725</v>
      </c>
      <c r="O10">
        <v>0.185</v>
      </c>
      <c r="P10" s="1720">
        <f>Assumptions!$L$32*(1+Assumptions!$C$26)^(YEAR(A10)-2000)</f>
        <v>8.199999999999999E-2</v>
      </c>
    </row>
    <row r="11" spans="1:16">
      <c r="A11" s="325">
        <f>'Curve Paste'!BQ11</f>
        <v>36800</v>
      </c>
      <c r="B11" s="415">
        <f>IF(Assumptions!$L$30=4,VLOOKUP($A11,'Henwood Reference'!$E$9:$R$296,14),'Curve Paste'!BR11)</f>
        <v>2.4000617002683216</v>
      </c>
      <c r="C11" s="415">
        <f>IF(Assumptions!$L$30=4,VLOOKUP($A11,'Henwood Reference'!$E$9:$R$296,14),'Curve Paste'!BS11)</f>
        <v>2.4000617002683216</v>
      </c>
      <c r="D11" s="415">
        <f>IF(Assumptions!$L$30=4,VLOOKUP($A11,'Henwood Reference'!$E$9:$R$296,14),'Curve Paste'!BT11)</f>
        <v>2.4000617002683216</v>
      </c>
      <c r="E11" s="416">
        <v>0.34749999999999998</v>
      </c>
      <c r="F11" s="416">
        <v>0.35499999999999998</v>
      </c>
      <c r="G11" s="416">
        <v>0.36249999999999999</v>
      </c>
      <c r="H11" s="416">
        <f t="shared" si="0"/>
        <v>-7.0000000000000007E-2</v>
      </c>
      <c r="I11" s="416"/>
      <c r="J11" s="416">
        <f t="shared" si="1"/>
        <v>7.0000000000000007E-2</v>
      </c>
      <c r="K11" s="433">
        <v>0</v>
      </c>
      <c r="L11" s="1618">
        <f>IF(Assumptions!$L$30=4,0,O11+P11)</f>
        <v>0</v>
      </c>
      <c r="M11" s="445">
        <f t="shared" si="2"/>
        <v>2.4292122472351432</v>
      </c>
      <c r="N11" s="449">
        <f>IF(Assumptions!$L$30=4,F11,CHOOSE(Assumptions!$L$30,E11,F11,G11))</f>
        <v>0.35499999999999998</v>
      </c>
      <c r="O11">
        <v>8.9999999999999955E-2</v>
      </c>
      <c r="P11" s="1720">
        <f>Assumptions!$L$32*(1+Assumptions!$C$26)^(YEAR(A11)-2000)</f>
        <v>8.199999999999999E-2</v>
      </c>
    </row>
    <row r="12" spans="1:16">
      <c r="A12" s="325">
        <f>'Curve Paste'!BQ12</f>
        <v>36831</v>
      </c>
      <c r="B12" s="415">
        <f>IF(Assumptions!$L$30=4,VLOOKUP($A12,'Henwood Reference'!$E$9:$R$296,14),'Curve Paste'!BR12)</f>
        <v>2.496561931026517</v>
      </c>
      <c r="C12" s="415">
        <f>IF(Assumptions!$L$30=4,VLOOKUP($A12,'Henwood Reference'!$E$9:$R$296,14),'Curve Paste'!BS12)</f>
        <v>2.496561931026517</v>
      </c>
      <c r="D12" s="415">
        <f>IF(Assumptions!$L$30=4,VLOOKUP($A12,'Henwood Reference'!$E$9:$R$296,14),'Curve Paste'!BT12)</f>
        <v>2.496561931026517</v>
      </c>
      <c r="E12" s="416">
        <v>0.34</v>
      </c>
      <c r="F12" s="416">
        <v>0.34749999999999998</v>
      </c>
      <c r="G12" s="416">
        <v>0.35499999999999998</v>
      </c>
      <c r="H12" s="416">
        <f t="shared" si="0"/>
        <v>-7.0000000000000007E-2</v>
      </c>
      <c r="I12" s="416"/>
      <c r="J12" s="416">
        <f t="shared" si="1"/>
        <v>7.0000000000000007E-2</v>
      </c>
      <c r="K12" s="433">
        <v>0</v>
      </c>
      <c r="L12" s="1618">
        <f>IF(Assumptions!$L$30=4,0,O12+P12)</f>
        <v>0</v>
      </c>
      <c r="M12" s="445">
        <f t="shared" si="2"/>
        <v>2.5268845455733979</v>
      </c>
      <c r="N12" s="449">
        <f>IF(Assumptions!$L$30=4,F12,CHOOSE(Assumptions!$L$30,E12,F12,G12))</f>
        <v>0.34749999999999998</v>
      </c>
      <c r="O12">
        <v>0.05</v>
      </c>
      <c r="P12" s="1720">
        <f>Assumptions!$L$32*(1+Assumptions!$C$26)^(YEAR(A12)-2000)</f>
        <v>8.199999999999999E-2</v>
      </c>
    </row>
    <row r="13" spans="1:16">
      <c r="A13" s="325">
        <f>'Curve Paste'!BQ13</f>
        <v>36861</v>
      </c>
      <c r="B13" s="415">
        <f>IF(Assumptions!$L$30=4,VLOOKUP($A13,'Henwood Reference'!$E$9:$R$296,14),'Curve Paste'!BR13)</f>
        <v>2.5985235102572566</v>
      </c>
      <c r="C13" s="415">
        <f>IF(Assumptions!$L$30=4,VLOOKUP($A13,'Henwood Reference'!$E$9:$R$296,14),'Curve Paste'!BS13)</f>
        <v>2.5985235102572566</v>
      </c>
      <c r="D13" s="415">
        <f>IF(Assumptions!$L$30=4,VLOOKUP($A13,'Henwood Reference'!$E$9:$R$296,14),'Curve Paste'!BT13)</f>
        <v>2.5985235102572566</v>
      </c>
      <c r="E13" s="416">
        <v>0.32500000000000001</v>
      </c>
      <c r="F13" s="416">
        <v>0.33250000000000002</v>
      </c>
      <c r="G13" s="416">
        <v>0.34</v>
      </c>
      <c r="H13" s="416">
        <f t="shared" si="0"/>
        <v>-7.0000000000000007E-2</v>
      </c>
      <c r="I13" s="416"/>
      <c r="J13" s="416">
        <f t="shared" si="1"/>
        <v>7.0000000000000007E-2</v>
      </c>
      <c r="K13" s="433">
        <v>0</v>
      </c>
      <c r="L13" s="1618">
        <f>IF(Assumptions!$L$30=4,0,O13+P13)</f>
        <v>0</v>
      </c>
      <c r="M13" s="445">
        <f t="shared" si="2"/>
        <v>2.6300845245518794</v>
      </c>
      <c r="N13" s="449">
        <f>IF(Assumptions!$L$30=4,F13,CHOOSE(Assumptions!$L$30,E13,F13,G13))</f>
        <v>0.33250000000000002</v>
      </c>
      <c r="O13">
        <v>0.05</v>
      </c>
      <c r="P13" s="1720">
        <f>Assumptions!$L$32*(1+Assumptions!$C$26)^(YEAR(A13)-2000)</f>
        <v>8.199999999999999E-2</v>
      </c>
    </row>
    <row r="14" spans="1:16">
      <c r="A14" s="325">
        <f>'Curve Paste'!BQ14</f>
        <v>36892</v>
      </c>
      <c r="B14" s="415">
        <f>IF(Assumptions!$L$30=4,VLOOKUP($A14,'Henwood Reference'!$E$9:$R$296,14),'Curve Paste'!BR14)</f>
        <v>2.5141968281378073</v>
      </c>
      <c r="C14" s="415">
        <f>IF(Assumptions!$L$30=4,VLOOKUP($A14,'Henwood Reference'!$E$9:$R$296,14),'Curve Paste'!BS14)</f>
        <v>2.5141968281378073</v>
      </c>
      <c r="D14" s="415">
        <f>IF(Assumptions!$L$30=4,VLOOKUP($A14,'Henwood Reference'!$E$9:$R$296,14),'Curve Paste'!BT14)</f>
        <v>2.5141968281378073</v>
      </c>
      <c r="E14" s="416">
        <v>0.32</v>
      </c>
      <c r="F14" s="416">
        <v>0.32750000000000001</v>
      </c>
      <c r="G14" s="416">
        <v>0.33500000000000002</v>
      </c>
      <c r="H14" s="416">
        <f t="shared" si="0"/>
        <v>-7.0000000000000007E-2</v>
      </c>
      <c r="I14" s="416"/>
      <c r="J14" s="416">
        <f t="shared" si="1"/>
        <v>7.0000000000000007E-2</v>
      </c>
      <c r="K14" s="433">
        <v>0</v>
      </c>
      <c r="L14" s="1618">
        <f>IF(Assumptions!$L$30=4,0,O14+P14)</f>
        <v>0</v>
      </c>
      <c r="M14" s="445">
        <f t="shared" si="2"/>
        <v>2.5447336317184286</v>
      </c>
      <c r="N14" s="449">
        <f>IF(Assumptions!$L$30=4,F14,CHOOSE(Assumptions!$L$30,E14,F14,G14))</f>
        <v>0.32750000000000001</v>
      </c>
      <c r="O14">
        <v>3.5000000000000003E-2</v>
      </c>
      <c r="P14" s="1720">
        <f>Assumptions!$L$32*(1+Assumptions!$C$26)^(YEAR(A14)-2000)</f>
        <v>8.3639999999999992E-2</v>
      </c>
    </row>
    <row r="15" spans="1:16">
      <c r="A15" s="325">
        <f>'Curve Paste'!BQ15</f>
        <v>36923</v>
      </c>
      <c r="B15" s="415">
        <f>IF(Assumptions!$L$30=4,VLOOKUP($A15,'Henwood Reference'!$E$9:$R$296,14),'Curve Paste'!BR15)</f>
        <v>2.3182559133303555</v>
      </c>
      <c r="C15" s="415">
        <f>IF(Assumptions!$L$30=4,VLOOKUP($A15,'Henwood Reference'!$E$9:$R$296,14),'Curve Paste'!BS15)</f>
        <v>2.3182559133303555</v>
      </c>
      <c r="D15" s="415">
        <f>IF(Assumptions!$L$30=4,VLOOKUP($A15,'Henwood Reference'!$E$9:$R$296,14),'Curve Paste'!BT15)</f>
        <v>2.3182559133303555</v>
      </c>
      <c r="E15" s="416">
        <v>0.3175</v>
      </c>
      <c r="F15" s="416">
        <v>0.32500000000000001</v>
      </c>
      <c r="G15" s="416">
        <v>0.33250000000000002</v>
      </c>
      <c r="H15" s="416">
        <f t="shared" si="0"/>
        <v>-7.0000000000000007E-2</v>
      </c>
      <c r="I15" s="416"/>
      <c r="J15" s="416">
        <f t="shared" si="1"/>
        <v>7.0000000000000007E-2</v>
      </c>
      <c r="K15" s="433">
        <v>0</v>
      </c>
      <c r="L15" s="1618">
        <f>IF(Assumptions!$L$30=4,0,O15+P15)</f>
        <v>0</v>
      </c>
      <c r="M15" s="445">
        <f t="shared" si="2"/>
        <v>2.346412867743275</v>
      </c>
      <c r="N15" s="449">
        <f>IF(Assumptions!$L$30=4,F15,CHOOSE(Assumptions!$L$30,E15,F15,G15))</f>
        <v>0.32500000000000001</v>
      </c>
      <c r="O15">
        <v>3.5000000000000003E-2</v>
      </c>
      <c r="P15" s="1720">
        <f>Assumptions!$L$32*(1+Assumptions!$C$26)^(YEAR(A15)-2000)</f>
        <v>8.3639999999999992E-2</v>
      </c>
    </row>
    <row r="16" spans="1:16">
      <c r="A16" s="325">
        <f>'Curve Paste'!BQ16</f>
        <v>36951</v>
      </c>
      <c r="B16" s="415">
        <f>IF(Assumptions!$L$30=4,VLOOKUP($A16,'Henwood Reference'!$E$9:$R$296,14),'Curve Paste'!BR16)</f>
        <v>2.1904761406514432</v>
      </c>
      <c r="C16" s="415">
        <f>IF(Assumptions!$L$30=4,VLOOKUP($A16,'Henwood Reference'!$E$9:$R$296,14),'Curve Paste'!BS16)</f>
        <v>2.1904761406514432</v>
      </c>
      <c r="D16" s="415">
        <f>IF(Assumptions!$L$30=4,VLOOKUP($A16,'Henwood Reference'!$E$9:$R$296,14),'Curve Paste'!BT16)</f>
        <v>2.1904761406514432</v>
      </c>
      <c r="E16" s="416">
        <v>0.3</v>
      </c>
      <c r="F16" s="416">
        <v>0.3075</v>
      </c>
      <c r="G16" s="416">
        <v>0.315</v>
      </c>
      <c r="H16" s="416">
        <f t="shared" si="0"/>
        <v>-7.0000000000000007E-2</v>
      </c>
      <c r="I16" s="416"/>
      <c r="J16" s="416">
        <f t="shared" si="1"/>
        <v>7.0000000000000007E-2</v>
      </c>
      <c r="K16" s="433">
        <v>0</v>
      </c>
      <c r="L16" s="1618">
        <f>IF(Assumptions!$L$30=4,0,O16+P16)</f>
        <v>0</v>
      </c>
      <c r="M16" s="445">
        <f t="shared" si="2"/>
        <v>2.2170811140196793</v>
      </c>
      <c r="N16" s="449">
        <f>IF(Assumptions!$L$30=4,F16,CHOOSE(Assumptions!$L$30,E16,F16,G16))</f>
        <v>0.3075</v>
      </c>
      <c r="O16">
        <v>5.2499999999999998E-2</v>
      </c>
      <c r="P16" s="1720">
        <f>Assumptions!$L$32*(1+Assumptions!$C$26)^(YEAR(A16)-2000)</f>
        <v>8.3639999999999992E-2</v>
      </c>
    </row>
    <row r="17" spans="1:16">
      <c r="A17" s="325">
        <f>'Curve Paste'!BQ17</f>
        <v>36982</v>
      </c>
      <c r="B17" s="415">
        <f>IF(Assumptions!$L$30=4,VLOOKUP($A17,'Henwood Reference'!$E$9:$R$296,14),'Curve Paste'!BR17)</f>
        <v>2.1211921738518082</v>
      </c>
      <c r="C17" s="415">
        <f>IF(Assumptions!$L$30=4,VLOOKUP($A17,'Henwood Reference'!$E$9:$R$296,14),'Curve Paste'!BS17)</f>
        <v>2.1211921738518082</v>
      </c>
      <c r="D17" s="415">
        <f>IF(Assumptions!$L$30=4,VLOOKUP($A17,'Henwood Reference'!$E$9:$R$296,14),'Curve Paste'!BT17)</f>
        <v>2.1211921738518082</v>
      </c>
      <c r="E17" s="416">
        <v>0.27</v>
      </c>
      <c r="F17" s="416">
        <v>0.27750000000000002</v>
      </c>
      <c r="G17" s="416">
        <v>0.28499999999999998</v>
      </c>
      <c r="H17" s="416">
        <f t="shared" si="0"/>
        <v>-7.0000000000000007E-2</v>
      </c>
      <c r="I17" s="416"/>
      <c r="J17" s="416">
        <f t="shared" si="1"/>
        <v>7.0000000000000007E-2</v>
      </c>
      <c r="K17" s="433">
        <v>0</v>
      </c>
      <c r="L17" s="1618">
        <f>IF(Assumptions!$L$30=4,0,O17+P17)</f>
        <v>0</v>
      </c>
      <c r="M17" s="445">
        <f t="shared" si="2"/>
        <v>2.1469556415504134</v>
      </c>
      <c r="N17" s="449">
        <f>IF(Assumptions!$L$30=4,F17,CHOOSE(Assumptions!$L$30,E17,F17,G17))</f>
        <v>0.27750000000000002</v>
      </c>
      <c r="O17">
        <v>3.7499999999999999E-2</v>
      </c>
      <c r="P17" s="1720">
        <f>Assumptions!$L$32*(1+Assumptions!$C$26)^(YEAR(A17)-2000)</f>
        <v>8.3639999999999992E-2</v>
      </c>
    </row>
    <row r="18" spans="1:16">
      <c r="A18" s="325">
        <f>'Curve Paste'!BQ18</f>
        <v>37012</v>
      </c>
      <c r="B18" s="415">
        <f>IF(Assumptions!$L$30=4,VLOOKUP($A18,'Henwood Reference'!$E$9:$R$296,14),'Curve Paste'!BR18)</f>
        <v>2.1017734841951632</v>
      </c>
      <c r="C18" s="415">
        <f>IF(Assumptions!$L$30=4,VLOOKUP($A18,'Henwood Reference'!$E$9:$R$296,14),'Curve Paste'!BS18)</f>
        <v>2.1017734841951632</v>
      </c>
      <c r="D18" s="415">
        <f>IF(Assumptions!$L$30=4,VLOOKUP($A18,'Henwood Reference'!$E$9:$R$296,14),'Curve Paste'!BT18)</f>
        <v>2.1017734841951632</v>
      </c>
      <c r="E18" s="416">
        <v>0.23</v>
      </c>
      <c r="F18" s="416">
        <v>0.23749999999999999</v>
      </c>
      <c r="G18" s="416">
        <v>0.245</v>
      </c>
      <c r="H18" s="416">
        <f t="shared" si="0"/>
        <v>-7.0000000000000007E-2</v>
      </c>
      <c r="I18" s="416"/>
      <c r="J18" s="416">
        <f t="shared" si="1"/>
        <v>7.0000000000000007E-2</v>
      </c>
      <c r="K18" s="433">
        <v>0</v>
      </c>
      <c r="L18" s="1618">
        <f>IF(Assumptions!$L$30=4,0,O18+P18)</f>
        <v>0</v>
      </c>
      <c r="M18" s="445">
        <f t="shared" si="2"/>
        <v>2.1273010973635254</v>
      </c>
      <c r="N18" s="449">
        <f>IF(Assumptions!$L$30=4,F18,CHOOSE(Assumptions!$L$30,E18,F18,G18))</f>
        <v>0.23749999999999999</v>
      </c>
      <c r="O18">
        <v>5.2499999999999998E-2</v>
      </c>
      <c r="P18" s="1720">
        <f>Assumptions!$L$32*(1+Assumptions!$C$26)^(YEAR(A18)-2000)</f>
        <v>8.3639999999999992E-2</v>
      </c>
    </row>
    <row r="19" spans="1:16">
      <c r="A19" s="325">
        <f>'Curve Paste'!BQ19</f>
        <v>37043</v>
      </c>
      <c r="B19" s="415">
        <f>IF(Assumptions!$L$30=4,VLOOKUP($A19,'Henwood Reference'!$E$9:$R$296,14),'Curve Paste'!BR19)</f>
        <v>2.1235895429452221</v>
      </c>
      <c r="C19" s="415">
        <f>IF(Assumptions!$L$30=4,VLOOKUP($A19,'Henwood Reference'!$E$9:$R$296,14),'Curve Paste'!BS19)</f>
        <v>2.1235895429452221</v>
      </c>
      <c r="D19" s="415">
        <f>IF(Assumptions!$L$30=4,VLOOKUP($A19,'Henwood Reference'!$E$9:$R$296,14),'Curve Paste'!BT19)</f>
        <v>2.1235895429452221</v>
      </c>
      <c r="E19" s="416">
        <v>0.2175</v>
      </c>
      <c r="F19" s="416">
        <v>0.22500000000000001</v>
      </c>
      <c r="G19" s="416">
        <v>0.23250000000000001</v>
      </c>
      <c r="H19" s="416">
        <f t="shared" si="0"/>
        <v>-7.0000000000000007E-2</v>
      </c>
      <c r="I19" s="416"/>
      <c r="J19" s="416">
        <f t="shared" si="1"/>
        <v>7.0000000000000007E-2</v>
      </c>
      <c r="K19" s="433">
        <v>0</v>
      </c>
      <c r="L19" s="1618">
        <f>IF(Assumptions!$L$30=4,0,O19+P19)</f>
        <v>0</v>
      </c>
      <c r="M19" s="445">
        <f t="shared" si="2"/>
        <v>2.1493821284870669</v>
      </c>
      <c r="N19" s="449">
        <f>IF(Assumptions!$L$30=4,F19,CHOOSE(Assumptions!$L$30,E19,F19,G19))</f>
        <v>0.22500000000000001</v>
      </c>
      <c r="O19">
        <v>8.2500000000000004E-2</v>
      </c>
      <c r="P19" s="1720">
        <f>Assumptions!$L$32*(1+Assumptions!$C$26)^(YEAR(A19)-2000)</f>
        <v>8.3639999999999992E-2</v>
      </c>
    </row>
    <row r="20" spans="1:16">
      <c r="A20" s="325">
        <f>'Curve Paste'!BQ20</f>
        <v>37073</v>
      </c>
      <c r="B20" s="415">
        <f>IF(Assumptions!$L$30=4,VLOOKUP($A20,'Henwood Reference'!$E$9:$R$296,14),'Curve Paste'!BR20)</f>
        <v>2.1780098213656962</v>
      </c>
      <c r="C20" s="415">
        <f>IF(Assumptions!$L$30=4,VLOOKUP($A20,'Henwood Reference'!$E$9:$R$296,14),'Curve Paste'!BS20)</f>
        <v>2.1780098213656962</v>
      </c>
      <c r="D20" s="415">
        <f>IF(Assumptions!$L$30=4,VLOOKUP($A20,'Henwood Reference'!$E$9:$R$296,14),'Curve Paste'!BT20)</f>
        <v>2.1780098213656962</v>
      </c>
      <c r="E20" s="416">
        <v>0.20749999999999999</v>
      </c>
      <c r="F20" s="416">
        <v>0.215</v>
      </c>
      <c r="G20" s="416">
        <v>0.2225</v>
      </c>
      <c r="H20" s="416">
        <f t="shared" si="0"/>
        <v>-7.0000000000000007E-2</v>
      </c>
      <c r="I20" s="416"/>
      <c r="J20" s="416">
        <f t="shared" si="1"/>
        <v>7.0000000000000007E-2</v>
      </c>
      <c r="K20" s="433">
        <v>0</v>
      </c>
      <c r="L20" s="1618">
        <f>IF(Assumptions!$L$30=4,0,O20+P20)</f>
        <v>0</v>
      </c>
      <c r="M20" s="445">
        <f t="shared" si="2"/>
        <v>2.2044633819490853</v>
      </c>
      <c r="N20" s="449">
        <f>IF(Assumptions!$L$30=4,F20,CHOOSE(Assumptions!$L$30,E20,F20,G20))</f>
        <v>0.215</v>
      </c>
      <c r="O20">
        <v>0.1825</v>
      </c>
      <c r="P20" s="1720">
        <f>Assumptions!$L$32*(1+Assumptions!$C$26)^(YEAR(A20)-2000)</f>
        <v>8.3639999999999992E-2</v>
      </c>
    </row>
    <row r="21" spans="1:16">
      <c r="A21" s="325">
        <f>'Curve Paste'!BQ21</f>
        <v>37104</v>
      </c>
      <c r="B21" s="415">
        <f>IF(Assumptions!$L$30=4,VLOOKUP($A21,'Henwood Reference'!$E$9:$R$296,14),'Curve Paste'!BR21)</f>
        <v>2.256403790720301</v>
      </c>
      <c r="C21" s="415">
        <f>IF(Assumptions!$L$30=4,VLOOKUP($A21,'Henwood Reference'!$E$9:$R$296,14),'Curve Paste'!BS21)</f>
        <v>2.256403790720301</v>
      </c>
      <c r="D21" s="415">
        <f>IF(Assumptions!$L$30=4,VLOOKUP($A21,'Henwood Reference'!$E$9:$R$296,14),'Curve Paste'!BT21)</f>
        <v>2.256403790720301</v>
      </c>
      <c r="E21" s="416">
        <v>0.20499999999999999</v>
      </c>
      <c r="F21" s="416">
        <v>0.21249999999999999</v>
      </c>
      <c r="G21" s="416">
        <v>0.22</v>
      </c>
      <c r="H21" s="416">
        <f t="shared" si="0"/>
        <v>-7.0000000000000007E-2</v>
      </c>
      <c r="I21" s="416"/>
      <c r="J21" s="416">
        <f t="shared" si="1"/>
        <v>7.0000000000000007E-2</v>
      </c>
      <c r="K21" s="433">
        <v>0</v>
      </c>
      <c r="L21" s="1618">
        <f>IF(Assumptions!$L$30=4,0,O21+P21)</f>
        <v>0</v>
      </c>
      <c r="M21" s="445">
        <f t="shared" si="2"/>
        <v>2.2838095047776328</v>
      </c>
      <c r="N21" s="449">
        <f>IF(Assumptions!$L$30=4,F21,CHOOSE(Assumptions!$L$30,E21,F21,G21))</f>
        <v>0.21249999999999999</v>
      </c>
      <c r="O21">
        <v>0.1825</v>
      </c>
      <c r="P21" s="1720">
        <f>Assumptions!$L$32*(1+Assumptions!$C$26)^(YEAR(A21)-2000)</f>
        <v>8.3639999999999992E-2</v>
      </c>
    </row>
    <row r="22" spans="1:16">
      <c r="A22" s="325">
        <f>'Curve Paste'!BQ22</f>
        <v>37135</v>
      </c>
      <c r="B22" s="415">
        <f>IF(Assumptions!$L$30=4,VLOOKUP($A22,'Henwood Reference'!$E$9:$R$296,14),'Curve Paste'!BR22)</f>
        <v>2.3501409222727485</v>
      </c>
      <c r="C22" s="415">
        <f>IF(Assumptions!$L$30=4,VLOOKUP($A22,'Henwood Reference'!$E$9:$R$296,14),'Curve Paste'!BS22)</f>
        <v>2.3501409222727485</v>
      </c>
      <c r="D22" s="415">
        <f>IF(Assumptions!$L$30=4,VLOOKUP($A22,'Henwood Reference'!$E$9:$R$296,14),'Curve Paste'!BT22)</f>
        <v>2.3501409222727485</v>
      </c>
      <c r="E22" s="416">
        <v>0.20499999999999999</v>
      </c>
      <c r="F22" s="416">
        <v>0.21249999999999999</v>
      </c>
      <c r="G22" s="416">
        <v>0.22</v>
      </c>
      <c r="H22" s="416">
        <f t="shared" si="0"/>
        <v>-7.0000000000000007E-2</v>
      </c>
      <c r="I22" s="416"/>
      <c r="J22" s="416">
        <f t="shared" si="1"/>
        <v>7.0000000000000007E-2</v>
      </c>
      <c r="K22" s="433">
        <v>0</v>
      </c>
      <c r="L22" s="1618">
        <f>IF(Assumptions!$L$30=4,0,O22+P22)</f>
        <v>0</v>
      </c>
      <c r="M22" s="445">
        <f t="shared" si="2"/>
        <v>2.3786851440007575</v>
      </c>
      <c r="N22" s="449">
        <f>IF(Assumptions!$L$30=4,F22,CHOOSE(Assumptions!$L$30,E22,F22,G22))</f>
        <v>0.21249999999999999</v>
      </c>
      <c r="O22">
        <v>0.1825</v>
      </c>
      <c r="P22" s="1720">
        <f>Assumptions!$L$32*(1+Assumptions!$C$26)^(YEAR(A22)-2000)</f>
        <v>8.3639999999999992E-2</v>
      </c>
    </row>
    <row r="23" spans="1:16">
      <c r="A23" s="325">
        <f>'Curve Paste'!BQ23</f>
        <v>37165</v>
      </c>
      <c r="B23" s="415">
        <f>IF(Assumptions!$L$30=4,VLOOKUP($A23,'Henwood Reference'!$E$9:$R$296,14),'Curve Paste'!BR23)</f>
        <v>2.4505906872867529</v>
      </c>
      <c r="C23" s="415">
        <f>IF(Assumptions!$L$30=4,VLOOKUP($A23,'Henwood Reference'!$E$9:$R$296,14),'Curve Paste'!BS23)</f>
        <v>2.4505906872867529</v>
      </c>
      <c r="D23" s="415">
        <f>IF(Assumptions!$L$30=4,VLOOKUP($A23,'Henwood Reference'!$E$9:$R$296,14),'Curve Paste'!BT23)</f>
        <v>2.4505906872867529</v>
      </c>
      <c r="E23" s="416">
        <v>0.20499999999999999</v>
      </c>
      <c r="F23" s="416">
        <v>0.21249999999999999</v>
      </c>
      <c r="G23" s="416">
        <v>0.22</v>
      </c>
      <c r="H23" s="416">
        <f t="shared" si="0"/>
        <v>-7.0000000000000007E-2</v>
      </c>
      <c r="I23" s="416"/>
      <c r="J23" s="416">
        <f t="shared" si="1"/>
        <v>7.0000000000000007E-2</v>
      </c>
      <c r="K23" s="433">
        <v>0</v>
      </c>
      <c r="L23" s="1618">
        <f>IF(Assumptions!$L$30=4,0,O23+P23)</f>
        <v>0</v>
      </c>
      <c r="M23" s="445">
        <f t="shared" si="2"/>
        <v>2.4803549466465111</v>
      </c>
      <c r="N23" s="449">
        <f>IF(Assumptions!$L$30=4,F23,CHOOSE(Assumptions!$L$30,E23,F23,G23))</f>
        <v>0.21249999999999999</v>
      </c>
      <c r="O23">
        <v>0.10249999999999999</v>
      </c>
      <c r="P23" s="1720">
        <f>Assumptions!$L$32*(1+Assumptions!$C$26)^(YEAR(A23)-2000)</f>
        <v>8.3639999999999992E-2</v>
      </c>
    </row>
    <row r="24" spans="1:16">
      <c r="A24" s="325">
        <f>'Curve Paste'!BQ24</f>
        <v>37196</v>
      </c>
      <c r="B24" s="415">
        <f>IF(Assumptions!$L$30=4,VLOOKUP($A24,'Henwood Reference'!$E$9:$R$296,14),'Curve Paste'!BR24)</f>
        <v>2.5491225570260259</v>
      </c>
      <c r="C24" s="415">
        <f>IF(Assumptions!$L$30=4,VLOOKUP($A24,'Henwood Reference'!$E$9:$R$296,14),'Curve Paste'!BS24)</f>
        <v>2.5491225570260259</v>
      </c>
      <c r="D24" s="415">
        <f>IF(Assumptions!$L$30=4,VLOOKUP($A24,'Henwood Reference'!$E$9:$R$296,14),'Curve Paste'!BT24)</f>
        <v>2.5491225570260259</v>
      </c>
      <c r="E24" s="416">
        <v>0.20499999999999999</v>
      </c>
      <c r="F24" s="416">
        <v>0.21249999999999999</v>
      </c>
      <c r="G24" s="416">
        <v>0.22</v>
      </c>
      <c r="H24" s="416">
        <f t="shared" si="0"/>
        <v>-7.0000000000000007E-2</v>
      </c>
      <c r="I24" s="416"/>
      <c r="J24" s="416">
        <f t="shared" si="1"/>
        <v>7.0000000000000007E-2</v>
      </c>
      <c r="K24" s="433">
        <v>0</v>
      </c>
      <c r="L24" s="1618">
        <f>IF(Assumptions!$L$30=4,0,O24+P24)</f>
        <v>0</v>
      </c>
      <c r="M24" s="445">
        <f t="shared" si="2"/>
        <v>2.580083559742941</v>
      </c>
      <c r="N24" s="449">
        <f>IF(Assumptions!$L$30=4,F24,CHOOSE(Assumptions!$L$30,E24,F24,G24))</f>
        <v>0.21249999999999999</v>
      </c>
      <c r="O24">
        <v>6.7500000000000004E-2</v>
      </c>
      <c r="P24" s="1720">
        <f>Assumptions!$L$32*(1+Assumptions!$C$26)^(YEAR(A24)-2000)</f>
        <v>8.3639999999999992E-2</v>
      </c>
    </row>
    <row r="25" spans="1:16">
      <c r="A25" s="325">
        <f>'Curve Paste'!BQ25</f>
        <v>37226</v>
      </c>
      <c r="B25" s="415">
        <f>IF(Assumptions!$L$30=4,VLOOKUP($A25,'Henwood Reference'!$E$9:$R$296,14),'Curve Paste'!BR25)</f>
        <v>2.6532307541177786</v>
      </c>
      <c r="C25" s="415">
        <f>IF(Assumptions!$L$30=4,VLOOKUP($A25,'Henwood Reference'!$E$9:$R$296,14),'Curve Paste'!BS25)</f>
        <v>2.6532307541177786</v>
      </c>
      <c r="D25" s="415">
        <f>IF(Assumptions!$L$30=4,VLOOKUP($A25,'Henwood Reference'!$E$9:$R$296,14),'Curve Paste'!BT25)</f>
        <v>2.6532307541177786</v>
      </c>
      <c r="E25" s="416">
        <v>0.21</v>
      </c>
      <c r="F25" s="416">
        <v>0.2175</v>
      </c>
      <c r="G25" s="416">
        <v>0.22500000000000001</v>
      </c>
      <c r="H25" s="416">
        <f t="shared" si="0"/>
        <v>-7.0000000000000007E-2</v>
      </c>
      <c r="I25" s="416"/>
      <c r="J25" s="416">
        <f t="shared" si="1"/>
        <v>7.0000000000000007E-2</v>
      </c>
      <c r="K25" s="433">
        <v>0</v>
      </c>
      <c r="L25" s="1618">
        <f>IF(Assumptions!$L$30=4,0,O25+P25)</f>
        <v>0</v>
      </c>
      <c r="M25" s="445">
        <f t="shared" si="2"/>
        <v>2.6854562288641484</v>
      </c>
      <c r="N25" s="449">
        <f>IF(Assumptions!$L$30=4,F25,CHOOSE(Assumptions!$L$30,E25,F25,G25))</f>
        <v>0.2175</v>
      </c>
      <c r="O25">
        <v>6.7500000000000004E-2</v>
      </c>
      <c r="P25" s="1720">
        <f>Assumptions!$L$32*(1+Assumptions!$C$26)^(YEAR(A25)-2000)</f>
        <v>8.3639999999999992E-2</v>
      </c>
    </row>
    <row r="26" spans="1:16">
      <c r="A26" s="325">
        <f>'Curve Paste'!BQ26</f>
        <v>37257</v>
      </c>
      <c r="B26" s="415">
        <f>IF(Assumptions!$L$30=4,VLOOKUP($A26,'Henwood Reference'!$E$9:$R$296,14),'Curve Paste'!BR26)</f>
        <v>2.5796804148889341</v>
      </c>
      <c r="C26" s="415">
        <f>IF(Assumptions!$L$30=4,VLOOKUP($A26,'Henwood Reference'!$E$9:$R$296,14),'Curve Paste'!BS26)</f>
        <v>2.5796804148889341</v>
      </c>
      <c r="D26" s="415">
        <f>IF(Assumptions!$L$30=4,VLOOKUP($A26,'Henwood Reference'!$E$9:$R$296,14),'Curve Paste'!BT26)</f>
        <v>2.5796804148889341</v>
      </c>
      <c r="E26" s="416">
        <v>0.22</v>
      </c>
      <c r="F26" s="416">
        <v>0.22750000000000001</v>
      </c>
      <c r="G26" s="416">
        <v>0.23499999999999999</v>
      </c>
      <c r="H26" s="416">
        <f t="shared" si="0"/>
        <v>-7.0000000000000007E-2</v>
      </c>
      <c r="I26" s="416"/>
      <c r="J26" s="416">
        <f t="shared" si="1"/>
        <v>7.0000000000000007E-2</v>
      </c>
      <c r="K26" s="433">
        <v>0</v>
      </c>
      <c r="L26" s="1618">
        <f>IF(Assumptions!$L$30=4,0,O26+P26)</f>
        <v>0</v>
      </c>
      <c r="M26" s="445">
        <f t="shared" si="2"/>
        <v>2.6110125656770586</v>
      </c>
      <c r="N26" s="449">
        <f>IF(Assumptions!$L$30=4,F26,CHOOSE(Assumptions!$L$30,E26,F26,G26))</f>
        <v>0.22750000000000001</v>
      </c>
      <c r="O26">
        <v>5.2499999999999998E-2</v>
      </c>
      <c r="P26" s="1720">
        <f>Assumptions!$L$32*(1+Assumptions!$C$26)^(YEAR(A26)-2000)</f>
        <v>8.5312799999999994E-2</v>
      </c>
    </row>
    <row r="27" spans="1:16">
      <c r="A27" s="325">
        <f>'Curve Paste'!BQ27</f>
        <v>37288</v>
      </c>
      <c r="B27" s="415">
        <f>IF(Assumptions!$L$30=4,VLOOKUP($A27,'Henwood Reference'!$E$9:$R$296,14),'Curve Paste'!BR27)</f>
        <v>2.3786361152751336</v>
      </c>
      <c r="C27" s="415">
        <f>IF(Assumptions!$L$30=4,VLOOKUP($A27,'Henwood Reference'!$E$9:$R$296,14),'Curve Paste'!BS27)</f>
        <v>2.3786361152751336</v>
      </c>
      <c r="D27" s="415">
        <f>IF(Assumptions!$L$30=4,VLOOKUP($A27,'Henwood Reference'!$E$9:$R$296,14),'Curve Paste'!BT27)</f>
        <v>2.3786361152751336</v>
      </c>
      <c r="E27" s="416">
        <v>0.2225</v>
      </c>
      <c r="F27" s="416">
        <v>0.23</v>
      </c>
      <c r="G27" s="416">
        <v>0.23749999999999999</v>
      </c>
      <c r="H27" s="416">
        <f t="shared" si="0"/>
        <v>-7.0000000000000007E-2</v>
      </c>
      <c r="I27" s="416"/>
      <c r="J27" s="416">
        <f t="shared" si="1"/>
        <v>7.0000000000000007E-2</v>
      </c>
      <c r="K27" s="433">
        <v>0</v>
      </c>
      <c r="L27" s="1618">
        <f>IF(Assumptions!$L$30=4,0,O27+P27)</f>
        <v>0</v>
      </c>
      <c r="M27" s="445">
        <f t="shared" si="2"/>
        <v>2.4075264324647101</v>
      </c>
      <c r="N27" s="449">
        <f>IF(Assumptions!$L$30=4,F27,CHOOSE(Assumptions!$L$30,E27,F27,G27))</f>
        <v>0.23</v>
      </c>
      <c r="O27">
        <v>5.2499999999999998E-2</v>
      </c>
      <c r="P27" s="1720">
        <f>Assumptions!$L$32*(1+Assumptions!$C$26)^(YEAR(A27)-2000)</f>
        <v>8.5312799999999994E-2</v>
      </c>
    </row>
    <row r="28" spans="1:16">
      <c r="A28" s="325">
        <f>'Curve Paste'!BQ28</f>
        <v>37316</v>
      </c>
      <c r="B28" s="415">
        <f>IF(Assumptions!$L$30=4,VLOOKUP($A28,'Henwood Reference'!$E$9:$R$296,14),'Curve Paste'!BR28)</f>
        <v>2.247528250803402</v>
      </c>
      <c r="C28" s="415">
        <f>IF(Assumptions!$L$30=4,VLOOKUP($A28,'Henwood Reference'!$E$9:$R$296,14),'Curve Paste'!BS28)</f>
        <v>2.247528250803402</v>
      </c>
      <c r="D28" s="415">
        <f>IF(Assumptions!$L$30=4,VLOOKUP($A28,'Henwood Reference'!$E$9:$R$296,14),'Curve Paste'!BT28)</f>
        <v>2.247528250803402</v>
      </c>
      <c r="E28" s="416">
        <v>0.20250000000000001</v>
      </c>
      <c r="F28" s="416">
        <v>0.21</v>
      </c>
      <c r="G28" s="416">
        <v>0.2175</v>
      </c>
      <c r="H28" s="416">
        <f t="shared" si="0"/>
        <v>-7.0000000000000007E-2</v>
      </c>
      <c r="I28" s="416"/>
      <c r="J28" s="416">
        <f t="shared" si="1"/>
        <v>7.0000000000000007E-2</v>
      </c>
      <c r="K28" s="433">
        <v>0</v>
      </c>
      <c r="L28" s="1618">
        <f>IF(Assumptions!$L$30=4,0,O28+P28)</f>
        <v>0</v>
      </c>
      <c r="M28" s="445">
        <f t="shared" si="2"/>
        <v>2.2748261647807713</v>
      </c>
      <c r="N28" s="449">
        <f>IF(Assumptions!$L$30=4,F28,CHOOSE(Assumptions!$L$30,E28,F28,G28))</f>
        <v>0.21</v>
      </c>
      <c r="O28">
        <v>7.0000000000000007E-2</v>
      </c>
      <c r="P28" s="1720">
        <f>Assumptions!$L$32*(1+Assumptions!$C$26)^(YEAR(A28)-2000)</f>
        <v>8.5312799999999994E-2</v>
      </c>
    </row>
    <row r="29" spans="1:16">
      <c r="A29" s="325">
        <f>'Curve Paste'!BQ29</f>
        <v>37347</v>
      </c>
      <c r="B29" s="415">
        <f>IF(Assumptions!$L$30=4,VLOOKUP($A29,'Henwood Reference'!$E$9:$R$296,14),'Curve Paste'!BR29)</f>
        <v>2.1764397464275476</v>
      </c>
      <c r="C29" s="415">
        <f>IF(Assumptions!$L$30=4,VLOOKUP($A29,'Henwood Reference'!$E$9:$R$296,14),'Curve Paste'!BS29)</f>
        <v>2.1764397464275476</v>
      </c>
      <c r="D29" s="415">
        <f>IF(Assumptions!$L$30=4,VLOOKUP($A29,'Henwood Reference'!$E$9:$R$296,14),'Curve Paste'!BT29)</f>
        <v>2.1764397464275476</v>
      </c>
      <c r="E29" s="416">
        <v>0.1875</v>
      </c>
      <c r="F29" s="416">
        <v>0.19500000000000001</v>
      </c>
      <c r="G29" s="416">
        <v>0.20250000000000001</v>
      </c>
      <c r="H29" s="416">
        <f t="shared" si="0"/>
        <v>-7.0000000000000007E-2</v>
      </c>
      <c r="I29" s="416"/>
      <c r="J29" s="416">
        <f t="shared" si="1"/>
        <v>7.0000000000000007E-2</v>
      </c>
      <c r="K29" s="433">
        <v>0</v>
      </c>
      <c r="L29" s="1618">
        <f>IF(Assumptions!$L$30=4,0,O29+P29)</f>
        <v>0</v>
      </c>
      <c r="M29" s="445">
        <f t="shared" si="2"/>
        <v>2.2028742372748455</v>
      </c>
      <c r="N29" s="449">
        <f>IF(Assumptions!$L$30=4,F29,CHOOSE(Assumptions!$L$30,E29,F29,G29))</f>
        <v>0.19500000000000001</v>
      </c>
      <c r="O29">
        <v>5.5E-2</v>
      </c>
      <c r="P29" s="1720">
        <f>Assumptions!$L$32*(1+Assumptions!$C$26)^(YEAR(A29)-2000)</f>
        <v>8.5312799999999994E-2</v>
      </c>
    </row>
    <row r="30" spans="1:16">
      <c r="A30" s="325">
        <f>'Curve Paste'!BQ30</f>
        <v>37377</v>
      </c>
      <c r="B30" s="415">
        <f>IF(Assumptions!$L$30=4,VLOOKUP($A30,'Henwood Reference'!$E$9:$R$296,14),'Curve Paste'!BR30)</f>
        <v>2.1565152867235882</v>
      </c>
      <c r="C30" s="415">
        <f>IF(Assumptions!$L$30=4,VLOOKUP($A30,'Henwood Reference'!$E$9:$R$296,14),'Curve Paste'!BS30)</f>
        <v>2.1565152867235882</v>
      </c>
      <c r="D30" s="415">
        <f>IF(Assumptions!$L$30=4,VLOOKUP($A30,'Henwood Reference'!$E$9:$R$296,14),'Curve Paste'!BT30)</f>
        <v>2.1565152867235882</v>
      </c>
      <c r="E30" s="416">
        <v>0.1825</v>
      </c>
      <c r="F30" s="416">
        <v>0.19</v>
      </c>
      <c r="G30" s="416">
        <v>0.19750000000000001</v>
      </c>
      <c r="H30" s="416">
        <f t="shared" si="0"/>
        <v>-7.0000000000000007E-2</v>
      </c>
      <c r="I30" s="416"/>
      <c r="J30" s="416">
        <f t="shared" si="1"/>
        <v>7.0000000000000007E-2</v>
      </c>
      <c r="K30" s="433">
        <v>0</v>
      </c>
      <c r="L30" s="1618">
        <f>IF(Assumptions!$L$30=4,0,O30+P30)</f>
        <v>0</v>
      </c>
      <c r="M30" s="445">
        <f t="shared" si="2"/>
        <v>2.1827077800846033</v>
      </c>
      <c r="N30" s="449">
        <f>IF(Assumptions!$L$30=4,F30,CHOOSE(Assumptions!$L$30,E30,F30,G30))</f>
        <v>0.19</v>
      </c>
      <c r="O30">
        <v>7.0000000000000007E-2</v>
      </c>
      <c r="P30" s="1720">
        <f>Assumptions!$L$32*(1+Assumptions!$C$26)^(YEAR(A30)-2000)</f>
        <v>8.5312799999999994E-2</v>
      </c>
    </row>
    <row r="31" spans="1:16">
      <c r="A31" s="325">
        <f>'Curve Paste'!BQ31</f>
        <v>37408</v>
      </c>
      <c r="B31" s="415">
        <f>IF(Assumptions!$L$30=4,VLOOKUP($A31,'Henwood Reference'!$E$9:$R$296,14),'Curve Paste'!BR31)</f>
        <v>2.1788995562675426</v>
      </c>
      <c r="C31" s="415">
        <f>IF(Assumptions!$L$30=4,VLOOKUP($A31,'Henwood Reference'!$E$9:$R$296,14),'Curve Paste'!BS31)</f>
        <v>2.1788995562675426</v>
      </c>
      <c r="D31" s="415">
        <f>IF(Assumptions!$L$30=4,VLOOKUP($A31,'Henwood Reference'!$E$9:$R$296,14),'Curve Paste'!BT31)</f>
        <v>2.1788995562675426</v>
      </c>
      <c r="E31" s="416">
        <v>0.17749999999999999</v>
      </c>
      <c r="F31" s="416">
        <v>0.185</v>
      </c>
      <c r="G31" s="416">
        <v>0.1925</v>
      </c>
      <c r="H31" s="416">
        <f t="shared" si="0"/>
        <v>-7.0000000000000007E-2</v>
      </c>
      <c r="I31" s="416"/>
      <c r="J31" s="416">
        <f t="shared" si="1"/>
        <v>7.0000000000000007E-2</v>
      </c>
      <c r="K31" s="433">
        <v>0</v>
      </c>
      <c r="L31" s="1618">
        <f>IF(Assumptions!$L$30=4,0,O31+P31)</f>
        <v>0</v>
      </c>
      <c r="M31" s="445">
        <f t="shared" si="2"/>
        <v>2.2053639233477154</v>
      </c>
      <c r="N31" s="449">
        <f>IF(Assumptions!$L$30=4,F31,CHOOSE(Assumptions!$L$30,E31,F31,G31))</f>
        <v>0.185</v>
      </c>
      <c r="O31">
        <v>0.1</v>
      </c>
      <c r="P31" s="1720">
        <f>Assumptions!$L$32*(1+Assumptions!$C$26)^(YEAR(A31)-2000)</f>
        <v>8.5312799999999994E-2</v>
      </c>
    </row>
    <row r="32" spans="1:16">
      <c r="A32" s="325">
        <f>'Curve Paste'!BQ32</f>
        <v>37438</v>
      </c>
      <c r="B32" s="415">
        <f>IF(Assumptions!$L$30=4,VLOOKUP($A32,'Henwood Reference'!$E$9:$R$296,14),'Curve Paste'!BR32)</f>
        <v>2.2347372396354284</v>
      </c>
      <c r="C32" s="415">
        <f>IF(Assumptions!$L$30=4,VLOOKUP($A32,'Henwood Reference'!$E$9:$R$296,14),'Curve Paste'!BS32)</f>
        <v>2.2347372396354284</v>
      </c>
      <c r="D32" s="415">
        <f>IF(Assumptions!$L$30=4,VLOOKUP($A32,'Henwood Reference'!$E$9:$R$296,14),'Curve Paste'!BT32)</f>
        <v>2.2347372396354284</v>
      </c>
      <c r="E32" s="416">
        <v>0.17749999999999999</v>
      </c>
      <c r="F32" s="416">
        <v>0.185</v>
      </c>
      <c r="G32" s="416">
        <v>0.1925</v>
      </c>
      <c r="H32" s="416">
        <f t="shared" si="0"/>
        <v>-7.0000000000000007E-2</v>
      </c>
      <c r="I32" s="416"/>
      <c r="J32" s="416">
        <f t="shared" si="1"/>
        <v>7.0000000000000007E-2</v>
      </c>
      <c r="K32" s="433">
        <v>0</v>
      </c>
      <c r="L32" s="1618">
        <f>IF(Assumptions!$L$30=4,0,O32+P32)</f>
        <v>0</v>
      </c>
      <c r="M32" s="445">
        <f t="shared" si="2"/>
        <v>2.2618797972018507</v>
      </c>
      <c r="N32" s="449">
        <f>IF(Assumptions!$L$30=4,F32,CHOOSE(Assumptions!$L$30,E32,F32,G32))</f>
        <v>0.185</v>
      </c>
      <c r="O32">
        <v>0.2</v>
      </c>
      <c r="P32" s="1720">
        <f>Assumptions!$L$32*(1+Assumptions!$C$26)^(YEAR(A32)-2000)</f>
        <v>8.5312799999999994E-2</v>
      </c>
    </row>
    <row r="33" spans="1:16">
      <c r="A33" s="325">
        <f>'Curve Paste'!BQ33</f>
        <v>37469</v>
      </c>
      <c r="B33" s="415">
        <f>IF(Assumptions!$L$30=4,VLOOKUP($A33,'Henwood Reference'!$E$9:$R$296,14),'Curve Paste'!BR33)</f>
        <v>2.3151730214032638</v>
      </c>
      <c r="C33" s="415">
        <f>IF(Assumptions!$L$30=4,VLOOKUP($A33,'Henwood Reference'!$E$9:$R$296,14),'Curve Paste'!BS33)</f>
        <v>2.3151730214032638</v>
      </c>
      <c r="D33" s="415">
        <f>IF(Assumptions!$L$30=4,VLOOKUP($A33,'Henwood Reference'!$E$9:$R$296,14),'Curve Paste'!BT33)</f>
        <v>2.3151730214032638</v>
      </c>
      <c r="E33" s="416">
        <v>0.17749999999999999</v>
      </c>
      <c r="F33" s="416">
        <v>0.185</v>
      </c>
      <c r="G33" s="416">
        <v>0.1925</v>
      </c>
      <c r="H33" s="416">
        <f t="shared" si="0"/>
        <v>-7.0000000000000007E-2</v>
      </c>
      <c r="I33" s="416"/>
      <c r="J33" s="416">
        <f t="shared" si="1"/>
        <v>7.0000000000000007E-2</v>
      </c>
      <c r="K33" s="433">
        <v>0</v>
      </c>
      <c r="L33" s="1618">
        <f>IF(Assumptions!$L$30=4,0,O33+P33)</f>
        <v>0</v>
      </c>
      <c r="M33" s="445">
        <f t="shared" si="2"/>
        <v>2.3432925317846798</v>
      </c>
      <c r="N33" s="449">
        <f>IF(Assumptions!$L$30=4,F33,CHOOSE(Assumptions!$L$30,E33,F33,G33))</f>
        <v>0.185</v>
      </c>
      <c r="O33">
        <v>0.2</v>
      </c>
      <c r="P33" s="1720">
        <f>Assumptions!$L$32*(1+Assumptions!$C$26)^(YEAR(A33)-2000)</f>
        <v>8.5312799999999994E-2</v>
      </c>
    </row>
    <row r="34" spans="1:16">
      <c r="A34" s="325">
        <f>'Curve Paste'!BQ34</f>
        <v>37500</v>
      </c>
      <c r="B34" s="415">
        <f>IF(Assumptions!$L$30=4,VLOOKUP($A34,'Henwood Reference'!$E$9:$R$296,14),'Curve Paste'!BR34)</f>
        <v>2.4113515861470667</v>
      </c>
      <c r="C34" s="415">
        <f>IF(Assumptions!$L$30=4,VLOOKUP($A34,'Henwood Reference'!$E$9:$R$296,14),'Curve Paste'!BS34)</f>
        <v>2.4113515861470667</v>
      </c>
      <c r="D34" s="415">
        <f>IF(Assumptions!$L$30=4,VLOOKUP($A34,'Henwood Reference'!$E$9:$R$296,14),'Curve Paste'!BT34)</f>
        <v>2.4113515861470667</v>
      </c>
      <c r="E34" s="416">
        <v>0.17749999999999999</v>
      </c>
      <c r="F34" s="416">
        <v>0.185</v>
      </c>
      <c r="G34" s="416">
        <v>0.1925</v>
      </c>
      <c r="H34" s="416">
        <f t="shared" si="0"/>
        <v>-7.0000000000000007E-2</v>
      </c>
      <c r="I34" s="416"/>
      <c r="J34" s="416">
        <f t="shared" si="1"/>
        <v>7.0000000000000007E-2</v>
      </c>
      <c r="K34" s="433">
        <v>0</v>
      </c>
      <c r="L34" s="1618">
        <f>IF(Assumptions!$L$30=4,0,O34+P34)</f>
        <v>0</v>
      </c>
      <c r="M34" s="445">
        <f t="shared" si="2"/>
        <v>2.4406392572338733</v>
      </c>
      <c r="N34" s="449">
        <f>IF(Assumptions!$L$30=4,F34,CHOOSE(Assumptions!$L$30,E34,F34,G34))</f>
        <v>0.185</v>
      </c>
      <c r="O34">
        <v>0.2</v>
      </c>
      <c r="P34" s="1720">
        <f>Assumptions!$L$32*(1+Assumptions!$C$26)^(YEAR(A34)-2000)</f>
        <v>8.5312799999999994E-2</v>
      </c>
    </row>
    <row r="35" spans="1:16">
      <c r="A35" s="325">
        <f>'Curve Paste'!BQ35</f>
        <v>37530</v>
      </c>
      <c r="B35" s="415">
        <f>IF(Assumptions!$L$30=4,VLOOKUP($A35,'Henwood Reference'!$E$9:$R$296,14),'Curve Paste'!BR35)</f>
        <v>2.5144176184428564</v>
      </c>
      <c r="C35" s="415">
        <f>IF(Assumptions!$L$30=4,VLOOKUP($A35,'Henwood Reference'!$E$9:$R$296,14),'Curve Paste'!BS35)</f>
        <v>2.5144176184428564</v>
      </c>
      <c r="D35" s="415">
        <f>IF(Assumptions!$L$30=4,VLOOKUP($A35,'Henwood Reference'!$E$9:$R$296,14),'Curve Paste'!BT35)</f>
        <v>2.5144176184428564</v>
      </c>
      <c r="E35" s="416">
        <v>0.17749999999999999</v>
      </c>
      <c r="F35" s="416">
        <v>0.185</v>
      </c>
      <c r="G35" s="416">
        <v>0.1925</v>
      </c>
      <c r="H35" s="416">
        <f t="shared" si="0"/>
        <v>-7.0000000000000007E-2</v>
      </c>
      <c r="I35" s="416"/>
      <c r="J35" s="416">
        <f t="shared" si="1"/>
        <v>7.0000000000000007E-2</v>
      </c>
      <c r="K35" s="433">
        <v>0</v>
      </c>
      <c r="L35" s="1618">
        <f>IF(Assumptions!$L$30=4,0,O35+P35)</f>
        <v>0</v>
      </c>
      <c r="M35" s="445">
        <f t="shared" si="2"/>
        <v>2.5449571036871017</v>
      </c>
      <c r="N35" s="449">
        <f>IF(Assumptions!$L$30=4,F35,CHOOSE(Assumptions!$L$30,E35,F35,G35))</f>
        <v>0.185</v>
      </c>
      <c r="O35">
        <v>0.12</v>
      </c>
      <c r="P35" s="1720">
        <f>Assumptions!$L$32*(1+Assumptions!$C$26)^(YEAR(A35)-2000)</f>
        <v>8.5312799999999994E-2</v>
      </c>
    </row>
    <row r="36" spans="1:16">
      <c r="A36" s="325">
        <f>'Curve Paste'!BQ36</f>
        <v>37561</v>
      </c>
      <c r="B36" s="415">
        <f>IF(Assumptions!$L$30=4,VLOOKUP($A36,'Henwood Reference'!$E$9:$R$296,14),'Curve Paste'!BR36)</f>
        <v>2.6155158028666485</v>
      </c>
      <c r="C36" s="415">
        <f>IF(Assumptions!$L$30=4,VLOOKUP($A36,'Henwood Reference'!$E$9:$R$296,14),'Curve Paste'!BS36)</f>
        <v>2.6155158028666485</v>
      </c>
      <c r="D36" s="415">
        <f>IF(Assumptions!$L$30=4,VLOOKUP($A36,'Henwood Reference'!$E$9:$R$296,14),'Curve Paste'!BT36)</f>
        <v>2.6155158028666485</v>
      </c>
      <c r="E36" s="416">
        <v>0.17749999999999999</v>
      </c>
      <c r="F36" s="416">
        <v>0.185</v>
      </c>
      <c r="G36" s="416">
        <v>0.1925</v>
      </c>
      <c r="H36" s="416">
        <f t="shared" si="0"/>
        <v>-7.0000000000000007E-2</v>
      </c>
      <c r="I36" s="416"/>
      <c r="J36" s="416">
        <f t="shared" si="1"/>
        <v>7.0000000000000007E-2</v>
      </c>
      <c r="K36" s="433">
        <v>0</v>
      </c>
      <c r="L36" s="1618">
        <f>IF(Assumptions!$L$30=4,0,O36+P36)</f>
        <v>0</v>
      </c>
      <c r="M36" s="445">
        <f t="shared" si="2"/>
        <v>2.6472832012820331</v>
      </c>
      <c r="N36" s="449">
        <f>IF(Assumptions!$L$30=4,F36,CHOOSE(Assumptions!$L$30,E36,F36,G36))</f>
        <v>0.185</v>
      </c>
      <c r="O36">
        <v>8.5000000000000006E-2</v>
      </c>
      <c r="P36" s="1720">
        <f>Assumptions!$L$32*(1+Assumptions!$C$26)^(YEAR(A36)-2000)</f>
        <v>8.5312799999999994E-2</v>
      </c>
    </row>
    <row r="37" spans="1:16">
      <c r="A37" s="325">
        <f>'Curve Paste'!BQ37</f>
        <v>37591</v>
      </c>
      <c r="B37" s="415">
        <f>IF(Assumptions!$L$30=4,VLOOKUP($A37,'Henwood Reference'!$E$9:$R$296,14),'Curve Paste'!BR37)</f>
        <v>2.7223355530394744</v>
      </c>
      <c r="C37" s="415">
        <f>IF(Assumptions!$L$30=4,VLOOKUP($A37,'Henwood Reference'!$E$9:$R$296,14),'Curve Paste'!BS37)</f>
        <v>2.7223355530394744</v>
      </c>
      <c r="D37" s="415">
        <f>IF(Assumptions!$L$30=4,VLOOKUP($A37,'Henwood Reference'!$E$9:$R$296,14),'Curve Paste'!BT37)</f>
        <v>2.7223355530394744</v>
      </c>
      <c r="E37" s="416">
        <v>0.17749999999999999</v>
      </c>
      <c r="F37" s="416">
        <v>0.185</v>
      </c>
      <c r="G37" s="416">
        <v>0.1925</v>
      </c>
      <c r="H37" s="416">
        <f t="shared" si="0"/>
        <v>-7.0000000000000007E-2</v>
      </c>
      <c r="I37" s="416"/>
      <c r="J37" s="416">
        <f t="shared" si="1"/>
        <v>7.0000000000000007E-2</v>
      </c>
      <c r="K37" s="433">
        <v>0</v>
      </c>
      <c r="L37" s="1618">
        <f>IF(Assumptions!$L$30=4,0,O37+P37)</f>
        <v>0</v>
      </c>
      <c r="M37" s="445">
        <f t="shared" si="2"/>
        <v>2.7554003573274031</v>
      </c>
      <c r="N37" s="449">
        <f>IF(Assumptions!$L$30=4,F37,CHOOSE(Assumptions!$L$30,E37,F37,G37))</f>
        <v>0.185</v>
      </c>
      <c r="O37">
        <v>8.5000000000000006E-2</v>
      </c>
      <c r="P37" s="1720">
        <f>Assumptions!$L$32*(1+Assumptions!$C$26)^(YEAR(A37)-2000)</f>
        <v>8.5312799999999994E-2</v>
      </c>
    </row>
    <row r="38" spans="1:16">
      <c r="A38" s="325">
        <f>'Curve Paste'!BQ38</f>
        <v>37622</v>
      </c>
      <c r="B38" s="415">
        <f>IF(Assumptions!$L$30=4,VLOOKUP($A38,'Henwood Reference'!$E$9:$R$296,14),'Curve Paste'!BR38)</f>
        <v>2.6434629746456166</v>
      </c>
      <c r="C38" s="415">
        <f>IF(Assumptions!$L$30=4,VLOOKUP($A38,'Henwood Reference'!$E$9:$R$296,14),'Curve Paste'!BS38)</f>
        <v>2.6434629746456166</v>
      </c>
      <c r="D38" s="415">
        <f>IF(Assumptions!$L$30=4,VLOOKUP($A38,'Henwood Reference'!$E$9:$R$296,14),'Curve Paste'!BT38)</f>
        <v>2.6434629746456166</v>
      </c>
      <c r="E38" s="416">
        <v>0.17749999999999999</v>
      </c>
      <c r="F38" s="416">
        <v>0.185</v>
      </c>
      <c r="G38" s="416">
        <v>0.1925</v>
      </c>
      <c r="H38" s="416">
        <f t="shared" si="0"/>
        <v>-7.0000000000000007E-2</v>
      </c>
      <c r="I38" s="416"/>
      <c r="J38" s="416">
        <f t="shared" si="1"/>
        <v>7.0000000000000007E-2</v>
      </c>
      <c r="K38" s="433">
        <v>0</v>
      </c>
      <c r="L38" s="1618">
        <f>IF(Assumptions!$L$30=4,0,O38+P38)</f>
        <v>0</v>
      </c>
      <c r="M38" s="445">
        <f t="shared" si="2"/>
        <v>2.675569812394349</v>
      </c>
      <c r="N38" s="449">
        <f>IF(Assumptions!$L$30=4,F38,CHOOSE(Assumptions!$L$30,E38,F38,G38))</f>
        <v>0.185</v>
      </c>
      <c r="O38">
        <v>7.0000000000000007E-2</v>
      </c>
      <c r="P38" s="1720">
        <f>Assumptions!$L$32*(1+Assumptions!$C$26)^(YEAR(A38)-2000)</f>
        <v>8.7019055999999984E-2</v>
      </c>
    </row>
    <row r="39" spans="1:16">
      <c r="A39" s="325">
        <f>'Curve Paste'!BQ39</f>
        <v>37653</v>
      </c>
      <c r="B39" s="415">
        <f>IF(Assumptions!$L$30=4,VLOOKUP($A39,'Henwood Reference'!$E$9:$R$296,14),'Curve Paste'!BR39)</f>
        <v>2.4374478577244285</v>
      </c>
      <c r="C39" s="415">
        <f>IF(Assumptions!$L$30=4,VLOOKUP($A39,'Henwood Reference'!$E$9:$R$296,14),'Curve Paste'!BS39)</f>
        <v>2.4374478577244285</v>
      </c>
      <c r="D39" s="415">
        <f>IF(Assumptions!$L$30=4,VLOOKUP($A39,'Henwood Reference'!$E$9:$R$296,14),'Curve Paste'!BT39)</f>
        <v>2.4374478577244285</v>
      </c>
      <c r="E39" s="416">
        <v>0.17749999999999999</v>
      </c>
      <c r="F39" s="416">
        <v>0.185</v>
      </c>
      <c r="G39" s="416">
        <v>0.1925</v>
      </c>
      <c r="H39" s="416">
        <f t="shared" si="0"/>
        <v>-7.0000000000000007E-2</v>
      </c>
      <c r="I39" s="416"/>
      <c r="J39" s="416">
        <f t="shared" si="1"/>
        <v>7.0000000000000007E-2</v>
      </c>
      <c r="K39" s="433">
        <v>0</v>
      </c>
      <c r="L39" s="1618">
        <f>IF(Assumptions!$L$30=4,0,O39+P39)</f>
        <v>0</v>
      </c>
      <c r="M39" s="445">
        <f t="shared" si="2"/>
        <v>2.4670524875753324</v>
      </c>
      <c r="N39" s="449">
        <f>IF(Assumptions!$L$30=4,F39,CHOOSE(Assumptions!$L$30,E39,F39,G39))</f>
        <v>0.185</v>
      </c>
      <c r="O39">
        <v>7.0000000000000007E-2</v>
      </c>
      <c r="P39" s="1720">
        <f>Assumptions!$L$32*(1+Assumptions!$C$26)^(YEAR(A39)-2000)</f>
        <v>8.7019055999999984E-2</v>
      </c>
    </row>
    <row r="40" spans="1:16">
      <c r="A40" s="325">
        <f>'Curve Paste'!BQ40</f>
        <v>37681</v>
      </c>
      <c r="B40" s="415">
        <f>IF(Assumptions!$L$30=4,VLOOKUP($A40,'Henwood Reference'!$E$9:$R$296,14),'Curve Paste'!BR40)</f>
        <v>2.3030983532604039</v>
      </c>
      <c r="C40" s="415">
        <f>IF(Assumptions!$L$30=4,VLOOKUP($A40,'Henwood Reference'!$E$9:$R$296,14),'Curve Paste'!BS40)</f>
        <v>2.3030983532604039</v>
      </c>
      <c r="D40" s="415">
        <f>IF(Assumptions!$L$30=4,VLOOKUP($A40,'Henwood Reference'!$E$9:$R$296,14),'Curve Paste'!BT40)</f>
        <v>2.3030983532604039</v>
      </c>
      <c r="E40" s="416">
        <v>0.17749999999999999</v>
      </c>
      <c r="F40" s="416">
        <v>0.185</v>
      </c>
      <c r="G40" s="416">
        <v>0.1925</v>
      </c>
      <c r="H40" s="416">
        <f t="shared" si="0"/>
        <v>-7.0000000000000007E-2</v>
      </c>
      <c r="I40" s="416"/>
      <c r="J40" s="416">
        <f t="shared" si="1"/>
        <v>7.0000000000000007E-2</v>
      </c>
      <c r="K40" s="433">
        <v>0</v>
      </c>
      <c r="L40" s="1618">
        <f>IF(Assumptions!$L$30=4,0,O40+P40)</f>
        <v>0</v>
      </c>
      <c r="M40" s="445">
        <f t="shared" si="2"/>
        <v>2.3310712077534452</v>
      </c>
      <c r="N40" s="449">
        <f>IF(Assumptions!$L$30=4,F40,CHOOSE(Assumptions!$L$30,E40,F40,G40))</f>
        <v>0.185</v>
      </c>
      <c r="O40">
        <v>8.7499999999999994E-2</v>
      </c>
      <c r="P40" s="1720">
        <f>Assumptions!$L$32*(1+Assumptions!$C$26)^(YEAR(A40)-2000)</f>
        <v>8.7019055999999984E-2</v>
      </c>
    </row>
    <row r="41" spans="1:16">
      <c r="A41" s="325">
        <f>'Curve Paste'!BQ41</f>
        <v>37712</v>
      </c>
      <c r="B41" s="415">
        <f>IF(Assumptions!$L$30=4,VLOOKUP($A41,'Henwood Reference'!$E$9:$R$296,14),'Curve Paste'!BR41)</f>
        <v>2.2302521866748446</v>
      </c>
      <c r="C41" s="415">
        <f>IF(Assumptions!$L$30=4,VLOOKUP($A41,'Henwood Reference'!$E$9:$R$296,14),'Curve Paste'!BS41)</f>
        <v>2.2302521866748446</v>
      </c>
      <c r="D41" s="415">
        <f>IF(Assumptions!$L$30=4,VLOOKUP($A41,'Henwood Reference'!$E$9:$R$296,14),'Curve Paste'!BT41)</f>
        <v>2.2302521866748446</v>
      </c>
      <c r="E41" s="416">
        <v>0.17749999999999999</v>
      </c>
      <c r="F41" s="416">
        <v>0.185</v>
      </c>
      <c r="G41" s="416">
        <v>0.1925</v>
      </c>
      <c r="H41" s="416">
        <f t="shared" si="0"/>
        <v>-7.0000000000000007E-2</v>
      </c>
      <c r="I41" s="416"/>
      <c r="J41" s="416">
        <f t="shared" si="1"/>
        <v>7.0000000000000007E-2</v>
      </c>
      <c r="K41" s="433">
        <v>0</v>
      </c>
      <c r="L41" s="1618">
        <f>IF(Assumptions!$L$30=4,0,O41+P41)</f>
        <v>0</v>
      </c>
      <c r="M41" s="445">
        <f t="shared" si="2"/>
        <v>2.2573402699138105</v>
      </c>
      <c r="N41" s="449">
        <f>IF(Assumptions!$L$30=4,F41,CHOOSE(Assumptions!$L$30,E41,F41,G41))</f>
        <v>0.185</v>
      </c>
      <c r="O41">
        <v>7.2500000000000051E-2</v>
      </c>
      <c r="P41" s="1720">
        <f>Assumptions!$L$32*(1+Assumptions!$C$26)^(YEAR(A41)-2000)</f>
        <v>8.7019055999999984E-2</v>
      </c>
    </row>
    <row r="42" spans="1:16">
      <c r="A42" s="325">
        <f>'Curve Paste'!BQ42</f>
        <v>37742</v>
      </c>
      <c r="B42" s="415">
        <f>IF(Assumptions!$L$30=4,VLOOKUP($A42,'Henwood Reference'!$E$9:$R$296,14),'Curve Paste'!BR42)</f>
        <v>2.2098350950020751</v>
      </c>
      <c r="C42" s="415">
        <f>IF(Assumptions!$L$30=4,VLOOKUP($A42,'Henwood Reference'!$E$9:$R$296,14),'Curve Paste'!BS42)</f>
        <v>2.2098350950020751</v>
      </c>
      <c r="D42" s="415">
        <f>IF(Assumptions!$L$30=4,VLOOKUP($A42,'Henwood Reference'!$E$9:$R$296,14),'Curve Paste'!BT42)</f>
        <v>2.2098350950020751</v>
      </c>
      <c r="E42" s="416">
        <v>0.17749999999999999</v>
      </c>
      <c r="F42" s="416">
        <v>0.185</v>
      </c>
      <c r="G42" s="416">
        <v>0.1925</v>
      </c>
      <c r="H42" s="416">
        <f t="shared" si="0"/>
        <v>-7.0000000000000007E-2</v>
      </c>
      <c r="I42" s="416"/>
      <c r="J42" s="416">
        <f t="shared" si="1"/>
        <v>7.0000000000000007E-2</v>
      </c>
      <c r="K42" s="432">
        <f t="shared" ref="K42:K105" si="3">K30</f>
        <v>0</v>
      </c>
      <c r="L42" s="1618">
        <f>IF(Assumptions!$L$30=4,0,O42+P42)</f>
        <v>0</v>
      </c>
      <c r="M42" s="445">
        <f t="shared" si="2"/>
        <v>2.2366751973705212</v>
      </c>
      <c r="N42" s="449">
        <f>IF(Assumptions!$L$30=4,F42,CHOOSE(Assumptions!$L$30,E42,F42,G42))</f>
        <v>0.185</v>
      </c>
      <c r="O42">
        <v>8.7500000000000064E-2</v>
      </c>
      <c r="P42" s="1720">
        <f>Assumptions!$L$32*(1+Assumptions!$C$26)^(YEAR(A42)-2000)</f>
        <v>8.7019055999999984E-2</v>
      </c>
    </row>
    <row r="43" spans="1:16">
      <c r="A43" s="325">
        <f>'Curve Paste'!BQ43</f>
        <v>37773</v>
      </c>
      <c r="B43" s="415">
        <f>IF(Assumptions!$L$30=4,VLOOKUP($A43,'Henwood Reference'!$E$9:$R$296,14),'Curve Paste'!BR43)</f>
        <v>2.2327728152764212</v>
      </c>
      <c r="C43" s="415">
        <f>IF(Assumptions!$L$30=4,VLOOKUP($A43,'Henwood Reference'!$E$9:$R$296,14),'Curve Paste'!BS43)</f>
        <v>2.2327728152764212</v>
      </c>
      <c r="D43" s="415">
        <f>IF(Assumptions!$L$30=4,VLOOKUP($A43,'Henwood Reference'!$E$9:$R$296,14),'Curve Paste'!BT43)</f>
        <v>2.2327728152764212</v>
      </c>
      <c r="E43" s="416">
        <v>0.17749999999999999</v>
      </c>
      <c r="F43" s="416">
        <v>0.185</v>
      </c>
      <c r="G43" s="416">
        <v>0.1925</v>
      </c>
      <c r="H43" s="416">
        <f t="shared" si="0"/>
        <v>-7.0000000000000007E-2</v>
      </c>
      <c r="I43" s="416"/>
      <c r="J43" s="416">
        <f t="shared" si="1"/>
        <v>7.0000000000000007E-2</v>
      </c>
      <c r="K43" s="432">
        <f t="shared" si="3"/>
        <v>0</v>
      </c>
      <c r="L43" s="1618">
        <f>IF(Assumptions!$L$30=4,0,O43+P43)</f>
        <v>0</v>
      </c>
      <c r="M43" s="445">
        <f t="shared" si="2"/>
        <v>2.2598915134376734</v>
      </c>
      <c r="N43" s="449">
        <f>IF(Assumptions!$L$30=4,F43,CHOOSE(Assumptions!$L$30,E43,F43,G43))</f>
        <v>0.185</v>
      </c>
      <c r="O43">
        <v>0.11749999999999999</v>
      </c>
      <c r="P43" s="1720">
        <f>Assumptions!$L$32*(1+Assumptions!$C$26)^(YEAR(A43)-2000)</f>
        <v>8.7019055999999984E-2</v>
      </c>
    </row>
    <row r="44" spans="1:16">
      <c r="A44" s="325">
        <f>'Curve Paste'!BQ44</f>
        <v>37803</v>
      </c>
      <c r="B44" s="415">
        <f>IF(Assumptions!$L$30=4,VLOOKUP($A44,'Henwood Reference'!$E$9:$R$296,14),'Curve Paste'!BR44)</f>
        <v>2.2899910845322067</v>
      </c>
      <c r="C44" s="415">
        <f>IF(Assumptions!$L$30=4,VLOOKUP($A44,'Henwood Reference'!$E$9:$R$296,14),'Curve Paste'!BS44)</f>
        <v>2.2899910845322067</v>
      </c>
      <c r="D44" s="415">
        <f>IF(Assumptions!$L$30=4,VLOOKUP($A44,'Henwood Reference'!$E$9:$R$296,14),'Curve Paste'!BT44)</f>
        <v>2.2899910845322067</v>
      </c>
      <c r="E44" s="416">
        <v>0.17749999999999999</v>
      </c>
      <c r="F44" s="416">
        <v>0.185</v>
      </c>
      <c r="G44" s="416">
        <v>0.1925</v>
      </c>
      <c r="H44" s="416">
        <f t="shared" si="0"/>
        <v>-7.0000000000000007E-2</v>
      </c>
      <c r="I44" s="416"/>
      <c r="J44" s="416">
        <f t="shared" si="1"/>
        <v>7.0000000000000007E-2</v>
      </c>
      <c r="K44" s="432">
        <f t="shared" si="3"/>
        <v>0</v>
      </c>
      <c r="L44" s="1618">
        <f>IF(Assumptions!$L$30=4,0,O44+P44)</f>
        <v>0</v>
      </c>
      <c r="M44" s="445">
        <f t="shared" si="2"/>
        <v>2.317804741429359</v>
      </c>
      <c r="N44" s="449">
        <f>IF(Assumptions!$L$30=4,F44,CHOOSE(Assumptions!$L$30,E44,F44,G44))</f>
        <v>0.185</v>
      </c>
      <c r="O44">
        <v>0.2175</v>
      </c>
      <c r="P44" s="1720">
        <f>Assumptions!$L$32*(1+Assumptions!$C$26)^(YEAR(A44)-2000)</f>
        <v>8.7019055999999984E-2</v>
      </c>
    </row>
    <row r="45" spans="1:16">
      <c r="A45" s="325">
        <f>'Curve Paste'!BQ45</f>
        <v>37834</v>
      </c>
      <c r="B45" s="415">
        <f>IF(Assumptions!$L$30=4,VLOOKUP($A45,'Henwood Reference'!$E$9:$R$296,14),'Curve Paste'!BR45)</f>
        <v>2.3724156398037568</v>
      </c>
      <c r="C45" s="415">
        <f>IF(Assumptions!$L$30=4,VLOOKUP($A45,'Henwood Reference'!$E$9:$R$296,14),'Curve Paste'!BS45)</f>
        <v>2.3724156398037568</v>
      </c>
      <c r="D45" s="415">
        <f>IF(Assumptions!$L$30=4,VLOOKUP($A45,'Henwood Reference'!$E$9:$R$296,14),'Curve Paste'!BT45)</f>
        <v>2.3724156398037568</v>
      </c>
      <c r="E45" s="416">
        <v>0.17749999999999999</v>
      </c>
      <c r="F45" s="416">
        <v>0.185</v>
      </c>
      <c r="G45" s="416">
        <v>0.1925</v>
      </c>
      <c r="H45" s="416">
        <f t="shared" si="0"/>
        <v>-7.0000000000000007E-2</v>
      </c>
      <c r="I45" s="416"/>
      <c r="J45" s="416">
        <f t="shared" si="1"/>
        <v>7.0000000000000007E-2</v>
      </c>
      <c r="K45" s="432">
        <f t="shared" si="3"/>
        <v>0</v>
      </c>
      <c r="L45" s="1618">
        <f>IF(Assumptions!$L$30=4,0,O45+P45)</f>
        <v>0</v>
      </c>
      <c r="M45" s="445">
        <f t="shared" si="2"/>
        <v>2.4012304046596729</v>
      </c>
      <c r="N45" s="449">
        <f>IF(Assumptions!$L$30=4,F45,CHOOSE(Assumptions!$L$30,E45,F45,G45))</f>
        <v>0.185</v>
      </c>
      <c r="O45">
        <v>0.2175</v>
      </c>
      <c r="P45" s="1720">
        <f>Assumptions!$L$32*(1+Assumptions!$C$26)^(YEAR(A45)-2000)</f>
        <v>8.7019055999999984E-2</v>
      </c>
    </row>
    <row r="46" spans="1:16">
      <c r="A46" s="325">
        <f>'Curve Paste'!BQ46</f>
        <v>37865</v>
      </c>
      <c r="B46" s="415">
        <f>IF(Assumptions!$L$30=4,VLOOKUP($A46,'Henwood Reference'!$E$9:$R$296,14),'Curve Paste'!BR46)</f>
        <v>2.4709722181253957</v>
      </c>
      <c r="C46" s="415">
        <f>IF(Assumptions!$L$30=4,VLOOKUP($A46,'Henwood Reference'!$E$9:$R$296,14),'Curve Paste'!BS46)</f>
        <v>2.4709722181253957</v>
      </c>
      <c r="D46" s="415">
        <f>IF(Assumptions!$L$30=4,VLOOKUP($A46,'Henwood Reference'!$E$9:$R$296,14),'Curve Paste'!BT46)</f>
        <v>2.4709722181253957</v>
      </c>
      <c r="E46" s="416">
        <v>0.17749999999999999</v>
      </c>
      <c r="F46" s="416">
        <v>0.185</v>
      </c>
      <c r="G46" s="416">
        <v>0.1925</v>
      </c>
      <c r="H46" s="416">
        <f t="shared" si="0"/>
        <v>-7.0000000000000007E-2</v>
      </c>
      <c r="I46" s="416"/>
      <c r="J46" s="416">
        <f t="shared" si="1"/>
        <v>7.0000000000000007E-2</v>
      </c>
      <c r="K46" s="432">
        <f t="shared" si="3"/>
        <v>0</v>
      </c>
      <c r="L46" s="1618">
        <f>IF(Assumptions!$L$30=4,0,O46+P46)</f>
        <v>0</v>
      </c>
      <c r="M46" s="445">
        <f t="shared" si="2"/>
        <v>2.5009840264427083</v>
      </c>
      <c r="N46" s="449">
        <f>IF(Assumptions!$L$30=4,F46,CHOOSE(Assumptions!$L$30,E46,F46,G46))</f>
        <v>0.185</v>
      </c>
      <c r="O46">
        <v>0.2175</v>
      </c>
      <c r="P46" s="1720">
        <f>Assumptions!$L$32*(1+Assumptions!$C$26)^(YEAR(A46)-2000)</f>
        <v>8.7019055999999984E-2</v>
      </c>
    </row>
    <row r="47" spans="1:16">
      <c r="A47" s="325">
        <f>'Curve Paste'!BQ47</f>
        <v>37895</v>
      </c>
      <c r="B47" s="415">
        <f>IF(Assumptions!$L$30=4,VLOOKUP($A47,'Henwood Reference'!$E$9:$R$296,14),'Curve Paste'!BR47)</f>
        <v>2.5765865565314496</v>
      </c>
      <c r="C47" s="415">
        <f>IF(Assumptions!$L$30=4,VLOOKUP($A47,'Henwood Reference'!$E$9:$R$296,14),'Curve Paste'!BS47)</f>
        <v>2.5765865565314496</v>
      </c>
      <c r="D47" s="415">
        <f>IF(Assumptions!$L$30=4,VLOOKUP($A47,'Henwood Reference'!$E$9:$R$296,14),'Curve Paste'!BT47)</f>
        <v>2.5765865565314496</v>
      </c>
      <c r="E47" s="416">
        <v>0.17749999999999999</v>
      </c>
      <c r="F47" s="416">
        <v>0.185</v>
      </c>
      <c r="G47" s="416">
        <v>0.1925</v>
      </c>
      <c r="H47" s="416">
        <f t="shared" si="0"/>
        <v>-7.0000000000000007E-2</v>
      </c>
      <c r="I47" s="416"/>
      <c r="J47" s="416">
        <f t="shared" si="1"/>
        <v>7.0000000000000007E-2</v>
      </c>
      <c r="K47" s="432">
        <f t="shared" si="3"/>
        <v>0</v>
      </c>
      <c r="L47" s="1618">
        <f>IF(Assumptions!$L$30=4,0,O47+P47)</f>
        <v>0</v>
      </c>
      <c r="M47" s="445">
        <f t="shared" si="2"/>
        <v>2.6078811300925602</v>
      </c>
      <c r="N47" s="449">
        <f>IF(Assumptions!$L$30=4,F47,CHOOSE(Assumptions!$L$30,E47,F47,G47))</f>
        <v>0.185</v>
      </c>
      <c r="O47">
        <v>0.13750000000000001</v>
      </c>
      <c r="P47" s="1720">
        <f>Assumptions!$L$32*(1+Assumptions!$C$26)^(YEAR(A47)-2000)</f>
        <v>8.7019055999999984E-2</v>
      </c>
    </row>
    <row r="48" spans="1:16">
      <c r="A48" s="325">
        <f>'Curve Paste'!BQ48</f>
        <v>37926</v>
      </c>
      <c r="B48" s="415">
        <f>IF(Assumptions!$L$30=4,VLOOKUP($A48,'Henwood Reference'!$E$9:$R$296,14),'Curve Paste'!BR48)</f>
        <v>2.6801843920562409</v>
      </c>
      <c r="C48" s="415">
        <f>IF(Assumptions!$L$30=4,VLOOKUP($A48,'Henwood Reference'!$E$9:$R$296,14),'Curve Paste'!BS48)</f>
        <v>2.6801843920562409</v>
      </c>
      <c r="D48" s="415">
        <f>IF(Assumptions!$L$30=4,VLOOKUP($A48,'Henwood Reference'!$E$9:$R$296,14),'Curve Paste'!BT48)</f>
        <v>2.6801843920562409</v>
      </c>
      <c r="E48" s="416">
        <v>0.17749999999999999</v>
      </c>
      <c r="F48" s="416">
        <v>0.185</v>
      </c>
      <c r="G48" s="416">
        <v>0.1925</v>
      </c>
      <c r="H48" s="416">
        <f t="shared" si="0"/>
        <v>-7.0000000000000007E-2</v>
      </c>
      <c r="I48" s="416"/>
      <c r="J48" s="416">
        <f t="shared" si="1"/>
        <v>7.0000000000000007E-2</v>
      </c>
      <c r="K48" s="432">
        <f t="shared" si="3"/>
        <v>0</v>
      </c>
      <c r="L48" s="1618">
        <f>IF(Assumptions!$L$30=4,0,O48+P48)</f>
        <v>0</v>
      </c>
      <c r="M48" s="445">
        <f t="shared" si="2"/>
        <v>2.7127372389233209</v>
      </c>
      <c r="N48" s="449">
        <f>IF(Assumptions!$L$30=4,F48,CHOOSE(Assumptions!$L$30,E48,F48,G48))</f>
        <v>0.185</v>
      </c>
      <c r="O48">
        <v>0.10249999999999999</v>
      </c>
      <c r="P48" s="1720">
        <f>Assumptions!$L$32*(1+Assumptions!$C$26)^(YEAR(A48)-2000)</f>
        <v>8.7019055999999984E-2</v>
      </c>
    </row>
    <row r="49" spans="1:16">
      <c r="A49" s="325">
        <f>'Curve Paste'!BQ49</f>
        <v>37956</v>
      </c>
      <c r="B49" s="415">
        <f>IF(Assumptions!$L$30=4,VLOOKUP($A49,'Henwood Reference'!$E$9:$R$296,14),'Curve Paste'!BR49)</f>
        <v>2.7896452589578167</v>
      </c>
      <c r="C49" s="415">
        <f>IF(Assumptions!$L$30=4,VLOOKUP($A49,'Henwood Reference'!$E$9:$R$296,14),'Curve Paste'!BS49)</f>
        <v>2.7896452589578167</v>
      </c>
      <c r="D49" s="415">
        <f>IF(Assumptions!$L$30=4,VLOOKUP($A49,'Henwood Reference'!$E$9:$R$296,14),'Curve Paste'!BT49)</f>
        <v>2.7896452589578167</v>
      </c>
      <c r="E49" s="416">
        <v>0.17749999999999999</v>
      </c>
      <c r="F49" s="416">
        <v>0.185</v>
      </c>
      <c r="G49" s="416">
        <v>0.1925</v>
      </c>
      <c r="H49" s="416">
        <f t="shared" si="0"/>
        <v>-7.0000000000000007E-2</v>
      </c>
      <c r="I49" s="416"/>
      <c r="J49" s="416">
        <f t="shared" si="1"/>
        <v>7.0000000000000007E-2</v>
      </c>
      <c r="K49" s="432">
        <f t="shared" si="3"/>
        <v>0</v>
      </c>
      <c r="L49" s="1618">
        <f>IF(Assumptions!$L$30=4,0,O49+P49)</f>
        <v>0</v>
      </c>
      <c r="M49" s="445">
        <f t="shared" si="2"/>
        <v>2.8235275900382759</v>
      </c>
      <c r="N49" s="449">
        <f>IF(Assumptions!$L$30=4,F49,CHOOSE(Assumptions!$L$30,E49,F49,G49))</f>
        <v>0.185</v>
      </c>
      <c r="O49">
        <v>0.10249999999999999</v>
      </c>
      <c r="P49" s="1720">
        <f>Assumptions!$L$32*(1+Assumptions!$C$26)^(YEAR(A49)-2000)</f>
        <v>8.7019055999999984E-2</v>
      </c>
    </row>
    <row r="50" spans="1:16">
      <c r="A50" s="325">
        <f>'Curve Paste'!BQ50</f>
        <v>37987</v>
      </c>
      <c r="B50" s="415">
        <f>IF(Assumptions!$L$30=4,VLOOKUP($A50,'Henwood Reference'!$E$9:$R$296,14),'Curve Paste'!BR50)</f>
        <v>2.7197193121781149</v>
      </c>
      <c r="C50" s="415">
        <f>IF(Assumptions!$L$30=4,VLOOKUP($A50,'Henwood Reference'!$E$9:$R$296,14),'Curve Paste'!BS50)</f>
        <v>2.7197193121781149</v>
      </c>
      <c r="D50" s="415">
        <f>IF(Assumptions!$L$30=4,VLOOKUP($A50,'Henwood Reference'!$E$9:$R$296,14),'Curve Paste'!BT50)</f>
        <v>2.7197193121781149</v>
      </c>
      <c r="E50" s="416">
        <v>0.17749999999999999</v>
      </c>
      <c r="F50" s="416">
        <v>0.185</v>
      </c>
      <c r="G50" s="416">
        <v>0.1925</v>
      </c>
      <c r="H50" s="416">
        <f t="shared" si="0"/>
        <v>-7.0000000000000007E-2</v>
      </c>
      <c r="I50" s="416"/>
      <c r="J50" s="416">
        <f t="shared" si="1"/>
        <v>7.0000000000000007E-2</v>
      </c>
      <c r="K50" s="432">
        <f t="shared" si="3"/>
        <v>0</v>
      </c>
      <c r="L50" s="1618">
        <f>IF(Assumptions!$L$30=4,0,O50+P50)</f>
        <v>0</v>
      </c>
      <c r="M50" s="445">
        <f t="shared" si="2"/>
        <v>2.7527523402612499</v>
      </c>
      <c r="N50" s="449">
        <f>IF(Assumptions!$L$30=4,F50,CHOOSE(Assumptions!$L$30,E50,F50,G50))</f>
        <v>0.185</v>
      </c>
      <c r="O50">
        <v>8.7499999999999994E-2</v>
      </c>
      <c r="P50" s="1720">
        <f>Assumptions!$L$32*(1+Assumptions!$C$26)^(YEAR(A50)-2000)</f>
        <v>8.8759437119999993E-2</v>
      </c>
    </row>
    <row r="51" spans="1:16">
      <c r="A51" s="325">
        <f>'Curve Paste'!BQ51</f>
        <v>38018</v>
      </c>
      <c r="B51" s="415">
        <f>IF(Assumptions!$L$30=4,VLOOKUP($A51,'Henwood Reference'!$E$9:$R$296,14),'Curve Paste'!BR51)</f>
        <v>2.5077612490369803</v>
      </c>
      <c r="C51" s="415">
        <f>IF(Assumptions!$L$30=4,VLOOKUP($A51,'Henwood Reference'!$E$9:$R$296,14),'Curve Paste'!BS51)</f>
        <v>2.5077612490369803</v>
      </c>
      <c r="D51" s="415">
        <f>IF(Assumptions!$L$30=4,VLOOKUP($A51,'Henwood Reference'!$E$9:$R$296,14),'Curve Paste'!BT51)</f>
        <v>2.5077612490369803</v>
      </c>
      <c r="E51" s="416">
        <v>0.16750000000000001</v>
      </c>
      <c r="F51" s="416">
        <v>0.17499999999999999</v>
      </c>
      <c r="G51" s="416">
        <v>0.1825</v>
      </c>
      <c r="H51" s="416">
        <f t="shared" si="0"/>
        <v>-7.0000000000000007E-2</v>
      </c>
      <c r="I51" s="416"/>
      <c r="J51" s="416">
        <f t="shared" si="1"/>
        <v>7.0000000000000007E-2</v>
      </c>
      <c r="K51" s="432">
        <f t="shared" si="3"/>
        <v>0</v>
      </c>
      <c r="L51" s="1618">
        <f>IF(Assumptions!$L$30=4,0,O51+P51)</f>
        <v>0</v>
      </c>
      <c r="M51" s="445">
        <f t="shared" si="2"/>
        <v>2.5382198876892512</v>
      </c>
      <c r="N51" s="449">
        <f>IF(Assumptions!$L$30=4,F51,CHOOSE(Assumptions!$L$30,E51,F51,G51))</f>
        <v>0.17499999999999999</v>
      </c>
      <c r="O51">
        <v>8.7499999999999994E-2</v>
      </c>
      <c r="P51" s="1720">
        <f>Assumptions!$L$32*(1+Assumptions!$C$26)^(YEAR(A51)-2000)</f>
        <v>8.8759437119999993E-2</v>
      </c>
    </row>
    <row r="52" spans="1:16">
      <c r="A52" s="325">
        <f>'Curve Paste'!BQ52</f>
        <v>38047</v>
      </c>
      <c r="B52" s="415">
        <f>IF(Assumptions!$L$30=4,VLOOKUP($A52,'Henwood Reference'!$E$9:$R$296,14),'Curve Paste'!BR52)</f>
        <v>2.3695361460652422</v>
      </c>
      <c r="C52" s="415">
        <f>IF(Assumptions!$L$30=4,VLOOKUP($A52,'Henwood Reference'!$E$9:$R$296,14),'Curve Paste'!BS52)</f>
        <v>2.3695361460652422</v>
      </c>
      <c r="D52" s="415">
        <f>IF(Assumptions!$L$30=4,VLOOKUP($A52,'Henwood Reference'!$E$9:$R$296,14),'Curve Paste'!BT52)</f>
        <v>2.3695361460652422</v>
      </c>
      <c r="E52" s="416">
        <v>0.16750000000000001</v>
      </c>
      <c r="F52" s="416">
        <v>0.17499999999999999</v>
      </c>
      <c r="G52" s="416">
        <v>0.1825</v>
      </c>
      <c r="H52" s="416">
        <f t="shared" si="0"/>
        <v>-7.0000000000000007E-2</v>
      </c>
      <c r="I52" s="416"/>
      <c r="J52" s="416">
        <f t="shared" si="1"/>
        <v>7.0000000000000007E-2</v>
      </c>
      <c r="K52" s="432">
        <f t="shared" si="3"/>
        <v>0</v>
      </c>
      <c r="L52" s="1618">
        <f>IF(Assumptions!$L$30=4,0,O52+P52)</f>
        <v>0</v>
      </c>
      <c r="M52" s="445">
        <f t="shared" si="2"/>
        <v>2.3983159373129981</v>
      </c>
      <c r="N52" s="449">
        <f>IF(Assumptions!$L$30=4,F52,CHOOSE(Assumptions!$L$30,E52,F52,G52))</f>
        <v>0.17499999999999999</v>
      </c>
      <c r="O52">
        <v>0.105</v>
      </c>
      <c r="P52" s="1720">
        <f>Assumptions!$L$32*(1+Assumptions!$C$26)^(YEAR(A52)-2000)</f>
        <v>8.8759437119999993E-2</v>
      </c>
    </row>
    <row r="53" spans="1:16">
      <c r="A53" s="325">
        <f>'Curve Paste'!BQ53</f>
        <v>38078</v>
      </c>
      <c r="B53" s="415">
        <f>IF(Assumptions!$L$30=4,VLOOKUP($A53,'Henwood Reference'!$E$9:$R$296,14),'Curve Paste'!BR53)</f>
        <v>2.294588576161241</v>
      </c>
      <c r="C53" s="415">
        <f>IF(Assumptions!$L$30=4,VLOOKUP($A53,'Henwood Reference'!$E$9:$R$296,14),'Curve Paste'!BS53)</f>
        <v>2.294588576161241</v>
      </c>
      <c r="D53" s="415">
        <f>IF(Assumptions!$L$30=4,VLOOKUP($A53,'Henwood Reference'!$E$9:$R$296,14),'Curve Paste'!BT53)</f>
        <v>2.294588576161241</v>
      </c>
      <c r="E53" s="416">
        <v>0.16750000000000001</v>
      </c>
      <c r="F53" s="416">
        <v>0.17499999999999999</v>
      </c>
      <c r="G53" s="416">
        <v>0.1825</v>
      </c>
      <c r="H53" s="416">
        <f t="shared" si="0"/>
        <v>-7.0000000000000007E-2</v>
      </c>
      <c r="I53" s="416"/>
      <c r="J53" s="416">
        <f t="shared" si="1"/>
        <v>7.0000000000000007E-2</v>
      </c>
      <c r="K53" s="432">
        <f t="shared" si="3"/>
        <v>0</v>
      </c>
      <c r="L53" s="1618">
        <f>IF(Assumptions!$L$30=4,0,O53+P53)</f>
        <v>0</v>
      </c>
      <c r="M53" s="445">
        <f t="shared" si="2"/>
        <v>2.3224580730376934</v>
      </c>
      <c r="N53" s="449">
        <f>IF(Assumptions!$L$30=4,F53,CHOOSE(Assumptions!$L$30,E53,F53,G53))</f>
        <v>0.17499999999999999</v>
      </c>
      <c r="O53">
        <v>9.0000000000000066E-2</v>
      </c>
      <c r="P53" s="1720">
        <f>Assumptions!$L$32*(1+Assumptions!$C$26)^(YEAR(A53)-2000)</f>
        <v>8.8759437119999993E-2</v>
      </c>
    </row>
    <row r="54" spans="1:16">
      <c r="A54" s="325">
        <f>'Curve Paste'!BQ54</f>
        <v>38108</v>
      </c>
      <c r="B54" s="415">
        <f>IF(Assumptions!$L$30=4,VLOOKUP($A54,'Henwood Reference'!$E$9:$R$296,14),'Curve Paste'!BR54)</f>
        <v>2.2735825098559674</v>
      </c>
      <c r="C54" s="415">
        <f>IF(Assumptions!$L$30=4,VLOOKUP($A54,'Henwood Reference'!$E$9:$R$296,14),'Curve Paste'!BS54)</f>
        <v>2.2735825098559674</v>
      </c>
      <c r="D54" s="415">
        <f>IF(Assumptions!$L$30=4,VLOOKUP($A54,'Henwood Reference'!$E$9:$R$296,14),'Curve Paste'!BT54)</f>
        <v>2.2735825098559674</v>
      </c>
      <c r="E54" s="416">
        <v>0.16750000000000001</v>
      </c>
      <c r="F54" s="416">
        <v>0.17499999999999999</v>
      </c>
      <c r="G54" s="416">
        <v>0.1825</v>
      </c>
      <c r="H54" s="416">
        <f t="shared" si="0"/>
        <v>-7.0000000000000007E-2</v>
      </c>
      <c r="I54" s="416"/>
      <c r="J54" s="416">
        <f t="shared" si="1"/>
        <v>7.0000000000000007E-2</v>
      </c>
      <c r="K54" s="432">
        <f t="shared" si="3"/>
        <v>0</v>
      </c>
      <c r="L54" s="1618">
        <f>IF(Assumptions!$L$30=4,0,O54+P54)</f>
        <v>0</v>
      </c>
      <c r="M54" s="445">
        <f t="shared" si="2"/>
        <v>2.3011968723238536</v>
      </c>
      <c r="N54" s="449">
        <f>IF(Assumptions!$L$30=4,F54,CHOOSE(Assumptions!$L$30,E54,F54,G54))</f>
        <v>0.17499999999999999</v>
      </c>
      <c r="O54">
        <v>0.105</v>
      </c>
      <c r="P54" s="1720">
        <f>Assumptions!$L$32*(1+Assumptions!$C$26)^(YEAR(A54)-2000)</f>
        <v>8.8759437119999993E-2</v>
      </c>
    </row>
    <row r="55" spans="1:16">
      <c r="A55" s="325">
        <f>'Curve Paste'!BQ55</f>
        <v>38139</v>
      </c>
      <c r="B55" s="415">
        <f>IF(Assumptions!$L$30=4,VLOOKUP($A55,'Henwood Reference'!$E$9:$R$296,14),'Curve Paste'!BR55)</f>
        <v>2.2971819176804114</v>
      </c>
      <c r="C55" s="415">
        <f>IF(Assumptions!$L$30=4,VLOOKUP($A55,'Henwood Reference'!$E$9:$R$296,14),'Curve Paste'!BS55)</f>
        <v>2.2971819176804114</v>
      </c>
      <c r="D55" s="415">
        <f>IF(Assumptions!$L$30=4,VLOOKUP($A55,'Henwood Reference'!$E$9:$R$296,14),'Curve Paste'!BT55)</f>
        <v>2.2971819176804114</v>
      </c>
      <c r="E55" s="416">
        <v>0.16750000000000001</v>
      </c>
      <c r="F55" s="416">
        <v>0.17499999999999999</v>
      </c>
      <c r="G55" s="416">
        <v>0.1825</v>
      </c>
      <c r="H55" s="416">
        <f t="shared" si="0"/>
        <v>-7.0000000000000007E-2</v>
      </c>
      <c r="I55" s="416"/>
      <c r="J55" s="416">
        <f t="shared" si="1"/>
        <v>7.0000000000000007E-2</v>
      </c>
      <c r="K55" s="432">
        <f t="shared" si="3"/>
        <v>0</v>
      </c>
      <c r="L55" s="1618">
        <f>IF(Assumptions!$L$30=4,0,O55+P55)</f>
        <v>0</v>
      </c>
      <c r="M55" s="445">
        <f t="shared" si="2"/>
        <v>2.3250829126319954</v>
      </c>
      <c r="N55" s="449">
        <f>IF(Assumptions!$L$30=4,F55,CHOOSE(Assumptions!$L$30,E55,F55,G55))</f>
        <v>0.17499999999999999</v>
      </c>
      <c r="O55">
        <v>0.13500000000000001</v>
      </c>
      <c r="P55" s="1720">
        <f>Assumptions!$L$32*(1+Assumptions!$C$26)^(YEAR(A55)-2000)</f>
        <v>8.8759437119999993E-2</v>
      </c>
    </row>
    <row r="56" spans="1:16">
      <c r="A56" s="325">
        <f>'Curve Paste'!BQ56</f>
        <v>38169</v>
      </c>
      <c r="B56" s="415">
        <f>IF(Assumptions!$L$30=4,VLOOKUP($A56,'Henwood Reference'!$E$9:$R$296,14),'Curve Paste'!BR56)</f>
        <v>2.3560507701655604</v>
      </c>
      <c r="C56" s="415">
        <f>IF(Assumptions!$L$30=4,VLOOKUP($A56,'Henwood Reference'!$E$9:$R$296,14),'Curve Paste'!BS56)</f>
        <v>2.3560507701655604</v>
      </c>
      <c r="D56" s="415">
        <f>IF(Assumptions!$L$30=4,VLOOKUP($A56,'Henwood Reference'!$E$9:$R$296,14),'Curve Paste'!BT56)</f>
        <v>2.3560507701655604</v>
      </c>
      <c r="E56" s="416">
        <v>0.16750000000000001</v>
      </c>
      <c r="F56" s="416">
        <v>0.17499999999999999</v>
      </c>
      <c r="G56" s="416">
        <v>0.1825</v>
      </c>
      <c r="H56" s="416">
        <f t="shared" si="0"/>
        <v>-7.0000000000000007E-2</v>
      </c>
      <c r="I56" s="416"/>
      <c r="J56" s="416">
        <f t="shared" si="1"/>
        <v>7.0000000000000007E-2</v>
      </c>
      <c r="K56" s="432">
        <f t="shared" si="3"/>
        <v>0</v>
      </c>
      <c r="L56" s="1618">
        <f>IF(Assumptions!$L$30=4,0,O56+P56)</f>
        <v>0</v>
      </c>
      <c r="M56" s="445">
        <f t="shared" si="2"/>
        <v>2.3846667714226322</v>
      </c>
      <c r="N56" s="449">
        <f>IF(Assumptions!$L$30=4,F56,CHOOSE(Assumptions!$L$30,E56,F56,G56))</f>
        <v>0.17499999999999999</v>
      </c>
      <c r="O56">
        <v>0.23499999999999999</v>
      </c>
      <c r="P56" s="1720">
        <f>Assumptions!$L$32*(1+Assumptions!$C$26)^(YEAR(A56)-2000)</f>
        <v>8.8759437119999993E-2</v>
      </c>
    </row>
    <row r="57" spans="1:16">
      <c r="A57" s="325">
        <f>'Curve Paste'!BQ57</f>
        <v>38200</v>
      </c>
      <c r="B57" s="415">
        <f>IF(Assumptions!$L$30=4,VLOOKUP($A57,'Henwood Reference'!$E$9:$R$296,14),'Curve Paste'!BR57)</f>
        <v>2.4408530378424058</v>
      </c>
      <c r="C57" s="415">
        <f>IF(Assumptions!$L$30=4,VLOOKUP($A57,'Henwood Reference'!$E$9:$R$296,14),'Curve Paste'!BS57)</f>
        <v>2.4408530378424058</v>
      </c>
      <c r="D57" s="415">
        <f>IF(Assumptions!$L$30=4,VLOOKUP($A57,'Henwood Reference'!$E$9:$R$296,14),'Curve Paste'!BT57)</f>
        <v>2.4408530378424058</v>
      </c>
      <c r="E57" s="416">
        <v>0.16750000000000001</v>
      </c>
      <c r="F57" s="416">
        <v>0.17499999999999999</v>
      </c>
      <c r="G57" s="416">
        <v>0.1825</v>
      </c>
      <c r="H57" s="416">
        <f t="shared" si="0"/>
        <v>-7.0000000000000007E-2</v>
      </c>
      <c r="I57" s="416"/>
      <c r="J57" s="416">
        <f t="shared" si="1"/>
        <v>7.0000000000000007E-2</v>
      </c>
      <c r="K57" s="432">
        <f t="shared" si="3"/>
        <v>0</v>
      </c>
      <c r="L57" s="1618">
        <f>IF(Assumptions!$L$30=4,0,O57+P57)</f>
        <v>0</v>
      </c>
      <c r="M57" s="445">
        <f t="shared" si="2"/>
        <v>2.4704990261562814</v>
      </c>
      <c r="N57" s="449">
        <f>IF(Assumptions!$L$30=4,F57,CHOOSE(Assumptions!$L$30,E57,F57,G57))</f>
        <v>0.17499999999999999</v>
      </c>
      <c r="O57">
        <v>0.23499999999999999</v>
      </c>
      <c r="P57" s="1720">
        <f>Assumptions!$L$32*(1+Assumptions!$C$26)^(YEAR(A57)-2000)</f>
        <v>8.8759437119999993E-2</v>
      </c>
    </row>
    <row r="58" spans="1:16">
      <c r="A58" s="325">
        <f>'Curve Paste'!BQ58</f>
        <v>38231</v>
      </c>
      <c r="B58" s="415">
        <f>IF(Assumptions!$L$30=4,VLOOKUP($A58,'Henwood Reference'!$E$9:$R$296,14),'Curve Paste'!BR58)</f>
        <v>2.5422526912419361</v>
      </c>
      <c r="C58" s="415">
        <f>IF(Assumptions!$L$30=4,VLOOKUP($A58,'Henwood Reference'!$E$9:$R$296,14),'Curve Paste'!BS58)</f>
        <v>2.5422526912419361</v>
      </c>
      <c r="D58" s="415">
        <f>IF(Assumptions!$L$30=4,VLOOKUP($A58,'Henwood Reference'!$E$9:$R$296,14),'Curve Paste'!BT58)</f>
        <v>2.5422526912419361</v>
      </c>
      <c r="E58" s="416">
        <v>0.16750000000000001</v>
      </c>
      <c r="F58" s="416">
        <v>0.17499999999999999</v>
      </c>
      <c r="G58" s="416">
        <v>0.1825</v>
      </c>
      <c r="H58" s="416">
        <f t="shared" si="0"/>
        <v>-7.0000000000000007E-2</v>
      </c>
      <c r="I58" s="416"/>
      <c r="J58" s="416">
        <f t="shared" si="1"/>
        <v>7.0000000000000007E-2</v>
      </c>
      <c r="K58" s="432">
        <f t="shared" si="3"/>
        <v>0</v>
      </c>
      <c r="L58" s="1618">
        <f>IF(Assumptions!$L$30=4,0,O58+P58)</f>
        <v>0</v>
      </c>
      <c r="M58" s="445">
        <f t="shared" si="2"/>
        <v>2.5731302542934578</v>
      </c>
      <c r="N58" s="449">
        <f>IF(Assumptions!$L$30=4,F58,CHOOSE(Assumptions!$L$30,E58,F58,G58))</f>
        <v>0.17499999999999999</v>
      </c>
      <c r="O58">
        <v>0.23499999999999999</v>
      </c>
      <c r="P58" s="1720">
        <f>Assumptions!$L$32*(1+Assumptions!$C$26)^(YEAR(A58)-2000)</f>
        <v>8.8759437119999993E-2</v>
      </c>
    </row>
    <row r="59" spans="1:16">
      <c r="A59" s="325">
        <f>'Curve Paste'!BQ59</f>
        <v>38261</v>
      </c>
      <c r="B59" s="415">
        <f>IF(Assumptions!$L$30=4,VLOOKUP($A59,'Henwood Reference'!$E$9:$R$296,14),'Curve Paste'!BR59)</f>
        <v>2.650913700895142</v>
      </c>
      <c r="C59" s="415">
        <f>IF(Assumptions!$L$30=4,VLOOKUP($A59,'Henwood Reference'!$E$9:$R$296,14),'Curve Paste'!BS59)</f>
        <v>2.650913700895142</v>
      </c>
      <c r="D59" s="415">
        <f>IF(Assumptions!$L$30=4,VLOOKUP($A59,'Henwood Reference'!$E$9:$R$296,14),'Curve Paste'!BT59)</f>
        <v>2.650913700895142</v>
      </c>
      <c r="E59" s="416">
        <v>0.16750000000000001</v>
      </c>
      <c r="F59" s="416">
        <v>0.17499999999999999</v>
      </c>
      <c r="G59" s="416">
        <v>0.1825</v>
      </c>
      <c r="H59" s="416">
        <f t="shared" si="0"/>
        <v>-7.0000000000000007E-2</v>
      </c>
      <c r="I59" s="416"/>
      <c r="J59" s="416">
        <f t="shared" si="1"/>
        <v>7.0000000000000007E-2</v>
      </c>
      <c r="K59" s="432">
        <f t="shared" si="3"/>
        <v>0</v>
      </c>
      <c r="L59" s="1618">
        <f>IF(Assumptions!$L$30=4,0,O59+P59)</f>
        <v>0</v>
      </c>
      <c r="M59" s="445">
        <f t="shared" si="2"/>
        <v>2.6831110332946784</v>
      </c>
      <c r="N59" s="449">
        <f>IF(Assumptions!$L$30=4,F59,CHOOSE(Assumptions!$L$30,E59,F59,G59))</f>
        <v>0.17499999999999999</v>
      </c>
      <c r="O59">
        <v>0.155</v>
      </c>
      <c r="P59" s="1720">
        <f>Assumptions!$L$32*(1+Assumptions!$C$26)^(YEAR(A59)-2000)</f>
        <v>8.8759437119999993E-2</v>
      </c>
    </row>
    <row r="60" spans="1:16">
      <c r="A60" s="325">
        <f>'Curve Paste'!BQ60</f>
        <v>38292</v>
      </c>
      <c r="B60" s="415">
        <f>IF(Assumptions!$L$30=4,VLOOKUP($A60,'Henwood Reference'!$E$9:$R$296,14),'Curve Paste'!BR60)</f>
        <v>2.7575000373330103</v>
      </c>
      <c r="C60" s="415">
        <f>IF(Assumptions!$L$30=4,VLOOKUP($A60,'Henwood Reference'!$E$9:$R$296,14),'Curve Paste'!BS60)</f>
        <v>2.7575000373330103</v>
      </c>
      <c r="D60" s="415">
        <f>IF(Assumptions!$L$30=4,VLOOKUP($A60,'Henwood Reference'!$E$9:$R$296,14),'Curve Paste'!BT60)</f>
        <v>2.7575000373330103</v>
      </c>
      <c r="E60" s="416">
        <v>0.16750000000000001</v>
      </c>
      <c r="F60" s="416">
        <v>0.17499999999999999</v>
      </c>
      <c r="G60" s="416">
        <v>0.1825</v>
      </c>
      <c r="H60" s="416">
        <f t="shared" si="0"/>
        <v>-7.0000000000000007E-2</v>
      </c>
      <c r="I60" s="416"/>
      <c r="J60" s="416">
        <f t="shared" si="1"/>
        <v>7.0000000000000007E-2</v>
      </c>
      <c r="K60" s="432">
        <f t="shared" si="3"/>
        <v>0</v>
      </c>
      <c r="L60" s="1618">
        <f>IF(Assumptions!$L$30=4,0,O60+P60)</f>
        <v>0</v>
      </c>
      <c r="M60" s="445">
        <f t="shared" si="2"/>
        <v>2.7909919406204557</v>
      </c>
      <c r="N60" s="449">
        <f>IF(Assumptions!$L$30=4,F60,CHOOSE(Assumptions!$L$30,E60,F60,G60))</f>
        <v>0.17499999999999999</v>
      </c>
      <c r="O60">
        <v>0.12</v>
      </c>
      <c r="P60" s="1720">
        <f>Assumptions!$L$32*(1+Assumptions!$C$26)^(YEAR(A60)-2000)</f>
        <v>8.8759437119999993E-2</v>
      </c>
    </row>
    <row r="61" spans="1:16">
      <c r="A61" s="325">
        <f>'Curve Paste'!BQ61</f>
        <v>38322</v>
      </c>
      <c r="B61" s="415">
        <f>IF(Assumptions!$L$30=4,VLOOKUP($A61,'Henwood Reference'!$E$9:$R$296,14),'Curve Paste'!BR61)</f>
        <v>2.8701185368146929</v>
      </c>
      <c r="C61" s="415">
        <f>IF(Assumptions!$L$30=4,VLOOKUP($A61,'Henwood Reference'!$E$9:$R$296,14),'Curve Paste'!BS61)</f>
        <v>2.8701185368146929</v>
      </c>
      <c r="D61" s="415">
        <f>IF(Assumptions!$L$30=4,VLOOKUP($A61,'Henwood Reference'!$E$9:$R$296,14),'Curve Paste'!BT61)</f>
        <v>2.8701185368146929</v>
      </c>
      <c r="E61" s="416">
        <v>0.16750000000000001</v>
      </c>
      <c r="F61" s="416">
        <v>0.17499999999999999</v>
      </c>
      <c r="G61" s="416">
        <v>0.1825</v>
      </c>
      <c r="H61" s="416">
        <f t="shared" si="0"/>
        <v>-7.0000000000000007E-2</v>
      </c>
      <c r="I61" s="416"/>
      <c r="J61" s="416">
        <f t="shared" si="1"/>
        <v>7.0000000000000007E-2</v>
      </c>
      <c r="K61" s="432">
        <f t="shared" si="3"/>
        <v>0</v>
      </c>
      <c r="L61" s="1618">
        <f>IF(Assumptions!$L$30=4,0,O61+P61)</f>
        <v>0</v>
      </c>
      <c r="M61" s="445">
        <f t="shared" si="2"/>
        <v>2.9049782761282317</v>
      </c>
      <c r="N61" s="449">
        <f>IF(Assumptions!$L$30=4,F61,CHOOSE(Assumptions!$L$30,E61,F61,G61))</f>
        <v>0.17499999999999999</v>
      </c>
      <c r="O61">
        <v>0.12</v>
      </c>
      <c r="P61" s="1720">
        <f>Assumptions!$L$32*(1+Assumptions!$C$26)^(YEAR(A61)-2000)</f>
        <v>8.8759437119999993E-2</v>
      </c>
    </row>
    <row r="62" spans="1:16">
      <c r="A62" s="325">
        <f>'Curve Paste'!BQ62</f>
        <v>38353</v>
      </c>
      <c r="B62" s="415">
        <f>IF(Assumptions!$L$30=4,VLOOKUP($A62,'Henwood Reference'!$E$9:$R$296,14),'Curve Paste'!BR62)</f>
        <v>2.7885199293205392</v>
      </c>
      <c r="C62" s="415">
        <f>IF(Assumptions!$L$30=4,VLOOKUP($A62,'Henwood Reference'!$E$9:$R$296,14),'Curve Paste'!BS62)</f>
        <v>2.7885199293205392</v>
      </c>
      <c r="D62" s="415">
        <f>IF(Assumptions!$L$30=4,VLOOKUP($A62,'Henwood Reference'!$E$9:$R$296,14),'Curve Paste'!BT62)</f>
        <v>2.7885199293205392</v>
      </c>
      <c r="E62" s="416">
        <v>0.16750000000000001</v>
      </c>
      <c r="F62" s="416">
        <v>0.17499999999999999</v>
      </c>
      <c r="G62" s="416">
        <v>0.1825</v>
      </c>
      <c r="H62" s="416">
        <f t="shared" si="0"/>
        <v>-7.0000000000000007E-2</v>
      </c>
      <c r="I62" s="416"/>
      <c r="J62" s="416">
        <f t="shared" si="1"/>
        <v>7.0000000000000007E-2</v>
      </c>
      <c r="K62" s="432">
        <f t="shared" si="3"/>
        <v>0</v>
      </c>
      <c r="L62" s="1618">
        <f>IF(Assumptions!$L$30=4,0,O62+P62)</f>
        <v>0</v>
      </c>
      <c r="M62" s="445">
        <f t="shared" si="2"/>
        <v>2.8223885924296956</v>
      </c>
      <c r="N62" s="449">
        <f>IF(Assumptions!$L$30=4,F62,CHOOSE(Assumptions!$L$30,E62,F62,G62))</f>
        <v>0.17499999999999999</v>
      </c>
      <c r="O62">
        <v>0.105</v>
      </c>
      <c r="P62" s="1720">
        <f>Assumptions!$L$32*(1+Assumptions!$C$26)^(YEAR(A62)-2000)</f>
        <v>9.0534625862399992E-2</v>
      </c>
    </row>
    <row r="63" spans="1:16">
      <c r="A63" s="325">
        <f>'Curve Paste'!BQ63</f>
        <v>38384</v>
      </c>
      <c r="B63" s="415">
        <f>IF(Assumptions!$L$30=4,VLOOKUP($A63,'Henwood Reference'!$E$9:$R$296,14),'Curve Paste'!BR63)</f>
        <v>2.5711999725872512</v>
      </c>
      <c r="C63" s="415">
        <f>IF(Assumptions!$L$30=4,VLOOKUP($A63,'Henwood Reference'!$E$9:$R$296,14),'Curve Paste'!BS63)</f>
        <v>2.5711999725872512</v>
      </c>
      <c r="D63" s="415">
        <f>IF(Assumptions!$L$30=4,VLOOKUP($A63,'Henwood Reference'!$E$9:$R$296,14),'Curve Paste'!BT63)</f>
        <v>2.5711999725872512</v>
      </c>
      <c r="E63" s="416">
        <v>0.1575</v>
      </c>
      <c r="F63" s="416">
        <v>0.16500000000000001</v>
      </c>
      <c r="G63" s="416">
        <v>0.17249999999999999</v>
      </c>
      <c r="H63" s="416">
        <f t="shared" si="0"/>
        <v>-7.0000000000000007E-2</v>
      </c>
      <c r="I63" s="416"/>
      <c r="J63" s="416">
        <f t="shared" si="1"/>
        <v>7.0000000000000007E-2</v>
      </c>
      <c r="K63" s="432">
        <f t="shared" si="3"/>
        <v>0</v>
      </c>
      <c r="L63" s="1618">
        <f>IF(Assumptions!$L$30=4,0,O63+P63)</f>
        <v>0</v>
      </c>
      <c r="M63" s="445">
        <f t="shared" si="2"/>
        <v>2.6024291220518738</v>
      </c>
      <c r="N63" s="449">
        <f>IF(Assumptions!$L$30=4,F63,CHOOSE(Assumptions!$L$30,E63,F63,G63))</f>
        <v>0.16500000000000001</v>
      </c>
      <c r="O63">
        <v>0.105</v>
      </c>
      <c r="P63" s="1720">
        <f>Assumptions!$L$32*(1+Assumptions!$C$26)^(YEAR(A63)-2000)</f>
        <v>9.0534625862399992E-2</v>
      </c>
    </row>
    <row r="64" spans="1:16">
      <c r="A64" s="325">
        <f>'Curve Paste'!BQ64</f>
        <v>38412</v>
      </c>
      <c r="B64" s="415">
        <f>IF(Assumptions!$L$30=4,VLOOKUP($A64,'Henwood Reference'!$E$9:$R$296,14),'Curve Paste'!BR64)</f>
        <v>2.4294781954012117</v>
      </c>
      <c r="C64" s="415">
        <f>IF(Assumptions!$L$30=4,VLOOKUP($A64,'Henwood Reference'!$E$9:$R$296,14),'Curve Paste'!BS64)</f>
        <v>2.4294781954012117</v>
      </c>
      <c r="D64" s="415">
        <f>IF(Assumptions!$L$30=4,VLOOKUP($A64,'Henwood Reference'!$E$9:$R$296,14),'Curve Paste'!BT64)</f>
        <v>2.4294781954012117</v>
      </c>
      <c r="E64" s="416">
        <v>0.1575</v>
      </c>
      <c r="F64" s="416">
        <v>0.16500000000000001</v>
      </c>
      <c r="G64" s="416">
        <v>0.17249999999999999</v>
      </c>
      <c r="H64" s="416">
        <f t="shared" si="0"/>
        <v>-7.0000000000000007E-2</v>
      </c>
      <c r="I64" s="416"/>
      <c r="J64" s="416">
        <f t="shared" si="1"/>
        <v>7.0000000000000007E-2</v>
      </c>
      <c r="K64" s="432">
        <f t="shared" si="3"/>
        <v>0</v>
      </c>
      <c r="L64" s="1618">
        <f>IF(Assumptions!$L$30=4,0,O64+P64)</f>
        <v>0</v>
      </c>
      <c r="M64" s="445">
        <f t="shared" si="2"/>
        <v>2.4589860277340199</v>
      </c>
      <c r="N64" s="449">
        <f>IF(Assumptions!$L$30=4,F64,CHOOSE(Assumptions!$L$30,E64,F64,G64))</f>
        <v>0.16500000000000001</v>
      </c>
      <c r="O64">
        <v>0.1225</v>
      </c>
      <c r="P64" s="1720">
        <f>Assumptions!$L$32*(1+Assumptions!$C$26)^(YEAR(A64)-2000)</f>
        <v>9.0534625862399992E-2</v>
      </c>
    </row>
    <row r="65" spans="1:16">
      <c r="A65" s="325">
        <f>'Curve Paste'!BQ65</f>
        <v>38443</v>
      </c>
      <c r="B65" s="415">
        <f>IF(Assumptions!$L$30=4,VLOOKUP($A65,'Henwood Reference'!$E$9:$R$296,14),'Curve Paste'!BR65)</f>
        <v>2.3526346801915201</v>
      </c>
      <c r="C65" s="415">
        <f>IF(Assumptions!$L$30=4,VLOOKUP($A65,'Henwood Reference'!$E$9:$R$296,14),'Curve Paste'!BS65)</f>
        <v>2.3526346801915201</v>
      </c>
      <c r="D65" s="415">
        <f>IF(Assumptions!$L$30=4,VLOOKUP($A65,'Henwood Reference'!$E$9:$R$296,14),'Curve Paste'!BT65)</f>
        <v>2.3526346801915201</v>
      </c>
      <c r="E65" s="416">
        <v>0.1575</v>
      </c>
      <c r="F65" s="416">
        <v>0.16500000000000001</v>
      </c>
      <c r="G65" s="416">
        <v>0.17249999999999999</v>
      </c>
      <c r="H65" s="416">
        <f t="shared" si="0"/>
        <v>-7.0000000000000007E-2</v>
      </c>
      <c r="I65" s="416"/>
      <c r="J65" s="416">
        <f t="shared" si="1"/>
        <v>7.0000000000000007E-2</v>
      </c>
      <c r="K65" s="432">
        <f t="shared" si="3"/>
        <v>0</v>
      </c>
      <c r="L65" s="1618">
        <f>IF(Assumptions!$L$30=4,0,O65+P65)</f>
        <v>0</v>
      </c>
      <c r="M65" s="445">
        <f t="shared" si="2"/>
        <v>2.381209190477247</v>
      </c>
      <c r="N65" s="449">
        <f>IF(Assumptions!$L$30=4,F65,CHOOSE(Assumptions!$L$30,E65,F65,G65))</f>
        <v>0.16500000000000001</v>
      </c>
      <c r="O65">
        <v>0.1075</v>
      </c>
      <c r="P65" s="1720">
        <f>Assumptions!$L$32*(1+Assumptions!$C$26)^(YEAR(A65)-2000)</f>
        <v>9.0534625862399992E-2</v>
      </c>
    </row>
    <row r="66" spans="1:16">
      <c r="A66" s="325">
        <f>'Curve Paste'!BQ66</f>
        <v>38473</v>
      </c>
      <c r="B66" s="415">
        <f>IF(Assumptions!$L$30=4,VLOOKUP($A66,'Henwood Reference'!$E$9:$R$296,14),'Curve Paste'!BR66)</f>
        <v>2.3310972243715029</v>
      </c>
      <c r="C66" s="415">
        <f>IF(Assumptions!$L$30=4,VLOOKUP($A66,'Henwood Reference'!$E$9:$R$296,14),'Curve Paste'!BS66)</f>
        <v>2.3310972243715029</v>
      </c>
      <c r="D66" s="415">
        <f>IF(Assumptions!$L$30=4,VLOOKUP($A66,'Henwood Reference'!$E$9:$R$296,14),'Curve Paste'!BT66)</f>
        <v>2.3310972243715029</v>
      </c>
      <c r="E66" s="416">
        <v>0.1575</v>
      </c>
      <c r="F66" s="416">
        <v>0.16500000000000001</v>
      </c>
      <c r="G66" s="416">
        <v>0.17249999999999999</v>
      </c>
      <c r="H66" s="416">
        <f t="shared" si="0"/>
        <v>-7.0000000000000007E-2</v>
      </c>
      <c r="I66" s="416"/>
      <c r="J66" s="416">
        <f t="shared" si="1"/>
        <v>7.0000000000000007E-2</v>
      </c>
      <c r="K66" s="432">
        <f t="shared" si="3"/>
        <v>0</v>
      </c>
      <c r="L66" s="1618">
        <f>IF(Assumptions!$L$30=4,0,O66+P66)</f>
        <v>0</v>
      </c>
      <c r="M66" s="445">
        <f t="shared" si="2"/>
        <v>2.3594101461250028</v>
      </c>
      <c r="N66" s="449">
        <f>IF(Assumptions!$L$30=4,F66,CHOOSE(Assumptions!$L$30,E66,F66,G66))</f>
        <v>0.16500000000000001</v>
      </c>
      <c r="O66">
        <v>0.1225</v>
      </c>
      <c r="P66" s="1720">
        <f>Assumptions!$L$32*(1+Assumptions!$C$26)^(YEAR(A66)-2000)</f>
        <v>9.0534625862399992E-2</v>
      </c>
    </row>
    <row r="67" spans="1:16">
      <c r="A67" s="325">
        <f>'Curve Paste'!BQ67</f>
        <v>38504</v>
      </c>
      <c r="B67" s="415">
        <f>IF(Assumptions!$L$30=4,VLOOKUP($A67,'Henwood Reference'!$E$9:$R$296,14),'Curve Paste'!BR67)</f>
        <v>2.3552936253544856</v>
      </c>
      <c r="C67" s="415">
        <f>IF(Assumptions!$L$30=4,VLOOKUP($A67,'Henwood Reference'!$E$9:$R$296,14),'Curve Paste'!BS67)</f>
        <v>2.3552936253544856</v>
      </c>
      <c r="D67" s="415">
        <f>IF(Assumptions!$L$30=4,VLOOKUP($A67,'Henwood Reference'!$E$9:$R$296,14),'Curve Paste'!BT67)</f>
        <v>2.3552936253544856</v>
      </c>
      <c r="E67" s="416">
        <v>0.1575</v>
      </c>
      <c r="F67" s="416">
        <v>0.16500000000000001</v>
      </c>
      <c r="G67" s="416">
        <v>0.17249999999999999</v>
      </c>
      <c r="H67" s="416">
        <f t="shared" si="0"/>
        <v>-7.0000000000000007E-2</v>
      </c>
      <c r="I67" s="416"/>
      <c r="J67" s="416">
        <f t="shared" si="1"/>
        <v>7.0000000000000007E-2</v>
      </c>
      <c r="K67" s="432">
        <f t="shared" si="3"/>
        <v>0</v>
      </c>
      <c r="L67" s="1618">
        <f>IF(Assumptions!$L$30=4,0,O67+P67)</f>
        <v>0</v>
      </c>
      <c r="M67" s="445">
        <f t="shared" si="2"/>
        <v>2.3839004305207343</v>
      </c>
      <c r="N67" s="449">
        <f>IF(Assumptions!$L$30=4,F67,CHOOSE(Assumptions!$L$30,E67,F67,G67))</f>
        <v>0.16500000000000001</v>
      </c>
      <c r="O67">
        <v>0.1525</v>
      </c>
      <c r="P67" s="1720">
        <f>Assumptions!$L$32*(1+Assumptions!$C$26)^(YEAR(A67)-2000)</f>
        <v>9.0534625862399992E-2</v>
      </c>
    </row>
    <row r="68" spans="1:16">
      <c r="A68" s="325">
        <f>'Curve Paste'!BQ68</f>
        <v>38534</v>
      </c>
      <c r="B68" s="415">
        <f>IF(Assumptions!$L$30=4,VLOOKUP($A68,'Henwood Reference'!$E$9:$R$296,14),'Curve Paste'!BR68)</f>
        <v>2.4156516805537933</v>
      </c>
      <c r="C68" s="415">
        <f>IF(Assumptions!$L$30=4,VLOOKUP($A68,'Henwood Reference'!$E$9:$R$296,14),'Curve Paste'!BS68)</f>
        <v>2.4156516805537933</v>
      </c>
      <c r="D68" s="415">
        <f>IF(Assumptions!$L$30=4,VLOOKUP($A68,'Henwood Reference'!$E$9:$R$296,14),'Curve Paste'!BT68)</f>
        <v>2.4156516805537933</v>
      </c>
      <c r="E68" s="416">
        <v>0.1575</v>
      </c>
      <c r="F68" s="416">
        <v>0.16500000000000001</v>
      </c>
      <c r="G68" s="416">
        <v>0.17249999999999999</v>
      </c>
      <c r="H68" s="416">
        <f t="shared" si="0"/>
        <v>-7.0000000000000007E-2</v>
      </c>
      <c r="I68" s="416"/>
      <c r="J68" s="416">
        <f t="shared" si="1"/>
        <v>7.0000000000000007E-2</v>
      </c>
      <c r="K68" s="432">
        <f t="shared" si="3"/>
        <v>0</v>
      </c>
      <c r="L68" s="1618">
        <f>IF(Assumptions!$L$30=4,0,O68+P68)</f>
        <v>0</v>
      </c>
      <c r="M68" s="445">
        <f t="shared" si="2"/>
        <v>2.4449915795078878</v>
      </c>
      <c r="N68" s="449">
        <f>IF(Assumptions!$L$30=4,F68,CHOOSE(Assumptions!$L$30,E68,F68,G68))</f>
        <v>0.16500000000000001</v>
      </c>
      <c r="O68">
        <v>0.2525</v>
      </c>
      <c r="P68" s="1720">
        <f>Assumptions!$L$32*(1+Assumptions!$C$26)^(YEAR(A68)-2000)</f>
        <v>9.0534625862399992E-2</v>
      </c>
    </row>
    <row r="69" spans="1:16">
      <c r="A69" s="325">
        <f>'Curve Paste'!BQ69</f>
        <v>38565</v>
      </c>
      <c r="B69" s="415">
        <f>IF(Assumptions!$L$30=4,VLOOKUP($A69,'Henwood Reference'!$E$9:$R$296,14),'Curve Paste'!BR69)</f>
        <v>2.502599187382752</v>
      </c>
      <c r="C69" s="415">
        <f>IF(Assumptions!$L$30=4,VLOOKUP($A69,'Henwood Reference'!$E$9:$R$296,14),'Curve Paste'!BS69)</f>
        <v>2.502599187382752</v>
      </c>
      <c r="D69" s="415">
        <f>IF(Assumptions!$L$30=4,VLOOKUP($A69,'Henwood Reference'!$E$9:$R$296,14),'Curve Paste'!BT69)</f>
        <v>2.502599187382752</v>
      </c>
      <c r="E69" s="416">
        <v>0.1575</v>
      </c>
      <c r="F69" s="416">
        <v>0.16500000000000001</v>
      </c>
      <c r="G69" s="416">
        <v>0.17249999999999999</v>
      </c>
      <c r="H69" s="416">
        <f t="shared" si="0"/>
        <v>-7.0000000000000007E-2</v>
      </c>
      <c r="I69" s="416"/>
      <c r="J69" s="416">
        <f t="shared" si="1"/>
        <v>7.0000000000000007E-2</v>
      </c>
      <c r="K69" s="432">
        <f t="shared" si="3"/>
        <v>0</v>
      </c>
      <c r="L69" s="1618">
        <f>IF(Assumptions!$L$30=4,0,O69+P69)</f>
        <v>0</v>
      </c>
      <c r="M69" s="445">
        <f t="shared" si="2"/>
        <v>2.5329951289299109</v>
      </c>
      <c r="N69" s="449">
        <f>IF(Assumptions!$L$30=4,F69,CHOOSE(Assumptions!$L$30,E69,F69,G69))</f>
        <v>0.16500000000000001</v>
      </c>
      <c r="O69">
        <v>0.2525</v>
      </c>
      <c r="P69" s="1720">
        <f>Assumptions!$L$32*(1+Assumptions!$C$26)^(YEAR(A69)-2000)</f>
        <v>9.0534625862399992E-2</v>
      </c>
    </row>
    <row r="70" spans="1:16">
      <c r="A70" s="325">
        <f>'Curve Paste'!BQ70</f>
        <v>38596</v>
      </c>
      <c r="B70" s="415">
        <f>IF(Assumptions!$L$30=4,VLOOKUP($A70,'Henwood Reference'!$E$9:$R$296,14),'Curve Paste'!BR70)</f>
        <v>2.6065639432546877</v>
      </c>
      <c r="C70" s="415">
        <f>IF(Assumptions!$L$30=4,VLOOKUP($A70,'Henwood Reference'!$E$9:$R$296,14),'Curve Paste'!BS70)</f>
        <v>2.6065639432546877</v>
      </c>
      <c r="D70" s="415">
        <f>IF(Assumptions!$L$30=4,VLOOKUP($A70,'Henwood Reference'!$E$9:$R$296,14),'Curve Paste'!BT70)</f>
        <v>2.6065639432546877</v>
      </c>
      <c r="E70" s="416">
        <v>0.1575</v>
      </c>
      <c r="F70" s="416">
        <v>0.16500000000000001</v>
      </c>
      <c r="G70" s="416">
        <v>0.17249999999999999</v>
      </c>
      <c r="H70" s="416">
        <f t="shared" ref="H70:H133" si="4">I70-$H$4</f>
        <v>-7.0000000000000007E-2</v>
      </c>
      <c r="I70" s="416"/>
      <c r="J70" s="416">
        <f t="shared" ref="J70:J133" si="5">I70+$J$4</f>
        <v>7.0000000000000007E-2</v>
      </c>
      <c r="K70" s="432">
        <f t="shared" si="3"/>
        <v>0</v>
      </c>
      <c r="L70" s="1618">
        <f>IF(Assumptions!$L$30=4,0,O70+P70)</f>
        <v>0</v>
      </c>
      <c r="M70" s="445">
        <f t="shared" ref="M70:M133" si="6">(IF(GasPriceCurve,IF(OBuySell=OCallPut,D70,B70),C70)+K70/1000+L70)/(1-GasTransportPercent)</f>
        <v>2.6382226146302505</v>
      </c>
      <c r="N70" s="449">
        <f>IF(Assumptions!$L$30=4,F70,CHOOSE(Assumptions!$L$30,E70,F70,G70))</f>
        <v>0.16500000000000001</v>
      </c>
      <c r="O70">
        <v>0.2525</v>
      </c>
      <c r="P70" s="1720">
        <f>Assumptions!$L$32*(1+Assumptions!$C$26)^(YEAR(A70)-2000)</f>
        <v>9.0534625862399992E-2</v>
      </c>
    </row>
    <row r="71" spans="1:16">
      <c r="A71" s="325">
        <f>'Curve Paste'!BQ71</f>
        <v>38626</v>
      </c>
      <c r="B71" s="415">
        <f>IF(Assumptions!$L$30=4,VLOOKUP($A71,'Henwood Reference'!$E$9:$R$296,14),'Curve Paste'!BR71)</f>
        <v>2.7179737455829254</v>
      </c>
      <c r="C71" s="415">
        <f>IF(Assumptions!$L$30=4,VLOOKUP($A71,'Henwood Reference'!$E$9:$R$296,14),'Curve Paste'!BS71)</f>
        <v>2.7179737455829254</v>
      </c>
      <c r="D71" s="415">
        <f>IF(Assumptions!$L$30=4,VLOOKUP($A71,'Henwood Reference'!$E$9:$R$296,14),'Curve Paste'!BT71)</f>
        <v>2.7179737455829254</v>
      </c>
      <c r="E71" s="416">
        <v>0.1575</v>
      </c>
      <c r="F71" s="416">
        <v>0.16500000000000001</v>
      </c>
      <c r="G71" s="416">
        <v>0.17249999999999999</v>
      </c>
      <c r="H71" s="416">
        <f t="shared" si="4"/>
        <v>-7.0000000000000007E-2</v>
      </c>
      <c r="I71" s="416"/>
      <c r="J71" s="416">
        <f t="shared" si="5"/>
        <v>7.0000000000000007E-2</v>
      </c>
      <c r="K71" s="432">
        <f t="shared" si="3"/>
        <v>0</v>
      </c>
      <c r="L71" s="1618">
        <f>IF(Assumptions!$L$30=4,0,O71+P71)</f>
        <v>0</v>
      </c>
      <c r="M71" s="445">
        <f t="shared" si="6"/>
        <v>2.7509855724523535</v>
      </c>
      <c r="N71" s="449">
        <f>IF(Assumptions!$L$30=4,F71,CHOOSE(Assumptions!$L$30,E71,F71,G71))</f>
        <v>0.16500000000000001</v>
      </c>
      <c r="O71">
        <v>0.17249999999999999</v>
      </c>
      <c r="P71" s="1720">
        <f>Assumptions!$L$32*(1+Assumptions!$C$26)^(YEAR(A71)-2000)</f>
        <v>9.0534625862399992E-2</v>
      </c>
    </row>
    <row r="72" spans="1:16">
      <c r="A72" s="325">
        <f>'Curve Paste'!BQ72</f>
        <v>38657</v>
      </c>
      <c r="B72" s="415">
        <f>IF(Assumptions!$L$30=4,VLOOKUP($A72,'Henwood Reference'!$E$9:$R$296,14),'Curve Paste'!BR72)</f>
        <v>2.8272563917807902</v>
      </c>
      <c r="C72" s="415">
        <f>IF(Assumptions!$L$30=4,VLOOKUP($A72,'Henwood Reference'!$E$9:$R$296,14),'Curve Paste'!BS72)</f>
        <v>2.8272563917807902</v>
      </c>
      <c r="D72" s="415">
        <f>IF(Assumptions!$L$30=4,VLOOKUP($A72,'Henwood Reference'!$E$9:$R$296,14),'Curve Paste'!BT72)</f>
        <v>2.8272563917807902</v>
      </c>
      <c r="E72" s="416">
        <v>0.1575</v>
      </c>
      <c r="F72" s="416">
        <v>0.16500000000000001</v>
      </c>
      <c r="G72" s="416">
        <v>0.17249999999999999</v>
      </c>
      <c r="H72" s="416">
        <f t="shared" si="4"/>
        <v>-7.0000000000000007E-2</v>
      </c>
      <c r="I72" s="416"/>
      <c r="J72" s="416">
        <f t="shared" si="5"/>
        <v>7.0000000000000007E-2</v>
      </c>
      <c r="K72" s="432">
        <f t="shared" si="3"/>
        <v>0</v>
      </c>
      <c r="L72" s="1618">
        <f>IF(Assumptions!$L$30=4,0,O72+P72)</f>
        <v>0</v>
      </c>
      <c r="M72" s="445">
        <f t="shared" si="6"/>
        <v>2.8615955382396661</v>
      </c>
      <c r="N72" s="449">
        <f>IF(Assumptions!$L$30=4,F72,CHOOSE(Assumptions!$L$30,E72,F72,G72))</f>
        <v>0.16500000000000001</v>
      </c>
      <c r="O72">
        <v>0.13750000000000001</v>
      </c>
      <c r="P72" s="1720">
        <f>Assumptions!$L$32*(1+Assumptions!$C$26)^(YEAR(A72)-2000)</f>
        <v>9.0534625862399992E-2</v>
      </c>
    </row>
    <row r="73" spans="1:16">
      <c r="A73" s="325">
        <f>'Curve Paste'!BQ73</f>
        <v>38687</v>
      </c>
      <c r="B73" s="415">
        <f>IF(Assumptions!$L$30=4,VLOOKUP($A73,'Henwood Reference'!$E$9:$R$296,14),'Curve Paste'!BR73)</f>
        <v>2.9427237963797395</v>
      </c>
      <c r="C73" s="415">
        <f>IF(Assumptions!$L$30=4,VLOOKUP($A73,'Henwood Reference'!$E$9:$R$296,14),'Curve Paste'!BS73)</f>
        <v>2.9427237963797395</v>
      </c>
      <c r="D73" s="415">
        <f>IF(Assumptions!$L$30=4,VLOOKUP($A73,'Henwood Reference'!$E$9:$R$296,14),'Curve Paste'!BT73)</f>
        <v>2.9427237963797395</v>
      </c>
      <c r="E73" s="416">
        <v>0.1575</v>
      </c>
      <c r="F73" s="416">
        <v>0.16500000000000001</v>
      </c>
      <c r="G73" s="416">
        <v>0.17249999999999999</v>
      </c>
      <c r="H73" s="416">
        <f t="shared" si="4"/>
        <v>-7.0000000000000007E-2</v>
      </c>
      <c r="I73" s="416"/>
      <c r="J73" s="416">
        <f t="shared" si="5"/>
        <v>7.0000000000000007E-2</v>
      </c>
      <c r="K73" s="432">
        <f t="shared" si="3"/>
        <v>0</v>
      </c>
      <c r="L73" s="1618">
        <f>IF(Assumptions!$L$30=4,0,O73+P73)</f>
        <v>0</v>
      </c>
      <c r="M73" s="445">
        <f t="shared" si="6"/>
        <v>2.9784653809511532</v>
      </c>
      <c r="N73" s="449">
        <f>IF(Assumptions!$L$30=4,F73,CHOOSE(Assumptions!$L$30,E73,F73,G73))</f>
        <v>0.16500000000000001</v>
      </c>
      <c r="O73">
        <v>0.13750000000000001</v>
      </c>
      <c r="P73" s="1720">
        <f>Assumptions!$L$32*(1+Assumptions!$C$26)^(YEAR(A73)-2000)</f>
        <v>9.0534625862399992E-2</v>
      </c>
    </row>
    <row r="74" spans="1:16">
      <c r="A74" s="325">
        <f>'Curve Paste'!BQ74</f>
        <v>38718</v>
      </c>
      <c r="B74" s="415">
        <f>IF(Assumptions!$L$30=4,VLOOKUP($A74,'Henwood Reference'!$E$9:$R$296,14),'Curve Paste'!BR74)</f>
        <v>2.871167136842752</v>
      </c>
      <c r="C74" s="415">
        <f>IF(Assumptions!$L$30=4,VLOOKUP($A74,'Henwood Reference'!$E$9:$R$296,14),'Curve Paste'!BS74)</f>
        <v>2.871167136842752</v>
      </c>
      <c r="D74" s="415">
        <f>IF(Assumptions!$L$30=4,VLOOKUP($A74,'Henwood Reference'!$E$9:$R$296,14),'Curve Paste'!BT74)</f>
        <v>2.871167136842752</v>
      </c>
      <c r="E74" s="416">
        <v>0.1575</v>
      </c>
      <c r="F74" s="416">
        <v>0.16500000000000001</v>
      </c>
      <c r="G74" s="416">
        <v>0.17249999999999999</v>
      </c>
      <c r="H74" s="416">
        <f t="shared" si="4"/>
        <v>-7.0000000000000007E-2</v>
      </c>
      <c r="I74" s="416"/>
      <c r="J74" s="416">
        <f t="shared" si="5"/>
        <v>7.0000000000000007E-2</v>
      </c>
      <c r="K74" s="432">
        <f t="shared" si="3"/>
        <v>0</v>
      </c>
      <c r="L74" s="1618">
        <f>IF(Assumptions!$L$30=4,0,O74+P74)</f>
        <v>0</v>
      </c>
      <c r="M74" s="445">
        <f t="shared" si="6"/>
        <v>2.9060396121890202</v>
      </c>
      <c r="N74" s="449">
        <f>IF(Assumptions!$L$30=4,F74,CHOOSE(Assumptions!$L$30,E74,F74,G74))</f>
        <v>0.16500000000000001</v>
      </c>
      <c r="O74">
        <v>0.11749999999999999</v>
      </c>
      <c r="P74" s="1720">
        <f>Assumptions!$L$32*(1+Assumptions!$C$26)^(YEAR(A74)-2000)</f>
        <v>9.2345318379647989E-2</v>
      </c>
    </row>
    <row r="75" spans="1:16">
      <c r="A75" s="325">
        <f>'Curve Paste'!BQ75</f>
        <v>38749</v>
      </c>
      <c r="B75" s="415">
        <f>IF(Assumptions!$L$30=4,VLOOKUP($A75,'Henwood Reference'!$E$9:$R$296,14),'Curve Paste'!BR75)</f>
        <v>2.6474061691007211</v>
      </c>
      <c r="C75" s="415">
        <f>IF(Assumptions!$L$30=4,VLOOKUP($A75,'Henwood Reference'!$E$9:$R$296,14),'Curve Paste'!BS75)</f>
        <v>2.6474061691007211</v>
      </c>
      <c r="D75" s="415">
        <f>IF(Assumptions!$L$30=4,VLOOKUP($A75,'Henwood Reference'!$E$9:$R$296,14),'Curve Paste'!BT75)</f>
        <v>2.6474061691007211</v>
      </c>
      <c r="E75" s="416">
        <v>0.1525</v>
      </c>
      <c r="F75" s="416">
        <v>0.16</v>
      </c>
      <c r="G75" s="416">
        <v>0.16750000000000001</v>
      </c>
      <c r="H75" s="416">
        <f t="shared" si="4"/>
        <v>-7.0000000000000007E-2</v>
      </c>
      <c r="I75" s="416"/>
      <c r="J75" s="416">
        <f t="shared" si="5"/>
        <v>7.0000000000000007E-2</v>
      </c>
      <c r="K75" s="432">
        <f t="shared" si="3"/>
        <v>0</v>
      </c>
      <c r="L75" s="1618">
        <f>IF(Assumptions!$L$30=4,0,O75+P75)</f>
        <v>0</v>
      </c>
      <c r="M75" s="445">
        <f t="shared" si="6"/>
        <v>2.6795608998995153</v>
      </c>
      <c r="N75" s="449">
        <f>IF(Assumptions!$L$30=4,F75,CHOOSE(Assumptions!$L$30,E75,F75,G75))</f>
        <v>0.16</v>
      </c>
      <c r="O75">
        <v>0.11749999999999999</v>
      </c>
      <c r="P75" s="1720">
        <f>Assumptions!$L$32*(1+Assumptions!$C$26)^(YEAR(A75)-2000)</f>
        <v>9.2345318379647989E-2</v>
      </c>
    </row>
    <row r="76" spans="1:16">
      <c r="A76" s="325">
        <f>'Curve Paste'!BQ76</f>
        <v>38777</v>
      </c>
      <c r="B76" s="415">
        <f>IF(Assumptions!$L$30=4,VLOOKUP($A76,'Henwood Reference'!$E$9:$R$296,14),'Curve Paste'!BR76)</f>
        <v>2.5014839883219535</v>
      </c>
      <c r="C76" s="415">
        <f>IF(Assumptions!$L$30=4,VLOOKUP($A76,'Henwood Reference'!$E$9:$R$296,14),'Curve Paste'!BS76)</f>
        <v>2.5014839883219535</v>
      </c>
      <c r="D76" s="415">
        <f>IF(Assumptions!$L$30=4,VLOOKUP($A76,'Henwood Reference'!$E$9:$R$296,14),'Curve Paste'!BT76)</f>
        <v>2.5014839883219535</v>
      </c>
      <c r="E76" s="416">
        <v>0.1525</v>
      </c>
      <c r="F76" s="416">
        <v>0.16</v>
      </c>
      <c r="G76" s="416">
        <v>0.16750000000000001</v>
      </c>
      <c r="H76" s="416">
        <f t="shared" si="4"/>
        <v>-7.0000000000000007E-2</v>
      </c>
      <c r="I76" s="416"/>
      <c r="J76" s="416">
        <f t="shared" si="5"/>
        <v>7.0000000000000007E-2</v>
      </c>
      <c r="K76" s="432">
        <f t="shared" si="3"/>
        <v>0</v>
      </c>
      <c r="L76" s="1618">
        <f>IF(Assumptions!$L$30=4,0,O76+P76)</f>
        <v>0</v>
      </c>
      <c r="M76" s="445">
        <f t="shared" si="6"/>
        <v>2.5318663849412486</v>
      </c>
      <c r="N76" s="449">
        <f>IF(Assumptions!$L$30=4,F76,CHOOSE(Assumptions!$L$30,E76,F76,G76))</f>
        <v>0.16</v>
      </c>
      <c r="O76">
        <v>0.13500000000000001</v>
      </c>
      <c r="P76" s="1720">
        <f>Assumptions!$L$32*(1+Assumptions!$C$26)^(YEAR(A76)-2000)</f>
        <v>9.2345318379647989E-2</v>
      </c>
    </row>
    <row r="77" spans="1:16">
      <c r="A77" s="325">
        <f>'Curve Paste'!BQ77</f>
        <v>38808</v>
      </c>
      <c r="B77" s="415">
        <f>IF(Assumptions!$L$30=4,VLOOKUP($A77,'Henwood Reference'!$E$9:$R$296,14),'Curve Paste'!BR77)</f>
        <v>2.4223629559672371</v>
      </c>
      <c r="C77" s="415">
        <f>IF(Assumptions!$L$30=4,VLOOKUP($A77,'Henwood Reference'!$E$9:$R$296,14),'Curve Paste'!BS77)</f>
        <v>2.4223629559672371</v>
      </c>
      <c r="D77" s="415">
        <f>IF(Assumptions!$L$30=4,VLOOKUP($A77,'Henwood Reference'!$E$9:$R$296,14),'Curve Paste'!BT77)</f>
        <v>2.4223629559672371</v>
      </c>
      <c r="E77" s="416">
        <v>0.1525</v>
      </c>
      <c r="F77" s="416">
        <v>0.16</v>
      </c>
      <c r="G77" s="416">
        <v>0.16750000000000001</v>
      </c>
      <c r="H77" s="416">
        <f t="shared" si="4"/>
        <v>-7.0000000000000007E-2</v>
      </c>
      <c r="I77" s="416"/>
      <c r="J77" s="416">
        <f t="shared" si="5"/>
        <v>7.0000000000000007E-2</v>
      </c>
      <c r="K77" s="432">
        <f t="shared" si="3"/>
        <v>0</v>
      </c>
      <c r="L77" s="1618">
        <f>IF(Assumptions!$L$30=4,0,O77+P77)</f>
        <v>0</v>
      </c>
      <c r="M77" s="445">
        <f t="shared" si="6"/>
        <v>2.4517843683878917</v>
      </c>
      <c r="N77" s="449">
        <f>IF(Assumptions!$L$30=4,F77,CHOOSE(Assumptions!$L$30,E77,F77,G77))</f>
        <v>0.16</v>
      </c>
      <c r="O77">
        <v>0.12</v>
      </c>
      <c r="P77" s="1720">
        <f>Assumptions!$L$32*(1+Assumptions!$C$26)^(YEAR(A77)-2000)</f>
        <v>9.2345318379647989E-2</v>
      </c>
    </row>
    <row r="78" spans="1:16">
      <c r="A78" s="325">
        <f>'Curve Paste'!BQ78</f>
        <v>38838</v>
      </c>
      <c r="B78" s="415">
        <f>IF(Assumptions!$L$30=4,VLOOKUP($A78,'Henwood Reference'!$E$9:$R$296,14),'Curve Paste'!BR78)</f>
        <v>2.4001871648920394</v>
      </c>
      <c r="C78" s="415">
        <f>IF(Assumptions!$L$30=4,VLOOKUP($A78,'Henwood Reference'!$E$9:$R$296,14),'Curve Paste'!BS78)</f>
        <v>2.4001871648920394</v>
      </c>
      <c r="D78" s="415">
        <f>IF(Assumptions!$L$30=4,VLOOKUP($A78,'Henwood Reference'!$E$9:$R$296,14),'Curve Paste'!BT78)</f>
        <v>2.4001871648920394</v>
      </c>
      <c r="E78" s="416">
        <v>0.1525</v>
      </c>
      <c r="F78" s="416">
        <v>0.16</v>
      </c>
      <c r="G78" s="416">
        <v>0.16750000000000001</v>
      </c>
      <c r="H78" s="416">
        <f t="shared" si="4"/>
        <v>-7.0000000000000007E-2</v>
      </c>
      <c r="I78" s="416"/>
      <c r="J78" s="416">
        <f t="shared" si="5"/>
        <v>7.0000000000000007E-2</v>
      </c>
      <c r="K78" s="432">
        <f t="shared" si="3"/>
        <v>0</v>
      </c>
      <c r="L78" s="1618">
        <f>IF(Assumptions!$L$30=4,0,O78+P78)</f>
        <v>0</v>
      </c>
      <c r="M78" s="445">
        <f t="shared" si="6"/>
        <v>2.4293392357206876</v>
      </c>
      <c r="N78" s="449">
        <f>IF(Assumptions!$L$30=4,F78,CHOOSE(Assumptions!$L$30,E78,F78,G78))</f>
        <v>0.16</v>
      </c>
      <c r="O78">
        <v>0.13500000000000001</v>
      </c>
      <c r="P78" s="1720">
        <f>Assumptions!$L$32*(1+Assumptions!$C$26)^(YEAR(A78)-2000)</f>
        <v>9.2345318379647989E-2</v>
      </c>
    </row>
    <row r="79" spans="1:16">
      <c r="A79" s="325">
        <f>'Curve Paste'!BQ79</f>
        <v>38869</v>
      </c>
      <c r="B79" s="415">
        <f>IF(Assumptions!$L$30=4,VLOOKUP($A79,'Henwood Reference'!$E$9:$R$296,14),'Curve Paste'!BR79)</f>
        <v>2.4251007079518296</v>
      </c>
      <c r="C79" s="415">
        <f>IF(Assumptions!$L$30=4,VLOOKUP($A79,'Henwood Reference'!$E$9:$R$296,14),'Curve Paste'!BS79)</f>
        <v>2.4251007079518296</v>
      </c>
      <c r="D79" s="415">
        <f>IF(Assumptions!$L$30=4,VLOOKUP($A79,'Henwood Reference'!$E$9:$R$296,14),'Curve Paste'!BT79)</f>
        <v>2.4251007079518296</v>
      </c>
      <c r="E79" s="416">
        <v>0.1525</v>
      </c>
      <c r="F79" s="416">
        <v>0.16</v>
      </c>
      <c r="G79" s="416">
        <v>0.16750000000000001</v>
      </c>
      <c r="H79" s="416">
        <f t="shared" si="4"/>
        <v>-7.0000000000000007E-2</v>
      </c>
      <c r="I79" s="416"/>
      <c r="J79" s="416">
        <f t="shared" si="5"/>
        <v>7.0000000000000007E-2</v>
      </c>
      <c r="K79" s="432">
        <f t="shared" si="3"/>
        <v>0</v>
      </c>
      <c r="L79" s="1618">
        <f>IF(Assumptions!$L$30=4,0,O79+P79)</f>
        <v>0</v>
      </c>
      <c r="M79" s="445">
        <f t="shared" si="6"/>
        <v>2.4545553724208804</v>
      </c>
      <c r="N79" s="449">
        <f>IF(Assumptions!$L$30=4,F79,CHOOSE(Assumptions!$L$30,E79,F79,G79))</f>
        <v>0.16</v>
      </c>
      <c r="O79">
        <v>0.16500000000000001</v>
      </c>
      <c r="P79" s="1720">
        <f>Assumptions!$L$32*(1+Assumptions!$C$26)^(YEAR(A79)-2000)</f>
        <v>9.2345318379647989E-2</v>
      </c>
    </row>
    <row r="80" spans="1:16">
      <c r="A80" s="325">
        <f>'Curve Paste'!BQ80</f>
        <v>38899</v>
      </c>
      <c r="B80" s="415">
        <f>IF(Assumptions!$L$30=4,VLOOKUP($A80,'Henwood Reference'!$E$9:$R$296,14),'Curve Paste'!BR80)</f>
        <v>2.487247678002074</v>
      </c>
      <c r="C80" s="415">
        <f>IF(Assumptions!$L$30=4,VLOOKUP($A80,'Henwood Reference'!$E$9:$R$296,14),'Curve Paste'!BS80)</f>
        <v>2.487247678002074</v>
      </c>
      <c r="D80" s="415">
        <f>IF(Assumptions!$L$30=4,VLOOKUP($A80,'Henwood Reference'!$E$9:$R$296,14),'Curve Paste'!BT80)</f>
        <v>2.487247678002074</v>
      </c>
      <c r="E80" s="416">
        <v>0.1525</v>
      </c>
      <c r="F80" s="416">
        <v>0.16</v>
      </c>
      <c r="G80" s="416">
        <v>0.16750000000000001</v>
      </c>
      <c r="H80" s="416">
        <f t="shared" si="4"/>
        <v>-7.0000000000000007E-2</v>
      </c>
      <c r="I80" s="416"/>
      <c r="J80" s="416">
        <f t="shared" si="5"/>
        <v>7.0000000000000007E-2</v>
      </c>
      <c r="K80" s="432">
        <f t="shared" si="3"/>
        <v>0</v>
      </c>
      <c r="L80" s="1618">
        <f>IF(Assumptions!$L$30=4,0,O80+P80)</f>
        <v>0</v>
      </c>
      <c r="M80" s="445">
        <f t="shared" si="6"/>
        <v>2.5174571639697105</v>
      </c>
      <c r="N80" s="449">
        <f>IF(Assumptions!$L$30=4,F80,CHOOSE(Assumptions!$L$30,E80,F80,G80))</f>
        <v>0.16</v>
      </c>
      <c r="O80">
        <v>0.26500000000000001</v>
      </c>
      <c r="P80" s="1720">
        <f>Assumptions!$L$32*(1+Assumptions!$C$26)^(YEAR(A80)-2000)</f>
        <v>9.2345318379647989E-2</v>
      </c>
    </row>
    <row r="81" spans="1:16">
      <c r="A81" s="325">
        <f>'Curve Paste'!BQ81</f>
        <v>38930</v>
      </c>
      <c r="B81" s="415">
        <f>IF(Assumptions!$L$30=4,VLOOKUP($A81,'Henwood Reference'!$E$9:$R$296,14),'Curve Paste'!BR81)</f>
        <v>2.5767721678982412</v>
      </c>
      <c r="C81" s="415">
        <f>IF(Assumptions!$L$30=4,VLOOKUP($A81,'Henwood Reference'!$E$9:$R$296,14),'Curve Paste'!BS81)</f>
        <v>2.5767721678982412</v>
      </c>
      <c r="D81" s="415">
        <f>IF(Assumptions!$L$30=4,VLOOKUP($A81,'Henwood Reference'!$E$9:$R$296,14),'Curve Paste'!BT81)</f>
        <v>2.5767721678982412</v>
      </c>
      <c r="E81" s="416">
        <v>0.1525</v>
      </c>
      <c r="F81" s="416">
        <v>0.16</v>
      </c>
      <c r="G81" s="416">
        <v>0.16750000000000001</v>
      </c>
      <c r="H81" s="416">
        <f t="shared" si="4"/>
        <v>-7.0000000000000007E-2</v>
      </c>
      <c r="I81" s="416"/>
      <c r="J81" s="416">
        <f t="shared" si="5"/>
        <v>7.0000000000000007E-2</v>
      </c>
      <c r="K81" s="432">
        <f t="shared" si="3"/>
        <v>0</v>
      </c>
      <c r="L81" s="1618">
        <f>IF(Assumptions!$L$30=4,0,O81+P81)</f>
        <v>0</v>
      </c>
      <c r="M81" s="445">
        <f t="shared" si="6"/>
        <v>2.6080689958484222</v>
      </c>
      <c r="N81" s="449">
        <f>IF(Assumptions!$L$30=4,F81,CHOOSE(Assumptions!$L$30,E81,F81,G81))</f>
        <v>0.16</v>
      </c>
      <c r="O81">
        <v>0.26500000000000001</v>
      </c>
      <c r="P81" s="1720">
        <f>Assumptions!$L$32*(1+Assumptions!$C$26)^(YEAR(A81)-2000)</f>
        <v>9.2345318379647989E-2</v>
      </c>
    </row>
    <row r="82" spans="1:16">
      <c r="A82" s="325">
        <f>'Curve Paste'!BQ82</f>
        <v>38961</v>
      </c>
      <c r="B82" s="415">
        <f>IF(Assumptions!$L$30=4,VLOOKUP($A82,'Henwood Reference'!$E$9:$R$296,14),'Curve Paste'!BR82)</f>
        <v>2.6838182704957987</v>
      </c>
      <c r="C82" s="415">
        <f>IF(Assumptions!$L$30=4,VLOOKUP($A82,'Henwood Reference'!$E$9:$R$296,14),'Curve Paste'!BS82)</f>
        <v>2.6838182704957987</v>
      </c>
      <c r="D82" s="415">
        <f>IF(Assumptions!$L$30=4,VLOOKUP($A82,'Henwood Reference'!$E$9:$R$296,14),'Curve Paste'!BT82)</f>
        <v>2.6838182704957987</v>
      </c>
      <c r="E82" s="416">
        <v>0.1525</v>
      </c>
      <c r="F82" s="416">
        <v>0.16</v>
      </c>
      <c r="G82" s="416">
        <v>0.16750000000000001</v>
      </c>
      <c r="H82" s="416">
        <f t="shared" si="4"/>
        <v>-7.0000000000000007E-2</v>
      </c>
      <c r="I82" s="416"/>
      <c r="J82" s="416">
        <f t="shared" si="5"/>
        <v>7.0000000000000007E-2</v>
      </c>
      <c r="K82" s="432">
        <f t="shared" si="3"/>
        <v>0</v>
      </c>
      <c r="L82" s="1618">
        <f>IF(Assumptions!$L$30=4,0,O82+P82)</f>
        <v>0</v>
      </c>
      <c r="M82" s="445">
        <f t="shared" si="6"/>
        <v>2.716415253538258</v>
      </c>
      <c r="N82" s="449">
        <f>IF(Assumptions!$L$30=4,F82,CHOOSE(Assumptions!$L$30,E82,F82,G82))</f>
        <v>0.16</v>
      </c>
      <c r="O82">
        <v>0.26500000000000001</v>
      </c>
      <c r="P82" s="1720">
        <f>Assumptions!$L$32*(1+Assumptions!$C$26)^(YEAR(A82)-2000)</f>
        <v>9.2345318379647989E-2</v>
      </c>
    </row>
    <row r="83" spans="1:16">
      <c r="A83" s="325">
        <f>'Curve Paste'!BQ83</f>
        <v>38991</v>
      </c>
      <c r="B83" s="415">
        <f>IF(Assumptions!$L$30=4,VLOOKUP($A83,'Henwood Reference'!$E$9:$R$296,14),'Curve Paste'!BR83)</f>
        <v>2.7985300786502152</v>
      </c>
      <c r="C83" s="415">
        <f>IF(Assumptions!$L$30=4,VLOOKUP($A83,'Henwood Reference'!$E$9:$R$296,14),'Curve Paste'!BS83)</f>
        <v>2.7985300786502152</v>
      </c>
      <c r="D83" s="415">
        <f>IF(Assumptions!$L$30=4,VLOOKUP($A83,'Henwood Reference'!$E$9:$R$296,14),'Curve Paste'!BT83)</f>
        <v>2.7985300786502152</v>
      </c>
      <c r="E83" s="416">
        <v>0.1525</v>
      </c>
      <c r="F83" s="416">
        <v>0.16</v>
      </c>
      <c r="G83" s="416">
        <v>0.16750000000000001</v>
      </c>
      <c r="H83" s="416">
        <f t="shared" si="4"/>
        <v>-7.0000000000000007E-2</v>
      </c>
      <c r="I83" s="416"/>
      <c r="J83" s="416">
        <f t="shared" si="5"/>
        <v>7.0000000000000007E-2</v>
      </c>
      <c r="K83" s="432">
        <f t="shared" si="3"/>
        <v>0</v>
      </c>
      <c r="L83" s="1618">
        <f>IF(Assumptions!$L$30=4,0,O83+P83)</f>
        <v>0</v>
      </c>
      <c r="M83" s="445">
        <f t="shared" si="6"/>
        <v>2.8325203225204607</v>
      </c>
      <c r="N83" s="449">
        <f>IF(Assumptions!$L$30=4,F83,CHOOSE(Assumptions!$L$30,E83,F83,G83))</f>
        <v>0.16</v>
      </c>
      <c r="O83">
        <v>0.185</v>
      </c>
      <c r="P83" s="1720">
        <f>Assumptions!$L$32*(1+Assumptions!$C$26)^(YEAR(A83)-2000)</f>
        <v>9.2345318379647989E-2</v>
      </c>
    </row>
    <row r="84" spans="1:16">
      <c r="A84" s="325">
        <f>'Curve Paste'!BQ84</f>
        <v>39022</v>
      </c>
      <c r="B84" s="415">
        <f>IF(Assumptions!$L$30=4,VLOOKUP($A84,'Henwood Reference'!$E$9:$R$296,14),'Curve Paste'!BR84)</f>
        <v>2.9110516852169566</v>
      </c>
      <c r="C84" s="415">
        <f>IF(Assumptions!$L$30=4,VLOOKUP($A84,'Henwood Reference'!$E$9:$R$296,14),'Curve Paste'!BS84)</f>
        <v>2.9110516852169566</v>
      </c>
      <c r="D84" s="415">
        <f>IF(Assumptions!$L$30=4,VLOOKUP($A84,'Henwood Reference'!$E$9:$R$296,14),'Curve Paste'!BT84)</f>
        <v>2.9110516852169566</v>
      </c>
      <c r="E84" s="416">
        <v>0.1525</v>
      </c>
      <c r="F84" s="416">
        <v>0.16</v>
      </c>
      <c r="G84" s="416">
        <v>0.16750000000000001</v>
      </c>
      <c r="H84" s="416">
        <f t="shared" si="4"/>
        <v>-7.0000000000000007E-2</v>
      </c>
      <c r="I84" s="416"/>
      <c r="J84" s="416">
        <f t="shared" si="5"/>
        <v>7.0000000000000007E-2</v>
      </c>
      <c r="K84" s="432">
        <f t="shared" si="3"/>
        <v>0</v>
      </c>
      <c r="L84" s="1618">
        <f>IF(Assumptions!$L$30=4,0,O84+P84)</f>
        <v>0</v>
      </c>
      <c r="M84" s="445">
        <f t="shared" si="6"/>
        <v>2.9464085882762721</v>
      </c>
      <c r="N84" s="449">
        <f>IF(Assumptions!$L$30=4,F84,CHOOSE(Assumptions!$L$30,E84,F84,G84))</f>
        <v>0.16</v>
      </c>
      <c r="O84">
        <v>0.15</v>
      </c>
      <c r="P84" s="1720">
        <f>Assumptions!$L$32*(1+Assumptions!$C$26)^(YEAR(A84)-2000)</f>
        <v>9.2345318379647989E-2</v>
      </c>
    </row>
    <row r="85" spans="1:16">
      <c r="A85" s="325">
        <f>'Curve Paste'!BQ85</f>
        <v>39052</v>
      </c>
      <c r="B85" s="415">
        <f>IF(Assumptions!$L$30=4,VLOOKUP($A85,'Henwood Reference'!$E$9:$R$296,14),'Curve Paste'!BR85)</f>
        <v>3.0299413563916606</v>
      </c>
      <c r="C85" s="415">
        <f>IF(Assumptions!$L$30=4,VLOOKUP($A85,'Henwood Reference'!$E$9:$R$296,14),'Curve Paste'!BS85)</f>
        <v>3.0299413563916606</v>
      </c>
      <c r="D85" s="415">
        <f>IF(Assumptions!$L$30=4,VLOOKUP($A85,'Henwood Reference'!$E$9:$R$296,14),'Curve Paste'!BT85)</f>
        <v>3.0299413563916606</v>
      </c>
      <c r="E85" s="416">
        <v>0.1525</v>
      </c>
      <c r="F85" s="416">
        <v>0.16</v>
      </c>
      <c r="G85" s="416">
        <v>0.16750000000000001</v>
      </c>
      <c r="H85" s="416">
        <f t="shared" si="4"/>
        <v>-7.0000000000000007E-2</v>
      </c>
      <c r="I85" s="416"/>
      <c r="J85" s="416">
        <f t="shared" si="5"/>
        <v>7.0000000000000007E-2</v>
      </c>
      <c r="K85" s="432">
        <f t="shared" si="3"/>
        <v>0</v>
      </c>
      <c r="L85" s="1618">
        <f>IF(Assumptions!$L$30=4,0,O85+P85)</f>
        <v>0</v>
      </c>
      <c r="M85" s="445">
        <f t="shared" si="6"/>
        <v>3.0667422635543122</v>
      </c>
      <c r="N85" s="449">
        <f>IF(Assumptions!$L$30=4,F85,CHOOSE(Assumptions!$L$30,E85,F85,G85))</f>
        <v>0.16</v>
      </c>
      <c r="O85">
        <v>0.15</v>
      </c>
      <c r="P85" s="1720">
        <f>Assumptions!$L$32*(1+Assumptions!$C$26)^(YEAR(A85)-2000)</f>
        <v>9.2345318379647989E-2</v>
      </c>
    </row>
    <row r="86" spans="1:16">
      <c r="A86" s="325">
        <f>'Curve Paste'!BQ86</f>
        <v>39083</v>
      </c>
      <c r="B86" s="415">
        <f>IF(Assumptions!$L$30=4,VLOOKUP($A86,'Henwood Reference'!$E$9:$R$296,14),'Curve Paste'!BR86)</f>
        <v>2.9487105319346387</v>
      </c>
      <c r="C86" s="415">
        <f>IF(Assumptions!$L$30=4,VLOOKUP($A86,'Henwood Reference'!$E$9:$R$296,14),'Curve Paste'!BS86)</f>
        <v>2.9487105319346387</v>
      </c>
      <c r="D86" s="415">
        <f>IF(Assumptions!$L$30=4,VLOOKUP($A86,'Henwood Reference'!$E$9:$R$296,14),'Curve Paste'!BT86)</f>
        <v>2.9487105319346387</v>
      </c>
      <c r="E86" s="416">
        <v>0.1525</v>
      </c>
      <c r="F86" s="416">
        <v>0.16</v>
      </c>
      <c r="G86" s="416">
        <v>0.16750000000000001</v>
      </c>
      <c r="H86" s="416">
        <f t="shared" si="4"/>
        <v>-7.0000000000000007E-2</v>
      </c>
      <c r="I86" s="416"/>
      <c r="J86" s="416">
        <f t="shared" si="5"/>
        <v>7.0000000000000007E-2</v>
      </c>
      <c r="K86" s="432">
        <f t="shared" si="3"/>
        <v>0</v>
      </c>
      <c r="L86" s="1618">
        <f>IF(Assumptions!$L$30=4,0,O86+P86)</f>
        <v>0</v>
      </c>
      <c r="M86" s="445">
        <f t="shared" si="6"/>
        <v>2.9845248298933589</v>
      </c>
      <c r="N86" s="449">
        <f>IF(Assumptions!$L$30=4,F86,CHOOSE(Assumptions!$L$30,E86,F86,G86))</f>
        <v>0.16</v>
      </c>
      <c r="O86">
        <v>0.1225</v>
      </c>
      <c r="P86" s="1720">
        <f>Assumptions!$L$32*(1+Assumptions!$C$26)^(YEAR(A86)-2000)</f>
        <v>9.4192224747240927E-2</v>
      </c>
    </row>
    <row r="87" spans="1:16">
      <c r="A87" s="325">
        <f>'Curve Paste'!BQ87</f>
        <v>39114</v>
      </c>
      <c r="B87" s="415">
        <f>IF(Assumptions!$L$30=4,VLOOKUP($A87,'Henwood Reference'!$E$9:$R$296,14),'Curve Paste'!BR87)</f>
        <v>2.7189063126851938</v>
      </c>
      <c r="C87" s="415">
        <f>IF(Assumptions!$L$30=4,VLOOKUP($A87,'Henwood Reference'!$E$9:$R$296,14),'Curve Paste'!BS87)</f>
        <v>2.7189063126851938</v>
      </c>
      <c r="D87" s="415">
        <f>IF(Assumptions!$L$30=4,VLOOKUP($A87,'Henwood Reference'!$E$9:$R$296,14),'Curve Paste'!BT87)</f>
        <v>2.7189063126851938</v>
      </c>
      <c r="E87" s="416">
        <v>0.16250000000000001</v>
      </c>
      <c r="F87" s="416">
        <v>0.17</v>
      </c>
      <c r="G87" s="416">
        <v>0.17749999999999999</v>
      </c>
      <c r="H87" s="416">
        <f t="shared" si="4"/>
        <v>-7.0000000000000007E-2</v>
      </c>
      <c r="I87" s="416"/>
      <c r="J87" s="416">
        <f t="shared" si="5"/>
        <v>7.0000000000000007E-2</v>
      </c>
      <c r="K87" s="432">
        <f t="shared" si="3"/>
        <v>0</v>
      </c>
      <c r="L87" s="1618">
        <f>IF(Assumptions!$L$30=4,0,O87+P87)</f>
        <v>0</v>
      </c>
      <c r="M87" s="445">
        <f t="shared" si="6"/>
        <v>2.7519294662805605</v>
      </c>
      <c r="N87" s="449">
        <f>IF(Assumptions!$L$30=4,F87,CHOOSE(Assumptions!$L$30,E87,F87,G87))</f>
        <v>0.17</v>
      </c>
      <c r="O87">
        <v>0.1225</v>
      </c>
      <c r="P87" s="1720">
        <f>Assumptions!$L$32*(1+Assumptions!$C$26)^(YEAR(A87)-2000)</f>
        <v>9.4192224747240927E-2</v>
      </c>
    </row>
    <row r="88" spans="1:16">
      <c r="A88" s="325">
        <f>'Curve Paste'!BQ88</f>
        <v>39142</v>
      </c>
      <c r="B88" s="415">
        <f>IF(Assumptions!$L$30=4,VLOOKUP($A88,'Henwood Reference'!$E$9:$R$296,14),'Curve Paste'!BR88)</f>
        <v>2.5690431208898254</v>
      </c>
      <c r="C88" s="415">
        <f>IF(Assumptions!$L$30=4,VLOOKUP($A88,'Henwood Reference'!$E$9:$R$296,14),'Curve Paste'!BS88)</f>
        <v>2.5690431208898254</v>
      </c>
      <c r="D88" s="415">
        <f>IF(Assumptions!$L$30=4,VLOOKUP($A88,'Henwood Reference'!$E$9:$R$296,14),'Curve Paste'!BT88)</f>
        <v>2.5690431208898254</v>
      </c>
      <c r="E88" s="416">
        <v>0.16250000000000001</v>
      </c>
      <c r="F88" s="416">
        <v>0.17</v>
      </c>
      <c r="G88" s="416">
        <v>0.17749999999999999</v>
      </c>
      <c r="H88" s="416">
        <f t="shared" si="4"/>
        <v>-7.0000000000000007E-2</v>
      </c>
      <c r="I88" s="416"/>
      <c r="J88" s="416">
        <f t="shared" si="5"/>
        <v>7.0000000000000007E-2</v>
      </c>
      <c r="K88" s="432">
        <f t="shared" si="3"/>
        <v>0</v>
      </c>
      <c r="L88" s="1618">
        <f>IF(Assumptions!$L$30=4,0,O88+P88)</f>
        <v>0</v>
      </c>
      <c r="M88" s="445">
        <f t="shared" si="6"/>
        <v>2.6002460737751272</v>
      </c>
      <c r="N88" s="449">
        <f>IF(Assumptions!$L$30=4,F88,CHOOSE(Assumptions!$L$30,E88,F88,G88))</f>
        <v>0.17</v>
      </c>
      <c r="O88">
        <v>0.14000000000000001</v>
      </c>
      <c r="P88" s="1720">
        <f>Assumptions!$L$32*(1+Assumptions!$C$26)^(YEAR(A88)-2000)</f>
        <v>9.4192224747240927E-2</v>
      </c>
    </row>
    <row r="89" spans="1:16">
      <c r="A89" s="325">
        <f>'Curve Paste'!BQ89</f>
        <v>39173</v>
      </c>
      <c r="B89" s="415">
        <f>IF(Assumptions!$L$30=4,VLOOKUP($A89,'Henwood Reference'!$E$9:$R$296,14),'Curve Paste'!BR89)</f>
        <v>2.4877852176461839</v>
      </c>
      <c r="C89" s="415">
        <f>IF(Assumptions!$L$30=4,VLOOKUP($A89,'Henwood Reference'!$E$9:$R$296,14),'Curve Paste'!BS89)</f>
        <v>2.4877852176461839</v>
      </c>
      <c r="D89" s="415">
        <f>IF(Assumptions!$L$30=4,VLOOKUP($A89,'Henwood Reference'!$E$9:$R$296,14),'Curve Paste'!BT89)</f>
        <v>2.4877852176461839</v>
      </c>
      <c r="E89" s="416">
        <v>0.16250000000000001</v>
      </c>
      <c r="F89" s="416">
        <v>0.17</v>
      </c>
      <c r="G89" s="416">
        <v>0.17749999999999999</v>
      </c>
      <c r="H89" s="416">
        <f t="shared" si="4"/>
        <v>-7.0000000000000007E-2</v>
      </c>
      <c r="I89" s="416"/>
      <c r="J89" s="416">
        <f t="shared" si="5"/>
        <v>7.0000000000000007E-2</v>
      </c>
      <c r="K89" s="432">
        <f t="shared" si="3"/>
        <v>0</v>
      </c>
      <c r="L89" s="1618">
        <f>IF(Assumptions!$L$30=4,0,O89+P89)</f>
        <v>0</v>
      </c>
      <c r="M89" s="445">
        <f t="shared" si="6"/>
        <v>2.5180012324354086</v>
      </c>
      <c r="N89" s="449">
        <f>IF(Assumptions!$L$30=4,F89,CHOOSE(Assumptions!$L$30,E89,F89,G89))</f>
        <v>0.17</v>
      </c>
      <c r="O89">
        <v>0.125</v>
      </c>
      <c r="P89" s="1720">
        <f>Assumptions!$L$32*(1+Assumptions!$C$26)^(YEAR(A89)-2000)</f>
        <v>9.4192224747240927E-2</v>
      </c>
    </row>
    <row r="90" spans="1:16">
      <c r="A90" s="325">
        <f>'Curve Paste'!BQ90</f>
        <v>39203</v>
      </c>
      <c r="B90" s="415">
        <f>IF(Assumptions!$L$30=4,VLOOKUP($A90,'Henwood Reference'!$E$9:$R$296,14),'Curve Paste'!BR90)</f>
        <v>2.4650105112007337</v>
      </c>
      <c r="C90" s="415">
        <f>IF(Assumptions!$L$30=4,VLOOKUP($A90,'Henwood Reference'!$E$9:$R$296,14),'Curve Paste'!BS90)</f>
        <v>2.4650105112007337</v>
      </c>
      <c r="D90" s="415">
        <f>IF(Assumptions!$L$30=4,VLOOKUP($A90,'Henwood Reference'!$E$9:$R$296,14),'Curve Paste'!BT90)</f>
        <v>2.4650105112007337</v>
      </c>
      <c r="E90" s="416">
        <v>0.16250000000000001</v>
      </c>
      <c r="F90" s="416">
        <v>0.17</v>
      </c>
      <c r="G90" s="416">
        <v>0.17749999999999999</v>
      </c>
      <c r="H90" s="416">
        <f t="shared" si="4"/>
        <v>-7.0000000000000007E-2</v>
      </c>
      <c r="I90" s="416"/>
      <c r="J90" s="416">
        <f t="shared" si="5"/>
        <v>7.0000000000000007E-2</v>
      </c>
      <c r="K90" s="432">
        <f t="shared" si="3"/>
        <v>0</v>
      </c>
      <c r="L90" s="1618">
        <f>IF(Assumptions!$L$30=4,0,O90+P90)</f>
        <v>0</v>
      </c>
      <c r="M90" s="445">
        <f t="shared" si="6"/>
        <v>2.4949499101221999</v>
      </c>
      <c r="N90" s="449">
        <f>IF(Assumptions!$L$30=4,F90,CHOOSE(Assumptions!$L$30,E90,F90,G90))</f>
        <v>0.17</v>
      </c>
      <c r="O90">
        <v>0.14000000000000001</v>
      </c>
      <c r="P90" s="1720">
        <f>Assumptions!$L$32*(1+Assumptions!$C$26)^(YEAR(A90)-2000)</f>
        <v>9.4192224747240927E-2</v>
      </c>
    </row>
    <row r="91" spans="1:16">
      <c r="A91" s="325">
        <f>'Curve Paste'!BQ91</f>
        <v>39234</v>
      </c>
      <c r="B91" s="415">
        <f>IF(Assumptions!$L$30=4,VLOOKUP($A91,'Henwood Reference'!$E$9:$R$296,14),'Curve Paste'!BR91)</f>
        <v>2.490596909799943</v>
      </c>
      <c r="C91" s="415">
        <f>IF(Assumptions!$L$30=4,VLOOKUP($A91,'Henwood Reference'!$E$9:$R$296,14),'Curve Paste'!BS91)</f>
        <v>2.490596909799943</v>
      </c>
      <c r="D91" s="415">
        <f>IF(Assumptions!$L$30=4,VLOOKUP($A91,'Henwood Reference'!$E$9:$R$296,14),'Curve Paste'!BT91)</f>
        <v>2.490596909799943</v>
      </c>
      <c r="E91" s="416">
        <v>0.16250000000000001</v>
      </c>
      <c r="F91" s="416">
        <v>0.17</v>
      </c>
      <c r="G91" s="416">
        <v>0.17749999999999999</v>
      </c>
      <c r="H91" s="416">
        <f t="shared" si="4"/>
        <v>-7.0000000000000007E-2</v>
      </c>
      <c r="I91" s="416"/>
      <c r="J91" s="416">
        <f t="shared" si="5"/>
        <v>7.0000000000000007E-2</v>
      </c>
      <c r="K91" s="432">
        <f t="shared" si="3"/>
        <v>0</v>
      </c>
      <c r="L91" s="1618">
        <f>IF(Assumptions!$L$30=4,0,O91+P91)</f>
        <v>0</v>
      </c>
      <c r="M91" s="445">
        <f t="shared" si="6"/>
        <v>2.5208470746962988</v>
      </c>
      <c r="N91" s="449">
        <f>IF(Assumptions!$L$30=4,F91,CHOOSE(Assumptions!$L$30,E91,F91,G91))</f>
        <v>0.17</v>
      </c>
      <c r="O91">
        <v>0.17</v>
      </c>
      <c r="P91" s="1720">
        <f>Assumptions!$L$32*(1+Assumptions!$C$26)^(YEAR(A91)-2000)</f>
        <v>9.4192224747240927E-2</v>
      </c>
    </row>
    <row r="92" spans="1:16">
      <c r="A92" s="325">
        <f>'Curve Paste'!BQ92</f>
        <v>39264</v>
      </c>
      <c r="B92" s="415">
        <f>IF(Assumptions!$L$30=4,VLOOKUP($A92,'Henwood Reference'!$E$9:$R$296,14),'Curve Paste'!BR92)</f>
        <v>2.5544223216902782</v>
      </c>
      <c r="C92" s="415">
        <f>IF(Assumptions!$L$30=4,VLOOKUP($A92,'Henwood Reference'!$E$9:$R$296,14),'Curve Paste'!BS92)</f>
        <v>2.5544223216902782</v>
      </c>
      <c r="D92" s="415">
        <f>IF(Assumptions!$L$30=4,VLOOKUP($A92,'Henwood Reference'!$E$9:$R$296,14),'Curve Paste'!BT92)</f>
        <v>2.5544223216902782</v>
      </c>
      <c r="E92" s="416">
        <v>0.16250000000000001</v>
      </c>
      <c r="F92" s="416">
        <v>0.17</v>
      </c>
      <c r="G92" s="416">
        <v>0.17749999999999999</v>
      </c>
      <c r="H92" s="416">
        <f t="shared" si="4"/>
        <v>-7.0000000000000007E-2</v>
      </c>
      <c r="I92" s="416"/>
      <c r="J92" s="416">
        <f t="shared" si="5"/>
        <v>7.0000000000000007E-2</v>
      </c>
      <c r="K92" s="432">
        <f t="shared" si="3"/>
        <v>0</v>
      </c>
      <c r="L92" s="1618">
        <f>IF(Assumptions!$L$30=4,0,O92+P92)</f>
        <v>0</v>
      </c>
      <c r="M92" s="445">
        <f t="shared" si="6"/>
        <v>2.5854476940185003</v>
      </c>
      <c r="N92" s="449">
        <f>IF(Assumptions!$L$30=4,F92,CHOOSE(Assumptions!$L$30,E92,F92,G92))</f>
        <v>0.17</v>
      </c>
      <c r="O92">
        <v>0.27</v>
      </c>
      <c r="P92" s="1720">
        <f>Assumptions!$L$32*(1+Assumptions!$C$26)^(YEAR(A92)-2000)</f>
        <v>9.4192224747240927E-2</v>
      </c>
    </row>
    <row r="93" spans="1:16">
      <c r="A93" s="325">
        <f>'Curve Paste'!BQ93</f>
        <v>39295</v>
      </c>
      <c r="B93" s="415">
        <f>IF(Assumptions!$L$30=4,VLOOKUP($A93,'Henwood Reference'!$E$9:$R$296,14),'Curve Paste'!BR93)</f>
        <v>2.6463646551182052</v>
      </c>
      <c r="C93" s="415">
        <f>IF(Assumptions!$L$30=4,VLOOKUP($A93,'Henwood Reference'!$E$9:$R$296,14),'Curve Paste'!BS93)</f>
        <v>2.6463646551182052</v>
      </c>
      <c r="D93" s="415">
        <f>IF(Assumptions!$L$30=4,VLOOKUP($A93,'Henwood Reference'!$E$9:$R$296,14),'Curve Paste'!BT93)</f>
        <v>2.6463646551182052</v>
      </c>
      <c r="E93" s="416">
        <v>0.16250000000000001</v>
      </c>
      <c r="F93" s="416">
        <v>0.17</v>
      </c>
      <c r="G93" s="416">
        <v>0.17749999999999999</v>
      </c>
      <c r="H93" s="416">
        <f t="shared" si="4"/>
        <v>-7.0000000000000007E-2</v>
      </c>
      <c r="I93" s="416"/>
      <c r="J93" s="416">
        <f t="shared" si="5"/>
        <v>7.0000000000000007E-2</v>
      </c>
      <c r="K93" s="432">
        <f t="shared" si="3"/>
        <v>0</v>
      </c>
      <c r="L93" s="1618">
        <f>IF(Assumptions!$L$30=4,0,O93+P93)</f>
        <v>0</v>
      </c>
      <c r="M93" s="445">
        <f t="shared" si="6"/>
        <v>2.6785067359496004</v>
      </c>
      <c r="N93" s="449">
        <f>IF(Assumptions!$L$30=4,F93,CHOOSE(Assumptions!$L$30,E93,F93,G93))</f>
        <v>0.17</v>
      </c>
      <c r="O93">
        <v>0.27</v>
      </c>
      <c r="P93" s="1720">
        <f>Assumptions!$L$32*(1+Assumptions!$C$26)^(YEAR(A93)-2000)</f>
        <v>9.4192224747240927E-2</v>
      </c>
    </row>
    <row r="94" spans="1:16">
      <c r="A94" s="325">
        <f>'Curve Paste'!BQ94</f>
        <v>39326</v>
      </c>
      <c r="B94" s="415">
        <f>IF(Assumptions!$L$30=4,VLOOKUP($A94,'Henwood Reference'!$E$9:$R$296,14),'Curve Paste'!BR94)</f>
        <v>2.7563018183301917</v>
      </c>
      <c r="C94" s="415">
        <f>IF(Assumptions!$L$30=4,VLOOKUP($A94,'Henwood Reference'!$E$9:$R$296,14),'Curve Paste'!BS94)</f>
        <v>2.7563018183301917</v>
      </c>
      <c r="D94" s="415">
        <f>IF(Assumptions!$L$30=4,VLOOKUP($A94,'Henwood Reference'!$E$9:$R$296,14),'Curve Paste'!BT94)</f>
        <v>2.7563018183301917</v>
      </c>
      <c r="E94" s="416">
        <v>0.16250000000000001</v>
      </c>
      <c r="F94" s="416">
        <v>0.17</v>
      </c>
      <c r="G94" s="416">
        <v>0.17749999999999999</v>
      </c>
      <c r="H94" s="416">
        <f t="shared" si="4"/>
        <v>-7.0000000000000007E-2</v>
      </c>
      <c r="I94" s="416"/>
      <c r="J94" s="416">
        <f t="shared" si="5"/>
        <v>7.0000000000000007E-2</v>
      </c>
      <c r="K94" s="432">
        <f t="shared" si="3"/>
        <v>0</v>
      </c>
      <c r="L94" s="1618">
        <f>IF(Assumptions!$L$30=4,0,O94+P94)</f>
        <v>0</v>
      </c>
      <c r="M94" s="445">
        <f t="shared" si="6"/>
        <v>2.7897791683503965</v>
      </c>
      <c r="N94" s="449">
        <f>IF(Assumptions!$L$30=4,F94,CHOOSE(Assumptions!$L$30,E94,F94,G94))</f>
        <v>0.17</v>
      </c>
      <c r="O94">
        <v>0.27</v>
      </c>
      <c r="P94" s="1720">
        <f>Assumptions!$L$32*(1+Assumptions!$C$26)^(YEAR(A94)-2000)</f>
        <v>9.4192224747240927E-2</v>
      </c>
    </row>
    <row r="95" spans="1:16">
      <c r="A95" s="325">
        <f>'Curve Paste'!BQ95</f>
        <v>39356</v>
      </c>
      <c r="B95" s="415">
        <f>IF(Assumptions!$L$30=4,VLOOKUP($A95,'Henwood Reference'!$E$9:$R$296,14),'Curve Paste'!BR95)</f>
        <v>2.8741117195727051</v>
      </c>
      <c r="C95" s="415">
        <f>IF(Assumptions!$L$30=4,VLOOKUP($A95,'Henwood Reference'!$E$9:$R$296,14),'Curve Paste'!BS95)</f>
        <v>2.8741117195727051</v>
      </c>
      <c r="D95" s="415">
        <f>IF(Assumptions!$L$30=4,VLOOKUP($A95,'Henwood Reference'!$E$9:$R$296,14),'Curve Paste'!BT95)</f>
        <v>2.8741117195727051</v>
      </c>
      <c r="E95" s="416">
        <v>0.16250000000000001</v>
      </c>
      <c r="F95" s="416">
        <v>0.17</v>
      </c>
      <c r="G95" s="416">
        <v>0.17749999999999999</v>
      </c>
      <c r="H95" s="416">
        <f t="shared" si="4"/>
        <v>-7.0000000000000007E-2</v>
      </c>
      <c r="I95" s="416"/>
      <c r="J95" s="416">
        <f t="shared" si="5"/>
        <v>7.0000000000000007E-2</v>
      </c>
      <c r="K95" s="432">
        <f t="shared" si="3"/>
        <v>0</v>
      </c>
      <c r="L95" s="1618">
        <f>IF(Assumptions!$L$30=4,0,O95+P95)</f>
        <v>0</v>
      </c>
      <c r="M95" s="445">
        <f t="shared" si="6"/>
        <v>2.9090199590816854</v>
      </c>
      <c r="N95" s="449">
        <f>IF(Assumptions!$L$30=4,F95,CHOOSE(Assumptions!$L$30,E95,F95,G95))</f>
        <v>0.17</v>
      </c>
      <c r="O95">
        <v>0.19</v>
      </c>
      <c r="P95" s="1720">
        <f>Assumptions!$L$32*(1+Assumptions!$C$26)^(YEAR(A95)-2000)</f>
        <v>9.4192224747240927E-2</v>
      </c>
    </row>
    <row r="96" spans="1:16">
      <c r="A96" s="325">
        <f>'Curve Paste'!BQ96</f>
        <v>39387</v>
      </c>
      <c r="B96" s="415">
        <f>IF(Assumptions!$L$30=4,VLOOKUP($A96,'Henwood Reference'!$E$9:$R$296,14),'Curve Paste'!BR96)</f>
        <v>2.9896722670922093</v>
      </c>
      <c r="C96" s="415">
        <f>IF(Assumptions!$L$30=4,VLOOKUP($A96,'Henwood Reference'!$E$9:$R$296,14),'Curve Paste'!BS96)</f>
        <v>2.9896722670922093</v>
      </c>
      <c r="D96" s="415">
        <f>IF(Assumptions!$L$30=4,VLOOKUP($A96,'Henwood Reference'!$E$9:$R$296,14),'Curve Paste'!BT96)</f>
        <v>2.9896722670922093</v>
      </c>
      <c r="E96" s="416">
        <v>0.16250000000000001</v>
      </c>
      <c r="F96" s="416">
        <v>0.17</v>
      </c>
      <c r="G96" s="416">
        <v>0.17749999999999999</v>
      </c>
      <c r="H96" s="416">
        <f t="shared" si="4"/>
        <v>-7.0000000000000007E-2</v>
      </c>
      <c r="I96" s="416"/>
      <c r="J96" s="416">
        <f t="shared" si="5"/>
        <v>7.0000000000000007E-2</v>
      </c>
      <c r="K96" s="432">
        <f t="shared" si="3"/>
        <v>0</v>
      </c>
      <c r="L96" s="1618">
        <f>IF(Assumptions!$L$30=4,0,O96+P96)</f>
        <v>0</v>
      </c>
      <c r="M96" s="445">
        <f t="shared" si="6"/>
        <v>3.0259840760042604</v>
      </c>
      <c r="N96" s="449">
        <f>IF(Assumptions!$L$30=4,F96,CHOOSE(Assumptions!$L$30,E96,F96,G96))</f>
        <v>0.17</v>
      </c>
      <c r="O96">
        <v>0.155</v>
      </c>
      <c r="P96" s="1720">
        <f>Assumptions!$L$32*(1+Assumptions!$C$26)^(YEAR(A96)-2000)</f>
        <v>9.4192224747240927E-2</v>
      </c>
    </row>
    <row r="97" spans="1:16">
      <c r="A97" s="325">
        <f>'Curve Paste'!BQ97</f>
        <v>39417</v>
      </c>
      <c r="B97" s="415">
        <f>IF(Assumptions!$L$30=4,VLOOKUP($A97,'Henwood Reference'!$E$9:$R$296,14),'Curve Paste'!BR97)</f>
        <v>3.1117728654978447</v>
      </c>
      <c r="C97" s="415">
        <f>IF(Assumptions!$L$30=4,VLOOKUP($A97,'Henwood Reference'!$E$9:$R$296,14),'Curve Paste'!BS97)</f>
        <v>3.1117728654978447</v>
      </c>
      <c r="D97" s="415">
        <f>IF(Assumptions!$L$30=4,VLOOKUP($A97,'Henwood Reference'!$E$9:$R$296,14),'Curve Paste'!BT97)</f>
        <v>3.1117728654978447</v>
      </c>
      <c r="E97" s="416">
        <v>0.16250000000000001</v>
      </c>
      <c r="F97" s="416">
        <v>0.17</v>
      </c>
      <c r="G97" s="416">
        <v>0.17749999999999999</v>
      </c>
      <c r="H97" s="416">
        <f t="shared" si="4"/>
        <v>-7.0000000000000007E-2</v>
      </c>
      <c r="I97" s="416"/>
      <c r="J97" s="416">
        <f t="shared" si="5"/>
        <v>7.0000000000000007E-2</v>
      </c>
      <c r="K97" s="432">
        <f t="shared" si="3"/>
        <v>0</v>
      </c>
      <c r="L97" s="1618">
        <f>IF(Assumptions!$L$30=4,0,O97+P97)</f>
        <v>0</v>
      </c>
      <c r="M97" s="445">
        <f t="shared" si="6"/>
        <v>3.1495676776293977</v>
      </c>
      <c r="N97" s="449">
        <f>IF(Assumptions!$L$30=4,F97,CHOOSE(Assumptions!$L$30,E97,F97,G97))</f>
        <v>0.17</v>
      </c>
      <c r="O97">
        <v>0.155</v>
      </c>
      <c r="P97" s="1720">
        <f>Assumptions!$L$32*(1+Assumptions!$C$26)^(YEAR(A97)-2000)</f>
        <v>9.4192224747240927E-2</v>
      </c>
    </row>
    <row r="98" spans="1:16">
      <c r="A98" s="325">
        <f>'Curve Paste'!BQ98</f>
        <v>39448</v>
      </c>
      <c r="B98" s="415">
        <f>IF(Assumptions!$L$30=4,VLOOKUP($A98,'Henwood Reference'!$E$9:$R$296,14),'Curve Paste'!BR98)</f>
        <v>3.0460681799279028</v>
      </c>
      <c r="C98" s="415">
        <f>IF(Assumptions!$L$30=4,VLOOKUP($A98,'Henwood Reference'!$E$9:$R$296,14),'Curve Paste'!BS98)</f>
        <v>3.0460681799279028</v>
      </c>
      <c r="D98" s="415">
        <f>IF(Assumptions!$L$30=4,VLOOKUP($A98,'Henwood Reference'!$E$9:$R$296,14),'Curve Paste'!BT98)</f>
        <v>3.0460681799279028</v>
      </c>
      <c r="E98" s="416">
        <v>0.16250000000000001</v>
      </c>
      <c r="F98" s="416">
        <v>0.17</v>
      </c>
      <c r="G98" s="416">
        <v>0.17749999999999999</v>
      </c>
      <c r="H98" s="416">
        <f t="shared" si="4"/>
        <v>-7.0000000000000007E-2</v>
      </c>
      <c r="I98" s="416"/>
      <c r="J98" s="416">
        <f t="shared" si="5"/>
        <v>7.0000000000000007E-2</v>
      </c>
      <c r="K98" s="432">
        <f t="shared" si="3"/>
        <v>0</v>
      </c>
      <c r="L98" s="1618">
        <f>IF(Assumptions!$L$30=4,0,O98+P98)</f>
        <v>0</v>
      </c>
      <c r="M98" s="445">
        <f t="shared" si="6"/>
        <v>3.0830649594411974</v>
      </c>
      <c r="N98" s="449">
        <f>IF(Assumptions!$L$30=4,F98,CHOOSE(Assumptions!$L$30,E98,F98,G98))</f>
        <v>0.17</v>
      </c>
      <c r="O98">
        <v>0.1275</v>
      </c>
      <c r="P98" s="1720">
        <f>Assumptions!$L$32*(1+Assumptions!$C$26)^(YEAR(A98)-2000)</f>
        <v>9.6076069242185758E-2</v>
      </c>
    </row>
    <row r="99" spans="1:16">
      <c r="A99" s="325">
        <f>'Curve Paste'!BQ99</f>
        <v>39479</v>
      </c>
      <c r="B99" s="415">
        <f>IF(Assumptions!$L$30=4,VLOOKUP($A99,'Henwood Reference'!$E$9:$R$296,14),'Curve Paste'!BR99)</f>
        <v>2.8086765091321793</v>
      </c>
      <c r="C99" s="415">
        <f>IF(Assumptions!$L$30=4,VLOOKUP($A99,'Henwood Reference'!$E$9:$R$296,14),'Curve Paste'!BS99)</f>
        <v>2.8086765091321793</v>
      </c>
      <c r="D99" s="415">
        <f>IF(Assumptions!$L$30=4,VLOOKUP($A99,'Henwood Reference'!$E$9:$R$296,14),'Curve Paste'!BT99)</f>
        <v>2.8086765091321793</v>
      </c>
      <c r="E99" s="416">
        <v>0.1525</v>
      </c>
      <c r="F99" s="416">
        <v>0.16</v>
      </c>
      <c r="G99" s="416">
        <v>0.16750000000000001</v>
      </c>
      <c r="H99" s="416">
        <f t="shared" si="4"/>
        <v>-7.0000000000000007E-2</v>
      </c>
      <c r="I99" s="416"/>
      <c r="J99" s="416">
        <f t="shared" si="5"/>
        <v>7.0000000000000007E-2</v>
      </c>
      <c r="K99" s="432">
        <f t="shared" si="3"/>
        <v>0</v>
      </c>
      <c r="L99" s="1618">
        <f>IF(Assumptions!$L$30=4,0,O99+P99)</f>
        <v>0</v>
      </c>
      <c r="M99" s="445">
        <f t="shared" si="6"/>
        <v>2.8427899890001815</v>
      </c>
      <c r="N99" s="449">
        <f>IF(Assumptions!$L$30=4,F99,CHOOSE(Assumptions!$L$30,E99,F99,G99))</f>
        <v>0.16</v>
      </c>
      <c r="O99">
        <v>0.1275</v>
      </c>
      <c r="P99" s="1720">
        <f>Assumptions!$L$32*(1+Assumptions!$C$26)^(YEAR(A99)-2000)</f>
        <v>9.6076069242185758E-2</v>
      </c>
    </row>
    <row r="100" spans="1:16">
      <c r="A100" s="325">
        <f>'Curve Paste'!BQ100</f>
        <v>39508</v>
      </c>
      <c r="B100" s="415">
        <f>IF(Assumptions!$L$30=4,VLOOKUP($A100,'Henwood Reference'!$E$9:$R$296,14),'Curve Paste'!BR100)</f>
        <v>2.6538652806557108</v>
      </c>
      <c r="C100" s="415">
        <f>IF(Assumptions!$L$30=4,VLOOKUP($A100,'Henwood Reference'!$E$9:$R$296,14),'Curve Paste'!BS100)</f>
        <v>2.6538652806557108</v>
      </c>
      <c r="D100" s="415">
        <f>IF(Assumptions!$L$30=4,VLOOKUP($A100,'Henwood Reference'!$E$9:$R$296,14),'Curve Paste'!BT100)</f>
        <v>2.6538652806557108</v>
      </c>
      <c r="E100" s="416">
        <v>0.1525</v>
      </c>
      <c r="F100" s="416">
        <v>0.16</v>
      </c>
      <c r="G100" s="416">
        <v>0.16750000000000001</v>
      </c>
      <c r="H100" s="416">
        <f t="shared" si="4"/>
        <v>-7.0000000000000007E-2</v>
      </c>
      <c r="I100" s="416"/>
      <c r="J100" s="416">
        <f t="shared" si="5"/>
        <v>7.0000000000000007E-2</v>
      </c>
      <c r="K100" s="432">
        <f t="shared" si="3"/>
        <v>0</v>
      </c>
      <c r="L100" s="1618">
        <f>IF(Assumptions!$L$30=4,0,O100+P100)</f>
        <v>0</v>
      </c>
      <c r="M100" s="445">
        <f t="shared" si="6"/>
        <v>2.6860984622021364</v>
      </c>
      <c r="N100" s="449">
        <f>IF(Assumptions!$L$30=4,F100,CHOOSE(Assumptions!$L$30,E100,F100,G100))</f>
        <v>0.16</v>
      </c>
      <c r="O100">
        <v>0.14499999999999999</v>
      </c>
      <c r="P100" s="1720">
        <f>Assumptions!$L$32*(1+Assumptions!$C$26)^(YEAR(A100)-2000)</f>
        <v>9.6076069242185758E-2</v>
      </c>
    </row>
    <row r="101" spans="1:16">
      <c r="A101" s="325">
        <f>'Curve Paste'!BQ101</f>
        <v>39539</v>
      </c>
      <c r="B101" s="415">
        <f>IF(Assumptions!$L$30=4,VLOOKUP($A101,'Henwood Reference'!$E$9:$R$296,14),'Curve Paste'!BR101)</f>
        <v>2.569924483226631</v>
      </c>
      <c r="C101" s="415">
        <f>IF(Assumptions!$L$30=4,VLOOKUP($A101,'Henwood Reference'!$E$9:$R$296,14),'Curve Paste'!BS101)</f>
        <v>2.569924483226631</v>
      </c>
      <c r="D101" s="415">
        <f>IF(Assumptions!$L$30=4,VLOOKUP($A101,'Henwood Reference'!$E$9:$R$296,14),'Curve Paste'!BT101)</f>
        <v>2.569924483226631</v>
      </c>
      <c r="E101" s="416">
        <v>0.1525</v>
      </c>
      <c r="F101" s="416">
        <v>0.16</v>
      </c>
      <c r="G101" s="416">
        <v>0.16750000000000001</v>
      </c>
      <c r="H101" s="416">
        <f t="shared" si="4"/>
        <v>-7.0000000000000007E-2</v>
      </c>
      <c r="I101" s="416"/>
      <c r="J101" s="416">
        <f t="shared" si="5"/>
        <v>7.0000000000000007E-2</v>
      </c>
      <c r="K101" s="432">
        <f t="shared" si="3"/>
        <v>0</v>
      </c>
      <c r="L101" s="1618">
        <f>IF(Assumptions!$L$30=4,0,O101+P101)</f>
        <v>0</v>
      </c>
      <c r="M101" s="445">
        <f t="shared" si="6"/>
        <v>2.6011381409176426</v>
      </c>
      <c r="N101" s="449">
        <f>IF(Assumptions!$L$30=4,F101,CHOOSE(Assumptions!$L$30,E101,F101,G101))</f>
        <v>0.16</v>
      </c>
      <c r="O101">
        <v>0.13</v>
      </c>
      <c r="P101" s="1720">
        <f>Assumptions!$L$32*(1+Assumptions!$C$26)^(YEAR(A101)-2000)</f>
        <v>9.6076069242185758E-2</v>
      </c>
    </row>
    <row r="102" spans="1:16">
      <c r="A102" s="325">
        <f>'Curve Paste'!BQ102</f>
        <v>39569</v>
      </c>
      <c r="B102" s="415">
        <f>IF(Assumptions!$L$30=4,VLOOKUP($A102,'Henwood Reference'!$E$9:$R$296,14),'Curve Paste'!BR102)</f>
        <v>2.5463978237395879</v>
      </c>
      <c r="C102" s="415">
        <f>IF(Assumptions!$L$30=4,VLOOKUP($A102,'Henwood Reference'!$E$9:$R$296,14),'Curve Paste'!BS102)</f>
        <v>2.5463978237395879</v>
      </c>
      <c r="D102" s="415">
        <f>IF(Assumptions!$L$30=4,VLOOKUP($A102,'Henwood Reference'!$E$9:$R$296,14),'Curve Paste'!BT102)</f>
        <v>2.5463978237395879</v>
      </c>
      <c r="E102" s="416">
        <v>0.1525</v>
      </c>
      <c r="F102" s="416">
        <v>0.16</v>
      </c>
      <c r="G102" s="416">
        <v>0.16750000000000001</v>
      </c>
      <c r="H102" s="416">
        <f t="shared" si="4"/>
        <v>-7.0000000000000007E-2</v>
      </c>
      <c r="I102" s="416"/>
      <c r="J102" s="416">
        <f t="shared" si="5"/>
        <v>7.0000000000000007E-2</v>
      </c>
      <c r="K102" s="432">
        <f t="shared" si="3"/>
        <v>0</v>
      </c>
      <c r="L102" s="1618">
        <f>IF(Assumptions!$L$30=4,0,O102+P102)</f>
        <v>0</v>
      </c>
      <c r="M102" s="445">
        <f t="shared" si="6"/>
        <v>2.5773257325299475</v>
      </c>
      <c r="N102" s="449">
        <f>IF(Assumptions!$L$30=4,F102,CHOOSE(Assumptions!$L$30,E102,F102,G102))</f>
        <v>0.16</v>
      </c>
      <c r="O102">
        <v>0.14499999999999999</v>
      </c>
      <c r="P102" s="1720">
        <f>Assumptions!$L$32*(1+Assumptions!$C$26)^(YEAR(A102)-2000)</f>
        <v>9.6076069242185758E-2</v>
      </c>
    </row>
    <row r="103" spans="1:16">
      <c r="A103" s="325">
        <f>'Curve Paste'!BQ103</f>
        <v>39600</v>
      </c>
      <c r="B103" s="415">
        <f>IF(Assumptions!$L$30=4,VLOOKUP($A103,'Henwood Reference'!$E$9:$R$296,14),'Curve Paste'!BR103)</f>
        <v>2.5728290090892294</v>
      </c>
      <c r="C103" s="415">
        <f>IF(Assumptions!$L$30=4,VLOOKUP($A103,'Henwood Reference'!$E$9:$R$296,14),'Curve Paste'!BS103)</f>
        <v>2.5728290090892294</v>
      </c>
      <c r="D103" s="415">
        <f>IF(Assumptions!$L$30=4,VLOOKUP($A103,'Henwood Reference'!$E$9:$R$296,14),'Curve Paste'!BT103)</f>
        <v>2.5728290090892294</v>
      </c>
      <c r="E103" s="416">
        <v>0.1525</v>
      </c>
      <c r="F103" s="416">
        <v>0.16</v>
      </c>
      <c r="G103" s="416">
        <v>0.16750000000000001</v>
      </c>
      <c r="H103" s="416">
        <f t="shared" si="4"/>
        <v>-7.0000000000000007E-2</v>
      </c>
      <c r="I103" s="416"/>
      <c r="J103" s="416">
        <f t="shared" si="5"/>
        <v>7.0000000000000007E-2</v>
      </c>
      <c r="K103" s="432">
        <f t="shared" si="3"/>
        <v>0</v>
      </c>
      <c r="L103" s="1618">
        <f>IF(Assumptions!$L$30=4,0,O103+P103)</f>
        <v>0</v>
      </c>
      <c r="M103" s="445">
        <f t="shared" si="6"/>
        <v>2.604077944422297</v>
      </c>
      <c r="N103" s="449">
        <f>IF(Assumptions!$L$30=4,F103,CHOOSE(Assumptions!$L$30,E103,F103,G103))</f>
        <v>0.16</v>
      </c>
      <c r="O103">
        <v>0.17499999999999999</v>
      </c>
      <c r="P103" s="1720">
        <f>Assumptions!$L$32*(1+Assumptions!$C$26)^(YEAR(A103)-2000)</f>
        <v>9.6076069242185758E-2</v>
      </c>
    </row>
    <row r="104" spans="1:16">
      <c r="A104" s="325">
        <f>'Curve Paste'!BQ104</f>
        <v>39630</v>
      </c>
      <c r="B104" s="415">
        <f>IF(Assumptions!$L$30=4,VLOOKUP($A104,'Henwood Reference'!$E$9:$R$296,14),'Curve Paste'!BR104)</f>
        <v>2.6387617461702018</v>
      </c>
      <c r="C104" s="415">
        <f>IF(Assumptions!$L$30=4,VLOOKUP($A104,'Henwood Reference'!$E$9:$R$296,14),'Curve Paste'!BS104)</f>
        <v>2.6387617461702018</v>
      </c>
      <c r="D104" s="415">
        <f>IF(Assumptions!$L$30=4,VLOOKUP($A104,'Henwood Reference'!$E$9:$R$296,14),'Curve Paste'!BT104)</f>
        <v>2.6387617461702018</v>
      </c>
      <c r="E104" s="416">
        <v>0.1525</v>
      </c>
      <c r="F104" s="416">
        <v>0.16</v>
      </c>
      <c r="G104" s="416">
        <v>0.16750000000000001</v>
      </c>
      <c r="H104" s="416">
        <f t="shared" si="4"/>
        <v>-7.0000000000000007E-2</v>
      </c>
      <c r="I104" s="416"/>
      <c r="J104" s="416">
        <f t="shared" si="5"/>
        <v>7.0000000000000007E-2</v>
      </c>
      <c r="K104" s="432">
        <f t="shared" si="3"/>
        <v>0</v>
      </c>
      <c r="L104" s="1618">
        <f>IF(Assumptions!$L$30=4,0,O104+P104)</f>
        <v>0</v>
      </c>
      <c r="M104" s="445">
        <f t="shared" si="6"/>
        <v>2.6708114839779369</v>
      </c>
      <c r="N104" s="449">
        <f>IF(Assumptions!$L$30=4,F104,CHOOSE(Assumptions!$L$30,E104,F104,G104))</f>
        <v>0.16</v>
      </c>
      <c r="O104">
        <v>0.27500000000000002</v>
      </c>
      <c r="P104" s="1720">
        <f>Assumptions!$L$32*(1+Assumptions!$C$26)^(YEAR(A104)-2000)</f>
        <v>9.6076069242185758E-2</v>
      </c>
    </row>
    <row r="105" spans="1:16">
      <c r="A105" s="325">
        <f>'Curve Paste'!BQ105</f>
        <v>39661</v>
      </c>
      <c r="B105" s="415">
        <f>IF(Assumptions!$L$30=4,VLOOKUP($A105,'Henwood Reference'!$E$9:$R$296,14),'Curve Paste'!BR105)</f>
        <v>2.7337397418771534</v>
      </c>
      <c r="C105" s="415">
        <f>IF(Assumptions!$L$30=4,VLOOKUP($A105,'Henwood Reference'!$E$9:$R$296,14),'Curve Paste'!BS105)</f>
        <v>2.7337397418771534</v>
      </c>
      <c r="D105" s="415">
        <f>IF(Assumptions!$L$30=4,VLOOKUP($A105,'Henwood Reference'!$E$9:$R$296,14),'Curve Paste'!BT105)</f>
        <v>2.7337397418771534</v>
      </c>
      <c r="E105" s="416">
        <v>0.1525</v>
      </c>
      <c r="F105" s="416">
        <v>0.16</v>
      </c>
      <c r="G105" s="416">
        <v>0.16750000000000001</v>
      </c>
      <c r="H105" s="416">
        <f t="shared" si="4"/>
        <v>-7.0000000000000007E-2</v>
      </c>
      <c r="I105" s="416"/>
      <c r="J105" s="416">
        <f t="shared" si="5"/>
        <v>7.0000000000000007E-2</v>
      </c>
      <c r="K105" s="432">
        <f t="shared" si="3"/>
        <v>0</v>
      </c>
      <c r="L105" s="1618">
        <f>IF(Assumptions!$L$30=4,0,O105+P105)</f>
        <v>0</v>
      </c>
      <c r="M105" s="445">
        <f t="shared" si="6"/>
        <v>2.7669430585801149</v>
      </c>
      <c r="N105" s="449">
        <f>IF(Assumptions!$L$30=4,F105,CHOOSE(Assumptions!$L$30,E105,F105,G105))</f>
        <v>0.16</v>
      </c>
      <c r="O105">
        <v>0.27500000000000002</v>
      </c>
      <c r="P105" s="1720">
        <f>Assumptions!$L$32*(1+Assumptions!$C$26)^(YEAR(A105)-2000)</f>
        <v>9.6076069242185758E-2</v>
      </c>
    </row>
    <row r="106" spans="1:16">
      <c r="A106" s="325">
        <f>'Curve Paste'!BQ106</f>
        <v>39692</v>
      </c>
      <c r="B106" s="415">
        <f>IF(Assumptions!$L$30=4,VLOOKUP($A106,'Henwood Reference'!$E$9:$R$296,14),'Curve Paste'!BR106)</f>
        <v>2.8473067031047319</v>
      </c>
      <c r="C106" s="415">
        <f>IF(Assumptions!$L$30=4,VLOOKUP($A106,'Henwood Reference'!$E$9:$R$296,14),'Curve Paste'!BS106)</f>
        <v>2.8473067031047319</v>
      </c>
      <c r="D106" s="415">
        <f>IF(Assumptions!$L$30=4,VLOOKUP($A106,'Henwood Reference'!$E$9:$R$296,14),'Curve Paste'!BT106)</f>
        <v>2.8473067031047319</v>
      </c>
      <c r="E106" s="416">
        <v>0.1525</v>
      </c>
      <c r="F106" s="416">
        <v>0.16</v>
      </c>
      <c r="G106" s="416">
        <v>0.16750000000000001</v>
      </c>
      <c r="H106" s="416">
        <f t="shared" si="4"/>
        <v>-7.0000000000000007E-2</v>
      </c>
      <c r="I106" s="416"/>
      <c r="J106" s="416">
        <f t="shared" si="5"/>
        <v>7.0000000000000007E-2</v>
      </c>
      <c r="K106" s="432">
        <f t="shared" ref="K106:K169" si="7">K94</f>
        <v>0</v>
      </c>
      <c r="L106" s="1618">
        <f>IF(Assumptions!$L$30=4,0,O106+P106)</f>
        <v>0</v>
      </c>
      <c r="M106" s="445">
        <f t="shared" si="6"/>
        <v>2.8818893756120767</v>
      </c>
      <c r="N106" s="449">
        <f>IF(Assumptions!$L$30=4,F106,CHOOSE(Assumptions!$L$30,E106,F106,G106))</f>
        <v>0.16</v>
      </c>
      <c r="O106">
        <v>0.27500000000000002</v>
      </c>
      <c r="P106" s="1720">
        <f>Assumptions!$L$32*(1+Assumptions!$C$26)^(YEAR(A106)-2000)</f>
        <v>9.6076069242185758E-2</v>
      </c>
    </row>
    <row r="107" spans="1:16">
      <c r="A107" s="325">
        <f>'Curve Paste'!BQ107</f>
        <v>39722</v>
      </c>
      <c r="B107" s="415">
        <f>IF(Assumptions!$L$30=4,VLOOKUP($A107,'Henwood Reference'!$E$9:$R$296,14),'Curve Paste'!BR107)</f>
        <v>2.9690063367475852</v>
      </c>
      <c r="C107" s="415">
        <f>IF(Assumptions!$L$30=4,VLOOKUP($A107,'Henwood Reference'!$E$9:$R$296,14),'Curve Paste'!BS107)</f>
        <v>2.9690063367475852</v>
      </c>
      <c r="D107" s="415">
        <f>IF(Assumptions!$L$30=4,VLOOKUP($A107,'Henwood Reference'!$E$9:$R$296,14),'Curve Paste'!BT107)</f>
        <v>2.9690063367475852</v>
      </c>
      <c r="E107" s="416">
        <v>0.1525</v>
      </c>
      <c r="F107" s="416">
        <v>0.16</v>
      </c>
      <c r="G107" s="416">
        <v>0.16750000000000001</v>
      </c>
      <c r="H107" s="416">
        <f t="shared" si="4"/>
        <v>-7.0000000000000007E-2</v>
      </c>
      <c r="I107" s="416"/>
      <c r="J107" s="416">
        <f t="shared" si="5"/>
        <v>7.0000000000000007E-2</v>
      </c>
      <c r="K107" s="432">
        <f t="shared" si="7"/>
        <v>0</v>
      </c>
      <c r="L107" s="1618">
        <f>IF(Assumptions!$L$30=4,0,O107+P107)</f>
        <v>0</v>
      </c>
      <c r="M107" s="445">
        <f t="shared" si="6"/>
        <v>3.0050671424570701</v>
      </c>
      <c r="N107" s="449">
        <f>IF(Assumptions!$L$30=4,F107,CHOOSE(Assumptions!$L$30,E107,F107,G107))</f>
        <v>0.16</v>
      </c>
      <c r="O107">
        <v>0.19500000000000001</v>
      </c>
      <c r="P107" s="1720">
        <f>Assumptions!$L$32*(1+Assumptions!$C$26)^(YEAR(A107)-2000)</f>
        <v>9.6076069242185758E-2</v>
      </c>
    </row>
    <row r="108" spans="1:16">
      <c r="A108" s="325">
        <f>'Curve Paste'!BQ108</f>
        <v>39753</v>
      </c>
      <c r="B108" s="415">
        <f>IF(Assumptions!$L$30=4,VLOOKUP($A108,'Henwood Reference'!$E$9:$R$296,14),'Curve Paste'!BR108)</f>
        <v>3.0883823497003582</v>
      </c>
      <c r="C108" s="415">
        <f>IF(Assumptions!$L$30=4,VLOOKUP($A108,'Henwood Reference'!$E$9:$R$296,14),'Curve Paste'!BS108)</f>
        <v>3.0883823497003582</v>
      </c>
      <c r="D108" s="415">
        <f>IF(Assumptions!$L$30=4,VLOOKUP($A108,'Henwood Reference'!$E$9:$R$296,14),'Curve Paste'!BT108)</f>
        <v>3.0883823497003582</v>
      </c>
      <c r="E108" s="416">
        <v>0.1525</v>
      </c>
      <c r="F108" s="416">
        <v>0.16</v>
      </c>
      <c r="G108" s="416">
        <v>0.16750000000000001</v>
      </c>
      <c r="H108" s="416">
        <f t="shared" si="4"/>
        <v>-7.0000000000000007E-2</v>
      </c>
      <c r="I108" s="416"/>
      <c r="J108" s="416">
        <f t="shared" si="5"/>
        <v>7.0000000000000007E-2</v>
      </c>
      <c r="K108" s="432">
        <f t="shared" si="7"/>
        <v>0</v>
      </c>
      <c r="L108" s="1618">
        <f>IF(Assumptions!$L$30=4,0,O108+P108)</f>
        <v>0</v>
      </c>
      <c r="M108" s="445">
        <f t="shared" si="6"/>
        <v>3.1258930664983384</v>
      </c>
      <c r="N108" s="449">
        <f>IF(Assumptions!$L$30=4,F108,CHOOSE(Assumptions!$L$30,E108,F108,G108))</f>
        <v>0.16</v>
      </c>
      <c r="O108">
        <v>0.16</v>
      </c>
      <c r="P108" s="1720">
        <f>Assumptions!$L$32*(1+Assumptions!$C$26)^(YEAR(A108)-2000)</f>
        <v>9.6076069242185758E-2</v>
      </c>
    </row>
    <row r="109" spans="1:16">
      <c r="A109" s="325">
        <f>'Curve Paste'!BQ109</f>
        <v>39783</v>
      </c>
      <c r="B109" s="415">
        <f>IF(Assumptions!$L$30=4,VLOOKUP($A109,'Henwood Reference'!$E$9:$R$296,14),'Curve Paste'!BR109)</f>
        <v>3.2145143465598607</v>
      </c>
      <c r="C109" s="415">
        <f>IF(Assumptions!$L$30=4,VLOOKUP($A109,'Henwood Reference'!$E$9:$R$296,14),'Curve Paste'!BS109)</f>
        <v>3.2145143465598607</v>
      </c>
      <c r="D109" s="415">
        <f>IF(Assumptions!$L$30=4,VLOOKUP($A109,'Henwood Reference'!$E$9:$R$296,14),'Curve Paste'!BT109)</f>
        <v>3.2145143465598607</v>
      </c>
      <c r="E109" s="416">
        <v>0.1525</v>
      </c>
      <c r="F109" s="416">
        <v>0.16</v>
      </c>
      <c r="G109" s="416">
        <v>0.16750000000000001</v>
      </c>
      <c r="H109" s="416">
        <f t="shared" si="4"/>
        <v>-7.0000000000000007E-2</v>
      </c>
      <c r="I109" s="416"/>
      <c r="J109" s="416">
        <f t="shared" si="5"/>
        <v>7.0000000000000007E-2</v>
      </c>
      <c r="K109" s="432">
        <f t="shared" si="7"/>
        <v>0</v>
      </c>
      <c r="L109" s="1618">
        <f>IF(Assumptions!$L$30=4,0,O109+P109)</f>
        <v>0</v>
      </c>
      <c r="M109" s="445">
        <f t="shared" si="6"/>
        <v>3.2535570309310331</v>
      </c>
      <c r="N109" s="449">
        <f>IF(Assumptions!$L$30=4,F109,CHOOSE(Assumptions!$L$30,E109,F109,G109))</f>
        <v>0.16</v>
      </c>
      <c r="O109">
        <v>0.16</v>
      </c>
      <c r="P109" s="1720">
        <f>Assumptions!$L$32*(1+Assumptions!$C$26)^(YEAR(A109)-2000)</f>
        <v>9.6076069242185758E-2</v>
      </c>
    </row>
    <row r="110" spans="1:16">
      <c r="A110" s="325">
        <f>'Curve Paste'!BQ110</f>
        <v>39814</v>
      </c>
      <c r="B110" s="415">
        <f>IF(Assumptions!$L$30=4,VLOOKUP($A110,'Henwood Reference'!$E$9:$R$296,14),'Curve Paste'!BR110)</f>
        <v>3.1170580944665729</v>
      </c>
      <c r="C110" s="415">
        <f>IF(Assumptions!$L$30=4,VLOOKUP($A110,'Henwood Reference'!$E$9:$R$296,14),'Curve Paste'!BS110)</f>
        <v>3.1170580944665729</v>
      </c>
      <c r="D110" s="415">
        <f>IF(Assumptions!$L$30=4,VLOOKUP($A110,'Henwood Reference'!$E$9:$R$296,14),'Curve Paste'!BT110)</f>
        <v>3.1170580944665729</v>
      </c>
      <c r="E110" s="416">
        <v>0.1525</v>
      </c>
      <c r="F110" s="416">
        <v>0.16</v>
      </c>
      <c r="G110" s="416">
        <v>0.16750000000000001</v>
      </c>
      <c r="H110" s="416">
        <f t="shared" si="4"/>
        <v>-7.0000000000000007E-2</v>
      </c>
      <c r="I110" s="416"/>
      <c r="J110" s="416">
        <f t="shared" si="5"/>
        <v>7.0000000000000007E-2</v>
      </c>
      <c r="K110" s="432">
        <f t="shared" si="7"/>
        <v>0</v>
      </c>
      <c r="L110" s="1618">
        <f>IF(Assumptions!$L$30=4,0,O110+P110)</f>
        <v>0</v>
      </c>
      <c r="M110" s="445">
        <f t="shared" si="6"/>
        <v>3.1549170996625233</v>
      </c>
      <c r="N110" s="449">
        <f>IF(Assumptions!$L$30=4,F110,CHOOSE(Assumptions!$L$30,E110,F110,G110))</f>
        <v>0.16</v>
      </c>
      <c r="O110">
        <v>0.13250000000000001</v>
      </c>
      <c r="P110" s="1720">
        <f>Assumptions!$L$32*(1+Assumptions!$C$26)^(YEAR(A110)-2000)</f>
        <v>9.7997590627029479E-2</v>
      </c>
    </row>
    <row r="111" spans="1:16">
      <c r="A111" s="325">
        <f>'Curve Paste'!BQ111</f>
        <v>39845</v>
      </c>
      <c r="B111" s="415">
        <f>IF(Assumptions!$L$30=4,VLOOKUP($A111,'Henwood Reference'!$E$9:$R$296,14),'Curve Paste'!BR111)</f>
        <v>2.8741339098114977</v>
      </c>
      <c r="C111" s="415">
        <f>IF(Assumptions!$L$30=4,VLOOKUP($A111,'Henwood Reference'!$E$9:$R$296,14),'Curve Paste'!BS111)</f>
        <v>2.8741339098114977</v>
      </c>
      <c r="D111" s="415">
        <f>IF(Assumptions!$L$30=4,VLOOKUP($A111,'Henwood Reference'!$E$9:$R$296,14),'Curve Paste'!BT111)</f>
        <v>2.8741339098114977</v>
      </c>
      <c r="E111" s="416">
        <v>0.1515</v>
      </c>
      <c r="F111" s="416">
        <v>0.159</v>
      </c>
      <c r="G111" s="416">
        <v>0.16650000000000001</v>
      </c>
      <c r="H111" s="416">
        <f t="shared" si="4"/>
        <v>-7.0000000000000007E-2</v>
      </c>
      <c r="I111" s="416"/>
      <c r="J111" s="416">
        <f t="shared" si="5"/>
        <v>7.0000000000000007E-2</v>
      </c>
      <c r="K111" s="432">
        <f t="shared" si="7"/>
        <v>0</v>
      </c>
      <c r="L111" s="1618">
        <f>IF(Assumptions!$L$30=4,0,O111+P111)</f>
        <v>0</v>
      </c>
      <c r="M111" s="445">
        <f t="shared" si="6"/>
        <v>2.9090424188375485</v>
      </c>
      <c r="N111" s="449">
        <f>IF(Assumptions!$L$30=4,F111,CHOOSE(Assumptions!$L$30,E111,F111,G111))</f>
        <v>0.159</v>
      </c>
      <c r="O111">
        <v>0.13250000000000001</v>
      </c>
      <c r="P111" s="1720">
        <f>Assumptions!$L$32*(1+Assumptions!$C$26)^(YEAR(A111)-2000)</f>
        <v>9.7997590627029479E-2</v>
      </c>
    </row>
    <row r="112" spans="1:16">
      <c r="A112" s="325">
        <f>'Curve Paste'!BQ112</f>
        <v>39873</v>
      </c>
      <c r="B112" s="415">
        <f>IF(Assumptions!$L$30=4,VLOOKUP($A112,'Henwood Reference'!$E$9:$R$296,14),'Curve Paste'!BR112)</f>
        <v>2.715714739808444</v>
      </c>
      <c r="C112" s="415">
        <f>IF(Assumptions!$L$30=4,VLOOKUP($A112,'Henwood Reference'!$E$9:$R$296,14),'Curve Paste'!BS112)</f>
        <v>2.715714739808444</v>
      </c>
      <c r="D112" s="415">
        <f>IF(Assumptions!$L$30=4,VLOOKUP($A112,'Henwood Reference'!$E$9:$R$296,14),'Curve Paste'!BT112)</f>
        <v>2.715714739808444</v>
      </c>
      <c r="E112" s="416">
        <v>0.1515</v>
      </c>
      <c r="F112" s="416">
        <v>0.159</v>
      </c>
      <c r="G112" s="416">
        <v>0.16650000000000001</v>
      </c>
      <c r="H112" s="416">
        <f t="shared" si="4"/>
        <v>-7.0000000000000007E-2</v>
      </c>
      <c r="I112" s="416"/>
      <c r="J112" s="416">
        <f t="shared" si="5"/>
        <v>7.0000000000000007E-2</v>
      </c>
      <c r="K112" s="432">
        <f t="shared" si="7"/>
        <v>0</v>
      </c>
      <c r="L112" s="1618">
        <f>IF(Assumptions!$L$30=4,0,O112+P112)</f>
        <v>0</v>
      </c>
      <c r="M112" s="445">
        <f t="shared" si="6"/>
        <v>2.7486991293607734</v>
      </c>
      <c r="N112" s="449">
        <f>IF(Assumptions!$L$30=4,F112,CHOOSE(Assumptions!$L$30,E112,F112,G112))</f>
        <v>0.159</v>
      </c>
      <c r="O112">
        <v>0.15</v>
      </c>
      <c r="P112" s="1720">
        <f>Assumptions!$L$32*(1+Assumptions!$C$26)^(YEAR(A112)-2000)</f>
        <v>9.7997590627029479E-2</v>
      </c>
    </row>
    <row r="113" spans="1:16">
      <c r="A113" s="325">
        <f>'Curve Paste'!BQ113</f>
        <v>39904</v>
      </c>
      <c r="B113" s="415">
        <f>IF(Assumptions!$L$30=4,VLOOKUP($A113,'Henwood Reference'!$E$9:$R$296,14),'Curve Paste'!BR113)</f>
        <v>2.6298176663921544</v>
      </c>
      <c r="C113" s="415">
        <f>IF(Assumptions!$L$30=4,VLOOKUP($A113,'Henwood Reference'!$E$9:$R$296,14),'Curve Paste'!BS113)</f>
        <v>2.6298176663921544</v>
      </c>
      <c r="D113" s="415">
        <f>IF(Assumptions!$L$30=4,VLOOKUP($A113,'Henwood Reference'!$E$9:$R$296,14),'Curve Paste'!BT113)</f>
        <v>2.6298176663921544</v>
      </c>
      <c r="E113" s="416">
        <v>0.1515</v>
      </c>
      <c r="F113" s="416">
        <v>0.159</v>
      </c>
      <c r="G113" s="416">
        <v>0.16650000000000001</v>
      </c>
      <c r="H113" s="416">
        <f t="shared" si="4"/>
        <v>-7.0000000000000007E-2</v>
      </c>
      <c r="I113" s="416"/>
      <c r="J113" s="416">
        <f t="shared" si="5"/>
        <v>7.0000000000000007E-2</v>
      </c>
      <c r="K113" s="432">
        <f t="shared" si="7"/>
        <v>0</v>
      </c>
      <c r="L113" s="1618">
        <f>IF(Assumptions!$L$30=4,0,O113+P113)</f>
        <v>0</v>
      </c>
      <c r="M113" s="445">
        <f t="shared" si="6"/>
        <v>2.6617587716519782</v>
      </c>
      <c r="N113" s="449">
        <f>IF(Assumptions!$L$30=4,F113,CHOOSE(Assumptions!$L$30,E113,F113,G113))</f>
        <v>0.159</v>
      </c>
      <c r="O113">
        <v>0.13500000000000001</v>
      </c>
      <c r="P113" s="1720">
        <f>Assumptions!$L$32*(1+Assumptions!$C$26)^(YEAR(A113)-2000)</f>
        <v>9.7997590627029479E-2</v>
      </c>
    </row>
    <row r="114" spans="1:16">
      <c r="A114" s="325">
        <f>'Curve Paste'!BQ114</f>
        <v>39934</v>
      </c>
      <c r="B114" s="415">
        <f>IF(Assumptions!$L$30=4,VLOOKUP($A114,'Henwood Reference'!$E$9:$R$296,14),'Curve Paste'!BR114)</f>
        <v>2.6057427080990072</v>
      </c>
      <c r="C114" s="415">
        <f>IF(Assumptions!$L$30=4,VLOOKUP($A114,'Henwood Reference'!$E$9:$R$296,14),'Curve Paste'!BS114)</f>
        <v>2.6057427080990072</v>
      </c>
      <c r="D114" s="415">
        <f>IF(Assumptions!$L$30=4,VLOOKUP($A114,'Henwood Reference'!$E$9:$R$296,14),'Curve Paste'!BT114)</f>
        <v>2.6057427080990072</v>
      </c>
      <c r="E114" s="416">
        <v>0.1515</v>
      </c>
      <c r="F114" s="416">
        <v>0.159</v>
      </c>
      <c r="G114" s="416">
        <v>0.16650000000000001</v>
      </c>
      <c r="H114" s="416">
        <f t="shared" si="4"/>
        <v>-7.0000000000000007E-2</v>
      </c>
      <c r="I114" s="416"/>
      <c r="J114" s="416">
        <f t="shared" si="5"/>
        <v>7.0000000000000007E-2</v>
      </c>
      <c r="K114" s="432">
        <f t="shared" si="7"/>
        <v>0</v>
      </c>
      <c r="L114" s="1618">
        <f>IF(Assumptions!$L$30=4,0,O114+P114)</f>
        <v>0</v>
      </c>
      <c r="M114" s="445">
        <f t="shared" si="6"/>
        <v>2.6373914049585094</v>
      </c>
      <c r="N114" s="449">
        <f>IF(Assumptions!$L$30=4,F114,CHOOSE(Assumptions!$L$30,E114,F114,G114))</f>
        <v>0.159</v>
      </c>
      <c r="O114">
        <v>0.15</v>
      </c>
      <c r="P114" s="1720">
        <f>Assumptions!$L$32*(1+Assumptions!$C$26)^(YEAR(A114)-2000)</f>
        <v>9.7997590627029479E-2</v>
      </c>
    </row>
    <row r="115" spans="1:16">
      <c r="A115" s="325">
        <f>'Curve Paste'!BQ115</f>
        <v>39965</v>
      </c>
      <c r="B115" s="415">
        <f>IF(Assumptions!$L$30=4,VLOOKUP($A115,'Henwood Reference'!$E$9:$R$296,14),'Curve Paste'!BR115)</f>
        <v>2.6327898834653829</v>
      </c>
      <c r="C115" s="415">
        <f>IF(Assumptions!$L$30=4,VLOOKUP($A115,'Henwood Reference'!$E$9:$R$296,14),'Curve Paste'!BS115)</f>
        <v>2.6327898834653829</v>
      </c>
      <c r="D115" s="415">
        <f>IF(Assumptions!$L$30=4,VLOOKUP($A115,'Henwood Reference'!$E$9:$R$296,14),'Curve Paste'!BT115)</f>
        <v>2.6327898834653829</v>
      </c>
      <c r="E115" s="416">
        <v>0.1515</v>
      </c>
      <c r="F115" s="416">
        <v>0.159</v>
      </c>
      <c r="G115" s="416">
        <v>0.16650000000000001</v>
      </c>
      <c r="H115" s="416">
        <f t="shared" si="4"/>
        <v>-7.0000000000000007E-2</v>
      </c>
      <c r="I115" s="416"/>
      <c r="J115" s="416">
        <f t="shared" si="5"/>
        <v>7.0000000000000007E-2</v>
      </c>
      <c r="K115" s="432">
        <f t="shared" si="7"/>
        <v>0</v>
      </c>
      <c r="L115" s="1618">
        <f>IF(Assumptions!$L$30=4,0,O115+P115)</f>
        <v>0</v>
      </c>
      <c r="M115" s="445">
        <f t="shared" si="6"/>
        <v>2.6647670885277157</v>
      </c>
      <c r="N115" s="449">
        <f>IF(Assumptions!$L$30=4,F115,CHOOSE(Assumptions!$L$30,E115,F115,G115))</f>
        <v>0.159</v>
      </c>
      <c r="O115">
        <v>0.18</v>
      </c>
      <c r="P115" s="1720">
        <f>Assumptions!$L$32*(1+Assumptions!$C$26)^(YEAR(A115)-2000)</f>
        <v>9.7997590627029479E-2</v>
      </c>
    </row>
    <row r="116" spans="1:16">
      <c r="A116" s="325">
        <f>'Curve Paste'!BQ116</f>
        <v>39995</v>
      </c>
      <c r="B116" s="415">
        <f>IF(Assumptions!$L$30=4,VLOOKUP($A116,'Henwood Reference'!$E$9:$R$296,14),'Curve Paste'!BR116)</f>
        <v>2.7002592110276589</v>
      </c>
      <c r="C116" s="415">
        <f>IF(Assumptions!$L$30=4,VLOOKUP($A116,'Henwood Reference'!$E$9:$R$296,14),'Curve Paste'!BS116)</f>
        <v>2.7002592110276589</v>
      </c>
      <c r="D116" s="415">
        <f>IF(Assumptions!$L$30=4,VLOOKUP($A116,'Henwood Reference'!$E$9:$R$296,14),'Curve Paste'!BT116)</f>
        <v>2.7002592110276589</v>
      </c>
      <c r="E116" s="416">
        <v>0.1515</v>
      </c>
      <c r="F116" s="416">
        <v>0.159</v>
      </c>
      <c r="G116" s="416">
        <v>0.16650000000000001</v>
      </c>
      <c r="H116" s="416">
        <f t="shared" si="4"/>
        <v>-7.0000000000000007E-2</v>
      </c>
      <c r="I116" s="416"/>
      <c r="J116" s="416">
        <f t="shared" si="5"/>
        <v>7.0000000000000007E-2</v>
      </c>
      <c r="K116" s="432">
        <f t="shared" si="7"/>
        <v>0</v>
      </c>
      <c r="L116" s="1618">
        <f>IF(Assumptions!$L$30=4,0,O116+P116)</f>
        <v>0</v>
      </c>
      <c r="M116" s="445">
        <f t="shared" si="6"/>
        <v>2.7330558816069424</v>
      </c>
      <c r="N116" s="449">
        <f>IF(Assumptions!$L$30=4,F116,CHOOSE(Assumptions!$L$30,E116,F116,G116))</f>
        <v>0.159</v>
      </c>
      <c r="O116">
        <v>0.28000000000000003</v>
      </c>
      <c r="P116" s="1720">
        <f>Assumptions!$L$32*(1+Assumptions!$C$26)^(YEAR(A116)-2000)</f>
        <v>9.7997590627029479E-2</v>
      </c>
    </row>
    <row r="117" spans="1:16">
      <c r="A117" s="325">
        <f>'Curve Paste'!BQ117</f>
        <v>40026</v>
      </c>
      <c r="B117" s="415">
        <f>IF(Assumptions!$L$30=4,VLOOKUP($A117,'Henwood Reference'!$E$9:$R$296,14),'Curve Paste'!BR117)</f>
        <v>2.7974507093222152</v>
      </c>
      <c r="C117" s="415">
        <f>IF(Assumptions!$L$30=4,VLOOKUP($A117,'Henwood Reference'!$E$9:$R$296,14),'Curve Paste'!BS117)</f>
        <v>2.7974507093222152</v>
      </c>
      <c r="D117" s="415">
        <f>IF(Assumptions!$L$30=4,VLOOKUP($A117,'Henwood Reference'!$E$9:$R$296,14),'Curve Paste'!BT117)</f>
        <v>2.7974507093222152</v>
      </c>
      <c r="E117" s="416">
        <v>0.1515</v>
      </c>
      <c r="F117" s="416">
        <v>0.159</v>
      </c>
      <c r="G117" s="416">
        <v>0.16650000000000001</v>
      </c>
      <c r="H117" s="416">
        <f t="shared" si="4"/>
        <v>-7.0000000000000007E-2</v>
      </c>
      <c r="I117" s="416"/>
      <c r="J117" s="416">
        <f t="shared" si="5"/>
        <v>7.0000000000000007E-2</v>
      </c>
      <c r="K117" s="432">
        <f t="shared" si="7"/>
        <v>0</v>
      </c>
      <c r="L117" s="1618">
        <f>IF(Assumptions!$L$30=4,0,O117+P117)</f>
        <v>0</v>
      </c>
      <c r="M117" s="445">
        <f t="shared" si="6"/>
        <v>2.8314278434435378</v>
      </c>
      <c r="N117" s="449">
        <f>IF(Assumptions!$L$30=4,F117,CHOOSE(Assumptions!$L$30,E117,F117,G117))</f>
        <v>0.159</v>
      </c>
      <c r="O117">
        <v>0.28000000000000003</v>
      </c>
      <c r="P117" s="1720">
        <f>Assumptions!$L$32*(1+Assumptions!$C$26)^(YEAR(A117)-2000)</f>
        <v>9.7997590627029479E-2</v>
      </c>
    </row>
    <row r="118" spans="1:16">
      <c r="A118" s="325">
        <f>'Curve Paste'!BQ118</f>
        <v>40057</v>
      </c>
      <c r="B118" s="415">
        <f>IF(Assumptions!$L$30=4,VLOOKUP($A118,'Henwood Reference'!$E$9:$R$296,14),'Curve Paste'!BR118)</f>
        <v>2.9136643968854306</v>
      </c>
      <c r="C118" s="415">
        <f>IF(Assumptions!$L$30=4,VLOOKUP($A118,'Henwood Reference'!$E$9:$R$296,14),'Curve Paste'!BS118)</f>
        <v>2.9136643968854306</v>
      </c>
      <c r="D118" s="415">
        <f>IF(Assumptions!$L$30=4,VLOOKUP($A118,'Henwood Reference'!$E$9:$R$296,14),'Curve Paste'!BT118)</f>
        <v>2.9136643968854306</v>
      </c>
      <c r="E118" s="416">
        <v>0.1515</v>
      </c>
      <c r="F118" s="416">
        <v>0.159</v>
      </c>
      <c r="G118" s="416">
        <v>0.16650000000000001</v>
      </c>
      <c r="H118" s="416">
        <f t="shared" si="4"/>
        <v>-7.0000000000000007E-2</v>
      </c>
      <c r="I118" s="416"/>
      <c r="J118" s="416">
        <f t="shared" si="5"/>
        <v>7.0000000000000007E-2</v>
      </c>
      <c r="K118" s="432">
        <f t="shared" si="7"/>
        <v>0</v>
      </c>
      <c r="L118" s="1618">
        <f>IF(Assumptions!$L$30=4,0,O118+P118)</f>
        <v>0</v>
      </c>
      <c r="M118" s="445">
        <f t="shared" si="6"/>
        <v>2.9490530332848488</v>
      </c>
      <c r="N118" s="449">
        <f>IF(Assumptions!$L$30=4,F118,CHOOSE(Assumptions!$L$30,E118,F118,G118))</f>
        <v>0.159</v>
      </c>
      <c r="O118">
        <v>0.28000000000000003</v>
      </c>
      <c r="P118" s="1720">
        <f>Assumptions!$L$32*(1+Assumptions!$C$26)^(YEAR(A118)-2000)</f>
        <v>9.7997590627029479E-2</v>
      </c>
    </row>
    <row r="119" spans="1:16">
      <c r="A119" s="325">
        <f>'Curve Paste'!BQ119</f>
        <v>40087</v>
      </c>
      <c r="B119" s="415">
        <f>IF(Assumptions!$L$30=4,VLOOKUP($A119,'Henwood Reference'!$E$9:$R$296,14),'Curve Paste'!BR119)</f>
        <v>3.038200292253685</v>
      </c>
      <c r="C119" s="415">
        <f>IF(Assumptions!$L$30=4,VLOOKUP($A119,'Henwood Reference'!$E$9:$R$296,14),'Curve Paste'!BS119)</f>
        <v>3.038200292253685</v>
      </c>
      <c r="D119" s="415">
        <f>IF(Assumptions!$L$30=4,VLOOKUP($A119,'Henwood Reference'!$E$9:$R$296,14),'Curve Paste'!BT119)</f>
        <v>3.038200292253685</v>
      </c>
      <c r="E119" s="416">
        <v>0.1515</v>
      </c>
      <c r="F119" s="416">
        <v>0.159</v>
      </c>
      <c r="G119" s="416">
        <v>0.16650000000000001</v>
      </c>
      <c r="H119" s="416">
        <f t="shared" si="4"/>
        <v>-7.0000000000000007E-2</v>
      </c>
      <c r="I119" s="416"/>
      <c r="J119" s="416">
        <f t="shared" si="5"/>
        <v>7.0000000000000007E-2</v>
      </c>
      <c r="K119" s="432">
        <f t="shared" si="7"/>
        <v>0</v>
      </c>
      <c r="L119" s="1618">
        <f>IF(Assumptions!$L$30=4,0,O119+P119)</f>
        <v>0</v>
      </c>
      <c r="M119" s="445">
        <f t="shared" si="6"/>
        <v>3.0751015103782238</v>
      </c>
      <c r="N119" s="449">
        <f>IF(Assumptions!$L$30=4,F119,CHOOSE(Assumptions!$L$30,E119,F119,G119))</f>
        <v>0.159</v>
      </c>
      <c r="O119">
        <v>0.2</v>
      </c>
      <c r="P119" s="1720">
        <f>Assumptions!$L$32*(1+Assumptions!$C$26)^(YEAR(A119)-2000)</f>
        <v>9.7997590627029479E-2</v>
      </c>
    </row>
    <row r="120" spans="1:16">
      <c r="A120" s="325">
        <f>'Curve Paste'!BQ120</f>
        <v>40118</v>
      </c>
      <c r="B120" s="415">
        <f>IF(Assumptions!$L$30=4,VLOOKUP($A120,'Henwood Reference'!$E$9:$R$296,14),'Curve Paste'!BR120)</f>
        <v>3.160358413963356</v>
      </c>
      <c r="C120" s="415">
        <f>IF(Assumptions!$L$30=4,VLOOKUP($A120,'Henwood Reference'!$E$9:$R$296,14),'Curve Paste'!BS120)</f>
        <v>3.160358413963356</v>
      </c>
      <c r="D120" s="415">
        <f>IF(Assumptions!$L$30=4,VLOOKUP($A120,'Henwood Reference'!$E$9:$R$296,14),'Curve Paste'!BT120)</f>
        <v>3.160358413963356</v>
      </c>
      <c r="E120" s="416">
        <v>0.1515</v>
      </c>
      <c r="F120" s="416">
        <v>0.159</v>
      </c>
      <c r="G120" s="416">
        <v>0.16650000000000001</v>
      </c>
      <c r="H120" s="416">
        <f t="shared" si="4"/>
        <v>-7.0000000000000007E-2</v>
      </c>
      <c r="I120" s="416"/>
      <c r="J120" s="416">
        <f t="shared" si="5"/>
        <v>7.0000000000000007E-2</v>
      </c>
      <c r="K120" s="432">
        <f t="shared" si="7"/>
        <v>0</v>
      </c>
      <c r="L120" s="1618">
        <f>IF(Assumptions!$L$30=4,0,O120+P120)</f>
        <v>0</v>
      </c>
      <c r="M120" s="445">
        <f t="shared" si="6"/>
        <v>3.1987433339710081</v>
      </c>
      <c r="N120" s="449">
        <f>IF(Assumptions!$L$30=4,F120,CHOOSE(Assumptions!$L$30,E120,F120,G120))</f>
        <v>0.159</v>
      </c>
      <c r="O120">
        <v>0.16500000000000001</v>
      </c>
      <c r="P120" s="1720">
        <f>Assumptions!$L$32*(1+Assumptions!$C$26)^(YEAR(A120)-2000)</f>
        <v>9.7997590627029479E-2</v>
      </c>
    </row>
    <row r="121" spans="1:16">
      <c r="A121" s="325">
        <f>'Curve Paste'!BQ121</f>
        <v>40148</v>
      </c>
      <c r="B121" s="415">
        <f>IF(Assumptions!$L$30=4,VLOOKUP($A121,'Henwood Reference'!$E$9:$R$296,14),'Curve Paste'!BR121)</f>
        <v>3.289429970658273</v>
      </c>
      <c r="C121" s="415">
        <f>IF(Assumptions!$L$30=4,VLOOKUP($A121,'Henwood Reference'!$E$9:$R$296,14),'Curve Paste'!BS121)</f>
        <v>3.289429970658273</v>
      </c>
      <c r="D121" s="415">
        <f>IF(Assumptions!$L$30=4,VLOOKUP($A121,'Henwood Reference'!$E$9:$R$296,14),'Curve Paste'!BT121)</f>
        <v>3.289429970658273</v>
      </c>
      <c r="E121" s="416">
        <v>0.1515</v>
      </c>
      <c r="F121" s="416">
        <v>0.159</v>
      </c>
      <c r="G121" s="416">
        <v>0.16650000000000001</v>
      </c>
      <c r="H121" s="416">
        <f t="shared" si="4"/>
        <v>-7.0000000000000007E-2</v>
      </c>
      <c r="I121" s="416"/>
      <c r="J121" s="416">
        <f t="shared" si="5"/>
        <v>7.0000000000000007E-2</v>
      </c>
      <c r="K121" s="432">
        <f t="shared" si="7"/>
        <v>0</v>
      </c>
      <c r="L121" s="1618">
        <f>IF(Assumptions!$L$30=4,0,O121+P121)</f>
        <v>0</v>
      </c>
      <c r="M121" s="445">
        <f t="shared" si="6"/>
        <v>3.3293825613950134</v>
      </c>
      <c r="N121" s="449">
        <f>IF(Assumptions!$L$30=4,F121,CHOOSE(Assumptions!$L$30,E121,F121,G121))</f>
        <v>0.159</v>
      </c>
      <c r="O121">
        <v>0.16500000000000001</v>
      </c>
      <c r="P121" s="1720">
        <f>Assumptions!$L$32*(1+Assumptions!$C$26)^(YEAR(A121)-2000)</f>
        <v>9.7997590627029479E-2</v>
      </c>
    </row>
    <row r="122" spans="1:16">
      <c r="A122" s="325">
        <f>'Curve Paste'!BQ122</f>
        <v>40179</v>
      </c>
      <c r="B122" s="415">
        <f>IF(Assumptions!$L$30=4,VLOOKUP($A122,'Henwood Reference'!$E$9:$R$296,14),'Curve Paste'!BR122)</f>
        <v>3.1976271030596766</v>
      </c>
      <c r="C122" s="415">
        <f>IF(Assumptions!$L$30=4,VLOOKUP($A122,'Henwood Reference'!$E$9:$R$296,14),'Curve Paste'!BS122)</f>
        <v>3.1976271030596766</v>
      </c>
      <c r="D122" s="415">
        <f>IF(Assumptions!$L$30=4,VLOOKUP($A122,'Henwood Reference'!$E$9:$R$296,14),'Curve Paste'!BT122)</f>
        <v>3.1976271030596766</v>
      </c>
      <c r="E122" s="416">
        <v>0.1515</v>
      </c>
      <c r="F122" s="416">
        <v>0.159</v>
      </c>
      <c r="G122" s="416">
        <v>0.16650000000000001</v>
      </c>
      <c r="H122" s="416">
        <f t="shared" si="4"/>
        <v>-7.0000000000000007E-2</v>
      </c>
      <c r="I122" s="416"/>
      <c r="J122" s="416">
        <f t="shared" si="5"/>
        <v>7.0000000000000007E-2</v>
      </c>
      <c r="K122" s="432">
        <f t="shared" si="7"/>
        <v>0</v>
      </c>
      <c r="L122" s="1618">
        <f>IF(Assumptions!$L$30=4,0,O122+P122)</f>
        <v>0</v>
      </c>
      <c r="M122" s="445">
        <f t="shared" si="6"/>
        <v>3.236464679210199</v>
      </c>
      <c r="N122" s="449">
        <f>IF(Assumptions!$L$30=4,F122,CHOOSE(Assumptions!$L$30,E122,F122,G122))</f>
        <v>0.159</v>
      </c>
      <c r="O122">
        <v>0.14249999999999999</v>
      </c>
      <c r="P122" s="1720">
        <f>Assumptions!$L$32*(1+Assumptions!$C$26)^(YEAR(A122)-2000)</f>
        <v>9.9957542439570071E-2</v>
      </c>
    </row>
    <row r="123" spans="1:16">
      <c r="A123" s="325">
        <f>'Curve Paste'!BQ123</f>
        <v>40210</v>
      </c>
      <c r="B123" s="415">
        <f>IF(Assumptions!$L$30=4,VLOOKUP($A123,'Henwood Reference'!$E$9:$R$296,14),'Curve Paste'!BR123)</f>
        <v>2.948423869337248</v>
      </c>
      <c r="C123" s="415">
        <f>IF(Assumptions!$L$30=4,VLOOKUP($A123,'Henwood Reference'!$E$9:$R$296,14),'Curve Paste'!BS123)</f>
        <v>2.948423869337248</v>
      </c>
      <c r="D123" s="415">
        <f>IF(Assumptions!$L$30=4,VLOOKUP($A123,'Henwood Reference'!$E$9:$R$296,14),'Curve Paste'!BT123)</f>
        <v>2.948423869337248</v>
      </c>
      <c r="E123" s="416">
        <v>0.15049999999999999</v>
      </c>
      <c r="F123" s="416">
        <v>0.158</v>
      </c>
      <c r="G123" s="416">
        <v>0.16550000000000001</v>
      </c>
      <c r="H123" s="416">
        <f t="shared" si="4"/>
        <v>-7.0000000000000007E-2</v>
      </c>
      <c r="I123" s="416"/>
      <c r="J123" s="416">
        <f t="shared" si="5"/>
        <v>7.0000000000000007E-2</v>
      </c>
      <c r="K123" s="432">
        <f t="shared" si="7"/>
        <v>0</v>
      </c>
      <c r="L123" s="1618">
        <f>IF(Assumptions!$L$30=4,0,O123+P123)</f>
        <v>0</v>
      </c>
      <c r="M123" s="445">
        <f t="shared" si="6"/>
        <v>2.9842346855640161</v>
      </c>
      <c r="N123" s="449">
        <f>IF(Assumptions!$L$30=4,F123,CHOOSE(Assumptions!$L$30,E123,F123,G123))</f>
        <v>0.158</v>
      </c>
      <c r="O123">
        <v>0.14249999999999999</v>
      </c>
      <c r="P123" s="1720">
        <f>Assumptions!$L$32*(1+Assumptions!$C$26)^(YEAR(A123)-2000)</f>
        <v>9.9957542439570071E-2</v>
      </c>
    </row>
    <row r="124" spans="1:16">
      <c r="A124" s="325">
        <f>'Curve Paste'!BQ124</f>
        <v>40238</v>
      </c>
      <c r="B124" s="415">
        <f>IF(Assumptions!$L$30=4,VLOOKUP($A124,'Henwood Reference'!$E$9:$R$296,14),'Curve Paste'!BR124)</f>
        <v>2.7859099166633334</v>
      </c>
      <c r="C124" s="415">
        <f>IF(Assumptions!$L$30=4,VLOOKUP($A124,'Henwood Reference'!$E$9:$R$296,14),'Curve Paste'!BS124)</f>
        <v>2.7859099166633334</v>
      </c>
      <c r="D124" s="415">
        <f>IF(Assumptions!$L$30=4,VLOOKUP($A124,'Henwood Reference'!$E$9:$R$296,14),'Curve Paste'!BT124)</f>
        <v>2.7859099166633334</v>
      </c>
      <c r="E124" s="416">
        <v>0.15049999999999999</v>
      </c>
      <c r="F124" s="416">
        <v>0.158</v>
      </c>
      <c r="G124" s="416">
        <v>0.16550000000000001</v>
      </c>
      <c r="H124" s="416">
        <f t="shared" si="4"/>
        <v>-7.0000000000000007E-2</v>
      </c>
      <c r="I124" s="416"/>
      <c r="J124" s="416">
        <f t="shared" si="5"/>
        <v>7.0000000000000007E-2</v>
      </c>
      <c r="K124" s="432">
        <f t="shared" si="7"/>
        <v>0</v>
      </c>
      <c r="L124" s="1618">
        <f>IF(Assumptions!$L$30=4,0,O124+P124)</f>
        <v>0</v>
      </c>
      <c r="M124" s="445">
        <f t="shared" si="6"/>
        <v>2.8197468792139002</v>
      </c>
      <c r="N124" s="449">
        <f>IF(Assumptions!$L$30=4,F124,CHOOSE(Assumptions!$L$30,E124,F124,G124))</f>
        <v>0.158</v>
      </c>
      <c r="O124">
        <v>0.16</v>
      </c>
      <c r="P124" s="1720">
        <f>Assumptions!$L$32*(1+Assumptions!$C$26)^(YEAR(A124)-2000)</f>
        <v>9.9957542439570071E-2</v>
      </c>
    </row>
    <row r="125" spans="1:16">
      <c r="A125" s="325">
        <f>'Curve Paste'!BQ125</f>
        <v>40269</v>
      </c>
      <c r="B125" s="415">
        <f>IF(Assumptions!$L$30=4,VLOOKUP($A125,'Henwood Reference'!$E$9:$R$296,14),'Curve Paste'!BR125)</f>
        <v>2.6977925952322614</v>
      </c>
      <c r="C125" s="415">
        <f>IF(Assumptions!$L$30=4,VLOOKUP($A125,'Henwood Reference'!$E$9:$R$296,14),'Curve Paste'!BS125)</f>
        <v>2.6977925952322614</v>
      </c>
      <c r="D125" s="415">
        <f>IF(Assumptions!$L$30=4,VLOOKUP($A125,'Henwood Reference'!$E$9:$R$296,14),'Curve Paste'!BT125)</f>
        <v>2.6977925952322614</v>
      </c>
      <c r="E125" s="416">
        <v>0.15049999999999999</v>
      </c>
      <c r="F125" s="416">
        <v>0.158</v>
      </c>
      <c r="G125" s="416">
        <v>0.16550000000000001</v>
      </c>
      <c r="H125" s="416">
        <f t="shared" si="4"/>
        <v>-7.0000000000000007E-2</v>
      </c>
      <c r="I125" s="416"/>
      <c r="J125" s="416">
        <f t="shared" si="5"/>
        <v>7.0000000000000007E-2</v>
      </c>
      <c r="K125" s="432">
        <f t="shared" si="7"/>
        <v>0</v>
      </c>
      <c r="L125" s="1618">
        <f>IF(Assumptions!$L$30=4,0,O125+P125)</f>
        <v>0</v>
      </c>
      <c r="M125" s="445">
        <f t="shared" si="6"/>
        <v>2.7305593069152443</v>
      </c>
      <c r="N125" s="449">
        <f>IF(Assumptions!$L$30=4,F125,CHOOSE(Assumptions!$L$30,E125,F125,G125))</f>
        <v>0.158</v>
      </c>
      <c r="O125">
        <v>0.14499999999999999</v>
      </c>
      <c r="P125" s="1720">
        <f>Assumptions!$L$32*(1+Assumptions!$C$26)^(YEAR(A125)-2000)</f>
        <v>9.9957542439570071E-2</v>
      </c>
    </row>
    <row r="126" spans="1:16">
      <c r="A126" s="325">
        <f>'Curve Paste'!BQ126</f>
        <v>40299</v>
      </c>
      <c r="B126" s="415">
        <f>IF(Assumptions!$L$30=4,VLOOKUP($A126,'Henwood Reference'!$E$9:$R$296,14),'Curve Paste'!BR126)</f>
        <v>2.6730953528934487</v>
      </c>
      <c r="C126" s="415">
        <f>IF(Assumptions!$L$30=4,VLOOKUP($A126,'Henwood Reference'!$E$9:$R$296,14),'Curve Paste'!BS126)</f>
        <v>2.6730953528934487</v>
      </c>
      <c r="D126" s="415">
        <f>IF(Assumptions!$L$30=4,VLOOKUP($A126,'Henwood Reference'!$E$9:$R$296,14),'Curve Paste'!BT126)</f>
        <v>2.6730953528934487</v>
      </c>
      <c r="E126" s="416">
        <v>0.15049999999999999</v>
      </c>
      <c r="F126" s="416">
        <v>0.158</v>
      </c>
      <c r="G126" s="416">
        <v>0.16550000000000001</v>
      </c>
      <c r="H126" s="416">
        <f t="shared" si="4"/>
        <v>-7.0000000000000007E-2</v>
      </c>
      <c r="I126" s="416"/>
      <c r="J126" s="416">
        <f t="shared" si="5"/>
        <v>7.0000000000000007E-2</v>
      </c>
      <c r="K126" s="432">
        <f t="shared" si="7"/>
        <v>0</v>
      </c>
      <c r="L126" s="1618">
        <f>IF(Assumptions!$L$30=4,0,O126+P126)</f>
        <v>0</v>
      </c>
      <c r="M126" s="445">
        <f t="shared" si="6"/>
        <v>2.7055620980702924</v>
      </c>
      <c r="N126" s="449">
        <f>IF(Assumptions!$L$30=4,F126,CHOOSE(Assumptions!$L$30,E126,F126,G126))</f>
        <v>0.158</v>
      </c>
      <c r="O126">
        <v>0.16</v>
      </c>
      <c r="P126" s="1720">
        <f>Assumptions!$L$32*(1+Assumptions!$C$26)^(YEAR(A126)-2000)</f>
        <v>9.9957542439570071E-2</v>
      </c>
    </row>
    <row r="127" spans="1:16">
      <c r="A127" s="325">
        <f>'Curve Paste'!BQ127</f>
        <v>40330</v>
      </c>
      <c r="B127" s="415">
        <f>IF(Assumptions!$L$30=4,VLOOKUP($A127,'Henwood Reference'!$E$9:$R$296,14),'Curve Paste'!BR127)</f>
        <v>2.7008416374963131</v>
      </c>
      <c r="C127" s="415">
        <f>IF(Assumptions!$L$30=4,VLOOKUP($A127,'Henwood Reference'!$E$9:$R$296,14),'Curve Paste'!BS127)</f>
        <v>2.7008416374963131</v>
      </c>
      <c r="D127" s="415">
        <f>IF(Assumptions!$L$30=4,VLOOKUP($A127,'Henwood Reference'!$E$9:$R$296,14),'Curve Paste'!BT127)</f>
        <v>2.7008416374963131</v>
      </c>
      <c r="E127" s="416">
        <v>0.15049999999999999</v>
      </c>
      <c r="F127" s="416">
        <v>0.158</v>
      </c>
      <c r="G127" s="416">
        <v>0.16550000000000001</v>
      </c>
      <c r="H127" s="416">
        <f t="shared" si="4"/>
        <v>-7.0000000000000007E-2</v>
      </c>
      <c r="I127" s="416"/>
      <c r="J127" s="416">
        <f t="shared" si="5"/>
        <v>7.0000000000000007E-2</v>
      </c>
      <c r="K127" s="432">
        <f t="shared" si="7"/>
        <v>0</v>
      </c>
      <c r="L127" s="1618">
        <f>IF(Assumptions!$L$30=4,0,O127+P127)</f>
        <v>0</v>
      </c>
      <c r="M127" s="445">
        <f t="shared" si="6"/>
        <v>2.7336453820812885</v>
      </c>
      <c r="N127" s="449">
        <f>IF(Assumptions!$L$30=4,F127,CHOOSE(Assumptions!$L$30,E127,F127,G127))</f>
        <v>0.158</v>
      </c>
      <c r="O127">
        <v>0.19</v>
      </c>
      <c r="P127" s="1720">
        <f>Assumptions!$L$32*(1+Assumptions!$C$26)^(YEAR(A127)-2000)</f>
        <v>9.9957542439570071E-2</v>
      </c>
    </row>
    <row r="128" spans="1:16">
      <c r="A128" s="325">
        <f>'Curve Paste'!BQ128</f>
        <v>40360</v>
      </c>
      <c r="B128" s="415">
        <f>IF(Assumptions!$L$30=4,VLOOKUP($A128,'Henwood Reference'!$E$9:$R$296,14),'Curve Paste'!BR128)</f>
        <v>2.7700548968902687</v>
      </c>
      <c r="C128" s="415">
        <f>IF(Assumptions!$L$30=4,VLOOKUP($A128,'Henwood Reference'!$E$9:$R$296,14),'Curve Paste'!BS128)</f>
        <v>2.7700548968902687</v>
      </c>
      <c r="D128" s="415">
        <f>IF(Assumptions!$L$30=4,VLOOKUP($A128,'Henwood Reference'!$E$9:$R$296,14),'Curve Paste'!BT128)</f>
        <v>2.7700548968902687</v>
      </c>
      <c r="E128" s="416">
        <v>0.15049999999999999</v>
      </c>
      <c r="F128" s="416">
        <v>0.158</v>
      </c>
      <c r="G128" s="416">
        <v>0.16550000000000001</v>
      </c>
      <c r="H128" s="416">
        <f t="shared" si="4"/>
        <v>-7.0000000000000007E-2</v>
      </c>
      <c r="I128" s="416"/>
      <c r="J128" s="416">
        <f t="shared" si="5"/>
        <v>7.0000000000000007E-2</v>
      </c>
      <c r="K128" s="432">
        <f t="shared" si="7"/>
        <v>0</v>
      </c>
      <c r="L128" s="1618">
        <f>IF(Assumptions!$L$30=4,0,O128+P128)</f>
        <v>0</v>
      </c>
      <c r="M128" s="445">
        <f t="shared" si="6"/>
        <v>2.8036992883504745</v>
      </c>
      <c r="N128" s="449">
        <f>IF(Assumptions!$L$30=4,F128,CHOOSE(Assumptions!$L$30,E128,F128,G128))</f>
        <v>0.158</v>
      </c>
      <c r="O128">
        <v>0.28999999999999998</v>
      </c>
      <c r="P128" s="1720">
        <f>Assumptions!$L$32*(1+Assumptions!$C$26)^(YEAR(A128)-2000)</f>
        <v>9.9957542439570071E-2</v>
      </c>
    </row>
    <row r="129" spans="1:16">
      <c r="A129" s="325">
        <f>'Curve Paste'!BQ129</f>
        <v>40391</v>
      </c>
      <c r="B129" s="415">
        <f>IF(Assumptions!$L$30=4,VLOOKUP($A129,'Henwood Reference'!$E$9:$R$296,14),'Curve Paste'!BR129)</f>
        <v>2.869758578924734</v>
      </c>
      <c r="C129" s="415">
        <f>IF(Assumptions!$L$30=4,VLOOKUP($A129,'Henwood Reference'!$E$9:$R$296,14),'Curve Paste'!BS129)</f>
        <v>2.869758578924734</v>
      </c>
      <c r="D129" s="415">
        <f>IF(Assumptions!$L$30=4,VLOOKUP($A129,'Henwood Reference'!$E$9:$R$296,14),'Curve Paste'!BT129)</f>
        <v>2.869758578924734</v>
      </c>
      <c r="E129" s="416">
        <v>0.15049999999999999</v>
      </c>
      <c r="F129" s="416">
        <v>0.158</v>
      </c>
      <c r="G129" s="416">
        <v>0.16550000000000001</v>
      </c>
      <c r="H129" s="416">
        <f t="shared" si="4"/>
        <v>-7.0000000000000007E-2</v>
      </c>
      <c r="I129" s="416"/>
      <c r="J129" s="416">
        <f t="shared" si="5"/>
        <v>7.0000000000000007E-2</v>
      </c>
      <c r="K129" s="432">
        <f t="shared" si="7"/>
        <v>0</v>
      </c>
      <c r="L129" s="1618">
        <f>IF(Assumptions!$L$30=4,0,O129+P129)</f>
        <v>0</v>
      </c>
      <c r="M129" s="445">
        <f t="shared" si="6"/>
        <v>2.9046139462800951</v>
      </c>
      <c r="N129" s="449">
        <f>IF(Assumptions!$L$30=4,F129,CHOOSE(Assumptions!$L$30,E129,F129,G129))</f>
        <v>0.158</v>
      </c>
      <c r="O129">
        <v>0.28999999999999998</v>
      </c>
      <c r="P129" s="1720">
        <f>Assumptions!$L$32*(1+Assumptions!$C$26)^(YEAR(A129)-2000)</f>
        <v>9.9957542439570071E-2</v>
      </c>
    </row>
    <row r="130" spans="1:16">
      <c r="A130" s="325">
        <f>'Curve Paste'!BQ130</f>
        <v>40422</v>
      </c>
      <c r="B130" s="415">
        <f>IF(Assumptions!$L$30=4,VLOOKUP($A130,'Henwood Reference'!$E$9:$R$296,14),'Curve Paste'!BR130)</f>
        <v>2.9889761314491254</v>
      </c>
      <c r="C130" s="415">
        <f>IF(Assumptions!$L$30=4,VLOOKUP($A130,'Henwood Reference'!$E$9:$R$296,14),'Curve Paste'!BS130)</f>
        <v>2.9889761314491254</v>
      </c>
      <c r="D130" s="415">
        <f>IF(Assumptions!$L$30=4,VLOOKUP($A130,'Henwood Reference'!$E$9:$R$296,14),'Curve Paste'!BT130)</f>
        <v>2.9889761314491254</v>
      </c>
      <c r="E130" s="416">
        <v>0.15049999999999999</v>
      </c>
      <c r="F130" s="416">
        <v>0.158</v>
      </c>
      <c r="G130" s="416">
        <v>0.16550000000000001</v>
      </c>
      <c r="H130" s="416">
        <f t="shared" si="4"/>
        <v>-7.0000000000000007E-2</v>
      </c>
      <c r="I130" s="416"/>
      <c r="J130" s="416">
        <f t="shared" si="5"/>
        <v>7.0000000000000007E-2</v>
      </c>
      <c r="K130" s="432">
        <f t="shared" si="7"/>
        <v>0</v>
      </c>
      <c r="L130" s="1618">
        <f>IF(Assumptions!$L$30=4,0,O130+P130)</f>
        <v>0</v>
      </c>
      <c r="M130" s="445">
        <f t="shared" si="6"/>
        <v>3.0252794852723941</v>
      </c>
      <c r="N130" s="449">
        <f>IF(Assumptions!$L$30=4,F130,CHOOSE(Assumptions!$L$30,E130,F130,G130))</f>
        <v>0.158</v>
      </c>
      <c r="O130">
        <v>0.28999999999999998</v>
      </c>
      <c r="P130" s="1720">
        <f>Assumptions!$L$32*(1+Assumptions!$C$26)^(YEAR(A130)-2000)</f>
        <v>9.9957542439570071E-2</v>
      </c>
    </row>
    <row r="131" spans="1:16">
      <c r="A131" s="325">
        <f>'Curve Paste'!BQ131</f>
        <v>40452</v>
      </c>
      <c r="B131" s="415">
        <f>IF(Assumptions!$L$30=4,VLOOKUP($A131,'Henwood Reference'!$E$9:$R$296,14),'Curve Paste'!BR131)</f>
        <v>3.1167310023128598</v>
      </c>
      <c r="C131" s="415">
        <f>IF(Assumptions!$L$30=4,VLOOKUP($A131,'Henwood Reference'!$E$9:$R$296,14),'Curve Paste'!BS131)</f>
        <v>3.1167310023128598</v>
      </c>
      <c r="D131" s="415">
        <f>IF(Assumptions!$L$30=4,VLOOKUP($A131,'Henwood Reference'!$E$9:$R$296,14),'Curve Paste'!BT131)</f>
        <v>3.1167310023128598</v>
      </c>
      <c r="E131" s="416">
        <v>0.15049999999999999</v>
      </c>
      <c r="F131" s="416">
        <v>0.158</v>
      </c>
      <c r="G131" s="416">
        <v>0.16550000000000001</v>
      </c>
      <c r="H131" s="416">
        <f t="shared" si="4"/>
        <v>-7.0000000000000007E-2</v>
      </c>
      <c r="I131" s="416"/>
      <c r="J131" s="416">
        <f t="shared" si="5"/>
        <v>7.0000000000000007E-2</v>
      </c>
      <c r="K131" s="432">
        <f t="shared" si="7"/>
        <v>0</v>
      </c>
      <c r="L131" s="1618">
        <f>IF(Assumptions!$L$30=4,0,O131+P131)</f>
        <v>0</v>
      </c>
      <c r="M131" s="445">
        <f t="shared" si="6"/>
        <v>3.1545860347296153</v>
      </c>
      <c r="N131" s="449">
        <f>IF(Assumptions!$L$30=4,F131,CHOOSE(Assumptions!$L$30,E131,F131,G131))</f>
        <v>0.158</v>
      </c>
      <c r="O131">
        <v>0.21</v>
      </c>
      <c r="P131" s="1720">
        <f>Assumptions!$L$32*(1+Assumptions!$C$26)^(YEAR(A131)-2000)</f>
        <v>9.9957542439570071E-2</v>
      </c>
    </row>
    <row r="132" spans="1:16">
      <c r="A132" s="325">
        <f>'Curve Paste'!BQ132</f>
        <v>40483</v>
      </c>
      <c r="B132" s="415">
        <f>IF(Assumptions!$L$30=4,VLOOKUP($A132,'Henwood Reference'!$E$9:$R$296,14),'Curve Paste'!BR132)</f>
        <v>3.242046639365352</v>
      </c>
      <c r="C132" s="415">
        <f>IF(Assumptions!$L$30=4,VLOOKUP($A132,'Henwood Reference'!$E$9:$R$296,14),'Curve Paste'!BS132)</f>
        <v>3.242046639365352</v>
      </c>
      <c r="D132" s="415">
        <f>IF(Assumptions!$L$30=4,VLOOKUP($A132,'Henwood Reference'!$E$9:$R$296,14),'Curve Paste'!BT132)</f>
        <v>3.242046639365352</v>
      </c>
      <c r="E132" s="416">
        <v>0.15049999999999999</v>
      </c>
      <c r="F132" s="416">
        <v>0.158</v>
      </c>
      <c r="G132" s="416">
        <v>0.16550000000000001</v>
      </c>
      <c r="H132" s="416">
        <f t="shared" si="4"/>
        <v>-7.0000000000000007E-2</v>
      </c>
      <c r="I132" s="416"/>
      <c r="J132" s="416">
        <f t="shared" si="5"/>
        <v>7.0000000000000007E-2</v>
      </c>
      <c r="K132" s="432">
        <f t="shared" si="7"/>
        <v>0</v>
      </c>
      <c r="L132" s="1618">
        <f>IF(Assumptions!$L$30=4,0,O132+P132)</f>
        <v>0</v>
      </c>
      <c r="M132" s="445">
        <f t="shared" si="6"/>
        <v>3.2814237240540001</v>
      </c>
      <c r="N132" s="449">
        <f>IF(Assumptions!$L$30=4,F132,CHOOSE(Assumptions!$L$30,E132,F132,G132))</f>
        <v>0.158</v>
      </c>
      <c r="O132">
        <v>0.17499999999999999</v>
      </c>
      <c r="P132" s="1720">
        <f>Assumptions!$L$32*(1+Assumptions!$C$26)^(YEAR(A132)-2000)</f>
        <v>9.9957542439570071E-2</v>
      </c>
    </row>
    <row r="133" spans="1:16">
      <c r="A133" s="325">
        <f>'Curve Paste'!BQ133</f>
        <v>40513</v>
      </c>
      <c r="B133" s="415">
        <f>IF(Assumptions!$L$30=4,VLOOKUP($A133,'Henwood Reference'!$E$9:$R$296,14),'Curve Paste'!BR133)</f>
        <v>3.3744544082979999</v>
      </c>
      <c r="C133" s="415">
        <f>IF(Assumptions!$L$30=4,VLOOKUP($A133,'Henwood Reference'!$E$9:$R$296,14),'Curve Paste'!BS133)</f>
        <v>3.3744544082979999</v>
      </c>
      <c r="D133" s="415">
        <f>IF(Assumptions!$L$30=4,VLOOKUP($A133,'Henwood Reference'!$E$9:$R$296,14),'Curve Paste'!BT133)</f>
        <v>3.3744544082979999</v>
      </c>
      <c r="E133" s="416">
        <v>0.15049999999999999</v>
      </c>
      <c r="F133" s="416">
        <v>0.158</v>
      </c>
      <c r="G133" s="416">
        <v>0.16550000000000001</v>
      </c>
      <c r="H133" s="416">
        <f t="shared" si="4"/>
        <v>-7.0000000000000007E-2</v>
      </c>
      <c r="I133" s="416"/>
      <c r="J133" s="416">
        <f t="shared" si="5"/>
        <v>7.0000000000000007E-2</v>
      </c>
      <c r="K133" s="432">
        <f t="shared" si="7"/>
        <v>0</v>
      </c>
      <c r="L133" s="1618">
        <f>IF(Assumptions!$L$30=4,0,O133+P133)</f>
        <v>0</v>
      </c>
      <c r="M133" s="445">
        <f t="shared" si="6"/>
        <v>3.4154396845121457</v>
      </c>
      <c r="N133" s="449">
        <f>IF(Assumptions!$L$30=4,F133,CHOOSE(Assumptions!$L$30,E133,F133,G133))</f>
        <v>0.158</v>
      </c>
      <c r="O133">
        <v>0.17499999999999999</v>
      </c>
      <c r="P133" s="1720">
        <f>Assumptions!$L$32*(1+Assumptions!$C$26)^(YEAR(A133)-2000)</f>
        <v>9.9957542439570071E-2</v>
      </c>
    </row>
    <row r="134" spans="1:16">
      <c r="A134" s="325">
        <f>'Curve Paste'!BQ134</f>
        <v>40544</v>
      </c>
      <c r="B134" s="415">
        <f>IF(Assumptions!$L$30=4,VLOOKUP($A134,'Henwood Reference'!$E$9:$R$296,14),'Curve Paste'!BR134)</f>
        <v>3.2837425690305926</v>
      </c>
      <c r="C134" s="415">
        <f>IF(Assumptions!$L$30=4,VLOOKUP($A134,'Henwood Reference'!$E$9:$R$296,14),'Curve Paste'!BS134)</f>
        <v>3.2837425690305926</v>
      </c>
      <c r="D134" s="415">
        <f>IF(Assumptions!$L$30=4,VLOOKUP($A134,'Henwood Reference'!$E$9:$R$296,14),'Curve Paste'!BT134)</f>
        <v>3.2837425690305926</v>
      </c>
      <c r="E134" s="416">
        <v>0.15049999999999999</v>
      </c>
      <c r="F134" s="416">
        <v>0.158</v>
      </c>
      <c r="G134" s="416">
        <v>0.16550000000000001</v>
      </c>
      <c r="H134" s="416">
        <f t="shared" ref="H134:H197" si="8">I134-$H$4</f>
        <v>-7.0000000000000007E-2</v>
      </c>
      <c r="I134" s="416"/>
      <c r="J134" s="416">
        <f t="shared" ref="J134:J197" si="9">I134+$J$4</f>
        <v>7.0000000000000007E-2</v>
      </c>
      <c r="K134" s="432">
        <f t="shared" si="7"/>
        <v>0</v>
      </c>
      <c r="L134" s="1618">
        <f>IF(Assumptions!$L$30=4,0,O134+P134)</f>
        <v>0</v>
      </c>
      <c r="M134" s="445">
        <f t="shared" ref="M134:M197" si="10">(IF(GasPriceCurve,IF(OBuySell=OCallPut,D134,B134),C134)+K134/1000+L134)/(1-GasTransportPercent)</f>
        <v>3.3236260820147701</v>
      </c>
      <c r="N134" s="449">
        <f>IF(Assumptions!$L$30=4,F134,CHOOSE(Assumptions!$L$30,E134,F134,G134))</f>
        <v>0.158</v>
      </c>
      <c r="O134">
        <v>0.14749999999999999</v>
      </c>
      <c r="P134" s="1720">
        <f>Assumptions!$L$32*(1+Assumptions!$C$26)^(YEAR(A134)-2000)</f>
        <v>0.10195669328836145</v>
      </c>
    </row>
    <row r="135" spans="1:16">
      <c r="A135" s="325">
        <f>'Curve Paste'!BQ135</f>
        <v>40575</v>
      </c>
      <c r="B135" s="415">
        <f>IF(Assumptions!$L$30=4,VLOOKUP($A135,'Henwood Reference'!$E$9:$R$296,14),'Curve Paste'!BR135)</f>
        <v>3.0278280297363129</v>
      </c>
      <c r="C135" s="415">
        <f>IF(Assumptions!$L$30=4,VLOOKUP($A135,'Henwood Reference'!$E$9:$R$296,14),'Curve Paste'!BS135)</f>
        <v>3.0278280297363129</v>
      </c>
      <c r="D135" s="415">
        <f>IF(Assumptions!$L$30=4,VLOOKUP($A135,'Henwood Reference'!$E$9:$R$296,14),'Curve Paste'!BT135)</f>
        <v>3.0278280297363129</v>
      </c>
      <c r="E135" s="416">
        <v>0.14949999999999999</v>
      </c>
      <c r="F135" s="416">
        <v>0.157</v>
      </c>
      <c r="G135" s="416">
        <v>0.16450000000000001</v>
      </c>
      <c r="H135" s="416">
        <f t="shared" si="8"/>
        <v>-7.0000000000000007E-2</v>
      </c>
      <c r="I135" s="416"/>
      <c r="J135" s="416">
        <f t="shared" si="9"/>
        <v>7.0000000000000007E-2</v>
      </c>
      <c r="K135" s="432">
        <f t="shared" si="7"/>
        <v>0</v>
      </c>
      <c r="L135" s="1618">
        <f>IF(Assumptions!$L$30=4,0,O135+P135)</f>
        <v>0</v>
      </c>
      <c r="M135" s="445">
        <f t="shared" si="10"/>
        <v>3.0646032689638796</v>
      </c>
      <c r="N135" s="449">
        <f>IF(Assumptions!$L$30=4,F135,CHOOSE(Assumptions!$L$30,E135,F135,G135))</f>
        <v>0.157</v>
      </c>
      <c r="O135">
        <v>0.14749999999999999</v>
      </c>
      <c r="P135" s="1720">
        <f>Assumptions!$L$32*(1+Assumptions!$C$26)^(YEAR(A135)-2000)</f>
        <v>0.10195669328836145</v>
      </c>
    </row>
    <row r="136" spans="1:16">
      <c r="A136" s="325">
        <f>'Curve Paste'!BQ136</f>
        <v>40603</v>
      </c>
      <c r="B136" s="415">
        <f>IF(Assumptions!$L$30=4,VLOOKUP($A136,'Henwood Reference'!$E$9:$R$296,14),'Curve Paste'!BR136)</f>
        <v>2.8609374051396785</v>
      </c>
      <c r="C136" s="415">
        <f>IF(Assumptions!$L$30=4,VLOOKUP($A136,'Henwood Reference'!$E$9:$R$296,14),'Curve Paste'!BS136)</f>
        <v>2.8609374051396785</v>
      </c>
      <c r="D136" s="415">
        <f>IF(Assumptions!$L$30=4,VLOOKUP($A136,'Henwood Reference'!$E$9:$R$296,14),'Curve Paste'!BT136)</f>
        <v>2.8609374051396785</v>
      </c>
      <c r="E136" s="416">
        <v>0.14949999999999999</v>
      </c>
      <c r="F136" s="416">
        <v>0.157</v>
      </c>
      <c r="G136" s="416">
        <v>0.16450000000000001</v>
      </c>
      <c r="H136" s="416">
        <f t="shared" si="8"/>
        <v>-7.0000000000000007E-2</v>
      </c>
      <c r="I136" s="416"/>
      <c r="J136" s="416">
        <f t="shared" si="9"/>
        <v>7.0000000000000007E-2</v>
      </c>
      <c r="K136" s="432">
        <f t="shared" si="7"/>
        <v>0</v>
      </c>
      <c r="L136" s="1618">
        <f>IF(Assumptions!$L$30=4,0,O136+P136)</f>
        <v>0</v>
      </c>
      <c r="M136" s="445">
        <f t="shared" si="10"/>
        <v>2.895685632732468</v>
      </c>
      <c r="N136" s="449">
        <f>IF(Assumptions!$L$30=4,F136,CHOOSE(Assumptions!$L$30,E136,F136,G136))</f>
        <v>0.157</v>
      </c>
      <c r="O136">
        <v>0.16500000000000001</v>
      </c>
      <c r="P136" s="1720">
        <f>Assumptions!$L$32*(1+Assumptions!$C$26)^(YEAR(A136)-2000)</f>
        <v>0.10195669328836145</v>
      </c>
    </row>
    <row r="137" spans="1:16">
      <c r="A137" s="325">
        <f>'Curve Paste'!BQ137</f>
        <v>40634</v>
      </c>
      <c r="B137" s="415">
        <f>IF(Assumptions!$L$30=4,VLOOKUP($A137,'Henwood Reference'!$E$9:$R$296,14),'Curve Paste'!BR137)</f>
        <v>2.7704469914278071</v>
      </c>
      <c r="C137" s="415">
        <f>IF(Assumptions!$L$30=4,VLOOKUP($A137,'Henwood Reference'!$E$9:$R$296,14),'Curve Paste'!BS137)</f>
        <v>2.7704469914278071</v>
      </c>
      <c r="D137" s="415">
        <f>IF(Assumptions!$L$30=4,VLOOKUP($A137,'Henwood Reference'!$E$9:$R$296,14),'Curve Paste'!BT137)</f>
        <v>2.7704469914278071</v>
      </c>
      <c r="E137" s="416">
        <v>0.14949999999999999</v>
      </c>
      <c r="F137" s="416">
        <v>0.157</v>
      </c>
      <c r="G137" s="416">
        <v>0.16450000000000001</v>
      </c>
      <c r="H137" s="416">
        <f t="shared" si="8"/>
        <v>-7.0000000000000007E-2</v>
      </c>
      <c r="I137" s="416"/>
      <c r="J137" s="416">
        <f t="shared" si="9"/>
        <v>7.0000000000000007E-2</v>
      </c>
      <c r="K137" s="432">
        <f t="shared" si="7"/>
        <v>0</v>
      </c>
      <c r="L137" s="1618">
        <f>IF(Assumptions!$L$30=4,0,O137+P137)</f>
        <v>0</v>
      </c>
      <c r="M137" s="445">
        <f t="shared" si="10"/>
        <v>2.8040961451698454</v>
      </c>
      <c r="N137" s="449">
        <f>IF(Assumptions!$L$30=4,F137,CHOOSE(Assumptions!$L$30,E137,F137,G137))</f>
        <v>0.157</v>
      </c>
      <c r="O137">
        <v>0.15</v>
      </c>
      <c r="P137" s="1720">
        <f>Assumptions!$L$32*(1+Assumptions!$C$26)^(YEAR(A137)-2000)</f>
        <v>0.10195669328836145</v>
      </c>
    </row>
    <row r="138" spans="1:16">
      <c r="A138" s="325">
        <f>'Curve Paste'!BQ138</f>
        <v>40664</v>
      </c>
      <c r="B138" s="415">
        <f>IF(Assumptions!$L$30=4,VLOOKUP($A138,'Henwood Reference'!$E$9:$R$296,14),'Curve Paste'!BR138)</f>
        <v>2.7450846263390125</v>
      </c>
      <c r="C138" s="415">
        <f>IF(Assumptions!$L$30=4,VLOOKUP($A138,'Henwood Reference'!$E$9:$R$296,14),'Curve Paste'!BS138)</f>
        <v>2.7450846263390125</v>
      </c>
      <c r="D138" s="415">
        <f>IF(Assumptions!$L$30=4,VLOOKUP($A138,'Henwood Reference'!$E$9:$R$296,14),'Curve Paste'!BT138)</f>
        <v>2.7450846263390125</v>
      </c>
      <c r="E138" s="416">
        <v>0.14949999999999999</v>
      </c>
      <c r="F138" s="416">
        <v>0.157</v>
      </c>
      <c r="G138" s="416">
        <v>0.16450000000000001</v>
      </c>
      <c r="H138" s="416">
        <f t="shared" si="8"/>
        <v>-7.0000000000000007E-2</v>
      </c>
      <c r="I138" s="416"/>
      <c r="J138" s="416">
        <f t="shared" si="9"/>
        <v>7.0000000000000007E-2</v>
      </c>
      <c r="K138" s="432">
        <f t="shared" si="7"/>
        <v>0</v>
      </c>
      <c r="L138" s="1618">
        <f>IF(Assumptions!$L$30=4,0,O138+P138)</f>
        <v>0</v>
      </c>
      <c r="M138" s="445">
        <f t="shared" si="10"/>
        <v>2.778425735160944</v>
      </c>
      <c r="N138" s="449">
        <f>IF(Assumptions!$L$30=4,F138,CHOOSE(Assumptions!$L$30,E138,F138,G138))</f>
        <v>0.157</v>
      </c>
      <c r="O138">
        <v>0.16500000000000001</v>
      </c>
      <c r="P138" s="1720">
        <f>Assumptions!$L$32*(1+Assumptions!$C$26)^(YEAR(A138)-2000)</f>
        <v>0.10195669328836145</v>
      </c>
    </row>
    <row r="139" spans="1:16">
      <c r="A139" s="325">
        <f>'Curve Paste'!BQ139</f>
        <v>40695</v>
      </c>
      <c r="B139" s="415">
        <f>IF(Assumptions!$L$30=4,VLOOKUP($A139,'Henwood Reference'!$E$9:$R$296,14),'Curve Paste'!BR139)</f>
        <v>2.7735781476116097</v>
      </c>
      <c r="C139" s="415">
        <f>IF(Assumptions!$L$30=4,VLOOKUP($A139,'Henwood Reference'!$E$9:$R$296,14),'Curve Paste'!BS139)</f>
        <v>2.7735781476116097</v>
      </c>
      <c r="D139" s="415">
        <f>IF(Assumptions!$L$30=4,VLOOKUP($A139,'Henwood Reference'!$E$9:$R$296,14),'Curve Paste'!BT139)</f>
        <v>2.7735781476116097</v>
      </c>
      <c r="E139" s="416">
        <v>0.14949999999999999</v>
      </c>
      <c r="F139" s="416">
        <v>0.157</v>
      </c>
      <c r="G139" s="416">
        <v>0.16450000000000001</v>
      </c>
      <c r="H139" s="416">
        <f t="shared" si="8"/>
        <v>-7.0000000000000007E-2</v>
      </c>
      <c r="I139" s="416"/>
      <c r="J139" s="416">
        <f t="shared" si="9"/>
        <v>7.0000000000000007E-2</v>
      </c>
      <c r="K139" s="432">
        <f t="shared" si="7"/>
        <v>0</v>
      </c>
      <c r="L139" s="1618">
        <f>IF(Assumptions!$L$30=4,0,O139+P139)</f>
        <v>0</v>
      </c>
      <c r="M139" s="445">
        <f t="shared" si="10"/>
        <v>2.8072653315906981</v>
      </c>
      <c r="N139" s="449">
        <f>IF(Assumptions!$L$30=4,F139,CHOOSE(Assumptions!$L$30,E139,F139,G139))</f>
        <v>0.157</v>
      </c>
      <c r="O139">
        <v>0.19500000000000001</v>
      </c>
      <c r="P139" s="1720">
        <f>Assumptions!$L$32*(1+Assumptions!$C$26)^(YEAR(A139)-2000)</f>
        <v>0.10195669328836145</v>
      </c>
    </row>
    <row r="140" spans="1:16">
      <c r="A140" s="325">
        <f>'Curve Paste'!BQ140</f>
        <v>40725</v>
      </c>
      <c r="B140" s="415">
        <f>IF(Assumptions!$L$30=4,VLOOKUP($A140,'Henwood Reference'!$E$9:$R$296,14),'Curve Paste'!BR140)</f>
        <v>2.8446553929839098</v>
      </c>
      <c r="C140" s="415">
        <f>IF(Assumptions!$L$30=4,VLOOKUP($A140,'Henwood Reference'!$E$9:$R$296,14),'Curve Paste'!BS140)</f>
        <v>2.8446553929839098</v>
      </c>
      <c r="D140" s="415">
        <f>IF(Assumptions!$L$30=4,VLOOKUP($A140,'Henwood Reference'!$E$9:$R$296,14),'Curve Paste'!BT140)</f>
        <v>2.8446553929839098</v>
      </c>
      <c r="E140" s="416">
        <v>0.14949999999999999</v>
      </c>
      <c r="F140" s="416">
        <v>0.157</v>
      </c>
      <c r="G140" s="416">
        <v>0.16450000000000001</v>
      </c>
      <c r="H140" s="416">
        <f t="shared" si="8"/>
        <v>-7.0000000000000007E-2</v>
      </c>
      <c r="I140" s="416"/>
      <c r="J140" s="416">
        <f t="shared" si="9"/>
        <v>7.0000000000000007E-2</v>
      </c>
      <c r="K140" s="432">
        <f t="shared" si="7"/>
        <v>0</v>
      </c>
      <c r="L140" s="1618">
        <f>IF(Assumptions!$L$30=4,0,O140+P140)</f>
        <v>0</v>
      </c>
      <c r="M140" s="445">
        <f t="shared" si="10"/>
        <v>2.8792058633440383</v>
      </c>
      <c r="N140" s="449">
        <f>IF(Assumptions!$L$30=4,F140,CHOOSE(Assumptions!$L$30,E140,F140,G140))</f>
        <v>0.157</v>
      </c>
      <c r="O140">
        <v>0.29499999999999998</v>
      </c>
      <c r="P140" s="1720">
        <f>Assumptions!$L$32*(1+Assumptions!$C$26)^(YEAR(A140)-2000)</f>
        <v>0.10195669328836145</v>
      </c>
    </row>
    <row r="141" spans="1:16">
      <c r="A141" s="325">
        <f>'Curve Paste'!BQ141</f>
        <v>40756</v>
      </c>
      <c r="B141" s="415">
        <f>IF(Assumptions!$L$30=4,VLOOKUP($A141,'Henwood Reference'!$E$9:$R$296,14),'Curve Paste'!BR141)</f>
        <v>2.9470442001942274</v>
      </c>
      <c r="C141" s="415">
        <f>IF(Assumptions!$L$30=4,VLOOKUP($A141,'Henwood Reference'!$E$9:$R$296,14),'Curve Paste'!BS141)</f>
        <v>2.9470442001942274</v>
      </c>
      <c r="D141" s="415">
        <f>IF(Assumptions!$L$30=4,VLOOKUP($A141,'Henwood Reference'!$E$9:$R$296,14),'Curve Paste'!BT141)</f>
        <v>2.9470442001942274</v>
      </c>
      <c r="E141" s="416">
        <v>0.14949999999999999</v>
      </c>
      <c r="F141" s="416">
        <v>0.157</v>
      </c>
      <c r="G141" s="416">
        <v>0.16450000000000001</v>
      </c>
      <c r="H141" s="416">
        <f t="shared" si="8"/>
        <v>-7.0000000000000007E-2</v>
      </c>
      <c r="I141" s="416"/>
      <c r="J141" s="416">
        <f t="shared" si="9"/>
        <v>7.0000000000000007E-2</v>
      </c>
      <c r="K141" s="432">
        <f t="shared" si="7"/>
        <v>0</v>
      </c>
      <c r="L141" s="1618">
        <f>IF(Assumptions!$L$30=4,0,O141+P141)</f>
        <v>0</v>
      </c>
      <c r="M141" s="445">
        <f t="shared" si="10"/>
        <v>2.9828382593058982</v>
      </c>
      <c r="N141" s="449">
        <f>IF(Assumptions!$L$30=4,F141,CHOOSE(Assumptions!$L$30,E141,F141,G141))</f>
        <v>0.157</v>
      </c>
      <c r="O141">
        <v>0.29499999999999998</v>
      </c>
      <c r="P141" s="1720">
        <f>Assumptions!$L$32*(1+Assumptions!$C$26)^(YEAR(A141)-2000)</f>
        <v>0.10195669328836145</v>
      </c>
    </row>
    <row r="142" spans="1:16">
      <c r="A142" s="325">
        <f>'Curve Paste'!BQ142</f>
        <v>40787</v>
      </c>
      <c r="B142" s="415">
        <f>IF(Assumptions!$L$30=4,VLOOKUP($A142,'Henwood Reference'!$E$9:$R$296,14),'Curve Paste'!BR142)</f>
        <v>3.0694724069808763</v>
      </c>
      <c r="C142" s="415">
        <f>IF(Assumptions!$L$30=4,VLOOKUP($A142,'Henwood Reference'!$E$9:$R$296,14),'Curve Paste'!BS142)</f>
        <v>3.0694724069808763</v>
      </c>
      <c r="D142" s="415">
        <f>IF(Assumptions!$L$30=4,VLOOKUP($A142,'Henwood Reference'!$E$9:$R$296,14),'Curve Paste'!BT142)</f>
        <v>3.0694724069808763</v>
      </c>
      <c r="E142" s="416">
        <v>0.14949999999999999</v>
      </c>
      <c r="F142" s="416">
        <v>0.157</v>
      </c>
      <c r="G142" s="416">
        <v>0.16450000000000001</v>
      </c>
      <c r="H142" s="416">
        <f t="shared" si="8"/>
        <v>-7.0000000000000007E-2</v>
      </c>
      <c r="I142" s="416"/>
      <c r="J142" s="416">
        <f t="shared" si="9"/>
        <v>7.0000000000000007E-2</v>
      </c>
      <c r="K142" s="432">
        <f t="shared" si="7"/>
        <v>0</v>
      </c>
      <c r="L142" s="1618">
        <f>IF(Assumptions!$L$30=4,0,O142+P142)</f>
        <v>0</v>
      </c>
      <c r="M142" s="445">
        <f t="shared" si="10"/>
        <v>3.1067534483612107</v>
      </c>
      <c r="N142" s="449">
        <f>IF(Assumptions!$L$30=4,F142,CHOOSE(Assumptions!$L$30,E142,F142,G142))</f>
        <v>0.157</v>
      </c>
      <c r="O142">
        <v>0.29499999999999998</v>
      </c>
      <c r="P142" s="1720">
        <f>Assumptions!$L$32*(1+Assumptions!$C$26)^(YEAR(A142)-2000)</f>
        <v>0.10195669328836145</v>
      </c>
    </row>
    <row r="143" spans="1:16">
      <c r="A143" s="325">
        <f>'Curve Paste'!BQ143</f>
        <v>40817</v>
      </c>
      <c r="B143" s="415">
        <f>IF(Assumptions!$L$30=4,VLOOKUP($A143,'Henwood Reference'!$E$9:$R$296,14),'Curve Paste'!BR143)</f>
        <v>3.2006678510821716</v>
      </c>
      <c r="C143" s="415">
        <f>IF(Assumptions!$L$30=4,VLOOKUP($A143,'Henwood Reference'!$E$9:$R$296,14),'Curve Paste'!BS143)</f>
        <v>3.2006678510821716</v>
      </c>
      <c r="D143" s="415">
        <f>IF(Assumptions!$L$30=4,VLOOKUP($A143,'Henwood Reference'!$E$9:$R$296,14),'Curve Paste'!BT143)</f>
        <v>3.2006678510821716</v>
      </c>
      <c r="E143" s="416">
        <v>0.14949999999999999</v>
      </c>
      <c r="F143" s="416">
        <v>0.157</v>
      </c>
      <c r="G143" s="416">
        <v>0.16450000000000001</v>
      </c>
      <c r="H143" s="416">
        <f t="shared" si="8"/>
        <v>-7.0000000000000007E-2</v>
      </c>
      <c r="I143" s="416"/>
      <c r="J143" s="416">
        <f t="shared" si="9"/>
        <v>7.0000000000000007E-2</v>
      </c>
      <c r="K143" s="432">
        <f t="shared" si="7"/>
        <v>0</v>
      </c>
      <c r="L143" s="1618">
        <f>IF(Assumptions!$L$30=4,0,O143+P143)</f>
        <v>0</v>
      </c>
      <c r="M143" s="445">
        <f t="shared" si="10"/>
        <v>3.2395423593949104</v>
      </c>
      <c r="N143" s="449">
        <f>IF(Assumptions!$L$30=4,F143,CHOOSE(Assumptions!$L$30,E143,F143,G143))</f>
        <v>0.157</v>
      </c>
      <c r="O143">
        <v>0.215</v>
      </c>
      <c r="P143" s="1720">
        <f>Assumptions!$L$32*(1+Assumptions!$C$26)^(YEAR(A143)-2000)</f>
        <v>0.10195669328836145</v>
      </c>
    </row>
    <row r="144" spans="1:16">
      <c r="A144" s="325">
        <f>'Curve Paste'!BQ144</f>
        <v>40848</v>
      </c>
      <c r="B144" s="415">
        <f>IF(Assumptions!$L$30=4,VLOOKUP($A144,'Henwood Reference'!$E$9:$R$296,14),'Curve Paste'!BR144)</f>
        <v>3.3293583702364229</v>
      </c>
      <c r="C144" s="415">
        <f>IF(Assumptions!$L$30=4,VLOOKUP($A144,'Henwood Reference'!$E$9:$R$296,14),'Curve Paste'!BS144)</f>
        <v>3.3293583702364229</v>
      </c>
      <c r="D144" s="415">
        <f>IF(Assumptions!$L$30=4,VLOOKUP($A144,'Henwood Reference'!$E$9:$R$296,14),'Curve Paste'!BT144)</f>
        <v>3.3293583702364229</v>
      </c>
      <c r="E144" s="416">
        <v>0.14949999999999999</v>
      </c>
      <c r="F144" s="416">
        <v>0.157</v>
      </c>
      <c r="G144" s="416">
        <v>0.16450000000000001</v>
      </c>
      <c r="H144" s="416">
        <f t="shared" si="8"/>
        <v>-7.0000000000000007E-2</v>
      </c>
      <c r="I144" s="416"/>
      <c r="J144" s="416">
        <f t="shared" si="9"/>
        <v>7.0000000000000007E-2</v>
      </c>
      <c r="K144" s="432">
        <f t="shared" si="7"/>
        <v>0</v>
      </c>
      <c r="L144" s="1618">
        <f>IF(Assumptions!$L$30=4,0,O144+P144)</f>
        <v>0</v>
      </c>
      <c r="M144" s="445">
        <f t="shared" si="10"/>
        <v>3.3697959212919262</v>
      </c>
      <c r="N144" s="449">
        <f>IF(Assumptions!$L$30=4,F144,CHOOSE(Assumptions!$L$30,E144,F144,G144))</f>
        <v>0.157</v>
      </c>
      <c r="O144">
        <v>0.18</v>
      </c>
      <c r="P144" s="1720">
        <f>Assumptions!$L$32*(1+Assumptions!$C$26)^(YEAR(A144)-2000)</f>
        <v>0.10195669328836145</v>
      </c>
    </row>
    <row r="145" spans="1:16">
      <c r="A145" s="325">
        <f>'Curve Paste'!BQ145</f>
        <v>40878</v>
      </c>
      <c r="B145" s="415">
        <f>IF(Assumptions!$L$30=4,VLOOKUP($A145,'Henwood Reference'!$E$9:$R$296,14),'Curve Paste'!BR145)</f>
        <v>3.4653320198525606</v>
      </c>
      <c r="C145" s="415">
        <f>IF(Assumptions!$L$30=4,VLOOKUP($A145,'Henwood Reference'!$E$9:$R$296,14),'Curve Paste'!BS145)</f>
        <v>3.4653320198525606</v>
      </c>
      <c r="D145" s="415">
        <f>IF(Assumptions!$L$30=4,VLOOKUP($A145,'Henwood Reference'!$E$9:$R$296,14),'Curve Paste'!BT145)</f>
        <v>3.4653320198525606</v>
      </c>
      <c r="E145" s="416">
        <v>0.14949999999999999</v>
      </c>
      <c r="F145" s="416">
        <v>0.157</v>
      </c>
      <c r="G145" s="416">
        <v>0.16450000000000001</v>
      </c>
      <c r="H145" s="416">
        <f t="shared" si="8"/>
        <v>-7.0000000000000007E-2</v>
      </c>
      <c r="I145" s="416"/>
      <c r="J145" s="416">
        <f t="shared" si="9"/>
        <v>7.0000000000000007E-2</v>
      </c>
      <c r="K145" s="432">
        <f t="shared" si="7"/>
        <v>0</v>
      </c>
      <c r="L145" s="1618">
        <f>IF(Assumptions!$L$30=4,0,O145+P145)</f>
        <v>0</v>
      </c>
      <c r="M145" s="445">
        <f t="shared" si="10"/>
        <v>3.5074210727252639</v>
      </c>
      <c r="N145" s="449">
        <f>IF(Assumptions!$L$30=4,F145,CHOOSE(Assumptions!$L$30,E145,F145,G145))</f>
        <v>0.157</v>
      </c>
      <c r="O145">
        <v>0.18</v>
      </c>
      <c r="P145" s="1720">
        <f>Assumptions!$L$32*(1+Assumptions!$C$26)^(YEAR(A145)-2000)</f>
        <v>0.10195669328836145</v>
      </c>
    </row>
    <row r="146" spans="1:16">
      <c r="A146" s="325">
        <f>'Curve Paste'!BQ146</f>
        <v>40909</v>
      </c>
      <c r="B146" s="415">
        <f>IF(Assumptions!$L$30=4,VLOOKUP($A146,'Henwood Reference'!$E$9:$R$296,14),'Curve Paste'!BR146)</f>
        <v>3.3631186098438621</v>
      </c>
      <c r="C146" s="415">
        <f>IF(Assumptions!$L$30=4,VLOOKUP($A146,'Henwood Reference'!$E$9:$R$296,14),'Curve Paste'!BS146)</f>
        <v>3.3631186098438621</v>
      </c>
      <c r="D146" s="415">
        <f>IF(Assumptions!$L$30=4,VLOOKUP($A146,'Henwood Reference'!$E$9:$R$296,14),'Curve Paste'!BT146)</f>
        <v>3.3631186098438621</v>
      </c>
      <c r="E146" s="416">
        <v>0.14949999999999999</v>
      </c>
      <c r="F146" s="416">
        <v>0.157</v>
      </c>
      <c r="G146" s="416">
        <v>0.16450000000000001</v>
      </c>
      <c r="H146" s="416">
        <f t="shared" si="8"/>
        <v>-7.0000000000000007E-2</v>
      </c>
      <c r="I146" s="416"/>
      <c r="J146" s="416">
        <f t="shared" si="9"/>
        <v>7.0000000000000007E-2</v>
      </c>
      <c r="K146" s="432">
        <f t="shared" si="7"/>
        <v>0</v>
      </c>
      <c r="L146" s="1618">
        <f>IF(Assumptions!$L$30=4,0,O146+P146)</f>
        <v>0</v>
      </c>
      <c r="M146" s="445">
        <f t="shared" si="10"/>
        <v>3.4039662042954069</v>
      </c>
      <c r="N146" s="449">
        <f>IF(Assumptions!$L$30=4,F146,CHOOSE(Assumptions!$L$30,E146,F146,G146))</f>
        <v>0.157</v>
      </c>
      <c r="O146">
        <v>0.1525</v>
      </c>
      <c r="P146" s="1720">
        <f>Assumptions!$L$32*(1+Assumptions!$C$26)^(YEAR(A146)-2000)</f>
        <v>0.10399582715412869</v>
      </c>
    </row>
    <row r="147" spans="1:16">
      <c r="A147" s="325">
        <f>'Curve Paste'!BQ147</f>
        <v>40940</v>
      </c>
      <c r="B147" s="415">
        <f>IF(Assumptions!$L$30=4,VLOOKUP($A147,'Henwood Reference'!$E$9:$R$296,14),'Curve Paste'!BR147)</f>
        <v>3.1010179939955584</v>
      </c>
      <c r="C147" s="415">
        <f>IF(Assumptions!$L$30=4,VLOOKUP($A147,'Henwood Reference'!$E$9:$R$296,14),'Curve Paste'!BS147)</f>
        <v>3.1010179939955584</v>
      </c>
      <c r="D147" s="415">
        <f>IF(Assumptions!$L$30=4,VLOOKUP($A147,'Henwood Reference'!$E$9:$R$296,14),'Curve Paste'!BT147)</f>
        <v>3.1010179939955584</v>
      </c>
      <c r="E147" s="416">
        <v>0.14849999999999999</v>
      </c>
      <c r="F147" s="416">
        <v>0.156</v>
      </c>
      <c r="G147" s="416">
        <v>0.16350000000000001</v>
      </c>
      <c r="H147" s="416">
        <f t="shared" si="8"/>
        <v>-7.0000000000000007E-2</v>
      </c>
      <c r="I147" s="416"/>
      <c r="J147" s="416">
        <f t="shared" si="9"/>
        <v>7.0000000000000007E-2</v>
      </c>
      <c r="K147" s="432">
        <f t="shared" si="7"/>
        <v>0</v>
      </c>
      <c r="L147" s="1618">
        <f>IF(Assumptions!$L$30=4,0,O147+P147)</f>
        <v>0</v>
      </c>
      <c r="M147" s="445">
        <f t="shared" si="10"/>
        <v>3.1386821801574478</v>
      </c>
      <c r="N147" s="449">
        <f>IF(Assumptions!$L$30=4,F147,CHOOSE(Assumptions!$L$30,E147,F147,G147))</f>
        <v>0.156</v>
      </c>
      <c r="O147">
        <v>0.1525</v>
      </c>
      <c r="P147" s="1720">
        <f>Assumptions!$L$32*(1+Assumptions!$C$26)^(YEAR(A147)-2000)</f>
        <v>0.10399582715412869</v>
      </c>
    </row>
    <row r="148" spans="1:16">
      <c r="A148" s="325">
        <f>'Curve Paste'!BQ148</f>
        <v>40969</v>
      </c>
      <c r="B148" s="415">
        <f>IF(Assumptions!$L$30=4,VLOOKUP($A148,'Henwood Reference'!$E$9:$R$296,14),'Curve Paste'!BR148)</f>
        <v>2.9300932172841176</v>
      </c>
      <c r="C148" s="415">
        <f>IF(Assumptions!$L$30=4,VLOOKUP($A148,'Henwood Reference'!$E$9:$R$296,14),'Curve Paste'!BS148)</f>
        <v>2.9300932172841176</v>
      </c>
      <c r="D148" s="415">
        <f>IF(Assumptions!$L$30=4,VLOOKUP($A148,'Henwood Reference'!$E$9:$R$296,14),'Curve Paste'!BT148)</f>
        <v>2.9300932172841176</v>
      </c>
      <c r="E148" s="416">
        <v>0.14849999999999999</v>
      </c>
      <c r="F148" s="416">
        <v>0.156</v>
      </c>
      <c r="G148" s="416">
        <v>0.16350000000000001</v>
      </c>
      <c r="H148" s="416">
        <f t="shared" si="8"/>
        <v>-7.0000000000000007E-2</v>
      </c>
      <c r="I148" s="416"/>
      <c r="J148" s="416">
        <f t="shared" si="9"/>
        <v>7.0000000000000007E-2</v>
      </c>
      <c r="K148" s="432">
        <f t="shared" si="7"/>
        <v>0</v>
      </c>
      <c r="L148" s="1618">
        <f>IF(Assumptions!$L$30=4,0,O148+P148)</f>
        <v>0</v>
      </c>
      <c r="M148" s="445">
        <f t="shared" si="10"/>
        <v>2.965681394012265</v>
      </c>
      <c r="N148" s="449">
        <f>IF(Assumptions!$L$30=4,F148,CHOOSE(Assumptions!$L$30,E148,F148,G148))</f>
        <v>0.156</v>
      </c>
      <c r="O148">
        <v>0.17</v>
      </c>
      <c r="P148" s="1720">
        <f>Assumptions!$L$32*(1+Assumptions!$C$26)^(YEAR(A148)-2000)</f>
        <v>0.10399582715412869</v>
      </c>
    </row>
    <row r="149" spans="1:16">
      <c r="A149" s="325">
        <f>'Curve Paste'!BQ149</f>
        <v>41000</v>
      </c>
      <c r="B149" s="415">
        <f>IF(Assumptions!$L$30=4,VLOOKUP($A149,'Henwood Reference'!$E$9:$R$296,14),'Curve Paste'!BR149)</f>
        <v>2.8374154302867325</v>
      </c>
      <c r="C149" s="415">
        <f>IF(Assumptions!$L$30=4,VLOOKUP($A149,'Henwood Reference'!$E$9:$R$296,14),'Curve Paste'!BS149)</f>
        <v>2.8374154302867325</v>
      </c>
      <c r="D149" s="415">
        <f>IF(Assumptions!$L$30=4,VLOOKUP($A149,'Henwood Reference'!$E$9:$R$296,14),'Curve Paste'!BT149)</f>
        <v>2.8374154302867325</v>
      </c>
      <c r="E149" s="416">
        <v>0.14849999999999999</v>
      </c>
      <c r="F149" s="416">
        <v>0.156</v>
      </c>
      <c r="G149" s="416">
        <v>0.16350000000000001</v>
      </c>
      <c r="H149" s="416">
        <f t="shared" si="8"/>
        <v>-7.0000000000000007E-2</v>
      </c>
      <c r="I149" s="416"/>
      <c r="J149" s="416">
        <f t="shared" si="9"/>
        <v>7.0000000000000007E-2</v>
      </c>
      <c r="K149" s="432">
        <f t="shared" si="7"/>
        <v>0</v>
      </c>
      <c r="L149" s="1618">
        <f>IF(Assumptions!$L$30=4,0,O149+P149)</f>
        <v>0</v>
      </c>
      <c r="M149" s="445">
        <f t="shared" si="10"/>
        <v>2.8718779658772595</v>
      </c>
      <c r="N149" s="449">
        <f>IF(Assumptions!$L$30=4,F149,CHOOSE(Assumptions!$L$30,E149,F149,G149))</f>
        <v>0.156</v>
      </c>
      <c r="O149">
        <v>0.155</v>
      </c>
      <c r="P149" s="1720">
        <f>Assumptions!$L$32*(1+Assumptions!$C$26)^(YEAR(A149)-2000)</f>
        <v>0.10399582715412869</v>
      </c>
    </row>
    <row r="150" spans="1:16">
      <c r="A150" s="325">
        <f>'Curve Paste'!BQ150</f>
        <v>41030</v>
      </c>
      <c r="B150" s="415">
        <f>IF(Assumptions!$L$30=4,VLOOKUP($A150,'Henwood Reference'!$E$9:$R$296,14),'Curve Paste'!BR150)</f>
        <v>2.8114399951767388</v>
      </c>
      <c r="C150" s="415">
        <f>IF(Assumptions!$L$30=4,VLOOKUP($A150,'Henwood Reference'!$E$9:$R$296,14),'Curve Paste'!BS150)</f>
        <v>2.8114399951767388</v>
      </c>
      <c r="D150" s="415">
        <f>IF(Assumptions!$L$30=4,VLOOKUP($A150,'Henwood Reference'!$E$9:$R$296,14),'Curve Paste'!BT150)</f>
        <v>2.8114399951767388</v>
      </c>
      <c r="E150" s="416">
        <v>0.14849999999999999</v>
      </c>
      <c r="F150" s="416">
        <v>0.156</v>
      </c>
      <c r="G150" s="416">
        <v>0.16350000000000001</v>
      </c>
      <c r="H150" s="416">
        <f t="shared" si="8"/>
        <v>-7.0000000000000007E-2</v>
      </c>
      <c r="I150" s="416"/>
      <c r="J150" s="416">
        <f t="shared" si="9"/>
        <v>7.0000000000000007E-2</v>
      </c>
      <c r="K150" s="432">
        <f t="shared" si="7"/>
        <v>0</v>
      </c>
      <c r="L150" s="1618">
        <f>IF(Assumptions!$L$30=4,0,O150+P150)</f>
        <v>0</v>
      </c>
      <c r="M150" s="445">
        <f t="shared" si="10"/>
        <v>2.8455870396525698</v>
      </c>
      <c r="N150" s="449">
        <f>IF(Assumptions!$L$30=4,F150,CHOOSE(Assumptions!$L$30,E150,F150,G150))</f>
        <v>0.156</v>
      </c>
      <c r="O150">
        <v>0.17</v>
      </c>
      <c r="P150" s="1720">
        <f>Assumptions!$L$32*(1+Assumptions!$C$26)^(YEAR(A150)-2000)</f>
        <v>0.10399582715412869</v>
      </c>
    </row>
    <row r="151" spans="1:16">
      <c r="A151" s="325">
        <f>'Curve Paste'!BQ151</f>
        <v>41061</v>
      </c>
      <c r="B151" s="415">
        <f>IF(Assumptions!$L$30=4,VLOOKUP($A151,'Henwood Reference'!$E$9:$R$296,14),'Curve Paste'!BR151)</f>
        <v>2.8406222741274725</v>
      </c>
      <c r="C151" s="415">
        <f>IF(Assumptions!$L$30=4,VLOOKUP($A151,'Henwood Reference'!$E$9:$R$296,14),'Curve Paste'!BS151)</f>
        <v>2.8406222741274725</v>
      </c>
      <c r="D151" s="415">
        <f>IF(Assumptions!$L$30=4,VLOOKUP($A151,'Henwood Reference'!$E$9:$R$296,14),'Curve Paste'!BT151)</f>
        <v>2.8406222741274725</v>
      </c>
      <c r="E151" s="416">
        <v>0.14849999999999999</v>
      </c>
      <c r="F151" s="416">
        <v>0.156</v>
      </c>
      <c r="G151" s="416">
        <v>0.16350000000000001</v>
      </c>
      <c r="H151" s="416">
        <f t="shared" si="8"/>
        <v>-7.0000000000000007E-2</v>
      </c>
      <c r="I151" s="416"/>
      <c r="J151" s="416">
        <f t="shared" si="9"/>
        <v>7.0000000000000007E-2</v>
      </c>
      <c r="K151" s="432">
        <f t="shared" si="7"/>
        <v>0</v>
      </c>
      <c r="L151" s="1618">
        <f>IF(Assumptions!$L$30=4,0,O151+P151)</f>
        <v>0</v>
      </c>
      <c r="M151" s="445">
        <f t="shared" si="10"/>
        <v>2.8751237592383325</v>
      </c>
      <c r="N151" s="449">
        <f>IF(Assumptions!$L$30=4,F151,CHOOSE(Assumptions!$L$30,E151,F151,G151))</f>
        <v>0.156</v>
      </c>
      <c r="O151">
        <v>0.2</v>
      </c>
      <c r="P151" s="1720">
        <f>Assumptions!$L$32*(1+Assumptions!$C$26)^(YEAR(A151)-2000)</f>
        <v>0.10399582715412869</v>
      </c>
    </row>
    <row r="152" spans="1:16">
      <c r="A152" s="325">
        <f>'Curve Paste'!BQ152</f>
        <v>41091</v>
      </c>
      <c r="B152" s="415">
        <f>IF(Assumptions!$L$30=4,VLOOKUP($A152,'Henwood Reference'!$E$9:$R$296,14),'Curve Paste'!BR152)</f>
        <v>2.9134176293122698</v>
      </c>
      <c r="C152" s="415">
        <f>IF(Assumptions!$L$30=4,VLOOKUP($A152,'Henwood Reference'!$E$9:$R$296,14),'Curve Paste'!BS152)</f>
        <v>2.9134176293122698</v>
      </c>
      <c r="D152" s="415">
        <f>IF(Assumptions!$L$30=4,VLOOKUP($A152,'Henwood Reference'!$E$9:$R$296,14),'Curve Paste'!BT152)</f>
        <v>2.9134176293122698</v>
      </c>
      <c r="E152" s="416">
        <v>0.14849999999999999</v>
      </c>
      <c r="F152" s="416">
        <v>0.156</v>
      </c>
      <c r="G152" s="416">
        <v>0.16350000000000001</v>
      </c>
      <c r="H152" s="416">
        <f t="shared" si="8"/>
        <v>-7.0000000000000007E-2</v>
      </c>
      <c r="I152" s="416"/>
      <c r="J152" s="416">
        <f t="shared" si="9"/>
        <v>7.0000000000000007E-2</v>
      </c>
      <c r="K152" s="432">
        <f t="shared" si="7"/>
        <v>0</v>
      </c>
      <c r="L152" s="1618">
        <f>IF(Assumptions!$L$30=4,0,O152+P152)</f>
        <v>0</v>
      </c>
      <c r="M152" s="445">
        <f t="shared" si="10"/>
        <v>2.9488032685346859</v>
      </c>
      <c r="N152" s="449">
        <f>IF(Assumptions!$L$30=4,F152,CHOOSE(Assumptions!$L$30,E152,F152,G152))</f>
        <v>0.156</v>
      </c>
      <c r="O152">
        <v>0.3</v>
      </c>
      <c r="P152" s="1720">
        <f>Assumptions!$L$32*(1+Assumptions!$C$26)^(YEAR(A152)-2000)</f>
        <v>0.10399582715412869</v>
      </c>
    </row>
    <row r="153" spans="1:16">
      <c r="A153" s="325">
        <f>'Curve Paste'!BQ153</f>
        <v>41122</v>
      </c>
      <c r="B153" s="415">
        <f>IF(Assumptions!$L$30=4,VLOOKUP($A153,'Henwood Reference'!$E$9:$R$296,14),'Curve Paste'!BR153)</f>
        <v>3.0182814229044674</v>
      </c>
      <c r="C153" s="415">
        <f>IF(Assumptions!$L$30=4,VLOOKUP($A153,'Henwood Reference'!$E$9:$R$296,14),'Curve Paste'!BS153)</f>
        <v>3.0182814229044674</v>
      </c>
      <c r="D153" s="415">
        <f>IF(Assumptions!$L$30=4,VLOOKUP($A153,'Henwood Reference'!$E$9:$R$296,14),'Curve Paste'!BT153)</f>
        <v>3.0182814229044674</v>
      </c>
      <c r="E153" s="416">
        <v>0.14849999999999999</v>
      </c>
      <c r="F153" s="416">
        <v>0.156</v>
      </c>
      <c r="G153" s="416">
        <v>0.16350000000000001</v>
      </c>
      <c r="H153" s="416">
        <f t="shared" si="8"/>
        <v>-7.0000000000000007E-2</v>
      </c>
      <c r="I153" s="416"/>
      <c r="J153" s="416">
        <f t="shared" si="9"/>
        <v>7.0000000000000007E-2</v>
      </c>
      <c r="K153" s="432">
        <f t="shared" si="7"/>
        <v>0</v>
      </c>
      <c r="L153" s="1618">
        <f>IF(Assumptions!$L$30=4,0,O153+P153)</f>
        <v>0</v>
      </c>
      <c r="M153" s="445">
        <f t="shared" si="10"/>
        <v>3.0549407114417688</v>
      </c>
      <c r="N153" s="449">
        <f>IF(Assumptions!$L$30=4,F153,CHOOSE(Assumptions!$L$30,E153,F153,G153))</f>
        <v>0.156</v>
      </c>
      <c r="O153">
        <v>0.3</v>
      </c>
      <c r="P153" s="1720">
        <f>Assumptions!$L$32*(1+Assumptions!$C$26)^(YEAR(A153)-2000)</f>
        <v>0.10399582715412869</v>
      </c>
    </row>
    <row r="154" spans="1:16">
      <c r="A154" s="325">
        <f>'Curve Paste'!BQ154</f>
        <v>41153</v>
      </c>
      <c r="B154" s="415">
        <f>IF(Assumptions!$L$30=4,VLOOKUP($A154,'Henwood Reference'!$E$9:$R$296,14),'Curve Paste'!BR154)</f>
        <v>3.1436690170774004</v>
      </c>
      <c r="C154" s="415">
        <f>IF(Assumptions!$L$30=4,VLOOKUP($A154,'Henwood Reference'!$E$9:$R$296,14),'Curve Paste'!BS154)</f>
        <v>3.1436690170774004</v>
      </c>
      <c r="D154" s="415">
        <f>IF(Assumptions!$L$30=4,VLOOKUP($A154,'Henwood Reference'!$E$9:$R$296,14),'Curve Paste'!BT154)</f>
        <v>3.1436690170774004</v>
      </c>
      <c r="E154" s="416">
        <v>0.14849999999999999</v>
      </c>
      <c r="F154" s="416">
        <v>0.156</v>
      </c>
      <c r="G154" s="416">
        <v>0.16350000000000001</v>
      </c>
      <c r="H154" s="416">
        <f t="shared" si="8"/>
        <v>-7.0000000000000007E-2</v>
      </c>
      <c r="I154" s="416"/>
      <c r="J154" s="416">
        <f t="shared" si="9"/>
        <v>7.0000000000000007E-2</v>
      </c>
      <c r="K154" s="432">
        <f t="shared" si="7"/>
        <v>0</v>
      </c>
      <c r="L154" s="1618">
        <f>IF(Assumptions!$L$30=4,0,O154+P154)</f>
        <v>0</v>
      </c>
      <c r="M154" s="445">
        <f t="shared" si="10"/>
        <v>3.1818512318597172</v>
      </c>
      <c r="N154" s="449">
        <f>IF(Assumptions!$L$30=4,F154,CHOOSE(Assumptions!$L$30,E154,F154,G154))</f>
        <v>0.156</v>
      </c>
      <c r="O154">
        <v>0.3</v>
      </c>
      <c r="P154" s="1720">
        <f>Assumptions!$L$32*(1+Assumptions!$C$26)^(YEAR(A154)-2000)</f>
        <v>0.10399582715412869</v>
      </c>
    </row>
    <row r="155" spans="1:16">
      <c r="A155" s="325">
        <f>'Curve Paste'!BQ155</f>
        <v>41183</v>
      </c>
      <c r="B155" s="415">
        <f>IF(Assumptions!$L$30=4,VLOOKUP($A155,'Henwood Reference'!$E$9:$R$296,14),'Curve Paste'!BR155)</f>
        <v>3.2780357740044059</v>
      </c>
      <c r="C155" s="415">
        <f>IF(Assumptions!$L$30=4,VLOOKUP($A155,'Henwood Reference'!$E$9:$R$296,14),'Curve Paste'!BS155)</f>
        <v>3.2780357740044059</v>
      </c>
      <c r="D155" s="415">
        <f>IF(Assumptions!$L$30=4,VLOOKUP($A155,'Henwood Reference'!$E$9:$R$296,14),'Curve Paste'!BT155)</f>
        <v>3.2780357740044059</v>
      </c>
      <c r="E155" s="416">
        <v>0.14849999999999999</v>
      </c>
      <c r="F155" s="416">
        <v>0.156</v>
      </c>
      <c r="G155" s="416">
        <v>0.16350000000000001</v>
      </c>
      <c r="H155" s="416">
        <f t="shared" si="8"/>
        <v>-7.0000000000000007E-2</v>
      </c>
      <c r="I155" s="416"/>
      <c r="J155" s="416">
        <f t="shared" si="9"/>
        <v>7.0000000000000007E-2</v>
      </c>
      <c r="K155" s="432">
        <f t="shared" si="7"/>
        <v>0</v>
      </c>
      <c r="L155" s="1618">
        <f>IF(Assumptions!$L$30=4,0,O155+P155)</f>
        <v>0</v>
      </c>
      <c r="M155" s="445">
        <f t="shared" si="10"/>
        <v>3.31784997368867</v>
      </c>
      <c r="N155" s="449">
        <f>IF(Assumptions!$L$30=4,F155,CHOOSE(Assumptions!$L$30,E155,F155,G155))</f>
        <v>0.156</v>
      </c>
      <c r="O155">
        <v>0.22</v>
      </c>
      <c r="P155" s="1720">
        <f>Assumptions!$L$32*(1+Assumptions!$C$26)^(YEAR(A155)-2000)</f>
        <v>0.10399582715412869</v>
      </c>
    </row>
    <row r="156" spans="1:16">
      <c r="A156" s="325">
        <f>'Curve Paste'!BQ156</f>
        <v>41214</v>
      </c>
      <c r="B156" s="415">
        <f>IF(Assumptions!$L$30=4,VLOOKUP($A156,'Henwood Reference'!$E$9:$R$296,14),'Curve Paste'!BR156)</f>
        <v>3.409837055858818</v>
      </c>
      <c r="C156" s="415">
        <f>IF(Assumptions!$L$30=4,VLOOKUP($A156,'Henwood Reference'!$E$9:$R$296,14),'Curve Paste'!BS156)</f>
        <v>3.409837055858818</v>
      </c>
      <c r="D156" s="415">
        <f>IF(Assumptions!$L$30=4,VLOOKUP($A156,'Henwood Reference'!$E$9:$R$296,14),'Curve Paste'!BT156)</f>
        <v>3.409837055858818</v>
      </c>
      <c r="E156" s="416">
        <v>0.14849999999999999</v>
      </c>
      <c r="F156" s="416">
        <v>0.156</v>
      </c>
      <c r="G156" s="416">
        <v>0.16350000000000001</v>
      </c>
      <c r="H156" s="416">
        <f t="shared" si="8"/>
        <v>-7.0000000000000007E-2</v>
      </c>
      <c r="I156" s="416"/>
      <c r="J156" s="416">
        <f t="shared" si="9"/>
        <v>7.0000000000000007E-2</v>
      </c>
      <c r="K156" s="432">
        <f t="shared" si="7"/>
        <v>0</v>
      </c>
      <c r="L156" s="1618">
        <f>IF(Assumptions!$L$30=4,0,O156+P156)</f>
        <v>0</v>
      </c>
      <c r="M156" s="445">
        <f t="shared" si="10"/>
        <v>3.451252080828763</v>
      </c>
      <c r="N156" s="449">
        <f>IF(Assumptions!$L$30=4,F156,CHOOSE(Assumptions!$L$30,E156,F156,G156))</f>
        <v>0.156</v>
      </c>
      <c r="O156">
        <v>0.185</v>
      </c>
      <c r="P156" s="1720">
        <f>Assumptions!$L$32*(1+Assumptions!$C$26)^(YEAR(A156)-2000)</f>
        <v>0.10399582715412869</v>
      </c>
    </row>
    <row r="157" spans="1:16">
      <c r="A157" s="325">
        <f>'Curve Paste'!BQ157</f>
        <v>41244</v>
      </c>
      <c r="B157" s="415">
        <f>IF(Assumptions!$L$30=4,VLOOKUP($A157,'Henwood Reference'!$E$9:$R$296,14),'Curve Paste'!BR157)</f>
        <v>3.549097519143984</v>
      </c>
      <c r="C157" s="415">
        <f>IF(Assumptions!$L$30=4,VLOOKUP($A157,'Henwood Reference'!$E$9:$R$296,14),'Curve Paste'!BS157)</f>
        <v>3.549097519143984</v>
      </c>
      <c r="D157" s="415">
        <f>IF(Assumptions!$L$30=4,VLOOKUP($A157,'Henwood Reference'!$E$9:$R$296,14),'Curve Paste'!BT157)</f>
        <v>3.549097519143984</v>
      </c>
      <c r="E157" s="416">
        <v>0.14849999999999999</v>
      </c>
      <c r="F157" s="416">
        <v>0.156</v>
      </c>
      <c r="G157" s="416">
        <v>0.16350000000000001</v>
      </c>
      <c r="H157" s="416">
        <f t="shared" si="8"/>
        <v>-7.0000000000000007E-2</v>
      </c>
      <c r="I157" s="416"/>
      <c r="J157" s="416">
        <f t="shared" si="9"/>
        <v>7.0000000000000007E-2</v>
      </c>
      <c r="K157" s="432">
        <f t="shared" si="7"/>
        <v>0</v>
      </c>
      <c r="L157" s="1618">
        <f>IF(Assumptions!$L$30=4,0,O157+P157)</f>
        <v>0</v>
      </c>
      <c r="M157" s="445">
        <f t="shared" si="10"/>
        <v>3.5922039667449233</v>
      </c>
      <c r="N157" s="449">
        <f>IF(Assumptions!$L$30=4,F157,CHOOSE(Assumptions!$L$30,E157,F157,G157))</f>
        <v>0.156</v>
      </c>
      <c r="O157">
        <v>0.185</v>
      </c>
      <c r="P157" s="1720">
        <f>Assumptions!$L$32*(1+Assumptions!$C$26)^(YEAR(A157)-2000)</f>
        <v>0.10399582715412869</v>
      </c>
    </row>
    <row r="158" spans="1:16">
      <c r="A158" s="325">
        <f>'Curve Paste'!BQ158</f>
        <v>41275</v>
      </c>
      <c r="B158" s="415">
        <f>IF(Assumptions!$L$30=4,VLOOKUP($A158,'Henwood Reference'!$E$9:$R$296,14),'Curve Paste'!BR158)</f>
        <v>3.4578852554765884</v>
      </c>
      <c r="C158" s="415">
        <f>IF(Assumptions!$L$30=4,VLOOKUP($A158,'Henwood Reference'!$E$9:$R$296,14),'Curve Paste'!BS158)</f>
        <v>3.4578852554765884</v>
      </c>
      <c r="D158" s="415">
        <f>IF(Assumptions!$L$30=4,VLOOKUP($A158,'Henwood Reference'!$E$9:$R$296,14),'Curve Paste'!BT158)</f>
        <v>3.4578852554765884</v>
      </c>
      <c r="E158" s="416">
        <v>0.14849999999999999</v>
      </c>
      <c r="F158" s="416">
        <v>0.156</v>
      </c>
      <c r="G158" s="416">
        <v>0.16350000000000001</v>
      </c>
      <c r="H158" s="416">
        <f t="shared" si="8"/>
        <v>-7.0000000000000007E-2</v>
      </c>
      <c r="I158" s="416"/>
      <c r="J158" s="416">
        <f t="shared" si="9"/>
        <v>7.0000000000000007E-2</v>
      </c>
      <c r="K158" s="432">
        <f t="shared" si="7"/>
        <v>0</v>
      </c>
      <c r="L158" s="1618">
        <f>IF(Assumptions!$L$30=4,0,O158+P158)</f>
        <v>0</v>
      </c>
      <c r="M158" s="445">
        <f t="shared" si="10"/>
        <v>3.4998838618184092</v>
      </c>
      <c r="N158" s="449">
        <f>IF(Assumptions!$L$30=4,F158,CHOOSE(Assumptions!$L$30,E158,F158,G158))</f>
        <v>0.156</v>
      </c>
      <c r="O158">
        <v>0.15375</v>
      </c>
      <c r="P158" s="1720">
        <f>Assumptions!$L$32*(1+Assumptions!$C$26)^(YEAR(A158)-2000)</f>
        <v>0.10607574369721126</v>
      </c>
    </row>
    <row r="159" spans="1:16">
      <c r="A159" s="325">
        <f>'Curve Paste'!BQ159</f>
        <v>41306</v>
      </c>
      <c r="B159" s="415">
        <f>IF(Assumptions!$L$30=4,VLOOKUP($A159,'Henwood Reference'!$E$9:$R$296,14),'Curve Paste'!BR159)</f>
        <v>3.188399114743877</v>
      </c>
      <c r="C159" s="415">
        <f>IF(Assumptions!$L$30=4,VLOOKUP($A159,'Henwood Reference'!$E$9:$R$296,14),'Curve Paste'!BS159)</f>
        <v>3.188399114743877</v>
      </c>
      <c r="D159" s="415">
        <f>IF(Assumptions!$L$30=4,VLOOKUP($A159,'Henwood Reference'!$E$9:$R$296,14),'Curve Paste'!BT159)</f>
        <v>3.188399114743877</v>
      </c>
      <c r="E159" s="416">
        <v>0.14749999999999999</v>
      </c>
      <c r="F159" s="416">
        <v>0.155</v>
      </c>
      <c r="G159" s="416">
        <v>0.16250000000000001</v>
      </c>
      <c r="H159" s="416">
        <f t="shared" si="8"/>
        <v>-7.0000000000000007E-2</v>
      </c>
      <c r="I159" s="416"/>
      <c r="J159" s="416">
        <f t="shared" si="9"/>
        <v>7.0000000000000007E-2</v>
      </c>
      <c r="K159" s="432">
        <f t="shared" si="7"/>
        <v>0</v>
      </c>
      <c r="L159" s="1618">
        <f>IF(Assumptions!$L$30=4,0,O159+P159)</f>
        <v>0</v>
      </c>
      <c r="M159" s="445">
        <f t="shared" si="10"/>
        <v>3.2271246100646529</v>
      </c>
      <c r="N159" s="449">
        <f>IF(Assumptions!$L$30=4,F159,CHOOSE(Assumptions!$L$30,E159,F159,G159))</f>
        <v>0.155</v>
      </c>
      <c r="O159">
        <v>0.15375</v>
      </c>
      <c r="P159" s="1720">
        <f>Assumptions!$L$32*(1+Assumptions!$C$26)^(YEAR(A159)-2000)</f>
        <v>0.10607574369721126</v>
      </c>
    </row>
    <row r="160" spans="1:16">
      <c r="A160" s="325">
        <f>'Curve Paste'!BQ160</f>
        <v>41334</v>
      </c>
      <c r="B160" s="415">
        <f>IF(Assumptions!$L$30=4,VLOOKUP($A160,'Henwood Reference'!$E$9:$R$296,14),'Curve Paste'!BR160)</f>
        <v>3.0126579846344166</v>
      </c>
      <c r="C160" s="415">
        <f>IF(Assumptions!$L$30=4,VLOOKUP($A160,'Henwood Reference'!$E$9:$R$296,14),'Curve Paste'!BS160)</f>
        <v>3.0126579846344166</v>
      </c>
      <c r="D160" s="415">
        <f>IF(Assumptions!$L$30=4,VLOOKUP($A160,'Henwood Reference'!$E$9:$R$296,14),'Curve Paste'!BT160)</f>
        <v>3.0126579846344166</v>
      </c>
      <c r="E160" s="416">
        <v>0.14749999999999999</v>
      </c>
      <c r="F160" s="416">
        <v>0.155</v>
      </c>
      <c r="G160" s="416">
        <v>0.16250000000000001</v>
      </c>
      <c r="H160" s="416">
        <f t="shared" si="8"/>
        <v>-7.0000000000000007E-2</v>
      </c>
      <c r="I160" s="416"/>
      <c r="J160" s="416">
        <f t="shared" si="9"/>
        <v>7.0000000000000007E-2</v>
      </c>
      <c r="K160" s="432">
        <f t="shared" si="7"/>
        <v>0</v>
      </c>
      <c r="L160" s="1618">
        <f>IF(Assumptions!$L$30=4,0,O160+P160)</f>
        <v>0</v>
      </c>
      <c r="M160" s="445">
        <f t="shared" si="10"/>
        <v>3.0492489723020411</v>
      </c>
      <c r="N160" s="449">
        <f>IF(Assumptions!$L$30=4,F160,CHOOSE(Assumptions!$L$30,E160,F160,G160))</f>
        <v>0.155</v>
      </c>
      <c r="O160">
        <v>0.17125000000000001</v>
      </c>
      <c r="P160" s="1720">
        <f>Assumptions!$L$32*(1+Assumptions!$C$26)^(YEAR(A160)-2000)</f>
        <v>0.10607574369721126</v>
      </c>
    </row>
    <row r="161" spans="1:16">
      <c r="A161" s="325">
        <f>'Curve Paste'!BQ161</f>
        <v>41365</v>
      </c>
      <c r="B161" s="415">
        <f>IF(Assumptions!$L$30=4,VLOOKUP($A161,'Henwood Reference'!$E$9:$R$296,14),'Curve Paste'!BR161)</f>
        <v>2.9173687039559284</v>
      </c>
      <c r="C161" s="415">
        <f>IF(Assumptions!$L$30=4,VLOOKUP($A161,'Henwood Reference'!$E$9:$R$296,14),'Curve Paste'!BS161)</f>
        <v>2.9173687039559284</v>
      </c>
      <c r="D161" s="415">
        <f>IF(Assumptions!$L$30=4,VLOOKUP($A161,'Henwood Reference'!$E$9:$R$296,14),'Curve Paste'!BT161)</f>
        <v>2.9173687039559284</v>
      </c>
      <c r="E161" s="416">
        <v>0.14749999999999999</v>
      </c>
      <c r="F161" s="416">
        <v>0.155</v>
      </c>
      <c r="G161" s="416">
        <v>0.16250000000000001</v>
      </c>
      <c r="H161" s="416">
        <f t="shared" si="8"/>
        <v>-7.0000000000000007E-2</v>
      </c>
      <c r="I161" s="416"/>
      <c r="J161" s="416">
        <f t="shared" si="9"/>
        <v>7.0000000000000007E-2</v>
      </c>
      <c r="K161" s="432">
        <f t="shared" si="7"/>
        <v>0</v>
      </c>
      <c r="L161" s="1618">
        <f>IF(Assumptions!$L$30=4,0,O161+P161)</f>
        <v>0</v>
      </c>
      <c r="M161" s="445">
        <f t="shared" si="10"/>
        <v>2.9528023319391989</v>
      </c>
      <c r="N161" s="449">
        <f>IF(Assumptions!$L$30=4,F161,CHOOSE(Assumptions!$L$30,E161,F161,G161))</f>
        <v>0.155</v>
      </c>
      <c r="O161">
        <v>0.15625</v>
      </c>
      <c r="P161" s="1720">
        <f>Assumptions!$L$32*(1+Assumptions!$C$26)^(YEAR(A161)-2000)</f>
        <v>0.10607574369721126</v>
      </c>
    </row>
    <row r="162" spans="1:16">
      <c r="A162" s="325">
        <f>'Curve Paste'!BQ162</f>
        <v>41395</v>
      </c>
      <c r="B162" s="415">
        <f>IF(Assumptions!$L$30=4,VLOOKUP($A162,'Henwood Reference'!$E$9:$R$296,14),'Curve Paste'!BR162)</f>
        <v>2.8906613277104007</v>
      </c>
      <c r="C162" s="415">
        <f>IF(Assumptions!$L$30=4,VLOOKUP($A162,'Henwood Reference'!$E$9:$R$296,14),'Curve Paste'!BS162)</f>
        <v>2.8906613277104007</v>
      </c>
      <c r="D162" s="415">
        <f>IF(Assumptions!$L$30=4,VLOOKUP($A162,'Henwood Reference'!$E$9:$R$296,14),'Curve Paste'!BT162)</f>
        <v>2.8906613277104007</v>
      </c>
      <c r="E162" s="416">
        <v>0.14749999999999999</v>
      </c>
      <c r="F162" s="416">
        <v>0.155</v>
      </c>
      <c r="G162" s="416">
        <v>0.16250000000000001</v>
      </c>
      <c r="H162" s="416">
        <f t="shared" si="8"/>
        <v>-7.0000000000000007E-2</v>
      </c>
      <c r="I162" s="416"/>
      <c r="J162" s="416">
        <f t="shared" si="9"/>
        <v>7.0000000000000007E-2</v>
      </c>
      <c r="K162" s="432">
        <f t="shared" si="7"/>
        <v>0</v>
      </c>
      <c r="L162" s="1618">
        <f>IF(Assumptions!$L$30=4,0,O162+P162)</f>
        <v>0</v>
      </c>
      <c r="M162" s="445">
        <f t="shared" si="10"/>
        <v>2.9257705746056688</v>
      </c>
      <c r="N162" s="449">
        <f>IF(Assumptions!$L$30=4,F162,CHOOSE(Assumptions!$L$30,E162,F162,G162))</f>
        <v>0.155</v>
      </c>
      <c r="O162">
        <v>0.17125000000000001</v>
      </c>
      <c r="P162" s="1720">
        <f>Assumptions!$L$32*(1+Assumptions!$C$26)^(YEAR(A162)-2000)</f>
        <v>0.10607574369721126</v>
      </c>
    </row>
    <row r="163" spans="1:16">
      <c r="A163" s="325">
        <f>'Curve Paste'!BQ163</f>
        <v>41426</v>
      </c>
      <c r="B163" s="415">
        <f>IF(Assumptions!$L$30=4,VLOOKUP($A163,'Henwood Reference'!$E$9:$R$296,14),'Curve Paste'!BR163)</f>
        <v>2.920665910899821</v>
      </c>
      <c r="C163" s="415">
        <f>IF(Assumptions!$L$30=4,VLOOKUP($A163,'Henwood Reference'!$E$9:$R$296,14),'Curve Paste'!BS163)</f>
        <v>2.920665910899821</v>
      </c>
      <c r="D163" s="415">
        <f>IF(Assumptions!$L$30=4,VLOOKUP($A163,'Henwood Reference'!$E$9:$R$296,14),'Curve Paste'!BT163)</f>
        <v>2.920665910899821</v>
      </c>
      <c r="E163" s="416">
        <v>0.14749999999999999</v>
      </c>
      <c r="F163" s="416">
        <v>0.155</v>
      </c>
      <c r="G163" s="416">
        <v>0.16250000000000001</v>
      </c>
      <c r="H163" s="416">
        <f t="shared" si="8"/>
        <v>-7.0000000000000007E-2</v>
      </c>
      <c r="I163" s="416"/>
      <c r="J163" s="416">
        <f t="shared" si="9"/>
        <v>7.0000000000000007E-2</v>
      </c>
      <c r="K163" s="432">
        <f t="shared" si="7"/>
        <v>0</v>
      </c>
      <c r="L163" s="1618">
        <f>IF(Assumptions!$L$30=4,0,O163+P163)</f>
        <v>0</v>
      </c>
      <c r="M163" s="445">
        <f t="shared" si="10"/>
        <v>2.9561395859309929</v>
      </c>
      <c r="N163" s="449">
        <f>IF(Assumptions!$L$30=4,F163,CHOOSE(Assumptions!$L$30,E163,F163,G163))</f>
        <v>0.155</v>
      </c>
      <c r="O163">
        <v>0.20125000000000001</v>
      </c>
      <c r="P163" s="1720">
        <f>Assumptions!$L$32*(1+Assumptions!$C$26)^(YEAR(A163)-2000)</f>
        <v>0.10607574369721126</v>
      </c>
    </row>
    <row r="164" spans="1:16">
      <c r="A164" s="325">
        <f>'Curve Paste'!BQ164</f>
        <v>41456</v>
      </c>
      <c r="B164" s="415">
        <f>IF(Assumptions!$L$30=4,VLOOKUP($A164,'Henwood Reference'!$E$9:$R$296,14),'Curve Paste'!BR164)</f>
        <v>2.9955125085261765</v>
      </c>
      <c r="C164" s="415">
        <f>IF(Assumptions!$L$30=4,VLOOKUP($A164,'Henwood Reference'!$E$9:$R$296,14),'Curve Paste'!BS164)</f>
        <v>2.9955125085261765</v>
      </c>
      <c r="D164" s="415">
        <f>IF(Assumptions!$L$30=4,VLOOKUP($A164,'Henwood Reference'!$E$9:$R$296,14),'Curve Paste'!BT164)</f>
        <v>2.9955125085261765</v>
      </c>
      <c r="E164" s="416">
        <v>0.14749999999999999</v>
      </c>
      <c r="F164" s="416">
        <v>0.155</v>
      </c>
      <c r="G164" s="416">
        <v>0.16250000000000001</v>
      </c>
      <c r="H164" s="416">
        <f t="shared" si="8"/>
        <v>-7.0000000000000007E-2</v>
      </c>
      <c r="I164" s="416"/>
      <c r="J164" s="416">
        <f t="shared" si="9"/>
        <v>7.0000000000000007E-2</v>
      </c>
      <c r="K164" s="432">
        <f t="shared" si="7"/>
        <v>0</v>
      </c>
      <c r="L164" s="1618">
        <f>IF(Assumptions!$L$30=4,0,O164+P164)</f>
        <v>0</v>
      </c>
      <c r="M164" s="445">
        <f t="shared" si="10"/>
        <v>3.0318952515447131</v>
      </c>
      <c r="N164" s="449">
        <f>IF(Assumptions!$L$30=4,F164,CHOOSE(Assumptions!$L$30,E164,F164,G164))</f>
        <v>0.155</v>
      </c>
      <c r="O164">
        <v>0.30125000000000002</v>
      </c>
      <c r="P164" s="1720">
        <f>Assumptions!$L$32*(1+Assumptions!$C$26)^(YEAR(A164)-2000)</f>
        <v>0.10607574369721126</v>
      </c>
    </row>
    <row r="165" spans="1:16">
      <c r="A165" s="325">
        <f>'Curve Paste'!BQ165</f>
        <v>41487</v>
      </c>
      <c r="B165" s="415">
        <f>IF(Assumptions!$L$30=4,VLOOKUP($A165,'Henwood Reference'!$E$9:$R$296,14),'Curve Paste'!BR165)</f>
        <v>3.1033311755914559</v>
      </c>
      <c r="C165" s="415">
        <f>IF(Assumptions!$L$30=4,VLOOKUP($A165,'Henwood Reference'!$E$9:$R$296,14),'Curve Paste'!BS165)</f>
        <v>3.1033311755914559</v>
      </c>
      <c r="D165" s="415">
        <f>IF(Assumptions!$L$30=4,VLOOKUP($A165,'Henwood Reference'!$E$9:$R$296,14),'Curve Paste'!BT165)</f>
        <v>3.1033311755914559</v>
      </c>
      <c r="E165" s="416">
        <v>0.14749999999999999</v>
      </c>
      <c r="F165" s="416">
        <v>0.155</v>
      </c>
      <c r="G165" s="416">
        <v>0.16250000000000001</v>
      </c>
      <c r="H165" s="416">
        <f t="shared" si="8"/>
        <v>-7.0000000000000007E-2</v>
      </c>
      <c r="I165" s="416"/>
      <c r="J165" s="416">
        <f t="shared" si="9"/>
        <v>7.0000000000000007E-2</v>
      </c>
      <c r="K165" s="432">
        <f t="shared" si="7"/>
        <v>0</v>
      </c>
      <c r="L165" s="1618">
        <f>IF(Assumptions!$L$30=4,0,O165+P165)</f>
        <v>0</v>
      </c>
      <c r="M165" s="445">
        <f t="shared" si="10"/>
        <v>3.1410234570763724</v>
      </c>
      <c r="N165" s="449">
        <f>IF(Assumptions!$L$30=4,F165,CHOOSE(Assumptions!$L$30,E165,F165,G165))</f>
        <v>0.155</v>
      </c>
      <c r="O165">
        <v>0.30125000000000002</v>
      </c>
      <c r="P165" s="1720">
        <f>Assumptions!$L$32*(1+Assumptions!$C$26)^(YEAR(A165)-2000)</f>
        <v>0.10607574369721126</v>
      </c>
    </row>
    <row r="166" spans="1:16">
      <c r="A166" s="325">
        <f>'Curve Paste'!BQ166</f>
        <v>41518</v>
      </c>
      <c r="B166" s="415">
        <f>IF(Assumptions!$L$30=4,VLOOKUP($A166,'Henwood Reference'!$E$9:$R$296,14),'Curve Paste'!BR166)</f>
        <v>3.2322519670976457</v>
      </c>
      <c r="C166" s="415">
        <f>IF(Assumptions!$L$30=4,VLOOKUP($A166,'Henwood Reference'!$E$9:$R$296,14),'Curve Paste'!BS166)</f>
        <v>3.2322519670976457</v>
      </c>
      <c r="D166" s="415">
        <f>IF(Assumptions!$L$30=4,VLOOKUP($A166,'Henwood Reference'!$E$9:$R$296,14),'Curve Paste'!BT166)</f>
        <v>3.2322519670976457</v>
      </c>
      <c r="E166" s="416">
        <v>0.14749999999999999</v>
      </c>
      <c r="F166" s="416">
        <v>0.155</v>
      </c>
      <c r="G166" s="416">
        <v>0.16250000000000001</v>
      </c>
      <c r="H166" s="416">
        <f t="shared" si="8"/>
        <v>-7.0000000000000007E-2</v>
      </c>
      <c r="I166" s="416"/>
      <c r="J166" s="416">
        <f t="shared" si="9"/>
        <v>7.0000000000000007E-2</v>
      </c>
      <c r="K166" s="432">
        <f t="shared" si="7"/>
        <v>0</v>
      </c>
      <c r="L166" s="1618">
        <f>IF(Assumptions!$L$30=4,0,O166+P166)</f>
        <v>0</v>
      </c>
      <c r="M166" s="445">
        <f t="shared" si="10"/>
        <v>3.2715100881555119</v>
      </c>
      <c r="N166" s="449">
        <f>IF(Assumptions!$L$30=4,F166,CHOOSE(Assumptions!$L$30,E166,F166,G166))</f>
        <v>0.155</v>
      </c>
      <c r="O166">
        <v>0.30125000000000002</v>
      </c>
      <c r="P166" s="1720">
        <f>Assumptions!$L$32*(1+Assumptions!$C$26)^(YEAR(A166)-2000)</f>
        <v>0.10607574369721126</v>
      </c>
    </row>
    <row r="167" spans="1:16">
      <c r="A167" s="325">
        <f>'Curve Paste'!BQ167</f>
        <v>41548</v>
      </c>
      <c r="B167" s="415">
        <f>IF(Assumptions!$L$30=4,VLOOKUP($A167,'Henwood Reference'!$E$9:$R$296,14),'Curve Paste'!BR167)</f>
        <v>3.3704049380467347</v>
      </c>
      <c r="C167" s="415">
        <f>IF(Assumptions!$L$30=4,VLOOKUP($A167,'Henwood Reference'!$E$9:$R$296,14),'Curve Paste'!BS167)</f>
        <v>3.3704049380467347</v>
      </c>
      <c r="D167" s="415">
        <f>IF(Assumptions!$L$30=4,VLOOKUP($A167,'Henwood Reference'!$E$9:$R$296,14),'Curve Paste'!BT167)</f>
        <v>3.3704049380467347</v>
      </c>
      <c r="E167" s="416">
        <v>0.14749999999999999</v>
      </c>
      <c r="F167" s="416">
        <v>0.155</v>
      </c>
      <c r="G167" s="416">
        <v>0.16250000000000001</v>
      </c>
      <c r="H167" s="416">
        <f t="shared" si="8"/>
        <v>-7.0000000000000007E-2</v>
      </c>
      <c r="I167" s="416"/>
      <c r="J167" s="416">
        <f t="shared" si="9"/>
        <v>7.0000000000000007E-2</v>
      </c>
      <c r="K167" s="432">
        <f t="shared" si="7"/>
        <v>0</v>
      </c>
      <c r="L167" s="1618">
        <f>IF(Assumptions!$L$30=4,0,O167+P167)</f>
        <v>0</v>
      </c>
      <c r="M167" s="445">
        <f t="shared" si="10"/>
        <v>3.4113410304116747</v>
      </c>
      <c r="N167" s="449">
        <f>IF(Assumptions!$L$30=4,F167,CHOOSE(Assumptions!$L$30,E167,F167,G167))</f>
        <v>0.155</v>
      </c>
      <c r="O167">
        <v>0.22125</v>
      </c>
      <c r="P167" s="1720">
        <f>Assumptions!$L$32*(1+Assumptions!$C$26)^(YEAR(A167)-2000)</f>
        <v>0.10607574369721126</v>
      </c>
    </row>
    <row r="168" spans="1:16">
      <c r="A168" s="325">
        <f>'Curve Paste'!BQ168</f>
        <v>41579</v>
      </c>
      <c r="B168" s="415">
        <f>IF(Assumptions!$L$30=4,VLOOKUP($A168,'Henwood Reference'!$E$9:$R$296,14),'Curve Paste'!BR168)</f>
        <v>3.5059201434407079</v>
      </c>
      <c r="C168" s="415">
        <f>IF(Assumptions!$L$30=4,VLOOKUP($A168,'Henwood Reference'!$E$9:$R$296,14),'Curve Paste'!BS168)</f>
        <v>3.5059201434407079</v>
      </c>
      <c r="D168" s="415">
        <f>IF(Assumptions!$L$30=4,VLOOKUP($A168,'Henwood Reference'!$E$9:$R$296,14),'Curve Paste'!BT168)</f>
        <v>3.5059201434407079</v>
      </c>
      <c r="E168" s="416">
        <v>0.14749999999999999</v>
      </c>
      <c r="F168" s="416">
        <v>0.155</v>
      </c>
      <c r="G168" s="416">
        <v>0.16250000000000001</v>
      </c>
      <c r="H168" s="416">
        <f t="shared" si="8"/>
        <v>-7.0000000000000007E-2</v>
      </c>
      <c r="I168" s="416"/>
      <c r="J168" s="416">
        <f t="shared" si="9"/>
        <v>7.0000000000000007E-2</v>
      </c>
      <c r="K168" s="432">
        <f t="shared" si="7"/>
        <v>0</v>
      </c>
      <c r="L168" s="1618">
        <f>IF(Assumptions!$L$30=4,0,O168+P168)</f>
        <v>0</v>
      </c>
      <c r="M168" s="445">
        <f t="shared" si="10"/>
        <v>3.5485021694744008</v>
      </c>
      <c r="N168" s="449">
        <f>IF(Assumptions!$L$30=4,F168,CHOOSE(Assumptions!$L$30,E168,F168,G168))</f>
        <v>0.155</v>
      </c>
      <c r="O168">
        <v>0.18625</v>
      </c>
      <c r="P168" s="1720">
        <f>Assumptions!$L$32*(1+Assumptions!$C$26)^(YEAR(A168)-2000)</f>
        <v>0.10607574369721126</v>
      </c>
    </row>
    <row r="169" spans="1:16">
      <c r="A169" s="325">
        <f>'Curve Paste'!BQ169</f>
        <v>41609</v>
      </c>
      <c r="B169" s="415">
        <f>IF(Assumptions!$L$30=4,VLOOKUP($A169,'Henwood Reference'!$E$9:$R$296,14),'Curve Paste'!BR169)</f>
        <v>3.6491047166089348</v>
      </c>
      <c r="C169" s="415">
        <f>IF(Assumptions!$L$30=4,VLOOKUP($A169,'Henwood Reference'!$E$9:$R$296,14),'Curve Paste'!BS169)</f>
        <v>3.6491047166089348</v>
      </c>
      <c r="D169" s="415">
        <f>IF(Assumptions!$L$30=4,VLOOKUP($A169,'Henwood Reference'!$E$9:$R$296,14),'Curve Paste'!BT169)</f>
        <v>3.6491047166089348</v>
      </c>
      <c r="E169" s="416">
        <v>0.14749999999999999</v>
      </c>
      <c r="F169" s="416">
        <v>0.155</v>
      </c>
      <c r="G169" s="416">
        <v>0.16250000000000001</v>
      </c>
      <c r="H169" s="416">
        <f t="shared" si="8"/>
        <v>-7.0000000000000007E-2</v>
      </c>
      <c r="I169" s="416"/>
      <c r="J169" s="416">
        <f t="shared" si="9"/>
        <v>7.0000000000000007E-2</v>
      </c>
      <c r="K169" s="432">
        <f t="shared" si="7"/>
        <v>0</v>
      </c>
      <c r="L169" s="1618">
        <f>IF(Assumptions!$L$30=4,0,O169+P169)</f>
        <v>0</v>
      </c>
      <c r="M169" s="445">
        <f t="shared" si="10"/>
        <v>3.6934258265272621</v>
      </c>
      <c r="N169" s="449">
        <f>IF(Assumptions!$L$30=4,F169,CHOOSE(Assumptions!$L$30,E169,F169,G169))</f>
        <v>0.155</v>
      </c>
      <c r="O169">
        <v>0.18625</v>
      </c>
      <c r="P169" s="1720">
        <f>Assumptions!$L$32*(1+Assumptions!$C$26)^(YEAR(A169)-2000)</f>
        <v>0.10607574369721126</v>
      </c>
    </row>
    <row r="170" spans="1:16">
      <c r="A170" s="325">
        <f>'Curve Paste'!BQ170</f>
        <v>41640</v>
      </c>
      <c r="B170" s="415">
        <f>IF(Assumptions!$L$30=4,VLOOKUP($A170,'Henwood Reference'!$E$9:$R$296,14),'Curve Paste'!BR170)</f>
        <v>3.5387077966581884</v>
      </c>
      <c r="C170" s="415">
        <f>IF(Assumptions!$L$30=4,VLOOKUP($A170,'Henwood Reference'!$E$9:$R$296,14),'Curve Paste'!BS170)</f>
        <v>3.5387077966581884</v>
      </c>
      <c r="D170" s="415">
        <f>IF(Assumptions!$L$30=4,VLOOKUP($A170,'Henwood Reference'!$E$9:$R$296,14),'Curve Paste'!BT170)</f>
        <v>3.5387077966581884</v>
      </c>
      <c r="E170" s="416">
        <v>0.14749999999999999</v>
      </c>
      <c r="F170" s="416">
        <v>0.155</v>
      </c>
      <c r="G170" s="416">
        <v>0.16250000000000001</v>
      </c>
      <c r="H170" s="416">
        <f t="shared" si="8"/>
        <v>-7.0000000000000007E-2</v>
      </c>
      <c r="I170" s="416"/>
      <c r="J170" s="416">
        <f t="shared" si="9"/>
        <v>7.0000000000000007E-2</v>
      </c>
      <c r="K170" s="432">
        <f t="shared" ref="K170:K233" si="11">K158</f>
        <v>0</v>
      </c>
      <c r="L170" s="1618">
        <f>IF(Assumptions!$L$30=4,0,O170+P170)</f>
        <v>0</v>
      </c>
      <c r="M170" s="445">
        <f t="shared" si="10"/>
        <v>3.5816880532977615</v>
      </c>
      <c r="N170" s="449">
        <f>IF(Assumptions!$L$30=4,F170,CHOOSE(Assumptions!$L$30,E170,F170,G170))</f>
        <v>0.155</v>
      </c>
      <c r="O170">
        <v>0.155</v>
      </c>
      <c r="P170" s="1720">
        <f>Assumptions!$L$32*(1+Assumptions!$C$26)^(YEAR(A170)-2000)</f>
        <v>0.1081972585711555</v>
      </c>
    </row>
    <row r="171" spans="1:16">
      <c r="A171" s="325">
        <f>'Curve Paste'!BQ171</f>
        <v>41671</v>
      </c>
      <c r="B171" s="415">
        <f>IF(Assumptions!$L$30=4,VLOOKUP($A171,'Henwood Reference'!$E$9:$R$296,14),'Curve Paste'!BR171)</f>
        <v>3.2629228480998718</v>
      </c>
      <c r="C171" s="415">
        <f>IF(Assumptions!$L$30=4,VLOOKUP($A171,'Henwood Reference'!$E$9:$R$296,14),'Curve Paste'!BS171)</f>
        <v>3.2629228480998718</v>
      </c>
      <c r="D171" s="415">
        <f>IF(Assumptions!$L$30=4,VLOOKUP($A171,'Henwood Reference'!$E$9:$R$296,14),'Curve Paste'!BT171)</f>
        <v>3.2629228480998718</v>
      </c>
      <c r="E171" s="416">
        <v>0.14650000000000002</v>
      </c>
      <c r="F171" s="416">
        <v>0.154</v>
      </c>
      <c r="G171" s="416">
        <v>0.1615</v>
      </c>
      <c r="H171" s="416">
        <f t="shared" si="8"/>
        <v>-7.0000000000000007E-2</v>
      </c>
      <c r="I171" s="416"/>
      <c r="J171" s="416">
        <f t="shared" si="9"/>
        <v>7.0000000000000007E-2</v>
      </c>
      <c r="K171" s="432">
        <f t="shared" si="11"/>
        <v>0</v>
      </c>
      <c r="L171" s="1618">
        <f>IF(Assumptions!$L$30=4,0,O171+P171)</f>
        <v>0</v>
      </c>
      <c r="M171" s="445">
        <f t="shared" si="10"/>
        <v>3.3025534899796272</v>
      </c>
      <c r="N171" s="449">
        <f>IF(Assumptions!$L$30=4,F171,CHOOSE(Assumptions!$L$30,E171,F171,G171))</f>
        <v>0.154</v>
      </c>
      <c r="O171">
        <v>0.155</v>
      </c>
      <c r="P171" s="1720">
        <f>Assumptions!$L$32*(1+Assumptions!$C$26)^(YEAR(A171)-2000)</f>
        <v>0.1081972585711555</v>
      </c>
    </row>
    <row r="172" spans="1:16">
      <c r="A172" s="325">
        <f>'Curve Paste'!BQ172</f>
        <v>41699</v>
      </c>
      <c r="B172" s="415">
        <f>IF(Assumptions!$L$30=4,VLOOKUP($A172,'Henwood Reference'!$E$9:$R$296,14),'Curve Paste'!BR172)</f>
        <v>3.0830740499574492</v>
      </c>
      <c r="C172" s="415">
        <f>IF(Assumptions!$L$30=4,VLOOKUP($A172,'Henwood Reference'!$E$9:$R$296,14),'Curve Paste'!BS172)</f>
        <v>3.0830740499574492</v>
      </c>
      <c r="D172" s="415">
        <f>IF(Assumptions!$L$30=4,VLOOKUP($A172,'Henwood Reference'!$E$9:$R$296,14),'Curve Paste'!BT172)</f>
        <v>3.0830740499574492</v>
      </c>
      <c r="E172" s="416">
        <v>0.14650000000000002</v>
      </c>
      <c r="F172" s="416">
        <v>0.154</v>
      </c>
      <c r="G172" s="416">
        <v>0.1615</v>
      </c>
      <c r="H172" s="416">
        <f t="shared" si="8"/>
        <v>-7.0000000000000007E-2</v>
      </c>
      <c r="I172" s="416"/>
      <c r="J172" s="416">
        <f t="shared" si="9"/>
        <v>7.0000000000000007E-2</v>
      </c>
      <c r="K172" s="432">
        <f t="shared" si="11"/>
        <v>0</v>
      </c>
      <c r="L172" s="1618">
        <f>IF(Assumptions!$L$30=4,0,O172+P172)</f>
        <v>0</v>
      </c>
      <c r="M172" s="445">
        <f t="shared" si="10"/>
        <v>3.1205202934791996</v>
      </c>
      <c r="N172" s="449">
        <f>IF(Assumptions!$L$30=4,F172,CHOOSE(Assumptions!$L$30,E172,F172,G172))</f>
        <v>0.154</v>
      </c>
      <c r="O172">
        <v>0.17249999999999999</v>
      </c>
      <c r="P172" s="1720">
        <f>Assumptions!$L$32*(1+Assumptions!$C$26)^(YEAR(A172)-2000)</f>
        <v>0.1081972585711555</v>
      </c>
    </row>
    <row r="173" spans="1:16">
      <c r="A173" s="325">
        <f>'Curve Paste'!BQ173</f>
        <v>41730</v>
      </c>
      <c r="B173" s="415">
        <f>IF(Assumptions!$L$30=4,VLOOKUP($A173,'Henwood Reference'!$E$9:$R$296,14),'Curve Paste'!BR173)</f>
        <v>2.9855575346419512</v>
      </c>
      <c r="C173" s="415">
        <f>IF(Assumptions!$L$30=4,VLOOKUP($A173,'Henwood Reference'!$E$9:$R$296,14),'Curve Paste'!BS173)</f>
        <v>2.9855575346419512</v>
      </c>
      <c r="D173" s="415">
        <f>IF(Assumptions!$L$30=4,VLOOKUP($A173,'Henwood Reference'!$E$9:$R$296,14),'Curve Paste'!BT173)</f>
        <v>2.9855575346419512</v>
      </c>
      <c r="E173" s="416">
        <v>0.14650000000000002</v>
      </c>
      <c r="F173" s="416">
        <v>0.154</v>
      </c>
      <c r="G173" s="416">
        <v>0.1615</v>
      </c>
      <c r="H173" s="416">
        <f t="shared" si="8"/>
        <v>-7.0000000000000007E-2</v>
      </c>
      <c r="I173" s="416"/>
      <c r="J173" s="416">
        <f t="shared" si="9"/>
        <v>7.0000000000000007E-2</v>
      </c>
      <c r="K173" s="432">
        <f t="shared" si="11"/>
        <v>0</v>
      </c>
      <c r="L173" s="1618">
        <f>IF(Assumptions!$L$30=4,0,O173+P173)</f>
        <v>0</v>
      </c>
      <c r="M173" s="445">
        <f t="shared" si="10"/>
        <v>3.0218193670465094</v>
      </c>
      <c r="N173" s="449">
        <f>IF(Assumptions!$L$30=4,F173,CHOOSE(Assumptions!$L$30,E173,F173,G173))</f>
        <v>0.154</v>
      </c>
      <c r="O173">
        <v>0.1575</v>
      </c>
      <c r="P173" s="1720">
        <f>Assumptions!$L$32*(1+Assumptions!$C$26)^(YEAR(A173)-2000)</f>
        <v>0.1081972585711555</v>
      </c>
    </row>
    <row r="174" spans="1:16">
      <c r="A174" s="325">
        <f>'Curve Paste'!BQ174</f>
        <v>41760</v>
      </c>
      <c r="B174" s="415">
        <f>IF(Assumptions!$L$30=4,VLOOKUP($A174,'Henwood Reference'!$E$9:$R$296,14),'Curve Paste'!BR174)</f>
        <v>2.9582259161625206</v>
      </c>
      <c r="C174" s="415">
        <f>IF(Assumptions!$L$30=4,VLOOKUP($A174,'Henwood Reference'!$E$9:$R$296,14),'Curve Paste'!BS174)</f>
        <v>2.9582259161625206</v>
      </c>
      <c r="D174" s="415">
        <f>IF(Assumptions!$L$30=4,VLOOKUP($A174,'Henwood Reference'!$E$9:$R$296,14),'Curve Paste'!BT174)</f>
        <v>2.9582259161625206</v>
      </c>
      <c r="E174" s="416">
        <v>0.14650000000000002</v>
      </c>
      <c r="F174" s="416">
        <v>0.154</v>
      </c>
      <c r="G174" s="416">
        <v>0.1615</v>
      </c>
      <c r="H174" s="416">
        <f t="shared" si="8"/>
        <v>-7.0000000000000007E-2</v>
      </c>
      <c r="I174" s="416"/>
      <c r="J174" s="416">
        <f t="shared" si="9"/>
        <v>7.0000000000000007E-2</v>
      </c>
      <c r="K174" s="432">
        <f t="shared" si="11"/>
        <v>0</v>
      </c>
      <c r="L174" s="1618">
        <f>IF(Assumptions!$L$30=4,0,O174+P174)</f>
        <v>0</v>
      </c>
      <c r="M174" s="445">
        <f t="shared" si="10"/>
        <v>2.9941557855895957</v>
      </c>
      <c r="N174" s="449">
        <f>IF(Assumptions!$L$30=4,F174,CHOOSE(Assumptions!$L$30,E174,F174,G174))</f>
        <v>0.154</v>
      </c>
      <c r="O174">
        <v>0.17249999999999999</v>
      </c>
      <c r="P174" s="1720">
        <f>Assumptions!$L$32*(1+Assumptions!$C$26)^(YEAR(A174)-2000)</f>
        <v>0.1081972585711555</v>
      </c>
    </row>
    <row r="175" spans="1:16">
      <c r="A175" s="325">
        <f>'Curve Paste'!BQ175</f>
        <v>41791</v>
      </c>
      <c r="B175" s="415">
        <f>IF(Assumptions!$L$30=4,VLOOKUP($A175,'Henwood Reference'!$E$9:$R$296,14),'Curve Paste'!BR175)</f>
        <v>2.9889318085283008</v>
      </c>
      <c r="C175" s="415">
        <f>IF(Assumptions!$L$30=4,VLOOKUP($A175,'Henwood Reference'!$E$9:$R$296,14),'Curve Paste'!BS175)</f>
        <v>2.9889318085283008</v>
      </c>
      <c r="D175" s="415">
        <f>IF(Assumptions!$L$30=4,VLOOKUP($A175,'Henwood Reference'!$E$9:$R$296,14),'Curve Paste'!BT175)</f>
        <v>2.9889318085283008</v>
      </c>
      <c r="E175" s="416">
        <v>0.14650000000000002</v>
      </c>
      <c r="F175" s="416">
        <v>0.154</v>
      </c>
      <c r="G175" s="416">
        <v>0.1615</v>
      </c>
      <c r="H175" s="416">
        <f t="shared" si="8"/>
        <v>-7.0000000000000007E-2</v>
      </c>
      <c r="I175" s="416"/>
      <c r="J175" s="416">
        <f t="shared" si="9"/>
        <v>7.0000000000000007E-2</v>
      </c>
      <c r="K175" s="432">
        <f t="shared" si="11"/>
        <v>0</v>
      </c>
      <c r="L175" s="1618">
        <f>IF(Assumptions!$L$30=4,0,O175+P175)</f>
        <v>0</v>
      </c>
      <c r="M175" s="445">
        <f t="shared" si="10"/>
        <v>3.0252346240164987</v>
      </c>
      <c r="N175" s="449">
        <f>IF(Assumptions!$L$30=4,F175,CHOOSE(Assumptions!$L$30,E175,F175,G175))</f>
        <v>0.154</v>
      </c>
      <c r="O175">
        <v>0.20250000000000001</v>
      </c>
      <c r="P175" s="1720">
        <f>Assumptions!$L$32*(1+Assumptions!$C$26)^(YEAR(A175)-2000)</f>
        <v>0.1081972585711555</v>
      </c>
    </row>
    <row r="176" spans="1:16">
      <c r="A176" s="325">
        <f>'Curve Paste'!BQ176</f>
        <v>41821</v>
      </c>
      <c r="B176" s="415">
        <f>IF(Assumptions!$L$30=4,VLOOKUP($A176,'Henwood Reference'!$E$9:$R$296,14),'Curve Paste'!BR176)</f>
        <v>3.0655278257484322</v>
      </c>
      <c r="C176" s="415">
        <f>IF(Assumptions!$L$30=4,VLOOKUP($A176,'Henwood Reference'!$E$9:$R$296,14),'Curve Paste'!BS176)</f>
        <v>3.0655278257484322</v>
      </c>
      <c r="D176" s="415">
        <f>IF(Assumptions!$L$30=4,VLOOKUP($A176,'Henwood Reference'!$E$9:$R$296,14),'Curve Paste'!BT176)</f>
        <v>3.0655278257484322</v>
      </c>
      <c r="E176" s="416">
        <v>0.14650000000000002</v>
      </c>
      <c r="F176" s="416">
        <v>0.154</v>
      </c>
      <c r="G176" s="416">
        <v>0.1615</v>
      </c>
      <c r="H176" s="416">
        <f t="shared" si="8"/>
        <v>-7.0000000000000007E-2</v>
      </c>
      <c r="I176" s="416"/>
      <c r="J176" s="416">
        <f t="shared" si="9"/>
        <v>7.0000000000000007E-2</v>
      </c>
      <c r="K176" s="432">
        <f t="shared" si="11"/>
        <v>0</v>
      </c>
      <c r="L176" s="1618">
        <f>IF(Assumptions!$L$30=4,0,O176+P176)</f>
        <v>0</v>
      </c>
      <c r="M176" s="445">
        <f t="shared" si="10"/>
        <v>3.1027609572352555</v>
      </c>
      <c r="N176" s="449">
        <f>IF(Assumptions!$L$30=4,F176,CHOOSE(Assumptions!$L$30,E176,F176,G176))</f>
        <v>0.154</v>
      </c>
      <c r="O176">
        <v>0.30249999999999999</v>
      </c>
      <c r="P176" s="1720">
        <f>Assumptions!$L$32*(1+Assumptions!$C$26)^(YEAR(A176)-2000)</f>
        <v>0.1081972585711555</v>
      </c>
    </row>
    <row r="177" spans="1:16">
      <c r="A177" s="325">
        <f>'Curve Paste'!BQ177</f>
        <v>41852</v>
      </c>
      <c r="B177" s="415">
        <f>IF(Assumptions!$L$30=4,VLOOKUP($A177,'Henwood Reference'!$E$9:$R$296,14),'Curve Paste'!BR177)</f>
        <v>3.1758665818320577</v>
      </c>
      <c r="C177" s="415">
        <f>IF(Assumptions!$L$30=4,VLOOKUP($A177,'Henwood Reference'!$E$9:$R$296,14),'Curve Paste'!BS177)</f>
        <v>3.1758665818320577</v>
      </c>
      <c r="D177" s="415">
        <f>IF(Assumptions!$L$30=4,VLOOKUP($A177,'Henwood Reference'!$E$9:$R$296,14),'Curve Paste'!BT177)</f>
        <v>3.1758665818320577</v>
      </c>
      <c r="E177" s="416">
        <v>0.14650000000000002</v>
      </c>
      <c r="F177" s="416">
        <v>0.154</v>
      </c>
      <c r="G177" s="416">
        <v>0.1615</v>
      </c>
      <c r="H177" s="416">
        <f t="shared" si="8"/>
        <v>-7.0000000000000007E-2</v>
      </c>
      <c r="I177" s="416"/>
      <c r="J177" s="416">
        <f t="shared" si="9"/>
        <v>7.0000000000000007E-2</v>
      </c>
      <c r="K177" s="432">
        <f t="shared" si="11"/>
        <v>0</v>
      </c>
      <c r="L177" s="1618">
        <f>IF(Assumptions!$L$30=4,0,O177+P177)</f>
        <v>0</v>
      </c>
      <c r="M177" s="445">
        <f t="shared" si="10"/>
        <v>3.2144398601539046</v>
      </c>
      <c r="N177" s="449">
        <f>IF(Assumptions!$L$30=4,F177,CHOOSE(Assumptions!$L$30,E177,F177,G177))</f>
        <v>0.154</v>
      </c>
      <c r="O177">
        <v>0.30249999999999999</v>
      </c>
      <c r="P177" s="1720">
        <f>Assumptions!$L$32*(1+Assumptions!$C$26)^(YEAR(A177)-2000)</f>
        <v>0.1081972585711555</v>
      </c>
    </row>
    <row r="178" spans="1:16">
      <c r="A178" s="325">
        <f>'Curve Paste'!BQ178</f>
        <v>41883</v>
      </c>
      <c r="B178" s="415">
        <f>IF(Assumptions!$L$30=4,VLOOKUP($A178,'Henwood Reference'!$E$9:$R$296,14),'Curve Paste'!BR178)</f>
        <v>3.3078006907883193</v>
      </c>
      <c r="C178" s="415">
        <f>IF(Assumptions!$L$30=4,VLOOKUP($A178,'Henwood Reference'!$E$9:$R$296,14),'Curve Paste'!BS178)</f>
        <v>3.3078006907883193</v>
      </c>
      <c r="D178" s="415">
        <f>IF(Assumptions!$L$30=4,VLOOKUP($A178,'Henwood Reference'!$E$9:$R$296,14),'Curve Paste'!BT178)</f>
        <v>3.3078006907883193</v>
      </c>
      <c r="E178" s="416">
        <v>0.14650000000000002</v>
      </c>
      <c r="F178" s="416">
        <v>0.154</v>
      </c>
      <c r="G178" s="416">
        <v>0.1615</v>
      </c>
      <c r="H178" s="416">
        <f t="shared" si="8"/>
        <v>-7.0000000000000007E-2</v>
      </c>
      <c r="I178" s="416"/>
      <c r="J178" s="416">
        <f t="shared" si="9"/>
        <v>7.0000000000000007E-2</v>
      </c>
      <c r="K178" s="432">
        <f t="shared" si="11"/>
        <v>0</v>
      </c>
      <c r="L178" s="1618">
        <f>IF(Assumptions!$L$30=4,0,O178+P178)</f>
        <v>0</v>
      </c>
      <c r="M178" s="445">
        <f t="shared" si="10"/>
        <v>3.347976407680485</v>
      </c>
      <c r="N178" s="449">
        <f>IF(Assumptions!$L$30=4,F178,CHOOSE(Assumptions!$L$30,E178,F178,G178))</f>
        <v>0.154</v>
      </c>
      <c r="O178">
        <v>0.30249999999999999</v>
      </c>
      <c r="P178" s="1720">
        <f>Assumptions!$L$32*(1+Assumptions!$C$26)^(YEAR(A178)-2000)</f>
        <v>0.1081972585711555</v>
      </c>
    </row>
    <row r="179" spans="1:16">
      <c r="A179" s="325">
        <f>'Curve Paste'!BQ179</f>
        <v>41913</v>
      </c>
      <c r="B179" s="415">
        <f>IF(Assumptions!$L$30=4,VLOOKUP($A179,'Henwood Reference'!$E$9:$R$296,14),'Curve Paste'!BR179)</f>
        <v>3.4491827666263601</v>
      </c>
      <c r="C179" s="415">
        <f>IF(Assumptions!$L$30=4,VLOOKUP($A179,'Henwood Reference'!$E$9:$R$296,14),'Curve Paste'!BS179)</f>
        <v>3.4491827666263601</v>
      </c>
      <c r="D179" s="415">
        <f>IF(Assumptions!$L$30=4,VLOOKUP($A179,'Henwood Reference'!$E$9:$R$296,14),'Curve Paste'!BT179)</f>
        <v>3.4491827666263601</v>
      </c>
      <c r="E179" s="416">
        <v>0.14650000000000002</v>
      </c>
      <c r="F179" s="416">
        <v>0.154</v>
      </c>
      <c r="G179" s="416">
        <v>0.1615</v>
      </c>
      <c r="H179" s="416">
        <f t="shared" si="8"/>
        <v>-7.0000000000000007E-2</v>
      </c>
      <c r="I179" s="416"/>
      <c r="J179" s="416">
        <f t="shared" si="9"/>
        <v>7.0000000000000007E-2</v>
      </c>
      <c r="K179" s="432">
        <f t="shared" si="11"/>
        <v>0</v>
      </c>
      <c r="L179" s="1618">
        <f>IF(Assumptions!$L$30=4,0,O179+P179)</f>
        <v>0</v>
      </c>
      <c r="M179" s="445">
        <f t="shared" si="10"/>
        <v>3.4910756747230365</v>
      </c>
      <c r="N179" s="449">
        <f>IF(Assumptions!$L$30=4,F179,CHOOSE(Assumptions!$L$30,E179,F179,G179))</f>
        <v>0.154</v>
      </c>
      <c r="O179">
        <v>0.2225</v>
      </c>
      <c r="P179" s="1720">
        <f>Assumptions!$L$32*(1+Assumptions!$C$26)^(YEAR(A179)-2000)</f>
        <v>0.1081972585711555</v>
      </c>
    </row>
    <row r="180" spans="1:16">
      <c r="A180" s="325">
        <f>'Curve Paste'!BQ180</f>
        <v>41944</v>
      </c>
      <c r="B180" s="415">
        <f>IF(Assumptions!$L$30=4,VLOOKUP($A180,'Henwood Reference'!$E$9:$R$296,14),'Curve Paste'!BR180)</f>
        <v>3.5878654233553195</v>
      </c>
      <c r="C180" s="415">
        <f>IF(Assumptions!$L$30=4,VLOOKUP($A180,'Henwood Reference'!$E$9:$R$296,14),'Curve Paste'!BS180)</f>
        <v>3.5878654233553195</v>
      </c>
      <c r="D180" s="415">
        <f>IF(Assumptions!$L$30=4,VLOOKUP($A180,'Henwood Reference'!$E$9:$R$296,14),'Curve Paste'!BT180)</f>
        <v>3.5878654233553195</v>
      </c>
      <c r="E180" s="416">
        <v>0.14650000000000002</v>
      </c>
      <c r="F180" s="416">
        <v>0.154</v>
      </c>
      <c r="G180" s="416">
        <v>0.1615</v>
      </c>
      <c r="H180" s="416">
        <f t="shared" si="8"/>
        <v>-7.0000000000000007E-2</v>
      </c>
      <c r="I180" s="416"/>
      <c r="J180" s="416">
        <f t="shared" si="9"/>
        <v>7.0000000000000007E-2</v>
      </c>
      <c r="K180" s="432">
        <f t="shared" si="11"/>
        <v>0</v>
      </c>
      <c r="L180" s="1618">
        <f>IF(Assumptions!$L$30=4,0,O180+P180)</f>
        <v>0</v>
      </c>
      <c r="M180" s="445">
        <f t="shared" si="10"/>
        <v>3.6314427361895949</v>
      </c>
      <c r="N180" s="449">
        <f>IF(Assumptions!$L$30=4,F180,CHOOSE(Assumptions!$L$30,E180,F180,G180))</f>
        <v>0.154</v>
      </c>
      <c r="O180">
        <v>0.1875</v>
      </c>
      <c r="P180" s="1720">
        <f>Assumptions!$L$32*(1+Assumptions!$C$26)^(YEAR(A180)-2000)</f>
        <v>0.1081972585711555</v>
      </c>
    </row>
    <row r="181" spans="1:16">
      <c r="A181" s="325">
        <f>'Curve Paste'!BQ181</f>
        <v>41974</v>
      </c>
      <c r="B181" s="415">
        <f>IF(Assumptions!$L$30=4,VLOOKUP($A181,'Henwood Reference'!$E$9:$R$296,14),'Curve Paste'!BR181)</f>
        <v>3.7343967070724662</v>
      </c>
      <c r="C181" s="415">
        <f>IF(Assumptions!$L$30=4,VLOOKUP($A181,'Henwood Reference'!$E$9:$R$296,14),'Curve Paste'!BS181)</f>
        <v>3.7343967070724662</v>
      </c>
      <c r="D181" s="415">
        <f>IF(Assumptions!$L$30=4,VLOOKUP($A181,'Henwood Reference'!$E$9:$R$296,14),'Curve Paste'!BT181)</f>
        <v>3.7343967070724662</v>
      </c>
      <c r="E181" s="416">
        <v>0.14650000000000002</v>
      </c>
      <c r="F181" s="416">
        <v>0.154</v>
      </c>
      <c r="G181" s="416">
        <v>0.1615</v>
      </c>
      <c r="H181" s="416">
        <f t="shared" si="8"/>
        <v>-7.0000000000000007E-2</v>
      </c>
      <c r="I181" s="416"/>
      <c r="J181" s="416">
        <f t="shared" si="9"/>
        <v>7.0000000000000007E-2</v>
      </c>
      <c r="K181" s="432">
        <f t="shared" si="11"/>
        <v>0</v>
      </c>
      <c r="L181" s="1618">
        <f>IF(Assumptions!$L$30=4,0,O181+P181)</f>
        <v>0</v>
      </c>
      <c r="M181" s="445">
        <f t="shared" si="10"/>
        <v>3.7797537520976379</v>
      </c>
      <c r="N181" s="449">
        <f>IF(Assumptions!$L$30=4,F181,CHOOSE(Assumptions!$L$30,E181,F181,G181))</f>
        <v>0.154</v>
      </c>
      <c r="O181">
        <v>0.1875</v>
      </c>
      <c r="P181" s="1720">
        <f>Assumptions!$L$32*(1+Assumptions!$C$26)^(YEAR(A181)-2000)</f>
        <v>0.1081972585711555</v>
      </c>
    </row>
    <row r="182" spans="1:16">
      <c r="A182" s="325">
        <f>'Curve Paste'!BQ182</f>
        <v>42005</v>
      </c>
      <c r="B182" s="415">
        <f>IF(Assumptions!$L$30=4,VLOOKUP($A182,'Henwood Reference'!$E$9:$R$296,14),'Curve Paste'!BR182)</f>
        <v>3.6417764554189871</v>
      </c>
      <c r="C182" s="415">
        <f>IF(Assumptions!$L$30=4,VLOOKUP($A182,'Henwood Reference'!$E$9:$R$296,14),'Curve Paste'!BS182)</f>
        <v>3.6417764554189871</v>
      </c>
      <c r="D182" s="415">
        <f>IF(Assumptions!$L$30=4,VLOOKUP($A182,'Henwood Reference'!$E$9:$R$296,14),'Curve Paste'!BT182)</f>
        <v>3.6417764554189871</v>
      </c>
      <c r="E182" s="416">
        <v>0.14650000000000002</v>
      </c>
      <c r="F182" s="416">
        <v>0.154</v>
      </c>
      <c r="G182" s="416">
        <v>0.1615</v>
      </c>
      <c r="H182" s="416">
        <f t="shared" si="8"/>
        <v>-7.0000000000000007E-2</v>
      </c>
      <c r="I182" s="416"/>
      <c r="J182" s="416">
        <f t="shared" si="9"/>
        <v>7.0000000000000007E-2</v>
      </c>
      <c r="K182" s="432">
        <f t="shared" si="11"/>
        <v>0</v>
      </c>
      <c r="L182" s="1618">
        <f>IF(Assumptions!$L$30=4,0,O182+P182)</f>
        <v>0</v>
      </c>
      <c r="M182" s="445">
        <f t="shared" si="10"/>
        <v>3.6860085581163839</v>
      </c>
      <c r="N182" s="449">
        <f>IF(Assumptions!$L$30=4,F182,CHOOSE(Assumptions!$L$30,E182,F182,G182))</f>
        <v>0.154</v>
      </c>
      <c r="O182">
        <v>0.15625</v>
      </c>
      <c r="P182" s="1720">
        <f>Assumptions!$L$32*(1+Assumptions!$C$26)^(YEAR(A182)-2000)</f>
        <v>0.11036120374257859</v>
      </c>
    </row>
    <row r="183" spans="1:16">
      <c r="A183" s="325">
        <f>'Curve Paste'!BQ183</f>
        <v>42036</v>
      </c>
      <c r="B183" s="415">
        <f>IF(Assumptions!$L$30=4,VLOOKUP($A183,'Henwood Reference'!$E$9:$R$296,14),'Curve Paste'!BR183)</f>
        <v>3.3579589745387972</v>
      </c>
      <c r="C183" s="415">
        <f>IF(Assumptions!$L$30=4,VLOOKUP($A183,'Henwood Reference'!$E$9:$R$296,14),'Curve Paste'!BS183)</f>
        <v>3.3579589745387972</v>
      </c>
      <c r="D183" s="415">
        <f>IF(Assumptions!$L$30=4,VLOOKUP($A183,'Henwood Reference'!$E$9:$R$296,14),'Curve Paste'!BT183)</f>
        <v>3.3579589745387972</v>
      </c>
      <c r="E183" s="416">
        <v>0.14550000000000002</v>
      </c>
      <c r="F183" s="416">
        <v>0.153</v>
      </c>
      <c r="G183" s="416">
        <v>0.1605</v>
      </c>
      <c r="H183" s="416">
        <f t="shared" si="8"/>
        <v>-7.0000000000000007E-2</v>
      </c>
      <c r="I183" s="416"/>
      <c r="J183" s="416">
        <f t="shared" si="9"/>
        <v>7.0000000000000007E-2</v>
      </c>
      <c r="K183" s="432">
        <f t="shared" si="11"/>
        <v>0</v>
      </c>
      <c r="L183" s="1618">
        <f>IF(Assumptions!$L$30=4,0,O183+P183)</f>
        <v>0</v>
      </c>
      <c r="M183" s="445">
        <f t="shared" si="10"/>
        <v>3.3987439013550578</v>
      </c>
      <c r="N183" s="449">
        <f>IF(Assumptions!$L$30=4,F183,CHOOSE(Assumptions!$L$30,E183,F183,G183))</f>
        <v>0.153</v>
      </c>
      <c r="O183">
        <v>0.15625</v>
      </c>
      <c r="P183" s="1720">
        <f>Assumptions!$L$32*(1+Assumptions!$C$26)^(YEAR(A183)-2000)</f>
        <v>0.11036120374257859</v>
      </c>
    </row>
    <row r="184" spans="1:16">
      <c r="A184" s="325">
        <f>'Curve Paste'!BQ184</f>
        <v>42064</v>
      </c>
      <c r="B184" s="415">
        <f>IF(Assumptions!$L$30=4,VLOOKUP($A184,'Henwood Reference'!$E$9:$R$296,14),'Curve Paste'!BR184)</f>
        <v>3.1728718873175796</v>
      </c>
      <c r="C184" s="415">
        <f>IF(Assumptions!$L$30=4,VLOOKUP($A184,'Henwood Reference'!$E$9:$R$296,14),'Curve Paste'!BS184)</f>
        <v>3.1728718873175796</v>
      </c>
      <c r="D184" s="415">
        <f>IF(Assumptions!$L$30=4,VLOOKUP($A184,'Henwood Reference'!$E$9:$R$296,14),'Curve Paste'!BT184)</f>
        <v>3.1728718873175796</v>
      </c>
      <c r="E184" s="416">
        <v>0.14550000000000002</v>
      </c>
      <c r="F184" s="416">
        <v>0.153</v>
      </c>
      <c r="G184" s="416">
        <v>0.1605</v>
      </c>
      <c r="H184" s="416">
        <f t="shared" si="8"/>
        <v>-7.0000000000000007E-2</v>
      </c>
      <c r="I184" s="416"/>
      <c r="J184" s="416">
        <f t="shared" si="9"/>
        <v>7.0000000000000007E-2</v>
      </c>
      <c r="K184" s="432">
        <f t="shared" si="11"/>
        <v>0</v>
      </c>
      <c r="L184" s="1618">
        <f>IF(Assumptions!$L$30=4,0,O184+P184)</f>
        <v>0</v>
      </c>
      <c r="M184" s="445">
        <f t="shared" si="10"/>
        <v>3.2114087928315582</v>
      </c>
      <c r="N184" s="449">
        <f>IF(Assumptions!$L$30=4,F184,CHOOSE(Assumptions!$L$30,E184,F184,G184))</f>
        <v>0.153</v>
      </c>
      <c r="O184">
        <v>0.17374999999999999</v>
      </c>
      <c r="P184" s="1720">
        <f>Assumptions!$L$32*(1+Assumptions!$C$26)^(YEAR(A184)-2000)</f>
        <v>0.11036120374257859</v>
      </c>
    </row>
    <row r="185" spans="1:16">
      <c r="A185" s="325">
        <f>'Curve Paste'!BQ185</f>
        <v>42095</v>
      </c>
      <c r="B185" s="415">
        <f>IF(Assumptions!$L$30=4,VLOOKUP($A185,'Henwood Reference'!$E$9:$R$296,14),'Curve Paste'!BR185)</f>
        <v>3.0725150989368442</v>
      </c>
      <c r="C185" s="415">
        <f>IF(Assumptions!$L$30=4,VLOOKUP($A185,'Henwood Reference'!$E$9:$R$296,14),'Curve Paste'!BS185)</f>
        <v>3.0725150989368442</v>
      </c>
      <c r="D185" s="415">
        <f>IF(Assumptions!$L$30=4,VLOOKUP($A185,'Henwood Reference'!$E$9:$R$296,14),'Curve Paste'!BT185)</f>
        <v>3.0725150989368442</v>
      </c>
      <c r="E185" s="416">
        <v>0.14550000000000002</v>
      </c>
      <c r="F185" s="416">
        <v>0.153</v>
      </c>
      <c r="G185" s="416">
        <v>0.1605</v>
      </c>
      <c r="H185" s="416">
        <f t="shared" si="8"/>
        <v>-7.0000000000000007E-2</v>
      </c>
      <c r="I185" s="416"/>
      <c r="J185" s="416">
        <f t="shared" si="9"/>
        <v>7.0000000000000007E-2</v>
      </c>
      <c r="K185" s="432">
        <f t="shared" si="11"/>
        <v>0</v>
      </c>
      <c r="L185" s="1618">
        <f>IF(Assumptions!$L$30=4,0,O185+P185)</f>
        <v>0</v>
      </c>
      <c r="M185" s="445">
        <f t="shared" si="10"/>
        <v>3.1098330960899232</v>
      </c>
      <c r="N185" s="449">
        <f>IF(Assumptions!$L$30=4,F185,CHOOSE(Assumptions!$L$30,E185,F185,G185))</f>
        <v>0.153</v>
      </c>
      <c r="O185">
        <v>0.15875</v>
      </c>
      <c r="P185" s="1720">
        <f>Assumptions!$L$32*(1+Assumptions!$C$26)^(YEAR(A185)-2000)</f>
        <v>0.11036120374257859</v>
      </c>
    </row>
    <row r="186" spans="1:16">
      <c r="A186" s="325">
        <f>'Curve Paste'!BQ186</f>
        <v>42125</v>
      </c>
      <c r="B186" s="415">
        <f>IF(Assumptions!$L$30=4,VLOOKUP($A186,'Henwood Reference'!$E$9:$R$296,14),'Curve Paste'!BR186)</f>
        <v>3.0443874177643888</v>
      </c>
      <c r="C186" s="415">
        <f>IF(Assumptions!$L$30=4,VLOOKUP($A186,'Henwood Reference'!$E$9:$R$296,14),'Curve Paste'!BS186)</f>
        <v>3.0443874177643888</v>
      </c>
      <c r="D186" s="415">
        <f>IF(Assumptions!$L$30=4,VLOOKUP($A186,'Henwood Reference'!$E$9:$R$296,14),'Curve Paste'!BT186)</f>
        <v>3.0443874177643888</v>
      </c>
      <c r="E186" s="416">
        <v>0.14550000000000002</v>
      </c>
      <c r="F186" s="416">
        <v>0.153</v>
      </c>
      <c r="G186" s="416">
        <v>0.1605</v>
      </c>
      <c r="H186" s="416">
        <f t="shared" si="8"/>
        <v>-7.0000000000000007E-2</v>
      </c>
      <c r="I186" s="416"/>
      <c r="J186" s="416">
        <f t="shared" si="9"/>
        <v>7.0000000000000007E-2</v>
      </c>
      <c r="K186" s="432">
        <f t="shared" si="11"/>
        <v>0</v>
      </c>
      <c r="L186" s="1618">
        <f>IF(Assumptions!$L$30=4,0,O186+P186)</f>
        <v>0</v>
      </c>
      <c r="M186" s="445">
        <f t="shared" si="10"/>
        <v>3.0813637831623368</v>
      </c>
      <c r="N186" s="449">
        <f>IF(Assumptions!$L$30=4,F186,CHOOSE(Assumptions!$L$30,E186,F186,G186))</f>
        <v>0.153</v>
      </c>
      <c r="O186">
        <v>0.17374999999999999</v>
      </c>
      <c r="P186" s="1720">
        <f>Assumptions!$L$32*(1+Assumptions!$C$26)^(YEAR(A186)-2000)</f>
        <v>0.11036120374257859</v>
      </c>
    </row>
    <row r="187" spans="1:16">
      <c r="A187" s="325">
        <f>'Curve Paste'!BQ187</f>
        <v>42156</v>
      </c>
      <c r="B187" s="415">
        <f>IF(Assumptions!$L$30=4,VLOOKUP($A187,'Henwood Reference'!$E$9:$R$296,14),'Curve Paste'!BR187)</f>
        <v>3.0759876521680121</v>
      </c>
      <c r="C187" s="415">
        <f>IF(Assumptions!$L$30=4,VLOOKUP($A187,'Henwood Reference'!$E$9:$R$296,14),'Curve Paste'!BS187)</f>
        <v>3.0759876521680121</v>
      </c>
      <c r="D187" s="415">
        <f>IF(Assumptions!$L$30=4,VLOOKUP($A187,'Henwood Reference'!$E$9:$R$296,14),'Curve Paste'!BT187)</f>
        <v>3.0759876521680121</v>
      </c>
      <c r="E187" s="416">
        <v>0.14550000000000002</v>
      </c>
      <c r="F187" s="416">
        <v>0.153</v>
      </c>
      <c r="G187" s="416">
        <v>0.1605</v>
      </c>
      <c r="H187" s="416">
        <f t="shared" si="8"/>
        <v>-7.0000000000000007E-2</v>
      </c>
      <c r="I187" s="416"/>
      <c r="J187" s="416">
        <f t="shared" si="9"/>
        <v>7.0000000000000007E-2</v>
      </c>
      <c r="K187" s="432">
        <f t="shared" si="11"/>
        <v>0</v>
      </c>
      <c r="L187" s="1618">
        <f>IF(Assumptions!$L$30=4,0,O187+P187)</f>
        <v>0</v>
      </c>
      <c r="M187" s="445">
        <f t="shared" si="10"/>
        <v>3.1133478260809837</v>
      </c>
      <c r="N187" s="449">
        <f>IF(Assumptions!$L$30=4,F187,CHOOSE(Assumptions!$L$30,E187,F187,G187))</f>
        <v>0.153</v>
      </c>
      <c r="O187">
        <v>0.20374999999999999</v>
      </c>
      <c r="P187" s="1720">
        <f>Assumptions!$L$32*(1+Assumptions!$C$26)^(YEAR(A187)-2000)</f>
        <v>0.11036120374257859</v>
      </c>
    </row>
    <row r="188" spans="1:16">
      <c r="A188" s="325">
        <f>'Curve Paste'!BQ188</f>
        <v>42186</v>
      </c>
      <c r="B188" s="415">
        <f>IF(Assumptions!$L$30=4,VLOOKUP($A188,'Henwood Reference'!$E$9:$R$296,14),'Curve Paste'!BR188)</f>
        <v>3.1548146105155102</v>
      </c>
      <c r="C188" s="415">
        <f>IF(Assumptions!$L$30=4,VLOOKUP($A188,'Henwood Reference'!$E$9:$R$296,14),'Curve Paste'!BS188)</f>
        <v>3.1548146105155102</v>
      </c>
      <c r="D188" s="415">
        <f>IF(Assumptions!$L$30=4,VLOOKUP($A188,'Henwood Reference'!$E$9:$R$296,14),'Curve Paste'!BT188)</f>
        <v>3.1548146105155102</v>
      </c>
      <c r="E188" s="416">
        <v>0.14550000000000002</v>
      </c>
      <c r="F188" s="416">
        <v>0.153</v>
      </c>
      <c r="G188" s="416">
        <v>0.1605</v>
      </c>
      <c r="H188" s="416">
        <f t="shared" si="8"/>
        <v>-7.0000000000000007E-2</v>
      </c>
      <c r="I188" s="416"/>
      <c r="J188" s="416">
        <f t="shared" si="9"/>
        <v>7.0000000000000007E-2</v>
      </c>
      <c r="K188" s="432">
        <f t="shared" si="11"/>
        <v>0</v>
      </c>
      <c r="L188" s="1618">
        <f>IF(Assumptions!$L$30=4,0,O188+P188)</f>
        <v>0</v>
      </c>
      <c r="M188" s="445">
        <f t="shared" si="10"/>
        <v>3.1931321968780466</v>
      </c>
      <c r="N188" s="449">
        <f>IF(Assumptions!$L$30=4,F188,CHOOSE(Assumptions!$L$30,E188,F188,G188))</f>
        <v>0.153</v>
      </c>
      <c r="O188">
        <v>0.30375000000000002</v>
      </c>
      <c r="P188" s="1720">
        <f>Assumptions!$L$32*(1+Assumptions!$C$26)^(YEAR(A188)-2000)</f>
        <v>0.11036120374257859</v>
      </c>
    </row>
    <row r="189" spans="1:16">
      <c r="A189" s="325">
        <f>'Curve Paste'!BQ189</f>
        <v>42217</v>
      </c>
      <c r="B189" s="415">
        <f>IF(Assumptions!$L$30=4,VLOOKUP($A189,'Henwood Reference'!$E$9:$R$296,14),'Curve Paste'!BR189)</f>
        <v>3.2683671011746815</v>
      </c>
      <c r="C189" s="415">
        <f>IF(Assumptions!$L$30=4,VLOOKUP($A189,'Henwood Reference'!$E$9:$R$296,14),'Curve Paste'!BS189)</f>
        <v>3.2683671011746815</v>
      </c>
      <c r="D189" s="415">
        <f>IF(Assumptions!$L$30=4,VLOOKUP($A189,'Henwood Reference'!$E$9:$R$296,14),'Curve Paste'!BT189)</f>
        <v>3.2683671011746815</v>
      </c>
      <c r="E189" s="416">
        <v>0.14550000000000002</v>
      </c>
      <c r="F189" s="416">
        <v>0.153</v>
      </c>
      <c r="G189" s="416">
        <v>0.1605</v>
      </c>
      <c r="H189" s="416">
        <f t="shared" si="8"/>
        <v>-7.0000000000000007E-2</v>
      </c>
      <c r="I189" s="416"/>
      <c r="J189" s="416">
        <f t="shared" si="9"/>
        <v>7.0000000000000007E-2</v>
      </c>
      <c r="K189" s="432">
        <f t="shared" si="11"/>
        <v>0</v>
      </c>
      <c r="L189" s="1618">
        <f>IF(Assumptions!$L$30=4,0,O189+P189)</f>
        <v>0</v>
      </c>
      <c r="M189" s="445">
        <f t="shared" si="10"/>
        <v>3.3080638675857101</v>
      </c>
      <c r="N189" s="449">
        <f>IF(Assumptions!$L$30=4,F189,CHOOSE(Assumptions!$L$30,E189,F189,G189))</f>
        <v>0.153</v>
      </c>
      <c r="O189">
        <v>0.30375000000000002</v>
      </c>
      <c r="P189" s="1720">
        <f>Assumptions!$L$32*(1+Assumptions!$C$26)^(YEAR(A189)-2000)</f>
        <v>0.11036120374257859</v>
      </c>
    </row>
    <row r="190" spans="1:16">
      <c r="A190" s="325">
        <f>'Curve Paste'!BQ190</f>
        <v>42248</v>
      </c>
      <c r="B190" s="415">
        <f>IF(Assumptions!$L$30=4,VLOOKUP($A190,'Henwood Reference'!$E$9:$R$296,14),'Curve Paste'!BR190)</f>
        <v>3.4041439325133234</v>
      </c>
      <c r="C190" s="415">
        <f>IF(Assumptions!$L$30=4,VLOOKUP($A190,'Henwood Reference'!$E$9:$R$296,14),'Curve Paste'!BS190)</f>
        <v>3.4041439325133234</v>
      </c>
      <c r="D190" s="415">
        <f>IF(Assumptions!$L$30=4,VLOOKUP($A190,'Henwood Reference'!$E$9:$R$296,14),'Curve Paste'!BT190)</f>
        <v>3.4041439325133234</v>
      </c>
      <c r="E190" s="416">
        <v>0.14550000000000002</v>
      </c>
      <c r="F190" s="416">
        <v>0.153</v>
      </c>
      <c r="G190" s="416">
        <v>0.1605</v>
      </c>
      <c r="H190" s="416">
        <f t="shared" si="8"/>
        <v>-7.0000000000000007E-2</v>
      </c>
      <c r="I190" s="416"/>
      <c r="J190" s="416">
        <f t="shared" si="9"/>
        <v>7.0000000000000007E-2</v>
      </c>
      <c r="K190" s="432">
        <f t="shared" si="11"/>
        <v>0</v>
      </c>
      <c r="L190" s="1618">
        <f>IF(Assumptions!$L$30=4,0,O190+P190)</f>
        <v>0</v>
      </c>
      <c r="M190" s="445">
        <f t="shared" si="10"/>
        <v>3.4454898102361571</v>
      </c>
      <c r="N190" s="449">
        <f>IF(Assumptions!$L$30=4,F190,CHOOSE(Assumptions!$L$30,E190,F190,G190))</f>
        <v>0.153</v>
      </c>
      <c r="O190">
        <v>0.30375000000000002</v>
      </c>
      <c r="P190" s="1720">
        <f>Assumptions!$L$32*(1+Assumptions!$C$26)^(YEAR(A190)-2000)</f>
        <v>0.11036120374257859</v>
      </c>
    </row>
    <row r="191" spans="1:16">
      <c r="A191" s="325">
        <f>'Curve Paste'!BQ191</f>
        <v>42278</v>
      </c>
      <c r="B191" s="415">
        <f>IF(Assumptions!$L$30=4,VLOOKUP($A191,'Henwood Reference'!$E$9:$R$296,14),'Curve Paste'!BR191)</f>
        <v>3.5496439128992345</v>
      </c>
      <c r="C191" s="415">
        <f>IF(Assumptions!$L$30=4,VLOOKUP($A191,'Henwood Reference'!$E$9:$R$296,14),'Curve Paste'!BS191)</f>
        <v>3.5496439128992345</v>
      </c>
      <c r="D191" s="415">
        <f>IF(Assumptions!$L$30=4,VLOOKUP($A191,'Henwood Reference'!$E$9:$R$296,14),'Curve Paste'!BT191)</f>
        <v>3.5496439128992345</v>
      </c>
      <c r="E191" s="416">
        <v>0.14550000000000002</v>
      </c>
      <c r="F191" s="416">
        <v>0.153</v>
      </c>
      <c r="G191" s="416">
        <v>0.1605</v>
      </c>
      <c r="H191" s="416">
        <f t="shared" si="8"/>
        <v>-7.0000000000000007E-2</v>
      </c>
      <c r="I191" s="416"/>
      <c r="J191" s="416">
        <f t="shared" si="9"/>
        <v>7.0000000000000007E-2</v>
      </c>
      <c r="K191" s="432">
        <f t="shared" si="11"/>
        <v>0</v>
      </c>
      <c r="L191" s="1618">
        <f>IF(Assumptions!$L$30=4,0,O191+P191)</f>
        <v>0</v>
      </c>
      <c r="M191" s="445">
        <f t="shared" si="10"/>
        <v>3.5927569968615733</v>
      </c>
      <c r="N191" s="449">
        <f>IF(Assumptions!$L$30=4,F191,CHOOSE(Assumptions!$L$30,E191,F191,G191))</f>
        <v>0.153</v>
      </c>
      <c r="O191">
        <v>0.22375</v>
      </c>
      <c r="P191" s="1720">
        <f>Assumptions!$L$32*(1+Assumptions!$C$26)^(YEAR(A191)-2000)</f>
        <v>0.11036120374257859</v>
      </c>
    </row>
    <row r="192" spans="1:16">
      <c r="A192" s="325">
        <f>'Curve Paste'!BQ192</f>
        <v>42309</v>
      </c>
      <c r="B192" s="415">
        <f>IF(Assumptions!$L$30=4,VLOOKUP($A192,'Henwood Reference'!$E$9:$R$296,14),'Curve Paste'!BR192)</f>
        <v>3.6923658507002108</v>
      </c>
      <c r="C192" s="415">
        <f>IF(Assumptions!$L$30=4,VLOOKUP($A192,'Henwood Reference'!$E$9:$R$296,14),'Curve Paste'!BS192)</f>
        <v>3.6923658507002108</v>
      </c>
      <c r="D192" s="415">
        <f>IF(Assumptions!$L$30=4,VLOOKUP($A192,'Henwood Reference'!$E$9:$R$296,14),'Curve Paste'!BT192)</f>
        <v>3.6923658507002108</v>
      </c>
      <c r="E192" s="416">
        <v>0.14550000000000002</v>
      </c>
      <c r="F192" s="416">
        <v>0.153</v>
      </c>
      <c r="G192" s="416">
        <v>0.1605</v>
      </c>
      <c r="H192" s="416">
        <f t="shared" si="8"/>
        <v>-7.0000000000000007E-2</v>
      </c>
      <c r="I192" s="416"/>
      <c r="J192" s="416">
        <f t="shared" si="9"/>
        <v>7.0000000000000007E-2</v>
      </c>
      <c r="K192" s="432">
        <f t="shared" si="11"/>
        <v>0</v>
      </c>
      <c r="L192" s="1618">
        <f>IF(Assumptions!$L$30=4,0,O192+P192)</f>
        <v>0</v>
      </c>
      <c r="M192" s="445">
        <f t="shared" si="10"/>
        <v>3.7372123994941404</v>
      </c>
      <c r="N192" s="449">
        <f>IF(Assumptions!$L$30=4,F192,CHOOSE(Assumptions!$L$30,E192,F192,G192))</f>
        <v>0.153</v>
      </c>
      <c r="O192">
        <v>0.18875</v>
      </c>
      <c r="P192" s="1720">
        <f>Assumptions!$L$32*(1+Assumptions!$C$26)^(YEAR(A192)-2000)</f>
        <v>0.11036120374257859</v>
      </c>
    </row>
    <row r="193" spans="1:16">
      <c r="A193" s="325">
        <f>'Curve Paste'!BQ193</f>
        <v>42339</v>
      </c>
      <c r="B193" s="415">
        <f>IF(Assumptions!$L$30=4,VLOOKUP($A193,'Henwood Reference'!$E$9:$R$296,14),'Curve Paste'!BR193)</f>
        <v>3.8431650151656593</v>
      </c>
      <c r="C193" s="415">
        <f>IF(Assumptions!$L$30=4,VLOOKUP($A193,'Henwood Reference'!$E$9:$R$296,14),'Curve Paste'!BS193)</f>
        <v>3.8431650151656593</v>
      </c>
      <c r="D193" s="415">
        <f>IF(Assumptions!$L$30=4,VLOOKUP($A193,'Henwood Reference'!$E$9:$R$296,14),'Curve Paste'!BT193)</f>
        <v>3.8431650151656593</v>
      </c>
      <c r="E193" s="416">
        <v>0.14550000000000002</v>
      </c>
      <c r="F193" s="416">
        <v>0.153</v>
      </c>
      <c r="G193" s="416">
        <v>0.1605</v>
      </c>
      <c r="H193" s="416">
        <f t="shared" si="8"/>
        <v>-7.0000000000000007E-2</v>
      </c>
      <c r="I193" s="416"/>
      <c r="J193" s="416">
        <f t="shared" si="9"/>
        <v>7.0000000000000007E-2</v>
      </c>
      <c r="K193" s="432">
        <f t="shared" si="11"/>
        <v>0</v>
      </c>
      <c r="L193" s="1618">
        <f>IF(Assumptions!$L$30=4,0,O193+P193)</f>
        <v>0</v>
      </c>
      <c r="M193" s="445">
        <f t="shared" si="10"/>
        <v>3.8898431327587644</v>
      </c>
      <c r="N193" s="449">
        <f>IF(Assumptions!$L$30=4,F193,CHOOSE(Assumptions!$L$30,E193,F193,G193))</f>
        <v>0.153</v>
      </c>
      <c r="O193">
        <v>0.18875</v>
      </c>
      <c r="P193" s="1720">
        <f>Assumptions!$L$32*(1+Assumptions!$C$26)^(YEAR(A193)-2000)</f>
        <v>0.11036120374257859</v>
      </c>
    </row>
    <row r="194" spans="1:16">
      <c r="A194" s="325">
        <f>'Curve Paste'!BQ194</f>
        <v>42370</v>
      </c>
      <c r="B194" s="415">
        <f>IF(Assumptions!$L$30=4,VLOOKUP($A194,'Henwood Reference'!$E$9:$R$296,14),'Curve Paste'!BR194)</f>
        <v>3.7373768090597252</v>
      </c>
      <c r="C194" s="415">
        <f>IF(Assumptions!$L$30=4,VLOOKUP($A194,'Henwood Reference'!$E$9:$R$296,14),'Curve Paste'!BS194)</f>
        <v>3.7373768090597252</v>
      </c>
      <c r="D194" s="415">
        <f>IF(Assumptions!$L$30=4,VLOOKUP($A194,'Henwood Reference'!$E$9:$R$296,14),'Curve Paste'!BT194)</f>
        <v>3.7373768090597252</v>
      </c>
      <c r="E194" s="416">
        <v>0.14550000000000002</v>
      </c>
      <c r="F194" s="416">
        <v>0.153</v>
      </c>
      <c r="G194" s="416">
        <v>0.1605</v>
      </c>
      <c r="H194" s="416">
        <f t="shared" si="8"/>
        <v>-7.0000000000000007E-2</v>
      </c>
      <c r="I194" s="416"/>
      <c r="J194" s="416">
        <f t="shared" si="9"/>
        <v>7.0000000000000007E-2</v>
      </c>
      <c r="K194" s="432">
        <f t="shared" si="11"/>
        <v>0</v>
      </c>
      <c r="L194" s="1618">
        <f>IF(Assumptions!$L$30=4,0,O194+P194)</f>
        <v>0</v>
      </c>
      <c r="M194" s="445">
        <f t="shared" si="10"/>
        <v>3.7827700496555923</v>
      </c>
      <c r="N194" s="449">
        <f>IF(Assumptions!$L$30=4,F194,CHOOSE(Assumptions!$L$30,E194,F194,G194))</f>
        <v>0.153</v>
      </c>
      <c r="O194">
        <v>0.1575</v>
      </c>
      <c r="P194" s="1720">
        <f>Assumptions!$L$32*(1+Assumptions!$C$26)^(YEAR(A194)-2000)</f>
        <v>0.11256842781743018</v>
      </c>
    </row>
    <row r="195" spans="1:16">
      <c r="A195" s="325">
        <f>'Curve Paste'!BQ195</f>
        <v>42401</v>
      </c>
      <c r="B195" s="415">
        <f>IF(Assumptions!$L$30=4,VLOOKUP($A195,'Henwood Reference'!$E$9:$R$296,14),'Curve Paste'!BR195)</f>
        <v>3.4461088292612958</v>
      </c>
      <c r="C195" s="415">
        <f>IF(Assumptions!$L$30=4,VLOOKUP($A195,'Henwood Reference'!$E$9:$R$296,14),'Curve Paste'!BS195)</f>
        <v>3.4461088292612958</v>
      </c>
      <c r="D195" s="415">
        <f>IF(Assumptions!$L$30=4,VLOOKUP($A195,'Henwood Reference'!$E$9:$R$296,14),'Curve Paste'!BT195)</f>
        <v>3.4461088292612958</v>
      </c>
      <c r="E195" s="416">
        <v>0.14450000000000002</v>
      </c>
      <c r="F195" s="416">
        <v>0.152</v>
      </c>
      <c r="G195" s="416">
        <v>0.1595</v>
      </c>
      <c r="H195" s="416">
        <f t="shared" si="8"/>
        <v>-7.0000000000000007E-2</v>
      </c>
      <c r="I195" s="416"/>
      <c r="J195" s="416">
        <f t="shared" si="9"/>
        <v>7.0000000000000007E-2</v>
      </c>
      <c r="K195" s="432">
        <f t="shared" si="11"/>
        <v>0</v>
      </c>
      <c r="L195" s="1618">
        <f>IF(Assumptions!$L$30=4,0,O195+P195)</f>
        <v>0</v>
      </c>
      <c r="M195" s="445">
        <f t="shared" si="10"/>
        <v>3.4879644020863316</v>
      </c>
      <c r="N195" s="449">
        <f>IF(Assumptions!$L$30=4,F195,CHOOSE(Assumptions!$L$30,E195,F195,G195))</f>
        <v>0.152</v>
      </c>
      <c r="O195">
        <v>0.1575</v>
      </c>
      <c r="P195" s="1720">
        <f>Assumptions!$L$32*(1+Assumptions!$C$26)^(YEAR(A195)-2000)</f>
        <v>0.11256842781743018</v>
      </c>
    </row>
    <row r="196" spans="1:16">
      <c r="A196" s="325">
        <f>'Curve Paste'!BQ196</f>
        <v>42430</v>
      </c>
      <c r="B196" s="415">
        <f>IF(Assumptions!$L$30=4,VLOOKUP($A196,'Henwood Reference'!$E$9:$R$296,14),'Curve Paste'!BR196)</f>
        <v>3.2561630168521676</v>
      </c>
      <c r="C196" s="415">
        <f>IF(Assumptions!$L$30=4,VLOOKUP($A196,'Henwood Reference'!$E$9:$R$296,14),'Curve Paste'!BS196)</f>
        <v>3.2561630168521676</v>
      </c>
      <c r="D196" s="415">
        <f>IF(Assumptions!$L$30=4,VLOOKUP($A196,'Henwood Reference'!$E$9:$R$296,14),'Curve Paste'!BT196)</f>
        <v>3.2561630168521676</v>
      </c>
      <c r="E196" s="416">
        <v>0.14450000000000002</v>
      </c>
      <c r="F196" s="416">
        <v>0.152</v>
      </c>
      <c r="G196" s="416">
        <v>0.1595</v>
      </c>
      <c r="H196" s="416">
        <f t="shared" si="8"/>
        <v>-7.0000000000000007E-2</v>
      </c>
      <c r="I196" s="416"/>
      <c r="J196" s="416">
        <f t="shared" si="9"/>
        <v>7.0000000000000007E-2</v>
      </c>
      <c r="K196" s="432">
        <f t="shared" si="11"/>
        <v>0</v>
      </c>
      <c r="L196" s="1618">
        <f>IF(Assumptions!$L$30=4,0,O196+P196)</f>
        <v>0</v>
      </c>
      <c r="M196" s="445">
        <f t="shared" si="10"/>
        <v>3.2957115555183885</v>
      </c>
      <c r="N196" s="449">
        <f>IF(Assumptions!$L$30=4,F196,CHOOSE(Assumptions!$L$30,E196,F196,G196))</f>
        <v>0.152</v>
      </c>
      <c r="O196">
        <v>0.17499999999999999</v>
      </c>
      <c r="P196" s="1720">
        <f>Assumptions!$L$32*(1+Assumptions!$C$26)^(YEAR(A196)-2000)</f>
        <v>0.11256842781743018</v>
      </c>
    </row>
    <row r="197" spans="1:16">
      <c r="A197" s="325">
        <f>'Curve Paste'!BQ197</f>
        <v>42461</v>
      </c>
      <c r="B197" s="415">
        <f>IF(Assumptions!$L$30=4,VLOOKUP($A197,'Henwood Reference'!$E$9:$R$296,14),'Curve Paste'!BR197)</f>
        <v>3.1531717602175746</v>
      </c>
      <c r="C197" s="415">
        <f>IF(Assumptions!$L$30=4,VLOOKUP($A197,'Henwood Reference'!$E$9:$R$296,14),'Curve Paste'!BS197)</f>
        <v>3.1531717602175746</v>
      </c>
      <c r="D197" s="415">
        <f>IF(Assumptions!$L$30=4,VLOOKUP($A197,'Henwood Reference'!$E$9:$R$296,14),'Curve Paste'!BT197)</f>
        <v>3.1531717602175746</v>
      </c>
      <c r="E197" s="416">
        <v>0.14450000000000002</v>
      </c>
      <c r="F197" s="416">
        <v>0.152</v>
      </c>
      <c r="G197" s="416">
        <v>0.1595</v>
      </c>
      <c r="H197" s="416">
        <f t="shared" si="8"/>
        <v>-7.0000000000000007E-2</v>
      </c>
      <c r="I197" s="416"/>
      <c r="J197" s="416">
        <f t="shared" si="9"/>
        <v>7.0000000000000007E-2</v>
      </c>
      <c r="K197" s="432">
        <f t="shared" si="11"/>
        <v>0</v>
      </c>
      <c r="L197" s="1618">
        <f>IF(Assumptions!$L$30=4,0,O197+P197)</f>
        <v>0</v>
      </c>
      <c r="M197" s="445">
        <f t="shared" si="10"/>
        <v>3.1914693929327678</v>
      </c>
      <c r="N197" s="449">
        <f>IF(Assumptions!$L$30=4,F197,CHOOSE(Assumptions!$L$30,E197,F197,G197))</f>
        <v>0.152</v>
      </c>
      <c r="O197">
        <v>0.16</v>
      </c>
      <c r="P197" s="1720">
        <f>Assumptions!$L$32*(1+Assumptions!$C$26)^(YEAR(A197)-2000)</f>
        <v>0.11256842781743018</v>
      </c>
    </row>
    <row r="198" spans="1:16">
      <c r="A198" s="325">
        <f>'Curve Paste'!BQ198</f>
        <v>42491</v>
      </c>
      <c r="B198" s="415">
        <f>IF(Assumptions!$L$30=4,VLOOKUP($A198,'Henwood Reference'!$E$9:$R$296,14),'Curve Paste'!BR198)</f>
        <v>3.1243056986694704</v>
      </c>
      <c r="C198" s="415">
        <f>IF(Assumptions!$L$30=4,VLOOKUP($A198,'Henwood Reference'!$E$9:$R$296,14),'Curve Paste'!BS198)</f>
        <v>3.1243056986694704</v>
      </c>
      <c r="D198" s="415">
        <f>IF(Assumptions!$L$30=4,VLOOKUP($A198,'Henwood Reference'!$E$9:$R$296,14),'Curve Paste'!BT198)</f>
        <v>3.1243056986694704</v>
      </c>
      <c r="E198" s="416">
        <v>0.14450000000000002</v>
      </c>
      <c r="F198" s="416">
        <v>0.152</v>
      </c>
      <c r="G198" s="416">
        <v>0.1595</v>
      </c>
      <c r="H198" s="416">
        <f t="shared" ref="H198:H261" si="12">I198-$H$4</f>
        <v>-7.0000000000000007E-2</v>
      </c>
      <c r="I198" s="416"/>
      <c r="J198" s="416">
        <f t="shared" ref="J198:J261" si="13">I198+$J$4</f>
        <v>7.0000000000000007E-2</v>
      </c>
      <c r="K198" s="432">
        <f t="shared" si="11"/>
        <v>0</v>
      </c>
      <c r="L198" s="1618">
        <f>IF(Assumptions!$L$30=4,0,O198+P198)</f>
        <v>0</v>
      </c>
      <c r="M198" s="445">
        <f t="shared" ref="M198:M261" si="14">(IF(GasPriceCurve,IF(OBuySell=OCallPut,D198,B198),C198)+K198/1000+L198)/(1-GasTransportPercent)</f>
        <v>3.1622527314468325</v>
      </c>
      <c r="N198" s="449">
        <f>IF(Assumptions!$L$30=4,F198,CHOOSE(Assumptions!$L$30,E198,F198,G198))</f>
        <v>0.152</v>
      </c>
      <c r="O198">
        <v>0.17499999999999999</v>
      </c>
      <c r="P198" s="1720">
        <f>Assumptions!$L$32*(1+Assumptions!$C$26)^(YEAR(A198)-2000)</f>
        <v>0.11256842781743018</v>
      </c>
    </row>
    <row r="199" spans="1:16">
      <c r="A199" s="325">
        <f>'Curve Paste'!BQ199</f>
        <v>42522</v>
      </c>
      <c r="B199" s="415">
        <f>IF(Assumptions!$L$30=4,VLOOKUP($A199,'Henwood Reference'!$E$9:$R$296,14),'Curve Paste'!BR199)</f>
        <v>3.1567354715198106</v>
      </c>
      <c r="C199" s="415">
        <f>IF(Assumptions!$L$30=4,VLOOKUP($A199,'Henwood Reference'!$E$9:$R$296,14),'Curve Paste'!BS199)</f>
        <v>3.1567354715198106</v>
      </c>
      <c r="D199" s="415">
        <f>IF(Assumptions!$L$30=4,VLOOKUP($A199,'Henwood Reference'!$E$9:$R$296,14),'Curve Paste'!BT199)</f>
        <v>3.1567354715198106</v>
      </c>
      <c r="E199" s="416">
        <v>0.14450000000000002</v>
      </c>
      <c r="F199" s="416">
        <v>0.152</v>
      </c>
      <c r="G199" s="416">
        <v>0.1595</v>
      </c>
      <c r="H199" s="416">
        <f t="shared" si="12"/>
        <v>-7.0000000000000007E-2</v>
      </c>
      <c r="I199" s="416"/>
      <c r="J199" s="416">
        <f t="shared" si="13"/>
        <v>7.0000000000000007E-2</v>
      </c>
      <c r="K199" s="432">
        <f t="shared" si="11"/>
        <v>0</v>
      </c>
      <c r="L199" s="1618">
        <f>IF(Assumptions!$L$30=4,0,O199+P199)</f>
        <v>0</v>
      </c>
      <c r="M199" s="445">
        <f t="shared" si="14"/>
        <v>3.195076388177946</v>
      </c>
      <c r="N199" s="449">
        <f>IF(Assumptions!$L$30=4,F199,CHOOSE(Assumptions!$L$30,E199,F199,G199))</f>
        <v>0.152</v>
      </c>
      <c r="O199">
        <v>0.20499999999999999</v>
      </c>
      <c r="P199" s="1720">
        <f>Assumptions!$L$32*(1+Assumptions!$C$26)^(YEAR(A199)-2000)</f>
        <v>0.11256842781743018</v>
      </c>
    </row>
    <row r="200" spans="1:16">
      <c r="A200" s="325">
        <f>'Curve Paste'!BQ200</f>
        <v>42552</v>
      </c>
      <c r="B200" s="415">
        <f>IF(Assumptions!$L$30=4,VLOOKUP($A200,'Henwood Reference'!$E$9:$R$296,14),'Curve Paste'!BR200)</f>
        <v>3.2376317180805456</v>
      </c>
      <c r="C200" s="415">
        <f>IF(Assumptions!$L$30=4,VLOOKUP($A200,'Henwood Reference'!$E$9:$R$296,14),'Curve Paste'!BS200)</f>
        <v>3.2376317180805456</v>
      </c>
      <c r="D200" s="415">
        <f>IF(Assumptions!$L$30=4,VLOOKUP($A200,'Henwood Reference'!$E$9:$R$296,14),'Curve Paste'!BT200)</f>
        <v>3.2376317180805456</v>
      </c>
      <c r="E200" s="416">
        <v>0.14450000000000002</v>
      </c>
      <c r="F200" s="416">
        <v>0.152</v>
      </c>
      <c r="G200" s="416">
        <v>0.1595</v>
      </c>
      <c r="H200" s="416">
        <f t="shared" si="12"/>
        <v>-7.0000000000000007E-2</v>
      </c>
      <c r="I200" s="416"/>
      <c r="J200" s="416">
        <f t="shared" si="13"/>
        <v>7.0000000000000007E-2</v>
      </c>
      <c r="K200" s="432">
        <f t="shared" si="11"/>
        <v>0</v>
      </c>
      <c r="L200" s="1618">
        <f>IF(Assumptions!$L$30=4,0,O200+P200)</f>
        <v>0</v>
      </c>
      <c r="M200" s="445">
        <f t="shared" si="14"/>
        <v>3.2769551802434673</v>
      </c>
      <c r="N200" s="449">
        <f>IF(Assumptions!$L$30=4,F200,CHOOSE(Assumptions!$L$30,E200,F200,G200))</f>
        <v>0.152</v>
      </c>
      <c r="O200">
        <v>0.30499999999999999</v>
      </c>
      <c r="P200" s="1720">
        <f>Assumptions!$L$32*(1+Assumptions!$C$26)^(YEAR(A200)-2000)</f>
        <v>0.11256842781743018</v>
      </c>
    </row>
    <row r="201" spans="1:16">
      <c r="A201" s="325">
        <f>'Curve Paste'!BQ201</f>
        <v>42583</v>
      </c>
      <c r="B201" s="415">
        <f>IF(Assumptions!$L$30=4,VLOOKUP($A201,'Henwood Reference'!$E$9:$R$296,14),'Curve Paste'!BR201)</f>
        <v>3.354165077663632</v>
      </c>
      <c r="C201" s="415">
        <f>IF(Assumptions!$L$30=4,VLOOKUP($A201,'Henwood Reference'!$E$9:$R$296,14),'Curve Paste'!BS201)</f>
        <v>3.354165077663632</v>
      </c>
      <c r="D201" s="415">
        <f>IF(Assumptions!$L$30=4,VLOOKUP($A201,'Henwood Reference'!$E$9:$R$296,14),'Curve Paste'!BT201)</f>
        <v>3.354165077663632</v>
      </c>
      <c r="E201" s="416">
        <v>0.14450000000000002</v>
      </c>
      <c r="F201" s="416">
        <v>0.152</v>
      </c>
      <c r="G201" s="416">
        <v>0.1595</v>
      </c>
      <c r="H201" s="416">
        <f t="shared" si="12"/>
        <v>-7.0000000000000007E-2</v>
      </c>
      <c r="I201" s="416"/>
      <c r="J201" s="416">
        <f t="shared" si="13"/>
        <v>7.0000000000000007E-2</v>
      </c>
      <c r="K201" s="432">
        <f t="shared" si="11"/>
        <v>0</v>
      </c>
      <c r="L201" s="1618">
        <f>IF(Assumptions!$L$30=4,0,O201+P201)</f>
        <v>0</v>
      </c>
      <c r="M201" s="445">
        <f t="shared" si="14"/>
        <v>3.3949039247607611</v>
      </c>
      <c r="N201" s="449">
        <f>IF(Assumptions!$L$30=4,F201,CHOOSE(Assumptions!$L$30,E201,F201,G201))</f>
        <v>0.152</v>
      </c>
      <c r="O201">
        <v>0.30499999999999999</v>
      </c>
      <c r="P201" s="1720">
        <f>Assumptions!$L$32*(1+Assumptions!$C$26)^(YEAR(A201)-2000)</f>
        <v>0.11256842781743018</v>
      </c>
    </row>
    <row r="202" spans="1:16">
      <c r="A202" s="325">
        <f>'Curve Paste'!BQ202</f>
        <v>42614</v>
      </c>
      <c r="B202" s="415">
        <f>IF(Assumptions!$L$30=4,VLOOKUP($A202,'Henwood Reference'!$E$9:$R$296,14),'Curve Paste'!BR202)</f>
        <v>3.4935061895810224</v>
      </c>
      <c r="C202" s="415">
        <f>IF(Assumptions!$L$30=4,VLOOKUP($A202,'Henwood Reference'!$E$9:$R$296,14),'Curve Paste'!BS202)</f>
        <v>3.4935061895810224</v>
      </c>
      <c r="D202" s="415">
        <f>IF(Assumptions!$L$30=4,VLOOKUP($A202,'Henwood Reference'!$E$9:$R$296,14),'Curve Paste'!BT202)</f>
        <v>3.4935061895810224</v>
      </c>
      <c r="E202" s="416">
        <v>0.14450000000000002</v>
      </c>
      <c r="F202" s="416">
        <v>0.152</v>
      </c>
      <c r="G202" s="416">
        <v>0.1595</v>
      </c>
      <c r="H202" s="416">
        <f t="shared" si="12"/>
        <v>-7.0000000000000007E-2</v>
      </c>
      <c r="I202" s="416"/>
      <c r="J202" s="416">
        <f t="shared" si="13"/>
        <v>7.0000000000000007E-2</v>
      </c>
      <c r="K202" s="432">
        <f t="shared" si="11"/>
        <v>0</v>
      </c>
      <c r="L202" s="1618">
        <f>IF(Assumptions!$L$30=4,0,O202+P202)</f>
        <v>0</v>
      </c>
      <c r="M202" s="445">
        <f t="shared" si="14"/>
        <v>3.5359374388471889</v>
      </c>
      <c r="N202" s="449">
        <f>IF(Assumptions!$L$30=4,F202,CHOOSE(Assumptions!$L$30,E202,F202,G202))</f>
        <v>0.152</v>
      </c>
      <c r="O202">
        <v>0.30499999999999999</v>
      </c>
      <c r="P202" s="1720">
        <f>Assumptions!$L$32*(1+Assumptions!$C$26)^(YEAR(A202)-2000)</f>
        <v>0.11256842781743018</v>
      </c>
    </row>
    <row r="203" spans="1:16">
      <c r="A203" s="325">
        <f>'Curve Paste'!BQ203</f>
        <v>42644</v>
      </c>
      <c r="B203" s="415">
        <f>IF(Assumptions!$L$30=4,VLOOKUP($A203,'Henwood Reference'!$E$9:$R$296,14),'Curve Paste'!BR203)</f>
        <v>3.6428256931446721</v>
      </c>
      <c r="C203" s="415">
        <f>IF(Assumptions!$L$30=4,VLOOKUP($A203,'Henwood Reference'!$E$9:$R$296,14),'Curve Paste'!BS203)</f>
        <v>3.6428256931446721</v>
      </c>
      <c r="D203" s="415">
        <f>IF(Assumptions!$L$30=4,VLOOKUP($A203,'Henwood Reference'!$E$9:$R$296,14),'Curve Paste'!BT203)</f>
        <v>3.6428256931446721</v>
      </c>
      <c r="E203" s="416">
        <v>0.14450000000000002</v>
      </c>
      <c r="F203" s="416">
        <v>0.152</v>
      </c>
      <c r="G203" s="416">
        <v>0.1595</v>
      </c>
      <c r="H203" s="416">
        <f t="shared" si="12"/>
        <v>-7.0000000000000007E-2</v>
      </c>
      <c r="I203" s="416"/>
      <c r="J203" s="416">
        <f t="shared" si="13"/>
        <v>7.0000000000000007E-2</v>
      </c>
      <c r="K203" s="432">
        <f t="shared" si="11"/>
        <v>0</v>
      </c>
      <c r="L203" s="1618">
        <f>IF(Assumptions!$L$30=4,0,O203+P203)</f>
        <v>0</v>
      </c>
      <c r="M203" s="445">
        <f t="shared" si="14"/>
        <v>3.6870705396201133</v>
      </c>
      <c r="N203" s="449">
        <f>IF(Assumptions!$L$30=4,F203,CHOOSE(Assumptions!$L$30,E203,F203,G203))</f>
        <v>0.152</v>
      </c>
      <c r="O203">
        <v>0.22500000000000001</v>
      </c>
      <c r="P203" s="1720">
        <f>Assumptions!$L$32*(1+Assumptions!$C$26)^(YEAR(A203)-2000)</f>
        <v>0.11256842781743018</v>
      </c>
    </row>
    <row r="204" spans="1:16">
      <c r="A204" s="325">
        <f>'Curve Paste'!BQ204</f>
        <v>42675</v>
      </c>
      <c r="B204" s="415">
        <f>IF(Assumptions!$L$30=4,VLOOKUP($A204,'Henwood Reference'!$E$9:$R$296,14),'Curve Paste'!BR204)</f>
        <v>3.7892942276665313</v>
      </c>
      <c r="C204" s="415">
        <f>IF(Assumptions!$L$30=4,VLOOKUP($A204,'Henwood Reference'!$E$9:$R$296,14),'Curve Paste'!BS204)</f>
        <v>3.7892942276665313</v>
      </c>
      <c r="D204" s="415">
        <f>IF(Assumptions!$L$30=4,VLOOKUP($A204,'Henwood Reference'!$E$9:$R$296,14),'Curve Paste'!BT204)</f>
        <v>3.7892942276665313</v>
      </c>
      <c r="E204" s="416">
        <v>0.14450000000000002</v>
      </c>
      <c r="F204" s="416">
        <v>0.152</v>
      </c>
      <c r="G204" s="416">
        <v>0.1595</v>
      </c>
      <c r="H204" s="416">
        <f t="shared" si="12"/>
        <v>-7.0000000000000007E-2</v>
      </c>
      <c r="I204" s="416"/>
      <c r="J204" s="416">
        <f t="shared" si="13"/>
        <v>7.0000000000000007E-2</v>
      </c>
      <c r="K204" s="432">
        <f t="shared" si="11"/>
        <v>0</v>
      </c>
      <c r="L204" s="1618">
        <f>IF(Assumptions!$L$30=4,0,O204+P204)</f>
        <v>0</v>
      </c>
      <c r="M204" s="445">
        <f t="shared" si="14"/>
        <v>3.8353180441968941</v>
      </c>
      <c r="N204" s="449">
        <f>IF(Assumptions!$L$30=4,F204,CHOOSE(Assumptions!$L$30,E204,F204,G204))</f>
        <v>0.152</v>
      </c>
      <c r="O204">
        <v>0.19</v>
      </c>
      <c r="P204" s="1720">
        <f>Assumptions!$L$32*(1+Assumptions!$C$26)^(YEAR(A204)-2000)</f>
        <v>0.11256842781743018</v>
      </c>
    </row>
    <row r="205" spans="1:16">
      <c r="A205" s="325">
        <f>'Curve Paste'!BQ205</f>
        <v>42705</v>
      </c>
      <c r="B205" s="415">
        <f>IF(Assumptions!$L$30=4,VLOOKUP($A205,'Henwood Reference'!$E$9:$R$296,14),'Curve Paste'!BR205)</f>
        <v>3.9440520243072679</v>
      </c>
      <c r="C205" s="415">
        <f>IF(Assumptions!$L$30=4,VLOOKUP($A205,'Henwood Reference'!$E$9:$R$296,14),'Curve Paste'!BS205)</f>
        <v>3.9440520243072679</v>
      </c>
      <c r="D205" s="415">
        <f>IF(Assumptions!$L$30=4,VLOOKUP($A205,'Henwood Reference'!$E$9:$R$296,14),'Curve Paste'!BT205)</f>
        <v>3.9440520243072679</v>
      </c>
      <c r="E205" s="416">
        <v>0.14450000000000002</v>
      </c>
      <c r="F205" s="416">
        <v>0.152</v>
      </c>
      <c r="G205" s="416">
        <v>0.1595</v>
      </c>
      <c r="H205" s="416">
        <f t="shared" si="12"/>
        <v>-7.0000000000000007E-2</v>
      </c>
      <c r="I205" s="416"/>
      <c r="J205" s="416">
        <f t="shared" si="13"/>
        <v>7.0000000000000007E-2</v>
      </c>
      <c r="K205" s="432">
        <f t="shared" si="11"/>
        <v>0</v>
      </c>
      <c r="L205" s="1618">
        <f>IF(Assumptions!$L$30=4,0,O205+P205)</f>
        <v>0</v>
      </c>
      <c r="M205" s="445">
        <f t="shared" si="14"/>
        <v>3.9919554901895422</v>
      </c>
      <c r="N205" s="449">
        <f>IF(Assumptions!$L$30=4,F205,CHOOSE(Assumptions!$L$30,E205,F205,G205))</f>
        <v>0.152</v>
      </c>
      <c r="O205">
        <v>0.19</v>
      </c>
      <c r="P205" s="1720">
        <f>Assumptions!$L$32*(1+Assumptions!$C$26)^(YEAR(A205)-2000)</f>
        <v>0.11256842781743018</v>
      </c>
    </row>
    <row r="206" spans="1:16">
      <c r="A206" s="325">
        <f>'Curve Paste'!BQ206</f>
        <v>42736</v>
      </c>
      <c r="B206" s="415">
        <f>IF(Assumptions!$L$30=4,VLOOKUP($A206,'Henwood Reference'!$E$9:$R$296,14),'Curve Paste'!BR206)</f>
        <v>3.8535889893325184</v>
      </c>
      <c r="C206" s="415">
        <f>IF(Assumptions!$L$30=4,VLOOKUP($A206,'Henwood Reference'!$E$9:$R$296,14),'Curve Paste'!BS206)</f>
        <v>3.8535889893325184</v>
      </c>
      <c r="D206" s="415">
        <f>IF(Assumptions!$L$30=4,VLOOKUP($A206,'Henwood Reference'!$E$9:$R$296,14),'Curve Paste'!BT206)</f>
        <v>3.8535889893325184</v>
      </c>
      <c r="E206" s="416">
        <v>0.14450000000000002</v>
      </c>
      <c r="F206" s="416">
        <v>0.152</v>
      </c>
      <c r="G206" s="416">
        <v>0.1595</v>
      </c>
      <c r="H206" s="416">
        <f t="shared" si="12"/>
        <v>-7.0000000000000007E-2</v>
      </c>
      <c r="I206" s="416"/>
      <c r="J206" s="416">
        <f t="shared" si="13"/>
        <v>7.0000000000000007E-2</v>
      </c>
      <c r="K206" s="432">
        <f t="shared" si="11"/>
        <v>0</v>
      </c>
      <c r="L206" s="1618">
        <f>IF(Assumptions!$L$30=4,0,O206+P206)</f>
        <v>0</v>
      </c>
      <c r="M206" s="445">
        <f t="shared" si="14"/>
        <v>3.9003937138993101</v>
      </c>
      <c r="N206" s="449">
        <f>IF(Assumptions!$L$30=4,F206,CHOOSE(Assumptions!$L$30,E206,F206,G206))</f>
        <v>0.152</v>
      </c>
      <c r="O206">
        <v>0.15875</v>
      </c>
      <c r="P206" s="1720">
        <f>Assumptions!$L$32*(1+Assumptions!$C$26)^(YEAR(A206)-2000)</f>
        <v>0.11481979637377879</v>
      </c>
    </row>
    <row r="207" spans="1:16">
      <c r="A207" s="325">
        <f>'Curve Paste'!BQ207</f>
        <v>42767</v>
      </c>
      <c r="B207" s="415">
        <f>IF(Assumptions!$L$30=4,VLOOKUP($A207,'Henwood Reference'!$E$9:$R$296,14),'Curve Paste'!BR207)</f>
        <v>3.5532641526247253</v>
      </c>
      <c r="C207" s="415">
        <f>IF(Assumptions!$L$30=4,VLOOKUP($A207,'Henwood Reference'!$E$9:$R$296,14),'Curve Paste'!BS207)</f>
        <v>3.5532641526247253</v>
      </c>
      <c r="D207" s="415">
        <f>IF(Assumptions!$L$30=4,VLOOKUP($A207,'Henwood Reference'!$E$9:$R$296,14),'Curve Paste'!BT207)</f>
        <v>3.5532641526247253</v>
      </c>
      <c r="E207" s="416">
        <v>0.14350000000000002</v>
      </c>
      <c r="F207" s="416">
        <v>0.151</v>
      </c>
      <c r="G207" s="416">
        <v>0.1585</v>
      </c>
      <c r="H207" s="416">
        <f t="shared" si="12"/>
        <v>-7.0000000000000007E-2</v>
      </c>
      <c r="I207" s="416"/>
      <c r="J207" s="416">
        <f t="shared" si="13"/>
        <v>7.0000000000000007E-2</v>
      </c>
      <c r="K207" s="432">
        <f t="shared" si="11"/>
        <v>0</v>
      </c>
      <c r="L207" s="1618">
        <f>IF(Assumptions!$L$30=4,0,O207+P207)</f>
        <v>0</v>
      </c>
      <c r="M207" s="445">
        <f t="shared" si="14"/>
        <v>3.5964212071100459</v>
      </c>
      <c r="N207" s="449">
        <f>IF(Assumptions!$L$30=4,F207,CHOOSE(Assumptions!$L$30,E207,F207,G207))</f>
        <v>0.151</v>
      </c>
      <c r="O207">
        <v>0.15875</v>
      </c>
      <c r="P207" s="1720">
        <f>Assumptions!$L$32*(1+Assumptions!$C$26)^(YEAR(A207)-2000)</f>
        <v>0.11481979637377879</v>
      </c>
    </row>
    <row r="208" spans="1:16">
      <c r="A208" s="325">
        <f>'Curve Paste'!BQ208</f>
        <v>42795</v>
      </c>
      <c r="B208" s="415">
        <f>IF(Assumptions!$L$30=4,VLOOKUP($A208,'Henwood Reference'!$E$9:$R$296,14),'Curve Paste'!BR208)</f>
        <v>3.3574120540364136</v>
      </c>
      <c r="C208" s="415">
        <f>IF(Assumptions!$L$30=4,VLOOKUP($A208,'Henwood Reference'!$E$9:$R$296,14),'Curve Paste'!BS208)</f>
        <v>3.3574120540364136</v>
      </c>
      <c r="D208" s="415">
        <f>IF(Assumptions!$L$30=4,VLOOKUP($A208,'Henwood Reference'!$E$9:$R$296,14),'Curve Paste'!BT208)</f>
        <v>3.3574120540364136</v>
      </c>
      <c r="E208" s="416">
        <v>0.14350000000000002</v>
      </c>
      <c r="F208" s="416">
        <v>0.151</v>
      </c>
      <c r="G208" s="416">
        <v>0.1585</v>
      </c>
      <c r="H208" s="416">
        <f t="shared" si="12"/>
        <v>-7.0000000000000007E-2</v>
      </c>
      <c r="I208" s="416"/>
      <c r="J208" s="416">
        <f t="shared" si="13"/>
        <v>7.0000000000000007E-2</v>
      </c>
      <c r="K208" s="432">
        <f t="shared" si="11"/>
        <v>0</v>
      </c>
      <c r="L208" s="1618">
        <f>IF(Assumptions!$L$30=4,0,O208+P208)</f>
        <v>0</v>
      </c>
      <c r="M208" s="445">
        <f t="shared" si="14"/>
        <v>3.3981903380935359</v>
      </c>
      <c r="N208" s="449">
        <f>IF(Assumptions!$L$30=4,F208,CHOOSE(Assumptions!$L$30,E208,F208,G208))</f>
        <v>0.151</v>
      </c>
      <c r="O208">
        <v>0.17624999999999999</v>
      </c>
      <c r="P208" s="1720">
        <f>Assumptions!$L$32*(1+Assumptions!$C$26)^(YEAR(A208)-2000)</f>
        <v>0.11481979637377879</v>
      </c>
    </row>
    <row r="209" spans="1:16">
      <c r="A209" s="325">
        <f>'Curve Paste'!BQ209</f>
        <v>42826</v>
      </c>
      <c r="B209" s="415">
        <f>IF(Assumptions!$L$30=4,VLOOKUP($A209,'Henwood Reference'!$E$9:$R$296,14),'Curve Paste'!BR209)</f>
        <v>3.2512183270344956</v>
      </c>
      <c r="C209" s="415">
        <f>IF(Assumptions!$L$30=4,VLOOKUP($A209,'Henwood Reference'!$E$9:$R$296,14),'Curve Paste'!BS209)</f>
        <v>3.2512183270344956</v>
      </c>
      <c r="D209" s="415">
        <f>IF(Assumptions!$L$30=4,VLOOKUP($A209,'Henwood Reference'!$E$9:$R$296,14),'Curve Paste'!BT209)</f>
        <v>3.2512183270344956</v>
      </c>
      <c r="E209" s="416">
        <v>0.14350000000000002</v>
      </c>
      <c r="F209" s="416">
        <v>0.151</v>
      </c>
      <c r="G209" s="416">
        <v>0.1585</v>
      </c>
      <c r="H209" s="416">
        <f t="shared" si="12"/>
        <v>-7.0000000000000007E-2</v>
      </c>
      <c r="I209" s="416"/>
      <c r="J209" s="416">
        <f t="shared" si="13"/>
        <v>7.0000000000000007E-2</v>
      </c>
      <c r="K209" s="432">
        <f t="shared" si="11"/>
        <v>0</v>
      </c>
      <c r="L209" s="1618">
        <f>IF(Assumptions!$L$30=4,0,O209+P209)</f>
        <v>0</v>
      </c>
      <c r="M209" s="445">
        <f t="shared" si="14"/>
        <v>3.290706808739368</v>
      </c>
      <c r="N209" s="449">
        <f>IF(Assumptions!$L$30=4,F209,CHOOSE(Assumptions!$L$30,E209,F209,G209))</f>
        <v>0.151</v>
      </c>
      <c r="O209">
        <v>0.16125</v>
      </c>
      <c r="P209" s="1720">
        <f>Assumptions!$L$32*(1+Assumptions!$C$26)^(YEAR(A209)-2000)</f>
        <v>0.11481979637377879</v>
      </c>
    </row>
    <row r="210" spans="1:16">
      <c r="A210" s="325">
        <f>'Curve Paste'!BQ210</f>
        <v>42856</v>
      </c>
      <c r="B210" s="415">
        <f>IF(Assumptions!$L$30=4,VLOOKUP($A210,'Henwood Reference'!$E$9:$R$296,14),'Curve Paste'!BR210)</f>
        <v>3.2214546872865535</v>
      </c>
      <c r="C210" s="415">
        <f>IF(Assumptions!$L$30=4,VLOOKUP($A210,'Henwood Reference'!$E$9:$R$296,14),'Curve Paste'!BS210)</f>
        <v>3.2214546872865535</v>
      </c>
      <c r="D210" s="415">
        <f>IF(Assumptions!$L$30=4,VLOOKUP($A210,'Henwood Reference'!$E$9:$R$296,14),'Curve Paste'!BT210)</f>
        <v>3.2214546872865535</v>
      </c>
      <c r="E210" s="416">
        <v>0.14350000000000002</v>
      </c>
      <c r="F210" s="416">
        <v>0.151</v>
      </c>
      <c r="G210" s="416">
        <v>0.1585</v>
      </c>
      <c r="H210" s="416">
        <f t="shared" si="12"/>
        <v>-7.0000000000000007E-2</v>
      </c>
      <c r="I210" s="416"/>
      <c r="J210" s="416">
        <f t="shared" si="13"/>
        <v>7.0000000000000007E-2</v>
      </c>
      <c r="K210" s="432">
        <f t="shared" si="11"/>
        <v>0</v>
      </c>
      <c r="L210" s="1618">
        <f>IF(Assumptions!$L$30=4,0,O210+P210)</f>
        <v>0</v>
      </c>
      <c r="M210" s="445">
        <f t="shared" si="14"/>
        <v>3.2605816672940824</v>
      </c>
      <c r="N210" s="449">
        <f>IF(Assumptions!$L$30=4,F210,CHOOSE(Assumptions!$L$30,E210,F210,G210))</f>
        <v>0.151</v>
      </c>
      <c r="O210">
        <v>0.17624999999999999</v>
      </c>
      <c r="P210" s="1720">
        <f>Assumptions!$L$32*(1+Assumptions!$C$26)^(YEAR(A210)-2000)</f>
        <v>0.11481979637377879</v>
      </c>
    </row>
    <row r="211" spans="1:16">
      <c r="A211" s="325">
        <f>'Curve Paste'!BQ211</f>
        <v>42887</v>
      </c>
      <c r="B211" s="415">
        <f>IF(Assumptions!$L$30=4,VLOOKUP($A211,'Henwood Reference'!$E$9:$R$296,14),'Curve Paste'!BR211)</f>
        <v>3.254892850460168</v>
      </c>
      <c r="C211" s="415">
        <f>IF(Assumptions!$L$30=4,VLOOKUP($A211,'Henwood Reference'!$E$9:$R$296,14),'Curve Paste'!BS211)</f>
        <v>3.254892850460168</v>
      </c>
      <c r="D211" s="415">
        <f>IF(Assumptions!$L$30=4,VLOOKUP($A211,'Henwood Reference'!$E$9:$R$296,14),'Curve Paste'!BT211)</f>
        <v>3.254892850460168</v>
      </c>
      <c r="E211" s="416">
        <v>0.14350000000000002</v>
      </c>
      <c r="F211" s="416">
        <v>0.151</v>
      </c>
      <c r="G211" s="416">
        <v>0.1585</v>
      </c>
      <c r="H211" s="416">
        <f t="shared" si="12"/>
        <v>-7.0000000000000007E-2</v>
      </c>
      <c r="I211" s="416"/>
      <c r="J211" s="416">
        <f t="shared" si="13"/>
        <v>7.0000000000000007E-2</v>
      </c>
      <c r="K211" s="432">
        <f t="shared" si="11"/>
        <v>0</v>
      </c>
      <c r="L211" s="1618">
        <f>IF(Assumptions!$L$30=4,0,O211+P211)</f>
        <v>0</v>
      </c>
      <c r="M211" s="445">
        <f t="shared" si="14"/>
        <v>3.2944259620042184</v>
      </c>
      <c r="N211" s="449">
        <f>IF(Assumptions!$L$30=4,F211,CHOOSE(Assumptions!$L$30,E211,F211,G211))</f>
        <v>0.151</v>
      </c>
      <c r="O211">
        <v>0.20624999999999999</v>
      </c>
      <c r="P211" s="1720">
        <f>Assumptions!$L$32*(1+Assumptions!$C$26)^(YEAR(A211)-2000)</f>
        <v>0.11481979637377879</v>
      </c>
    </row>
    <row r="212" spans="1:16">
      <c r="A212" s="325">
        <f>'Curve Paste'!BQ212</f>
        <v>42917</v>
      </c>
      <c r="B212" s="415">
        <f>IF(Assumptions!$L$30=4,VLOOKUP($A212,'Henwood Reference'!$E$9:$R$296,14),'Curve Paste'!BR212)</f>
        <v>3.3383045322229203</v>
      </c>
      <c r="C212" s="415">
        <f>IF(Assumptions!$L$30=4,VLOOKUP($A212,'Henwood Reference'!$E$9:$R$296,14),'Curve Paste'!BS212)</f>
        <v>3.3383045322229203</v>
      </c>
      <c r="D212" s="415">
        <f>IF(Assumptions!$L$30=4,VLOOKUP($A212,'Henwood Reference'!$E$9:$R$296,14),'Curve Paste'!BT212)</f>
        <v>3.3383045322229203</v>
      </c>
      <c r="E212" s="416">
        <v>0.14350000000000002</v>
      </c>
      <c r="F212" s="416">
        <v>0.151</v>
      </c>
      <c r="G212" s="416">
        <v>0.1585</v>
      </c>
      <c r="H212" s="416">
        <f t="shared" si="12"/>
        <v>-7.0000000000000007E-2</v>
      </c>
      <c r="I212" s="416"/>
      <c r="J212" s="416">
        <f t="shared" si="13"/>
        <v>7.0000000000000007E-2</v>
      </c>
      <c r="K212" s="432">
        <f t="shared" si="11"/>
        <v>0</v>
      </c>
      <c r="L212" s="1618">
        <f>IF(Assumptions!$L$30=4,0,O212+P212)</f>
        <v>0</v>
      </c>
      <c r="M212" s="445">
        <f t="shared" si="14"/>
        <v>3.3788507411163162</v>
      </c>
      <c r="N212" s="449">
        <f>IF(Assumptions!$L$30=4,F212,CHOOSE(Assumptions!$L$30,E212,F212,G212))</f>
        <v>0.151</v>
      </c>
      <c r="O212">
        <v>0.30625000000000002</v>
      </c>
      <c r="P212" s="1720">
        <f>Assumptions!$L$32*(1+Assumptions!$C$26)^(YEAR(A212)-2000)</f>
        <v>0.11481979637377879</v>
      </c>
    </row>
    <row r="213" spans="1:16">
      <c r="A213" s="325">
        <f>'Curve Paste'!BQ213</f>
        <v>42948</v>
      </c>
      <c r="B213" s="415">
        <f>IF(Assumptions!$L$30=4,VLOOKUP($A213,'Henwood Reference'!$E$9:$R$296,14),'Curve Paste'!BR213)</f>
        <v>3.4584614482423914</v>
      </c>
      <c r="C213" s="415">
        <f>IF(Assumptions!$L$30=4,VLOOKUP($A213,'Henwood Reference'!$E$9:$R$296,14),'Curve Paste'!BS213)</f>
        <v>3.4584614482423914</v>
      </c>
      <c r="D213" s="415">
        <f>IF(Assumptions!$L$30=4,VLOOKUP($A213,'Henwood Reference'!$E$9:$R$296,14),'Curve Paste'!BT213)</f>
        <v>3.4584614482423914</v>
      </c>
      <c r="E213" s="416">
        <v>0.14350000000000002</v>
      </c>
      <c r="F213" s="416">
        <v>0.151</v>
      </c>
      <c r="G213" s="416">
        <v>0.1585</v>
      </c>
      <c r="H213" s="416">
        <f t="shared" si="12"/>
        <v>-7.0000000000000007E-2</v>
      </c>
      <c r="I213" s="416"/>
      <c r="J213" s="416">
        <f t="shared" si="13"/>
        <v>7.0000000000000007E-2</v>
      </c>
      <c r="K213" s="432">
        <f t="shared" si="11"/>
        <v>0</v>
      </c>
      <c r="L213" s="1618">
        <f>IF(Assumptions!$L$30=4,0,O213+P213)</f>
        <v>0</v>
      </c>
      <c r="M213" s="445">
        <f t="shared" si="14"/>
        <v>3.5004670528769144</v>
      </c>
      <c r="N213" s="449">
        <f>IF(Assumptions!$L$30=4,F213,CHOOSE(Assumptions!$L$30,E213,F213,G213))</f>
        <v>0.151</v>
      </c>
      <c r="O213">
        <v>0.30625000000000002</v>
      </c>
      <c r="P213" s="1720">
        <f>Assumptions!$L$32*(1+Assumptions!$C$26)^(YEAR(A213)-2000)</f>
        <v>0.11481979637377879</v>
      </c>
    </row>
    <row r="214" spans="1:16">
      <c r="A214" s="325">
        <f>'Curve Paste'!BQ214</f>
        <v>42979</v>
      </c>
      <c r="B214" s="415">
        <f>IF(Assumptions!$L$30=4,VLOOKUP($A214,'Henwood Reference'!$E$9:$R$296,14),'Curve Paste'!BR214)</f>
        <v>3.6021353141861621</v>
      </c>
      <c r="C214" s="415">
        <f>IF(Assumptions!$L$30=4,VLOOKUP($A214,'Henwood Reference'!$E$9:$R$296,14),'Curve Paste'!BS214)</f>
        <v>3.6021353141861621</v>
      </c>
      <c r="D214" s="415">
        <f>IF(Assumptions!$L$30=4,VLOOKUP($A214,'Henwood Reference'!$E$9:$R$296,14),'Curve Paste'!BT214)</f>
        <v>3.6021353141861621</v>
      </c>
      <c r="E214" s="416">
        <v>0.14350000000000002</v>
      </c>
      <c r="F214" s="416">
        <v>0.151</v>
      </c>
      <c r="G214" s="416">
        <v>0.1585</v>
      </c>
      <c r="H214" s="416">
        <f t="shared" si="12"/>
        <v>-7.0000000000000007E-2</v>
      </c>
      <c r="I214" s="416"/>
      <c r="J214" s="416">
        <f t="shared" si="13"/>
        <v>7.0000000000000007E-2</v>
      </c>
      <c r="K214" s="432">
        <f t="shared" si="11"/>
        <v>0</v>
      </c>
      <c r="L214" s="1618">
        <f>IF(Assumptions!$L$30=4,0,O214+P214)</f>
        <v>0</v>
      </c>
      <c r="M214" s="445">
        <f t="shared" si="14"/>
        <v>3.6458859455325525</v>
      </c>
      <c r="N214" s="449">
        <f>IF(Assumptions!$L$30=4,F214,CHOOSE(Assumptions!$L$30,E214,F214,G214))</f>
        <v>0.151</v>
      </c>
      <c r="O214">
        <v>0.30625000000000002</v>
      </c>
      <c r="P214" s="1720">
        <f>Assumptions!$L$32*(1+Assumptions!$C$26)^(YEAR(A214)-2000)</f>
        <v>0.11481979637377879</v>
      </c>
    </row>
    <row r="215" spans="1:16">
      <c r="A215" s="325">
        <f>'Curve Paste'!BQ215</f>
        <v>43009</v>
      </c>
      <c r="B215" s="415">
        <f>IF(Assumptions!$L$30=4,VLOOKUP($A215,'Henwood Reference'!$E$9:$R$296,14),'Curve Paste'!BR215)</f>
        <v>3.7560978457218153</v>
      </c>
      <c r="C215" s="415">
        <f>IF(Assumptions!$L$30=4,VLOOKUP($A215,'Henwood Reference'!$E$9:$R$296,14),'Curve Paste'!BS215)</f>
        <v>3.7560978457218153</v>
      </c>
      <c r="D215" s="415">
        <f>IF(Assumptions!$L$30=4,VLOOKUP($A215,'Henwood Reference'!$E$9:$R$296,14),'Curve Paste'!BT215)</f>
        <v>3.7560978457218153</v>
      </c>
      <c r="E215" s="416">
        <v>0.14350000000000002</v>
      </c>
      <c r="F215" s="416">
        <v>0.151</v>
      </c>
      <c r="G215" s="416">
        <v>0.1585</v>
      </c>
      <c r="H215" s="416">
        <f t="shared" si="12"/>
        <v>-7.0000000000000007E-2</v>
      </c>
      <c r="I215" s="416"/>
      <c r="J215" s="416">
        <f t="shared" si="13"/>
        <v>7.0000000000000007E-2</v>
      </c>
      <c r="K215" s="432">
        <f t="shared" si="11"/>
        <v>0</v>
      </c>
      <c r="L215" s="1618">
        <f>IF(Assumptions!$L$30=4,0,O215+P215)</f>
        <v>0</v>
      </c>
      <c r="M215" s="445">
        <f t="shared" si="14"/>
        <v>3.8017184673297724</v>
      </c>
      <c r="N215" s="449">
        <f>IF(Assumptions!$L$30=4,F215,CHOOSE(Assumptions!$L$30,E215,F215,G215))</f>
        <v>0.151</v>
      </c>
      <c r="O215">
        <v>0.22625000000000001</v>
      </c>
      <c r="P215" s="1720">
        <f>Assumptions!$L$32*(1+Assumptions!$C$26)^(YEAR(A215)-2000)</f>
        <v>0.11481979637377879</v>
      </c>
    </row>
    <row r="216" spans="1:16">
      <c r="A216" s="325">
        <f>'Curve Paste'!BQ216</f>
        <v>43040</v>
      </c>
      <c r="B216" s="415">
        <f>IF(Assumptions!$L$30=4,VLOOKUP($A216,'Henwood Reference'!$E$9:$R$296,14),'Curve Paste'!BR216)</f>
        <v>3.9071207585169287</v>
      </c>
      <c r="C216" s="415">
        <f>IF(Assumptions!$L$30=4,VLOOKUP($A216,'Henwood Reference'!$E$9:$R$296,14),'Curve Paste'!BS216)</f>
        <v>3.9071207585169287</v>
      </c>
      <c r="D216" s="415">
        <f>IF(Assumptions!$L$30=4,VLOOKUP($A216,'Henwood Reference'!$E$9:$R$296,14),'Curve Paste'!BT216)</f>
        <v>3.9071207585169287</v>
      </c>
      <c r="E216" s="416">
        <v>0.14350000000000002</v>
      </c>
      <c r="F216" s="416">
        <v>0.151</v>
      </c>
      <c r="G216" s="416">
        <v>0.1585</v>
      </c>
      <c r="H216" s="416">
        <f t="shared" si="12"/>
        <v>-7.0000000000000007E-2</v>
      </c>
      <c r="I216" s="416"/>
      <c r="J216" s="416">
        <f t="shared" si="13"/>
        <v>7.0000000000000007E-2</v>
      </c>
      <c r="K216" s="432">
        <f t="shared" si="11"/>
        <v>0</v>
      </c>
      <c r="L216" s="1618">
        <f>IF(Assumptions!$L$30=4,0,O216+P216)</f>
        <v>0</v>
      </c>
      <c r="M216" s="445">
        <f t="shared" si="14"/>
        <v>3.9545756665151099</v>
      </c>
      <c r="N216" s="449">
        <f>IF(Assumptions!$L$30=4,F216,CHOOSE(Assumptions!$L$30,E216,F216,G216))</f>
        <v>0.151</v>
      </c>
      <c r="O216">
        <v>0.19125</v>
      </c>
      <c r="P216" s="1720">
        <f>Assumptions!$L$32*(1+Assumptions!$C$26)^(YEAR(A216)-2000)</f>
        <v>0.11481979637377879</v>
      </c>
    </row>
    <row r="217" spans="1:16">
      <c r="A217" s="325">
        <f>'Curve Paste'!BQ217</f>
        <v>43070</v>
      </c>
      <c r="B217" s="415">
        <f>IF(Assumptions!$L$30=4,VLOOKUP($A217,'Henwood Reference'!$E$9:$R$296,14),'Curve Paste'!BR217)</f>
        <v>4.0666906845951454</v>
      </c>
      <c r="C217" s="415">
        <f>IF(Assumptions!$L$30=4,VLOOKUP($A217,'Henwood Reference'!$E$9:$R$296,14),'Curve Paste'!BS217)</f>
        <v>4.0666906845951454</v>
      </c>
      <c r="D217" s="415">
        <f>IF(Assumptions!$L$30=4,VLOOKUP($A217,'Henwood Reference'!$E$9:$R$296,14),'Curve Paste'!BT217)</f>
        <v>4.0666906845951454</v>
      </c>
      <c r="E217" s="416">
        <v>0.14350000000000002</v>
      </c>
      <c r="F217" s="416">
        <v>0.151</v>
      </c>
      <c r="G217" s="416">
        <v>0.1585</v>
      </c>
      <c r="H217" s="416">
        <f t="shared" si="12"/>
        <v>-7.0000000000000007E-2</v>
      </c>
      <c r="I217" s="416"/>
      <c r="J217" s="416">
        <f t="shared" si="13"/>
        <v>7.0000000000000007E-2</v>
      </c>
      <c r="K217" s="432">
        <f t="shared" si="11"/>
        <v>0</v>
      </c>
      <c r="L217" s="1618">
        <f>IF(Assumptions!$L$30=4,0,O217+P217)</f>
        <v>0</v>
      </c>
      <c r="M217" s="445">
        <f t="shared" si="14"/>
        <v>4.1160836888614831</v>
      </c>
      <c r="N217" s="449">
        <f>IF(Assumptions!$L$30=4,F217,CHOOSE(Assumptions!$L$30,E217,F217,G217))</f>
        <v>0.151</v>
      </c>
      <c r="O217">
        <v>0.19125</v>
      </c>
      <c r="P217" s="1720">
        <f>Assumptions!$L$32*(1+Assumptions!$C$26)^(YEAR(A217)-2000)</f>
        <v>0.11481979637377879</v>
      </c>
    </row>
    <row r="218" spans="1:16">
      <c r="A218" s="325">
        <f>'Curve Paste'!BQ218</f>
        <v>43101</v>
      </c>
      <c r="B218" s="415">
        <f>IF(Assumptions!$L$30=4,VLOOKUP($A218,'Henwood Reference'!$E$9:$R$296,14),'Curve Paste'!BR218)</f>
        <v>3.966696495921175</v>
      </c>
      <c r="C218" s="415">
        <f>IF(Assumptions!$L$30=4,VLOOKUP($A218,'Henwood Reference'!$E$9:$R$296,14),'Curve Paste'!BS218)</f>
        <v>3.966696495921175</v>
      </c>
      <c r="D218" s="415">
        <f>IF(Assumptions!$L$30=4,VLOOKUP($A218,'Henwood Reference'!$E$9:$R$296,14),'Curve Paste'!BT218)</f>
        <v>3.966696495921175</v>
      </c>
      <c r="E218" s="416">
        <v>0.14350000000000002</v>
      </c>
      <c r="F218" s="416">
        <v>0.151</v>
      </c>
      <c r="G218" s="416">
        <v>0.1585</v>
      </c>
      <c r="H218" s="416">
        <f t="shared" si="12"/>
        <v>-7.0000000000000007E-2</v>
      </c>
      <c r="I218" s="416"/>
      <c r="J218" s="416">
        <f t="shared" si="13"/>
        <v>7.0000000000000007E-2</v>
      </c>
      <c r="K218" s="432">
        <f t="shared" si="11"/>
        <v>0</v>
      </c>
      <c r="L218" s="1618">
        <f>IF(Assumptions!$L$30=4,0,O218+P218)</f>
        <v>0</v>
      </c>
      <c r="M218" s="445">
        <f t="shared" si="14"/>
        <v>4.0148749958716348</v>
      </c>
      <c r="N218" s="449">
        <f>IF(Assumptions!$L$30=4,F218,CHOOSE(Assumptions!$L$30,E218,F218,G218))</f>
        <v>0.151</v>
      </c>
      <c r="O218">
        <v>0.16</v>
      </c>
      <c r="P218" s="1720">
        <f>Assumptions!$L$32*(1+Assumptions!$C$26)^(YEAR(A218)-2000)</f>
        <v>0.11711619230125435</v>
      </c>
    </row>
    <row r="219" spans="1:16">
      <c r="A219" s="325">
        <f>'Curve Paste'!BQ219</f>
        <v>43132</v>
      </c>
      <c r="B219" s="415">
        <f>IF(Assumptions!$L$30=4,VLOOKUP($A219,'Henwood Reference'!$E$9:$R$296,14),'Curve Paste'!BR219)</f>
        <v>3.6575567613245061</v>
      </c>
      <c r="C219" s="415">
        <f>IF(Assumptions!$L$30=4,VLOOKUP($A219,'Henwood Reference'!$E$9:$R$296,14),'Curve Paste'!BS219)</f>
        <v>3.6575567613245061</v>
      </c>
      <c r="D219" s="415">
        <f>IF(Assumptions!$L$30=4,VLOOKUP($A219,'Henwood Reference'!$E$9:$R$296,14),'Curve Paste'!BT219)</f>
        <v>3.6575567613245061</v>
      </c>
      <c r="E219" s="416">
        <v>0.14350000000000002</v>
      </c>
      <c r="F219" s="416">
        <v>0.151</v>
      </c>
      <c r="G219" s="416">
        <v>0.1585</v>
      </c>
      <c r="H219" s="416">
        <f t="shared" si="12"/>
        <v>-7.0000000000000007E-2</v>
      </c>
      <c r="I219" s="416"/>
      <c r="J219" s="416">
        <f t="shared" si="13"/>
        <v>7.0000000000000007E-2</v>
      </c>
      <c r="K219" s="432">
        <f t="shared" si="11"/>
        <v>0</v>
      </c>
      <c r="L219" s="1618">
        <f>IF(Assumptions!$L$30=4,0,O219+P219)</f>
        <v>0</v>
      </c>
      <c r="M219" s="445">
        <f t="shared" si="14"/>
        <v>3.7019805276563829</v>
      </c>
      <c r="N219" s="449">
        <f>IF(Assumptions!$L$30=4,F219,CHOOSE(Assumptions!$L$30,E219,F219,G219))</f>
        <v>0.151</v>
      </c>
      <c r="O219">
        <v>0.16</v>
      </c>
      <c r="P219" s="1720">
        <f>Assumptions!$L$32*(1+Assumptions!$C$26)^(YEAR(A219)-2000)</f>
        <v>0.11711619230125435</v>
      </c>
    </row>
    <row r="220" spans="1:16">
      <c r="A220" s="325">
        <f>'Curve Paste'!BQ220</f>
        <v>43160</v>
      </c>
      <c r="B220" s="415">
        <f>IF(Assumptions!$L$30=4,VLOOKUP($A220,'Henwood Reference'!$E$9:$R$296,14),'Curve Paste'!BR220)</f>
        <v>3.4559561663104459</v>
      </c>
      <c r="C220" s="415">
        <f>IF(Assumptions!$L$30=4,VLOOKUP($A220,'Henwood Reference'!$E$9:$R$296,14),'Curve Paste'!BS220)</f>
        <v>3.4559561663104459</v>
      </c>
      <c r="D220" s="415">
        <f>IF(Assumptions!$L$30=4,VLOOKUP($A220,'Henwood Reference'!$E$9:$R$296,14),'Curve Paste'!BT220)</f>
        <v>3.4559561663104459</v>
      </c>
      <c r="E220" s="416">
        <v>0.14350000000000002</v>
      </c>
      <c r="F220" s="416">
        <v>0.151</v>
      </c>
      <c r="G220" s="416">
        <v>0.1585</v>
      </c>
      <c r="H220" s="416">
        <f t="shared" si="12"/>
        <v>-7.0000000000000007E-2</v>
      </c>
      <c r="I220" s="416"/>
      <c r="J220" s="416">
        <f t="shared" si="13"/>
        <v>7.0000000000000007E-2</v>
      </c>
      <c r="K220" s="432">
        <f t="shared" si="11"/>
        <v>0</v>
      </c>
      <c r="L220" s="1618">
        <f>IF(Assumptions!$L$30=4,0,O220+P220)</f>
        <v>0</v>
      </c>
      <c r="M220" s="445">
        <f t="shared" si="14"/>
        <v>3.4979313424194798</v>
      </c>
      <c r="N220" s="449">
        <f>IF(Assumptions!$L$30=4,F220,CHOOSE(Assumptions!$L$30,E220,F220,G220))</f>
        <v>0.151</v>
      </c>
      <c r="O220">
        <v>0.17749999999999999</v>
      </c>
      <c r="P220" s="1720">
        <f>Assumptions!$L$32*(1+Assumptions!$C$26)^(YEAR(A220)-2000)</f>
        <v>0.11711619230125435</v>
      </c>
    </row>
    <row r="221" spans="1:16">
      <c r="A221" s="325">
        <f>'Curve Paste'!BQ221</f>
        <v>43191</v>
      </c>
      <c r="B221" s="415">
        <f>IF(Assumptions!$L$30=4,VLOOKUP($A221,'Henwood Reference'!$E$9:$R$296,14),'Curve Paste'!BR221)</f>
        <v>3.3466455247362186</v>
      </c>
      <c r="C221" s="415">
        <f>IF(Assumptions!$L$30=4,VLOOKUP($A221,'Henwood Reference'!$E$9:$R$296,14),'Curve Paste'!BS221)</f>
        <v>3.3466455247362186</v>
      </c>
      <c r="D221" s="415">
        <f>IF(Assumptions!$L$30=4,VLOOKUP($A221,'Henwood Reference'!$E$9:$R$296,14),'Curve Paste'!BT221)</f>
        <v>3.3466455247362186</v>
      </c>
      <c r="E221" s="416">
        <v>0.14350000000000002</v>
      </c>
      <c r="F221" s="416">
        <v>0.151</v>
      </c>
      <c r="G221" s="416">
        <v>0.1585</v>
      </c>
      <c r="H221" s="416">
        <f t="shared" si="12"/>
        <v>-7.0000000000000007E-2</v>
      </c>
      <c r="I221" s="416"/>
      <c r="J221" s="416">
        <f t="shared" si="13"/>
        <v>7.0000000000000007E-2</v>
      </c>
      <c r="K221" s="432">
        <f t="shared" si="11"/>
        <v>0</v>
      </c>
      <c r="L221" s="1618">
        <f>IF(Assumptions!$L$30=4,0,O221+P221)</f>
        <v>0</v>
      </c>
      <c r="M221" s="445">
        <f t="shared" si="14"/>
        <v>3.3872930412309903</v>
      </c>
      <c r="N221" s="449">
        <f>IF(Assumptions!$L$30=4,F221,CHOOSE(Assumptions!$L$30,E221,F221,G221))</f>
        <v>0.151</v>
      </c>
      <c r="O221">
        <v>0.16250000000000001</v>
      </c>
      <c r="P221" s="1720">
        <f>Assumptions!$L$32*(1+Assumptions!$C$26)^(YEAR(A221)-2000)</f>
        <v>0.11711619230125435</v>
      </c>
    </row>
    <row r="222" spans="1:16">
      <c r="A222" s="325">
        <f>'Curve Paste'!BQ222</f>
        <v>43221</v>
      </c>
      <c r="B222" s="415">
        <f>IF(Assumptions!$L$30=4,VLOOKUP($A222,'Henwood Reference'!$E$9:$R$296,14),'Curve Paste'!BR222)</f>
        <v>3.3160082860943065</v>
      </c>
      <c r="C222" s="415">
        <f>IF(Assumptions!$L$30=4,VLOOKUP($A222,'Henwood Reference'!$E$9:$R$296,14),'Curve Paste'!BS222)</f>
        <v>3.3160082860943065</v>
      </c>
      <c r="D222" s="415">
        <f>IF(Assumptions!$L$30=4,VLOOKUP($A222,'Henwood Reference'!$E$9:$R$296,14),'Curve Paste'!BT222)</f>
        <v>3.3160082860943065</v>
      </c>
      <c r="E222" s="416">
        <v>0.14350000000000002</v>
      </c>
      <c r="F222" s="416">
        <v>0.151</v>
      </c>
      <c r="G222" s="416">
        <v>0.1585</v>
      </c>
      <c r="H222" s="416">
        <f t="shared" si="12"/>
        <v>-7.0000000000000007E-2</v>
      </c>
      <c r="I222" s="416"/>
      <c r="J222" s="416">
        <f t="shared" si="13"/>
        <v>7.0000000000000007E-2</v>
      </c>
      <c r="K222" s="432">
        <f t="shared" si="11"/>
        <v>0</v>
      </c>
      <c r="L222" s="1618">
        <f>IF(Assumptions!$L$30=4,0,O222+P222)</f>
        <v>0</v>
      </c>
      <c r="M222" s="445">
        <f t="shared" si="14"/>
        <v>3.3562836903788527</v>
      </c>
      <c r="N222" s="449">
        <f>IF(Assumptions!$L$30=4,F222,CHOOSE(Assumptions!$L$30,E222,F222,G222))</f>
        <v>0.151</v>
      </c>
      <c r="O222">
        <v>0.17749999999999999</v>
      </c>
      <c r="P222" s="1720">
        <f>Assumptions!$L$32*(1+Assumptions!$C$26)^(YEAR(A222)-2000)</f>
        <v>0.11711619230125435</v>
      </c>
    </row>
    <row r="223" spans="1:16">
      <c r="A223" s="325">
        <f>'Curve Paste'!BQ223</f>
        <v>43252</v>
      </c>
      <c r="B223" s="415">
        <f>IF(Assumptions!$L$30=4,VLOOKUP($A223,'Henwood Reference'!$E$9:$R$296,14),'Curve Paste'!BR223)</f>
        <v>3.3504278998771952</v>
      </c>
      <c r="C223" s="415">
        <f>IF(Assumptions!$L$30=4,VLOOKUP($A223,'Henwood Reference'!$E$9:$R$296,14),'Curve Paste'!BS223)</f>
        <v>3.3504278998771952</v>
      </c>
      <c r="D223" s="415">
        <f>IF(Assumptions!$L$30=4,VLOOKUP($A223,'Henwood Reference'!$E$9:$R$296,14),'Curve Paste'!BT223)</f>
        <v>3.3504278998771952</v>
      </c>
      <c r="E223" s="416">
        <v>0.14350000000000002</v>
      </c>
      <c r="F223" s="416">
        <v>0.151</v>
      </c>
      <c r="G223" s="416">
        <v>0.1585</v>
      </c>
      <c r="H223" s="416">
        <f t="shared" si="12"/>
        <v>-7.0000000000000007E-2</v>
      </c>
      <c r="I223" s="416"/>
      <c r="J223" s="416">
        <f t="shared" si="13"/>
        <v>7.0000000000000007E-2</v>
      </c>
      <c r="K223" s="432">
        <f t="shared" si="11"/>
        <v>0</v>
      </c>
      <c r="L223" s="1618">
        <f>IF(Assumptions!$L$30=4,0,O223+P223)</f>
        <v>0</v>
      </c>
      <c r="M223" s="445">
        <f t="shared" si="14"/>
        <v>3.3911213561510074</v>
      </c>
      <c r="N223" s="449">
        <f>IF(Assumptions!$L$30=4,F223,CHOOSE(Assumptions!$L$30,E223,F223,G223))</f>
        <v>0.151</v>
      </c>
      <c r="O223">
        <v>0.20749999999999999</v>
      </c>
      <c r="P223" s="1720">
        <f>Assumptions!$L$32*(1+Assumptions!$C$26)^(YEAR(A223)-2000)</f>
        <v>0.11711619230125435</v>
      </c>
    </row>
    <row r="224" spans="1:16">
      <c r="A224" s="325">
        <f>'Curve Paste'!BQ224</f>
        <v>43282</v>
      </c>
      <c r="B224" s="415">
        <f>IF(Assumptions!$L$30=4,VLOOKUP($A224,'Henwood Reference'!$E$9:$R$296,14),'Curve Paste'!BR224)</f>
        <v>3.4362878155773675</v>
      </c>
      <c r="C224" s="415">
        <f>IF(Assumptions!$L$30=4,VLOOKUP($A224,'Henwood Reference'!$E$9:$R$296,14),'Curve Paste'!BS224)</f>
        <v>3.4362878155773675</v>
      </c>
      <c r="D224" s="415">
        <f>IF(Assumptions!$L$30=4,VLOOKUP($A224,'Henwood Reference'!$E$9:$R$296,14),'Curve Paste'!BT224)</f>
        <v>3.4362878155773675</v>
      </c>
      <c r="E224" s="416">
        <v>0.14350000000000002</v>
      </c>
      <c r="F224" s="416">
        <v>0.151</v>
      </c>
      <c r="G224" s="416">
        <v>0.1585</v>
      </c>
      <c r="H224" s="416">
        <f t="shared" si="12"/>
        <v>-7.0000000000000007E-2</v>
      </c>
      <c r="I224" s="416"/>
      <c r="J224" s="416">
        <f t="shared" si="13"/>
        <v>7.0000000000000007E-2</v>
      </c>
      <c r="K224" s="432">
        <f t="shared" si="11"/>
        <v>0</v>
      </c>
      <c r="L224" s="1618">
        <f>IF(Assumptions!$L$30=4,0,O224+P224)</f>
        <v>0</v>
      </c>
      <c r="M224" s="445">
        <f t="shared" si="14"/>
        <v>3.4780241048353924</v>
      </c>
      <c r="N224" s="449">
        <f>IF(Assumptions!$L$30=4,F224,CHOOSE(Assumptions!$L$30,E224,F224,G224))</f>
        <v>0.151</v>
      </c>
      <c r="O224">
        <v>0.3075</v>
      </c>
      <c r="P224" s="1720">
        <f>Assumptions!$L$32*(1+Assumptions!$C$26)^(YEAR(A224)-2000)</f>
        <v>0.11711619230125435</v>
      </c>
    </row>
    <row r="225" spans="1:16">
      <c r="A225" s="325">
        <f>'Curve Paste'!BQ225</f>
        <v>43313</v>
      </c>
      <c r="B225" s="415">
        <f>IF(Assumptions!$L$30=4,VLOOKUP($A225,'Henwood Reference'!$E$9:$R$296,14),'Curve Paste'!BR225)</f>
        <v>3.559971482687307</v>
      </c>
      <c r="C225" s="415">
        <f>IF(Assumptions!$L$30=4,VLOOKUP($A225,'Henwood Reference'!$E$9:$R$296,14),'Curve Paste'!BS225)</f>
        <v>3.559971482687307</v>
      </c>
      <c r="D225" s="415">
        <f>IF(Assumptions!$L$30=4,VLOOKUP($A225,'Henwood Reference'!$E$9:$R$296,14),'Curve Paste'!BT225)</f>
        <v>3.559971482687307</v>
      </c>
      <c r="E225" s="416">
        <v>0.14350000000000002</v>
      </c>
      <c r="F225" s="416">
        <v>0.151</v>
      </c>
      <c r="G225" s="416">
        <v>0.1585</v>
      </c>
      <c r="H225" s="416">
        <f t="shared" si="12"/>
        <v>-7.0000000000000007E-2</v>
      </c>
      <c r="I225" s="416"/>
      <c r="J225" s="416">
        <f t="shared" si="13"/>
        <v>7.0000000000000007E-2</v>
      </c>
      <c r="K225" s="432">
        <f t="shared" si="11"/>
        <v>0</v>
      </c>
      <c r="L225" s="1618">
        <f>IF(Assumptions!$L$30=4,0,O225+P225)</f>
        <v>0</v>
      </c>
      <c r="M225" s="445">
        <f t="shared" si="14"/>
        <v>3.6032100027199463</v>
      </c>
      <c r="N225" s="449">
        <f>IF(Assumptions!$L$30=4,F225,CHOOSE(Assumptions!$L$30,E225,F225,G225))</f>
        <v>0.151</v>
      </c>
      <c r="O225">
        <v>0.3075</v>
      </c>
      <c r="P225" s="1720">
        <f>Assumptions!$L$32*(1+Assumptions!$C$26)^(YEAR(A225)-2000)</f>
        <v>0.11711619230125435</v>
      </c>
    </row>
    <row r="226" spans="1:16">
      <c r="A226" s="325">
        <f>'Curve Paste'!BQ226</f>
        <v>43344</v>
      </c>
      <c r="B226" s="415">
        <f>IF(Assumptions!$L$30=4,VLOOKUP($A226,'Henwood Reference'!$E$9:$R$296,14),'Curve Paste'!BR226)</f>
        <v>3.707862350699497</v>
      </c>
      <c r="C226" s="415">
        <f>IF(Assumptions!$L$30=4,VLOOKUP($A226,'Henwood Reference'!$E$9:$R$296,14),'Curve Paste'!BS226)</f>
        <v>3.707862350699497</v>
      </c>
      <c r="D226" s="415">
        <f>IF(Assumptions!$L$30=4,VLOOKUP($A226,'Henwood Reference'!$E$9:$R$296,14),'Curve Paste'!BT226)</f>
        <v>3.707862350699497</v>
      </c>
      <c r="E226" s="416">
        <v>0.14350000000000002</v>
      </c>
      <c r="F226" s="416">
        <v>0.151</v>
      </c>
      <c r="G226" s="416">
        <v>0.1585</v>
      </c>
      <c r="H226" s="416">
        <f t="shared" si="12"/>
        <v>-7.0000000000000007E-2</v>
      </c>
      <c r="I226" s="416"/>
      <c r="J226" s="416">
        <f t="shared" si="13"/>
        <v>7.0000000000000007E-2</v>
      </c>
      <c r="K226" s="432">
        <f t="shared" si="11"/>
        <v>0</v>
      </c>
      <c r="L226" s="1618">
        <f>IF(Assumptions!$L$30=4,0,O226+P226)</f>
        <v>0</v>
      </c>
      <c r="M226" s="445">
        <f t="shared" si="14"/>
        <v>3.7528971160926083</v>
      </c>
      <c r="N226" s="449">
        <f>IF(Assumptions!$L$30=4,F226,CHOOSE(Assumptions!$L$30,E226,F226,G226))</f>
        <v>0.151</v>
      </c>
      <c r="O226">
        <v>0.3075</v>
      </c>
      <c r="P226" s="1720">
        <f>Assumptions!$L$32*(1+Assumptions!$C$26)^(YEAR(A226)-2000)</f>
        <v>0.11711619230125435</v>
      </c>
    </row>
    <row r="227" spans="1:16">
      <c r="A227" s="325">
        <f>'Curve Paste'!BQ227</f>
        <v>43374</v>
      </c>
      <c r="B227" s="415">
        <f>IF(Assumptions!$L$30=4,VLOOKUP($A227,'Henwood Reference'!$E$9:$R$296,14),'Curve Paste'!BR227)</f>
        <v>3.8663438691064234</v>
      </c>
      <c r="C227" s="415">
        <f>IF(Assumptions!$L$30=4,VLOOKUP($A227,'Henwood Reference'!$E$9:$R$296,14),'Curve Paste'!BS227)</f>
        <v>3.8663438691064234</v>
      </c>
      <c r="D227" s="415">
        <f>IF(Assumptions!$L$30=4,VLOOKUP($A227,'Henwood Reference'!$E$9:$R$296,14),'Curve Paste'!BT227)</f>
        <v>3.8663438691064234</v>
      </c>
      <c r="E227" s="416">
        <v>0.14350000000000002</v>
      </c>
      <c r="F227" s="416">
        <v>0.151</v>
      </c>
      <c r="G227" s="416">
        <v>0.1585</v>
      </c>
      <c r="H227" s="416">
        <f t="shared" si="12"/>
        <v>-7.0000000000000007E-2</v>
      </c>
      <c r="I227" s="416"/>
      <c r="J227" s="416">
        <f t="shared" si="13"/>
        <v>7.0000000000000007E-2</v>
      </c>
      <c r="K227" s="432">
        <f t="shared" si="11"/>
        <v>0</v>
      </c>
      <c r="L227" s="1618">
        <f>IF(Assumptions!$L$30=4,0,O227+P227)</f>
        <v>0</v>
      </c>
      <c r="M227" s="445">
        <f t="shared" si="14"/>
        <v>3.913303511241319</v>
      </c>
      <c r="N227" s="449">
        <f>IF(Assumptions!$L$30=4,F227,CHOOSE(Assumptions!$L$30,E227,F227,G227))</f>
        <v>0.151</v>
      </c>
      <c r="O227">
        <v>0.22750000000000001</v>
      </c>
      <c r="P227" s="1720">
        <f>Assumptions!$L$32*(1+Assumptions!$C$26)^(YEAR(A227)-2000)</f>
        <v>0.11711619230125435</v>
      </c>
    </row>
    <row r="228" spans="1:16">
      <c r="A228" s="325">
        <f>'Curve Paste'!BQ228</f>
        <v>43405</v>
      </c>
      <c r="B228" s="415">
        <f>IF(Assumptions!$L$30=4,VLOOKUP($A228,'Henwood Reference'!$E$9:$R$296,14),'Curve Paste'!BR228)</f>
        <v>4.0217994874005658</v>
      </c>
      <c r="C228" s="415">
        <f>IF(Assumptions!$L$30=4,VLOOKUP($A228,'Henwood Reference'!$E$9:$R$296,14),'Curve Paste'!BS228)</f>
        <v>4.0217994874005658</v>
      </c>
      <c r="D228" s="415">
        <f>IF(Assumptions!$L$30=4,VLOOKUP($A228,'Henwood Reference'!$E$9:$R$296,14),'Curve Paste'!BT228)</f>
        <v>4.0217994874005658</v>
      </c>
      <c r="E228" s="416">
        <v>0.14350000000000002</v>
      </c>
      <c r="F228" s="416">
        <v>0.151</v>
      </c>
      <c r="G228" s="416">
        <v>0.1585</v>
      </c>
      <c r="H228" s="416">
        <f t="shared" si="12"/>
        <v>-7.0000000000000007E-2</v>
      </c>
      <c r="I228" s="416"/>
      <c r="J228" s="416">
        <f t="shared" si="13"/>
        <v>7.0000000000000007E-2</v>
      </c>
      <c r="K228" s="432">
        <f t="shared" si="11"/>
        <v>0</v>
      </c>
      <c r="L228" s="1618">
        <f>IF(Assumptions!$L$30=4,0,O228+P228)</f>
        <v>0</v>
      </c>
      <c r="M228" s="445">
        <f t="shared" si="14"/>
        <v>4.0706472544540144</v>
      </c>
      <c r="N228" s="449">
        <f>IF(Assumptions!$L$30=4,F228,CHOOSE(Assumptions!$L$30,E228,F228,G228))</f>
        <v>0.151</v>
      </c>
      <c r="O228">
        <v>0.1925</v>
      </c>
      <c r="P228" s="1720">
        <f>Assumptions!$L$32*(1+Assumptions!$C$26)^(YEAR(A228)-2000)</f>
        <v>0.11711619230125435</v>
      </c>
    </row>
    <row r="229" spans="1:16">
      <c r="A229" s="325">
        <f>'Curve Paste'!BQ229</f>
        <v>43435</v>
      </c>
      <c r="B229" s="415">
        <f>IF(Assumptions!$L$30=4,VLOOKUP($A229,'Henwood Reference'!$E$9:$R$296,14),'Curve Paste'!BR229)</f>
        <v>4.1860529841748813</v>
      </c>
      <c r="C229" s="415">
        <f>IF(Assumptions!$L$30=4,VLOOKUP($A229,'Henwood Reference'!$E$9:$R$296,14),'Curve Paste'!BS229)</f>
        <v>4.1860529841748813</v>
      </c>
      <c r="D229" s="415">
        <f>IF(Assumptions!$L$30=4,VLOOKUP($A229,'Henwood Reference'!$E$9:$R$296,14),'Curve Paste'!BT229)</f>
        <v>4.1860529841748813</v>
      </c>
      <c r="E229" s="416">
        <v>0.14350000000000002</v>
      </c>
      <c r="F229" s="416">
        <v>0.151</v>
      </c>
      <c r="G229" s="416">
        <v>0.1585</v>
      </c>
      <c r="H229" s="416">
        <f t="shared" si="12"/>
        <v>-7.0000000000000007E-2</v>
      </c>
      <c r="I229" s="416"/>
      <c r="J229" s="416">
        <f t="shared" si="13"/>
        <v>7.0000000000000007E-2</v>
      </c>
      <c r="K229" s="432">
        <f t="shared" si="11"/>
        <v>0</v>
      </c>
      <c r="L229" s="1618">
        <f>IF(Assumptions!$L$30=4,0,O229+P229)</f>
        <v>0</v>
      </c>
      <c r="M229" s="445">
        <f t="shared" si="14"/>
        <v>4.2368957329705275</v>
      </c>
      <c r="N229" s="449">
        <f>IF(Assumptions!$L$30=4,F229,CHOOSE(Assumptions!$L$30,E229,F229,G229))</f>
        <v>0.151</v>
      </c>
      <c r="O229">
        <v>0.1925</v>
      </c>
      <c r="P229" s="1720">
        <f>Assumptions!$L$32*(1+Assumptions!$C$26)^(YEAR(A229)-2000)</f>
        <v>0.11711619230125435</v>
      </c>
    </row>
    <row r="230" spans="1:16">
      <c r="A230" s="325">
        <f>'Curve Paste'!BQ230</f>
        <v>43466</v>
      </c>
      <c r="B230" s="415">
        <f>IF(Assumptions!$L$30=4,VLOOKUP($A230,'Henwood Reference'!$E$9:$R$296,14),'Curve Paste'!BR230)</f>
        <v>4.065464578108406</v>
      </c>
      <c r="C230" s="415">
        <f>IF(Assumptions!$L$30=4,VLOOKUP($A230,'Henwood Reference'!$E$9:$R$296,14),'Curve Paste'!BS230)</f>
        <v>4.065464578108406</v>
      </c>
      <c r="D230" s="415">
        <f>IF(Assumptions!$L$30=4,VLOOKUP($A230,'Henwood Reference'!$E$9:$R$296,14),'Curve Paste'!BT230)</f>
        <v>4.065464578108406</v>
      </c>
      <c r="E230" s="416">
        <v>0.14350000000000002</v>
      </c>
      <c r="F230" s="416">
        <v>0.151</v>
      </c>
      <c r="G230" s="416">
        <v>0.1585</v>
      </c>
      <c r="H230" s="416">
        <f t="shared" si="12"/>
        <v>-7.0000000000000007E-2</v>
      </c>
      <c r="I230" s="416"/>
      <c r="J230" s="416">
        <f t="shared" si="13"/>
        <v>7.0000000000000007E-2</v>
      </c>
      <c r="K230" s="432">
        <f t="shared" si="11"/>
        <v>0</v>
      </c>
      <c r="L230" s="1618">
        <f>IF(Assumptions!$L$30=4,0,O230+P230)</f>
        <v>0</v>
      </c>
      <c r="M230" s="445">
        <f t="shared" si="14"/>
        <v>4.1148426903931234</v>
      </c>
      <c r="N230" s="449">
        <f>IF(Assumptions!$L$30=4,F230,CHOOSE(Assumptions!$L$30,E230,F230,G230))</f>
        <v>0.151</v>
      </c>
      <c r="O230">
        <v>0.16125</v>
      </c>
      <c r="P230" s="1720">
        <f>Assumptions!$L$32*(1+Assumptions!$C$26)^(YEAR(A230)-2000)</f>
        <v>0.11945851614727943</v>
      </c>
    </row>
    <row r="231" spans="1:16">
      <c r="A231" s="325">
        <f>'Curve Paste'!BQ231</f>
        <v>43497</v>
      </c>
      <c r="B231" s="415">
        <f>IF(Assumptions!$L$30=4,VLOOKUP($A231,'Henwood Reference'!$E$9:$R$296,14),'Curve Paste'!BR231)</f>
        <v>3.7486274714679277</v>
      </c>
      <c r="C231" s="415">
        <f>IF(Assumptions!$L$30=4,VLOOKUP($A231,'Henwood Reference'!$E$9:$R$296,14),'Curve Paste'!BS231)</f>
        <v>3.7486274714679277</v>
      </c>
      <c r="D231" s="415">
        <f>IF(Assumptions!$L$30=4,VLOOKUP($A231,'Henwood Reference'!$E$9:$R$296,14),'Curve Paste'!BT231)</f>
        <v>3.7486274714679277</v>
      </c>
      <c r="E231" s="1722">
        <f>E219-0.001</f>
        <v>0.14250000000000002</v>
      </c>
      <c r="F231" s="1722">
        <f>F219-0.001</f>
        <v>0.15</v>
      </c>
      <c r="G231" s="1722">
        <f>G219-0.001</f>
        <v>0.1575</v>
      </c>
      <c r="H231" s="416">
        <f t="shared" si="12"/>
        <v>-7.0000000000000007E-2</v>
      </c>
      <c r="I231" s="416"/>
      <c r="J231" s="416">
        <f t="shared" si="13"/>
        <v>7.0000000000000007E-2</v>
      </c>
      <c r="K231" s="432">
        <f t="shared" si="11"/>
        <v>0</v>
      </c>
      <c r="L231" s="1618">
        <f>IF(Assumptions!$L$30=4,0,O231+P231)</f>
        <v>0</v>
      </c>
      <c r="M231" s="445">
        <f t="shared" si="14"/>
        <v>3.794157359785352</v>
      </c>
      <c r="N231" s="449">
        <f>IF(Assumptions!$L$30=4,F231,CHOOSE(Assumptions!$L$30,E231,F231,G231))</f>
        <v>0.15</v>
      </c>
      <c r="O231">
        <v>0.16125</v>
      </c>
      <c r="P231" s="1720">
        <f>Assumptions!$L$32*(1+Assumptions!$C$26)^(YEAR(A231)-2000)</f>
        <v>0.11945851614727943</v>
      </c>
    </row>
    <row r="232" spans="1:16">
      <c r="A232" s="325">
        <f>'Curve Paste'!BQ232</f>
        <v>43525</v>
      </c>
      <c r="B232" s="415">
        <f>IF(Assumptions!$L$30=4,VLOOKUP($A232,'Henwood Reference'!$E$9:$R$296,14),'Curve Paste'!BR232)</f>
        <v>3.5420071568565104</v>
      </c>
      <c r="C232" s="415">
        <f>IF(Assumptions!$L$30=4,VLOOKUP($A232,'Henwood Reference'!$E$9:$R$296,14),'Curve Paste'!BS232)</f>
        <v>3.5420071568565104</v>
      </c>
      <c r="D232" s="415">
        <f>IF(Assumptions!$L$30=4,VLOOKUP($A232,'Henwood Reference'!$E$9:$R$296,14),'Curve Paste'!BT232)</f>
        <v>3.5420071568565104</v>
      </c>
      <c r="E232" s="1722">
        <f>E231</f>
        <v>0.14250000000000002</v>
      </c>
      <c r="F232" s="1722">
        <f>F231</f>
        <v>0.15</v>
      </c>
      <c r="G232" s="1722">
        <f>G231</f>
        <v>0.1575</v>
      </c>
      <c r="H232" s="416">
        <f t="shared" si="12"/>
        <v>-7.0000000000000007E-2</v>
      </c>
      <c r="I232" s="416"/>
      <c r="J232" s="416">
        <f t="shared" si="13"/>
        <v>7.0000000000000007E-2</v>
      </c>
      <c r="K232" s="432">
        <f t="shared" si="11"/>
        <v>0</v>
      </c>
      <c r="L232" s="1618">
        <f>IF(Assumptions!$L$30=4,0,O232+P232)</f>
        <v>0</v>
      </c>
      <c r="M232" s="445">
        <f t="shared" si="14"/>
        <v>3.5850274866968728</v>
      </c>
      <c r="N232" s="449">
        <f>IF(Assumptions!$L$30=4,F232,CHOOSE(Assumptions!$L$30,E232,F232,G232))</f>
        <v>0.15</v>
      </c>
      <c r="O232">
        <v>0.17874999999999999</v>
      </c>
      <c r="P232" s="1720">
        <f>Assumptions!$L$32*(1+Assumptions!$C$26)^(YEAR(A232)-2000)</f>
        <v>0.11945851614727943</v>
      </c>
    </row>
    <row r="233" spans="1:16">
      <c r="A233" s="325">
        <f>'Curve Paste'!BQ233</f>
        <v>43556</v>
      </c>
      <c r="B233" s="415">
        <f>IF(Assumptions!$L$30=4,VLOOKUP($A233,'Henwood Reference'!$E$9:$R$296,14),'Curve Paste'!BR233)</f>
        <v>3.4299747536244287</v>
      </c>
      <c r="C233" s="415">
        <f>IF(Assumptions!$L$30=4,VLOOKUP($A233,'Henwood Reference'!$E$9:$R$296,14),'Curve Paste'!BS233)</f>
        <v>3.4299747536244287</v>
      </c>
      <c r="D233" s="415">
        <f>IF(Assumptions!$L$30=4,VLOOKUP($A233,'Henwood Reference'!$E$9:$R$296,14),'Curve Paste'!BT233)</f>
        <v>3.4299747536244287</v>
      </c>
      <c r="E233" s="1722">
        <f t="shared" ref="E233:E242" si="15">E232</f>
        <v>0.14250000000000002</v>
      </c>
      <c r="F233" s="1722">
        <f t="shared" ref="F233:F243" si="16">F232</f>
        <v>0.15</v>
      </c>
      <c r="G233" s="1722">
        <f t="shared" ref="G233:G243" si="17">G232</f>
        <v>0.1575</v>
      </c>
      <c r="H233" s="416">
        <f t="shared" si="12"/>
        <v>-7.0000000000000007E-2</v>
      </c>
      <c r="I233" s="416"/>
      <c r="J233" s="416">
        <f t="shared" si="13"/>
        <v>7.0000000000000007E-2</v>
      </c>
      <c r="K233" s="432">
        <f t="shared" si="11"/>
        <v>0</v>
      </c>
      <c r="L233" s="1618">
        <f>IF(Assumptions!$L$30=4,0,O233+P233)</f>
        <v>0</v>
      </c>
      <c r="M233" s="445">
        <f t="shared" si="14"/>
        <v>3.4716343660166284</v>
      </c>
      <c r="N233" s="449">
        <f>IF(Assumptions!$L$30=4,F233,CHOOSE(Assumptions!$L$30,E233,F233,G233))</f>
        <v>0.15</v>
      </c>
      <c r="O233">
        <v>0.16375000000000001</v>
      </c>
      <c r="P233" s="1720">
        <f>Assumptions!$L$32*(1+Assumptions!$C$26)^(YEAR(A233)-2000)</f>
        <v>0.11945851614727943</v>
      </c>
    </row>
    <row r="234" spans="1:16">
      <c r="A234" s="325">
        <f>'Curve Paste'!BQ234</f>
        <v>43586</v>
      </c>
      <c r="B234" s="415">
        <f>IF(Assumptions!$L$30=4,VLOOKUP($A234,'Henwood Reference'!$E$9:$R$296,14),'Curve Paste'!BR234)</f>
        <v>3.3985746682894851</v>
      </c>
      <c r="C234" s="415">
        <f>IF(Assumptions!$L$30=4,VLOOKUP($A234,'Henwood Reference'!$E$9:$R$296,14),'Curve Paste'!BS234)</f>
        <v>3.3985746682894851</v>
      </c>
      <c r="D234" s="415">
        <f>IF(Assumptions!$L$30=4,VLOOKUP($A234,'Henwood Reference'!$E$9:$R$296,14),'Curve Paste'!BT234)</f>
        <v>3.3985746682894851</v>
      </c>
      <c r="E234" s="1722">
        <f t="shared" si="15"/>
        <v>0.14250000000000002</v>
      </c>
      <c r="F234" s="1722">
        <f t="shared" si="16"/>
        <v>0.15</v>
      </c>
      <c r="G234" s="1722">
        <f t="shared" si="17"/>
        <v>0.1575</v>
      </c>
      <c r="H234" s="416">
        <f t="shared" si="12"/>
        <v>-7.0000000000000007E-2</v>
      </c>
      <c r="I234" s="416"/>
      <c r="J234" s="416">
        <f t="shared" si="13"/>
        <v>7.0000000000000007E-2</v>
      </c>
      <c r="K234" s="432">
        <f t="shared" ref="K234:K289" si="18">K222</f>
        <v>0</v>
      </c>
      <c r="L234" s="1618">
        <f>IF(Assumptions!$L$30=4,0,O234+P234)</f>
        <v>0</v>
      </c>
      <c r="M234" s="445">
        <f t="shared" si="14"/>
        <v>3.4398529031270093</v>
      </c>
      <c r="N234" s="449">
        <f>IF(Assumptions!$L$30=4,F234,CHOOSE(Assumptions!$L$30,E234,F234,G234))</f>
        <v>0.15</v>
      </c>
      <c r="O234">
        <v>0.17874999999999999</v>
      </c>
      <c r="P234" s="1720">
        <f>Assumptions!$L$32*(1+Assumptions!$C$26)^(YEAR(A234)-2000)</f>
        <v>0.11945851614727943</v>
      </c>
    </row>
    <row r="235" spans="1:16">
      <c r="A235" s="325">
        <f>'Curve Paste'!BQ235</f>
        <v>43617</v>
      </c>
      <c r="B235" s="415">
        <f>IF(Assumptions!$L$30=4,VLOOKUP($A235,'Henwood Reference'!$E$9:$R$296,14),'Curve Paste'!BR235)</f>
        <v>3.4338513073694839</v>
      </c>
      <c r="C235" s="415">
        <f>IF(Assumptions!$L$30=4,VLOOKUP($A235,'Henwood Reference'!$E$9:$R$296,14),'Curve Paste'!BS235)</f>
        <v>3.4338513073694839</v>
      </c>
      <c r="D235" s="415">
        <f>IF(Assumptions!$L$30=4,VLOOKUP($A235,'Henwood Reference'!$E$9:$R$296,14),'Curve Paste'!BT235)</f>
        <v>3.4338513073694839</v>
      </c>
      <c r="E235" s="1722">
        <f t="shared" si="15"/>
        <v>0.14250000000000002</v>
      </c>
      <c r="F235" s="1722">
        <f t="shared" si="16"/>
        <v>0.15</v>
      </c>
      <c r="G235" s="1722">
        <f t="shared" si="17"/>
        <v>0.1575</v>
      </c>
      <c r="H235" s="416">
        <f t="shared" si="12"/>
        <v>-7.0000000000000007E-2</v>
      </c>
      <c r="I235" s="416"/>
      <c r="J235" s="416">
        <f t="shared" si="13"/>
        <v>7.0000000000000007E-2</v>
      </c>
      <c r="K235" s="432">
        <f t="shared" si="18"/>
        <v>0</v>
      </c>
      <c r="L235" s="1618">
        <f>IF(Assumptions!$L$30=4,0,O235+P235)</f>
        <v>0</v>
      </c>
      <c r="M235" s="445">
        <f t="shared" si="14"/>
        <v>3.4755580034104088</v>
      </c>
      <c r="N235" s="449">
        <f>IF(Assumptions!$L$30=4,F235,CHOOSE(Assumptions!$L$30,E235,F235,G235))</f>
        <v>0.15</v>
      </c>
      <c r="O235">
        <v>0.20874999999999999</v>
      </c>
      <c r="P235" s="1720">
        <f>Assumptions!$L$32*(1+Assumptions!$C$26)^(YEAR(A235)-2000)</f>
        <v>0.11945851614727943</v>
      </c>
    </row>
    <row r="236" spans="1:16">
      <c r="A236" s="325">
        <f>'Curve Paste'!BQ236</f>
        <v>43647</v>
      </c>
      <c r="B236" s="415">
        <f>IF(Assumptions!$L$30=4,VLOOKUP($A236,'Henwood Reference'!$E$9:$R$296,14),'Curve Paste'!BR236)</f>
        <v>3.521849077382226</v>
      </c>
      <c r="C236" s="415">
        <f>IF(Assumptions!$L$30=4,VLOOKUP($A236,'Henwood Reference'!$E$9:$R$296,14),'Curve Paste'!BS236)</f>
        <v>3.521849077382226</v>
      </c>
      <c r="D236" s="415">
        <f>IF(Assumptions!$L$30=4,VLOOKUP($A236,'Henwood Reference'!$E$9:$R$296,14),'Curve Paste'!BT236)</f>
        <v>3.521849077382226</v>
      </c>
      <c r="E236" s="1722">
        <f t="shared" si="15"/>
        <v>0.14250000000000002</v>
      </c>
      <c r="F236" s="1722">
        <f t="shared" si="16"/>
        <v>0.15</v>
      </c>
      <c r="G236" s="1722">
        <f t="shared" si="17"/>
        <v>0.1575</v>
      </c>
      <c r="H236" s="416">
        <f t="shared" si="12"/>
        <v>-7.0000000000000007E-2</v>
      </c>
      <c r="I236" s="416"/>
      <c r="J236" s="416">
        <f t="shared" si="13"/>
        <v>7.0000000000000007E-2</v>
      </c>
      <c r="K236" s="432">
        <f t="shared" si="18"/>
        <v>0</v>
      </c>
      <c r="L236" s="1618">
        <f>IF(Assumptions!$L$30=4,0,O236+P236)</f>
        <v>0</v>
      </c>
      <c r="M236" s="445">
        <f t="shared" si="14"/>
        <v>3.5646245722492167</v>
      </c>
      <c r="N236" s="449">
        <f>IF(Assumptions!$L$30=4,F236,CHOOSE(Assumptions!$L$30,E236,F236,G236))</f>
        <v>0.15</v>
      </c>
      <c r="O236">
        <v>0.30875000000000002</v>
      </c>
      <c r="P236" s="1720">
        <f>Assumptions!$L$32*(1+Assumptions!$C$26)^(YEAR(A236)-2000)</f>
        <v>0.11945851614727943</v>
      </c>
    </row>
    <row r="237" spans="1:16">
      <c r="A237" s="325">
        <f>'Curve Paste'!BQ237</f>
        <v>43678</v>
      </c>
      <c r="B237" s="415">
        <f>IF(Assumptions!$L$30=4,VLOOKUP($A237,'Henwood Reference'!$E$9:$R$296,14),'Curve Paste'!BR237)</f>
        <v>3.6486123848455159</v>
      </c>
      <c r="C237" s="415">
        <f>IF(Assumptions!$L$30=4,VLOOKUP($A237,'Henwood Reference'!$E$9:$R$296,14),'Curve Paste'!BS237)</f>
        <v>3.6486123848455159</v>
      </c>
      <c r="D237" s="415">
        <f>IF(Assumptions!$L$30=4,VLOOKUP($A237,'Henwood Reference'!$E$9:$R$296,14),'Curve Paste'!BT237)</f>
        <v>3.6486123848455159</v>
      </c>
      <c r="E237" s="1722">
        <f t="shared" si="15"/>
        <v>0.14250000000000002</v>
      </c>
      <c r="F237" s="1722">
        <f t="shared" si="16"/>
        <v>0.15</v>
      </c>
      <c r="G237" s="1722">
        <f t="shared" si="17"/>
        <v>0.1575</v>
      </c>
      <c r="H237" s="416">
        <f t="shared" si="12"/>
        <v>-7.0000000000000007E-2</v>
      </c>
      <c r="I237" s="416"/>
      <c r="J237" s="416">
        <f t="shared" si="13"/>
        <v>7.0000000000000007E-2</v>
      </c>
      <c r="K237" s="432">
        <f t="shared" si="18"/>
        <v>0</v>
      </c>
      <c r="L237" s="1618">
        <f>IF(Assumptions!$L$30=4,0,O237+P237)</f>
        <v>0</v>
      </c>
      <c r="M237" s="445">
        <f t="shared" si="14"/>
        <v>3.6929275150258256</v>
      </c>
      <c r="N237" s="449">
        <f>IF(Assumptions!$L$30=4,F237,CHOOSE(Assumptions!$L$30,E237,F237,G237))</f>
        <v>0.15</v>
      </c>
      <c r="O237">
        <v>0.30875000000000002</v>
      </c>
      <c r="P237" s="1720">
        <f>Assumptions!$L$32*(1+Assumptions!$C$26)^(YEAR(A237)-2000)</f>
        <v>0.11945851614727943</v>
      </c>
    </row>
    <row r="238" spans="1:16">
      <c r="A238" s="325">
        <f>'Curve Paste'!BQ238</f>
        <v>43709</v>
      </c>
      <c r="B238" s="415">
        <f>IF(Assumptions!$L$30=4,VLOOKUP($A238,'Henwood Reference'!$E$9:$R$296,14),'Curve Paste'!BR238)</f>
        <v>3.8001856362771558</v>
      </c>
      <c r="C238" s="415">
        <f>IF(Assumptions!$L$30=4,VLOOKUP($A238,'Henwood Reference'!$E$9:$R$296,14),'Curve Paste'!BS238)</f>
        <v>3.8001856362771558</v>
      </c>
      <c r="D238" s="415">
        <f>IF(Assumptions!$L$30=4,VLOOKUP($A238,'Henwood Reference'!$E$9:$R$296,14),'Curve Paste'!BT238)</f>
        <v>3.8001856362771558</v>
      </c>
      <c r="E238" s="1722">
        <f t="shared" si="15"/>
        <v>0.14250000000000002</v>
      </c>
      <c r="F238" s="1722">
        <f t="shared" si="16"/>
        <v>0.15</v>
      </c>
      <c r="G238" s="1722">
        <f t="shared" si="17"/>
        <v>0.1575</v>
      </c>
      <c r="H238" s="416">
        <f t="shared" si="12"/>
        <v>-7.0000000000000007E-2</v>
      </c>
      <c r="I238" s="416"/>
      <c r="J238" s="416">
        <f t="shared" si="13"/>
        <v>7.0000000000000007E-2</v>
      </c>
      <c r="K238" s="432">
        <f t="shared" si="18"/>
        <v>0</v>
      </c>
      <c r="L238" s="1618">
        <f>IF(Assumptions!$L$30=4,0,O238+P238)</f>
        <v>0</v>
      </c>
      <c r="M238" s="445">
        <f t="shared" si="14"/>
        <v>3.8463417371226272</v>
      </c>
      <c r="N238" s="449">
        <f>IF(Assumptions!$L$30=4,F238,CHOOSE(Assumptions!$L$30,E238,F238,G238))</f>
        <v>0.15</v>
      </c>
      <c r="O238">
        <v>0.30875000000000002</v>
      </c>
      <c r="P238" s="1720">
        <f>Assumptions!$L$32*(1+Assumptions!$C$26)^(YEAR(A238)-2000)</f>
        <v>0.11945851614727943</v>
      </c>
    </row>
    <row r="239" spans="1:16">
      <c r="A239" s="325">
        <f>'Curve Paste'!BQ239</f>
        <v>43739</v>
      </c>
      <c r="B239" s="415">
        <f>IF(Assumptions!$L$30=4,VLOOKUP($A239,'Henwood Reference'!$E$9:$R$296,14),'Curve Paste'!BR239)</f>
        <v>3.9626132381949501</v>
      </c>
      <c r="C239" s="415">
        <f>IF(Assumptions!$L$30=4,VLOOKUP($A239,'Henwood Reference'!$E$9:$R$296,14),'Curve Paste'!BS239)</f>
        <v>3.9626132381949501</v>
      </c>
      <c r="D239" s="415">
        <f>IF(Assumptions!$L$30=4,VLOOKUP($A239,'Henwood Reference'!$E$9:$R$296,14),'Curve Paste'!BT239)</f>
        <v>3.9626132381949501</v>
      </c>
      <c r="E239" s="1722">
        <f t="shared" si="15"/>
        <v>0.14250000000000002</v>
      </c>
      <c r="F239" s="1722">
        <f t="shared" si="16"/>
        <v>0.15</v>
      </c>
      <c r="G239" s="1722">
        <f t="shared" si="17"/>
        <v>0.1575</v>
      </c>
      <c r="H239" s="416">
        <f t="shared" si="12"/>
        <v>-7.0000000000000007E-2</v>
      </c>
      <c r="I239" s="416"/>
      <c r="J239" s="416">
        <f t="shared" si="13"/>
        <v>7.0000000000000007E-2</v>
      </c>
      <c r="K239" s="432">
        <f t="shared" si="18"/>
        <v>0</v>
      </c>
      <c r="L239" s="1618">
        <f>IF(Assumptions!$L$30=4,0,O239+P239)</f>
        <v>0</v>
      </c>
      <c r="M239" s="445">
        <f t="shared" si="14"/>
        <v>4.0107421439220143</v>
      </c>
      <c r="N239" s="449">
        <f>IF(Assumptions!$L$30=4,F239,CHOOSE(Assumptions!$L$30,E239,F239,G239))</f>
        <v>0.15</v>
      </c>
      <c r="O239">
        <v>0.22875000000000001</v>
      </c>
      <c r="P239" s="1720">
        <f>Assumptions!$L$32*(1+Assumptions!$C$26)^(YEAR(A239)-2000)</f>
        <v>0.11945851614727943</v>
      </c>
    </row>
    <row r="240" spans="1:16">
      <c r="A240" s="325">
        <f>'Curve Paste'!BQ240</f>
        <v>43770</v>
      </c>
      <c r="B240" s="415">
        <f>IF(Assumptions!$L$30=4,VLOOKUP($A240,'Henwood Reference'!$E$9:$R$296,14),'Curve Paste'!BR240)</f>
        <v>4.1219395971166986</v>
      </c>
      <c r="C240" s="415">
        <f>IF(Assumptions!$L$30=4,VLOOKUP($A240,'Henwood Reference'!$E$9:$R$296,14),'Curve Paste'!BS240)</f>
        <v>4.1219395971166986</v>
      </c>
      <c r="D240" s="415">
        <f>IF(Assumptions!$L$30=4,VLOOKUP($A240,'Henwood Reference'!$E$9:$R$296,14),'Curve Paste'!BT240)</f>
        <v>4.1219395971166986</v>
      </c>
      <c r="E240" s="1722">
        <f t="shared" si="15"/>
        <v>0.14250000000000002</v>
      </c>
      <c r="F240" s="1722">
        <f t="shared" si="16"/>
        <v>0.15</v>
      </c>
      <c r="G240" s="1722">
        <f t="shared" si="17"/>
        <v>0.1575</v>
      </c>
      <c r="H240" s="416">
        <f t="shared" si="12"/>
        <v>-7.0000000000000007E-2</v>
      </c>
      <c r="I240" s="416"/>
      <c r="J240" s="416">
        <f t="shared" si="13"/>
        <v>7.0000000000000007E-2</v>
      </c>
      <c r="K240" s="432">
        <f t="shared" si="18"/>
        <v>0</v>
      </c>
      <c r="L240" s="1618">
        <f>IF(Assumptions!$L$30=4,0,O240+P240)</f>
        <v>0</v>
      </c>
      <c r="M240" s="445">
        <f t="shared" si="14"/>
        <v>4.1720036408063752</v>
      </c>
      <c r="N240" s="449">
        <f>IF(Assumptions!$L$30=4,F240,CHOOSE(Assumptions!$L$30,E240,F240,G240))</f>
        <v>0.15</v>
      </c>
      <c r="O240">
        <v>0.19375000000000001</v>
      </c>
      <c r="P240" s="1720">
        <f>Assumptions!$L$32*(1+Assumptions!$C$26)^(YEAR(A240)-2000)</f>
        <v>0.11945851614727943</v>
      </c>
    </row>
    <row r="241" spans="1:16">
      <c r="A241" s="325">
        <f>'Curve Paste'!BQ241</f>
        <v>43800</v>
      </c>
      <c r="B241" s="415">
        <f>IF(Assumptions!$L$30=4,VLOOKUP($A241,'Henwood Reference'!$E$9:$R$296,14),'Curve Paste'!BR241)</f>
        <v>4.2902828957918206</v>
      </c>
      <c r="C241" s="415">
        <f>IF(Assumptions!$L$30=4,VLOOKUP($A241,'Henwood Reference'!$E$9:$R$296,14),'Curve Paste'!BS241)</f>
        <v>4.2902828957918206</v>
      </c>
      <c r="D241" s="415">
        <f>IF(Assumptions!$L$30=4,VLOOKUP($A241,'Henwood Reference'!$E$9:$R$296,14),'Curve Paste'!BT241)</f>
        <v>4.2902828957918206</v>
      </c>
      <c r="E241" s="1722">
        <f t="shared" si="15"/>
        <v>0.14250000000000002</v>
      </c>
      <c r="F241" s="1722">
        <f t="shared" si="16"/>
        <v>0.15</v>
      </c>
      <c r="G241" s="1722">
        <f t="shared" si="17"/>
        <v>0.1575</v>
      </c>
      <c r="H241" s="416">
        <f t="shared" si="12"/>
        <v>-7.0000000000000007E-2</v>
      </c>
      <c r="I241" s="416"/>
      <c r="J241" s="416">
        <f t="shared" si="13"/>
        <v>7.0000000000000007E-2</v>
      </c>
      <c r="K241" s="432">
        <f t="shared" si="18"/>
        <v>0</v>
      </c>
      <c r="L241" s="1618">
        <f>IF(Assumptions!$L$30=4,0,O241+P241)</f>
        <v>0</v>
      </c>
      <c r="M241" s="445">
        <f t="shared" si="14"/>
        <v>4.3423915949309926</v>
      </c>
      <c r="N241" s="449">
        <f>IF(Assumptions!$L$30=4,F241,CHOOSE(Assumptions!$L$30,E241,F241,G241))</f>
        <v>0.15</v>
      </c>
      <c r="O241">
        <v>0.19375000000000001</v>
      </c>
      <c r="P241" s="1720">
        <f>Assumptions!$L$32*(1+Assumptions!$C$26)^(YEAR(A241)-2000)</f>
        <v>0.11945851614727943</v>
      </c>
    </row>
    <row r="242" spans="1:16">
      <c r="A242" s="325">
        <f>'Curve Paste'!BQ242</f>
        <v>43831</v>
      </c>
      <c r="B242" s="415">
        <f>IF(Assumptions!$L$30=4,VLOOKUP($A242,'Henwood Reference'!$E$9:$R$296,14),'Curve Paste'!BR242)</f>
        <v>4.2103703121342848</v>
      </c>
      <c r="C242" s="415">
        <f>IF(Assumptions!$L$30=4,VLOOKUP($A242,'Henwood Reference'!$E$9:$R$296,14),'Curve Paste'!BS242)</f>
        <v>4.2103703121342848</v>
      </c>
      <c r="D242" s="415">
        <f>IF(Assumptions!$L$30=4,VLOOKUP($A242,'Henwood Reference'!$E$9:$R$296,14),'Curve Paste'!BT242)</f>
        <v>4.2103703121342848</v>
      </c>
      <c r="E242" s="1722">
        <f t="shared" si="15"/>
        <v>0.14250000000000002</v>
      </c>
      <c r="F242" s="1722">
        <f t="shared" si="16"/>
        <v>0.15</v>
      </c>
      <c r="G242" s="1722">
        <f t="shared" si="17"/>
        <v>0.1575</v>
      </c>
      <c r="H242" s="416">
        <f t="shared" si="12"/>
        <v>-7.0000000000000007E-2</v>
      </c>
      <c r="I242" s="416"/>
      <c r="J242" s="416">
        <f t="shared" si="13"/>
        <v>7.0000000000000007E-2</v>
      </c>
      <c r="K242" s="432">
        <f t="shared" si="18"/>
        <v>0</v>
      </c>
      <c r="L242" s="1618">
        <f>IF(Assumptions!$L$30=4,0,O242+P242)</f>
        <v>0</v>
      </c>
      <c r="M242" s="445">
        <f t="shared" si="14"/>
        <v>4.2615084130913816</v>
      </c>
      <c r="N242" s="449">
        <f>IF(Assumptions!$L$30=4,F242,CHOOSE(Assumptions!$L$30,E242,F242,G242))</f>
        <v>0.15</v>
      </c>
      <c r="O242">
        <v>0.16250000000000001</v>
      </c>
      <c r="P242" s="1720">
        <f>Assumptions!$L$32*(1+Assumptions!$C$26)^(YEAR(A242)-2000)</f>
        <v>0.12184768647022504</v>
      </c>
    </row>
    <row r="243" spans="1:16">
      <c r="A243" s="325">
        <f>'Curve Paste'!BQ243</f>
        <v>43862</v>
      </c>
      <c r="B243" s="415">
        <f>IF(Assumptions!$L$30=4,VLOOKUP($A243,'Henwood Reference'!$E$9:$R$296,14),'Curve Paste'!BR243)</f>
        <v>3.8822401508816471</v>
      </c>
      <c r="C243" s="415">
        <f>IF(Assumptions!$L$30=4,VLOOKUP($A243,'Henwood Reference'!$E$9:$R$296,14),'Curve Paste'!BS243)</f>
        <v>3.8822401508816471</v>
      </c>
      <c r="D243" s="415">
        <f>IF(Assumptions!$L$30=4,VLOOKUP($A243,'Henwood Reference'!$E$9:$R$296,14),'Curve Paste'!BT243)</f>
        <v>3.8822401508816471</v>
      </c>
      <c r="E243" s="1722">
        <f>E242</f>
        <v>0.14250000000000002</v>
      </c>
      <c r="F243" s="1722">
        <f t="shared" si="16"/>
        <v>0.15</v>
      </c>
      <c r="G243" s="1722">
        <f t="shared" si="17"/>
        <v>0.1575</v>
      </c>
      <c r="H243" s="416">
        <f t="shared" si="12"/>
        <v>-7.0000000000000007E-2</v>
      </c>
      <c r="I243" s="416"/>
      <c r="J243" s="416">
        <f t="shared" si="13"/>
        <v>7.0000000000000007E-2</v>
      </c>
      <c r="K243" s="432">
        <f t="shared" si="18"/>
        <v>0</v>
      </c>
      <c r="L243" s="1618">
        <f>IF(Assumptions!$L$30=4,0,O243+P243)</f>
        <v>0</v>
      </c>
      <c r="M243" s="445">
        <f t="shared" si="14"/>
        <v>3.9293928652648251</v>
      </c>
      <c r="N243" s="449">
        <f>IF(Assumptions!$L$30=4,F243,CHOOSE(Assumptions!$L$30,E243,F243,G243))</f>
        <v>0.15</v>
      </c>
      <c r="O243">
        <v>0.16250000000000001</v>
      </c>
      <c r="P243" s="1720">
        <f>Assumptions!$L$32*(1+Assumptions!$C$26)^(YEAR(A243)-2000)</f>
        <v>0.12184768647022504</v>
      </c>
    </row>
    <row r="244" spans="1:16">
      <c r="A244" s="325">
        <f>'Curve Paste'!BQ244</f>
        <v>43891</v>
      </c>
      <c r="B244" s="415">
        <f>IF(Assumptions!$L$30=4,VLOOKUP($A244,'Henwood Reference'!$E$9:$R$296,14),'Curve Paste'!BR244)</f>
        <v>3.6682552490802078</v>
      </c>
      <c r="C244" s="415">
        <f>IF(Assumptions!$L$30=4,VLOOKUP($A244,'Henwood Reference'!$E$9:$R$296,14),'Curve Paste'!BS244)</f>
        <v>3.6682552490802078</v>
      </c>
      <c r="D244" s="415">
        <f>IF(Assumptions!$L$30=4,VLOOKUP($A244,'Henwood Reference'!$E$9:$R$296,14),'Curve Paste'!BT244)</f>
        <v>3.6682552490802078</v>
      </c>
      <c r="E244" s="1722">
        <f t="shared" ref="E244:E253" si="19">E243</f>
        <v>0.14250000000000002</v>
      </c>
      <c r="F244" s="1722">
        <f t="shared" ref="F244:F283" si="20">F243</f>
        <v>0.15</v>
      </c>
      <c r="G244" s="1722">
        <f t="shared" ref="G244:G283" si="21">G243</f>
        <v>0.1575</v>
      </c>
      <c r="H244" s="416">
        <f t="shared" si="12"/>
        <v>-7.0000000000000007E-2</v>
      </c>
      <c r="I244" s="416"/>
      <c r="J244" s="416">
        <f t="shared" si="13"/>
        <v>7.0000000000000007E-2</v>
      </c>
      <c r="K244" s="432">
        <f t="shared" si="18"/>
        <v>0</v>
      </c>
      <c r="L244" s="1618">
        <f>IF(Assumptions!$L$30=4,0,O244+P244)</f>
        <v>0</v>
      </c>
      <c r="M244" s="445">
        <f t="shared" si="14"/>
        <v>3.7128089565589151</v>
      </c>
      <c r="N244" s="449">
        <f>IF(Assumptions!$L$30=4,F244,CHOOSE(Assumptions!$L$30,E244,F244,G244))</f>
        <v>0.15</v>
      </c>
      <c r="O244">
        <v>0.18</v>
      </c>
      <c r="P244" s="1720">
        <f>Assumptions!$L$32*(1+Assumptions!$C$26)^(YEAR(A244)-2000)</f>
        <v>0.12184768647022504</v>
      </c>
    </row>
    <row r="245" spans="1:16">
      <c r="A245" s="325">
        <f>'Curve Paste'!BQ245</f>
        <v>43922</v>
      </c>
      <c r="B245" s="415">
        <f>IF(Assumptions!$L$30=4,VLOOKUP($A245,'Henwood Reference'!$E$9:$R$296,14),'Curve Paste'!BR245)</f>
        <v>3.5522296644261444</v>
      </c>
      <c r="C245" s="415">
        <f>IF(Assumptions!$L$30=4,VLOOKUP($A245,'Henwood Reference'!$E$9:$R$296,14),'Curve Paste'!BS245)</f>
        <v>3.5522296644261444</v>
      </c>
      <c r="D245" s="415">
        <f>IF(Assumptions!$L$30=4,VLOOKUP($A245,'Henwood Reference'!$E$9:$R$296,14),'Curve Paste'!BT245)</f>
        <v>3.5522296644261444</v>
      </c>
      <c r="E245" s="1722">
        <f t="shared" si="19"/>
        <v>0.14250000000000002</v>
      </c>
      <c r="F245" s="1722">
        <f t="shared" si="20"/>
        <v>0.15</v>
      </c>
      <c r="G245" s="1722">
        <f t="shared" si="21"/>
        <v>0.1575</v>
      </c>
      <c r="H245" s="416">
        <f t="shared" si="12"/>
        <v>-7.0000000000000007E-2</v>
      </c>
      <c r="I245" s="416"/>
      <c r="J245" s="416">
        <f t="shared" si="13"/>
        <v>7.0000000000000007E-2</v>
      </c>
      <c r="K245" s="432">
        <f t="shared" si="18"/>
        <v>0</v>
      </c>
      <c r="L245" s="1618">
        <f>IF(Assumptions!$L$30=4,0,O245+P245)</f>
        <v>0</v>
      </c>
      <c r="M245" s="445">
        <f t="shared" si="14"/>
        <v>3.595374154277474</v>
      </c>
      <c r="N245" s="449">
        <f>IF(Assumptions!$L$30=4,F245,CHOOSE(Assumptions!$L$30,E245,F245,G245))</f>
        <v>0.15</v>
      </c>
      <c r="O245">
        <v>0.16500000000000001</v>
      </c>
      <c r="P245" s="1720">
        <f>Assumptions!$L$32*(1+Assumptions!$C$26)^(YEAR(A245)-2000)</f>
        <v>0.12184768647022504</v>
      </c>
    </row>
    <row r="246" spans="1:16">
      <c r="A246" s="325">
        <f>'Curve Paste'!BQ246</f>
        <v>43952</v>
      </c>
      <c r="B246" s="415">
        <f>IF(Assumptions!$L$30=4,VLOOKUP($A246,'Henwood Reference'!$E$9:$R$296,14),'Curve Paste'!BR246)</f>
        <v>3.5197103829141057</v>
      </c>
      <c r="C246" s="415">
        <f>IF(Assumptions!$L$30=4,VLOOKUP($A246,'Henwood Reference'!$E$9:$R$296,14),'Curve Paste'!BS246)</f>
        <v>3.5197103829141057</v>
      </c>
      <c r="D246" s="415">
        <f>IF(Assumptions!$L$30=4,VLOOKUP($A246,'Henwood Reference'!$E$9:$R$296,14),'Curve Paste'!BT246)</f>
        <v>3.5197103829141057</v>
      </c>
      <c r="E246" s="1722">
        <f t="shared" si="19"/>
        <v>0.14250000000000002</v>
      </c>
      <c r="F246" s="1722">
        <f t="shared" si="20"/>
        <v>0.15</v>
      </c>
      <c r="G246" s="1722">
        <f t="shared" si="21"/>
        <v>0.1575</v>
      </c>
      <c r="H246" s="416">
        <f t="shared" si="12"/>
        <v>-7.0000000000000007E-2</v>
      </c>
      <c r="I246" s="416"/>
      <c r="J246" s="416">
        <f t="shared" si="13"/>
        <v>7.0000000000000007E-2</v>
      </c>
      <c r="K246" s="432">
        <f t="shared" si="18"/>
        <v>0</v>
      </c>
      <c r="L246" s="1618">
        <f>IF(Assumptions!$L$30=4,0,O246+P246)</f>
        <v>0</v>
      </c>
      <c r="M246" s="445">
        <f t="shared" si="14"/>
        <v>3.562459901734925</v>
      </c>
      <c r="N246" s="449">
        <f>IF(Assumptions!$L$30=4,F246,CHOOSE(Assumptions!$L$30,E246,F246,G246))</f>
        <v>0.15</v>
      </c>
      <c r="O246">
        <v>0.18</v>
      </c>
      <c r="P246" s="1720">
        <f>Assumptions!$L$32*(1+Assumptions!$C$26)^(YEAR(A246)-2000)</f>
        <v>0.12184768647022504</v>
      </c>
    </row>
    <row r="247" spans="1:16">
      <c r="A247" s="325">
        <f>'Curve Paste'!BQ247</f>
        <v>43983</v>
      </c>
      <c r="B247" s="415">
        <f>IF(Assumptions!$L$30=4,VLOOKUP($A247,'Henwood Reference'!$E$9:$R$296,14),'Curve Paste'!BR247)</f>
        <v>3.5562443905387422</v>
      </c>
      <c r="C247" s="415">
        <f>IF(Assumptions!$L$30=4,VLOOKUP($A247,'Henwood Reference'!$E$9:$R$296,14),'Curve Paste'!BS247)</f>
        <v>3.5562443905387422</v>
      </c>
      <c r="D247" s="415">
        <f>IF(Assumptions!$L$30=4,VLOOKUP($A247,'Henwood Reference'!$E$9:$R$296,14),'Curve Paste'!BT247)</f>
        <v>3.5562443905387422</v>
      </c>
      <c r="E247" s="1722">
        <f t="shared" si="19"/>
        <v>0.14250000000000002</v>
      </c>
      <c r="F247" s="1722">
        <f t="shared" si="20"/>
        <v>0.15</v>
      </c>
      <c r="G247" s="1722">
        <f t="shared" si="21"/>
        <v>0.1575</v>
      </c>
      <c r="H247" s="416">
        <f t="shared" si="12"/>
        <v>-7.0000000000000007E-2</v>
      </c>
      <c r="I247" s="416"/>
      <c r="J247" s="416">
        <f t="shared" si="13"/>
        <v>7.0000000000000007E-2</v>
      </c>
      <c r="K247" s="432">
        <f t="shared" si="18"/>
        <v>0</v>
      </c>
      <c r="L247" s="1618">
        <f>IF(Assumptions!$L$30=4,0,O247+P247)</f>
        <v>0</v>
      </c>
      <c r="M247" s="445">
        <f t="shared" si="14"/>
        <v>3.5994376422456904</v>
      </c>
      <c r="N247" s="449">
        <f>IF(Assumptions!$L$30=4,F247,CHOOSE(Assumptions!$L$30,E247,F247,G247))</f>
        <v>0.15</v>
      </c>
      <c r="O247">
        <v>0.21</v>
      </c>
      <c r="P247" s="1720">
        <f>Assumptions!$L$32*(1+Assumptions!$C$26)^(YEAR(A247)-2000)</f>
        <v>0.12184768647022504</v>
      </c>
    </row>
    <row r="248" spans="1:16">
      <c r="A248" s="325">
        <f>'Curve Paste'!BQ248</f>
        <v>44013</v>
      </c>
      <c r="B248" s="415">
        <f>IF(Assumptions!$L$30=4,VLOOKUP($A248,'Henwood Reference'!$E$9:$R$296,14),'Curve Paste'!BR248)</f>
        <v>3.6473786732947024</v>
      </c>
      <c r="C248" s="415">
        <f>IF(Assumptions!$L$30=4,VLOOKUP($A248,'Henwood Reference'!$E$9:$R$296,14),'Curve Paste'!BS248)</f>
        <v>3.6473786732947024</v>
      </c>
      <c r="D248" s="415">
        <f>IF(Assumptions!$L$30=4,VLOOKUP($A248,'Henwood Reference'!$E$9:$R$296,14),'Curve Paste'!BT248)</f>
        <v>3.6473786732947024</v>
      </c>
      <c r="E248" s="1722">
        <f t="shared" si="19"/>
        <v>0.14250000000000002</v>
      </c>
      <c r="F248" s="1722">
        <f t="shared" si="20"/>
        <v>0.15</v>
      </c>
      <c r="G248" s="1722">
        <f t="shared" si="21"/>
        <v>0.1575</v>
      </c>
      <c r="H248" s="416">
        <f t="shared" si="12"/>
        <v>-7.0000000000000007E-2</v>
      </c>
      <c r="I248" s="416"/>
      <c r="J248" s="416">
        <f t="shared" si="13"/>
        <v>7.0000000000000007E-2</v>
      </c>
      <c r="K248" s="432">
        <f t="shared" si="18"/>
        <v>0</v>
      </c>
      <c r="L248" s="1618">
        <f>IF(Assumptions!$L$30=4,0,O248+P248)</f>
        <v>0</v>
      </c>
      <c r="M248" s="445">
        <f t="shared" si="14"/>
        <v>3.6916788191241929</v>
      </c>
      <c r="N248" s="449">
        <f>IF(Assumptions!$L$30=4,F248,CHOOSE(Assumptions!$L$30,E248,F248,G248))</f>
        <v>0.15</v>
      </c>
      <c r="O248">
        <v>0.31</v>
      </c>
      <c r="P248" s="1720">
        <f>Assumptions!$L$32*(1+Assumptions!$C$26)^(YEAR(A248)-2000)</f>
        <v>0.12184768647022504</v>
      </c>
    </row>
    <row r="249" spans="1:16">
      <c r="A249" s="325">
        <f>'Curve Paste'!BQ249</f>
        <v>44044</v>
      </c>
      <c r="B249" s="415">
        <f>IF(Assumptions!$L$30=4,VLOOKUP($A249,'Henwood Reference'!$E$9:$R$296,14),'Curve Paste'!BR249)</f>
        <v>3.7786602171766361</v>
      </c>
      <c r="C249" s="415">
        <f>IF(Assumptions!$L$30=4,VLOOKUP($A249,'Henwood Reference'!$E$9:$R$296,14),'Curve Paste'!BS249)</f>
        <v>3.7786602171766361</v>
      </c>
      <c r="D249" s="415">
        <f>IF(Assumptions!$L$30=4,VLOOKUP($A249,'Henwood Reference'!$E$9:$R$296,14),'Curve Paste'!BT249)</f>
        <v>3.7786602171766361</v>
      </c>
      <c r="E249" s="1722">
        <f t="shared" si="19"/>
        <v>0.14250000000000002</v>
      </c>
      <c r="F249" s="1722">
        <f t="shared" si="20"/>
        <v>0.15</v>
      </c>
      <c r="G249" s="1722">
        <f t="shared" si="21"/>
        <v>0.1575</v>
      </c>
      <c r="H249" s="416">
        <f t="shared" si="12"/>
        <v>-7.0000000000000007E-2</v>
      </c>
      <c r="I249" s="416"/>
      <c r="J249" s="416">
        <f t="shared" si="13"/>
        <v>7.0000000000000007E-2</v>
      </c>
      <c r="K249" s="432">
        <f t="shared" si="18"/>
        <v>0</v>
      </c>
      <c r="L249" s="1618">
        <f>IF(Assumptions!$L$30=4,0,O249+P249)</f>
        <v>0</v>
      </c>
      <c r="M249" s="445">
        <f t="shared" si="14"/>
        <v>3.8245548756848544</v>
      </c>
      <c r="N249" s="449">
        <f>IF(Assumptions!$L$30=4,F249,CHOOSE(Assumptions!$L$30,E249,F249,G249))</f>
        <v>0.15</v>
      </c>
      <c r="O249">
        <v>0.31</v>
      </c>
      <c r="P249" s="1720">
        <f>Assumptions!$L$32*(1+Assumptions!$C$26)^(YEAR(A249)-2000)</f>
        <v>0.12184768647022504</v>
      </c>
    </row>
    <row r="250" spans="1:16">
      <c r="A250" s="325">
        <f>'Curve Paste'!BQ250</f>
        <v>44075</v>
      </c>
      <c r="B250" s="415">
        <f>IF(Assumptions!$L$30=4,VLOOKUP($A250,'Henwood Reference'!$E$9:$R$296,14),'Curve Paste'!BR250)</f>
        <v>3.9356360081791926</v>
      </c>
      <c r="C250" s="415">
        <f>IF(Assumptions!$L$30=4,VLOOKUP($A250,'Henwood Reference'!$E$9:$R$296,14),'Curve Paste'!BS250)</f>
        <v>3.9356360081791926</v>
      </c>
      <c r="D250" s="415">
        <f>IF(Assumptions!$L$30=4,VLOOKUP($A250,'Henwood Reference'!$E$9:$R$296,14),'Curve Paste'!BT250)</f>
        <v>3.9356360081791926</v>
      </c>
      <c r="E250" s="1722">
        <f t="shared" si="19"/>
        <v>0.14250000000000002</v>
      </c>
      <c r="F250" s="1722">
        <f t="shared" si="20"/>
        <v>0.15</v>
      </c>
      <c r="G250" s="1722">
        <f t="shared" si="21"/>
        <v>0.1575</v>
      </c>
      <c r="H250" s="416">
        <f t="shared" si="12"/>
        <v>-7.0000000000000007E-2</v>
      </c>
      <c r="I250" s="416"/>
      <c r="J250" s="416">
        <f t="shared" si="13"/>
        <v>7.0000000000000007E-2</v>
      </c>
      <c r="K250" s="432">
        <f t="shared" si="18"/>
        <v>0</v>
      </c>
      <c r="L250" s="1618">
        <f>IF(Assumptions!$L$30=4,0,O250+P250)</f>
        <v>0</v>
      </c>
      <c r="M250" s="445">
        <f t="shared" si="14"/>
        <v>3.9834372552420976</v>
      </c>
      <c r="N250" s="449">
        <f>IF(Assumptions!$L$30=4,F250,CHOOSE(Assumptions!$L$30,E250,F250,G250))</f>
        <v>0.15</v>
      </c>
      <c r="O250">
        <v>0.31</v>
      </c>
      <c r="P250" s="1720">
        <f>Assumptions!$L$32*(1+Assumptions!$C$26)^(YEAR(A250)-2000)</f>
        <v>0.12184768647022504</v>
      </c>
    </row>
    <row r="251" spans="1:16">
      <c r="A251" s="325">
        <f>'Curve Paste'!BQ251</f>
        <v>44105</v>
      </c>
      <c r="B251" s="415">
        <f>IF(Assumptions!$L$30=4,VLOOKUP($A251,'Henwood Reference'!$E$9:$R$296,14),'Curve Paste'!BR251)</f>
        <v>4.1038530322970228</v>
      </c>
      <c r="C251" s="415">
        <f>IF(Assumptions!$L$30=4,VLOOKUP($A251,'Henwood Reference'!$E$9:$R$296,14),'Curve Paste'!BS251)</f>
        <v>4.1038530322970228</v>
      </c>
      <c r="D251" s="415">
        <f>IF(Assumptions!$L$30=4,VLOOKUP($A251,'Henwood Reference'!$E$9:$R$296,14),'Curve Paste'!BT251)</f>
        <v>4.1038530322970228</v>
      </c>
      <c r="E251" s="1722">
        <f t="shared" si="19"/>
        <v>0.14250000000000002</v>
      </c>
      <c r="F251" s="1722">
        <f t="shared" si="20"/>
        <v>0.15</v>
      </c>
      <c r="G251" s="1722">
        <f t="shared" si="21"/>
        <v>0.1575</v>
      </c>
      <c r="H251" s="416">
        <f t="shared" si="12"/>
        <v>-7.0000000000000007E-2</v>
      </c>
      <c r="I251" s="416"/>
      <c r="J251" s="416">
        <f t="shared" si="13"/>
        <v>7.0000000000000007E-2</v>
      </c>
      <c r="K251" s="432">
        <f t="shared" si="18"/>
        <v>0</v>
      </c>
      <c r="L251" s="1618">
        <f>IF(Assumptions!$L$30=4,0,O251+P251)</f>
        <v>0</v>
      </c>
      <c r="M251" s="445">
        <f t="shared" si="14"/>
        <v>4.1536974011103469</v>
      </c>
      <c r="N251" s="449">
        <f>IF(Assumptions!$L$30=4,F251,CHOOSE(Assumptions!$L$30,E251,F251,G251))</f>
        <v>0.15</v>
      </c>
      <c r="O251">
        <v>0.23</v>
      </c>
      <c r="P251" s="1720">
        <f>Assumptions!$L$32*(1+Assumptions!$C$26)^(YEAR(A251)-2000)</f>
        <v>0.12184768647022504</v>
      </c>
    </row>
    <row r="252" spans="1:16">
      <c r="A252" s="325">
        <f>'Curve Paste'!BQ252</f>
        <v>44136</v>
      </c>
      <c r="B252" s="415">
        <f>IF(Assumptions!$L$30=4,VLOOKUP($A252,'Henwood Reference'!$E$9:$R$296,14),'Curve Paste'!BR252)</f>
        <v>4.2688582755247726</v>
      </c>
      <c r="C252" s="415">
        <f>IF(Assumptions!$L$30=4,VLOOKUP($A252,'Henwood Reference'!$E$9:$R$296,14),'Curve Paste'!BS252)</f>
        <v>4.2688582755247726</v>
      </c>
      <c r="D252" s="415">
        <f>IF(Assumptions!$L$30=4,VLOOKUP($A252,'Henwood Reference'!$E$9:$R$296,14),'Curve Paste'!BT252)</f>
        <v>4.2688582755247726</v>
      </c>
      <c r="E252" s="1722">
        <f t="shared" si="19"/>
        <v>0.14250000000000002</v>
      </c>
      <c r="F252" s="1722">
        <f t="shared" si="20"/>
        <v>0.15</v>
      </c>
      <c r="G252" s="1722">
        <f t="shared" si="21"/>
        <v>0.1575</v>
      </c>
      <c r="H252" s="416">
        <f t="shared" si="12"/>
        <v>-7.0000000000000007E-2</v>
      </c>
      <c r="I252" s="416"/>
      <c r="J252" s="416">
        <f t="shared" si="13"/>
        <v>7.0000000000000007E-2</v>
      </c>
      <c r="K252" s="432">
        <f t="shared" si="18"/>
        <v>0</v>
      </c>
      <c r="L252" s="1618">
        <f>IF(Assumptions!$L$30=4,0,O252+P252)</f>
        <v>0</v>
      </c>
      <c r="M252" s="445">
        <f t="shared" si="14"/>
        <v>4.3207067566040207</v>
      </c>
      <c r="N252" s="449">
        <f>IF(Assumptions!$L$30=4,F252,CHOOSE(Assumptions!$L$30,E252,F252,G252))</f>
        <v>0.15</v>
      </c>
      <c r="O252">
        <v>0.19500000000000001</v>
      </c>
      <c r="P252" s="1720">
        <f>Assumptions!$L$32*(1+Assumptions!$C$26)^(YEAR(A252)-2000)</f>
        <v>0.12184768647022504</v>
      </c>
    </row>
    <row r="253" spans="1:16">
      <c r="A253" s="325">
        <f>'Curve Paste'!BQ253</f>
        <v>44166</v>
      </c>
      <c r="B253" s="415">
        <f>IF(Assumptions!$L$30=4,VLOOKUP($A253,'Henwood Reference'!$E$9:$R$296,14),'Curve Paste'!BR253)</f>
        <v>4.4432018501324944</v>
      </c>
      <c r="C253" s="415">
        <f>IF(Assumptions!$L$30=4,VLOOKUP($A253,'Henwood Reference'!$E$9:$R$296,14),'Curve Paste'!BS253)</f>
        <v>4.4432018501324944</v>
      </c>
      <c r="D253" s="415">
        <f>IF(Assumptions!$L$30=4,VLOOKUP($A253,'Henwood Reference'!$E$9:$R$296,14),'Curve Paste'!BT253)</f>
        <v>4.4432018501324944</v>
      </c>
      <c r="E253" s="1722">
        <f t="shared" si="19"/>
        <v>0.14250000000000002</v>
      </c>
      <c r="F253" s="1722">
        <f t="shared" si="20"/>
        <v>0.15</v>
      </c>
      <c r="G253" s="1722">
        <f t="shared" si="21"/>
        <v>0.1575</v>
      </c>
      <c r="H253" s="416">
        <f t="shared" si="12"/>
        <v>-7.0000000000000007E-2</v>
      </c>
      <c r="I253" s="416"/>
      <c r="J253" s="416">
        <f t="shared" si="13"/>
        <v>7.0000000000000007E-2</v>
      </c>
      <c r="K253" s="432">
        <f t="shared" si="18"/>
        <v>0</v>
      </c>
      <c r="L253" s="1618">
        <f>IF(Assumptions!$L$30=4,0,O253+P253)</f>
        <v>0</v>
      </c>
      <c r="M253" s="445">
        <f t="shared" si="14"/>
        <v>4.4971678645065731</v>
      </c>
      <c r="N253" s="449">
        <f>IF(Assumptions!$L$30=4,F253,CHOOSE(Assumptions!$L$30,E253,F253,G253))</f>
        <v>0.15</v>
      </c>
      <c r="O253">
        <v>0.19500000000000001</v>
      </c>
      <c r="P253" s="1720">
        <f>Assumptions!$L$32*(1+Assumptions!$C$26)^(YEAR(A253)-2000)</f>
        <v>0.12184768647022504</v>
      </c>
    </row>
    <row r="254" spans="1:16">
      <c r="A254" s="325">
        <f>'Curve Paste'!BQ254</f>
        <v>44197</v>
      </c>
      <c r="B254" s="415">
        <f>IF(Assumptions!$L$30=4,VLOOKUP($A254,'Henwood Reference'!$E$9:$R$296,14),'Curve Paste'!BR254)</f>
        <v>4.2945777183769707</v>
      </c>
      <c r="C254" s="415">
        <f>IF(Assumptions!$L$30=4,VLOOKUP($A254,'Henwood Reference'!$E$9:$R$296,14),'Curve Paste'!BS254)</f>
        <v>4.2945777183769707</v>
      </c>
      <c r="D254" s="415">
        <f>IF(Assumptions!$L$30=4,VLOOKUP($A254,'Henwood Reference'!$E$9:$R$296,14),'Curve Paste'!BT254)</f>
        <v>4.2945777183769707</v>
      </c>
      <c r="E254" s="1722">
        <f>E253</f>
        <v>0.14250000000000002</v>
      </c>
      <c r="F254" s="1722">
        <f t="shared" si="20"/>
        <v>0.15</v>
      </c>
      <c r="G254" s="1722">
        <f t="shared" si="21"/>
        <v>0.1575</v>
      </c>
      <c r="H254" s="416">
        <f t="shared" si="12"/>
        <v>-7.0000000000000007E-2</v>
      </c>
      <c r="I254" s="416"/>
      <c r="J254" s="416">
        <f t="shared" si="13"/>
        <v>7.0000000000000007E-2</v>
      </c>
      <c r="K254" s="432">
        <f t="shared" si="18"/>
        <v>0</v>
      </c>
      <c r="L254" s="1618">
        <f>IF(Assumptions!$L$30=4,0,O254+P254)</f>
        <v>0</v>
      </c>
      <c r="M254" s="445">
        <f t="shared" si="14"/>
        <v>4.3467385813532093</v>
      </c>
      <c r="N254" s="449">
        <f>IF(Assumptions!$L$30=4,F254,CHOOSE(Assumptions!$L$30,E254,F254,G254))</f>
        <v>0.15</v>
      </c>
      <c r="O254">
        <v>0.16375000000000001</v>
      </c>
      <c r="P254" s="1720">
        <f>Assumptions!$L$32*(1+Assumptions!$C$26)^(YEAR(A254)-2000)</f>
        <v>0.12428464019962952</v>
      </c>
    </row>
    <row r="255" spans="1:16">
      <c r="A255" s="325">
        <f>'Curve Paste'!BQ255</f>
        <v>44228</v>
      </c>
      <c r="B255" s="415">
        <f>IF(Assumptions!$L$30=4,VLOOKUP($A255,'Henwood Reference'!$E$9:$R$296,14),'Curve Paste'!BR255)</f>
        <v>3.9598849538992802</v>
      </c>
      <c r="C255" s="415">
        <f>IF(Assumptions!$L$30=4,VLOOKUP($A255,'Henwood Reference'!$E$9:$R$296,14),'Curve Paste'!BS255)</f>
        <v>3.9598849538992802</v>
      </c>
      <c r="D255" s="415">
        <f>IF(Assumptions!$L$30=4,VLOOKUP($A255,'Henwood Reference'!$E$9:$R$296,14),'Curve Paste'!BT255)</f>
        <v>3.9598849538992802</v>
      </c>
      <c r="E255" s="1722">
        <f t="shared" ref="E255:E264" si="22">E254</f>
        <v>0.14250000000000002</v>
      </c>
      <c r="F255" s="1722">
        <f t="shared" si="20"/>
        <v>0.15</v>
      </c>
      <c r="G255" s="1722">
        <f t="shared" si="21"/>
        <v>0.1575</v>
      </c>
      <c r="H255" s="416">
        <f t="shared" si="12"/>
        <v>-7.0000000000000007E-2</v>
      </c>
      <c r="I255" s="416"/>
      <c r="J255" s="416">
        <f t="shared" si="13"/>
        <v>7.0000000000000007E-2</v>
      </c>
      <c r="K255" s="432">
        <f t="shared" si="18"/>
        <v>0</v>
      </c>
      <c r="L255" s="1618">
        <f>IF(Assumptions!$L$30=4,0,O255+P255)</f>
        <v>0</v>
      </c>
      <c r="M255" s="445">
        <f t="shared" si="14"/>
        <v>4.0079807225701218</v>
      </c>
      <c r="N255" s="449">
        <f>IF(Assumptions!$L$30=4,F255,CHOOSE(Assumptions!$L$30,E255,F255,G255))</f>
        <v>0.15</v>
      </c>
      <c r="O255">
        <v>0.16375000000000001</v>
      </c>
      <c r="P255" s="1720">
        <f>Assumptions!$L$32*(1+Assumptions!$C$26)^(YEAR(A255)-2000)</f>
        <v>0.12428464019962952</v>
      </c>
    </row>
    <row r="256" spans="1:16">
      <c r="A256" s="325">
        <f>'Curve Paste'!BQ256</f>
        <v>44256</v>
      </c>
      <c r="B256" s="415">
        <f>IF(Assumptions!$L$30=4,VLOOKUP($A256,'Henwood Reference'!$E$9:$R$296,14),'Curve Paste'!BR256)</f>
        <v>3.741620354061812</v>
      </c>
      <c r="C256" s="415">
        <f>IF(Assumptions!$L$30=4,VLOOKUP($A256,'Henwood Reference'!$E$9:$R$296,14),'Curve Paste'!BS256)</f>
        <v>3.741620354061812</v>
      </c>
      <c r="D256" s="415">
        <f>IF(Assumptions!$L$30=4,VLOOKUP($A256,'Henwood Reference'!$E$9:$R$296,14),'Curve Paste'!BT256)</f>
        <v>3.741620354061812</v>
      </c>
      <c r="E256" s="1722">
        <f t="shared" si="22"/>
        <v>0.14250000000000002</v>
      </c>
      <c r="F256" s="1722">
        <f t="shared" si="20"/>
        <v>0.15</v>
      </c>
      <c r="G256" s="1722">
        <f t="shared" si="21"/>
        <v>0.1575</v>
      </c>
      <c r="H256" s="416">
        <f t="shared" si="12"/>
        <v>-7.0000000000000007E-2</v>
      </c>
      <c r="I256" s="416"/>
      <c r="J256" s="416">
        <f t="shared" si="13"/>
        <v>7.0000000000000007E-2</v>
      </c>
      <c r="K256" s="432">
        <f t="shared" si="18"/>
        <v>0</v>
      </c>
      <c r="L256" s="1618">
        <f>IF(Assumptions!$L$30=4,0,O256+P256)</f>
        <v>0</v>
      </c>
      <c r="M256" s="445">
        <f t="shared" si="14"/>
        <v>3.7870651356900931</v>
      </c>
      <c r="N256" s="449">
        <f>IF(Assumptions!$L$30=4,F256,CHOOSE(Assumptions!$L$30,E256,F256,G256))</f>
        <v>0.15</v>
      </c>
      <c r="O256">
        <v>0.18124999999999999</v>
      </c>
      <c r="P256" s="1720">
        <f>Assumptions!$L$32*(1+Assumptions!$C$26)^(YEAR(A256)-2000)</f>
        <v>0.12428464019962952</v>
      </c>
    </row>
    <row r="257" spans="1:16">
      <c r="A257" s="325">
        <f>'Curve Paste'!BQ257</f>
        <v>44287</v>
      </c>
      <c r="B257" s="415">
        <f>IF(Assumptions!$L$30=4,VLOOKUP($A257,'Henwood Reference'!$E$9:$R$296,14),'Curve Paste'!BR257)</f>
        <v>3.6232742577146673</v>
      </c>
      <c r="C257" s="415">
        <f>IF(Assumptions!$L$30=4,VLOOKUP($A257,'Henwood Reference'!$E$9:$R$296,14),'Curve Paste'!BS257)</f>
        <v>3.6232742577146673</v>
      </c>
      <c r="D257" s="415">
        <f>IF(Assumptions!$L$30=4,VLOOKUP($A257,'Henwood Reference'!$E$9:$R$296,14),'Curve Paste'!BT257)</f>
        <v>3.6232742577146673</v>
      </c>
      <c r="E257" s="1722">
        <f t="shared" si="22"/>
        <v>0.14250000000000002</v>
      </c>
      <c r="F257" s="1722">
        <f t="shared" si="20"/>
        <v>0.15</v>
      </c>
      <c r="G257" s="1722">
        <f t="shared" si="21"/>
        <v>0.1575</v>
      </c>
      <c r="H257" s="416">
        <f t="shared" si="12"/>
        <v>-7.0000000000000007E-2</v>
      </c>
      <c r="I257" s="416"/>
      <c r="J257" s="416">
        <f t="shared" si="13"/>
        <v>7.0000000000000007E-2</v>
      </c>
      <c r="K257" s="432">
        <f t="shared" si="18"/>
        <v>0</v>
      </c>
      <c r="L257" s="1618">
        <f>IF(Assumptions!$L$30=4,0,O257+P257)</f>
        <v>0</v>
      </c>
      <c r="M257" s="445">
        <f t="shared" si="14"/>
        <v>3.6672816373630237</v>
      </c>
      <c r="N257" s="449">
        <f>IF(Assumptions!$L$30=4,F257,CHOOSE(Assumptions!$L$30,E257,F257,G257))</f>
        <v>0.15</v>
      </c>
      <c r="O257">
        <v>0.16625000000000001</v>
      </c>
      <c r="P257" s="1720">
        <f>Assumptions!$L$32*(1+Assumptions!$C$26)^(YEAR(A257)-2000)</f>
        <v>0.12428464019962952</v>
      </c>
    </row>
    <row r="258" spans="1:16">
      <c r="A258" s="325">
        <f>'Curve Paste'!BQ258</f>
        <v>44317</v>
      </c>
      <c r="B258" s="415">
        <f>IF(Assumptions!$L$30=4,VLOOKUP($A258,'Henwood Reference'!$E$9:$R$296,14),'Curve Paste'!BR258)</f>
        <v>3.5901045905723876</v>
      </c>
      <c r="C258" s="415">
        <f>IF(Assumptions!$L$30=4,VLOOKUP($A258,'Henwood Reference'!$E$9:$R$296,14),'Curve Paste'!BS258)</f>
        <v>3.5901045905723876</v>
      </c>
      <c r="D258" s="415">
        <f>IF(Assumptions!$L$30=4,VLOOKUP($A258,'Henwood Reference'!$E$9:$R$296,14),'Curve Paste'!BT258)</f>
        <v>3.5901045905723876</v>
      </c>
      <c r="E258" s="1722">
        <f t="shared" si="22"/>
        <v>0.14250000000000002</v>
      </c>
      <c r="F258" s="1722">
        <f t="shared" si="20"/>
        <v>0.15</v>
      </c>
      <c r="G258" s="1722">
        <f t="shared" si="21"/>
        <v>0.1575</v>
      </c>
      <c r="H258" s="416">
        <f t="shared" si="12"/>
        <v>-7.0000000000000007E-2</v>
      </c>
      <c r="I258" s="416"/>
      <c r="J258" s="416">
        <f t="shared" si="13"/>
        <v>7.0000000000000007E-2</v>
      </c>
      <c r="K258" s="432">
        <f t="shared" si="18"/>
        <v>0</v>
      </c>
      <c r="L258" s="1618">
        <f>IF(Assumptions!$L$30=4,0,O258+P258)</f>
        <v>0</v>
      </c>
      <c r="M258" s="445">
        <f t="shared" si="14"/>
        <v>3.6337090997696233</v>
      </c>
      <c r="N258" s="449">
        <f>IF(Assumptions!$L$30=4,F258,CHOOSE(Assumptions!$L$30,E258,F258,G258))</f>
        <v>0.15</v>
      </c>
      <c r="O258">
        <v>0.18124999999999999</v>
      </c>
      <c r="P258" s="1720">
        <f>Assumptions!$L$32*(1+Assumptions!$C$26)^(YEAR(A258)-2000)</f>
        <v>0.12428464019962952</v>
      </c>
    </row>
    <row r="259" spans="1:16">
      <c r="A259" s="325">
        <f>'Curve Paste'!BQ259</f>
        <v>44348</v>
      </c>
      <c r="B259" s="415">
        <f>IF(Assumptions!$L$30=4,VLOOKUP($A259,'Henwood Reference'!$E$9:$R$296,14),'Curve Paste'!BR259)</f>
        <v>3.6273692783495171</v>
      </c>
      <c r="C259" s="415">
        <f>IF(Assumptions!$L$30=4,VLOOKUP($A259,'Henwood Reference'!$E$9:$R$296,14),'Curve Paste'!BS259)</f>
        <v>3.6273692783495171</v>
      </c>
      <c r="D259" s="415">
        <f>IF(Assumptions!$L$30=4,VLOOKUP($A259,'Henwood Reference'!$E$9:$R$296,14),'Curve Paste'!BT259)</f>
        <v>3.6273692783495171</v>
      </c>
      <c r="E259" s="1722">
        <f t="shared" si="22"/>
        <v>0.14250000000000002</v>
      </c>
      <c r="F259" s="1722">
        <f t="shared" si="20"/>
        <v>0.15</v>
      </c>
      <c r="G259" s="1722">
        <f t="shared" si="21"/>
        <v>0.1575</v>
      </c>
      <c r="H259" s="416">
        <f t="shared" si="12"/>
        <v>-7.0000000000000007E-2</v>
      </c>
      <c r="I259" s="416"/>
      <c r="J259" s="416">
        <f t="shared" si="13"/>
        <v>7.0000000000000007E-2</v>
      </c>
      <c r="K259" s="432">
        <f t="shared" si="18"/>
        <v>0</v>
      </c>
      <c r="L259" s="1618">
        <f>IF(Assumptions!$L$30=4,0,O259+P259)</f>
        <v>0</v>
      </c>
      <c r="M259" s="445">
        <f t="shared" si="14"/>
        <v>3.6714263950906045</v>
      </c>
      <c r="N259" s="449">
        <f>IF(Assumptions!$L$30=4,F259,CHOOSE(Assumptions!$L$30,E259,F259,G259))</f>
        <v>0.15</v>
      </c>
      <c r="O259">
        <v>0.21124999999999999</v>
      </c>
      <c r="P259" s="1720">
        <f>Assumptions!$L$32*(1+Assumptions!$C$26)^(YEAR(A259)-2000)</f>
        <v>0.12428464019962952</v>
      </c>
    </row>
    <row r="260" spans="1:16">
      <c r="A260" s="325">
        <f>'Curve Paste'!BQ260</f>
        <v>44378</v>
      </c>
      <c r="B260" s="415">
        <f>IF(Assumptions!$L$30=4,VLOOKUP($A260,'Henwood Reference'!$E$9:$R$296,14),'Curve Paste'!BR260)</f>
        <v>3.7203262467605964</v>
      </c>
      <c r="C260" s="415">
        <f>IF(Assumptions!$L$30=4,VLOOKUP($A260,'Henwood Reference'!$E$9:$R$296,14),'Curve Paste'!BS260)</f>
        <v>3.7203262467605964</v>
      </c>
      <c r="D260" s="415">
        <f>IF(Assumptions!$L$30=4,VLOOKUP($A260,'Henwood Reference'!$E$9:$R$296,14),'Curve Paste'!BT260)</f>
        <v>3.7203262467605964</v>
      </c>
      <c r="E260" s="1722">
        <f t="shared" si="22"/>
        <v>0.14250000000000002</v>
      </c>
      <c r="F260" s="1722">
        <f t="shared" si="20"/>
        <v>0.15</v>
      </c>
      <c r="G260" s="1722">
        <f t="shared" si="21"/>
        <v>0.1575</v>
      </c>
      <c r="H260" s="416">
        <f t="shared" si="12"/>
        <v>-7.0000000000000007E-2</v>
      </c>
      <c r="I260" s="416"/>
      <c r="J260" s="416">
        <f t="shared" si="13"/>
        <v>7.0000000000000007E-2</v>
      </c>
      <c r="K260" s="432">
        <f t="shared" si="18"/>
        <v>0</v>
      </c>
      <c r="L260" s="1618">
        <f>IF(Assumptions!$L$30=4,0,O260+P260)</f>
        <v>0</v>
      </c>
      <c r="M260" s="445">
        <f t="shared" si="14"/>
        <v>3.7655123955066765</v>
      </c>
      <c r="N260" s="449">
        <f>IF(Assumptions!$L$30=4,F260,CHOOSE(Assumptions!$L$30,E260,F260,G260))</f>
        <v>0.15</v>
      </c>
      <c r="O260">
        <v>0.31125000000000003</v>
      </c>
      <c r="P260" s="1720">
        <f>Assumptions!$L$32*(1+Assumptions!$C$26)^(YEAR(A260)-2000)</f>
        <v>0.12428464019962952</v>
      </c>
    </row>
    <row r="261" spans="1:16">
      <c r="A261" s="325">
        <f>'Curve Paste'!BQ261</f>
        <v>44409</v>
      </c>
      <c r="B261" s="415">
        <f>IF(Assumptions!$L$30=4,VLOOKUP($A261,'Henwood Reference'!$E$9:$R$296,14),'Curve Paste'!BR261)</f>
        <v>3.8542334215201688</v>
      </c>
      <c r="C261" s="415">
        <f>IF(Assumptions!$L$30=4,VLOOKUP($A261,'Henwood Reference'!$E$9:$R$296,14),'Curve Paste'!BS261)</f>
        <v>3.8542334215201688</v>
      </c>
      <c r="D261" s="415">
        <f>IF(Assumptions!$L$30=4,VLOOKUP($A261,'Henwood Reference'!$E$9:$R$296,14),'Curve Paste'!BT261)</f>
        <v>3.8542334215201688</v>
      </c>
      <c r="E261" s="1722">
        <f t="shared" si="22"/>
        <v>0.14250000000000002</v>
      </c>
      <c r="F261" s="1722">
        <f t="shared" si="20"/>
        <v>0.15</v>
      </c>
      <c r="G261" s="1722">
        <f t="shared" si="21"/>
        <v>0.1575</v>
      </c>
      <c r="H261" s="416">
        <f t="shared" si="12"/>
        <v>-7.0000000000000007E-2</v>
      </c>
      <c r="I261" s="416"/>
      <c r="J261" s="416">
        <f t="shared" si="13"/>
        <v>7.0000000000000007E-2</v>
      </c>
      <c r="K261" s="432">
        <f t="shared" si="18"/>
        <v>0</v>
      </c>
      <c r="L261" s="1618">
        <f>IF(Assumptions!$L$30=4,0,O261+P261)</f>
        <v>0</v>
      </c>
      <c r="M261" s="445">
        <f t="shared" si="14"/>
        <v>3.9010459731985514</v>
      </c>
      <c r="N261" s="449">
        <f>IF(Assumptions!$L$30=4,F261,CHOOSE(Assumptions!$L$30,E261,F261,G261))</f>
        <v>0.15</v>
      </c>
      <c r="O261">
        <v>0.31125000000000003</v>
      </c>
      <c r="P261" s="1720">
        <f>Assumptions!$L$32*(1+Assumptions!$C$26)^(YEAR(A261)-2000)</f>
        <v>0.12428464019962952</v>
      </c>
    </row>
    <row r="262" spans="1:16">
      <c r="A262" s="325">
        <f>'Curve Paste'!BQ262</f>
        <v>44440</v>
      </c>
      <c r="B262" s="415">
        <f>IF(Assumptions!$L$30=4,VLOOKUP($A262,'Henwood Reference'!$E$9:$R$296,14),'Curve Paste'!BR262)</f>
        <v>4.0143487283427763</v>
      </c>
      <c r="C262" s="415">
        <f>IF(Assumptions!$L$30=4,VLOOKUP($A262,'Henwood Reference'!$E$9:$R$296,14),'Curve Paste'!BS262)</f>
        <v>4.0143487283427763</v>
      </c>
      <c r="D262" s="415">
        <f>IF(Assumptions!$L$30=4,VLOOKUP($A262,'Henwood Reference'!$E$9:$R$296,14),'Curve Paste'!BT262)</f>
        <v>4.0143487283427763</v>
      </c>
      <c r="E262" s="1722">
        <f t="shared" si="22"/>
        <v>0.14250000000000002</v>
      </c>
      <c r="F262" s="1722">
        <f t="shared" si="20"/>
        <v>0.15</v>
      </c>
      <c r="G262" s="1722">
        <f t="shared" si="21"/>
        <v>0.1575</v>
      </c>
      <c r="H262" s="416">
        <f t="shared" ref="H262:H283" si="23">I262-$H$4</f>
        <v>-7.0000000000000007E-2</v>
      </c>
      <c r="I262" s="416"/>
      <c r="J262" s="416">
        <f t="shared" ref="J262:J289" si="24">I262+$J$4</f>
        <v>7.0000000000000007E-2</v>
      </c>
      <c r="K262" s="432">
        <f t="shared" si="18"/>
        <v>0</v>
      </c>
      <c r="L262" s="1618">
        <f>IF(Assumptions!$L$30=4,0,O262+P262)</f>
        <v>0</v>
      </c>
      <c r="M262" s="445">
        <f t="shared" ref="M262:M283" si="25">(IF(GasPriceCurve,IF(OBuySell=OCallPut,D262,B262),C262)+K262/1000+L262)/(1-GasTransportPercent)</f>
        <v>4.0631060003469397</v>
      </c>
      <c r="N262" s="449">
        <f>IF(Assumptions!$L$30=4,F262,CHOOSE(Assumptions!$L$30,E262,F262,G262))</f>
        <v>0.15</v>
      </c>
      <c r="O262">
        <v>0.31125000000000003</v>
      </c>
      <c r="P262" s="1720">
        <f>Assumptions!$L$32*(1+Assumptions!$C$26)^(YEAR(A262)-2000)</f>
        <v>0.12428464019962952</v>
      </c>
    </row>
    <row r="263" spans="1:16">
      <c r="A263" s="325">
        <f>'Curve Paste'!BQ263</f>
        <v>44470</v>
      </c>
      <c r="B263" s="415">
        <f>IF(Assumptions!$L$30=4,VLOOKUP($A263,'Henwood Reference'!$E$9:$R$296,14),'Curve Paste'!BR263)</f>
        <v>4.1859300929429635</v>
      </c>
      <c r="C263" s="415">
        <f>IF(Assumptions!$L$30=4,VLOOKUP($A263,'Henwood Reference'!$E$9:$R$296,14),'Curve Paste'!BS263)</f>
        <v>4.1859300929429635</v>
      </c>
      <c r="D263" s="415">
        <f>IF(Assumptions!$L$30=4,VLOOKUP($A263,'Henwood Reference'!$E$9:$R$296,14),'Curve Paste'!BT263)</f>
        <v>4.1859300929429635</v>
      </c>
      <c r="E263" s="1722">
        <f t="shared" si="22"/>
        <v>0.14250000000000002</v>
      </c>
      <c r="F263" s="1722">
        <f t="shared" si="20"/>
        <v>0.15</v>
      </c>
      <c r="G263" s="1722">
        <f t="shared" si="21"/>
        <v>0.1575</v>
      </c>
      <c r="H263" s="416">
        <f t="shared" si="23"/>
        <v>-7.0000000000000007E-2</v>
      </c>
      <c r="I263" s="416"/>
      <c r="J263" s="416">
        <f t="shared" si="24"/>
        <v>7.0000000000000007E-2</v>
      </c>
      <c r="K263" s="432">
        <f t="shared" si="18"/>
        <v>0</v>
      </c>
      <c r="L263" s="1618">
        <f>IF(Assumptions!$L$30=4,0,O263+P263)</f>
        <v>0</v>
      </c>
      <c r="M263" s="445">
        <f t="shared" si="25"/>
        <v>4.236771349132554</v>
      </c>
      <c r="N263" s="449">
        <f>IF(Assumptions!$L$30=4,F263,CHOOSE(Assumptions!$L$30,E263,F263,G263))</f>
        <v>0.15</v>
      </c>
      <c r="O263">
        <v>0.23125000000000001</v>
      </c>
      <c r="P263" s="1720">
        <f>Assumptions!$L$32*(1+Assumptions!$C$26)^(YEAR(A263)-2000)</f>
        <v>0.12428464019962952</v>
      </c>
    </row>
    <row r="264" spans="1:16">
      <c r="A264" s="325">
        <f>'Curve Paste'!BQ264</f>
        <v>44501</v>
      </c>
      <c r="B264" s="415">
        <f>IF(Assumptions!$L$30=4,VLOOKUP($A264,'Henwood Reference'!$E$9:$R$296,14),'Curve Paste'!BR264)</f>
        <v>4.3542354410352679</v>
      </c>
      <c r="C264" s="415">
        <f>IF(Assumptions!$L$30=4,VLOOKUP($A264,'Henwood Reference'!$E$9:$R$296,14),'Curve Paste'!BS264)</f>
        <v>4.3542354410352679</v>
      </c>
      <c r="D264" s="415">
        <f>IF(Assumptions!$L$30=4,VLOOKUP($A264,'Henwood Reference'!$E$9:$R$296,14),'Curve Paste'!BT264)</f>
        <v>4.3542354410352679</v>
      </c>
      <c r="E264" s="1722">
        <f t="shared" si="22"/>
        <v>0.14250000000000002</v>
      </c>
      <c r="F264" s="1722">
        <f t="shared" si="20"/>
        <v>0.15</v>
      </c>
      <c r="G264" s="1722">
        <f t="shared" si="21"/>
        <v>0.1575</v>
      </c>
      <c r="H264" s="416">
        <f t="shared" si="23"/>
        <v>-7.0000000000000007E-2</v>
      </c>
      <c r="I264" s="416"/>
      <c r="J264" s="416">
        <f t="shared" si="24"/>
        <v>7.0000000000000007E-2</v>
      </c>
      <c r="K264" s="432">
        <f t="shared" si="18"/>
        <v>0</v>
      </c>
      <c r="L264" s="1618">
        <f>IF(Assumptions!$L$30=4,0,O264+P264)</f>
        <v>0</v>
      </c>
      <c r="M264" s="445">
        <f t="shared" si="25"/>
        <v>4.4071208917361009</v>
      </c>
      <c r="N264" s="449">
        <f>IF(Assumptions!$L$30=4,F264,CHOOSE(Assumptions!$L$30,E264,F264,G264))</f>
        <v>0.15</v>
      </c>
      <c r="O264">
        <v>0.19625000000000001</v>
      </c>
      <c r="P264" s="1720">
        <f>Assumptions!$L$32*(1+Assumptions!$C$26)^(YEAR(A264)-2000)</f>
        <v>0.12428464019962952</v>
      </c>
    </row>
    <row r="265" spans="1:16">
      <c r="A265" s="325">
        <f>'Curve Paste'!BQ265</f>
        <v>44531</v>
      </c>
      <c r="B265" s="415">
        <f>IF(Assumptions!$L$30=4,VLOOKUP($A265,'Henwood Reference'!$E$9:$R$296,14),'Curve Paste'!BR265)</f>
        <v>4.5320658871351442</v>
      </c>
      <c r="C265" s="415">
        <f>IF(Assumptions!$L$30=4,VLOOKUP($A265,'Henwood Reference'!$E$9:$R$296,14),'Curve Paste'!BS265)</f>
        <v>4.5320658871351442</v>
      </c>
      <c r="D265" s="415">
        <f>IF(Assumptions!$L$30=4,VLOOKUP($A265,'Henwood Reference'!$E$9:$R$296,14),'Curve Paste'!BT265)</f>
        <v>4.5320658871351442</v>
      </c>
      <c r="E265" s="1722">
        <f>E264</f>
        <v>0.14250000000000002</v>
      </c>
      <c r="F265" s="1722">
        <f t="shared" si="20"/>
        <v>0.15</v>
      </c>
      <c r="G265" s="1722">
        <f t="shared" si="21"/>
        <v>0.1575</v>
      </c>
      <c r="H265" s="416">
        <f t="shared" si="23"/>
        <v>-7.0000000000000007E-2</v>
      </c>
      <c r="I265" s="416"/>
      <c r="J265" s="416">
        <f t="shared" si="24"/>
        <v>7.0000000000000007E-2</v>
      </c>
      <c r="K265" s="432">
        <f t="shared" si="18"/>
        <v>0</v>
      </c>
      <c r="L265" s="1618">
        <f>IF(Assumptions!$L$30=4,0,O265+P265)</f>
        <v>0</v>
      </c>
      <c r="M265" s="445">
        <f t="shared" si="25"/>
        <v>4.5871112217967047</v>
      </c>
      <c r="N265" s="449">
        <f>IF(Assumptions!$L$30=4,F265,CHOOSE(Assumptions!$L$30,E265,F265,G265))</f>
        <v>0.15</v>
      </c>
      <c r="O265">
        <v>0.19625000000000001</v>
      </c>
      <c r="P265" s="1720">
        <f>Assumptions!$L$32*(1+Assumptions!$C$26)^(YEAR(A265)-2000)</f>
        <v>0.12428464019962952</v>
      </c>
    </row>
    <row r="266" spans="1:16">
      <c r="A266" s="325">
        <f>'Curve Paste'!BQ266</f>
        <v>44562</v>
      </c>
      <c r="B266" s="415">
        <f>IF(Assumptions!$L$30=4,VLOOKUP($A266,'Henwood Reference'!$E$9:$R$296,14),'Curve Paste'!BR266)</f>
        <v>4.5320658871351442</v>
      </c>
      <c r="C266" s="415">
        <f>IF(Assumptions!$L$30=4,VLOOKUP($A266,'Henwood Reference'!$E$9:$R$296,14),'Curve Paste'!BS266)</f>
        <v>4.5320658871351442</v>
      </c>
      <c r="D266" s="415">
        <f>IF(Assumptions!$L$30=4,VLOOKUP($A266,'Henwood Reference'!$E$9:$R$296,14),'Curve Paste'!BT266)</f>
        <v>4.5320658871351442</v>
      </c>
      <c r="E266" s="1722">
        <f t="shared" ref="E266:E275" si="26">E265</f>
        <v>0.14250000000000002</v>
      </c>
      <c r="F266" s="1722">
        <f t="shared" si="20"/>
        <v>0.15</v>
      </c>
      <c r="G266" s="1722">
        <f t="shared" si="21"/>
        <v>0.1575</v>
      </c>
      <c r="H266" s="416">
        <f t="shared" si="23"/>
        <v>-7.0000000000000007E-2</v>
      </c>
      <c r="I266" s="416"/>
      <c r="J266" s="416">
        <f t="shared" si="24"/>
        <v>7.0000000000000007E-2</v>
      </c>
      <c r="K266" s="432">
        <f t="shared" si="18"/>
        <v>0</v>
      </c>
      <c r="L266" s="1618">
        <f>IF(Assumptions!$L$30=4,0,O266+P266)</f>
        <v>0</v>
      </c>
      <c r="M266" s="445">
        <f t="shared" si="25"/>
        <v>4.5871112217967047</v>
      </c>
      <c r="N266" s="449">
        <f>IF(Assumptions!$L$30=4,F266,CHOOSE(Assumptions!$L$30,E266,F266,G266))</f>
        <v>0.15</v>
      </c>
      <c r="O266">
        <v>0.16500000000000001</v>
      </c>
      <c r="P266" s="1720">
        <f>Assumptions!$L$32*(1+Assumptions!$C$26)^(YEAR(A266)-2000)</f>
        <v>0.12677033300362212</v>
      </c>
    </row>
    <row r="267" spans="1:16">
      <c r="A267" s="325">
        <f>'Curve Paste'!BQ267</f>
        <v>44593</v>
      </c>
      <c r="B267" s="415">
        <f>IF(Assumptions!$L$30=4,VLOOKUP($A267,'Henwood Reference'!$E$9:$R$296,14),'Curve Paste'!BR267)</f>
        <v>4.5320658871351442</v>
      </c>
      <c r="C267" s="415">
        <f>IF(Assumptions!$L$30=4,VLOOKUP($A267,'Henwood Reference'!$E$9:$R$296,14),'Curve Paste'!BS267)</f>
        <v>4.5320658871351442</v>
      </c>
      <c r="D267" s="415">
        <f>IF(Assumptions!$L$30=4,VLOOKUP($A267,'Henwood Reference'!$E$9:$R$296,14),'Curve Paste'!BT267)</f>
        <v>4.5320658871351442</v>
      </c>
      <c r="E267" s="1722">
        <f t="shared" si="26"/>
        <v>0.14250000000000002</v>
      </c>
      <c r="F267" s="1722">
        <f t="shared" si="20"/>
        <v>0.15</v>
      </c>
      <c r="G267" s="1722">
        <f t="shared" si="21"/>
        <v>0.1575</v>
      </c>
      <c r="H267" s="416">
        <f t="shared" si="23"/>
        <v>-7.0000000000000007E-2</v>
      </c>
      <c r="I267" s="416"/>
      <c r="J267" s="416">
        <f t="shared" si="24"/>
        <v>7.0000000000000007E-2</v>
      </c>
      <c r="K267" s="432">
        <f t="shared" si="18"/>
        <v>0</v>
      </c>
      <c r="L267" s="1618">
        <f>IF(Assumptions!$L$30=4,0,O267+P267)</f>
        <v>0</v>
      </c>
      <c r="M267" s="445">
        <f t="shared" si="25"/>
        <v>4.5871112217967047</v>
      </c>
      <c r="N267" s="449">
        <f>IF(Assumptions!$L$30=4,F267,CHOOSE(Assumptions!$L$30,E267,F267,G267))</f>
        <v>0.15</v>
      </c>
      <c r="O267">
        <v>0.16500000000000001</v>
      </c>
      <c r="P267" s="1720">
        <f>Assumptions!$L$32*(1+Assumptions!$C$26)^(YEAR(A267)-2000)</f>
        <v>0.12677033300362212</v>
      </c>
    </row>
    <row r="268" spans="1:16">
      <c r="A268" s="325">
        <f>'Curve Paste'!BQ268</f>
        <v>44621</v>
      </c>
      <c r="B268" s="415">
        <f>IF(Assumptions!$L$30=4,VLOOKUP($A268,'Henwood Reference'!$E$9:$R$296,14),'Curve Paste'!BR268)</f>
        <v>4.5320658871351442</v>
      </c>
      <c r="C268" s="415">
        <f>IF(Assumptions!$L$30=4,VLOOKUP($A268,'Henwood Reference'!$E$9:$R$296,14),'Curve Paste'!BS268)</f>
        <v>4.5320658871351442</v>
      </c>
      <c r="D268" s="415">
        <f>IF(Assumptions!$L$30=4,VLOOKUP($A268,'Henwood Reference'!$E$9:$R$296,14),'Curve Paste'!BT268)</f>
        <v>4.5320658871351442</v>
      </c>
      <c r="E268" s="1722">
        <f t="shared" si="26"/>
        <v>0.14250000000000002</v>
      </c>
      <c r="F268" s="1722">
        <f t="shared" si="20"/>
        <v>0.15</v>
      </c>
      <c r="G268" s="1722">
        <f t="shared" si="21"/>
        <v>0.1575</v>
      </c>
      <c r="H268" s="416">
        <f t="shared" si="23"/>
        <v>-7.0000000000000007E-2</v>
      </c>
      <c r="I268" s="416"/>
      <c r="J268" s="416">
        <f t="shared" si="24"/>
        <v>7.0000000000000007E-2</v>
      </c>
      <c r="K268" s="432">
        <f t="shared" si="18"/>
        <v>0</v>
      </c>
      <c r="L268" s="1618">
        <f>IF(Assumptions!$L$30=4,0,O268+P268)</f>
        <v>0</v>
      </c>
      <c r="M268" s="445">
        <f t="shared" si="25"/>
        <v>4.5871112217967047</v>
      </c>
      <c r="N268" s="449">
        <f>IF(Assumptions!$L$30=4,F268,CHOOSE(Assumptions!$L$30,E268,F268,G268))</f>
        <v>0.15</v>
      </c>
      <c r="O268">
        <v>0.1825</v>
      </c>
      <c r="P268" s="1720">
        <f>Assumptions!$L$32*(1+Assumptions!$C$26)^(YEAR(A268)-2000)</f>
        <v>0.12677033300362212</v>
      </c>
    </row>
    <row r="269" spans="1:16">
      <c r="A269" s="325">
        <f>'Curve Paste'!BQ269</f>
        <v>44652</v>
      </c>
      <c r="B269" s="415">
        <f>IF(Assumptions!$L$30=4,VLOOKUP($A269,'Henwood Reference'!$E$9:$R$296,14),'Curve Paste'!BR269)</f>
        <v>4.5320658871351442</v>
      </c>
      <c r="C269" s="415">
        <f>IF(Assumptions!$L$30=4,VLOOKUP($A269,'Henwood Reference'!$E$9:$R$296,14),'Curve Paste'!BS269)</f>
        <v>4.5320658871351442</v>
      </c>
      <c r="D269" s="415">
        <f>IF(Assumptions!$L$30=4,VLOOKUP($A269,'Henwood Reference'!$E$9:$R$296,14),'Curve Paste'!BT269)</f>
        <v>4.5320658871351442</v>
      </c>
      <c r="E269" s="1722">
        <f t="shared" si="26"/>
        <v>0.14250000000000002</v>
      </c>
      <c r="F269" s="1722">
        <f t="shared" si="20"/>
        <v>0.15</v>
      </c>
      <c r="G269" s="1722">
        <f t="shared" si="21"/>
        <v>0.1575</v>
      </c>
      <c r="H269" s="416">
        <f t="shared" si="23"/>
        <v>-7.0000000000000007E-2</v>
      </c>
      <c r="I269" s="416"/>
      <c r="J269" s="416">
        <f t="shared" si="24"/>
        <v>7.0000000000000007E-2</v>
      </c>
      <c r="K269" s="432">
        <f t="shared" si="18"/>
        <v>0</v>
      </c>
      <c r="L269" s="1618">
        <f>IF(Assumptions!$L$30=4,0,O269+P269)</f>
        <v>0</v>
      </c>
      <c r="M269" s="445">
        <f t="shared" si="25"/>
        <v>4.5871112217967047</v>
      </c>
      <c r="N269" s="449">
        <f>IF(Assumptions!$L$30=4,F269,CHOOSE(Assumptions!$L$30,E269,F269,G269))</f>
        <v>0.15</v>
      </c>
      <c r="O269">
        <v>0.16750000000000001</v>
      </c>
      <c r="P269" s="1720">
        <f>Assumptions!$L$32*(1+Assumptions!$C$26)^(YEAR(A269)-2000)</f>
        <v>0.12677033300362212</v>
      </c>
    </row>
    <row r="270" spans="1:16">
      <c r="A270" s="325">
        <f>'Curve Paste'!BQ270</f>
        <v>44682</v>
      </c>
      <c r="B270" s="415">
        <f>IF(Assumptions!$L$30=4,VLOOKUP($A270,'Henwood Reference'!$E$9:$R$296,14),'Curve Paste'!BR270)</f>
        <v>4.5320658871351442</v>
      </c>
      <c r="C270" s="415">
        <f>IF(Assumptions!$L$30=4,VLOOKUP($A270,'Henwood Reference'!$E$9:$R$296,14),'Curve Paste'!BS270)</f>
        <v>4.5320658871351442</v>
      </c>
      <c r="D270" s="415">
        <f>IF(Assumptions!$L$30=4,VLOOKUP($A270,'Henwood Reference'!$E$9:$R$296,14),'Curve Paste'!BT270)</f>
        <v>4.5320658871351442</v>
      </c>
      <c r="E270" s="1722">
        <f t="shared" si="26"/>
        <v>0.14250000000000002</v>
      </c>
      <c r="F270" s="1722">
        <f t="shared" si="20"/>
        <v>0.15</v>
      </c>
      <c r="G270" s="1722">
        <f t="shared" si="21"/>
        <v>0.1575</v>
      </c>
      <c r="H270" s="416">
        <f t="shared" si="23"/>
        <v>-7.0000000000000007E-2</v>
      </c>
      <c r="I270" s="416"/>
      <c r="J270" s="416">
        <f t="shared" si="24"/>
        <v>7.0000000000000007E-2</v>
      </c>
      <c r="K270" s="432">
        <f t="shared" si="18"/>
        <v>0</v>
      </c>
      <c r="L270" s="1618">
        <f>IF(Assumptions!$L$30=4,0,O270+P270)</f>
        <v>0</v>
      </c>
      <c r="M270" s="445">
        <f t="shared" si="25"/>
        <v>4.5871112217967047</v>
      </c>
      <c r="N270" s="449">
        <f>IF(Assumptions!$L$30=4,F270,CHOOSE(Assumptions!$L$30,E270,F270,G270))</f>
        <v>0.15</v>
      </c>
      <c r="O270">
        <v>0.1825</v>
      </c>
      <c r="P270" s="1720">
        <f>Assumptions!$L$32*(1+Assumptions!$C$26)^(YEAR(A270)-2000)</f>
        <v>0.12677033300362212</v>
      </c>
    </row>
    <row r="271" spans="1:16">
      <c r="A271" s="325">
        <f>'Curve Paste'!BQ271</f>
        <v>44713</v>
      </c>
      <c r="B271" s="415">
        <f>IF(Assumptions!$L$30=4,VLOOKUP($A271,'Henwood Reference'!$E$9:$R$296,14),'Curve Paste'!BR271)</f>
        <v>4.5320658871351442</v>
      </c>
      <c r="C271" s="415">
        <f>IF(Assumptions!$L$30=4,VLOOKUP($A271,'Henwood Reference'!$E$9:$R$296,14),'Curve Paste'!BS271)</f>
        <v>4.5320658871351442</v>
      </c>
      <c r="D271" s="415">
        <f>IF(Assumptions!$L$30=4,VLOOKUP($A271,'Henwood Reference'!$E$9:$R$296,14),'Curve Paste'!BT271)</f>
        <v>4.5320658871351442</v>
      </c>
      <c r="E271" s="1722">
        <f t="shared" si="26"/>
        <v>0.14250000000000002</v>
      </c>
      <c r="F271" s="1722">
        <f t="shared" si="20"/>
        <v>0.15</v>
      </c>
      <c r="G271" s="1722">
        <f t="shared" si="21"/>
        <v>0.1575</v>
      </c>
      <c r="H271" s="416">
        <f t="shared" si="23"/>
        <v>-7.0000000000000007E-2</v>
      </c>
      <c r="I271" s="416"/>
      <c r="J271" s="416">
        <f t="shared" si="24"/>
        <v>7.0000000000000007E-2</v>
      </c>
      <c r="K271" s="432">
        <f t="shared" si="18"/>
        <v>0</v>
      </c>
      <c r="L271" s="1618">
        <f>IF(Assumptions!$L$30=4,0,O271+P271)</f>
        <v>0</v>
      </c>
      <c r="M271" s="445">
        <f t="shared" si="25"/>
        <v>4.5871112217967047</v>
      </c>
      <c r="N271" s="449">
        <f>IF(Assumptions!$L$30=4,F271,CHOOSE(Assumptions!$L$30,E271,F271,G271))</f>
        <v>0.15</v>
      </c>
      <c r="O271">
        <v>0.21249999999999999</v>
      </c>
      <c r="P271" s="1720">
        <f>Assumptions!$L$32*(1+Assumptions!$C$26)^(YEAR(A271)-2000)</f>
        <v>0.12677033300362212</v>
      </c>
    </row>
    <row r="272" spans="1:16">
      <c r="A272" s="325">
        <f>'Curve Paste'!BQ272</f>
        <v>44743</v>
      </c>
      <c r="B272" s="415">
        <f>IF(Assumptions!$L$30=4,VLOOKUP($A272,'Henwood Reference'!$E$9:$R$296,14),'Curve Paste'!BR272)</f>
        <v>4.5320658871351442</v>
      </c>
      <c r="C272" s="415">
        <f>IF(Assumptions!$L$30=4,VLOOKUP($A272,'Henwood Reference'!$E$9:$R$296,14),'Curve Paste'!BS272)</f>
        <v>4.5320658871351442</v>
      </c>
      <c r="D272" s="415">
        <f>IF(Assumptions!$L$30=4,VLOOKUP($A272,'Henwood Reference'!$E$9:$R$296,14),'Curve Paste'!BT272)</f>
        <v>4.5320658871351442</v>
      </c>
      <c r="E272" s="1722">
        <f t="shared" si="26"/>
        <v>0.14250000000000002</v>
      </c>
      <c r="F272" s="1722">
        <f t="shared" si="20"/>
        <v>0.15</v>
      </c>
      <c r="G272" s="1722">
        <f t="shared" si="21"/>
        <v>0.1575</v>
      </c>
      <c r="H272" s="416">
        <f t="shared" si="23"/>
        <v>-7.0000000000000007E-2</v>
      </c>
      <c r="I272" s="416"/>
      <c r="J272" s="416">
        <f t="shared" si="24"/>
        <v>7.0000000000000007E-2</v>
      </c>
      <c r="K272" s="432">
        <f t="shared" si="18"/>
        <v>0</v>
      </c>
      <c r="L272" s="1618">
        <f>IF(Assumptions!$L$30=4,0,O272+P272)</f>
        <v>0</v>
      </c>
      <c r="M272" s="445">
        <f t="shared" si="25"/>
        <v>4.5871112217967047</v>
      </c>
      <c r="N272" s="449">
        <f>IF(Assumptions!$L$30=4,F272,CHOOSE(Assumptions!$L$30,E272,F272,G272))</f>
        <v>0.15</v>
      </c>
      <c r="O272">
        <v>0.3125</v>
      </c>
      <c r="P272" s="1720">
        <f>Assumptions!$L$32*(1+Assumptions!$C$26)^(YEAR(A272)-2000)</f>
        <v>0.12677033300362212</v>
      </c>
    </row>
    <row r="273" spans="1:16">
      <c r="A273" s="325">
        <f>'Curve Paste'!BQ273</f>
        <v>44774</v>
      </c>
      <c r="B273" s="415">
        <f>IF(Assumptions!$L$30=4,VLOOKUP($A273,'Henwood Reference'!$E$9:$R$296,14),'Curve Paste'!BR273)</f>
        <v>4.5320658871351442</v>
      </c>
      <c r="C273" s="415">
        <f>IF(Assumptions!$L$30=4,VLOOKUP($A273,'Henwood Reference'!$E$9:$R$296,14),'Curve Paste'!BS273)</f>
        <v>4.5320658871351442</v>
      </c>
      <c r="D273" s="415">
        <f>IF(Assumptions!$L$30=4,VLOOKUP($A273,'Henwood Reference'!$E$9:$R$296,14),'Curve Paste'!BT273)</f>
        <v>4.5320658871351442</v>
      </c>
      <c r="E273" s="1722">
        <f t="shared" si="26"/>
        <v>0.14250000000000002</v>
      </c>
      <c r="F273" s="1722">
        <f t="shared" si="20"/>
        <v>0.15</v>
      </c>
      <c r="G273" s="1722">
        <f t="shared" si="21"/>
        <v>0.1575</v>
      </c>
      <c r="H273" s="416">
        <f t="shared" si="23"/>
        <v>-7.0000000000000007E-2</v>
      </c>
      <c r="I273" s="416"/>
      <c r="J273" s="416">
        <f t="shared" si="24"/>
        <v>7.0000000000000007E-2</v>
      </c>
      <c r="K273" s="432">
        <f t="shared" si="18"/>
        <v>0</v>
      </c>
      <c r="L273" s="1618">
        <f>IF(Assumptions!$L$30=4,0,O273+P273)</f>
        <v>0</v>
      </c>
      <c r="M273" s="445">
        <f t="shared" si="25"/>
        <v>4.5871112217967047</v>
      </c>
      <c r="N273" s="449">
        <f>IF(Assumptions!$L$30=4,F273,CHOOSE(Assumptions!$L$30,E273,F273,G273))</f>
        <v>0.15</v>
      </c>
      <c r="O273">
        <v>0.3125</v>
      </c>
      <c r="P273" s="1720">
        <f>Assumptions!$L$32*(1+Assumptions!$C$26)^(YEAR(A273)-2000)</f>
        <v>0.12677033300362212</v>
      </c>
    </row>
    <row r="274" spans="1:16">
      <c r="A274" s="325">
        <f>'Curve Paste'!BQ274</f>
        <v>44805</v>
      </c>
      <c r="B274" s="415">
        <f>IF(Assumptions!$L$30=4,VLOOKUP($A274,'Henwood Reference'!$E$9:$R$296,14),'Curve Paste'!BR274)</f>
        <v>4.5320658871351442</v>
      </c>
      <c r="C274" s="415">
        <f>IF(Assumptions!$L$30=4,VLOOKUP($A274,'Henwood Reference'!$E$9:$R$296,14),'Curve Paste'!BS274)</f>
        <v>4.5320658871351442</v>
      </c>
      <c r="D274" s="415">
        <f>IF(Assumptions!$L$30=4,VLOOKUP($A274,'Henwood Reference'!$E$9:$R$296,14),'Curve Paste'!BT274)</f>
        <v>4.5320658871351442</v>
      </c>
      <c r="E274" s="1722">
        <f t="shared" si="26"/>
        <v>0.14250000000000002</v>
      </c>
      <c r="F274" s="1722">
        <f t="shared" si="20"/>
        <v>0.15</v>
      </c>
      <c r="G274" s="1722">
        <f t="shared" si="21"/>
        <v>0.1575</v>
      </c>
      <c r="H274" s="416">
        <f t="shared" si="23"/>
        <v>-7.0000000000000007E-2</v>
      </c>
      <c r="I274" s="416"/>
      <c r="J274" s="416">
        <f t="shared" si="24"/>
        <v>7.0000000000000007E-2</v>
      </c>
      <c r="K274" s="432">
        <f t="shared" si="18"/>
        <v>0</v>
      </c>
      <c r="L274" s="1618">
        <f>IF(Assumptions!$L$30=4,0,O274+P274)</f>
        <v>0</v>
      </c>
      <c r="M274" s="445">
        <f t="shared" si="25"/>
        <v>4.5871112217967047</v>
      </c>
      <c r="N274" s="449">
        <f>IF(Assumptions!$L$30=4,F274,CHOOSE(Assumptions!$L$30,E274,F274,G274))</f>
        <v>0.15</v>
      </c>
      <c r="O274">
        <v>0.3125</v>
      </c>
      <c r="P274" s="1720">
        <f>Assumptions!$L$32*(1+Assumptions!$C$26)^(YEAR(A274)-2000)</f>
        <v>0.12677033300362212</v>
      </c>
    </row>
    <row r="275" spans="1:16">
      <c r="A275" s="325">
        <f>'Curve Paste'!BQ275</f>
        <v>44835</v>
      </c>
      <c r="B275" s="415">
        <f>IF(Assumptions!$L$30=4,VLOOKUP($A275,'Henwood Reference'!$E$9:$R$296,14),'Curve Paste'!BR275)</f>
        <v>4.5320658871351442</v>
      </c>
      <c r="C275" s="415">
        <f>IF(Assumptions!$L$30=4,VLOOKUP($A275,'Henwood Reference'!$E$9:$R$296,14),'Curve Paste'!BS275)</f>
        <v>4.5320658871351442</v>
      </c>
      <c r="D275" s="415">
        <f>IF(Assumptions!$L$30=4,VLOOKUP($A275,'Henwood Reference'!$E$9:$R$296,14),'Curve Paste'!BT275)</f>
        <v>4.5320658871351442</v>
      </c>
      <c r="E275" s="1722">
        <f t="shared" si="26"/>
        <v>0.14250000000000002</v>
      </c>
      <c r="F275" s="1722">
        <f t="shared" si="20"/>
        <v>0.15</v>
      </c>
      <c r="G275" s="1722">
        <f t="shared" si="21"/>
        <v>0.1575</v>
      </c>
      <c r="H275" s="416">
        <f t="shared" si="23"/>
        <v>-7.0000000000000007E-2</v>
      </c>
      <c r="I275" s="416"/>
      <c r="J275" s="416">
        <f t="shared" si="24"/>
        <v>7.0000000000000007E-2</v>
      </c>
      <c r="K275" s="432">
        <f t="shared" si="18"/>
        <v>0</v>
      </c>
      <c r="L275" s="1618">
        <f>IF(Assumptions!$L$30=4,0,O275+P275)</f>
        <v>0</v>
      </c>
      <c r="M275" s="445">
        <f t="shared" si="25"/>
        <v>4.5871112217967047</v>
      </c>
      <c r="N275" s="449">
        <f>IF(Assumptions!$L$30=4,F275,CHOOSE(Assumptions!$L$30,E275,F275,G275))</f>
        <v>0.15</v>
      </c>
      <c r="O275">
        <v>0.23250000000000001</v>
      </c>
      <c r="P275" s="1720">
        <f>Assumptions!$L$32*(1+Assumptions!$C$26)^(YEAR(A275)-2000)</f>
        <v>0.12677033300362212</v>
      </c>
    </row>
    <row r="276" spans="1:16">
      <c r="A276" s="325">
        <f>'Curve Paste'!BQ276</f>
        <v>44866</v>
      </c>
      <c r="B276" s="415">
        <f>IF(Assumptions!$L$30=4,VLOOKUP($A276,'Henwood Reference'!$E$9:$R$296,14),'Curve Paste'!BR276)</f>
        <v>4.5320658871351442</v>
      </c>
      <c r="C276" s="415">
        <f>IF(Assumptions!$L$30=4,VLOOKUP($A276,'Henwood Reference'!$E$9:$R$296,14),'Curve Paste'!BS276)</f>
        <v>4.5320658871351442</v>
      </c>
      <c r="D276" s="415">
        <f>IF(Assumptions!$L$30=4,VLOOKUP($A276,'Henwood Reference'!$E$9:$R$296,14),'Curve Paste'!BT276)</f>
        <v>4.5320658871351442</v>
      </c>
      <c r="E276" s="1722">
        <f>E275</f>
        <v>0.14250000000000002</v>
      </c>
      <c r="F276" s="1722">
        <f t="shared" si="20"/>
        <v>0.15</v>
      </c>
      <c r="G276" s="1722">
        <f t="shared" si="21"/>
        <v>0.1575</v>
      </c>
      <c r="H276" s="416">
        <f t="shared" si="23"/>
        <v>-7.0000000000000007E-2</v>
      </c>
      <c r="I276" s="416"/>
      <c r="J276" s="416">
        <f t="shared" si="24"/>
        <v>7.0000000000000007E-2</v>
      </c>
      <c r="K276" s="432">
        <f t="shared" si="18"/>
        <v>0</v>
      </c>
      <c r="L276" s="1618">
        <f>IF(Assumptions!$L$30=4,0,O276+P276)</f>
        <v>0</v>
      </c>
      <c r="M276" s="445">
        <f t="shared" si="25"/>
        <v>4.5871112217967047</v>
      </c>
      <c r="N276" s="449">
        <f>IF(Assumptions!$L$30=4,F276,CHOOSE(Assumptions!$L$30,E276,F276,G276))</f>
        <v>0.15</v>
      </c>
      <c r="O276">
        <v>0.19750000000000001</v>
      </c>
      <c r="P276" s="1720">
        <f>Assumptions!$L$32*(1+Assumptions!$C$26)^(YEAR(A276)-2000)</f>
        <v>0.12677033300362212</v>
      </c>
    </row>
    <row r="277" spans="1:16">
      <c r="A277" s="325">
        <f>'Curve Paste'!BQ277</f>
        <v>44896</v>
      </c>
      <c r="B277" s="415">
        <f>IF(Assumptions!$L$30=4,VLOOKUP($A277,'Henwood Reference'!$E$9:$R$296,14),'Curve Paste'!BR277)</f>
        <v>4.5320658871351442</v>
      </c>
      <c r="C277" s="415">
        <f>IF(Assumptions!$L$30=4,VLOOKUP($A277,'Henwood Reference'!$E$9:$R$296,14),'Curve Paste'!BS277)</f>
        <v>4.5320658871351442</v>
      </c>
      <c r="D277" s="415">
        <f>IF(Assumptions!$L$30=4,VLOOKUP($A277,'Henwood Reference'!$E$9:$R$296,14),'Curve Paste'!BT277)</f>
        <v>4.5320658871351442</v>
      </c>
      <c r="E277" s="1722">
        <f t="shared" ref="E277:E283" si="27">E276</f>
        <v>0.14250000000000002</v>
      </c>
      <c r="F277" s="1722">
        <f t="shared" si="20"/>
        <v>0.15</v>
      </c>
      <c r="G277" s="1722">
        <f t="shared" si="21"/>
        <v>0.1575</v>
      </c>
      <c r="H277" s="416">
        <f t="shared" si="23"/>
        <v>-7.0000000000000007E-2</v>
      </c>
      <c r="I277" s="416"/>
      <c r="J277" s="416">
        <f t="shared" si="24"/>
        <v>7.0000000000000007E-2</v>
      </c>
      <c r="K277" s="432">
        <f t="shared" si="18"/>
        <v>0</v>
      </c>
      <c r="L277" s="1618">
        <f>IF(Assumptions!$L$30=4,0,O277+P277)</f>
        <v>0</v>
      </c>
      <c r="M277" s="445">
        <f t="shared" si="25"/>
        <v>4.5871112217967047</v>
      </c>
      <c r="N277" s="449">
        <f>IF(Assumptions!$L$30=4,F277,CHOOSE(Assumptions!$L$30,E277,F277,G277))</f>
        <v>0.15</v>
      </c>
      <c r="O277">
        <v>0.19750000000000001</v>
      </c>
      <c r="P277" s="1720">
        <f>Assumptions!$L$32*(1+Assumptions!$C$26)^(YEAR(A277)-2000)</f>
        <v>0.12677033300362212</v>
      </c>
    </row>
    <row r="278" spans="1:16">
      <c r="A278" s="325">
        <f>'Curve Paste'!BQ278</f>
        <v>44927</v>
      </c>
      <c r="B278" s="415">
        <f>IF(Assumptions!$L$30=4,VLOOKUP($A278,'Henwood Reference'!$E$9:$R$296,14),'Curve Paste'!BR278)</f>
        <v>4.5320658871351442</v>
      </c>
      <c r="C278" s="415">
        <f>IF(Assumptions!$L$30=4,VLOOKUP($A278,'Henwood Reference'!$E$9:$R$296,14),'Curve Paste'!BS278)</f>
        <v>4.5320658871351442</v>
      </c>
      <c r="D278" s="415">
        <f>IF(Assumptions!$L$30=4,VLOOKUP($A278,'Henwood Reference'!$E$9:$R$296,14),'Curve Paste'!BT278)</f>
        <v>4.5320658871351442</v>
      </c>
      <c r="E278" s="1722">
        <f t="shared" si="27"/>
        <v>0.14250000000000002</v>
      </c>
      <c r="F278" s="1722">
        <f t="shared" si="20"/>
        <v>0.15</v>
      </c>
      <c r="G278" s="1722">
        <f t="shared" si="21"/>
        <v>0.1575</v>
      </c>
      <c r="H278" s="416">
        <f t="shared" si="23"/>
        <v>-7.0000000000000007E-2</v>
      </c>
      <c r="I278" s="416"/>
      <c r="J278" s="416">
        <f t="shared" si="24"/>
        <v>7.0000000000000007E-2</v>
      </c>
      <c r="K278" s="432">
        <f t="shared" si="18"/>
        <v>0</v>
      </c>
      <c r="L278" s="1618">
        <f>IF(Assumptions!$L$30=4,0,O278+P278)</f>
        <v>0</v>
      </c>
      <c r="M278" s="445">
        <f t="shared" si="25"/>
        <v>4.5871112217967047</v>
      </c>
      <c r="N278" s="449">
        <f>IF(Assumptions!$L$30=4,F278,CHOOSE(Assumptions!$L$30,E278,F278,G278))</f>
        <v>0.15</v>
      </c>
      <c r="O278">
        <v>0.16625000000000001</v>
      </c>
      <c r="P278" s="1720">
        <f>Assumptions!$L$32*(1+Assumptions!$C$26)^(YEAR(A278)-2000)</f>
        <v>0.12930573966369455</v>
      </c>
    </row>
    <row r="279" spans="1:16">
      <c r="A279" s="325">
        <f>'Curve Paste'!BQ279</f>
        <v>44958</v>
      </c>
      <c r="B279" s="415">
        <f>IF(Assumptions!$L$30=4,VLOOKUP($A279,'Henwood Reference'!$E$9:$R$296,14),'Curve Paste'!BR279)</f>
        <v>4.5320658871351442</v>
      </c>
      <c r="C279" s="415">
        <f>IF(Assumptions!$L$30=4,VLOOKUP($A279,'Henwood Reference'!$E$9:$R$296,14),'Curve Paste'!BS279)</f>
        <v>4.5320658871351442</v>
      </c>
      <c r="D279" s="415">
        <f>IF(Assumptions!$L$30=4,VLOOKUP($A279,'Henwood Reference'!$E$9:$R$296,14),'Curve Paste'!BT279)</f>
        <v>4.5320658871351442</v>
      </c>
      <c r="E279" s="1722">
        <f t="shared" si="27"/>
        <v>0.14250000000000002</v>
      </c>
      <c r="F279" s="1722">
        <f t="shared" si="20"/>
        <v>0.15</v>
      </c>
      <c r="G279" s="1722">
        <f t="shared" si="21"/>
        <v>0.1575</v>
      </c>
      <c r="H279" s="416">
        <f t="shared" si="23"/>
        <v>-7.0000000000000007E-2</v>
      </c>
      <c r="I279" s="416"/>
      <c r="J279" s="416">
        <f t="shared" si="24"/>
        <v>7.0000000000000007E-2</v>
      </c>
      <c r="K279" s="432">
        <f t="shared" si="18"/>
        <v>0</v>
      </c>
      <c r="L279" s="1618">
        <f>IF(Assumptions!$L$30=4,0,O279+P279)</f>
        <v>0</v>
      </c>
      <c r="M279" s="445">
        <f t="shared" si="25"/>
        <v>4.5871112217967047</v>
      </c>
      <c r="N279" s="449">
        <f>IF(Assumptions!$L$30=4,F279,CHOOSE(Assumptions!$L$30,E279,F279,G279))</f>
        <v>0.15</v>
      </c>
      <c r="O279">
        <v>0.16625000000000001</v>
      </c>
      <c r="P279" s="1720">
        <f>Assumptions!$L$32*(1+Assumptions!$C$26)^(YEAR(A279)-2000)</f>
        <v>0.12930573966369455</v>
      </c>
    </row>
    <row r="280" spans="1:16">
      <c r="A280" s="325">
        <f>'Curve Paste'!BQ280</f>
        <v>44986</v>
      </c>
      <c r="B280" s="415">
        <f>IF(Assumptions!$L$30=4,VLOOKUP($A280,'Henwood Reference'!$E$9:$R$296,14),'Curve Paste'!BR280)</f>
        <v>4.5320658871351442</v>
      </c>
      <c r="C280" s="415">
        <f>IF(Assumptions!$L$30=4,VLOOKUP($A280,'Henwood Reference'!$E$9:$R$296,14),'Curve Paste'!BS280)</f>
        <v>4.5320658871351442</v>
      </c>
      <c r="D280" s="415">
        <f>IF(Assumptions!$L$30=4,VLOOKUP($A280,'Henwood Reference'!$E$9:$R$296,14),'Curve Paste'!BT280)</f>
        <v>4.5320658871351442</v>
      </c>
      <c r="E280" s="1722">
        <f t="shared" si="27"/>
        <v>0.14250000000000002</v>
      </c>
      <c r="F280" s="1722">
        <f t="shared" si="20"/>
        <v>0.15</v>
      </c>
      <c r="G280" s="1722">
        <f t="shared" si="21"/>
        <v>0.1575</v>
      </c>
      <c r="H280" s="416">
        <f t="shared" si="23"/>
        <v>-7.0000000000000007E-2</v>
      </c>
      <c r="I280" s="416"/>
      <c r="J280" s="416">
        <f t="shared" si="24"/>
        <v>7.0000000000000007E-2</v>
      </c>
      <c r="K280" s="432">
        <f t="shared" si="18"/>
        <v>0</v>
      </c>
      <c r="L280" s="1618">
        <f>IF(Assumptions!$L$30=4,0,O280+P280)</f>
        <v>0</v>
      </c>
      <c r="M280" s="445">
        <f t="shared" si="25"/>
        <v>4.5871112217967047</v>
      </c>
      <c r="N280" s="449">
        <f>IF(Assumptions!$L$30=4,F280,CHOOSE(Assumptions!$L$30,E280,F280,G280))</f>
        <v>0.15</v>
      </c>
      <c r="O280">
        <v>0.18375</v>
      </c>
      <c r="P280" s="1720">
        <f>Assumptions!$L$32*(1+Assumptions!$C$26)^(YEAR(A280)-2000)</f>
        <v>0.12930573966369455</v>
      </c>
    </row>
    <row r="281" spans="1:16">
      <c r="A281" s="325">
        <f>'Curve Paste'!BQ281</f>
        <v>45017</v>
      </c>
      <c r="B281" s="415">
        <f>IF(Assumptions!$L$30=4,VLOOKUP($A281,'Henwood Reference'!$E$9:$R$296,14),'Curve Paste'!BR281)</f>
        <v>4.5320658871351442</v>
      </c>
      <c r="C281" s="415">
        <f>IF(Assumptions!$L$30=4,VLOOKUP($A281,'Henwood Reference'!$E$9:$R$296,14),'Curve Paste'!BS281)</f>
        <v>4.5320658871351442</v>
      </c>
      <c r="D281" s="415">
        <f>IF(Assumptions!$L$30=4,VLOOKUP($A281,'Henwood Reference'!$E$9:$R$296,14),'Curve Paste'!BT281)</f>
        <v>4.5320658871351442</v>
      </c>
      <c r="E281" s="1722">
        <f t="shared" si="27"/>
        <v>0.14250000000000002</v>
      </c>
      <c r="F281" s="1722">
        <f t="shared" si="20"/>
        <v>0.15</v>
      </c>
      <c r="G281" s="1722">
        <f t="shared" si="21"/>
        <v>0.1575</v>
      </c>
      <c r="H281" s="416">
        <f t="shared" si="23"/>
        <v>-7.0000000000000007E-2</v>
      </c>
      <c r="I281" s="416"/>
      <c r="J281" s="416">
        <f t="shared" si="24"/>
        <v>7.0000000000000007E-2</v>
      </c>
      <c r="K281" s="432">
        <f t="shared" si="18"/>
        <v>0</v>
      </c>
      <c r="L281" s="1618">
        <f>IF(Assumptions!$L$30=4,0,O281+P281)</f>
        <v>0</v>
      </c>
      <c r="M281" s="445">
        <f t="shared" si="25"/>
        <v>4.5871112217967047</v>
      </c>
      <c r="N281" s="449">
        <f>IF(Assumptions!$L$30=4,F281,CHOOSE(Assumptions!$L$30,E281,F281,G281))</f>
        <v>0.15</v>
      </c>
      <c r="O281">
        <v>0.16875000000000001</v>
      </c>
      <c r="P281" s="1720">
        <f>Assumptions!$L$32*(1+Assumptions!$C$26)^(YEAR(A281)-2000)</f>
        <v>0.12930573966369455</v>
      </c>
    </row>
    <row r="282" spans="1:16">
      <c r="A282" s="325">
        <f>'Curve Paste'!BQ282</f>
        <v>45047</v>
      </c>
      <c r="B282" s="415">
        <f>IF(Assumptions!$L$30=4,VLOOKUP($A282,'Henwood Reference'!$E$9:$R$296,14),'Curve Paste'!BR282)</f>
        <v>4.5320658871351442</v>
      </c>
      <c r="C282" s="415">
        <f>IF(Assumptions!$L$30=4,VLOOKUP($A282,'Henwood Reference'!$E$9:$R$296,14),'Curve Paste'!BS282)</f>
        <v>4.5320658871351442</v>
      </c>
      <c r="D282" s="415">
        <f>IF(Assumptions!$L$30=4,VLOOKUP($A282,'Henwood Reference'!$E$9:$R$296,14),'Curve Paste'!BT282)</f>
        <v>4.5320658871351442</v>
      </c>
      <c r="E282" s="1722">
        <f t="shared" si="27"/>
        <v>0.14250000000000002</v>
      </c>
      <c r="F282" s="1722">
        <f t="shared" si="20"/>
        <v>0.15</v>
      </c>
      <c r="G282" s="1722">
        <f t="shared" si="21"/>
        <v>0.1575</v>
      </c>
      <c r="H282" s="416">
        <f t="shared" si="23"/>
        <v>-7.0000000000000007E-2</v>
      </c>
      <c r="I282" s="416"/>
      <c r="J282" s="416">
        <f t="shared" si="24"/>
        <v>7.0000000000000007E-2</v>
      </c>
      <c r="K282" s="432">
        <f t="shared" si="18"/>
        <v>0</v>
      </c>
      <c r="L282" s="1618">
        <f>IF(Assumptions!$L$30=4,0,O282+P282)</f>
        <v>0</v>
      </c>
      <c r="M282" s="445">
        <f t="shared" si="25"/>
        <v>4.5871112217967047</v>
      </c>
      <c r="N282" s="449">
        <f>IF(Assumptions!$L$30=4,F282,CHOOSE(Assumptions!$L$30,E282,F282,G282))</f>
        <v>0.15</v>
      </c>
      <c r="O282">
        <v>0.18375</v>
      </c>
      <c r="P282" s="1720">
        <f>Assumptions!$L$32*(1+Assumptions!$C$26)^(YEAR(A282)-2000)</f>
        <v>0.12930573966369455</v>
      </c>
    </row>
    <row r="283" spans="1:16">
      <c r="A283" s="325">
        <f>'Curve Paste'!BQ283</f>
        <v>45078</v>
      </c>
      <c r="B283" s="415">
        <f>IF(Assumptions!$L$30=4,VLOOKUP($A283,'Henwood Reference'!$E$9:$R$296,14),'Curve Paste'!BR283)</f>
        <v>4.5320658871351442</v>
      </c>
      <c r="C283" s="415">
        <f>IF(Assumptions!$L$30=4,VLOOKUP($A283,'Henwood Reference'!$E$9:$R$296,14),'Curve Paste'!BS283)</f>
        <v>4.5320658871351442</v>
      </c>
      <c r="D283" s="415">
        <f>IF(Assumptions!$L$30=4,VLOOKUP($A283,'Henwood Reference'!$E$9:$R$296,14),'Curve Paste'!BT283)</f>
        <v>4.5320658871351442</v>
      </c>
      <c r="E283" s="1722">
        <f t="shared" si="27"/>
        <v>0.14250000000000002</v>
      </c>
      <c r="F283" s="1722">
        <f t="shared" si="20"/>
        <v>0.15</v>
      </c>
      <c r="G283" s="1722">
        <f t="shared" si="21"/>
        <v>0.1575</v>
      </c>
      <c r="H283" s="416">
        <f t="shared" si="23"/>
        <v>-7.0000000000000007E-2</v>
      </c>
      <c r="I283" s="416"/>
      <c r="J283" s="416">
        <f t="shared" si="24"/>
        <v>7.0000000000000007E-2</v>
      </c>
      <c r="K283" s="432">
        <f t="shared" si="18"/>
        <v>0</v>
      </c>
      <c r="L283" s="1618">
        <f>IF(Assumptions!$L$30=4,0,O283+P283)</f>
        <v>0</v>
      </c>
      <c r="M283" s="445">
        <f t="shared" si="25"/>
        <v>4.5871112217967047</v>
      </c>
      <c r="N283" s="449">
        <f>IF(Assumptions!$L$30=4,F283,CHOOSE(Assumptions!$L$30,E283,F283,G283))</f>
        <v>0.15</v>
      </c>
      <c r="O283">
        <v>0.18375</v>
      </c>
      <c r="P283" s="1720">
        <f>Assumptions!$L$32*(1+Assumptions!$C$26)^(YEAR(A283)-2000)</f>
        <v>0.12930573966369455</v>
      </c>
    </row>
    <row r="284" spans="1:16">
      <c r="A284" s="325">
        <f>'Curve Paste'!BQ284</f>
        <v>45108</v>
      </c>
      <c r="B284" s="415">
        <f>IF(Assumptions!$L$30=4,VLOOKUP($A284,'Henwood Reference'!$E$9:$R$296,14),'Curve Paste'!BR284)</f>
        <v>4.5320658871351442</v>
      </c>
      <c r="C284" s="415">
        <f>IF(Assumptions!$L$30=4,VLOOKUP($A284,'Henwood Reference'!$E$9:$R$296,14),'Curve Paste'!BS284)</f>
        <v>4.5320658871351442</v>
      </c>
      <c r="D284" s="415">
        <f>IF(Assumptions!$L$30=4,VLOOKUP($A284,'Henwood Reference'!$E$9:$R$296,14),'Curve Paste'!BT284)</f>
        <v>4.5320658871351442</v>
      </c>
      <c r="E284" s="1722">
        <f t="shared" ref="E284:E289" si="28">E283</f>
        <v>0.14250000000000002</v>
      </c>
      <c r="F284" s="1722">
        <f t="shared" ref="F284:F289" si="29">F283</f>
        <v>0.15</v>
      </c>
      <c r="G284" s="1722">
        <f t="shared" ref="G284:G289" si="30">G283</f>
        <v>0.1575</v>
      </c>
      <c r="H284" s="416">
        <f t="shared" ref="H284:H289" si="31">I284-$H$4</f>
        <v>-7.0000000000000007E-2</v>
      </c>
      <c r="J284" s="416">
        <f t="shared" si="24"/>
        <v>7.0000000000000007E-2</v>
      </c>
      <c r="K284" s="432">
        <f t="shared" si="18"/>
        <v>0</v>
      </c>
      <c r="L284" s="1618">
        <f>IF(Assumptions!$L$30=4,0,O284+P284)</f>
        <v>0</v>
      </c>
      <c r="M284" s="445">
        <f t="shared" ref="M284:M289" si="32">(IF(GasPriceCurve,IF(OBuySell=OCallPut,D284,B284),C284)+K284/1000+L284)/(1-GasTransportPercent)</f>
        <v>4.5871112217967047</v>
      </c>
      <c r="N284" s="449">
        <f>IF(Assumptions!$L$30=4,F284,CHOOSE(Assumptions!$L$30,E284,F284,G284))</f>
        <v>0.15</v>
      </c>
      <c r="O284">
        <v>0.18375</v>
      </c>
      <c r="P284" s="1720">
        <f>Assumptions!$L$32*(1+Assumptions!$C$26)^(YEAR(A284)-2000)</f>
        <v>0.12930573966369455</v>
      </c>
    </row>
    <row r="285" spans="1:16">
      <c r="A285" s="325">
        <f>'Curve Paste'!BQ285</f>
        <v>45139</v>
      </c>
      <c r="B285" s="415">
        <f>IF(Assumptions!$L$30=4,VLOOKUP($A285,'Henwood Reference'!$E$9:$R$296,14),'Curve Paste'!BR285)</f>
        <v>4.5320658871351442</v>
      </c>
      <c r="C285" s="415">
        <f>IF(Assumptions!$L$30=4,VLOOKUP($A285,'Henwood Reference'!$E$9:$R$296,14),'Curve Paste'!BS285)</f>
        <v>4.5320658871351442</v>
      </c>
      <c r="D285" s="415">
        <f>IF(Assumptions!$L$30=4,VLOOKUP($A285,'Henwood Reference'!$E$9:$R$296,14),'Curve Paste'!BT285)</f>
        <v>4.5320658871351442</v>
      </c>
      <c r="E285" s="1722">
        <f t="shared" si="28"/>
        <v>0.14250000000000002</v>
      </c>
      <c r="F285" s="1722">
        <f t="shared" si="29"/>
        <v>0.15</v>
      </c>
      <c r="G285" s="1722">
        <f t="shared" si="30"/>
        <v>0.1575</v>
      </c>
      <c r="H285" s="416">
        <f t="shared" si="31"/>
        <v>-7.0000000000000007E-2</v>
      </c>
      <c r="J285" s="416">
        <f t="shared" si="24"/>
        <v>7.0000000000000007E-2</v>
      </c>
      <c r="K285" s="432">
        <f t="shared" si="18"/>
        <v>0</v>
      </c>
      <c r="L285" s="1618">
        <f>IF(Assumptions!$L$30=4,0,O285+P285)</f>
        <v>0</v>
      </c>
      <c r="M285" s="445">
        <f t="shared" si="32"/>
        <v>4.5871112217967047</v>
      </c>
      <c r="N285" s="449">
        <f>IF(Assumptions!$L$30=4,F285,CHOOSE(Assumptions!$L$30,E285,F285,G285))</f>
        <v>0.15</v>
      </c>
      <c r="O285">
        <v>0.18375</v>
      </c>
      <c r="P285" s="1720">
        <f>Assumptions!$L$32*(1+Assumptions!$C$26)^(YEAR(A285)-2000)</f>
        <v>0.12930573966369455</v>
      </c>
    </row>
    <row r="286" spans="1:16">
      <c r="A286" s="325">
        <f>'Curve Paste'!BQ286</f>
        <v>45170</v>
      </c>
      <c r="B286" s="415">
        <f>IF(Assumptions!$L$30=4,VLOOKUP($A286,'Henwood Reference'!$E$9:$R$296,14),'Curve Paste'!BR286)</f>
        <v>4.5320658871351442</v>
      </c>
      <c r="C286" s="415">
        <f>IF(Assumptions!$L$30=4,VLOOKUP($A286,'Henwood Reference'!$E$9:$R$296,14),'Curve Paste'!BS286)</f>
        <v>4.5320658871351442</v>
      </c>
      <c r="D286" s="415">
        <f>IF(Assumptions!$L$30=4,VLOOKUP($A286,'Henwood Reference'!$E$9:$R$296,14),'Curve Paste'!BT286)</f>
        <v>4.5320658871351442</v>
      </c>
      <c r="E286" s="1722">
        <f t="shared" si="28"/>
        <v>0.14250000000000002</v>
      </c>
      <c r="F286" s="1722">
        <f t="shared" si="29"/>
        <v>0.15</v>
      </c>
      <c r="G286" s="1722">
        <f t="shared" si="30"/>
        <v>0.1575</v>
      </c>
      <c r="H286" s="416">
        <f t="shared" si="31"/>
        <v>-7.0000000000000007E-2</v>
      </c>
      <c r="J286" s="416">
        <f t="shared" si="24"/>
        <v>7.0000000000000007E-2</v>
      </c>
      <c r="K286" s="432">
        <f t="shared" si="18"/>
        <v>0</v>
      </c>
      <c r="L286" s="1618">
        <f>IF(Assumptions!$L$30=4,0,O286+P286)</f>
        <v>0</v>
      </c>
      <c r="M286" s="445">
        <f t="shared" si="32"/>
        <v>4.5871112217967047</v>
      </c>
      <c r="N286" s="449">
        <f>IF(Assumptions!$L$30=4,F286,CHOOSE(Assumptions!$L$30,E286,F286,G286))</f>
        <v>0.15</v>
      </c>
      <c r="O286">
        <v>0.18375</v>
      </c>
      <c r="P286" s="1720">
        <f>Assumptions!$L$32*(1+Assumptions!$C$26)^(YEAR(A286)-2000)</f>
        <v>0.12930573966369455</v>
      </c>
    </row>
    <row r="287" spans="1:16">
      <c r="A287" s="325">
        <f>'Curve Paste'!BQ287</f>
        <v>45200</v>
      </c>
      <c r="B287" s="415">
        <f>IF(Assumptions!$L$30=4,VLOOKUP($A287,'Henwood Reference'!$E$9:$R$296,14),'Curve Paste'!BR287)</f>
        <v>4.5320658871351442</v>
      </c>
      <c r="C287" s="415">
        <f>IF(Assumptions!$L$30=4,VLOOKUP($A287,'Henwood Reference'!$E$9:$R$296,14),'Curve Paste'!BS287)</f>
        <v>4.5320658871351442</v>
      </c>
      <c r="D287" s="415">
        <f>IF(Assumptions!$L$30=4,VLOOKUP($A287,'Henwood Reference'!$E$9:$R$296,14),'Curve Paste'!BT287)</f>
        <v>4.5320658871351442</v>
      </c>
      <c r="E287" s="1722">
        <f t="shared" si="28"/>
        <v>0.14250000000000002</v>
      </c>
      <c r="F287" s="1722">
        <f t="shared" si="29"/>
        <v>0.15</v>
      </c>
      <c r="G287" s="1722">
        <f t="shared" si="30"/>
        <v>0.1575</v>
      </c>
      <c r="H287" s="416">
        <f t="shared" si="31"/>
        <v>-7.0000000000000007E-2</v>
      </c>
      <c r="J287" s="416">
        <f t="shared" si="24"/>
        <v>7.0000000000000007E-2</v>
      </c>
      <c r="K287" s="432">
        <f t="shared" si="18"/>
        <v>0</v>
      </c>
      <c r="L287" s="1618">
        <f>IF(Assumptions!$L$30=4,0,O287+P287)</f>
        <v>0</v>
      </c>
      <c r="M287" s="445">
        <f t="shared" si="32"/>
        <v>4.5871112217967047</v>
      </c>
      <c r="N287" s="449">
        <f>IF(Assumptions!$L$30=4,F287,CHOOSE(Assumptions!$L$30,E287,F287,G287))</f>
        <v>0.15</v>
      </c>
      <c r="O287">
        <v>0.18375</v>
      </c>
      <c r="P287" s="1720">
        <f>Assumptions!$L$32*(1+Assumptions!$C$26)^(YEAR(A287)-2000)</f>
        <v>0.12930573966369455</v>
      </c>
    </row>
    <row r="288" spans="1:16">
      <c r="A288" s="325">
        <f>'Curve Paste'!BQ288</f>
        <v>45231</v>
      </c>
      <c r="B288" s="415">
        <f>IF(Assumptions!$L$30=4,VLOOKUP($A288,'Henwood Reference'!$E$9:$R$296,14),'Curve Paste'!BR288)</f>
        <v>4.5320658871351442</v>
      </c>
      <c r="C288" s="415">
        <f>IF(Assumptions!$L$30=4,VLOOKUP($A288,'Henwood Reference'!$E$9:$R$296,14),'Curve Paste'!BS288)</f>
        <v>4.5320658871351442</v>
      </c>
      <c r="D288" s="415">
        <f>IF(Assumptions!$L$30=4,VLOOKUP($A288,'Henwood Reference'!$E$9:$R$296,14),'Curve Paste'!BT288)</f>
        <v>4.5320658871351442</v>
      </c>
      <c r="E288" s="1722">
        <f t="shared" si="28"/>
        <v>0.14250000000000002</v>
      </c>
      <c r="F288" s="1722">
        <f t="shared" si="29"/>
        <v>0.15</v>
      </c>
      <c r="G288" s="1722">
        <f t="shared" si="30"/>
        <v>0.1575</v>
      </c>
      <c r="H288" s="416">
        <f t="shared" si="31"/>
        <v>-7.0000000000000007E-2</v>
      </c>
      <c r="J288" s="416">
        <f t="shared" si="24"/>
        <v>7.0000000000000007E-2</v>
      </c>
      <c r="K288" s="432">
        <f t="shared" si="18"/>
        <v>0</v>
      </c>
      <c r="L288" s="1618">
        <f>IF(Assumptions!$L$30=4,0,O288+P288)</f>
        <v>0</v>
      </c>
      <c r="M288" s="445">
        <f t="shared" si="32"/>
        <v>4.5871112217967047</v>
      </c>
      <c r="N288" s="449">
        <f>IF(Assumptions!$L$30=4,F288,CHOOSE(Assumptions!$L$30,E288,F288,G288))</f>
        <v>0.15</v>
      </c>
      <c r="O288">
        <v>0.18375</v>
      </c>
      <c r="P288" s="1720">
        <f>Assumptions!$L$32*(1+Assumptions!$C$26)^(YEAR(A288)-2000)</f>
        <v>0.12930573966369455</v>
      </c>
    </row>
    <row r="289" spans="1:16">
      <c r="A289" s="325">
        <f>'Curve Paste'!BQ289</f>
        <v>45261</v>
      </c>
      <c r="B289" s="415">
        <f>IF(Assumptions!$L$30=4,VLOOKUP($A289,'Henwood Reference'!$E$9:$R$296,14),'Curve Paste'!BR289)</f>
        <v>4.5320658871351442</v>
      </c>
      <c r="C289" s="415">
        <f>IF(Assumptions!$L$30=4,VLOOKUP($A289,'Henwood Reference'!$E$9:$R$296,14),'Curve Paste'!BS289)</f>
        <v>4.5320658871351442</v>
      </c>
      <c r="D289" s="415">
        <f>IF(Assumptions!$L$30=4,VLOOKUP($A289,'Henwood Reference'!$E$9:$R$296,14),'Curve Paste'!BT289)</f>
        <v>4.5320658871351442</v>
      </c>
      <c r="E289" s="1722">
        <f t="shared" si="28"/>
        <v>0.14250000000000002</v>
      </c>
      <c r="F289" s="1722">
        <f t="shared" si="29"/>
        <v>0.15</v>
      </c>
      <c r="G289" s="1722">
        <f t="shared" si="30"/>
        <v>0.1575</v>
      </c>
      <c r="H289" s="416">
        <f t="shared" si="31"/>
        <v>-7.0000000000000007E-2</v>
      </c>
      <c r="J289" s="416">
        <f t="shared" si="24"/>
        <v>7.0000000000000007E-2</v>
      </c>
      <c r="K289" s="432">
        <f t="shared" si="18"/>
        <v>0</v>
      </c>
      <c r="L289" s="1618">
        <f>IF(Assumptions!$L$30=4,0,O289+P289)</f>
        <v>0</v>
      </c>
      <c r="M289" s="445">
        <f t="shared" si="32"/>
        <v>4.5871112217967047</v>
      </c>
      <c r="N289" s="449">
        <f>IF(Assumptions!$L$30=4,F289,CHOOSE(Assumptions!$L$30,E289,F289,G289))</f>
        <v>0.15</v>
      </c>
      <c r="O289">
        <v>0.18375</v>
      </c>
      <c r="P289" s="1720">
        <f>Assumptions!$L$32*(1+Assumptions!$C$26)^(YEAR(A289)-2000)</f>
        <v>0.12930573966369455</v>
      </c>
    </row>
  </sheetData>
  <pageMargins left="0.75" right="0.75" top="1" bottom="1" header="0.5" footer="0.5"/>
  <headerFooter alignWithMargins="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CY509"/>
  <sheetViews>
    <sheetView showGridLines="0" zoomScale="75" workbookViewId="0"/>
  </sheetViews>
  <sheetFormatPr defaultRowHeight="12.75"/>
  <cols>
    <col min="1" max="1" width="11.7109375" style="15" customWidth="1"/>
    <col min="2" max="2" width="9.42578125" style="15" customWidth="1"/>
    <col min="3" max="3" width="6.7109375" style="12" customWidth="1"/>
    <col min="4" max="4" width="9.140625" style="12"/>
    <col min="5" max="5" width="9.7109375" style="9" customWidth="1"/>
    <col min="6" max="7" width="8.7109375" style="9" customWidth="1"/>
    <col min="8" max="8" width="2.140625" style="9" customWidth="1"/>
    <col min="9" max="11" width="9.140625" style="9"/>
    <col min="12" max="12" width="2.7109375" style="9" customWidth="1"/>
    <col min="13" max="16" width="9.140625" style="9"/>
    <col min="17" max="17" width="5.140625" style="9" customWidth="1"/>
    <col min="18" max="20" width="9.140625" style="9"/>
    <col min="21" max="21" width="4.42578125" style="9" customWidth="1"/>
    <col min="22" max="24" width="9.140625" style="9"/>
    <col min="25" max="25" width="2.7109375" style="9" customWidth="1"/>
    <col min="26" max="28" width="6.5703125" style="1803" customWidth="1"/>
    <col min="29" max="29" width="3.28515625" style="1803" customWidth="1"/>
    <col min="30" max="32" width="7" style="1803" customWidth="1"/>
    <col min="33" max="33" width="4.28515625" style="1803" customWidth="1"/>
    <col min="34" max="36" width="7" style="1803" customWidth="1"/>
    <col min="37" max="37" width="2.42578125" style="1803" customWidth="1"/>
    <col min="38" max="40" width="6.28515625" style="1803" customWidth="1"/>
    <col min="41" max="41" width="2.140625" style="1803" customWidth="1"/>
    <col min="42" max="42" width="6.28515625" style="1803" customWidth="1"/>
    <col min="43" max="43" width="7.5703125" style="1803" customWidth="1"/>
    <col min="44" max="44" width="2.7109375" style="9" customWidth="1"/>
    <col min="45" max="45" width="12" style="9" customWidth="1"/>
    <col min="46" max="57" width="9" style="9" bestFit="1" customWidth="1"/>
    <col min="58" max="58" width="5.85546875" style="9" bestFit="1" customWidth="1"/>
    <col min="59" max="59" width="2.7109375" style="9" customWidth="1"/>
    <col min="60" max="60" width="9.42578125" style="9" bestFit="1" customWidth="1"/>
    <col min="61" max="61" width="7.85546875" style="9" bestFit="1" customWidth="1"/>
    <col min="62" max="68" width="2.7109375" style="9" customWidth="1"/>
    <col min="69" max="78" width="10.28515625" customWidth="1"/>
    <col min="79" max="79" width="10.85546875" customWidth="1"/>
    <col min="80" max="80" width="7.85546875" customWidth="1"/>
    <col min="81" max="82" width="11.7109375" customWidth="1"/>
    <col min="83" max="98" width="11" customWidth="1"/>
    <col min="99" max="103" width="10.28515625" customWidth="1"/>
  </cols>
  <sheetData>
    <row r="1" spans="1:103" ht="24" thickBot="1">
      <c r="A1" s="16" t="s">
        <v>285</v>
      </c>
      <c r="C1" s="15"/>
      <c r="D1" s="16" t="s">
        <v>286</v>
      </c>
      <c r="E1" s="8"/>
      <c r="F1" s="8"/>
      <c r="G1" s="8"/>
      <c r="H1" s="8"/>
      <c r="I1" s="8"/>
      <c r="J1" s="8"/>
      <c r="K1" s="8"/>
      <c r="L1" s="8"/>
      <c r="M1" s="10"/>
      <c r="N1" s="10"/>
      <c r="O1" s="10"/>
      <c r="P1" s="10"/>
      <c r="Q1" s="10"/>
      <c r="R1" s="10"/>
      <c r="S1" s="10"/>
      <c r="T1" s="10"/>
      <c r="U1" s="10"/>
      <c r="V1" s="10"/>
      <c r="W1" s="10"/>
      <c r="X1" s="10"/>
      <c r="Y1" s="8"/>
      <c r="Z1" s="1798"/>
      <c r="AA1" s="1798"/>
      <c r="AB1" s="1798"/>
      <c r="AC1" s="1798"/>
      <c r="AD1" s="1798"/>
      <c r="AE1" s="1798"/>
      <c r="AF1" s="1798"/>
      <c r="AG1" s="1798"/>
      <c r="AH1" s="1798"/>
      <c r="AI1" s="1798"/>
      <c r="AJ1" s="1798"/>
      <c r="AK1" s="1798"/>
      <c r="AL1" s="1798"/>
      <c r="AM1" s="1798"/>
      <c r="AN1" s="1798"/>
      <c r="AO1" s="1798"/>
      <c r="AP1" s="1798"/>
      <c r="AQ1" s="1798"/>
      <c r="AR1" s="8"/>
      <c r="AS1" s="8"/>
      <c r="AT1" s="8"/>
      <c r="AU1" s="8"/>
      <c r="AV1" s="8"/>
      <c r="AW1" s="8"/>
      <c r="AX1" s="8"/>
      <c r="AY1" s="8"/>
      <c r="AZ1" s="8"/>
      <c r="BA1" s="8"/>
      <c r="BB1" s="8"/>
      <c r="BC1" s="8"/>
      <c r="BD1" s="8"/>
      <c r="BE1" s="8"/>
      <c r="BF1" s="8"/>
      <c r="BG1" s="8"/>
      <c r="BH1" s="8"/>
      <c r="BI1" s="8"/>
      <c r="BJ1" s="8"/>
      <c r="BK1" s="8"/>
      <c r="BL1" s="8"/>
      <c r="BM1" s="8"/>
      <c r="BN1" s="8"/>
      <c r="BO1" s="8"/>
      <c r="BP1" s="8"/>
      <c r="BQ1" s="16" t="s">
        <v>1075</v>
      </c>
    </row>
    <row r="2" spans="1:103" ht="27" customHeight="1" thickBot="1">
      <c r="C2" s="272"/>
      <c r="D2" s="13"/>
      <c r="E2" s="10"/>
      <c r="F2" s="10"/>
      <c r="G2" s="10"/>
      <c r="H2" s="10"/>
      <c r="I2" s="10"/>
      <c r="J2" s="10"/>
      <c r="K2" s="10"/>
      <c r="L2" s="10"/>
      <c r="M2" s="10"/>
      <c r="N2" s="10"/>
      <c r="O2" s="10"/>
      <c r="P2" s="10"/>
      <c r="Q2" s="10"/>
      <c r="R2" s="10"/>
      <c r="S2" s="10"/>
      <c r="T2" s="10"/>
      <c r="U2" s="10"/>
      <c r="V2" s="10"/>
      <c r="W2" s="10"/>
      <c r="X2" s="10"/>
      <c r="Y2" s="10"/>
      <c r="Z2" s="1798"/>
      <c r="AA2" s="1798"/>
      <c r="AB2" s="1798"/>
      <c r="AC2" s="1798"/>
      <c r="AD2" s="1798"/>
      <c r="AE2" s="1798"/>
      <c r="AF2" s="1798"/>
      <c r="AG2" s="1798"/>
      <c r="AH2" s="1798"/>
      <c r="AI2" s="1798"/>
      <c r="AJ2" s="1798"/>
      <c r="AK2" s="1798"/>
      <c r="AL2" s="1798"/>
      <c r="AM2" s="1798"/>
      <c r="AN2" s="1798"/>
      <c r="AO2" s="1798"/>
      <c r="AP2" s="1798"/>
      <c r="AQ2" s="1798"/>
      <c r="AR2" s="10"/>
      <c r="AS2" s="10"/>
      <c r="AT2" s="10"/>
      <c r="AU2" s="10"/>
      <c r="AV2" s="10"/>
      <c r="AW2" s="10"/>
      <c r="AX2" s="10"/>
      <c r="AY2" s="10"/>
      <c r="AZ2" s="10"/>
      <c r="BA2" s="10"/>
      <c r="BB2" s="10"/>
      <c r="BC2" s="10"/>
      <c r="BD2" s="10"/>
      <c r="BE2" s="10"/>
      <c r="BF2" s="10"/>
      <c r="BG2" s="10"/>
      <c r="BH2" s="116" t="s">
        <v>287</v>
      </c>
      <c r="BI2" s="162"/>
      <c r="BJ2" s="10"/>
      <c r="BK2" s="10"/>
      <c r="BL2" s="10"/>
      <c r="BM2" s="10"/>
      <c r="BN2" s="10"/>
      <c r="BO2" s="10"/>
      <c r="BP2" s="10"/>
      <c r="BQ2" s="364" t="s">
        <v>288</v>
      </c>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row>
    <row r="3" spans="1:103" ht="13.5" thickBot="1">
      <c r="A3" s="324">
        <v>36647</v>
      </c>
      <c r="B3" s="416">
        <v>6.2738908446644023E-2</v>
      </c>
      <c r="C3" s="272"/>
      <c r="D3" s="9" t="s">
        <v>1076</v>
      </c>
      <c r="E3" s="9" t="s">
        <v>1077</v>
      </c>
      <c r="G3" s="24">
        <v>36628</v>
      </c>
      <c r="Z3" s="29"/>
      <c r="AA3" s="29"/>
      <c r="AB3" s="29"/>
      <c r="AC3" s="29"/>
      <c r="AD3" s="29"/>
      <c r="AE3" s="29"/>
      <c r="AF3" s="29"/>
      <c r="AG3" s="29"/>
      <c r="AH3" s="29"/>
      <c r="AI3" s="29"/>
      <c r="AJ3" s="29"/>
      <c r="AK3" s="29"/>
      <c r="AL3" s="29"/>
      <c r="AM3" s="29"/>
      <c r="AN3" s="29"/>
      <c r="AO3" s="29"/>
      <c r="AP3" s="29"/>
      <c r="AQ3" s="29"/>
      <c r="BH3" s="157" t="s">
        <v>289</v>
      </c>
      <c r="BI3" s="170"/>
      <c r="BQ3" s="361"/>
      <c r="BR3" s="400" t="s">
        <v>1078</v>
      </c>
      <c r="BS3" s="117"/>
      <c r="BT3" s="117"/>
      <c r="BU3" s="117"/>
      <c r="BV3" s="117"/>
      <c r="BW3" s="117"/>
      <c r="BX3" s="410" t="s">
        <v>1079</v>
      </c>
      <c r="BY3" s="411"/>
      <c r="BZ3" s="412"/>
      <c r="CA3" s="446" t="s">
        <v>290</v>
      </c>
      <c r="CB3" s="434"/>
      <c r="CC3" s="434" t="s">
        <v>291</v>
      </c>
      <c r="CD3" s="434" t="s">
        <v>291</v>
      </c>
      <c r="CE3" s="11"/>
      <c r="CF3" s="11"/>
      <c r="CG3" s="11"/>
      <c r="CH3" s="11"/>
      <c r="CI3" s="11"/>
      <c r="CJ3" s="11"/>
      <c r="CK3" s="11"/>
      <c r="CL3" s="11"/>
      <c r="CM3" s="11"/>
      <c r="CN3" s="11"/>
      <c r="CO3" s="11"/>
      <c r="CP3" s="11"/>
      <c r="CQ3" s="11"/>
      <c r="CR3" s="11"/>
      <c r="CS3" s="11"/>
      <c r="CT3" s="11"/>
      <c r="CU3" s="15"/>
      <c r="CV3" s="15"/>
      <c r="CW3" s="15"/>
      <c r="CX3" s="15"/>
    </row>
    <row r="4" spans="1:103">
      <c r="A4" s="325">
        <v>36678</v>
      </c>
      <c r="B4" s="416">
        <v>6.3061655816070011E-2</v>
      </c>
      <c r="C4" s="11"/>
      <c r="D4" s="24"/>
      <c r="Z4" s="29" t="s">
        <v>1215</v>
      </c>
      <c r="AA4" s="29"/>
      <c r="AB4" s="29"/>
      <c r="AC4" s="29"/>
      <c r="AD4" s="29"/>
      <c r="AE4" s="29"/>
      <c r="AF4" s="29"/>
      <c r="AG4" s="29"/>
      <c r="AH4" s="29" t="s">
        <v>1216</v>
      </c>
      <c r="AI4" s="29"/>
      <c r="AJ4" s="29"/>
      <c r="AK4" s="29"/>
      <c r="AL4" s="29"/>
      <c r="AM4" s="29"/>
      <c r="AN4" s="29"/>
      <c r="AO4" s="29"/>
      <c r="AP4" s="29"/>
      <c r="AQ4" s="29"/>
      <c r="BH4" s="265" t="s">
        <v>292</v>
      </c>
      <c r="BI4" s="266" t="s">
        <v>293</v>
      </c>
      <c r="BQ4" s="406" t="s">
        <v>172</v>
      </c>
      <c r="BR4" s="401" t="s">
        <v>191</v>
      </c>
      <c r="BS4" s="399"/>
      <c r="BT4" s="1605"/>
      <c r="BU4" s="398" t="s">
        <v>343</v>
      </c>
      <c r="BV4" s="399"/>
      <c r="BW4" s="402"/>
      <c r="BX4" s="409">
        <v>7.0000000000000007E-2</v>
      </c>
      <c r="BY4" s="408" t="s">
        <v>294</v>
      </c>
      <c r="BZ4" s="413">
        <v>7.0000000000000007E-2</v>
      </c>
      <c r="CA4" s="447" t="s">
        <v>295</v>
      </c>
      <c r="CB4" s="435" t="s">
        <v>194</v>
      </c>
      <c r="CC4" s="435" t="s">
        <v>1080</v>
      </c>
      <c r="CD4" s="435" t="s">
        <v>1080</v>
      </c>
      <c r="CE4" s="11"/>
      <c r="CF4" s="11"/>
      <c r="CG4" s="11"/>
      <c r="CH4" s="11"/>
      <c r="CI4" s="11"/>
      <c r="CJ4" s="11"/>
      <c r="CK4" s="11"/>
      <c r="CL4" s="11"/>
      <c r="CM4" s="11"/>
      <c r="CN4" s="11"/>
      <c r="CO4" s="11"/>
      <c r="CP4" s="11"/>
      <c r="CQ4" s="11"/>
      <c r="CR4" s="11"/>
      <c r="CS4" s="11"/>
      <c r="CT4" s="11"/>
      <c r="CU4" s="15"/>
      <c r="CV4" s="15"/>
      <c r="CW4" s="15"/>
      <c r="CX4" s="15"/>
    </row>
    <row r="5" spans="1:103" ht="13.5" thickBot="1">
      <c r="A5" s="325">
        <v>36708</v>
      </c>
      <c r="B5" s="416">
        <v>6.3805660340869014E-2</v>
      </c>
      <c r="C5" s="11"/>
      <c r="D5" s="9"/>
      <c r="F5" s="9" t="s">
        <v>135</v>
      </c>
      <c r="J5" s="9" t="s">
        <v>136</v>
      </c>
      <c r="O5" s="9" t="s">
        <v>216</v>
      </c>
      <c r="S5" s="9" t="s">
        <v>221</v>
      </c>
      <c r="W5" s="9" t="s">
        <v>138</v>
      </c>
      <c r="Z5" s="14"/>
      <c r="AA5" s="14" t="s">
        <v>360</v>
      </c>
      <c r="AB5" s="14"/>
      <c r="AC5" s="29"/>
      <c r="AD5" s="14"/>
      <c r="AE5" s="14" t="s">
        <v>1217</v>
      </c>
      <c r="AF5" s="14"/>
      <c r="AG5" s="29"/>
      <c r="AH5" s="14"/>
      <c r="AI5" s="14" t="s">
        <v>360</v>
      </c>
      <c r="AJ5" s="14"/>
      <c r="AK5" s="29"/>
      <c r="AL5" s="14"/>
      <c r="AM5" s="14" t="s">
        <v>1217</v>
      </c>
      <c r="AN5" s="14"/>
      <c r="AO5" s="29"/>
      <c r="AP5" s="14" t="s">
        <v>1218</v>
      </c>
      <c r="AQ5" s="14" t="s">
        <v>137</v>
      </c>
      <c r="BH5" s="267">
        <v>-5</v>
      </c>
      <c r="BI5" s="268">
        <v>3.5000000000000003E-2</v>
      </c>
      <c r="BQ5" s="407"/>
      <c r="BR5" s="403" t="s">
        <v>181</v>
      </c>
      <c r="BS5" s="404" t="s">
        <v>296</v>
      </c>
      <c r="BT5" s="404" t="s">
        <v>182</v>
      </c>
      <c r="BU5" s="404" t="s">
        <v>181</v>
      </c>
      <c r="BV5" s="404" t="s">
        <v>296</v>
      </c>
      <c r="BW5" s="405" t="s">
        <v>182</v>
      </c>
      <c r="BX5" s="403" t="s">
        <v>181</v>
      </c>
      <c r="BY5" s="404" t="s">
        <v>296</v>
      </c>
      <c r="BZ5" s="405" t="s">
        <v>182</v>
      </c>
      <c r="CA5" s="448" t="s">
        <v>297</v>
      </c>
      <c r="CB5" s="436"/>
      <c r="CC5" s="436" t="s">
        <v>191</v>
      </c>
      <c r="CD5" s="436" t="s">
        <v>183</v>
      </c>
      <c r="CE5" s="13"/>
      <c r="CF5" s="13"/>
      <c r="CG5" s="13"/>
      <c r="CH5" s="13"/>
      <c r="CI5" s="13"/>
      <c r="CJ5" s="13"/>
      <c r="CK5" s="13"/>
      <c r="CL5" s="13"/>
      <c r="CM5" s="13"/>
      <c r="CN5" s="13"/>
      <c r="CO5" s="13"/>
      <c r="CP5" s="13"/>
      <c r="CQ5" s="13"/>
      <c r="CR5" s="13"/>
      <c r="CS5" s="13"/>
      <c r="CT5" s="13"/>
      <c r="CU5" s="13"/>
      <c r="CV5" s="13"/>
      <c r="CW5" s="13"/>
      <c r="CX5" s="13"/>
      <c r="CY5" s="13"/>
    </row>
    <row r="6" spans="1:103" ht="13.5" thickBot="1">
      <c r="A6" s="325">
        <v>36739</v>
      </c>
      <c r="B6" s="416">
        <v>6.4616331073091018E-2</v>
      </c>
      <c r="C6" s="273"/>
      <c r="D6" s="4"/>
      <c r="E6" s="25" t="s">
        <v>181</v>
      </c>
      <c r="F6" s="25" t="s">
        <v>296</v>
      </c>
      <c r="G6" s="23" t="s">
        <v>182</v>
      </c>
      <c r="I6" s="23" t="s">
        <v>181</v>
      </c>
      <c r="J6" s="23" t="s">
        <v>296</v>
      </c>
      <c r="K6" s="23" t="s">
        <v>182</v>
      </c>
      <c r="N6" s="25" t="s">
        <v>181</v>
      </c>
      <c r="O6" s="25" t="s">
        <v>296</v>
      </c>
      <c r="P6" s="23" t="s">
        <v>182</v>
      </c>
      <c r="R6" s="25" t="s">
        <v>181</v>
      </c>
      <c r="S6" s="25" t="s">
        <v>296</v>
      </c>
      <c r="T6" s="23" t="s">
        <v>182</v>
      </c>
      <c r="V6" s="25" t="s">
        <v>181</v>
      </c>
      <c r="W6" s="25" t="s">
        <v>296</v>
      </c>
      <c r="X6" s="23" t="s">
        <v>182</v>
      </c>
      <c r="Z6" s="1799" t="s">
        <v>181</v>
      </c>
      <c r="AA6" s="1799" t="s">
        <v>296</v>
      </c>
      <c r="AB6" s="1800" t="s">
        <v>182</v>
      </c>
      <c r="AC6" s="29"/>
      <c r="AD6" s="1799" t="s">
        <v>181</v>
      </c>
      <c r="AE6" s="1799" t="s">
        <v>296</v>
      </c>
      <c r="AF6" s="1800" t="s">
        <v>182</v>
      </c>
      <c r="AG6" s="29"/>
      <c r="AH6" s="1799" t="s">
        <v>181</v>
      </c>
      <c r="AI6" s="1799" t="s">
        <v>296</v>
      </c>
      <c r="AJ6" s="1800" t="s">
        <v>182</v>
      </c>
      <c r="AK6" s="29"/>
      <c r="AL6" s="1799" t="s">
        <v>181</v>
      </c>
      <c r="AM6" s="1799" t="s">
        <v>296</v>
      </c>
      <c r="AN6" s="1800" t="s">
        <v>182</v>
      </c>
      <c r="AO6" s="29"/>
      <c r="AP6" s="14" t="s">
        <v>1219</v>
      </c>
      <c r="AQ6" s="14" t="s">
        <v>111</v>
      </c>
      <c r="AT6" s="23" t="s">
        <v>139</v>
      </c>
      <c r="AU6" s="23" t="s">
        <v>140</v>
      </c>
      <c r="BH6" s="267">
        <v>-4.5</v>
      </c>
      <c r="BI6" s="268">
        <v>2.75E-2</v>
      </c>
      <c r="BQ6" s="414">
        <v>36647</v>
      </c>
      <c r="BR6" s="415">
        <v>3.0160000000000005</v>
      </c>
      <c r="BS6" s="415">
        <v>3.0210000000000004</v>
      </c>
      <c r="BT6" s="415">
        <v>3.0260000000000002</v>
      </c>
      <c r="BU6" s="416">
        <v>0.33250000000000002</v>
      </c>
      <c r="BV6" s="416">
        <v>0.34</v>
      </c>
      <c r="BW6" s="416">
        <v>0.34749999999999998</v>
      </c>
      <c r="BX6" s="416">
        <v>-7.0000000000000007E-2</v>
      </c>
      <c r="BY6" s="416"/>
      <c r="BZ6" s="416">
        <v>7.0000000000000007E-2</v>
      </c>
      <c r="CA6" s="433">
        <v>0</v>
      </c>
      <c r="CB6" s="1618">
        <v>0</v>
      </c>
      <c r="CC6" s="445">
        <v>2.6230000000000002</v>
      </c>
      <c r="CD6" s="449">
        <v>0.59250000000000003</v>
      </c>
      <c r="CE6" s="7"/>
      <c r="CF6" s="7"/>
      <c r="CG6" s="7"/>
      <c r="CH6" s="7"/>
      <c r="CI6" s="7"/>
      <c r="CJ6" s="7"/>
      <c r="CK6" s="7"/>
      <c r="CL6" s="7"/>
      <c r="CM6" s="7"/>
      <c r="CN6" s="7"/>
      <c r="CO6" s="7"/>
      <c r="CP6" s="7"/>
      <c r="CQ6" s="7"/>
      <c r="CR6" s="7"/>
      <c r="CS6" s="7"/>
      <c r="CT6" s="7"/>
      <c r="CU6" s="7"/>
      <c r="CV6" s="7"/>
      <c r="CW6" s="7"/>
      <c r="CX6" s="7"/>
      <c r="CY6" s="7"/>
    </row>
    <row r="7" spans="1:103">
      <c r="A7" s="325">
        <v>36770</v>
      </c>
      <c r="B7" s="416">
        <v>6.5314719016369024E-2</v>
      </c>
      <c r="C7" s="274"/>
      <c r="D7" s="9"/>
      <c r="E7" s="9" t="s">
        <v>141</v>
      </c>
      <c r="F7" s="9" t="s">
        <v>141</v>
      </c>
      <c r="G7" s="9" t="s">
        <v>141</v>
      </c>
      <c r="I7" s="9" t="s">
        <v>141</v>
      </c>
      <c r="J7" s="9" t="s">
        <v>141</v>
      </c>
      <c r="K7" s="9" t="s">
        <v>141</v>
      </c>
      <c r="N7" s="9" t="s">
        <v>141</v>
      </c>
      <c r="O7" s="9" t="s">
        <v>141</v>
      </c>
      <c r="P7" s="9" t="s">
        <v>141</v>
      </c>
      <c r="R7" s="9" t="s">
        <v>141</v>
      </c>
      <c r="S7" s="9" t="s">
        <v>141</v>
      </c>
      <c r="T7" s="9" t="s">
        <v>141</v>
      </c>
      <c r="V7" s="9" t="s">
        <v>141</v>
      </c>
      <c r="W7" s="9" t="s">
        <v>141</v>
      </c>
      <c r="X7" s="9" t="s">
        <v>141</v>
      </c>
      <c r="Z7" s="14"/>
      <c r="AA7" s="14"/>
      <c r="AB7" s="14"/>
      <c r="AC7" s="29"/>
      <c r="AD7" s="14"/>
      <c r="AE7" s="14"/>
      <c r="AF7" s="14"/>
      <c r="AG7" s="29"/>
      <c r="AH7" s="14"/>
      <c r="AI7" s="14"/>
      <c r="AJ7" s="14"/>
      <c r="AK7" s="29"/>
      <c r="AL7" s="14"/>
      <c r="AM7" s="14"/>
      <c r="AN7" s="14"/>
      <c r="AO7" s="29"/>
      <c r="AP7" s="29"/>
      <c r="AQ7" s="29"/>
      <c r="AS7" s="23" t="s">
        <v>360</v>
      </c>
      <c r="AT7" s="1">
        <v>700</v>
      </c>
      <c r="AU7" s="1">
        <v>2200</v>
      </c>
      <c r="BH7" s="267">
        <v>-4</v>
      </c>
      <c r="BI7" s="268">
        <v>0.02</v>
      </c>
      <c r="BQ7" s="325">
        <v>36678</v>
      </c>
      <c r="BR7" s="415">
        <v>3.0330000000000004</v>
      </c>
      <c r="BS7" s="415">
        <v>3.0380000000000003</v>
      </c>
      <c r="BT7" s="415">
        <v>3.0430000000000001</v>
      </c>
      <c r="BU7" s="416">
        <v>0.35499999999999998</v>
      </c>
      <c r="BV7" s="416">
        <v>0.36249999999999999</v>
      </c>
      <c r="BW7" s="416">
        <v>0.37</v>
      </c>
      <c r="BX7" s="416">
        <v>-7.0000000000000007E-2</v>
      </c>
      <c r="BY7" s="416"/>
      <c r="BZ7" s="416">
        <v>7.0000000000000007E-2</v>
      </c>
      <c r="CA7" s="433">
        <v>0</v>
      </c>
      <c r="CB7" s="1618">
        <v>0</v>
      </c>
      <c r="CC7" s="445">
        <v>2.8010000000000002</v>
      </c>
      <c r="CD7" s="449">
        <v>0.59250000000000003</v>
      </c>
      <c r="CE7" s="12"/>
      <c r="CF7" s="12"/>
      <c r="CG7" s="12"/>
      <c r="CH7" s="12"/>
      <c r="CI7" s="12"/>
      <c r="CJ7" s="12"/>
      <c r="CK7" s="12"/>
      <c r="CL7" s="12"/>
      <c r="CM7" s="12"/>
      <c r="CN7" s="12"/>
      <c r="CO7" s="12"/>
      <c r="CP7" s="12"/>
      <c r="CQ7" s="12"/>
      <c r="CR7" s="12"/>
      <c r="CS7" s="12"/>
      <c r="CT7" s="12"/>
      <c r="CU7" s="12"/>
      <c r="CV7" s="12"/>
      <c r="CW7" s="12"/>
      <c r="CX7" s="12"/>
      <c r="CY7" s="12"/>
    </row>
    <row r="8" spans="1:103">
      <c r="A8" s="325">
        <v>36800</v>
      </c>
      <c r="B8" s="416">
        <v>6.5913310460290017E-2</v>
      </c>
      <c r="C8" s="274"/>
      <c r="D8" s="23" t="s">
        <v>172</v>
      </c>
      <c r="M8" s="9" t="s">
        <v>172</v>
      </c>
      <c r="Z8" s="29"/>
      <c r="AA8" s="29"/>
      <c r="AB8" s="29"/>
      <c r="AC8" s="29"/>
      <c r="AD8" s="29"/>
      <c r="AE8" s="29"/>
      <c r="AF8" s="29"/>
      <c r="AG8" s="29"/>
      <c r="AH8" s="29"/>
      <c r="AI8" s="29"/>
      <c r="AJ8" s="29"/>
      <c r="AK8" s="29"/>
      <c r="AL8" s="29"/>
      <c r="AM8" s="29"/>
      <c r="AN8" s="29"/>
      <c r="AO8" s="29"/>
      <c r="AP8" s="29"/>
      <c r="AQ8" s="29"/>
      <c r="AS8" s="26" t="s">
        <v>142</v>
      </c>
      <c r="AT8" s="3"/>
      <c r="AU8" s="3"/>
      <c r="AV8" s="3"/>
      <c r="AW8" s="3"/>
      <c r="AZ8" s="3"/>
      <c r="BA8" s="3"/>
      <c r="BB8" s="3"/>
      <c r="BC8" s="3"/>
      <c r="BD8" s="3"/>
      <c r="BE8" s="3"/>
      <c r="BF8" s="3"/>
      <c r="BH8" s="267">
        <v>-3.5</v>
      </c>
      <c r="BI8" s="268">
        <v>1.4999999999999999E-2</v>
      </c>
      <c r="BQ8" s="325">
        <v>36708</v>
      </c>
      <c r="BR8" s="415">
        <v>3.0440000000000005</v>
      </c>
      <c r="BS8" s="415">
        <v>3.0490000000000004</v>
      </c>
      <c r="BT8" s="415">
        <v>3.0540000000000003</v>
      </c>
      <c r="BU8" s="416">
        <v>0.36749999999999999</v>
      </c>
      <c r="BV8" s="416">
        <v>0.375</v>
      </c>
      <c r="BW8" s="416">
        <v>0.38250000000000001</v>
      </c>
      <c r="BX8" s="416">
        <v>-7.0000000000000007E-2</v>
      </c>
      <c r="BY8" s="416"/>
      <c r="BZ8" s="416">
        <v>7.0000000000000007E-2</v>
      </c>
      <c r="CA8" s="433">
        <v>0</v>
      </c>
      <c r="CB8" s="1618">
        <v>0</v>
      </c>
      <c r="CC8" s="445">
        <v>2.9410000000000003</v>
      </c>
      <c r="CD8" s="449">
        <v>0.60499999999999998</v>
      </c>
      <c r="CE8" s="12"/>
      <c r="CF8" s="12"/>
      <c r="CG8" s="12"/>
      <c r="CH8" s="12"/>
      <c r="CI8" s="12"/>
      <c r="CJ8" s="12"/>
      <c r="CK8" s="12"/>
      <c r="CL8" s="12"/>
      <c r="CM8" s="12"/>
      <c r="CN8" s="12"/>
      <c r="CO8" s="12"/>
      <c r="CP8" s="12"/>
      <c r="CQ8" s="12"/>
      <c r="CR8" s="12"/>
      <c r="CS8" s="12"/>
      <c r="CT8" s="12"/>
      <c r="CU8" s="12"/>
      <c r="CV8" s="12"/>
      <c r="CW8" s="12"/>
      <c r="CX8" s="12"/>
      <c r="CY8" s="12"/>
    </row>
    <row r="9" spans="1:103">
      <c r="A9" s="325">
        <v>36831</v>
      </c>
      <c r="B9" s="416">
        <v>6.6385068755817025E-2</v>
      </c>
      <c r="C9" s="285"/>
      <c r="D9" s="1786">
        <v>36629</v>
      </c>
      <c r="E9" s="1787">
        <v>33.25</v>
      </c>
      <c r="F9" s="1787">
        <v>34</v>
      </c>
      <c r="G9" s="1787">
        <v>35.25</v>
      </c>
      <c r="H9" s="1788"/>
      <c r="I9" s="1787">
        <v>16.16</v>
      </c>
      <c r="J9" s="1787">
        <v>17.16</v>
      </c>
      <c r="K9" s="1787">
        <v>19.16</v>
      </c>
      <c r="M9" s="1791">
        <v>36586</v>
      </c>
      <c r="N9" s="1792">
        <v>0</v>
      </c>
      <c r="O9" s="1792">
        <v>0</v>
      </c>
      <c r="P9" s="1792">
        <v>0</v>
      </c>
      <c r="Q9" s="29"/>
      <c r="R9" s="1792">
        <v>0</v>
      </c>
      <c r="S9" s="1792">
        <v>0</v>
      </c>
      <c r="T9" s="1792">
        <v>0</v>
      </c>
      <c r="V9" s="500">
        <v>0</v>
      </c>
      <c r="W9" s="500">
        <v>0</v>
      </c>
      <c r="X9" s="500">
        <v>0</v>
      </c>
      <c r="Z9" s="1792">
        <v>0.25</v>
      </c>
      <c r="AA9" s="1792">
        <v>0.3</v>
      </c>
      <c r="AB9" s="1792">
        <v>0.31</v>
      </c>
      <c r="AC9" s="29"/>
      <c r="AD9" s="1792">
        <v>0.06</v>
      </c>
      <c r="AE9" s="1792">
        <v>0.11</v>
      </c>
      <c r="AF9" s="1792">
        <v>0.16</v>
      </c>
      <c r="AG9" s="29"/>
      <c r="AH9" s="1792">
        <v>-0.1</v>
      </c>
      <c r="AI9" s="1792">
        <v>0.65</v>
      </c>
      <c r="AJ9" s="1792">
        <v>0.1</v>
      </c>
      <c r="AK9" s="29"/>
      <c r="AL9" s="1792">
        <v>-0.01</v>
      </c>
      <c r="AM9" s="1792">
        <v>0.16</v>
      </c>
      <c r="AN9" s="1792">
        <v>0.01</v>
      </c>
      <c r="AO9" s="29"/>
      <c r="AP9" s="1801">
        <v>1</v>
      </c>
      <c r="AQ9" s="1802">
        <v>0</v>
      </c>
      <c r="AS9" s="4"/>
      <c r="AT9" s="17" t="s">
        <v>143</v>
      </c>
      <c r="AU9" s="17" t="s">
        <v>144</v>
      </c>
      <c r="AV9" s="17" t="s">
        <v>145</v>
      </c>
      <c r="AW9" s="17" t="s">
        <v>146</v>
      </c>
      <c r="AX9" s="17" t="s">
        <v>147</v>
      </c>
      <c r="AY9" s="17" t="s">
        <v>148</v>
      </c>
      <c r="AZ9" s="17" t="s">
        <v>149</v>
      </c>
      <c r="BA9" s="17" t="s">
        <v>150</v>
      </c>
      <c r="BB9" s="17" t="s">
        <v>151</v>
      </c>
      <c r="BC9" s="17" t="s">
        <v>152</v>
      </c>
      <c r="BD9" s="17" t="s">
        <v>153</v>
      </c>
      <c r="BE9" s="17" t="s">
        <v>154</v>
      </c>
      <c r="BF9" s="4"/>
      <c r="BH9" s="267">
        <v>-3</v>
      </c>
      <c r="BI9" s="268">
        <v>1.2500000000000001E-2</v>
      </c>
      <c r="BQ9" s="325">
        <v>36739</v>
      </c>
      <c r="BR9" s="415">
        <v>3.0460000000000003</v>
      </c>
      <c r="BS9" s="415">
        <v>3.0510000000000002</v>
      </c>
      <c r="BT9" s="415">
        <v>3.0560000000000005</v>
      </c>
      <c r="BU9" s="416">
        <v>0.38750000000000001</v>
      </c>
      <c r="BV9" s="416">
        <v>0.39500000000000002</v>
      </c>
      <c r="BW9" s="416">
        <v>0.40250000000000002</v>
      </c>
      <c r="BX9" s="416">
        <v>-7.0000000000000007E-2</v>
      </c>
      <c r="BY9" s="416"/>
      <c r="BZ9" s="416">
        <v>7.0000000000000007E-2</v>
      </c>
      <c r="CA9" s="433">
        <v>0</v>
      </c>
      <c r="CB9" s="1618">
        <v>0</v>
      </c>
      <c r="CC9" s="445">
        <v>2.9660000000000002</v>
      </c>
      <c r="CD9" s="449">
        <v>0.62</v>
      </c>
      <c r="CE9" s="12"/>
      <c r="CF9" s="12"/>
      <c r="CG9" s="12"/>
      <c r="CH9" s="12"/>
      <c r="CI9" s="12"/>
      <c r="CJ9" s="12"/>
      <c r="CK9" s="12"/>
      <c r="CL9" s="12"/>
      <c r="CM9" s="12"/>
      <c r="CN9" s="12"/>
      <c r="CO9" s="12"/>
      <c r="CP9" s="12"/>
      <c r="CQ9" s="12"/>
      <c r="CR9" s="12"/>
      <c r="CS9" s="12"/>
      <c r="CT9" s="12"/>
      <c r="CU9" s="12"/>
      <c r="CV9" s="12"/>
      <c r="CW9" s="12"/>
      <c r="CX9" s="12"/>
      <c r="CY9" s="12"/>
    </row>
    <row r="10" spans="1:103">
      <c r="A10" s="325">
        <v>36861</v>
      </c>
      <c r="B10" s="416">
        <v>6.6841609112001016E-2</v>
      </c>
      <c r="C10" s="285"/>
      <c r="D10" s="1786">
        <v>36630</v>
      </c>
      <c r="E10" s="1787">
        <v>34.25</v>
      </c>
      <c r="F10" s="1787">
        <v>35</v>
      </c>
      <c r="G10" s="1787">
        <v>36.25</v>
      </c>
      <c r="H10" s="1788"/>
      <c r="I10" s="1787">
        <v>22</v>
      </c>
      <c r="J10" s="1787">
        <v>23</v>
      </c>
      <c r="K10" s="1787">
        <v>25</v>
      </c>
      <c r="M10" s="1791">
        <v>36617</v>
      </c>
      <c r="N10" s="1792">
        <v>0</v>
      </c>
      <c r="O10" s="1792">
        <v>0</v>
      </c>
      <c r="P10" s="1792">
        <v>0</v>
      </c>
      <c r="Q10" s="29"/>
      <c r="R10" s="1792">
        <v>0</v>
      </c>
      <c r="S10" s="1792">
        <v>0</v>
      </c>
      <c r="T10" s="1792">
        <v>0</v>
      </c>
      <c r="V10" s="500">
        <v>0</v>
      </c>
      <c r="W10" s="500">
        <v>0</v>
      </c>
      <c r="X10" s="500">
        <v>0</v>
      </c>
      <c r="Z10" s="1792">
        <v>0.24</v>
      </c>
      <c r="AA10" s="1792">
        <v>0.28000000000000003</v>
      </c>
      <c r="AB10" s="1792">
        <v>0.3</v>
      </c>
      <c r="AC10" s="29"/>
      <c r="AD10" s="1792">
        <v>0.06</v>
      </c>
      <c r="AE10" s="1792">
        <v>0.11</v>
      </c>
      <c r="AF10" s="1792">
        <v>0.16</v>
      </c>
      <c r="AG10" s="29"/>
      <c r="AH10" s="1792">
        <v>-0.1</v>
      </c>
      <c r="AI10" s="1792">
        <v>0.65</v>
      </c>
      <c r="AJ10" s="1792">
        <v>0.1</v>
      </c>
      <c r="AK10" s="29"/>
      <c r="AL10" s="1792">
        <v>-0.01</v>
      </c>
      <c r="AM10" s="1792">
        <v>0.16</v>
      </c>
      <c r="AN10" s="1792">
        <v>0.01</v>
      </c>
      <c r="AO10" s="29"/>
      <c r="AP10" s="14">
        <v>1</v>
      </c>
      <c r="AQ10" s="1802">
        <v>0</v>
      </c>
      <c r="AS10" s="23" t="s">
        <v>155</v>
      </c>
      <c r="BF10" s="23" t="s">
        <v>156</v>
      </c>
      <c r="BH10" s="267">
        <v>-2.5</v>
      </c>
      <c r="BI10" s="268">
        <v>0.01</v>
      </c>
      <c r="BQ10" s="325">
        <v>36770</v>
      </c>
      <c r="BR10" s="415">
        <v>3.0380000000000003</v>
      </c>
      <c r="BS10" s="415">
        <v>3.0430000000000001</v>
      </c>
      <c r="BT10" s="415">
        <v>3.048</v>
      </c>
      <c r="BU10" s="416">
        <v>0.39250000000000002</v>
      </c>
      <c r="BV10" s="416">
        <v>0.4</v>
      </c>
      <c r="BW10" s="416">
        <v>0.40749999999999997</v>
      </c>
      <c r="BX10" s="416">
        <v>-7.0000000000000007E-2</v>
      </c>
      <c r="BY10" s="416"/>
      <c r="BZ10" s="416">
        <v>7.0000000000000007E-2</v>
      </c>
      <c r="CA10" s="433">
        <v>0</v>
      </c>
      <c r="CB10" s="1618">
        <v>0</v>
      </c>
      <c r="CC10" s="445">
        <v>2.7890000000000006</v>
      </c>
      <c r="CD10" s="449">
        <v>0.6</v>
      </c>
      <c r="CE10" s="7"/>
      <c r="CF10" s="7"/>
      <c r="CG10" s="7"/>
      <c r="CH10" s="7"/>
      <c r="CI10" s="7"/>
      <c r="CJ10" s="7"/>
      <c r="CK10" s="7"/>
      <c r="CL10" s="7"/>
      <c r="CM10" s="7"/>
      <c r="CN10" s="7"/>
      <c r="CO10" s="7"/>
      <c r="CP10" s="7"/>
      <c r="CQ10" s="7"/>
      <c r="CR10" s="7"/>
      <c r="CS10" s="7"/>
      <c r="CT10" s="7"/>
      <c r="CU10" s="7"/>
      <c r="CV10" s="7"/>
      <c r="CW10" s="7"/>
      <c r="CX10" s="7"/>
      <c r="CY10" s="7"/>
    </row>
    <row r="11" spans="1:103">
      <c r="A11" s="325">
        <v>36892</v>
      </c>
      <c r="B11" s="416">
        <v>6.7288114413205022E-2</v>
      </c>
      <c r="C11" s="287"/>
      <c r="D11" s="1786">
        <v>36631</v>
      </c>
      <c r="E11" s="1787">
        <v>34.25</v>
      </c>
      <c r="F11" s="1787">
        <v>35</v>
      </c>
      <c r="G11" s="1787">
        <v>36.25</v>
      </c>
      <c r="H11" s="1788"/>
      <c r="I11" s="1787">
        <v>22</v>
      </c>
      <c r="J11" s="1787">
        <v>23</v>
      </c>
      <c r="K11" s="1787">
        <v>25</v>
      </c>
      <c r="M11" s="1791">
        <v>36647</v>
      </c>
      <c r="N11" s="1792">
        <v>34.6</v>
      </c>
      <c r="O11" s="1792">
        <v>35.35</v>
      </c>
      <c r="P11" s="1792">
        <v>36.6</v>
      </c>
      <c r="Q11" s="29"/>
      <c r="R11" s="1792">
        <v>25.762499999999999</v>
      </c>
      <c r="S11" s="1792">
        <v>26.512499999999999</v>
      </c>
      <c r="T11" s="1792">
        <v>27.762499999999999</v>
      </c>
      <c r="V11" s="500">
        <v>0</v>
      </c>
      <c r="W11" s="500">
        <v>0</v>
      </c>
      <c r="X11" s="500">
        <v>0</v>
      </c>
      <c r="Z11" s="1792">
        <v>0.23</v>
      </c>
      <c r="AA11" s="1792">
        <v>0.27</v>
      </c>
      <c r="AB11" s="1792">
        <v>0.28999999999999998</v>
      </c>
      <c r="AC11" s="29"/>
      <c r="AD11" s="1792">
        <v>0.06</v>
      </c>
      <c r="AE11" s="1792">
        <v>0.11</v>
      </c>
      <c r="AF11" s="1792">
        <v>0.16</v>
      </c>
      <c r="AG11" s="29"/>
      <c r="AH11" s="1792">
        <v>-0.1</v>
      </c>
      <c r="AI11" s="1792">
        <v>0.65</v>
      </c>
      <c r="AJ11" s="1792">
        <v>0.1</v>
      </c>
      <c r="AK11" s="29"/>
      <c r="AL11" s="1792">
        <v>-0.01</v>
      </c>
      <c r="AM11" s="1792">
        <v>0.16</v>
      </c>
      <c r="AN11" s="1792">
        <v>0.01</v>
      </c>
      <c r="AO11" s="29"/>
      <c r="AP11" s="14">
        <v>1</v>
      </c>
      <c r="AQ11" s="1802">
        <v>0.1</v>
      </c>
      <c r="AS11" s="9">
        <v>100</v>
      </c>
      <c r="AT11" s="28">
        <v>0.9669929050763304</v>
      </c>
      <c r="AU11" s="28">
        <v>0.94763464042391898</v>
      </c>
      <c r="AV11" s="28">
        <v>0.95150736858101803</v>
      </c>
      <c r="AW11" s="28">
        <v>0.98280846392073073</v>
      </c>
      <c r="AX11" s="28">
        <v>0.98470113171297258</v>
      </c>
      <c r="AY11" s="28">
        <v>0.98806265515506031</v>
      </c>
      <c r="AZ11" s="28">
        <v>1.0098771244801348</v>
      </c>
      <c r="BA11" s="28">
        <v>0.98492520064991063</v>
      </c>
      <c r="BB11" s="28">
        <v>0.98594124056919985</v>
      </c>
      <c r="BC11" s="28">
        <v>1.0023348205618219</v>
      </c>
      <c r="BD11" s="28">
        <v>0.98823541991929409</v>
      </c>
      <c r="BE11" s="28">
        <v>0.95423561021412173</v>
      </c>
      <c r="BF11" s="9" t="s">
        <v>366</v>
      </c>
      <c r="BH11" s="267">
        <v>-2</v>
      </c>
      <c r="BI11" s="268">
        <v>7.4999999999999997E-3</v>
      </c>
      <c r="BQ11" s="325">
        <v>36800</v>
      </c>
      <c r="BR11" s="415">
        <v>3.0470000000000002</v>
      </c>
      <c r="BS11" s="415">
        <v>3.052</v>
      </c>
      <c r="BT11" s="415">
        <v>3.0569999999999999</v>
      </c>
      <c r="BU11" s="416">
        <v>0.39500000000000002</v>
      </c>
      <c r="BV11" s="416">
        <v>0.40250000000000002</v>
      </c>
      <c r="BW11" s="416">
        <v>0.41</v>
      </c>
      <c r="BX11" s="416">
        <v>-7.0000000000000007E-2</v>
      </c>
      <c r="BY11" s="416"/>
      <c r="BZ11" s="416">
        <v>7.0000000000000007E-2</v>
      </c>
      <c r="CA11" s="433">
        <v>0</v>
      </c>
      <c r="CB11" s="1618">
        <v>0</v>
      </c>
      <c r="CC11" s="445">
        <v>2.6589999999999998</v>
      </c>
      <c r="CD11" s="449">
        <v>0.50749999999999995</v>
      </c>
      <c r="CE11" s="12"/>
      <c r="CF11" s="12"/>
      <c r="CG11" s="12"/>
      <c r="CH11" s="12"/>
      <c r="CI11" s="12"/>
      <c r="CJ11" s="12"/>
      <c r="CK11" s="12"/>
      <c r="CL11" s="12"/>
      <c r="CM11" s="12"/>
      <c r="CN11" s="12"/>
      <c r="CO11" s="12"/>
      <c r="CP11" s="12"/>
      <c r="CQ11" s="12"/>
      <c r="CR11" s="12"/>
      <c r="CS11" s="12"/>
      <c r="CT11" s="12"/>
      <c r="CU11" s="12"/>
      <c r="CV11" s="12"/>
      <c r="CW11" s="12"/>
      <c r="CX11" s="12"/>
      <c r="CY11" s="12"/>
    </row>
    <row r="12" spans="1:103">
      <c r="A12" s="325">
        <v>36923</v>
      </c>
      <c r="B12" s="416">
        <v>6.769463563760901E-2</v>
      </c>
      <c r="C12" s="286"/>
      <c r="D12" s="1786">
        <v>36632</v>
      </c>
      <c r="E12" s="1787">
        <v>26.25</v>
      </c>
      <c r="F12" s="1787">
        <v>27</v>
      </c>
      <c r="G12" s="1787">
        <v>28.25</v>
      </c>
      <c r="H12" s="1788"/>
      <c r="I12" s="1787">
        <v>22</v>
      </c>
      <c r="J12" s="1787">
        <v>23</v>
      </c>
      <c r="K12" s="1787">
        <v>25</v>
      </c>
      <c r="M12" s="1791">
        <v>36678</v>
      </c>
      <c r="N12" s="1792">
        <v>38.875</v>
      </c>
      <c r="O12" s="1792">
        <v>39.625</v>
      </c>
      <c r="P12" s="1792">
        <v>40.875</v>
      </c>
      <c r="Q12" s="29"/>
      <c r="R12" s="1792">
        <v>28.96875</v>
      </c>
      <c r="S12" s="1792">
        <v>29.71875</v>
      </c>
      <c r="T12" s="1792">
        <v>30.96875</v>
      </c>
      <c r="V12" s="500">
        <v>0</v>
      </c>
      <c r="W12" s="500">
        <v>0</v>
      </c>
      <c r="X12" s="500">
        <v>0</v>
      </c>
      <c r="Z12" s="1792">
        <v>0.22</v>
      </c>
      <c r="AA12" s="1792">
        <v>0.27</v>
      </c>
      <c r="AB12" s="1792">
        <v>0.28000000000000003</v>
      </c>
      <c r="AC12" s="29"/>
      <c r="AD12" s="1792">
        <v>0.05</v>
      </c>
      <c r="AE12" s="1792">
        <v>0.11</v>
      </c>
      <c r="AF12" s="1792">
        <v>0.15</v>
      </c>
      <c r="AG12" s="29"/>
      <c r="AH12" s="1792">
        <v>-0.35</v>
      </c>
      <c r="AI12" s="1792">
        <v>0.65</v>
      </c>
      <c r="AJ12" s="1792">
        <v>0.2</v>
      </c>
      <c r="AK12" s="29"/>
      <c r="AL12" s="1792">
        <v>-0.01</v>
      </c>
      <c r="AM12" s="1792">
        <v>0.16</v>
      </c>
      <c r="AN12" s="1792">
        <v>0.01</v>
      </c>
      <c r="AO12" s="29"/>
      <c r="AP12" s="14">
        <v>1</v>
      </c>
      <c r="AQ12" s="1802">
        <v>0.1</v>
      </c>
      <c r="AS12" s="9">
        <v>200</v>
      </c>
      <c r="AT12" s="28">
        <v>0.92592370833563697</v>
      </c>
      <c r="AU12" s="28">
        <v>0.91875934667138948</v>
      </c>
      <c r="AV12" s="28">
        <v>0.92433511190158035</v>
      </c>
      <c r="AW12" s="28">
        <v>0.93871720142935189</v>
      </c>
      <c r="AX12" s="28">
        <v>0.94781031121652115</v>
      </c>
      <c r="AY12" s="28">
        <v>0.94781163368185017</v>
      </c>
      <c r="AZ12" s="28">
        <v>0.95835278139441349</v>
      </c>
      <c r="BA12" s="28">
        <v>0.93565638622627512</v>
      </c>
      <c r="BB12" s="28">
        <v>0.94569874095413053</v>
      </c>
      <c r="BC12" s="28">
        <v>0.94603653012152522</v>
      </c>
      <c r="BD12" s="28">
        <v>0.93997448656485838</v>
      </c>
      <c r="BE12" s="28">
        <v>0.92133093399984167</v>
      </c>
      <c r="BF12" s="9" t="s">
        <v>366</v>
      </c>
      <c r="BH12" s="267">
        <v>-1.5</v>
      </c>
      <c r="BI12" s="268">
        <v>5.0000000000000001E-3</v>
      </c>
      <c r="BQ12" s="325">
        <v>36831</v>
      </c>
      <c r="BR12" s="415">
        <v>3.14</v>
      </c>
      <c r="BS12" s="415">
        <v>3.145</v>
      </c>
      <c r="BT12" s="415">
        <v>3.15</v>
      </c>
      <c r="BU12" s="416">
        <v>0.40749999999999997</v>
      </c>
      <c r="BV12" s="416">
        <v>0.41499999999999998</v>
      </c>
      <c r="BW12" s="416">
        <v>0.42249999999999999</v>
      </c>
      <c r="BX12" s="416">
        <v>-7.0000000000000007E-2</v>
      </c>
      <c r="BY12" s="416"/>
      <c r="BZ12" s="416">
        <v>7.0000000000000007E-2</v>
      </c>
      <c r="CA12" s="433">
        <v>0</v>
      </c>
      <c r="CB12" s="1618">
        <v>0</v>
      </c>
      <c r="CC12" s="445">
        <v>2.524</v>
      </c>
      <c r="CD12" s="449">
        <v>0.38250000000000001</v>
      </c>
      <c r="CE12" s="7"/>
      <c r="CF12" s="7"/>
      <c r="CG12" s="7"/>
      <c r="CH12" s="7"/>
      <c r="CI12" s="7"/>
      <c r="CJ12" s="7"/>
      <c r="CK12" s="7"/>
      <c r="CL12" s="7"/>
      <c r="CM12" s="7"/>
      <c r="CN12" s="7"/>
      <c r="CO12" s="7"/>
      <c r="CP12" s="7"/>
      <c r="CQ12" s="7"/>
      <c r="CR12" s="7"/>
      <c r="CS12" s="7"/>
      <c r="CT12" s="7"/>
      <c r="CU12" s="7"/>
      <c r="CV12" s="7"/>
      <c r="CW12" s="7"/>
      <c r="CX12" s="7"/>
      <c r="CY12" s="7"/>
    </row>
    <row r="13" spans="1:103">
      <c r="A13" s="325">
        <v>36951</v>
      </c>
      <c r="B13" s="416">
        <v>6.8061816145382995E-2</v>
      </c>
      <c r="C13" s="286"/>
      <c r="D13" s="1786">
        <v>36633</v>
      </c>
      <c r="E13" s="1787">
        <v>34.25</v>
      </c>
      <c r="F13" s="1787">
        <v>35</v>
      </c>
      <c r="G13" s="1787">
        <v>36.25</v>
      </c>
      <c r="H13" s="1788"/>
      <c r="I13" s="1787">
        <v>22</v>
      </c>
      <c r="J13" s="1787">
        <v>23</v>
      </c>
      <c r="K13" s="1787">
        <v>25</v>
      </c>
      <c r="M13" s="1791">
        <v>36708</v>
      </c>
      <c r="N13" s="1792">
        <v>56.575000000000003</v>
      </c>
      <c r="O13" s="1792">
        <v>57.325000000000003</v>
      </c>
      <c r="P13" s="1792">
        <v>58.575000000000003</v>
      </c>
      <c r="Q13" s="29"/>
      <c r="R13" s="1792">
        <v>42.243749999999999</v>
      </c>
      <c r="S13" s="1792">
        <v>42.993749999999999</v>
      </c>
      <c r="T13" s="1792">
        <v>44.243749999999999</v>
      </c>
      <c r="V13" s="500">
        <v>0</v>
      </c>
      <c r="W13" s="500">
        <v>0</v>
      </c>
      <c r="X13" s="500">
        <v>0</v>
      </c>
      <c r="Z13" s="1792">
        <v>0.22</v>
      </c>
      <c r="AA13" s="1792">
        <v>0.27</v>
      </c>
      <c r="AB13" s="1792">
        <v>0.28000000000000003</v>
      </c>
      <c r="AC13" s="29"/>
      <c r="AD13" s="1792">
        <v>0.05</v>
      </c>
      <c r="AE13" s="1792">
        <v>0.11</v>
      </c>
      <c r="AF13" s="1792">
        <v>0.15</v>
      </c>
      <c r="AG13" s="29"/>
      <c r="AH13" s="1792">
        <v>-0.35</v>
      </c>
      <c r="AI13" s="1792">
        <v>3</v>
      </c>
      <c r="AJ13" s="1792">
        <v>0.35</v>
      </c>
      <c r="AK13" s="29"/>
      <c r="AL13" s="1792">
        <v>-0.01</v>
      </c>
      <c r="AM13" s="1792">
        <v>0.16</v>
      </c>
      <c r="AN13" s="1792">
        <v>0.01</v>
      </c>
      <c r="AO13" s="29"/>
      <c r="AP13" s="14">
        <v>2</v>
      </c>
      <c r="AQ13" s="1802">
        <v>0.1</v>
      </c>
      <c r="AS13" s="9">
        <v>300</v>
      </c>
      <c r="AT13" s="28">
        <v>0.9088873808957576</v>
      </c>
      <c r="AU13" s="28">
        <v>0.9030091864427372</v>
      </c>
      <c r="AV13" s="28">
        <v>0.91955126389463693</v>
      </c>
      <c r="AW13" s="28">
        <v>0.90403888419691059</v>
      </c>
      <c r="AX13" s="28">
        <v>0.91659500156567764</v>
      </c>
      <c r="AY13" s="28">
        <v>0.92779751170365121</v>
      </c>
      <c r="AZ13" s="28">
        <v>0.90827473565846717</v>
      </c>
      <c r="BA13" s="28">
        <v>0.92006879590506419</v>
      </c>
      <c r="BB13" s="28">
        <v>0.9230915787665489</v>
      </c>
      <c r="BC13" s="28">
        <v>0.92600644072155802</v>
      </c>
      <c r="BD13" s="28">
        <v>0.92364001681412611</v>
      </c>
      <c r="BE13" s="28">
        <v>0.91328756870301764</v>
      </c>
      <c r="BF13" s="9" t="s">
        <v>366</v>
      </c>
      <c r="BH13" s="267">
        <v>-1</v>
      </c>
      <c r="BI13" s="268">
        <v>3.3E-3</v>
      </c>
      <c r="BQ13" s="325">
        <v>36861</v>
      </c>
      <c r="BR13" s="415">
        <v>3.2370000000000001</v>
      </c>
      <c r="BS13" s="415">
        <v>3.242</v>
      </c>
      <c r="BT13" s="415">
        <v>3.2469999999999999</v>
      </c>
      <c r="BU13" s="416">
        <v>0.41</v>
      </c>
      <c r="BV13" s="416">
        <v>0.41749999999999998</v>
      </c>
      <c r="BW13" s="416">
        <v>0.42499999999999999</v>
      </c>
      <c r="BX13" s="416">
        <v>-7.0000000000000007E-2</v>
      </c>
      <c r="BY13" s="416"/>
      <c r="BZ13" s="416">
        <v>7.0000000000000007E-2</v>
      </c>
      <c r="CA13" s="433">
        <v>0</v>
      </c>
      <c r="CB13" s="1618">
        <v>0</v>
      </c>
      <c r="CC13" s="445">
        <v>2.4730000000000003</v>
      </c>
      <c r="CD13" s="449">
        <v>0.31</v>
      </c>
      <c r="CE13" s="12"/>
      <c r="CF13" s="12"/>
      <c r="CG13" s="12"/>
      <c r="CH13" s="12"/>
      <c r="CI13" s="12"/>
      <c r="CJ13" s="12"/>
      <c r="CK13" s="12"/>
      <c r="CL13" s="12"/>
      <c r="CM13" s="12"/>
      <c r="CN13" s="12"/>
      <c r="CO13" s="12"/>
      <c r="CP13" s="12"/>
      <c r="CQ13" s="12"/>
      <c r="CR13" s="12"/>
      <c r="CS13" s="12"/>
      <c r="CT13" s="12"/>
      <c r="CU13" s="12"/>
      <c r="CV13" s="12"/>
      <c r="CW13" s="12"/>
      <c r="CX13" s="12"/>
      <c r="CY13" s="12"/>
    </row>
    <row r="14" spans="1:103">
      <c r="A14" s="325">
        <v>36982</v>
      </c>
      <c r="B14" s="416">
        <v>6.8418556099149014E-2</v>
      </c>
      <c r="C14" s="286"/>
      <c r="D14" s="1786">
        <v>36634</v>
      </c>
      <c r="E14" s="1787">
        <v>34.25</v>
      </c>
      <c r="F14" s="1787">
        <v>35</v>
      </c>
      <c r="G14" s="1787">
        <v>36.25</v>
      </c>
      <c r="H14" s="1788"/>
      <c r="I14" s="1787">
        <v>22</v>
      </c>
      <c r="J14" s="1787">
        <v>23</v>
      </c>
      <c r="K14" s="1787">
        <v>25</v>
      </c>
      <c r="M14" s="1791">
        <v>36739</v>
      </c>
      <c r="N14" s="1792">
        <v>77.125</v>
      </c>
      <c r="O14" s="1792">
        <v>77.875</v>
      </c>
      <c r="P14" s="1792">
        <v>79.125</v>
      </c>
      <c r="Q14" s="29"/>
      <c r="R14" s="1792">
        <v>57.65625</v>
      </c>
      <c r="S14" s="1792">
        <v>58.40625</v>
      </c>
      <c r="T14" s="1792">
        <v>59.65625</v>
      </c>
      <c r="V14" s="500">
        <v>0</v>
      </c>
      <c r="W14" s="500">
        <v>0</v>
      </c>
      <c r="X14" s="500">
        <v>0</v>
      </c>
      <c r="Z14" s="1792">
        <v>0.22</v>
      </c>
      <c r="AA14" s="1792">
        <v>0.28000000000000003</v>
      </c>
      <c r="AB14" s="1792">
        <v>0.28000000000000003</v>
      </c>
      <c r="AC14" s="29"/>
      <c r="AD14" s="1792">
        <v>0.05</v>
      </c>
      <c r="AE14" s="1792">
        <v>0.11</v>
      </c>
      <c r="AF14" s="1792">
        <v>0.15</v>
      </c>
      <c r="AG14" s="29"/>
      <c r="AH14" s="1792">
        <v>-0.35</v>
      </c>
      <c r="AI14" s="1792">
        <v>3</v>
      </c>
      <c r="AJ14" s="1792">
        <v>0.35</v>
      </c>
      <c r="AK14" s="29"/>
      <c r="AL14" s="1792">
        <v>-0.01</v>
      </c>
      <c r="AM14" s="1792">
        <v>0.16</v>
      </c>
      <c r="AN14" s="1792">
        <v>0.01</v>
      </c>
      <c r="AO14" s="29"/>
      <c r="AP14" s="14">
        <v>2</v>
      </c>
      <c r="AQ14" s="1802">
        <v>0.1</v>
      </c>
      <c r="AS14" s="9">
        <v>400</v>
      </c>
      <c r="AT14" s="28">
        <v>0.92161398310182741</v>
      </c>
      <c r="AU14" s="28">
        <v>0.93121681908208365</v>
      </c>
      <c r="AV14" s="28">
        <v>0.92639216654456569</v>
      </c>
      <c r="AW14" s="28">
        <v>0.91076438416778538</v>
      </c>
      <c r="AX14" s="28">
        <v>0.91233836843147176</v>
      </c>
      <c r="AY14" s="28">
        <v>0.92350877127975139</v>
      </c>
      <c r="AZ14" s="28">
        <v>0.91430097461586135</v>
      </c>
      <c r="BA14" s="28">
        <v>0.92006879590506452</v>
      </c>
      <c r="BB14" s="28">
        <v>0.92343780611753057</v>
      </c>
      <c r="BC14" s="28">
        <v>0.92088431471183463</v>
      </c>
      <c r="BD14" s="28">
        <v>0.91689174772928705</v>
      </c>
      <c r="BE14" s="28">
        <v>0.91840607389190576</v>
      </c>
      <c r="BF14" s="9" t="s">
        <v>366</v>
      </c>
      <c r="BH14" s="267">
        <v>-0.5</v>
      </c>
      <c r="BI14" s="268">
        <v>2.5000000000000001E-3</v>
      </c>
      <c r="BQ14" s="325">
        <v>36892</v>
      </c>
      <c r="BR14" s="415">
        <v>3.2519999999999998</v>
      </c>
      <c r="BS14" s="415">
        <v>3.2570000000000001</v>
      </c>
      <c r="BT14" s="415">
        <v>3.262</v>
      </c>
      <c r="BU14" s="416">
        <v>0.41249999999999998</v>
      </c>
      <c r="BV14" s="416">
        <v>0.42</v>
      </c>
      <c r="BW14" s="416">
        <v>0.42749999999999999</v>
      </c>
      <c r="BX14" s="416">
        <v>-7.0000000000000007E-2</v>
      </c>
      <c r="BY14" s="416"/>
      <c r="BZ14" s="416">
        <v>7.0000000000000007E-2</v>
      </c>
      <c r="CA14" s="433">
        <v>0</v>
      </c>
      <c r="CB14" s="1618">
        <v>0</v>
      </c>
      <c r="CC14" s="445">
        <v>2.4830000000000001</v>
      </c>
      <c r="CD14" s="449">
        <v>0.28999999999999998</v>
      </c>
      <c r="CE14" s="7"/>
      <c r="CF14" s="7"/>
      <c r="CG14" s="7"/>
      <c r="CH14" s="7"/>
      <c r="CI14" s="7"/>
      <c r="CJ14" s="7"/>
      <c r="CK14" s="7"/>
      <c r="CL14" s="7"/>
      <c r="CM14" s="7"/>
      <c r="CN14" s="7"/>
      <c r="CO14" s="7"/>
      <c r="CP14" s="7"/>
      <c r="CQ14" s="7"/>
      <c r="CR14" s="7"/>
      <c r="CS14" s="7"/>
      <c r="CT14" s="7"/>
      <c r="CU14" s="7"/>
      <c r="CV14" s="7"/>
      <c r="CW14" s="7"/>
      <c r="CX14" s="7"/>
      <c r="CY14" s="7"/>
    </row>
    <row r="15" spans="1:103">
      <c r="A15" s="325">
        <v>37012</v>
      </c>
      <c r="B15" s="416">
        <v>6.867702624229699E-2</v>
      </c>
      <c r="C15" s="286"/>
      <c r="D15" s="1786">
        <v>36635</v>
      </c>
      <c r="E15" s="1787">
        <v>34.25</v>
      </c>
      <c r="F15" s="1787">
        <v>35</v>
      </c>
      <c r="G15" s="1787">
        <v>36.25</v>
      </c>
      <c r="H15" s="1788"/>
      <c r="I15" s="1787">
        <v>22</v>
      </c>
      <c r="J15" s="1787">
        <v>23</v>
      </c>
      <c r="K15" s="1787">
        <v>25</v>
      </c>
      <c r="M15" s="1791">
        <v>36770</v>
      </c>
      <c r="N15" s="1792">
        <v>61.125</v>
      </c>
      <c r="O15" s="1792">
        <v>61.875</v>
      </c>
      <c r="P15" s="1792">
        <v>63.125</v>
      </c>
      <c r="Q15" s="29"/>
      <c r="R15" s="1792">
        <v>45.65625</v>
      </c>
      <c r="S15" s="1792">
        <v>46.40625</v>
      </c>
      <c r="T15" s="1792">
        <v>47.65625</v>
      </c>
      <c r="V15" s="500">
        <v>0</v>
      </c>
      <c r="W15" s="500">
        <v>0</v>
      </c>
      <c r="X15" s="500">
        <v>0</v>
      </c>
      <c r="Z15" s="1792">
        <v>0.22</v>
      </c>
      <c r="AA15" s="1792">
        <v>0.35</v>
      </c>
      <c r="AB15" s="1792">
        <v>0.28000000000000003</v>
      </c>
      <c r="AC15" s="29"/>
      <c r="AD15" s="1792">
        <v>0.05</v>
      </c>
      <c r="AE15" s="1792">
        <v>0.11</v>
      </c>
      <c r="AF15" s="1792">
        <v>0.15</v>
      </c>
      <c r="AG15" s="29"/>
      <c r="AH15" s="1792">
        <v>-0.35</v>
      </c>
      <c r="AI15" s="1792">
        <v>3</v>
      </c>
      <c r="AJ15" s="1792">
        <v>0.2</v>
      </c>
      <c r="AK15" s="29"/>
      <c r="AL15" s="1792">
        <v>-0.01</v>
      </c>
      <c r="AM15" s="1792">
        <v>0.16</v>
      </c>
      <c r="AN15" s="1792">
        <v>0.01</v>
      </c>
      <c r="AO15" s="29"/>
      <c r="AP15" s="14">
        <v>2</v>
      </c>
      <c r="AQ15" s="1802">
        <v>0.1</v>
      </c>
      <c r="AS15" s="9">
        <v>500</v>
      </c>
      <c r="AT15" s="28">
        <v>0.9730155904555271</v>
      </c>
      <c r="AU15" s="28">
        <v>0.98124040582310545</v>
      </c>
      <c r="AV15" s="28">
        <v>0.99499254696413197</v>
      </c>
      <c r="AW15" s="28">
        <v>0.97820750974984561</v>
      </c>
      <c r="AX15" s="28">
        <v>0.95348582206212906</v>
      </c>
      <c r="AY15" s="28">
        <v>0.93780457269275075</v>
      </c>
      <c r="AZ15" s="28">
        <v>0.94027646080687988</v>
      </c>
      <c r="BA15" s="28">
        <v>0.95254711914668744</v>
      </c>
      <c r="BB15" s="28">
        <v>0.96335287358067234</v>
      </c>
      <c r="BC15" s="28">
        <v>0.95490082207130866</v>
      </c>
      <c r="BD15" s="28">
        <v>0.97712702897668724</v>
      </c>
      <c r="BE15" s="28">
        <v>0.95838626247757464</v>
      </c>
      <c r="BF15" s="9" t="s">
        <v>366</v>
      </c>
      <c r="BH15" s="267">
        <v>0</v>
      </c>
      <c r="BI15" s="268">
        <v>0</v>
      </c>
      <c r="BQ15" s="325">
        <v>36923</v>
      </c>
      <c r="BR15" s="415">
        <v>3.0869999999999997</v>
      </c>
      <c r="BS15" s="415">
        <v>3.0920000000000001</v>
      </c>
      <c r="BT15" s="415">
        <v>3.097</v>
      </c>
      <c r="BU15" s="416">
        <v>0.40250000000000002</v>
      </c>
      <c r="BV15" s="416">
        <v>0.41</v>
      </c>
      <c r="BW15" s="416">
        <v>0.41749999999999998</v>
      </c>
      <c r="BX15" s="416">
        <v>-7.0000000000000007E-2</v>
      </c>
      <c r="BY15" s="416"/>
      <c r="BZ15" s="416">
        <v>7.0000000000000007E-2</v>
      </c>
      <c r="CA15" s="433">
        <v>0</v>
      </c>
      <c r="CB15" s="1618">
        <v>0</v>
      </c>
      <c r="CC15" s="445">
        <v>2.4849999999999999</v>
      </c>
      <c r="CD15" s="449">
        <v>0.28249999999999997</v>
      </c>
      <c r="CE15" s="12"/>
      <c r="CF15" s="12"/>
      <c r="CG15" s="12"/>
      <c r="CH15" s="12"/>
      <c r="CI15" s="12"/>
      <c r="CJ15" s="12"/>
      <c r="CK15" s="12"/>
      <c r="CL15" s="12"/>
      <c r="CM15" s="12"/>
      <c r="CN15" s="12"/>
      <c r="CO15" s="12"/>
      <c r="CP15" s="12"/>
      <c r="CQ15" s="12"/>
      <c r="CR15" s="12"/>
      <c r="CS15" s="12"/>
      <c r="CT15" s="12"/>
      <c r="CU15" s="12"/>
      <c r="CV15" s="12"/>
      <c r="CW15" s="12"/>
      <c r="CX15" s="12"/>
      <c r="CY15" s="12"/>
    </row>
    <row r="16" spans="1:103">
      <c r="A16" s="325">
        <v>37043</v>
      </c>
      <c r="B16" s="416">
        <v>6.8944112080107034E-2</v>
      </c>
      <c r="C16" s="286"/>
      <c r="D16" s="1786">
        <v>36636</v>
      </c>
      <c r="E16" s="1787">
        <v>34.25</v>
      </c>
      <c r="F16" s="1787">
        <v>35</v>
      </c>
      <c r="G16" s="1787">
        <v>36.25</v>
      </c>
      <c r="H16" s="1788"/>
      <c r="I16" s="1787">
        <v>22</v>
      </c>
      <c r="J16" s="1787">
        <v>23</v>
      </c>
      <c r="K16" s="1787">
        <v>25</v>
      </c>
      <c r="M16" s="1791">
        <v>36800</v>
      </c>
      <c r="N16" s="1792">
        <v>42.375</v>
      </c>
      <c r="O16" s="1792">
        <v>43.125</v>
      </c>
      <c r="P16" s="1792">
        <v>44.375</v>
      </c>
      <c r="Q16" s="29"/>
      <c r="R16" s="1792">
        <v>31.59375</v>
      </c>
      <c r="S16" s="1792">
        <v>32.34375</v>
      </c>
      <c r="T16" s="1792">
        <v>33.59375</v>
      </c>
      <c r="V16" s="500">
        <v>0</v>
      </c>
      <c r="W16" s="500">
        <v>0</v>
      </c>
      <c r="X16" s="500">
        <v>0</v>
      </c>
      <c r="Z16" s="1792">
        <v>0.22</v>
      </c>
      <c r="AA16" s="1792">
        <v>0.28000000000000003</v>
      </c>
      <c r="AB16" s="1792">
        <v>0.28000000000000003</v>
      </c>
      <c r="AC16" s="29"/>
      <c r="AD16" s="1792">
        <v>0.05</v>
      </c>
      <c r="AE16" s="1792">
        <v>0.11</v>
      </c>
      <c r="AF16" s="1792">
        <v>0.15</v>
      </c>
      <c r="AG16" s="29"/>
      <c r="AH16" s="1792">
        <v>-0.1</v>
      </c>
      <c r="AI16" s="1792">
        <v>0.6</v>
      </c>
      <c r="AJ16" s="1792">
        <v>0.1</v>
      </c>
      <c r="AK16" s="29"/>
      <c r="AL16" s="1792">
        <v>-0.01</v>
      </c>
      <c r="AM16" s="1792">
        <v>0.16</v>
      </c>
      <c r="AN16" s="1792">
        <v>0.01</v>
      </c>
      <c r="AO16" s="29"/>
      <c r="AP16" s="14">
        <v>3</v>
      </c>
      <c r="AQ16" s="1802">
        <v>0.1</v>
      </c>
      <c r="AS16" s="9">
        <v>600</v>
      </c>
      <c r="AT16" s="28">
        <v>1.1404422396572851</v>
      </c>
      <c r="AU16" s="28">
        <v>1.1351976461191118</v>
      </c>
      <c r="AV16" s="28">
        <v>1.0869569221264093</v>
      </c>
      <c r="AW16" s="28">
        <v>1.08282491410023</v>
      </c>
      <c r="AX16" s="28">
        <v>1.0499695064374637</v>
      </c>
      <c r="AY16" s="28">
        <v>1.0221498010294463</v>
      </c>
      <c r="AZ16" s="28">
        <v>0.98179224726255354</v>
      </c>
      <c r="BA16" s="28">
        <v>1.0397844804803567</v>
      </c>
      <c r="BB16" s="28">
        <v>1.0302079901457761</v>
      </c>
      <c r="BC16" s="28">
        <v>1.0528792451828599</v>
      </c>
      <c r="BD16" s="28">
        <v>1.124261987007926</v>
      </c>
      <c r="BE16" s="28">
        <v>1.1170447893753435</v>
      </c>
      <c r="BF16" s="9" t="s">
        <v>366</v>
      </c>
      <c r="BH16" s="269">
        <v>1</v>
      </c>
      <c r="BI16" s="268">
        <v>5.0000000000000001E-3</v>
      </c>
      <c r="BQ16" s="325">
        <v>36951</v>
      </c>
      <c r="BR16" s="415">
        <v>2.9220000000000002</v>
      </c>
      <c r="BS16" s="415">
        <v>2.927</v>
      </c>
      <c r="BT16" s="415">
        <v>2.9319999999999999</v>
      </c>
      <c r="BU16" s="416">
        <v>0.35499999999999998</v>
      </c>
      <c r="BV16" s="416">
        <v>0.36249999999999999</v>
      </c>
      <c r="BW16" s="416">
        <v>0.37</v>
      </c>
      <c r="BX16" s="416">
        <v>-7.0000000000000007E-2</v>
      </c>
      <c r="BY16" s="416"/>
      <c r="BZ16" s="416">
        <v>7.0000000000000007E-2</v>
      </c>
      <c r="CA16" s="433">
        <v>0</v>
      </c>
      <c r="CB16" s="1618">
        <v>0</v>
      </c>
      <c r="CC16" s="445">
        <v>2.5</v>
      </c>
      <c r="CD16" s="449">
        <v>0.27750000000000002</v>
      </c>
      <c r="CE16" s="7"/>
      <c r="CF16" s="7"/>
      <c r="CG16" s="7"/>
      <c r="CH16" s="7"/>
      <c r="CI16" s="7"/>
      <c r="CJ16" s="7"/>
      <c r="CK16" s="7"/>
      <c r="CL16" s="7"/>
      <c r="CM16" s="7"/>
      <c r="CN16" s="7"/>
      <c r="CO16" s="7"/>
      <c r="CP16" s="7"/>
      <c r="CQ16" s="7"/>
      <c r="CR16" s="7"/>
      <c r="CS16" s="7"/>
      <c r="CT16" s="7"/>
      <c r="CU16" s="7"/>
      <c r="CV16" s="7"/>
      <c r="CW16" s="7"/>
      <c r="CX16" s="7"/>
      <c r="CY16" s="7"/>
    </row>
    <row r="17" spans="1:103">
      <c r="A17" s="325">
        <v>37073</v>
      </c>
      <c r="B17" s="416">
        <v>6.9186333097717018E-2</v>
      </c>
      <c r="C17" s="286"/>
      <c r="D17" s="1786">
        <v>36637</v>
      </c>
      <c r="E17" s="1787">
        <v>34.25</v>
      </c>
      <c r="F17" s="1787">
        <v>35</v>
      </c>
      <c r="G17" s="1787">
        <v>36.25</v>
      </c>
      <c r="H17" s="1788"/>
      <c r="I17" s="1787">
        <v>22</v>
      </c>
      <c r="J17" s="1787">
        <v>23</v>
      </c>
      <c r="K17" s="1787">
        <v>25</v>
      </c>
      <c r="M17" s="1791">
        <v>36831</v>
      </c>
      <c r="N17" s="1792">
        <v>34.625</v>
      </c>
      <c r="O17" s="1792">
        <v>35.375</v>
      </c>
      <c r="P17" s="1792">
        <v>36.625</v>
      </c>
      <c r="Q17" s="29"/>
      <c r="R17" s="1792">
        <v>25.78125</v>
      </c>
      <c r="S17" s="1792">
        <v>26.53125</v>
      </c>
      <c r="T17" s="1792">
        <v>27.78125</v>
      </c>
      <c r="V17" s="500">
        <v>0</v>
      </c>
      <c r="W17" s="500">
        <v>0</v>
      </c>
      <c r="X17" s="500">
        <v>0</v>
      </c>
      <c r="Z17" s="1792">
        <v>0.22</v>
      </c>
      <c r="AA17" s="1792">
        <v>0.2</v>
      </c>
      <c r="AB17" s="1792">
        <v>0.28000000000000003</v>
      </c>
      <c r="AC17" s="29"/>
      <c r="AD17" s="1792">
        <v>0.05</v>
      </c>
      <c r="AE17" s="1792">
        <v>0.11</v>
      </c>
      <c r="AF17" s="1792">
        <v>0.15</v>
      </c>
      <c r="AG17" s="29"/>
      <c r="AH17" s="1792">
        <v>-0.1</v>
      </c>
      <c r="AI17" s="1792">
        <v>0.6</v>
      </c>
      <c r="AJ17" s="1792">
        <v>0.1</v>
      </c>
      <c r="AK17" s="29"/>
      <c r="AL17" s="1792">
        <v>-0.01</v>
      </c>
      <c r="AM17" s="1792">
        <v>0.16</v>
      </c>
      <c r="AN17" s="1792">
        <v>0.01</v>
      </c>
      <c r="AO17" s="29"/>
      <c r="AP17" s="14">
        <v>3</v>
      </c>
      <c r="AQ17" s="1802">
        <v>0.1</v>
      </c>
      <c r="AS17" s="9">
        <v>700</v>
      </c>
      <c r="AT17" s="28">
        <v>0.90110710412531714</v>
      </c>
      <c r="AU17" s="28">
        <v>0.95958946964023195</v>
      </c>
      <c r="AV17" s="28">
        <v>0.921267339337837</v>
      </c>
      <c r="AW17" s="28">
        <v>0.89178970632681698</v>
      </c>
      <c r="AX17" s="28">
        <v>0.86748360592107954</v>
      </c>
      <c r="AY17" s="28">
        <v>0.79025339188575217</v>
      </c>
      <c r="AZ17" s="28">
        <v>0.70604548148962254</v>
      </c>
      <c r="BA17" s="28">
        <v>0.73137280722258424</v>
      </c>
      <c r="BB17" s="28">
        <v>0.77825510918897911</v>
      </c>
      <c r="BC17" s="28">
        <v>0.85786542834087265</v>
      </c>
      <c r="BD17" s="28">
        <v>0.86074729257346783</v>
      </c>
      <c r="BE17" s="28">
        <v>0.85710051321143688</v>
      </c>
      <c r="BF17" s="9" t="s">
        <v>331</v>
      </c>
      <c r="BH17" s="269">
        <v>2</v>
      </c>
      <c r="BI17" s="268">
        <v>0.01</v>
      </c>
      <c r="BQ17" s="325">
        <v>36982</v>
      </c>
      <c r="BR17" s="415">
        <v>2.7770000000000001</v>
      </c>
      <c r="BS17" s="415">
        <v>2.782</v>
      </c>
      <c r="BT17" s="415">
        <v>2.7869999999999999</v>
      </c>
      <c r="BU17" s="416">
        <v>0.28249999999999997</v>
      </c>
      <c r="BV17" s="416">
        <v>0.28999999999999998</v>
      </c>
      <c r="BW17" s="416">
        <v>0.29749999999999999</v>
      </c>
      <c r="BX17" s="416">
        <v>-7.0000000000000007E-2</v>
      </c>
      <c r="BY17" s="416"/>
      <c r="BZ17" s="416">
        <v>7.0000000000000007E-2</v>
      </c>
      <c r="CA17" s="433">
        <v>0</v>
      </c>
      <c r="CB17" s="1618">
        <v>0</v>
      </c>
      <c r="CC17" s="445">
        <v>2.512</v>
      </c>
      <c r="CD17" s="449">
        <v>0.27250000000000002</v>
      </c>
      <c r="CE17" s="7"/>
      <c r="CF17" s="7"/>
      <c r="CG17" s="7"/>
      <c r="CH17" s="7"/>
      <c r="CI17" s="7"/>
      <c r="CJ17" s="7"/>
      <c r="CK17" s="7"/>
      <c r="CL17" s="7"/>
      <c r="CM17" s="7"/>
      <c r="CN17" s="7"/>
      <c r="CO17" s="7"/>
      <c r="CP17" s="7"/>
      <c r="CQ17" s="7"/>
      <c r="CR17" s="7"/>
      <c r="CS17" s="7"/>
      <c r="CT17" s="7"/>
      <c r="CU17" s="7"/>
      <c r="CV17" s="7"/>
      <c r="CW17" s="7"/>
      <c r="CX17" s="7"/>
      <c r="CY17" s="7"/>
    </row>
    <row r="18" spans="1:103">
      <c r="A18" s="325">
        <v>37104</v>
      </c>
      <c r="B18" s="416">
        <v>6.9405942853234009E-2</v>
      </c>
      <c r="C18" s="286"/>
      <c r="D18" s="1786">
        <v>36638</v>
      </c>
      <c r="E18" s="1787">
        <v>34.25</v>
      </c>
      <c r="F18" s="1787">
        <v>35</v>
      </c>
      <c r="G18" s="1787">
        <v>36.25</v>
      </c>
      <c r="H18" s="1788"/>
      <c r="I18" s="1787">
        <v>22</v>
      </c>
      <c r="J18" s="1787">
        <v>23</v>
      </c>
      <c r="K18" s="1787">
        <v>25</v>
      </c>
      <c r="M18" s="1791">
        <v>36861</v>
      </c>
      <c r="N18" s="1792">
        <v>34.625</v>
      </c>
      <c r="O18" s="1792">
        <v>35.375</v>
      </c>
      <c r="P18" s="1792">
        <v>36.625</v>
      </c>
      <c r="Q18" s="29"/>
      <c r="R18" s="1792">
        <v>25.78125</v>
      </c>
      <c r="S18" s="1792">
        <v>26.53125</v>
      </c>
      <c r="T18" s="1792">
        <v>27.78125</v>
      </c>
      <c r="V18" s="500">
        <v>0</v>
      </c>
      <c r="W18" s="500">
        <v>0</v>
      </c>
      <c r="X18" s="500">
        <v>0</v>
      </c>
      <c r="Z18" s="1792">
        <v>0.22</v>
      </c>
      <c r="AA18" s="1792">
        <v>0.2</v>
      </c>
      <c r="AB18" s="1792">
        <v>0.28000000000000003</v>
      </c>
      <c r="AC18" s="29"/>
      <c r="AD18" s="1792">
        <v>0.05</v>
      </c>
      <c r="AE18" s="1792">
        <v>0.11</v>
      </c>
      <c r="AF18" s="1792">
        <v>0.15</v>
      </c>
      <c r="AG18" s="29"/>
      <c r="AH18" s="1792">
        <v>-0.25</v>
      </c>
      <c r="AI18" s="1792">
        <v>0.6</v>
      </c>
      <c r="AJ18" s="1792">
        <v>0.25</v>
      </c>
      <c r="AK18" s="29"/>
      <c r="AL18" s="1792">
        <v>-0.01</v>
      </c>
      <c r="AM18" s="1792">
        <v>0.16</v>
      </c>
      <c r="AN18" s="1792">
        <v>0.01</v>
      </c>
      <c r="AO18" s="29"/>
      <c r="AP18" s="14">
        <v>3</v>
      </c>
      <c r="AQ18" s="1802">
        <v>0.1</v>
      </c>
      <c r="AS18" s="9">
        <v>800</v>
      </c>
      <c r="AT18" s="28">
        <v>1.0241276464910305</v>
      </c>
      <c r="AU18" s="28">
        <v>1.0262435884894936</v>
      </c>
      <c r="AV18" s="28">
        <v>0.99356410363564929</v>
      </c>
      <c r="AW18" s="28">
        <v>0.97655864589704833</v>
      </c>
      <c r="AX18" s="28">
        <v>0.94438893665802492</v>
      </c>
      <c r="AY18" s="28">
        <v>0.86700924584853467</v>
      </c>
      <c r="AZ18" s="28">
        <v>0.80327141664557056</v>
      </c>
      <c r="BA18" s="28">
        <v>0.82483473288730857</v>
      </c>
      <c r="BB18" s="28">
        <v>0.85261389302369106</v>
      </c>
      <c r="BC18" s="28">
        <v>0.9294636785063648</v>
      </c>
      <c r="BD18" s="28">
        <v>0.99036634140673152</v>
      </c>
      <c r="BE18" s="28">
        <v>0.98314470633076589</v>
      </c>
      <c r="BF18" s="9" t="s">
        <v>331</v>
      </c>
      <c r="BH18" s="269">
        <v>3</v>
      </c>
      <c r="BI18" s="268">
        <v>0.02</v>
      </c>
      <c r="BQ18" s="325">
        <v>37012</v>
      </c>
      <c r="BR18" s="415">
        <v>2.7370000000000001</v>
      </c>
      <c r="BS18" s="415">
        <v>2.742</v>
      </c>
      <c r="BT18" s="415">
        <v>2.7469999999999999</v>
      </c>
      <c r="BU18" s="416">
        <v>0.2525</v>
      </c>
      <c r="BV18" s="416">
        <v>0.26</v>
      </c>
      <c r="BW18" s="416">
        <v>0.26750000000000002</v>
      </c>
      <c r="BX18" s="416">
        <v>-7.0000000000000007E-2</v>
      </c>
      <c r="BY18" s="416"/>
      <c r="BZ18" s="416">
        <v>7.0000000000000007E-2</v>
      </c>
      <c r="CA18" s="433">
        <v>0</v>
      </c>
      <c r="CB18" s="1618">
        <v>0</v>
      </c>
      <c r="CC18" s="445">
        <v>2.56</v>
      </c>
      <c r="CD18" s="449">
        <v>0.26750000000000002</v>
      </c>
    </row>
    <row r="19" spans="1:103">
      <c r="A19" s="325">
        <v>37135</v>
      </c>
      <c r="B19" s="416">
        <v>6.9625552624703005E-2</v>
      </c>
      <c r="C19" s="286"/>
      <c r="D19" s="1786">
        <v>36639</v>
      </c>
      <c r="E19" s="1787">
        <v>26.25</v>
      </c>
      <c r="F19" s="1787">
        <v>27</v>
      </c>
      <c r="G19" s="1787">
        <v>28.25</v>
      </c>
      <c r="H19" s="1788"/>
      <c r="I19" s="1787">
        <v>22</v>
      </c>
      <c r="J19" s="1787">
        <v>23</v>
      </c>
      <c r="K19" s="1787">
        <v>25</v>
      </c>
      <c r="M19" s="1791">
        <v>36892</v>
      </c>
      <c r="N19" s="1792">
        <v>34</v>
      </c>
      <c r="O19" s="1792">
        <v>35</v>
      </c>
      <c r="P19" s="1792">
        <v>38.5</v>
      </c>
      <c r="Q19" s="29"/>
      <c r="R19" s="1792">
        <v>25.25</v>
      </c>
      <c r="S19" s="1792">
        <v>26.25</v>
      </c>
      <c r="T19" s="1792">
        <v>29.75</v>
      </c>
      <c r="V19" s="500">
        <v>0</v>
      </c>
      <c r="W19" s="500">
        <v>0</v>
      </c>
      <c r="X19" s="500">
        <v>0</v>
      </c>
      <c r="Z19" s="1792">
        <v>0.22</v>
      </c>
      <c r="AA19" s="1792">
        <v>0.23</v>
      </c>
      <c r="AB19" s="1792">
        <v>0.28000000000000003</v>
      </c>
      <c r="AC19" s="29"/>
      <c r="AD19" s="1792">
        <v>0.05</v>
      </c>
      <c r="AE19" s="1792">
        <v>0.11</v>
      </c>
      <c r="AF19" s="1792">
        <v>0.15</v>
      </c>
      <c r="AG19" s="29"/>
      <c r="AH19" s="1792">
        <v>-0.25</v>
      </c>
      <c r="AI19" s="1792">
        <v>0.65</v>
      </c>
      <c r="AJ19" s="1792">
        <v>0.25</v>
      </c>
      <c r="AK19" s="29"/>
      <c r="AL19" s="1792">
        <v>-0.01</v>
      </c>
      <c r="AM19" s="1792">
        <v>0.16</v>
      </c>
      <c r="AN19" s="1792">
        <v>0.01</v>
      </c>
      <c r="AO19" s="29"/>
      <c r="AP19" s="14">
        <v>4</v>
      </c>
      <c r="AQ19" s="1802">
        <v>0.1</v>
      </c>
      <c r="AS19" s="9">
        <v>900</v>
      </c>
      <c r="AT19" s="28">
        <v>1.0624127921542466</v>
      </c>
      <c r="AU19" s="28">
        <v>1.0572722300227704</v>
      </c>
      <c r="AV19" s="28">
        <v>1.0300567560907357</v>
      </c>
      <c r="AW19" s="28">
        <v>1.0248460475760905</v>
      </c>
      <c r="AX19" s="28">
        <v>0.99207311029025136</v>
      </c>
      <c r="AY19" s="28">
        <v>0.93446121803348958</v>
      </c>
      <c r="AZ19" s="28">
        <v>0.8785990958642601</v>
      </c>
      <c r="BA19" s="28">
        <v>0.89006887145644908</v>
      </c>
      <c r="BB19" s="28">
        <v>0.92974675599539636</v>
      </c>
      <c r="BC19" s="28">
        <v>0.99475775101836539</v>
      </c>
      <c r="BD19" s="28">
        <v>1.0330132507749779</v>
      </c>
      <c r="BE19" s="28">
        <v>1.0299773235655028</v>
      </c>
      <c r="BF19" s="9" t="s">
        <v>331</v>
      </c>
      <c r="BH19" s="269">
        <v>4</v>
      </c>
      <c r="BI19" s="268">
        <v>0.04</v>
      </c>
      <c r="BQ19" s="325">
        <v>37043</v>
      </c>
      <c r="BR19" s="415">
        <v>2.7430000000000003</v>
      </c>
      <c r="BS19" s="415">
        <v>2.7480000000000002</v>
      </c>
      <c r="BT19" s="415">
        <v>2.7530000000000001</v>
      </c>
      <c r="BU19" s="416">
        <v>0.245</v>
      </c>
      <c r="BV19" s="416">
        <v>0.2525</v>
      </c>
      <c r="BW19" s="416">
        <v>0.26</v>
      </c>
      <c r="BX19" s="416">
        <v>-7.0000000000000007E-2</v>
      </c>
      <c r="BY19" s="416"/>
      <c r="BZ19" s="416">
        <v>7.0000000000000007E-2</v>
      </c>
      <c r="CA19" s="433">
        <v>0</v>
      </c>
      <c r="CB19" s="1618">
        <v>0</v>
      </c>
      <c r="CC19" s="445">
        <v>2.7130000000000001</v>
      </c>
      <c r="CD19" s="449">
        <v>0.27</v>
      </c>
    </row>
    <row r="20" spans="1:103">
      <c r="A20" s="325">
        <v>37165</v>
      </c>
      <c r="B20" s="416">
        <v>6.9816471728604029E-2</v>
      </c>
      <c r="C20" s="286"/>
      <c r="D20" s="1786">
        <v>36640</v>
      </c>
      <c r="E20" s="1787">
        <v>34.25</v>
      </c>
      <c r="F20" s="1787">
        <v>35</v>
      </c>
      <c r="G20" s="1787">
        <v>36.25</v>
      </c>
      <c r="H20" s="1788"/>
      <c r="I20" s="1787">
        <v>22</v>
      </c>
      <c r="J20" s="1787">
        <v>23</v>
      </c>
      <c r="K20" s="1787">
        <v>25</v>
      </c>
      <c r="M20" s="1791">
        <v>36923</v>
      </c>
      <c r="N20" s="1792">
        <v>33.5</v>
      </c>
      <c r="O20" s="1792">
        <v>34.5</v>
      </c>
      <c r="P20" s="1792">
        <v>38</v>
      </c>
      <c r="Q20" s="29"/>
      <c r="R20" s="1792">
        <v>24.875</v>
      </c>
      <c r="S20" s="1792">
        <v>25.875</v>
      </c>
      <c r="T20" s="1792">
        <v>29.375</v>
      </c>
      <c r="V20" s="500">
        <v>0</v>
      </c>
      <c r="W20" s="500">
        <v>0</v>
      </c>
      <c r="X20" s="500">
        <v>0</v>
      </c>
      <c r="Z20" s="1792">
        <v>0.22</v>
      </c>
      <c r="AA20" s="1792">
        <v>0.23</v>
      </c>
      <c r="AB20" s="1792">
        <v>0.28000000000000003</v>
      </c>
      <c r="AC20" s="29"/>
      <c r="AD20" s="1792">
        <v>0.05</v>
      </c>
      <c r="AE20" s="1792">
        <v>0.11</v>
      </c>
      <c r="AF20" s="1792">
        <v>0.15</v>
      </c>
      <c r="AG20" s="29"/>
      <c r="AH20" s="1792">
        <v>-0.25</v>
      </c>
      <c r="AI20" s="1792">
        <v>0.65</v>
      </c>
      <c r="AJ20" s="1792">
        <v>0.25</v>
      </c>
      <c r="AK20" s="29"/>
      <c r="AL20" s="1792">
        <v>-0.01</v>
      </c>
      <c r="AM20" s="1792">
        <v>0.16</v>
      </c>
      <c r="AN20" s="1792">
        <v>0.01</v>
      </c>
      <c r="AO20" s="29"/>
      <c r="AP20" s="14">
        <v>4</v>
      </c>
      <c r="AQ20" s="1802">
        <v>0.1</v>
      </c>
      <c r="AS20" s="9">
        <v>1000</v>
      </c>
      <c r="AT20" s="28">
        <v>1.0567210723413814</v>
      </c>
      <c r="AU20" s="28">
        <v>1.0607198568598013</v>
      </c>
      <c r="AV20" s="28">
        <v>1.0465817307873784</v>
      </c>
      <c r="AW20" s="28">
        <v>1.0543950545737135</v>
      </c>
      <c r="AX20" s="28">
        <v>1.0335154559018862</v>
      </c>
      <c r="AY20" s="28">
        <v>0.99807098927120119</v>
      </c>
      <c r="AZ20" s="28">
        <v>0.93855451886009911</v>
      </c>
      <c r="BA20" s="28">
        <v>0.94357301148220196</v>
      </c>
      <c r="BB20" s="28">
        <v>0.99108773608015255</v>
      </c>
      <c r="BC20" s="28">
        <v>1.0277460648281171</v>
      </c>
      <c r="BD20" s="28">
        <v>1.0405427092022554</v>
      </c>
      <c r="BE20" s="28">
        <v>1.0405520394131977</v>
      </c>
      <c r="BF20" s="9" t="s">
        <v>331</v>
      </c>
      <c r="BH20" s="269">
        <v>5</v>
      </c>
      <c r="BI20" s="268">
        <v>0.06</v>
      </c>
      <c r="BQ20" s="325">
        <v>37073</v>
      </c>
      <c r="BR20" s="415">
        <v>2.75</v>
      </c>
      <c r="BS20" s="415">
        <v>2.7549999999999999</v>
      </c>
      <c r="BT20" s="415">
        <v>2.76</v>
      </c>
      <c r="BU20" s="416">
        <v>0.24249999999999999</v>
      </c>
      <c r="BV20" s="416">
        <v>0.25</v>
      </c>
      <c r="BW20" s="416">
        <v>0.25750000000000001</v>
      </c>
      <c r="BX20" s="416">
        <v>-7.0000000000000007E-2</v>
      </c>
      <c r="BY20" s="416"/>
      <c r="BZ20" s="416">
        <v>7.0000000000000007E-2</v>
      </c>
      <c r="CA20" s="433">
        <v>0</v>
      </c>
      <c r="CB20" s="1618">
        <v>0</v>
      </c>
      <c r="CC20" s="445">
        <v>2.8530000000000002</v>
      </c>
      <c r="CD20" s="449">
        <v>0.26500000000000001</v>
      </c>
    </row>
    <row r="21" spans="1:103">
      <c r="A21" s="325">
        <v>37196</v>
      </c>
      <c r="B21" s="416">
        <v>6.9978270516739008E-2</v>
      </c>
      <c r="C21" s="286"/>
      <c r="D21" s="1786">
        <v>36641</v>
      </c>
      <c r="E21" s="1787">
        <v>34.25</v>
      </c>
      <c r="F21" s="1787">
        <v>35</v>
      </c>
      <c r="G21" s="1787">
        <v>36.25</v>
      </c>
      <c r="H21" s="1788"/>
      <c r="I21" s="1787">
        <v>22</v>
      </c>
      <c r="J21" s="1787">
        <v>23</v>
      </c>
      <c r="K21" s="1787">
        <v>25</v>
      </c>
      <c r="M21" s="1791">
        <v>36951</v>
      </c>
      <c r="N21" s="1792">
        <v>32.75</v>
      </c>
      <c r="O21" s="1792">
        <v>33.75</v>
      </c>
      <c r="P21" s="1792">
        <v>37.25</v>
      </c>
      <c r="Q21" s="29"/>
      <c r="R21" s="1792">
        <v>24.3125</v>
      </c>
      <c r="S21" s="1792">
        <v>25.3125</v>
      </c>
      <c r="T21" s="1792">
        <v>28.8125</v>
      </c>
      <c r="V21" s="500">
        <v>0</v>
      </c>
      <c r="W21" s="500">
        <v>0</v>
      </c>
      <c r="X21" s="500">
        <v>0</v>
      </c>
      <c r="Z21" s="1792">
        <v>0.22</v>
      </c>
      <c r="AA21" s="1792">
        <v>0.2</v>
      </c>
      <c r="AB21" s="1792">
        <v>0.28000000000000003</v>
      </c>
      <c r="AC21" s="29"/>
      <c r="AD21" s="1792">
        <v>0.05</v>
      </c>
      <c r="AE21" s="1792">
        <v>0.11</v>
      </c>
      <c r="AF21" s="1792">
        <v>0.15</v>
      </c>
      <c r="AG21" s="29"/>
      <c r="AH21" s="1792">
        <v>-0.1</v>
      </c>
      <c r="AI21" s="1792">
        <v>0.65</v>
      </c>
      <c r="AJ21" s="1792">
        <v>0.1</v>
      </c>
      <c r="AK21" s="29"/>
      <c r="AL21" s="1792">
        <v>-0.01</v>
      </c>
      <c r="AM21" s="1792">
        <v>0.16</v>
      </c>
      <c r="AN21" s="1792">
        <v>0.01</v>
      </c>
      <c r="AO21" s="29"/>
      <c r="AP21" s="14">
        <v>4</v>
      </c>
      <c r="AQ21" s="1802">
        <v>0.1</v>
      </c>
      <c r="AS21" s="9">
        <v>1100</v>
      </c>
      <c r="AT21" s="28">
        <v>1.0432702193226386</v>
      </c>
      <c r="AU21" s="28">
        <v>1.0234396597300239</v>
      </c>
      <c r="AV21" s="28">
        <v>1.0473818598578732</v>
      </c>
      <c r="AW21" s="28">
        <v>1.0667105676860071</v>
      </c>
      <c r="AX21" s="28">
        <v>1.0502773530111948</v>
      </c>
      <c r="AY21" s="28">
        <v>1.0282393818940079</v>
      </c>
      <c r="AZ21" s="28">
        <v>0.99290663129557954</v>
      </c>
      <c r="BA21" s="28">
        <v>0.9884765585670422</v>
      </c>
      <c r="BB21" s="28">
        <v>1.025204875978909</v>
      </c>
      <c r="BC21" s="28">
        <v>1.0418164308532885</v>
      </c>
      <c r="BD21" s="28">
        <v>1.0347847653568676</v>
      </c>
      <c r="BE21" s="28">
        <v>1.0358991644402118</v>
      </c>
      <c r="BF21" s="9" t="s">
        <v>331</v>
      </c>
      <c r="BH21" s="269">
        <v>6</v>
      </c>
      <c r="BI21" s="268">
        <v>0.08</v>
      </c>
      <c r="BQ21" s="325">
        <v>37104</v>
      </c>
      <c r="BR21" s="415">
        <v>2.7540000000000004</v>
      </c>
      <c r="BS21" s="415">
        <v>2.7590000000000003</v>
      </c>
      <c r="BT21" s="415">
        <v>2.7640000000000002</v>
      </c>
      <c r="BU21" s="416">
        <v>0.24249999999999999</v>
      </c>
      <c r="BV21" s="416">
        <v>0.25</v>
      </c>
      <c r="BW21" s="416">
        <v>0.25750000000000001</v>
      </c>
      <c r="BX21" s="416">
        <v>-7.0000000000000007E-2</v>
      </c>
      <c r="BY21" s="416"/>
      <c r="BZ21" s="416">
        <v>7.0000000000000007E-2</v>
      </c>
      <c r="CA21" s="433">
        <v>0</v>
      </c>
      <c r="CB21" s="1618">
        <v>0</v>
      </c>
      <c r="CC21" s="445">
        <v>2.8740000000000006</v>
      </c>
      <c r="CD21" s="449">
        <v>0.27750000000000002</v>
      </c>
    </row>
    <row r="22" spans="1:103">
      <c r="A22" s="325">
        <v>37226</v>
      </c>
      <c r="B22" s="416">
        <v>7.013484999736902E-2</v>
      </c>
      <c r="C22" s="286"/>
      <c r="D22" s="1786">
        <v>36642</v>
      </c>
      <c r="E22" s="1787">
        <v>34.25</v>
      </c>
      <c r="F22" s="1787">
        <v>35</v>
      </c>
      <c r="G22" s="1787">
        <v>36.25</v>
      </c>
      <c r="H22" s="1788"/>
      <c r="I22" s="1787">
        <v>22</v>
      </c>
      <c r="J22" s="1787">
        <v>23</v>
      </c>
      <c r="K22" s="1787">
        <v>25</v>
      </c>
      <c r="M22" s="1791">
        <v>36982</v>
      </c>
      <c r="N22" s="1792">
        <v>32.25</v>
      </c>
      <c r="O22" s="1792">
        <v>33.25</v>
      </c>
      <c r="P22" s="1792">
        <v>36.75</v>
      </c>
      <c r="Q22" s="29"/>
      <c r="R22" s="1792">
        <v>23.9375</v>
      </c>
      <c r="S22" s="1792">
        <v>24.9375</v>
      </c>
      <c r="T22" s="1792">
        <v>28.4375</v>
      </c>
      <c r="V22" s="500">
        <v>0</v>
      </c>
      <c r="W22" s="500">
        <v>0</v>
      </c>
      <c r="X22" s="500">
        <v>0</v>
      </c>
      <c r="Z22" s="1792">
        <v>0.22</v>
      </c>
      <c r="AA22" s="1792">
        <v>0.25</v>
      </c>
      <c r="AB22" s="1792">
        <v>0.28000000000000003</v>
      </c>
      <c r="AC22" s="29"/>
      <c r="AD22" s="1792">
        <v>0.05</v>
      </c>
      <c r="AE22" s="1792">
        <v>0.11</v>
      </c>
      <c r="AF22" s="1792">
        <v>0.15</v>
      </c>
      <c r="AG22" s="29"/>
      <c r="AH22" s="1792">
        <v>-0.1</v>
      </c>
      <c r="AI22" s="1792">
        <v>0.65</v>
      </c>
      <c r="AJ22" s="1792">
        <v>0.1</v>
      </c>
      <c r="AK22" s="29"/>
      <c r="AL22" s="1792">
        <v>-0.01</v>
      </c>
      <c r="AM22" s="1792">
        <v>0.16</v>
      </c>
      <c r="AN22" s="1792">
        <v>0.01</v>
      </c>
      <c r="AO22" s="29"/>
      <c r="AP22" s="14">
        <v>5</v>
      </c>
      <c r="AQ22" s="1802">
        <v>0.2</v>
      </c>
      <c r="AS22" s="9">
        <v>1200</v>
      </c>
      <c r="AT22" s="28">
        <v>0.98871388675255567</v>
      </c>
      <c r="AU22" s="28">
        <v>0.9892299775106359</v>
      </c>
      <c r="AV22" s="28">
        <v>1.031595632612309</v>
      </c>
      <c r="AW22" s="28">
        <v>1.0459769172417082</v>
      </c>
      <c r="AX22" s="28">
        <v>1.0424166012633811</v>
      </c>
      <c r="AY22" s="28">
        <v>1.039291638939785</v>
      </c>
      <c r="AZ22" s="28">
        <v>1.0287678188818759</v>
      </c>
      <c r="BA22" s="28">
        <v>1.020180950829811</v>
      </c>
      <c r="BB22" s="28">
        <v>1.0319793378141788</v>
      </c>
      <c r="BC22" s="28">
        <v>1.0168790617582875</v>
      </c>
      <c r="BD22" s="28">
        <v>1.0080514546461377</v>
      </c>
      <c r="BE22" s="28">
        <v>0.97977041413942745</v>
      </c>
      <c r="BF22" s="9" t="s">
        <v>331</v>
      </c>
      <c r="BH22" s="269">
        <v>7</v>
      </c>
      <c r="BI22" s="268">
        <v>0.1</v>
      </c>
      <c r="BQ22" s="325">
        <v>37135</v>
      </c>
      <c r="BR22" s="415">
        <v>2.758</v>
      </c>
      <c r="BS22" s="415">
        <v>2.7630000000000003</v>
      </c>
      <c r="BT22" s="415">
        <v>2.7680000000000002</v>
      </c>
      <c r="BU22" s="416">
        <v>0.245</v>
      </c>
      <c r="BV22" s="416">
        <v>0.2525</v>
      </c>
      <c r="BW22" s="416">
        <v>0.26</v>
      </c>
      <c r="BX22" s="416">
        <v>-7.0000000000000007E-2</v>
      </c>
      <c r="BY22" s="416"/>
      <c r="BZ22" s="416">
        <v>7.0000000000000007E-2</v>
      </c>
      <c r="CA22" s="433">
        <v>0</v>
      </c>
      <c r="CB22" s="1618">
        <v>0</v>
      </c>
      <c r="CC22" s="445">
        <v>2.7340000000000004</v>
      </c>
      <c r="CD22" s="449">
        <v>0.26750000000000002</v>
      </c>
    </row>
    <row r="23" spans="1:103">
      <c r="A23" s="325">
        <v>37257</v>
      </c>
      <c r="B23" s="416">
        <v>7.0286509709636014E-2</v>
      </c>
      <c r="C23" s="286"/>
      <c r="D23" s="1786">
        <v>36643</v>
      </c>
      <c r="E23" s="1787">
        <v>34.25</v>
      </c>
      <c r="F23" s="1787">
        <v>35</v>
      </c>
      <c r="G23" s="1787">
        <v>36.25</v>
      </c>
      <c r="H23" s="1788"/>
      <c r="I23" s="1787">
        <v>22</v>
      </c>
      <c r="J23" s="1787">
        <v>23</v>
      </c>
      <c r="K23" s="1787">
        <v>25</v>
      </c>
      <c r="M23" s="1791">
        <v>37012</v>
      </c>
      <c r="N23" s="1792">
        <v>32.25</v>
      </c>
      <c r="O23" s="1792">
        <v>33.25</v>
      </c>
      <c r="P23" s="1792">
        <v>36.75</v>
      </c>
      <c r="Q23" s="29"/>
      <c r="R23" s="1792">
        <v>23.9375</v>
      </c>
      <c r="S23" s="1792">
        <v>24.9375</v>
      </c>
      <c r="T23" s="1792">
        <v>28.4375</v>
      </c>
      <c r="V23" s="500">
        <v>0</v>
      </c>
      <c r="W23" s="500">
        <v>0</v>
      </c>
      <c r="X23" s="500">
        <v>0</v>
      </c>
      <c r="Z23" s="1792">
        <v>0.22</v>
      </c>
      <c r="AA23" s="1792">
        <v>0.25</v>
      </c>
      <c r="AB23" s="1792">
        <v>0.28000000000000003</v>
      </c>
      <c r="AC23" s="29"/>
      <c r="AD23" s="1792">
        <v>0.05</v>
      </c>
      <c r="AE23" s="1792">
        <v>0.11</v>
      </c>
      <c r="AF23" s="1792">
        <v>0.15</v>
      </c>
      <c r="AG23" s="29"/>
      <c r="AH23" s="1792">
        <v>-0.1</v>
      </c>
      <c r="AI23" s="1792">
        <v>0.65</v>
      </c>
      <c r="AJ23" s="1792">
        <v>0.1</v>
      </c>
      <c r="AK23" s="29"/>
      <c r="AL23" s="1792">
        <v>-0.01</v>
      </c>
      <c r="AM23" s="1792">
        <v>0.16</v>
      </c>
      <c r="AN23" s="1792">
        <v>0.01</v>
      </c>
      <c r="AO23" s="29"/>
      <c r="AP23" s="14">
        <v>5</v>
      </c>
      <c r="AQ23" s="1802">
        <v>0.2</v>
      </c>
      <c r="AS23" s="9">
        <v>1300</v>
      </c>
      <c r="AT23" s="28">
        <v>0.9557773842387125</v>
      </c>
      <c r="AU23" s="28">
        <v>0.94931868158801647</v>
      </c>
      <c r="AV23" s="28">
        <v>1.0165804751622005</v>
      </c>
      <c r="AW23" s="28">
        <v>1.0222128711878471</v>
      </c>
      <c r="AX23" s="28">
        <v>1.0310300711580922</v>
      </c>
      <c r="AY23" s="28">
        <v>1.0539963586144236</v>
      </c>
      <c r="AZ23" s="28">
        <v>1.0646290064681723</v>
      </c>
      <c r="BA23" s="28">
        <v>1.0520489507780699</v>
      </c>
      <c r="BB23" s="28">
        <v>1.0514322975824211</v>
      </c>
      <c r="BC23" s="28">
        <v>1.0077189145444843</v>
      </c>
      <c r="BD23" s="28">
        <v>0.95766022262518535</v>
      </c>
      <c r="BE23" s="28">
        <v>0.9369198976258194</v>
      </c>
      <c r="BF23" s="9" t="s">
        <v>331</v>
      </c>
      <c r="BH23" s="269">
        <v>8</v>
      </c>
      <c r="BI23" s="268">
        <v>0.12</v>
      </c>
      <c r="BQ23" s="325">
        <v>37165</v>
      </c>
      <c r="BR23" s="415">
        <v>2.778</v>
      </c>
      <c r="BS23" s="415">
        <v>2.7830000000000004</v>
      </c>
      <c r="BT23" s="415">
        <v>2.7880000000000003</v>
      </c>
      <c r="BU23" s="416">
        <v>0.25</v>
      </c>
      <c r="BV23" s="416">
        <v>0.25750000000000001</v>
      </c>
      <c r="BW23" s="416">
        <v>0.26500000000000001</v>
      </c>
      <c r="BX23" s="416">
        <v>-7.0000000000000007E-2</v>
      </c>
      <c r="BY23" s="416"/>
      <c r="BZ23" s="416">
        <v>7.0000000000000007E-2</v>
      </c>
      <c r="CA23" s="433">
        <v>0</v>
      </c>
      <c r="CB23" s="1618">
        <v>0</v>
      </c>
      <c r="CC23" s="445">
        <v>2.6</v>
      </c>
      <c r="CD23" s="449">
        <v>0.2475</v>
      </c>
    </row>
    <row r="24" spans="1:103">
      <c r="A24" s="325">
        <v>37288</v>
      </c>
      <c r="B24" s="416">
        <v>7.0424130684843003E-2</v>
      </c>
      <c r="C24" s="286"/>
      <c r="D24" s="1786">
        <v>36644</v>
      </c>
      <c r="E24" s="1787">
        <v>34.25</v>
      </c>
      <c r="F24" s="1787">
        <v>35</v>
      </c>
      <c r="G24" s="1787">
        <v>36.25</v>
      </c>
      <c r="H24" s="1788"/>
      <c r="I24" s="1787">
        <v>22</v>
      </c>
      <c r="J24" s="1787">
        <v>23</v>
      </c>
      <c r="K24" s="1787">
        <v>25</v>
      </c>
      <c r="M24" s="1791">
        <v>37043</v>
      </c>
      <c r="N24" s="1792">
        <v>37.5</v>
      </c>
      <c r="O24" s="1792">
        <v>38.5</v>
      </c>
      <c r="P24" s="1792">
        <v>42</v>
      </c>
      <c r="Q24" s="29"/>
      <c r="R24" s="1792">
        <v>27.875</v>
      </c>
      <c r="S24" s="1792">
        <v>28.875</v>
      </c>
      <c r="T24" s="1792">
        <v>32.375</v>
      </c>
      <c r="V24" s="500">
        <v>0</v>
      </c>
      <c r="W24" s="500">
        <v>0</v>
      </c>
      <c r="X24" s="500">
        <v>0</v>
      </c>
      <c r="Z24" s="1792">
        <v>0.16500000000000001</v>
      </c>
      <c r="AA24" s="1792">
        <v>0.17499999999999999</v>
      </c>
      <c r="AB24" s="1792">
        <v>0.185</v>
      </c>
      <c r="AC24" s="29"/>
      <c r="AD24" s="1792">
        <v>0.09</v>
      </c>
      <c r="AE24" s="1792">
        <v>0.11</v>
      </c>
      <c r="AF24" s="1792">
        <v>0.13</v>
      </c>
      <c r="AG24" s="29"/>
      <c r="AH24" s="1792">
        <v>-0.35</v>
      </c>
      <c r="AI24" s="1792">
        <v>0.65</v>
      </c>
      <c r="AJ24" s="1792">
        <v>0.2</v>
      </c>
      <c r="AK24" s="29"/>
      <c r="AL24" s="1792">
        <v>-0.01</v>
      </c>
      <c r="AM24" s="1792">
        <v>0.16</v>
      </c>
      <c r="AN24" s="1792">
        <v>0.01</v>
      </c>
      <c r="AO24" s="29"/>
      <c r="AP24" s="14">
        <v>5</v>
      </c>
      <c r="AQ24" s="1802">
        <v>0.2</v>
      </c>
      <c r="AS24" s="9">
        <v>1400</v>
      </c>
      <c r="AT24" s="28">
        <v>0.92469142077075428</v>
      </c>
      <c r="AU24" s="28">
        <v>0.91725044711678261</v>
      </c>
      <c r="AV24" s="28">
        <v>0.98146565353345661</v>
      </c>
      <c r="AW24" s="28">
        <v>1.0012016673834703</v>
      </c>
      <c r="AX24" s="28">
        <v>1.0203967168763282</v>
      </c>
      <c r="AY24" s="28">
        <v>1.0679421250155325</v>
      </c>
      <c r="AZ24" s="28">
        <v>1.0922568225525426</v>
      </c>
      <c r="BA24" s="28">
        <v>1.0940846577228711</v>
      </c>
      <c r="BB24" s="28">
        <v>1.065360889836944</v>
      </c>
      <c r="BC24" s="28">
        <v>0.99927264910520763</v>
      </c>
      <c r="BD24" s="28">
        <v>0.92738975835538562</v>
      </c>
      <c r="BE24" s="28">
        <v>0.90751819045916859</v>
      </c>
      <c r="BF24" s="9" t="s">
        <v>331</v>
      </c>
      <c r="BH24" s="269">
        <v>9</v>
      </c>
      <c r="BI24" s="268">
        <v>0.14000000000000001</v>
      </c>
      <c r="BQ24" s="325">
        <v>37196</v>
      </c>
      <c r="BR24" s="415">
        <v>2.887</v>
      </c>
      <c r="BS24" s="415">
        <v>2.8919999999999999</v>
      </c>
      <c r="BT24" s="415">
        <v>2.8969999999999998</v>
      </c>
      <c r="BU24" s="416">
        <v>0.254</v>
      </c>
      <c r="BV24" s="416">
        <v>0.26150000000000001</v>
      </c>
      <c r="BW24" s="416">
        <v>0.26900000000000002</v>
      </c>
      <c r="BX24" s="416">
        <v>-7.0000000000000007E-2</v>
      </c>
      <c r="BY24" s="416"/>
      <c r="BZ24" s="416">
        <v>7.0000000000000007E-2</v>
      </c>
      <c r="CA24" s="433">
        <v>0</v>
      </c>
      <c r="CB24" s="1618">
        <v>0</v>
      </c>
      <c r="CC24" s="445">
        <v>2.48</v>
      </c>
      <c r="CD24" s="449">
        <v>0.20499999999999999</v>
      </c>
    </row>
    <row r="25" spans="1:103" ht="13.5" thickBot="1">
      <c r="A25" s="325">
        <v>37316</v>
      </c>
      <c r="B25" s="416">
        <v>7.0548433506540997E-2</v>
      </c>
      <c r="C25" s="286"/>
      <c r="D25" s="1786">
        <v>36645</v>
      </c>
      <c r="E25" s="1787">
        <v>34.25</v>
      </c>
      <c r="F25" s="1787">
        <v>35</v>
      </c>
      <c r="G25" s="1787">
        <v>36.25</v>
      </c>
      <c r="H25" s="1788"/>
      <c r="I25" s="1787">
        <v>21.5</v>
      </c>
      <c r="J25" s="1787">
        <v>22.5</v>
      </c>
      <c r="K25" s="1787">
        <v>24.5</v>
      </c>
      <c r="M25" s="1791">
        <v>37073</v>
      </c>
      <c r="N25" s="1792">
        <v>58.25</v>
      </c>
      <c r="O25" s="1792">
        <v>59.25</v>
      </c>
      <c r="P25" s="1792">
        <v>62.75</v>
      </c>
      <c r="Q25" s="29"/>
      <c r="R25" s="1792">
        <v>43.4375</v>
      </c>
      <c r="S25" s="1792">
        <v>44.4375</v>
      </c>
      <c r="T25" s="1792">
        <v>47.9375</v>
      </c>
      <c r="V25" s="500">
        <v>0</v>
      </c>
      <c r="W25" s="500">
        <v>0</v>
      </c>
      <c r="X25" s="500">
        <v>0</v>
      </c>
      <c r="Z25" s="1792">
        <v>0.16500000000000001</v>
      </c>
      <c r="AA25" s="1792">
        <v>0.17499999999999999</v>
      </c>
      <c r="AB25" s="1792">
        <v>0.185</v>
      </c>
      <c r="AC25" s="29"/>
      <c r="AD25" s="1792">
        <v>0.09</v>
      </c>
      <c r="AE25" s="1792">
        <v>0.11</v>
      </c>
      <c r="AF25" s="1792">
        <v>0.13</v>
      </c>
      <c r="AG25" s="29"/>
      <c r="AH25" s="1792">
        <v>-0.35</v>
      </c>
      <c r="AI25" s="1792">
        <v>3</v>
      </c>
      <c r="AJ25" s="1792">
        <v>0.35</v>
      </c>
      <c r="AK25" s="29"/>
      <c r="AL25" s="1792">
        <v>-0.01</v>
      </c>
      <c r="AM25" s="1792">
        <v>0.16</v>
      </c>
      <c r="AN25" s="1792">
        <v>0.01</v>
      </c>
      <c r="AO25" s="29"/>
      <c r="AP25" s="14">
        <v>6</v>
      </c>
      <c r="AQ25" s="1802">
        <v>0.2</v>
      </c>
      <c r="AS25" s="9">
        <v>1500</v>
      </c>
      <c r="AT25" s="28">
        <v>0.91221281126973319</v>
      </c>
      <c r="AU25" s="28">
        <v>0.91787421837894212</v>
      </c>
      <c r="AV25" s="28">
        <v>0.95077757233153737</v>
      </c>
      <c r="AW25" s="28">
        <v>0.97805633820003868</v>
      </c>
      <c r="AX25" s="28">
        <v>1.0093628955000971</v>
      </c>
      <c r="AY25" s="28">
        <v>1.0764329147631464</v>
      </c>
      <c r="AZ25" s="28">
        <v>1.11259139105751</v>
      </c>
      <c r="BA25" s="28">
        <v>1.1200866696980034</v>
      </c>
      <c r="BB25" s="28">
        <v>1.0740137547477764</v>
      </c>
      <c r="BC25" s="28">
        <v>0.99767134614729769</v>
      </c>
      <c r="BD25" s="28">
        <v>0.91672067263979262</v>
      </c>
      <c r="BE25" s="28">
        <v>0.89504394934891307</v>
      </c>
      <c r="BF25" s="9" t="s">
        <v>331</v>
      </c>
      <c r="BH25" s="270">
        <v>10</v>
      </c>
      <c r="BI25" s="271">
        <v>0.16</v>
      </c>
      <c r="BQ25" s="325">
        <v>37226</v>
      </c>
      <c r="BR25" s="415">
        <v>2.9890000000000003</v>
      </c>
      <c r="BS25" s="415">
        <v>2.9940000000000002</v>
      </c>
      <c r="BT25" s="415">
        <v>2.9990000000000006</v>
      </c>
      <c r="BU25" s="416">
        <v>0.25900000000000001</v>
      </c>
      <c r="BV25" s="416">
        <v>0.26650000000000001</v>
      </c>
      <c r="BW25" s="416">
        <v>0.27400000000000002</v>
      </c>
      <c r="BX25" s="416">
        <v>-7.0000000000000007E-2</v>
      </c>
      <c r="BY25" s="416"/>
      <c r="BZ25" s="416">
        <v>7.0000000000000007E-2</v>
      </c>
      <c r="CA25" s="433">
        <v>0</v>
      </c>
      <c r="CB25" s="1618">
        <v>0</v>
      </c>
      <c r="CC25" s="445">
        <v>2.4580000000000002</v>
      </c>
      <c r="CD25" s="449">
        <v>0.1925</v>
      </c>
    </row>
    <row r="26" spans="1:103">
      <c r="A26" s="325">
        <v>37347</v>
      </c>
      <c r="B26" s="416">
        <v>7.0661423837617005E-2</v>
      </c>
      <c r="C26" s="286"/>
      <c r="D26" s="1786">
        <v>36646</v>
      </c>
      <c r="E26" s="1787">
        <v>26.25</v>
      </c>
      <c r="F26" s="1787">
        <v>27</v>
      </c>
      <c r="G26" s="1787">
        <v>28.25</v>
      </c>
      <c r="H26" s="1788"/>
      <c r="I26" s="1787">
        <v>21.5</v>
      </c>
      <c r="J26" s="1787">
        <v>22.5</v>
      </c>
      <c r="K26" s="1787">
        <v>24.5</v>
      </c>
      <c r="M26" s="1791">
        <v>37104</v>
      </c>
      <c r="N26" s="1792">
        <v>78.875</v>
      </c>
      <c r="O26" s="1792">
        <v>79.875</v>
      </c>
      <c r="P26" s="1792">
        <v>83.375</v>
      </c>
      <c r="Q26" s="29"/>
      <c r="R26" s="1792">
        <v>58.90625</v>
      </c>
      <c r="S26" s="1792">
        <v>59.90625</v>
      </c>
      <c r="T26" s="1792">
        <v>63.40625</v>
      </c>
      <c r="V26" s="500">
        <v>0</v>
      </c>
      <c r="W26" s="500">
        <v>0</v>
      </c>
      <c r="X26" s="500">
        <v>0</v>
      </c>
      <c r="Z26" s="1792">
        <v>0.16500000000000001</v>
      </c>
      <c r="AA26" s="1792">
        <v>0.17499999999999999</v>
      </c>
      <c r="AB26" s="1792">
        <v>0.185</v>
      </c>
      <c r="AC26" s="29"/>
      <c r="AD26" s="1792">
        <v>0.09</v>
      </c>
      <c r="AE26" s="1792">
        <v>0.11</v>
      </c>
      <c r="AF26" s="1792">
        <v>0.13</v>
      </c>
      <c r="AG26" s="29"/>
      <c r="AH26" s="1792">
        <v>-0.35</v>
      </c>
      <c r="AI26" s="1792">
        <v>3</v>
      </c>
      <c r="AJ26" s="1792">
        <v>0.35</v>
      </c>
      <c r="AK26" s="29"/>
      <c r="AL26" s="1792">
        <v>-0.01</v>
      </c>
      <c r="AM26" s="1792">
        <v>0.16</v>
      </c>
      <c r="AN26" s="1792">
        <v>0.01</v>
      </c>
      <c r="AO26" s="29"/>
      <c r="AP26" s="14">
        <v>6</v>
      </c>
      <c r="AQ26" s="1802">
        <v>0.2</v>
      </c>
      <c r="AS26" s="9">
        <v>1600</v>
      </c>
      <c r="AT26" s="28">
        <v>0.91597210999244516</v>
      </c>
      <c r="AU26" s="28">
        <v>0.91873396219179337</v>
      </c>
      <c r="AV26" s="28">
        <v>0.93735483764431249</v>
      </c>
      <c r="AW26" s="28">
        <v>0.96661708278249447</v>
      </c>
      <c r="AX26" s="28">
        <v>0.99954125055885368</v>
      </c>
      <c r="AY26" s="28">
        <v>1.0828365830085538</v>
      </c>
      <c r="AZ26" s="28">
        <v>1.1323257895726258</v>
      </c>
      <c r="BA26" s="28">
        <v>1.1255870953081275</v>
      </c>
      <c r="BB26" s="28">
        <v>1.0723167851244868</v>
      </c>
      <c r="BC26" s="28">
        <v>0.99258695083850612</v>
      </c>
      <c r="BD26" s="28">
        <v>0.92738975835538562</v>
      </c>
      <c r="BE26" s="28">
        <v>0.91577039241039548</v>
      </c>
      <c r="BF26" s="9" t="s">
        <v>331</v>
      </c>
      <c r="BQ26" s="325">
        <v>37257</v>
      </c>
      <c r="BR26" s="415">
        <v>3.0169999999999999</v>
      </c>
      <c r="BS26" s="415">
        <v>3.0219999999999998</v>
      </c>
      <c r="BT26" s="415">
        <v>3.0270000000000001</v>
      </c>
      <c r="BU26" s="416">
        <v>0.26150000000000001</v>
      </c>
      <c r="BV26" s="416">
        <v>0.26900000000000002</v>
      </c>
      <c r="BW26" s="416">
        <v>0.27650000000000002</v>
      </c>
      <c r="BX26" s="416">
        <v>-7.0000000000000007E-2</v>
      </c>
      <c r="BY26" s="416"/>
      <c r="BZ26" s="416">
        <v>7.0000000000000007E-2</v>
      </c>
      <c r="CA26" s="433">
        <v>0</v>
      </c>
      <c r="CB26" s="1618">
        <v>0</v>
      </c>
      <c r="CC26" s="445">
        <v>2.4530000000000003</v>
      </c>
      <c r="CD26" s="449">
        <v>0.1925</v>
      </c>
    </row>
    <row r="27" spans="1:103">
      <c r="A27" s="325">
        <v>37377</v>
      </c>
      <c r="B27" s="416">
        <v>7.073489736169801E-2</v>
      </c>
      <c r="C27" s="286"/>
      <c r="D27" s="1786">
        <v>36647</v>
      </c>
      <c r="E27" s="1787">
        <v>34.6</v>
      </c>
      <c r="F27" s="1787">
        <v>35.35</v>
      </c>
      <c r="G27" s="1787">
        <v>36.6</v>
      </c>
      <c r="H27" s="1788"/>
      <c r="I27" s="1787">
        <v>14.584677419354838</v>
      </c>
      <c r="J27" s="1787">
        <v>15.584677419354838</v>
      </c>
      <c r="K27" s="1787">
        <v>17.58467741935484</v>
      </c>
      <c r="M27" s="1791">
        <v>37135</v>
      </c>
      <c r="N27" s="1792">
        <v>62.875</v>
      </c>
      <c r="O27" s="1792">
        <v>63.875</v>
      </c>
      <c r="P27" s="1792">
        <v>67.375</v>
      </c>
      <c r="Q27" s="29"/>
      <c r="R27" s="1792">
        <v>46.90625</v>
      </c>
      <c r="S27" s="1792">
        <v>47.90625</v>
      </c>
      <c r="T27" s="1792">
        <v>51.40625</v>
      </c>
      <c r="V27" s="500">
        <v>0</v>
      </c>
      <c r="W27" s="500">
        <v>0</v>
      </c>
      <c r="X27" s="500">
        <v>0</v>
      </c>
      <c r="Z27" s="1792">
        <v>0.16500000000000001</v>
      </c>
      <c r="AA27" s="1792">
        <v>0.17499999999999999</v>
      </c>
      <c r="AB27" s="1792">
        <v>0.185</v>
      </c>
      <c r="AC27" s="29"/>
      <c r="AD27" s="1792">
        <v>0.09</v>
      </c>
      <c r="AE27" s="1792">
        <v>0.11</v>
      </c>
      <c r="AF27" s="1792">
        <v>0.13</v>
      </c>
      <c r="AG27" s="29"/>
      <c r="AH27" s="1792">
        <v>-0.35</v>
      </c>
      <c r="AI27" s="1792">
        <v>3</v>
      </c>
      <c r="AJ27" s="1792">
        <v>0.2</v>
      </c>
      <c r="AK27" s="29"/>
      <c r="AL27" s="1792">
        <v>-0.01</v>
      </c>
      <c r="AM27" s="1792">
        <v>0.16</v>
      </c>
      <c r="AN27" s="1792">
        <v>0.01</v>
      </c>
      <c r="AO27" s="29"/>
      <c r="AP27" s="14">
        <v>6</v>
      </c>
      <c r="AQ27" s="1802">
        <v>0.2</v>
      </c>
      <c r="AS27" s="9">
        <v>1700</v>
      </c>
      <c r="AT27" s="28">
        <v>0.97627121441201026</v>
      </c>
      <c r="AU27" s="28">
        <v>0.9593959366132212</v>
      </c>
      <c r="AV27" s="28">
        <v>0.94769331011833058</v>
      </c>
      <c r="AW27" s="28">
        <v>0.95517782736495005</v>
      </c>
      <c r="AX27" s="28">
        <v>0.992741650214916</v>
      </c>
      <c r="AY27" s="28">
        <v>1.0648588773418182</v>
      </c>
      <c r="AZ27" s="28">
        <v>1.128859045861484</v>
      </c>
      <c r="BA27" s="28">
        <v>1.1250460379523686</v>
      </c>
      <c r="BB27" s="28">
        <v>1.0685364072508223</v>
      </c>
      <c r="BC27" s="28">
        <v>0.99258695083850612</v>
      </c>
      <c r="BD27" s="28">
        <v>1.055101111785216</v>
      </c>
      <c r="BE27" s="28">
        <v>1.0798899823666235</v>
      </c>
      <c r="BF27" s="9" t="s">
        <v>331</v>
      </c>
      <c r="BQ27" s="325">
        <v>37288</v>
      </c>
      <c r="BR27" s="415">
        <v>2.8969999999999998</v>
      </c>
      <c r="BS27" s="415">
        <v>2.9020000000000001</v>
      </c>
      <c r="BT27" s="415">
        <v>2.907</v>
      </c>
      <c r="BU27" s="416">
        <v>0.25650000000000001</v>
      </c>
      <c r="BV27" s="416">
        <v>0.26400000000000001</v>
      </c>
      <c r="BW27" s="416">
        <v>0.27150000000000002</v>
      </c>
      <c r="BX27" s="416">
        <v>-7.0000000000000007E-2</v>
      </c>
      <c r="BY27" s="416"/>
      <c r="BZ27" s="416">
        <v>7.0000000000000007E-2</v>
      </c>
      <c r="CA27" s="433">
        <v>0</v>
      </c>
      <c r="CB27" s="1618">
        <v>0</v>
      </c>
      <c r="CC27" s="445">
        <v>2.4550000000000001</v>
      </c>
      <c r="CD27" s="449">
        <v>0.1925</v>
      </c>
    </row>
    <row r="28" spans="1:103">
      <c r="A28" s="325">
        <v>37408</v>
      </c>
      <c r="B28" s="416">
        <v>7.0810820005124023E-2</v>
      </c>
      <c r="C28" s="286"/>
      <c r="D28" s="1786">
        <v>36648</v>
      </c>
      <c r="E28" s="1787">
        <v>34.6</v>
      </c>
      <c r="F28" s="1787">
        <v>35.35</v>
      </c>
      <c r="G28" s="1787">
        <v>36.6</v>
      </c>
      <c r="H28" s="1788"/>
      <c r="I28" s="1787">
        <v>14.584677419354838</v>
      </c>
      <c r="J28" s="1787">
        <v>15.584677419354838</v>
      </c>
      <c r="K28" s="1787">
        <v>17.58467741935484</v>
      </c>
      <c r="M28" s="1791">
        <v>37165</v>
      </c>
      <c r="N28" s="1792">
        <v>40.25</v>
      </c>
      <c r="O28" s="1792">
        <v>41.25</v>
      </c>
      <c r="P28" s="1792">
        <v>44.75</v>
      </c>
      <c r="Q28" s="29"/>
      <c r="R28" s="1792">
        <v>29.9375</v>
      </c>
      <c r="S28" s="1792">
        <v>30.9375</v>
      </c>
      <c r="T28" s="1792">
        <v>34.4375</v>
      </c>
      <c r="V28" s="500">
        <v>0</v>
      </c>
      <c r="W28" s="500">
        <v>0</v>
      </c>
      <c r="X28" s="500">
        <v>0</v>
      </c>
      <c r="Z28" s="1792">
        <v>0.16500000000000001</v>
      </c>
      <c r="AA28" s="1792">
        <v>0.17499999999999999</v>
      </c>
      <c r="AB28" s="1792">
        <v>0.185</v>
      </c>
      <c r="AC28" s="29"/>
      <c r="AD28" s="1792">
        <v>0.09</v>
      </c>
      <c r="AE28" s="1792">
        <v>0.11</v>
      </c>
      <c r="AF28" s="1792">
        <v>0.13</v>
      </c>
      <c r="AG28" s="29"/>
      <c r="AH28" s="1792">
        <v>-0.1</v>
      </c>
      <c r="AI28" s="1792">
        <v>0.6</v>
      </c>
      <c r="AJ28" s="1792">
        <v>0.1</v>
      </c>
      <c r="AK28" s="29"/>
      <c r="AL28" s="1792">
        <v>-0.01</v>
      </c>
      <c r="AM28" s="1792">
        <v>0.16</v>
      </c>
      <c r="AN28" s="1792">
        <v>0.01</v>
      </c>
      <c r="AO28" s="29"/>
      <c r="AP28" s="14">
        <v>7</v>
      </c>
      <c r="AQ28" s="1802">
        <v>0.2</v>
      </c>
      <c r="AS28" s="9">
        <v>1800</v>
      </c>
      <c r="AT28" s="28">
        <v>1.1682482024574983</v>
      </c>
      <c r="AU28" s="28">
        <v>1.1079827059934821</v>
      </c>
      <c r="AV28" s="28">
        <v>1.0008734851700589</v>
      </c>
      <c r="AW28" s="28">
        <v>0.96370823103059255</v>
      </c>
      <c r="AX28" s="28">
        <v>0.98606194718898144</v>
      </c>
      <c r="AY28" s="28">
        <v>1.0231638818772781</v>
      </c>
      <c r="AZ28" s="28">
        <v>1.1021336129692407</v>
      </c>
      <c r="BA28" s="28">
        <v>1.1025853154839722</v>
      </c>
      <c r="BB28" s="28">
        <v>1.0280002554186101</v>
      </c>
      <c r="BC28" s="28">
        <v>1.0077189145444843</v>
      </c>
      <c r="BD28" s="28">
        <v>1.1435697907872999</v>
      </c>
      <c r="BE28" s="28">
        <v>1.1619497773447374</v>
      </c>
      <c r="BF28" s="9" t="s">
        <v>331</v>
      </c>
      <c r="BQ28" s="325">
        <v>37316</v>
      </c>
      <c r="BR28" s="415">
        <v>2.7590000000000003</v>
      </c>
      <c r="BS28" s="415">
        <v>2.7640000000000002</v>
      </c>
      <c r="BT28" s="415">
        <v>2.7690000000000006</v>
      </c>
      <c r="BU28" s="416">
        <v>0.23400000000000001</v>
      </c>
      <c r="BV28" s="416">
        <v>0.24150000000000002</v>
      </c>
      <c r="BW28" s="416">
        <v>0.24900000000000003</v>
      </c>
      <c r="BX28" s="416">
        <v>-7.0000000000000007E-2</v>
      </c>
      <c r="BY28" s="416"/>
      <c r="BZ28" s="416">
        <v>7.0000000000000007E-2</v>
      </c>
      <c r="CA28" s="433">
        <v>0</v>
      </c>
      <c r="CB28" s="1618">
        <v>0</v>
      </c>
      <c r="CC28" s="445">
        <v>2.4609999999999999</v>
      </c>
      <c r="CD28" s="449">
        <v>0.1925</v>
      </c>
    </row>
    <row r="29" spans="1:103">
      <c r="A29" s="325">
        <v>37438</v>
      </c>
      <c r="B29" s="416">
        <v>7.0875910003800002E-2</v>
      </c>
      <c r="C29" s="286"/>
      <c r="D29" s="1786">
        <v>36649</v>
      </c>
      <c r="E29" s="1787">
        <v>34.6</v>
      </c>
      <c r="F29" s="1787">
        <v>35.35</v>
      </c>
      <c r="G29" s="1787">
        <v>36.6</v>
      </c>
      <c r="H29" s="1788"/>
      <c r="I29" s="1787">
        <v>14.584677419354838</v>
      </c>
      <c r="J29" s="1787">
        <v>15.584677419354838</v>
      </c>
      <c r="K29" s="1787">
        <v>17.58467741935484</v>
      </c>
      <c r="M29" s="1791">
        <v>37196</v>
      </c>
      <c r="N29" s="1792">
        <v>32.5</v>
      </c>
      <c r="O29" s="1792">
        <v>33.5</v>
      </c>
      <c r="P29" s="1792">
        <v>37</v>
      </c>
      <c r="Q29" s="29"/>
      <c r="R29" s="1792">
        <v>24.125</v>
      </c>
      <c r="S29" s="1792">
        <v>25.125</v>
      </c>
      <c r="T29" s="1792">
        <v>28.625</v>
      </c>
      <c r="V29" s="500">
        <v>0</v>
      </c>
      <c r="W29" s="500">
        <v>0</v>
      </c>
      <c r="X29" s="500">
        <v>0</v>
      </c>
      <c r="Z29" s="1792">
        <v>0.16500000000000001</v>
      </c>
      <c r="AA29" s="1792">
        <v>0.17499999999999999</v>
      </c>
      <c r="AB29" s="1792">
        <v>0.185</v>
      </c>
      <c r="AC29" s="29"/>
      <c r="AD29" s="1792">
        <v>0.09</v>
      </c>
      <c r="AE29" s="1792">
        <v>0.11</v>
      </c>
      <c r="AF29" s="1792">
        <v>0.13</v>
      </c>
      <c r="AG29" s="29"/>
      <c r="AH29" s="1792">
        <v>-0.1</v>
      </c>
      <c r="AI29" s="1792">
        <v>0.6</v>
      </c>
      <c r="AJ29" s="1792">
        <v>0.1</v>
      </c>
      <c r="AK29" s="29"/>
      <c r="AL29" s="1792">
        <v>-0.01</v>
      </c>
      <c r="AM29" s="1792">
        <v>0.16</v>
      </c>
      <c r="AN29" s="1792">
        <v>0.01</v>
      </c>
      <c r="AO29" s="29"/>
      <c r="AP29" s="14">
        <v>7</v>
      </c>
      <c r="AQ29" s="1802">
        <v>0.2</v>
      </c>
      <c r="AS29" s="9">
        <v>1900</v>
      </c>
      <c r="AT29" s="28">
        <v>1.1460911965694105</v>
      </c>
      <c r="AU29" s="28">
        <v>1.1366275536148236</v>
      </c>
      <c r="AV29" s="28">
        <v>1.1292066042705922</v>
      </c>
      <c r="AW29" s="28">
        <v>1.007369430207496</v>
      </c>
      <c r="AX29" s="28">
        <v>0.98542037635746749</v>
      </c>
      <c r="AY29" s="28">
        <v>1.0004427182509814</v>
      </c>
      <c r="AZ29" s="28">
        <v>1.0645709139616157</v>
      </c>
      <c r="BA29" s="28">
        <v>1.0463972226104505</v>
      </c>
      <c r="BB29" s="28">
        <v>1.0319793378141788</v>
      </c>
      <c r="BC29" s="28">
        <v>1.1104643258341294</v>
      </c>
      <c r="BD29" s="28">
        <v>1.1142161277082672</v>
      </c>
      <c r="BE29" s="28">
        <v>1.1357244820424537</v>
      </c>
      <c r="BF29" s="9" t="s">
        <v>331</v>
      </c>
      <c r="BQ29" s="325">
        <v>37347</v>
      </c>
      <c r="BR29" s="415">
        <v>2.6630000000000003</v>
      </c>
      <c r="BS29" s="415">
        <v>2.6680000000000001</v>
      </c>
      <c r="BT29" s="415">
        <v>2.673</v>
      </c>
      <c r="BU29" s="416">
        <v>0.20550000000000002</v>
      </c>
      <c r="BV29" s="416">
        <v>0.21300000000000002</v>
      </c>
      <c r="BW29" s="416">
        <v>0.2205</v>
      </c>
      <c r="BX29" s="416">
        <v>-7.0000000000000007E-2</v>
      </c>
      <c r="BY29" s="416"/>
      <c r="BZ29" s="416">
        <v>7.0000000000000007E-2</v>
      </c>
      <c r="CA29" s="433">
        <v>0</v>
      </c>
      <c r="CB29" s="1618">
        <v>0</v>
      </c>
      <c r="CC29" s="445">
        <v>2.4720000000000004</v>
      </c>
      <c r="CD29" s="449">
        <v>0.19500000000000001</v>
      </c>
    </row>
    <row r="30" spans="1:103">
      <c r="A30" s="325">
        <v>37469</v>
      </c>
      <c r="B30" s="416">
        <v>7.0929350291028009E-2</v>
      </c>
      <c r="C30" s="286"/>
      <c r="D30" s="1786">
        <v>36650</v>
      </c>
      <c r="E30" s="1787">
        <v>34.6</v>
      </c>
      <c r="F30" s="1787">
        <v>35.35</v>
      </c>
      <c r="G30" s="1787">
        <v>36.6</v>
      </c>
      <c r="H30" s="1788"/>
      <c r="I30" s="1787">
        <v>14.584677419354838</v>
      </c>
      <c r="J30" s="1787">
        <v>15.584677419354838</v>
      </c>
      <c r="K30" s="1787">
        <v>17.58467741935484</v>
      </c>
      <c r="M30" s="1791">
        <v>37226</v>
      </c>
      <c r="N30" s="1792">
        <v>34.5</v>
      </c>
      <c r="O30" s="1792">
        <v>35.5</v>
      </c>
      <c r="P30" s="1792">
        <v>39</v>
      </c>
      <c r="Q30" s="29"/>
      <c r="R30" s="1792">
        <v>25.625</v>
      </c>
      <c r="S30" s="1792">
        <v>26.625</v>
      </c>
      <c r="T30" s="1792">
        <v>30.125</v>
      </c>
      <c r="V30" s="500">
        <v>0</v>
      </c>
      <c r="W30" s="500">
        <v>0</v>
      </c>
      <c r="X30" s="500">
        <v>0</v>
      </c>
      <c r="Z30" s="1792">
        <v>0.16500000000000001</v>
      </c>
      <c r="AA30" s="1792">
        <v>0.17499999999999999</v>
      </c>
      <c r="AB30" s="1792">
        <v>0.185</v>
      </c>
      <c r="AC30" s="29"/>
      <c r="AD30" s="1792">
        <v>0.09</v>
      </c>
      <c r="AE30" s="1792">
        <v>0.11</v>
      </c>
      <c r="AF30" s="1792">
        <v>0.13</v>
      </c>
      <c r="AG30" s="29"/>
      <c r="AH30" s="1792">
        <v>-0.25</v>
      </c>
      <c r="AI30" s="1792">
        <v>0.6</v>
      </c>
      <c r="AJ30" s="1792">
        <v>0.25</v>
      </c>
      <c r="AK30" s="29"/>
      <c r="AL30" s="1792">
        <v>-0.01</v>
      </c>
      <c r="AM30" s="1792">
        <v>0.16</v>
      </c>
      <c r="AN30" s="1792">
        <v>0.01</v>
      </c>
      <c r="AO30" s="29"/>
      <c r="AP30" s="14">
        <v>7</v>
      </c>
      <c r="AQ30" s="1802">
        <v>0.2</v>
      </c>
      <c r="AS30" s="9">
        <v>2000</v>
      </c>
      <c r="AT30" s="28">
        <v>1.0750615604688414</v>
      </c>
      <c r="AU30" s="28">
        <v>1.0672234228547992</v>
      </c>
      <c r="AV30" s="28">
        <v>1.0771063341937455</v>
      </c>
      <c r="AW30" s="28">
        <v>1.0521680164162366</v>
      </c>
      <c r="AX30" s="28">
        <v>1.0190091266059842</v>
      </c>
      <c r="AY30" s="28">
        <v>0.99249833578068392</v>
      </c>
      <c r="AZ30" s="28">
        <v>1.0338096027216923</v>
      </c>
      <c r="BA30" s="28">
        <v>1.0109198635520298</v>
      </c>
      <c r="BB30" s="28">
        <v>1.0676514570862365</v>
      </c>
      <c r="BC30" s="28">
        <v>1.0894812348792562</v>
      </c>
      <c r="BD30" s="28">
        <v>1.0650000280053149</v>
      </c>
      <c r="BE30" s="28">
        <v>1.0839800608262291</v>
      </c>
      <c r="BF30" s="9" t="s">
        <v>331</v>
      </c>
      <c r="BQ30" s="325">
        <v>37377</v>
      </c>
      <c r="BR30" s="415">
        <v>2.6360000000000001</v>
      </c>
      <c r="BS30" s="415">
        <v>2.6410000000000005</v>
      </c>
      <c r="BT30" s="415">
        <v>2.6460000000000004</v>
      </c>
      <c r="BU30" s="416">
        <v>0.20250000000000001</v>
      </c>
      <c r="BV30" s="416">
        <v>0.21</v>
      </c>
      <c r="BW30" s="416">
        <v>0.2175</v>
      </c>
      <c r="BX30" s="416">
        <v>-7.0000000000000007E-2</v>
      </c>
      <c r="BY30" s="416"/>
      <c r="BZ30" s="416">
        <v>7.0000000000000007E-2</v>
      </c>
      <c r="CA30" s="433">
        <v>0</v>
      </c>
      <c r="CB30" s="1618">
        <v>0</v>
      </c>
      <c r="CC30" s="445">
        <v>2.504</v>
      </c>
      <c r="CD30" s="449">
        <v>0.19750000000000001</v>
      </c>
    </row>
    <row r="31" spans="1:103">
      <c r="A31" s="325">
        <v>37500</v>
      </c>
      <c r="B31" s="416">
        <v>7.0982790579199012E-2</v>
      </c>
      <c r="C31" s="286"/>
      <c r="D31" s="1786">
        <v>36651</v>
      </c>
      <c r="E31" s="1787">
        <v>34.6</v>
      </c>
      <c r="F31" s="1787">
        <v>35.35</v>
      </c>
      <c r="G31" s="1787">
        <v>36.6</v>
      </c>
      <c r="H31" s="1788"/>
      <c r="I31" s="1787">
        <v>14.584677419354838</v>
      </c>
      <c r="J31" s="1787">
        <v>15.584677419354838</v>
      </c>
      <c r="K31" s="1787">
        <v>17.58467741935484</v>
      </c>
      <c r="M31" s="1791">
        <v>37257</v>
      </c>
      <c r="N31" s="1792">
        <v>32.325640842317526</v>
      </c>
      <c r="O31" s="1792">
        <v>33.575640842317526</v>
      </c>
      <c r="P31" s="1792">
        <v>38.075640842317526</v>
      </c>
      <c r="Q31" s="29"/>
      <c r="R31" s="1792">
        <v>23.931730631738144</v>
      </c>
      <c r="S31" s="1792">
        <v>25.181730631738144</v>
      </c>
      <c r="T31" s="1792">
        <v>29.681730631738144</v>
      </c>
      <c r="V31" s="500">
        <v>0</v>
      </c>
      <c r="W31" s="500">
        <v>0</v>
      </c>
      <c r="X31" s="500">
        <v>0</v>
      </c>
      <c r="Z31" s="1792">
        <v>0.16</v>
      </c>
      <c r="AA31" s="1792">
        <v>0.17</v>
      </c>
      <c r="AB31" s="1792">
        <v>0.18</v>
      </c>
      <c r="AC31" s="29"/>
      <c r="AD31" s="1792">
        <v>0.09</v>
      </c>
      <c r="AE31" s="1792">
        <v>0.11</v>
      </c>
      <c r="AF31" s="1792">
        <v>0.13</v>
      </c>
      <c r="AG31" s="29"/>
      <c r="AH31" s="1792">
        <v>-0.25</v>
      </c>
      <c r="AI31" s="1792">
        <v>0.65</v>
      </c>
      <c r="AJ31" s="1792">
        <v>0.25</v>
      </c>
      <c r="AK31" s="29"/>
      <c r="AL31" s="1792">
        <v>-0.01</v>
      </c>
      <c r="AM31" s="1792">
        <v>0.16</v>
      </c>
      <c r="AN31" s="1792">
        <v>0.01</v>
      </c>
      <c r="AO31" s="29"/>
      <c r="AP31" s="14">
        <v>8</v>
      </c>
      <c r="AQ31" s="1802">
        <v>0.2</v>
      </c>
      <c r="AS31" s="9">
        <v>2100</v>
      </c>
      <c r="AT31" s="28">
        <v>0.98292436618179102</v>
      </c>
      <c r="AU31" s="28">
        <v>1.0009031499257124</v>
      </c>
      <c r="AV31" s="28">
        <v>1.0000749039866892</v>
      </c>
      <c r="AW31" s="28">
        <v>1.034537661824164</v>
      </c>
      <c r="AX31" s="28">
        <v>1.0501604975637238</v>
      </c>
      <c r="AY31" s="28">
        <v>1.0187152729522491</v>
      </c>
      <c r="AZ31" s="28">
        <v>1.0338096027216923</v>
      </c>
      <c r="BA31" s="28">
        <v>1.00116579063969</v>
      </c>
      <c r="BB31" s="28">
        <v>1.0128872176404016</v>
      </c>
      <c r="BC31" s="28">
        <v>1.0077189145444843</v>
      </c>
      <c r="BD31" s="28">
        <v>1.0049552706918696</v>
      </c>
      <c r="BE31" s="28">
        <v>1.0289407631641219</v>
      </c>
      <c r="BF31" s="9" t="s">
        <v>331</v>
      </c>
      <c r="BQ31" s="325">
        <v>37408</v>
      </c>
      <c r="BR31" s="415">
        <v>2.6430000000000002</v>
      </c>
      <c r="BS31" s="415">
        <v>2.6480000000000001</v>
      </c>
      <c r="BT31" s="415">
        <v>2.653</v>
      </c>
      <c r="BU31" s="416">
        <v>0.20150000000000001</v>
      </c>
      <c r="BV31" s="416">
        <v>0.20900000000000002</v>
      </c>
      <c r="BW31" s="416">
        <v>0.21650000000000003</v>
      </c>
      <c r="BX31" s="416">
        <v>-7.0000000000000007E-2</v>
      </c>
      <c r="BY31" s="416"/>
      <c r="BZ31" s="416">
        <v>7.0000000000000007E-2</v>
      </c>
      <c r="CA31" s="433">
        <v>0</v>
      </c>
      <c r="CB31" s="1618">
        <v>0</v>
      </c>
      <c r="CC31" s="445">
        <v>2.645</v>
      </c>
      <c r="CD31" s="449">
        <v>0.2</v>
      </c>
    </row>
    <row r="32" spans="1:103">
      <c r="A32" s="325">
        <v>37530</v>
      </c>
      <c r="B32" s="416">
        <v>7.102792663386702E-2</v>
      </c>
      <c r="C32" s="286"/>
      <c r="D32" s="1786">
        <v>36652</v>
      </c>
      <c r="E32" s="1787">
        <v>34.6</v>
      </c>
      <c r="F32" s="1787">
        <v>35.35</v>
      </c>
      <c r="G32" s="1787">
        <v>36.6</v>
      </c>
      <c r="H32" s="1788"/>
      <c r="I32" s="1787">
        <v>14.584677419354838</v>
      </c>
      <c r="J32" s="1787">
        <v>15.584677419354838</v>
      </c>
      <c r="K32" s="1787">
        <v>17.58467741935484</v>
      </c>
      <c r="M32" s="1791">
        <v>37288</v>
      </c>
      <c r="N32" s="1792">
        <v>31.825640842317526</v>
      </c>
      <c r="O32" s="1792">
        <v>33.075640842317526</v>
      </c>
      <c r="P32" s="1792">
        <v>37.575640842317526</v>
      </c>
      <c r="Q32" s="29"/>
      <c r="R32" s="1792">
        <v>23.556730631738144</v>
      </c>
      <c r="S32" s="1792">
        <v>24.806730631738144</v>
      </c>
      <c r="T32" s="1792">
        <v>29.306730631738144</v>
      </c>
      <c r="V32" s="500">
        <v>0</v>
      </c>
      <c r="W32" s="500">
        <v>0</v>
      </c>
      <c r="X32" s="500">
        <v>0</v>
      </c>
      <c r="Z32" s="1792">
        <v>0.16</v>
      </c>
      <c r="AA32" s="1792">
        <v>0.17</v>
      </c>
      <c r="AB32" s="1792">
        <v>0.18</v>
      </c>
      <c r="AC32" s="29"/>
      <c r="AD32" s="1792">
        <v>0.09</v>
      </c>
      <c r="AE32" s="1792">
        <v>0.11</v>
      </c>
      <c r="AF32" s="1792">
        <v>0.13</v>
      </c>
      <c r="AG32" s="29"/>
      <c r="AH32" s="1792">
        <v>-0.25</v>
      </c>
      <c r="AI32" s="1792">
        <v>0.65</v>
      </c>
      <c r="AJ32" s="1792">
        <v>0.25</v>
      </c>
      <c r="AK32" s="29"/>
      <c r="AL32" s="1792">
        <v>-0.01</v>
      </c>
      <c r="AM32" s="1792">
        <v>0.16</v>
      </c>
      <c r="AN32" s="1792">
        <v>0.01</v>
      </c>
      <c r="AO32" s="29"/>
      <c r="AP32" s="14">
        <v>8</v>
      </c>
      <c r="AQ32" s="1802">
        <v>0.2</v>
      </c>
      <c r="AS32" s="9">
        <v>2200</v>
      </c>
      <c r="AT32" s="28">
        <v>0.86639701245163336</v>
      </c>
      <c r="AU32" s="28">
        <v>0.90819513946947161</v>
      </c>
      <c r="AV32" s="28">
        <v>0.88841940126729324</v>
      </c>
      <c r="AW32" s="28">
        <v>0.9586739343013283</v>
      </c>
      <c r="AX32" s="28">
        <v>0.97612040492973462</v>
      </c>
      <c r="AY32" s="28">
        <v>0.96178706652256463</v>
      </c>
      <c r="AZ32" s="28">
        <v>0.88686924907641795</v>
      </c>
      <c r="BA32" s="28">
        <v>0.92357146380902322</v>
      </c>
      <c r="BB32" s="28">
        <v>0.91893388941681253</v>
      </c>
      <c r="BC32" s="28">
        <v>0.926251383418353</v>
      </c>
      <c r="BD32" s="28">
        <v>0.92049144508584313</v>
      </c>
      <c r="BE32" s="28">
        <v>0.92781834331099633</v>
      </c>
      <c r="BF32" s="9" t="s">
        <v>331</v>
      </c>
      <c r="BQ32" s="325">
        <v>37438</v>
      </c>
      <c r="BR32" s="415">
        <v>2.6510000000000002</v>
      </c>
      <c r="BS32" s="415">
        <v>2.6560000000000001</v>
      </c>
      <c r="BT32" s="415">
        <v>2.6610000000000005</v>
      </c>
      <c r="BU32" s="416">
        <v>0.20050000000000001</v>
      </c>
      <c r="BV32" s="416">
        <v>0.20800000000000002</v>
      </c>
      <c r="BW32" s="416">
        <v>0.21550000000000002</v>
      </c>
      <c r="BX32" s="416">
        <v>-7.0000000000000007E-2</v>
      </c>
      <c r="BY32" s="416"/>
      <c r="BZ32" s="416">
        <v>7.0000000000000007E-2</v>
      </c>
      <c r="CA32" s="433">
        <v>0</v>
      </c>
      <c r="CB32" s="1618">
        <v>0</v>
      </c>
      <c r="CC32" s="445">
        <v>2.79</v>
      </c>
      <c r="CD32" s="449">
        <v>0.20499999999999999</v>
      </c>
    </row>
    <row r="33" spans="1:82">
      <c r="A33" s="325">
        <v>37561</v>
      </c>
      <c r="B33" s="416">
        <v>7.1065113761529006E-2</v>
      </c>
      <c r="C33" s="286"/>
      <c r="D33" s="1786">
        <v>36653</v>
      </c>
      <c r="E33" s="1787">
        <v>25.762499999999999</v>
      </c>
      <c r="F33" s="1787">
        <v>26.512499999999999</v>
      </c>
      <c r="G33" s="1787">
        <v>27.762499999999999</v>
      </c>
      <c r="H33" s="1788"/>
      <c r="I33" s="1787">
        <v>14.584677419354838</v>
      </c>
      <c r="J33" s="1787">
        <v>15.584677419354838</v>
      </c>
      <c r="K33" s="1787">
        <v>17.58467741935484</v>
      </c>
      <c r="M33" s="1791">
        <v>37316</v>
      </c>
      <c r="N33" s="1792">
        <v>31.075640842317526</v>
      </c>
      <c r="O33" s="1792">
        <v>32.325640842317526</v>
      </c>
      <c r="P33" s="1792">
        <v>36.825640842317526</v>
      </c>
      <c r="Q33" s="29"/>
      <c r="R33" s="1792">
        <v>22.994230631738141</v>
      </c>
      <c r="S33" s="1792">
        <v>24.244230631738141</v>
      </c>
      <c r="T33" s="1792">
        <v>28.744230631738141</v>
      </c>
      <c r="V33" s="500">
        <v>0</v>
      </c>
      <c r="W33" s="500">
        <v>0</v>
      </c>
      <c r="X33" s="500">
        <v>0</v>
      </c>
      <c r="Z33" s="1792">
        <v>0.16</v>
      </c>
      <c r="AA33" s="1792">
        <v>0.17</v>
      </c>
      <c r="AB33" s="1792">
        <v>0.18</v>
      </c>
      <c r="AC33" s="29"/>
      <c r="AD33" s="1792">
        <v>0.09</v>
      </c>
      <c r="AE33" s="1792">
        <v>0.11</v>
      </c>
      <c r="AF33" s="1792">
        <v>0.13</v>
      </c>
      <c r="AG33" s="29"/>
      <c r="AH33" s="1792">
        <v>-0.1</v>
      </c>
      <c r="AI33" s="1792">
        <v>0.65</v>
      </c>
      <c r="AJ33" s="1792">
        <v>0.1</v>
      </c>
      <c r="AK33" s="29"/>
      <c r="AL33" s="1792">
        <v>-0.01</v>
      </c>
      <c r="AM33" s="1792">
        <v>0.16</v>
      </c>
      <c r="AN33" s="1792">
        <v>0.01</v>
      </c>
      <c r="AO33" s="29"/>
      <c r="AP33" s="14">
        <v>8</v>
      </c>
      <c r="AQ33" s="1802">
        <v>0.2</v>
      </c>
      <c r="AS33" s="9">
        <v>2300</v>
      </c>
      <c r="AT33" s="28">
        <v>1.1433638845756857</v>
      </c>
      <c r="AU33" s="28">
        <v>1.1719352569457198</v>
      </c>
      <c r="AV33" s="28">
        <v>1.1782139256300599</v>
      </c>
      <c r="AW33" s="28">
        <v>1.1583380334453077</v>
      </c>
      <c r="AX33" s="28">
        <v>1.1705741119066317</v>
      </c>
      <c r="AY33" s="28">
        <v>1.1863982690477457</v>
      </c>
      <c r="AZ33" s="28">
        <v>1.2151782900403947</v>
      </c>
      <c r="BA33" s="28">
        <v>1.1784224112110706</v>
      </c>
      <c r="BB33" s="28">
        <v>1.1818717931000746</v>
      </c>
      <c r="BC33" s="28">
        <v>1.1569339539384904</v>
      </c>
      <c r="BD33" s="28">
        <v>1.1382155512669256</v>
      </c>
      <c r="BE33" s="28">
        <v>1.1787566482992273</v>
      </c>
      <c r="BF33" s="9" t="s">
        <v>366</v>
      </c>
      <c r="BQ33" s="325">
        <v>37469</v>
      </c>
      <c r="BR33" s="415">
        <v>2.66</v>
      </c>
      <c r="BS33" s="415">
        <v>2.665</v>
      </c>
      <c r="BT33" s="415">
        <v>2.67</v>
      </c>
      <c r="BU33" s="416">
        <v>0.19950000000000001</v>
      </c>
      <c r="BV33" s="416">
        <v>0.20699999999999999</v>
      </c>
      <c r="BW33" s="416">
        <v>0.2145</v>
      </c>
      <c r="BX33" s="416">
        <v>-7.0000000000000007E-2</v>
      </c>
      <c r="BY33" s="416"/>
      <c r="BZ33" s="416">
        <v>7.0000000000000007E-2</v>
      </c>
      <c r="CA33" s="433">
        <v>0</v>
      </c>
      <c r="CB33" s="1618">
        <v>0</v>
      </c>
      <c r="CC33" s="445">
        <v>2.8240000000000003</v>
      </c>
      <c r="CD33" s="449">
        <v>0.21</v>
      </c>
    </row>
    <row r="34" spans="1:82">
      <c r="A34" s="325">
        <v>37591</v>
      </c>
      <c r="B34" s="416">
        <v>7.1101101304861997E-2</v>
      </c>
      <c r="C34" s="286"/>
      <c r="D34" s="1786">
        <v>36654</v>
      </c>
      <c r="E34" s="1787">
        <v>34.6</v>
      </c>
      <c r="F34" s="1787">
        <v>35.35</v>
      </c>
      <c r="G34" s="1787">
        <v>36.6</v>
      </c>
      <c r="H34" s="1788"/>
      <c r="I34" s="1787">
        <v>14.584677419354838</v>
      </c>
      <c r="J34" s="1787">
        <v>15.584677419354838</v>
      </c>
      <c r="K34" s="1787">
        <v>17.58467741935484</v>
      </c>
      <c r="M34" s="1791">
        <v>37347</v>
      </c>
      <c r="N34" s="1792">
        <v>30.681626668160611</v>
      </c>
      <c r="O34" s="1792">
        <v>31.931626668160611</v>
      </c>
      <c r="P34" s="1792">
        <v>36.431626668160611</v>
      </c>
      <c r="Q34" s="29"/>
      <c r="R34" s="1792">
        <v>22.698720001120456</v>
      </c>
      <c r="S34" s="1792">
        <v>23.948720001120456</v>
      </c>
      <c r="T34" s="1792">
        <v>28.448720001120456</v>
      </c>
      <c r="V34" s="500">
        <v>0</v>
      </c>
      <c r="W34" s="500">
        <v>0</v>
      </c>
      <c r="X34" s="500">
        <v>0</v>
      </c>
      <c r="Z34" s="1792">
        <v>0.16</v>
      </c>
      <c r="AA34" s="1792">
        <v>0.17</v>
      </c>
      <c r="AB34" s="1792">
        <v>0.18</v>
      </c>
      <c r="AC34" s="29"/>
      <c r="AD34" s="1792">
        <v>0.09</v>
      </c>
      <c r="AE34" s="1792">
        <v>0.11</v>
      </c>
      <c r="AF34" s="1792">
        <v>0.13</v>
      </c>
      <c r="AG34" s="29"/>
      <c r="AH34" s="1792">
        <v>-0.1</v>
      </c>
      <c r="AI34" s="1792">
        <v>0.65</v>
      </c>
      <c r="AJ34" s="1792">
        <v>0.1</v>
      </c>
      <c r="AK34" s="29"/>
      <c r="AL34" s="1792">
        <v>-0.01</v>
      </c>
      <c r="AM34" s="1792">
        <v>0.16</v>
      </c>
      <c r="AN34" s="1792">
        <v>0.01</v>
      </c>
      <c r="AO34" s="29"/>
      <c r="AP34" s="14">
        <v>9</v>
      </c>
      <c r="AQ34" s="1802">
        <v>0.25</v>
      </c>
      <c r="AS34" s="9">
        <v>2400</v>
      </c>
      <c r="AT34" s="28">
        <v>1.0197603079019497</v>
      </c>
      <c r="AU34" s="28">
        <v>1.0110066984919339</v>
      </c>
      <c r="AV34" s="28">
        <v>1.0180506943575987</v>
      </c>
      <c r="AW34" s="28">
        <v>1.0443006089898383</v>
      </c>
      <c r="AX34" s="28">
        <v>1.0645257466671325</v>
      </c>
      <c r="AY34" s="28">
        <v>1.066466785409744</v>
      </c>
      <c r="AZ34" s="28">
        <v>1.0719473857412956</v>
      </c>
      <c r="BA34" s="28">
        <v>1.0685268104755707</v>
      </c>
      <c r="BB34" s="28">
        <v>1.0463979767660674</v>
      </c>
      <c r="BC34" s="28">
        <v>1.0400238726906017</v>
      </c>
      <c r="BD34" s="28">
        <v>0.99165376172089614</v>
      </c>
      <c r="BE34" s="28">
        <v>1.0385521130389668</v>
      </c>
      <c r="BF34" s="9" t="s">
        <v>366</v>
      </c>
      <c r="BQ34" s="325">
        <v>37500</v>
      </c>
      <c r="BR34" s="415">
        <v>2.6669999999999998</v>
      </c>
      <c r="BS34" s="415">
        <v>2.6720000000000002</v>
      </c>
      <c r="BT34" s="415">
        <v>2.677</v>
      </c>
      <c r="BU34" s="416">
        <v>0.19850000000000001</v>
      </c>
      <c r="BV34" s="416">
        <v>0.20600000000000002</v>
      </c>
      <c r="BW34" s="416">
        <v>0.21350000000000002</v>
      </c>
      <c r="BX34" s="416">
        <v>-7.0000000000000007E-2</v>
      </c>
      <c r="BY34" s="416"/>
      <c r="BZ34" s="416">
        <v>7.0000000000000007E-2</v>
      </c>
      <c r="CA34" s="433">
        <v>0</v>
      </c>
      <c r="CB34" s="1618">
        <v>0</v>
      </c>
      <c r="CC34" s="445">
        <v>2.6989999999999998</v>
      </c>
      <c r="CD34" s="449">
        <v>0.20499999999999999</v>
      </c>
    </row>
    <row r="35" spans="1:82">
      <c r="A35" s="325">
        <v>37622</v>
      </c>
      <c r="B35" s="416">
        <v>7.1139488690327005E-2</v>
      </c>
      <c r="C35" s="286"/>
      <c r="D35" s="1786">
        <v>36655</v>
      </c>
      <c r="E35" s="1787">
        <v>34.6</v>
      </c>
      <c r="F35" s="1787">
        <v>35.35</v>
      </c>
      <c r="G35" s="1787">
        <v>36.6</v>
      </c>
      <c r="H35" s="1788"/>
      <c r="I35" s="1787">
        <v>14.584677419354838</v>
      </c>
      <c r="J35" s="1787">
        <v>15.584677419354838</v>
      </c>
      <c r="K35" s="1787">
        <v>17.58467741935484</v>
      </c>
      <c r="M35" s="1791">
        <v>37377</v>
      </c>
      <c r="N35" s="1792">
        <v>30.681626668160611</v>
      </c>
      <c r="O35" s="1792">
        <v>31.931626668160611</v>
      </c>
      <c r="P35" s="1792">
        <v>36.431626668160611</v>
      </c>
      <c r="Q35" s="29"/>
      <c r="R35" s="1792">
        <v>22.698720001120456</v>
      </c>
      <c r="S35" s="1792">
        <v>23.948720001120456</v>
      </c>
      <c r="T35" s="1792">
        <v>28.448720001120456</v>
      </c>
      <c r="V35" s="500">
        <v>0</v>
      </c>
      <c r="W35" s="500">
        <v>0</v>
      </c>
      <c r="X35" s="500">
        <v>0</v>
      </c>
      <c r="Z35" s="1792">
        <v>0.16</v>
      </c>
      <c r="AA35" s="1792">
        <v>0.17</v>
      </c>
      <c r="AB35" s="1792">
        <v>0.18</v>
      </c>
      <c r="AC35" s="29"/>
      <c r="AD35" s="1792">
        <v>0.09</v>
      </c>
      <c r="AE35" s="1792">
        <v>0.11</v>
      </c>
      <c r="AF35" s="1792">
        <v>0.13</v>
      </c>
      <c r="AG35" s="29"/>
      <c r="AH35" s="1792">
        <v>-0.1</v>
      </c>
      <c r="AI35" s="1792">
        <v>0.65</v>
      </c>
      <c r="AJ35" s="1792">
        <v>0.1</v>
      </c>
      <c r="AK35" s="29"/>
      <c r="AL35" s="1792">
        <v>-0.01</v>
      </c>
      <c r="AM35" s="1792">
        <v>0.16</v>
      </c>
      <c r="AN35" s="1792">
        <v>0.01</v>
      </c>
      <c r="AO35" s="29"/>
      <c r="AP35" s="14">
        <v>9</v>
      </c>
      <c r="AQ35" s="1802">
        <v>0.25</v>
      </c>
      <c r="BQ35" s="325">
        <v>37530</v>
      </c>
      <c r="BR35" s="415">
        <v>2.694</v>
      </c>
      <c r="BS35" s="415">
        <v>2.6989999999999998</v>
      </c>
      <c r="BT35" s="415">
        <v>2.7039999999999997</v>
      </c>
      <c r="BU35" s="416">
        <v>0.19950000000000001</v>
      </c>
      <c r="BV35" s="416">
        <v>0.20699999999999999</v>
      </c>
      <c r="BW35" s="416">
        <v>0.2145</v>
      </c>
      <c r="BX35" s="416">
        <v>-7.0000000000000007E-2</v>
      </c>
      <c r="BY35" s="416"/>
      <c r="BZ35" s="416">
        <v>7.0000000000000007E-2</v>
      </c>
      <c r="CA35" s="433">
        <v>0</v>
      </c>
      <c r="CB35" s="1618">
        <v>0</v>
      </c>
      <c r="CC35" s="445">
        <v>2.5920000000000001</v>
      </c>
      <c r="CD35" s="449">
        <v>0.19750000000000001</v>
      </c>
    </row>
    <row r="36" spans="1:82">
      <c r="A36" s="325">
        <v>37653</v>
      </c>
      <c r="B36" s="416">
        <v>7.1179333531111014E-2</v>
      </c>
      <c r="C36" s="286"/>
      <c r="D36" s="1786">
        <v>36656</v>
      </c>
      <c r="E36" s="1787">
        <v>34.6</v>
      </c>
      <c r="F36" s="1787">
        <v>35.35</v>
      </c>
      <c r="G36" s="1787">
        <v>36.6</v>
      </c>
      <c r="H36" s="1788"/>
      <c r="I36" s="1787">
        <v>14.584677419354838</v>
      </c>
      <c r="J36" s="1787">
        <v>15.584677419354838</v>
      </c>
      <c r="K36" s="1787">
        <v>17.58467741935484</v>
      </c>
      <c r="M36" s="1791">
        <v>37408</v>
      </c>
      <c r="N36" s="1792">
        <v>35.931626668160611</v>
      </c>
      <c r="O36" s="1792">
        <v>37.181626668160611</v>
      </c>
      <c r="P36" s="1792">
        <v>41.681626668160611</v>
      </c>
      <c r="Q36" s="29"/>
      <c r="R36" s="1792">
        <v>26.636220001120456</v>
      </c>
      <c r="S36" s="1792">
        <v>27.886220001120456</v>
      </c>
      <c r="T36" s="1792">
        <v>32.386220001120456</v>
      </c>
      <c r="V36" s="500">
        <v>0</v>
      </c>
      <c r="W36" s="500">
        <v>0</v>
      </c>
      <c r="X36" s="500">
        <v>0</v>
      </c>
      <c r="Z36" s="1792">
        <v>0.16</v>
      </c>
      <c r="AA36" s="1792">
        <v>0.17</v>
      </c>
      <c r="AB36" s="1792">
        <v>0.18</v>
      </c>
      <c r="AC36" s="29"/>
      <c r="AD36" s="1792">
        <v>0.09</v>
      </c>
      <c r="AE36" s="1792">
        <v>0.11</v>
      </c>
      <c r="AF36" s="1792">
        <v>0.13</v>
      </c>
      <c r="AG36" s="29"/>
      <c r="AH36" s="1792">
        <v>-0.35</v>
      </c>
      <c r="AI36" s="1792">
        <v>0.65</v>
      </c>
      <c r="AJ36" s="1792">
        <v>0.2</v>
      </c>
      <c r="AK36" s="29"/>
      <c r="AL36" s="1792">
        <v>-0.01</v>
      </c>
      <c r="AM36" s="1792">
        <v>0.16</v>
      </c>
      <c r="AN36" s="1792">
        <v>0.01</v>
      </c>
      <c r="AO36" s="29"/>
      <c r="AP36" s="14">
        <v>9</v>
      </c>
      <c r="AQ36" s="1802">
        <v>0.25</v>
      </c>
      <c r="AS36" s="14" t="s">
        <v>157</v>
      </c>
      <c r="AT36" s="29"/>
      <c r="AU36" s="14"/>
      <c r="AV36" s="14" t="s">
        <v>158</v>
      </c>
      <c r="AW36" s="14"/>
      <c r="BQ36" s="325">
        <v>37561</v>
      </c>
      <c r="BR36" s="415">
        <v>2.827</v>
      </c>
      <c r="BS36" s="415">
        <v>2.8319999999999999</v>
      </c>
      <c r="BT36" s="415">
        <v>2.8369999999999997</v>
      </c>
      <c r="BU36" s="416">
        <v>0.2</v>
      </c>
      <c r="BV36" s="416">
        <v>0.20749999999999999</v>
      </c>
      <c r="BW36" s="416">
        <v>0.215</v>
      </c>
      <c r="BX36" s="416">
        <v>-7.0000000000000007E-2</v>
      </c>
      <c r="BY36" s="416"/>
      <c r="BZ36" s="416">
        <v>7.0000000000000007E-2</v>
      </c>
      <c r="CA36" s="433">
        <v>0</v>
      </c>
      <c r="CB36" s="1618">
        <v>0</v>
      </c>
      <c r="CC36" s="445">
        <v>2.4890000000000003</v>
      </c>
      <c r="CD36" s="449">
        <v>0.18</v>
      </c>
    </row>
    <row r="37" spans="1:82">
      <c r="A37" s="325">
        <v>37681</v>
      </c>
      <c r="B37" s="416">
        <v>7.1215322420012023E-2</v>
      </c>
      <c r="C37" s="286"/>
      <c r="D37" s="1786">
        <v>36657</v>
      </c>
      <c r="E37" s="1787">
        <v>34.6</v>
      </c>
      <c r="F37" s="1787">
        <v>35.35</v>
      </c>
      <c r="G37" s="1787">
        <v>36.6</v>
      </c>
      <c r="H37" s="1788"/>
      <c r="I37" s="1787">
        <v>14.584677419354838</v>
      </c>
      <c r="J37" s="1787">
        <v>15.584677419354838</v>
      </c>
      <c r="K37" s="1787">
        <v>17.58467741935484</v>
      </c>
      <c r="M37" s="1791">
        <v>37438</v>
      </c>
      <c r="N37" s="1792">
        <v>59.011751297974627</v>
      </c>
      <c r="O37" s="1792">
        <v>60.261751297974627</v>
      </c>
      <c r="P37" s="1792">
        <v>64.761751297974627</v>
      </c>
      <c r="Q37" s="29"/>
      <c r="R37" s="1792">
        <v>43.94631347348097</v>
      </c>
      <c r="S37" s="1792">
        <v>45.19631347348097</v>
      </c>
      <c r="T37" s="1792">
        <v>49.69631347348097</v>
      </c>
      <c r="V37" s="500">
        <v>0</v>
      </c>
      <c r="W37" s="500">
        <v>0</v>
      </c>
      <c r="X37" s="500">
        <v>0</v>
      </c>
      <c r="Z37" s="1792">
        <v>0.16</v>
      </c>
      <c r="AA37" s="1792">
        <v>0.17</v>
      </c>
      <c r="AB37" s="1792">
        <v>0.18</v>
      </c>
      <c r="AC37" s="29"/>
      <c r="AD37" s="1792">
        <v>0.09</v>
      </c>
      <c r="AE37" s="1792">
        <v>0.11</v>
      </c>
      <c r="AF37" s="1792">
        <v>0.13</v>
      </c>
      <c r="AG37" s="29"/>
      <c r="AH37" s="1792">
        <v>-0.35</v>
      </c>
      <c r="AI37" s="1792">
        <v>3</v>
      </c>
      <c r="AJ37" s="1792">
        <v>0.35</v>
      </c>
      <c r="AK37" s="29"/>
      <c r="AL37" s="1792">
        <v>-0.01</v>
      </c>
      <c r="AM37" s="1792">
        <v>0.16</v>
      </c>
      <c r="AN37" s="1792">
        <v>0.01</v>
      </c>
      <c r="AO37" s="29"/>
      <c r="AP37" s="14">
        <v>10</v>
      </c>
      <c r="AQ37" s="1802">
        <v>0.25</v>
      </c>
      <c r="AS37" s="27">
        <v>-5</v>
      </c>
      <c r="AT37" s="2">
        <v>1.4999999999999999E-2</v>
      </c>
      <c r="AU37" s="14"/>
      <c r="AV37" s="1802">
        <v>1</v>
      </c>
      <c r="AW37" s="14"/>
      <c r="BQ37" s="325">
        <v>37591</v>
      </c>
      <c r="BR37" s="415">
        <v>2.95</v>
      </c>
      <c r="BS37" s="415">
        <v>2.9550000000000001</v>
      </c>
      <c r="BT37" s="415">
        <v>2.96</v>
      </c>
      <c r="BU37" s="416">
        <v>0.20250000000000001</v>
      </c>
      <c r="BV37" s="416">
        <v>0.21</v>
      </c>
      <c r="BW37" s="416">
        <v>0.2175</v>
      </c>
      <c r="BX37" s="416">
        <v>-7.0000000000000007E-2</v>
      </c>
      <c r="BY37" s="416"/>
      <c r="BZ37" s="416">
        <v>7.0000000000000007E-2</v>
      </c>
      <c r="CA37" s="433">
        <v>0</v>
      </c>
      <c r="CB37" s="1618">
        <v>0</v>
      </c>
      <c r="CC37" s="445">
        <v>2.4649999999999999</v>
      </c>
      <c r="CD37" s="449">
        <v>0.17800000000000002</v>
      </c>
    </row>
    <row r="38" spans="1:82">
      <c r="A38" s="325">
        <v>37712</v>
      </c>
      <c r="B38" s="416">
        <v>7.1244092686768012E-2</v>
      </c>
      <c r="C38" s="286"/>
      <c r="D38" s="1786">
        <v>36658</v>
      </c>
      <c r="E38" s="1787">
        <v>34.6</v>
      </c>
      <c r="F38" s="1787">
        <v>35.35</v>
      </c>
      <c r="G38" s="1787">
        <v>36.6</v>
      </c>
      <c r="H38" s="1788"/>
      <c r="I38" s="1787">
        <v>14.584677419354838</v>
      </c>
      <c r="J38" s="1787">
        <v>15.584677419354838</v>
      </c>
      <c r="K38" s="1787">
        <v>17.58467741935484</v>
      </c>
      <c r="M38" s="1791">
        <v>37469</v>
      </c>
      <c r="N38" s="1792">
        <v>79.636751297974627</v>
      </c>
      <c r="O38" s="1792">
        <v>80.886751297974627</v>
      </c>
      <c r="P38" s="1792">
        <v>85.386751297974627</v>
      </c>
      <c r="Q38" s="29"/>
      <c r="R38" s="1792">
        <v>59.41506347348097</v>
      </c>
      <c r="S38" s="1792">
        <v>60.66506347348097</v>
      </c>
      <c r="T38" s="1792">
        <v>65.16506347348097</v>
      </c>
      <c r="V38" s="500">
        <v>0</v>
      </c>
      <c r="W38" s="500">
        <v>0</v>
      </c>
      <c r="X38" s="500">
        <v>0</v>
      </c>
      <c r="Z38" s="1792">
        <v>0.16</v>
      </c>
      <c r="AA38" s="1792">
        <v>0.17</v>
      </c>
      <c r="AB38" s="1792">
        <v>0.18</v>
      </c>
      <c r="AC38" s="29"/>
      <c r="AD38" s="1792">
        <v>0.09</v>
      </c>
      <c r="AE38" s="1792">
        <v>0.11</v>
      </c>
      <c r="AF38" s="1792">
        <v>0.13</v>
      </c>
      <c r="AG38" s="29"/>
      <c r="AH38" s="1792">
        <v>-0.35</v>
      </c>
      <c r="AI38" s="1792">
        <v>3</v>
      </c>
      <c r="AJ38" s="1792">
        <v>0.35</v>
      </c>
      <c r="AK38" s="29"/>
      <c r="AL38" s="1792">
        <v>-0.01</v>
      </c>
      <c r="AM38" s="1792">
        <v>0.16</v>
      </c>
      <c r="AN38" s="1792">
        <v>0.01</v>
      </c>
      <c r="AO38" s="29"/>
      <c r="AP38" s="14">
        <v>10</v>
      </c>
      <c r="AQ38" s="1802">
        <v>0.25</v>
      </c>
      <c r="AS38" s="27">
        <v>-4.5</v>
      </c>
      <c r="AT38" s="2">
        <v>1.4999999999999999E-2</v>
      </c>
      <c r="AU38" s="14"/>
      <c r="AV38" s="1802">
        <v>2</v>
      </c>
      <c r="AW38" s="14"/>
      <c r="BQ38" s="325">
        <v>37622</v>
      </c>
      <c r="BR38" s="415">
        <v>2.98</v>
      </c>
      <c r="BS38" s="415">
        <v>2.9849999999999999</v>
      </c>
      <c r="BT38" s="415">
        <v>2.99</v>
      </c>
      <c r="BU38" s="416">
        <v>0.20550000000000002</v>
      </c>
      <c r="BV38" s="416">
        <v>0.21300000000000002</v>
      </c>
      <c r="BW38" s="416">
        <v>0.2205</v>
      </c>
      <c r="BX38" s="416">
        <v>-7.0000000000000007E-2</v>
      </c>
      <c r="BY38" s="416"/>
      <c r="BZ38" s="416">
        <v>7.0000000000000007E-2</v>
      </c>
      <c r="CA38" s="433">
        <v>0</v>
      </c>
      <c r="CB38" s="1618">
        <v>0</v>
      </c>
      <c r="CC38" s="445">
        <v>2.4720000000000004</v>
      </c>
      <c r="CD38" s="449">
        <v>0.17699999999999999</v>
      </c>
    </row>
    <row r="39" spans="1:82">
      <c r="A39" s="325">
        <v>37742</v>
      </c>
      <c r="B39" s="416">
        <v>7.1257560858981009E-2</v>
      </c>
      <c r="C39" s="286"/>
      <c r="D39" s="1786">
        <v>36659</v>
      </c>
      <c r="E39" s="1787">
        <v>34.6</v>
      </c>
      <c r="F39" s="1787">
        <v>35.35</v>
      </c>
      <c r="G39" s="1787">
        <v>36.6</v>
      </c>
      <c r="H39" s="1788"/>
      <c r="I39" s="1787">
        <v>14.584677419354838</v>
      </c>
      <c r="J39" s="1787">
        <v>15.584677419354838</v>
      </c>
      <c r="K39" s="1787">
        <v>17.58467741935484</v>
      </c>
      <c r="M39" s="1791">
        <v>37500</v>
      </c>
      <c r="N39" s="1792">
        <v>63.636751297974627</v>
      </c>
      <c r="O39" s="1792">
        <v>64.886751297974627</v>
      </c>
      <c r="P39" s="1792">
        <v>69.386751297974627</v>
      </c>
      <c r="Q39" s="29"/>
      <c r="R39" s="1792">
        <v>47.41506347348097</v>
      </c>
      <c r="S39" s="1792">
        <v>48.66506347348097</v>
      </c>
      <c r="T39" s="1792">
        <v>53.16506347348097</v>
      </c>
      <c r="V39" s="500">
        <v>0</v>
      </c>
      <c r="W39" s="500">
        <v>0</v>
      </c>
      <c r="X39" s="500">
        <v>0</v>
      </c>
      <c r="Y39" s="27"/>
      <c r="Z39" s="1792">
        <v>0.16</v>
      </c>
      <c r="AA39" s="1792">
        <v>0.17</v>
      </c>
      <c r="AB39" s="1792">
        <v>0.18</v>
      </c>
      <c r="AC39" s="29"/>
      <c r="AD39" s="1792">
        <v>0.09</v>
      </c>
      <c r="AE39" s="1792">
        <v>0.11</v>
      </c>
      <c r="AF39" s="1792">
        <v>0.13</v>
      </c>
      <c r="AG39" s="29"/>
      <c r="AH39" s="1792">
        <v>-0.35</v>
      </c>
      <c r="AI39" s="1792">
        <v>3</v>
      </c>
      <c r="AJ39" s="1792">
        <v>0.2</v>
      </c>
      <c r="AK39" s="29"/>
      <c r="AL39" s="1792">
        <v>-0.01</v>
      </c>
      <c r="AM39" s="1792">
        <v>0.16</v>
      </c>
      <c r="AN39" s="1792">
        <v>0.01</v>
      </c>
      <c r="AO39" s="29"/>
      <c r="AP39" s="14">
        <v>10</v>
      </c>
      <c r="AQ39" s="1802">
        <v>0.25</v>
      </c>
      <c r="AR39" s="27"/>
      <c r="AS39" s="27">
        <v>-4</v>
      </c>
      <c r="AT39" s="2">
        <v>1.2500000000000001E-2</v>
      </c>
      <c r="AU39" s="14"/>
      <c r="AV39" s="1802">
        <v>3</v>
      </c>
      <c r="AW39" s="14"/>
      <c r="AX39" s="27"/>
      <c r="AY39" s="27"/>
      <c r="AZ39" s="27"/>
      <c r="BA39" s="27"/>
      <c r="BB39" s="27"/>
      <c r="BC39" s="27"/>
      <c r="BD39" s="27"/>
      <c r="BE39" s="27"/>
      <c r="BF39" s="27"/>
      <c r="BG39" s="27"/>
      <c r="BH39" s="27"/>
      <c r="BI39" s="27"/>
      <c r="BJ39" s="27"/>
      <c r="BK39" s="27"/>
      <c r="BL39" s="27"/>
      <c r="BM39" s="27"/>
      <c r="BN39" s="27"/>
      <c r="BO39" s="27"/>
      <c r="BP39" s="27"/>
      <c r="BQ39" s="325">
        <v>37653</v>
      </c>
      <c r="BR39" s="415">
        <v>2.867</v>
      </c>
      <c r="BS39" s="415">
        <v>2.8719999999999999</v>
      </c>
      <c r="BT39" s="415">
        <v>2.8769999999999998</v>
      </c>
      <c r="BU39" s="416">
        <v>0.20250000000000001</v>
      </c>
      <c r="BV39" s="416">
        <v>0.21</v>
      </c>
      <c r="BW39" s="416">
        <v>0.2175</v>
      </c>
      <c r="BX39" s="416">
        <v>-7.0000000000000007E-2</v>
      </c>
      <c r="BY39" s="416"/>
      <c r="BZ39" s="416">
        <v>7.0000000000000007E-2</v>
      </c>
      <c r="CA39" s="433">
        <v>0</v>
      </c>
      <c r="CB39" s="1618">
        <v>0</v>
      </c>
      <c r="CC39" s="445">
        <v>2.4780000000000002</v>
      </c>
      <c r="CD39" s="449">
        <v>0.17600000000000002</v>
      </c>
    </row>
    <row r="40" spans="1:82">
      <c r="A40" s="325">
        <v>37773</v>
      </c>
      <c r="B40" s="416">
        <v>7.1271477970331024E-2</v>
      </c>
      <c r="C40" s="286"/>
      <c r="D40" s="1786">
        <v>36677</v>
      </c>
      <c r="E40" s="1787">
        <v>34.6</v>
      </c>
      <c r="F40" s="1787">
        <v>35.35</v>
      </c>
      <c r="G40" s="1787">
        <v>36.6</v>
      </c>
      <c r="H40" s="1788"/>
      <c r="I40" s="1787">
        <v>14.584677419354838</v>
      </c>
      <c r="J40" s="1787">
        <v>15.584677419354838</v>
      </c>
      <c r="K40" s="1787">
        <v>17.58467741935484</v>
      </c>
      <c r="M40" s="1791">
        <v>37530</v>
      </c>
      <c r="N40" s="1792">
        <v>38.752775751638893</v>
      </c>
      <c r="O40" s="1792">
        <v>40.002775751638893</v>
      </c>
      <c r="P40" s="1792">
        <v>44.502775751638893</v>
      </c>
      <c r="Q40" s="29"/>
      <c r="R40" s="1792">
        <v>28.75208181372917</v>
      </c>
      <c r="S40" s="1792">
        <v>30.00208181372917</v>
      </c>
      <c r="T40" s="1792">
        <v>34.50208181372917</v>
      </c>
      <c r="V40" s="500">
        <v>0</v>
      </c>
      <c r="W40" s="500">
        <v>0</v>
      </c>
      <c r="X40" s="500">
        <v>0</v>
      </c>
      <c r="Y40" s="27"/>
      <c r="Z40" s="1792">
        <v>0.16</v>
      </c>
      <c r="AA40" s="1792">
        <v>0.17</v>
      </c>
      <c r="AB40" s="1792">
        <v>0.18</v>
      </c>
      <c r="AC40" s="29"/>
      <c r="AD40" s="1792">
        <v>0.09</v>
      </c>
      <c r="AE40" s="1792">
        <v>0.11</v>
      </c>
      <c r="AF40" s="1792">
        <v>0.13</v>
      </c>
      <c r="AG40" s="29"/>
      <c r="AH40" s="1792">
        <v>-0.1</v>
      </c>
      <c r="AI40" s="1792">
        <v>0.6</v>
      </c>
      <c r="AJ40" s="1792">
        <v>0.1</v>
      </c>
      <c r="AK40" s="29"/>
      <c r="AL40" s="1792">
        <v>-0.01</v>
      </c>
      <c r="AM40" s="1792">
        <v>0.16</v>
      </c>
      <c r="AN40" s="1792">
        <v>0.01</v>
      </c>
      <c r="AO40" s="29"/>
      <c r="AP40" s="14">
        <v>11</v>
      </c>
      <c r="AQ40" s="1802">
        <v>0.25</v>
      </c>
      <c r="AR40" s="27"/>
      <c r="AS40" s="27">
        <v>-3.5</v>
      </c>
      <c r="AT40" s="2">
        <v>1.2500000000000001E-2</v>
      </c>
      <c r="AU40" s="14"/>
      <c r="AV40" s="1802">
        <v>4</v>
      </c>
      <c r="AW40" s="14"/>
      <c r="AX40" s="27"/>
      <c r="AY40" s="27"/>
      <c r="AZ40" s="27"/>
      <c r="BA40" s="27"/>
      <c r="BB40" s="27"/>
      <c r="BC40" s="27"/>
      <c r="BD40" s="27"/>
      <c r="BE40" s="27"/>
      <c r="BF40" s="27"/>
      <c r="BG40" s="27"/>
      <c r="BH40" s="27"/>
      <c r="BI40" s="27"/>
      <c r="BJ40" s="27"/>
      <c r="BK40" s="27"/>
      <c r="BL40" s="27"/>
      <c r="BM40" s="27"/>
      <c r="BN40" s="27"/>
      <c r="BO40" s="27"/>
      <c r="BP40" s="27"/>
      <c r="BQ40" s="325">
        <v>37681</v>
      </c>
      <c r="BR40" s="415">
        <v>2.7519999999999998</v>
      </c>
      <c r="BS40" s="415">
        <v>2.7570000000000001</v>
      </c>
      <c r="BT40" s="415">
        <v>2.762</v>
      </c>
      <c r="BU40" s="416">
        <v>0.1925</v>
      </c>
      <c r="BV40" s="416">
        <v>0.2</v>
      </c>
      <c r="BW40" s="416">
        <v>0.20749999999999999</v>
      </c>
      <c r="BX40" s="416">
        <v>-7.0000000000000007E-2</v>
      </c>
      <c r="BY40" s="416"/>
      <c r="BZ40" s="416">
        <v>7.0000000000000007E-2</v>
      </c>
      <c r="CA40" s="433">
        <v>0</v>
      </c>
      <c r="CB40" s="1618">
        <v>0</v>
      </c>
      <c r="CC40" s="445">
        <v>2.4830000000000001</v>
      </c>
      <c r="CD40" s="449">
        <v>0.17499999999999999</v>
      </c>
    </row>
    <row r="41" spans="1:82">
      <c r="A41" s="325">
        <v>37803</v>
      </c>
      <c r="B41" s="416">
        <v>7.1284333761700014E-2</v>
      </c>
      <c r="C41" s="286"/>
      <c r="D41" s="1786">
        <v>36678</v>
      </c>
      <c r="E41" s="1787">
        <v>38.875</v>
      </c>
      <c r="F41" s="1787">
        <v>39.625</v>
      </c>
      <c r="G41" s="1787">
        <v>40.875</v>
      </c>
      <c r="H41" s="1788"/>
      <c r="I41" s="1787">
        <v>15.141666666666666</v>
      </c>
      <c r="J41" s="1787">
        <v>16.141666666666666</v>
      </c>
      <c r="K41" s="1787">
        <v>18.141666666666666</v>
      </c>
      <c r="M41" s="1791">
        <v>37561</v>
      </c>
      <c r="N41" s="1792">
        <v>31.002775751638893</v>
      </c>
      <c r="O41" s="1792">
        <v>32.252775751638893</v>
      </c>
      <c r="P41" s="1792">
        <v>36.752775751638893</v>
      </c>
      <c r="Q41" s="29"/>
      <c r="R41" s="1792">
        <v>22.93958181372917</v>
      </c>
      <c r="S41" s="1792">
        <v>24.18958181372917</v>
      </c>
      <c r="T41" s="1792">
        <v>28.68958181372917</v>
      </c>
      <c r="V41" s="500">
        <v>0</v>
      </c>
      <c r="W41" s="500">
        <v>0</v>
      </c>
      <c r="X41" s="500">
        <v>0</v>
      </c>
      <c r="Y41" s="27"/>
      <c r="Z41" s="1792">
        <v>0.16</v>
      </c>
      <c r="AA41" s="1792">
        <v>0.17</v>
      </c>
      <c r="AB41" s="1792">
        <v>0.18</v>
      </c>
      <c r="AC41" s="29"/>
      <c r="AD41" s="1792">
        <v>0.09</v>
      </c>
      <c r="AE41" s="1792">
        <v>0.11</v>
      </c>
      <c r="AF41" s="1792">
        <v>0.13</v>
      </c>
      <c r="AG41" s="29"/>
      <c r="AH41" s="1792">
        <v>-0.1</v>
      </c>
      <c r="AI41" s="1792">
        <v>0.6</v>
      </c>
      <c r="AJ41" s="1792">
        <v>0.1</v>
      </c>
      <c r="AK41" s="29"/>
      <c r="AL41" s="1792">
        <v>-0.01</v>
      </c>
      <c r="AM41" s="1792">
        <v>0.16</v>
      </c>
      <c r="AN41" s="1792">
        <v>0.01</v>
      </c>
      <c r="AO41" s="29"/>
      <c r="AP41" s="14">
        <v>11</v>
      </c>
      <c r="AQ41" s="1802">
        <v>0.25</v>
      </c>
      <c r="AR41" s="27"/>
      <c r="AS41" s="27">
        <v>-3</v>
      </c>
      <c r="AT41" s="2">
        <v>0.01</v>
      </c>
      <c r="AU41" s="14"/>
      <c r="AV41" s="1802">
        <v>10</v>
      </c>
      <c r="AW41" s="14"/>
      <c r="AX41" s="27"/>
      <c r="AY41" s="27"/>
      <c r="AZ41" s="27"/>
      <c r="BA41" s="27"/>
      <c r="BB41" s="27"/>
      <c r="BC41" s="27"/>
      <c r="BD41" s="27"/>
      <c r="BE41" s="27"/>
      <c r="BF41" s="27"/>
      <c r="BG41" s="27"/>
      <c r="BH41" s="27"/>
      <c r="BI41" s="27"/>
      <c r="BJ41" s="27"/>
      <c r="BK41" s="27"/>
      <c r="BL41" s="27"/>
      <c r="BM41" s="27"/>
      <c r="BN41" s="27"/>
      <c r="BO41" s="27"/>
      <c r="BP41" s="27"/>
      <c r="BQ41" s="325">
        <v>37712</v>
      </c>
      <c r="BR41" s="415">
        <v>2.6520000000000001</v>
      </c>
      <c r="BS41" s="415">
        <v>2.657</v>
      </c>
      <c r="BT41" s="415">
        <v>2.6619999999999999</v>
      </c>
      <c r="BU41" s="416">
        <v>0.1905</v>
      </c>
      <c r="BV41" s="416">
        <v>0.19800000000000001</v>
      </c>
      <c r="BW41" s="416">
        <v>0.20550000000000002</v>
      </c>
      <c r="BX41" s="416">
        <v>-7.0000000000000007E-2</v>
      </c>
      <c r="BY41" s="416"/>
      <c r="BZ41" s="416">
        <v>7.0000000000000007E-2</v>
      </c>
      <c r="CA41" s="433">
        <v>0</v>
      </c>
      <c r="CB41" s="1618">
        <v>0</v>
      </c>
      <c r="CC41" s="445">
        <v>2.4860000000000002</v>
      </c>
      <c r="CD41" s="449">
        <v>0.17400000000000002</v>
      </c>
    </row>
    <row r="42" spans="1:82">
      <c r="A42" s="325">
        <v>37834</v>
      </c>
      <c r="B42" s="416">
        <v>7.1296737441124011E-2</v>
      </c>
      <c r="C42" s="286"/>
      <c r="D42" s="1786">
        <v>36708</v>
      </c>
      <c r="E42" s="1787">
        <v>56.575000000000003</v>
      </c>
      <c r="F42" s="1787">
        <v>57.325000000000003</v>
      </c>
      <c r="G42" s="1787">
        <v>58.575000000000003</v>
      </c>
      <c r="H42" s="1788"/>
      <c r="I42" s="1787">
        <v>22.583064516129031</v>
      </c>
      <c r="J42" s="1787">
        <v>23.583064516129031</v>
      </c>
      <c r="K42" s="1787">
        <v>25.583064516129031</v>
      </c>
      <c r="M42" s="1791">
        <v>37591</v>
      </c>
      <c r="N42" s="1792">
        <v>33.002775751638893</v>
      </c>
      <c r="O42" s="1792">
        <v>34.252775751638893</v>
      </c>
      <c r="P42" s="1792">
        <v>38.752775751638893</v>
      </c>
      <c r="Q42" s="29"/>
      <c r="R42" s="1792">
        <v>24.43958181372917</v>
      </c>
      <c r="S42" s="1792">
        <v>25.68958181372917</v>
      </c>
      <c r="T42" s="1792">
        <v>30.18958181372917</v>
      </c>
      <c r="V42" s="500">
        <v>0</v>
      </c>
      <c r="W42" s="500">
        <v>0</v>
      </c>
      <c r="X42" s="500">
        <v>0</v>
      </c>
      <c r="Y42" s="27"/>
      <c r="Z42" s="1792">
        <v>0.16</v>
      </c>
      <c r="AA42" s="1792">
        <v>0.17</v>
      </c>
      <c r="AB42" s="1792">
        <v>0.18</v>
      </c>
      <c r="AC42" s="29"/>
      <c r="AD42" s="1792">
        <v>0.09</v>
      </c>
      <c r="AE42" s="1792">
        <v>0.11</v>
      </c>
      <c r="AF42" s="1792">
        <v>0.13</v>
      </c>
      <c r="AG42" s="29"/>
      <c r="AH42" s="1792">
        <v>-0.25</v>
      </c>
      <c r="AI42" s="1792">
        <v>0.6</v>
      </c>
      <c r="AJ42" s="1792">
        <v>0.25</v>
      </c>
      <c r="AK42" s="29"/>
      <c r="AL42" s="1792">
        <v>-0.01</v>
      </c>
      <c r="AM42" s="1792">
        <v>0.16</v>
      </c>
      <c r="AN42" s="1792">
        <v>0.01</v>
      </c>
      <c r="AO42" s="29"/>
      <c r="AP42" s="14">
        <v>11</v>
      </c>
      <c r="AQ42" s="1802">
        <v>0.25</v>
      </c>
      <c r="AR42" s="27"/>
      <c r="AS42" s="27">
        <v>-2.5</v>
      </c>
      <c r="AT42" s="2">
        <v>5.0000000000000001E-3</v>
      </c>
      <c r="AU42" s="14"/>
      <c r="AV42" s="1802">
        <v>0</v>
      </c>
      <c r="AW42" s="14"/>
      <c r="AX42" s="27"/>
      <c r="AY42" s="27"/>
      <c r="AZ42" s="27"/>
      <c r="BA42" s="27"/>
      <c r="BB42" s="27"/>
      <c r="BC42" s="27"/>
      <c r="BD42" s="27"/>
      <c r="BE42" s="27"/>
      <c r="BF42" s="27"/>
      <c r="BG42" s="27"/>
      <c r="BH42" s="27"/>
      <c r="BI42" s="27"/>
      <c r="BJ42" s="27"/>
      <c r="BK42" s="27"/>
      <c r="BL42" s="27"/>
      <c r="BM42" s="27"/>
      <c r="BN42" s="27"/>
      <c r="BO42" s="27"/>
      <c r="BP42" s="27"/>
      <c r="BQ42" s="325">
        <v>37742</v>
      </c>
      <c r="BR42" s="415">
        <v>2.6660000000000004</v>
      </c>
      <c r="BS42" s="415">
        <v>2.6710000000000003</v>
      </c>
      <c r="BT42" s="415">
        <v>2.6760000000000002</v>
      </c>
      <c r="BU42" s="416">
        <v>0.1895</v>
      </c>
      <c r="BV42" s="416">
        <v>0.19700000000000001</v>
      </c>
      <c r="BW42" s="416">
        <v>0.20449999999999999</v>
      </c>
      <c r="BX42" s="416">
        <v>-7.0000000000000007E-2</v>
      </c>
      <c r="BY42" s="416"/>
      <c r="BZ42" s="416">
        <v>7.0000000000000007E-2</v>
      </c>
      <c r="CA42" s="432">
        <v>0</v>
      </c>
      <c r="CB42" s="1618">
        <v>0</v>
      </c>
      <c r="CC42" s="445">
        <v>2.5190000000000001</v>
      </c>
      <c r="CD42" s="449">
        <v>0.17300000000000001</v>
      </c>
    </row>
    <row r="43" spans="1:82">
      <c r="A43" s="325">
        <v>37865</v>
      </c>
      <c r="B43" s="416">
        <v>7.1309141120598996E-2</v>
      </c>
      <c r="C43" s="286"/>
      <c r="D43" s="1786">
        <v>36739</v>
      </c>
      <c r="E43" s="1787">
        <v>77.125</v>
      </c>
      <c r="F43" s="1787">
        <v>77.875</v>
      </c>
      <c r="G43" s="1787">
        <v>79.125</v>
      </c>
      <c r="H43" s="1788"/>
      <c r="I43" s="1787">
        <v>20.411290322580648</v>
      </c>
      <c r="J43" s="1787">
        <v>21.411290322580648</v>
      </c>
      <c r="K43" s="1787">
        <v>23.411290322580648</v>
      </c>
      <c r="M43" s="1791">
        <v>37622</v>
      </c>
      <c r="N43" s="1792">
        <v>30.817551391905674</v>
      </c>
      <c r="O43" s="1792">
        <v>32.317551391905674</v>
      </c>
      <c r="P43" s="1792">
        <v>36.817551391905674</v>
      </c>
      <c r="Q43" s="29"/>
      <c r="R43" s="1792">
        <v>22.738163543929254</v>
      </c>
      <c r="S43" s="1792">
        <v>24.238163543929254</v>
      </c>
      <c r="T43" s="1792">
        <v>28.738163543929254</v>
      </c>
      <c r="V43" s="500">
        <v>0</v>
      </c>
      <c r="W43" s="500">
        <v>0</v>
      </c>
      <c r="X43" s="500">
        <v>0</v>
      </c>
      <c r="Y43" s="27"/>
      <c r="Z43" s="1792">
        <v>0.155</v>
      </c>
      <c r="AA43" s="1792">
        <v>0.16500000000000001</v>
      </c>
      <c r="AB43" s="1792">
        <v>0.17499999999999999</v>
      </c>
      <c r="AC43" s="29"/>
      <c r="AD43" s="1792">
        <v>0.09</v>
      </c>
      <c r="AE43" s="1792">
        <v>0.11</v>
      </c>
      <c r="AF43" s="1792">
        <v>0.13</v>
      </c>
      <c r="AG43" s="29"/>
      <c r="AH43" s="1792">
        <v>-0.25</v>
      </c>
      <c r="AI43" s="1792">
        <v>0.65</v>
      </c>
      <c r="AJ43" s="1792">
        <v>0.25</v>
      </c>
      <c r="AK43" s="29"/>
      <c r="AL43" s="1792">
        <v>-0.01</v>
      </c>
      <c r="AM43" s="1792">
        <v>0.16</v>
      </c>
      <c r="AN43" s="1792">
        <v>0.01</v>
      </c>
      <c r="AO43" s="29"/>
      <c r="AP43" s="14">
        <v>12</v>
      </c>
      <c r="AQ43" s="1802">
        <v>0.25</v>
      </c>
      <c r="AR43" s="27"/>
      <c r="AS43" s="27">
        <v>-2</v>
      </c>
      <c r="AT43" s="2">
        <v>2.5000000000000001E-3</v>
      </c>
      <c r="AU43" s="14"/>
      <c r="AV43" s="1802">
        <v>0</v>
      </c>
      <c r="AW43" s="14"/>
      <c r="AX43" s="27"/>
      <c r="AY43" s="27"/>
      <c r="AZ43" s="27"/>
      <c r="BA43" s="27"/>
      <c r="BB43" s="27"/>
      <c r="BC43" s="27"/>
      <c r="BD43" s="27"/>
      <c r="BE43" s="27"/>
      <c r="BF43" s="27"/>
      <c r="BG43" s="27"/>
      <c r="BH43" s="27"/>
      <c r="BI43" s="27"/>
      <c r="BJ43" s="27"/>
      <c r="BK43" s="27"/>
      <c r="BL43" s="27"/>
      <c r="BM43" s="27"/>
      <c r="BN43" s="27"/>
      <c r="BO43" s="27"/>
      <c r="BP43" s="27"/>
      <c r="BQ43" s="325">
        <v>37773</v>
      </c>
      <c r="BR43" s="415">
        <v>2.673</v>
      </c>
      <c r="BS43" s="415">
        <v>2.6780000000000004</v>
      </c>
      <c r="BT43" s="415">
        <v>2.6830000000000003</v>
      </c>
      <c r="BU43" s="416">
        <v>0.1895</v>
      </c>
      <c r="BV43" s="416">
        <v>0.19700000000000001</v>
      </c>
      <c r="BW43" s="416">
        <v>0.20449999999999999</v>
      </c>
      <c r="BX43" s="416">
        <v>-7.0000000000000007E-2</v>
      </c>
      <c r="BY43" s="416"/>
      <c r="BZ43" s="416">
        <v>7.0000000000000007E-2</v>
      </c>
      <c r="CA43" s="432">
        <v>0</v>
      </c>
      <c r="CB43" s="1618">
        <v>0</v>
      </c>
      <c r="CC43" s="445">
        <v>2.66</v>
      </c>
      <c r="CD43" s="449">
        <v>0.17300000000000001</v>
      </c>
    </row>
    <row r="44" spans="1:82">
      <c r="A44" s="325">
        <v>37895</v>
      </c>
      <c r="B44" s="416">
        <v>7.1320271636541005E-2</v>
      </c>
      <c r="C44" s="286"/>
      <c r="D44" s="1786">
        <v>36770</v>
      </c>
      <c r="E44" s="1787">
        <v>61.125</v>
      </c>
      <c r="F44" s="1787">
        <v>61.875</v>
      </c>
      <c r="G44" s="1787">
        <v>63.125</v>
      </c>
      <c r="H44" s="1788"/>
      <c r="I44" s="1787">
        <v>22.197916666666664</v>
      </c>
      <c r="J44" s="1787">
        <v>23.197916666666664</v>
      </c>
      <c r="K44" s="1787">
        <v>25.197916666666664</v>
      </c>
      <c r="M44" s="1791">
        <v>37653</v>
      </c>
      <c r="N44" s="1792">
        <v>30.317551391905674</v>
      </c>
      <c r="O44" s="1792">
        <v>31.817551391905674</v>
      </c>
      <c r="P44" s="1792">
        <v>36.317551391905674</v>
      </c>
      <c r="Q44" s="29"/>
      <c r="R44" s="1792">
        <v>22.363163543929254</v>
      </c>
      <c r="S44" s="1792">
        <v>23.863163543929254</v>
      </c>
      <c r="T44" s="1792">
        <v>28.363163543929254</v>
      </c>
      <c r="V44" s="500">
        <v>0</v>
      </c>
      <c r="W44" s="500">
        <v>0</v>
      </c>
      <c r="X44" s="500">
        <v>0</v>
      </c>
      <c r="Y44" s="27"/>
      <c r="Z44" s="1792">
        <v>0.155</v>
      </c>
      <c r="AA44" s="1792">
        <v>0.16500000000000001</v>
      </c>
      <c r="AB44" s="1792">
        <v>0.17499999999999999</v>
      </c>
      <c r="AC44" s="29"/>
      <c r="AD44" s="1792">
        <v>0.09</v>
      </c>
      <c r="AE44" s="1792">
        <v>0.11</v>
      </c>
      <c r="AF44" s="1792">
        <v>0.13</v>
      </c>
      <c r="AG44" s="29"/>
      <c r="AH44" s="1792">
        <v>-0.25</v>
      </c>
      <c r="AI44" s="1792">
        <v>0.65</v>
      </c>
      <c r="AJ44" s="1792">
        <v>0.25</v>
      </c>
      <c r="AK44" s="29"/>
      <c r="AL44" s="1792">
        <v>-0.01</v>
      </c>
      <c r="AM44" s="1792">
        <v>0.16</v>
      </c>
      <c r="AN44" s="1792">
        <v>0.01</v>
      </c>
      <c r="AO44" s="29"/>
      <c r="AP44" s="14">
        <v>12</v>
      </c>
      <c r="AQ44" s="1802">
        <v>0.25</v>
      </c>
      <c r="AR44" s="27"/>
      <c r="AS44" s="27">
        <v>-1.5</v>
      </c>
      <c r="AT44" s="2">
        <v>0</v>
      </c>
      <c r="AU44" s="14"/>
      <c r="AV44" s="1802">
        <v>0</v>
      </c>
      <c r="AW44" s="14"/>
      <c r="AX44" s="27"/>
      <c r="AY44" s="27"/>
      <c r="AZ44" s="27"/>
      <c r="BA44" s="27"/>
      <c r="BB44" s="27"/>
      <c r="BC44" s="27"/>
      <c r="BD44" s="27"/>
      <c r="BE44" s="27"/>
      <c r="BF44" s="27"/>
      <c r="BG44" s="27"/>
      <c r="BH44" s="27"/>
      <c r="BI44" s="27"/>
      <c r="BJ44" s="27"/>
      <c r="BK44" s="27"/>
      <c r="BL44" s="27"/>
      <c r="BM44" s="27"/>
      <c r="BN44" s="27"/>
      <c r="BO44" s="27"/>
      <c r="BP44" s="27"/>
      <c r="BQ44" s="325">
        <v>37803</v>
      </c>
      <c r="BR44" s="415">
        <v>2.6810000000000005</v>
      </c>
      <c r="BS44" s="415">
        <v>2.6860000000000004</v>
      </c>
      <c r="BT44" s="415">
        <v>2.6910000000000003</v>
      </c>
      <c r="BU44" s="416">
        <v>0.1895</v>
      </c>
      <c r="BV44" s="416">
        <v>0.19700000000000001</v>
      </c>
      <c r="BW44" s="416">
        <v>0.20449999999999999</v>
      </c>
      <c r="BX44" s="416">
        <v>-7.0000000000000007E-2</v>
      </c>
      <c r="BY44" s="416"/>
      <c r="BZ44" s="416">
        <v>7.0000000000000007E-2</v>
      </c>
      <c r="CA44" s="432">
        <v>0</v>
      </c>
      <c r="CB44" s="1618">
        <v>0</v>
      </c>
      <c r="CC44" s="445">
        <v>2.8050000000000002</v>
      </c>
      <c r="CD44" s="449">
        <v>0.17400000000000002</v>
      </c>
    </row>
    <row r="45" spans="1:82">
      <c r="A45" s="325">
        <v>37926</v>
      </c>
      <c r="B45" s="416">
        <v>7.1330675892117029E-2</v>
      </c>
      <c r="C45" s="286"/>
      <c r="D45" s="1786">
        <v>36800</v>
      </c>
      <c r="E45" s="1787">
        <v>42.375</v>
      </c>
      <c r="F45" s="1787">
        <v>43.125</v>
      </c>
      <c r="G45" s="1787">
        <v>44.375</v>
      </c>
      <c r="H45" s="1788"/>
      <c r="I45" s="1787">
        <v>21.300403225806452</v>
      </c>
      <c r="J45" s="1787">
        <v>22.300403225806452</v>
      </c>
      <c r="K45" s="1787">
        <v>24.300403225806452</v>
      </c>
      <c r="M45" s="1791">
        <v>37681</v>
      </c>
      <c r="N45" s="1792">
        <v>29.567551391905674</v>
      </c>
      <c r="O45" s="1792">
        <v>31.067551391905674</v>
      </c>
      <c r="P45" s="1792">
        <v>35.567551391905674</v>
      </c>
      <c r="Q45" s="29"/>
      <c r="R45" s="1792">
        <v>21.800663543929254</v>
      </c>
      <c r="S45" s="1792">
        <v>23.300663543929254</v>
      </c>
      <c r="T45" s="1792">
        <v>27.800663543929254</v>
      </c>
      <c r="V45" s="500">
        <v>0</v>
      </c>
      <c r="W45" s="500">
        <v>0</v>
      </c>
      <c r="X45" s="500">
        <v>0</v>
      </c>
      <c r="Y45" s="27"/>
      <c r="Z45" s="1792">
        <v>0.155</v>
      </c>
      <c r="AA45" s="1792">
        <v>0.16500000000000001</v>
      </c>
      <c r="AB45" s="1792">
        <v>0.17499999999999999</v>
      </c>
      <c r="AC45" s="29"/>
      <c r="AD45" s="1792">
        <v>0.09</v>
      </c>
      <c r="AE45" s="1792">
        <v>0.11</v>
      </c>
      <c r="AF45" s="1792">
        <v>0.13</v>
      </c>
      <c r="AG45" s="29"/>
      <c r="AH45" s="1792">
        <v>-0.1</v>
      </c>
      <c r="AI45" s="1792">
        <v>0.65</v>
      </c>
      <c r="AJ45" s="1792">
        <v>0.1</v>
      </c>
      <c r="AK45" s="29"/>
      <c r="AL45" s="1792">
        <v>-0.01</v>
      </c>
      <c r="AM45" s="1792">
        <v>0.16</v>
      </c>
      <c r="AN45" s="1792">
        <v>0.01</v>
      </c>
      <c r="AO45" s="29"/>
      <c r="AP45" s="14">
        <v>12</v>
      </c>
      <c r="AQ45" s="1802">
        <v>0.25</v>
      </c>
      <c r="AR45" s="27"/>
      <c r="AS45" s="27">
        <v>-1</v>
      </c>
      <c r="AT45" s="2">
        <v>0</v>
      </c>
      <c r="AU45" s="14"/>
      <c r="AV45" s="1802">
        <v>0</v>
      </c>
      <c r="AW45" s="14"/>
      <c r="AX45" s="27"/>
      <c r="AY45" s="27"/>
      <c r="AZ45" s="27"/>
      <c r="BA45" s="27"/>
      <c r="BB45" s="27"/>
      <c r="BC45" s="27"/>
      <c r="BD45" s="27"/>
      <c r="BE45" s="27"/>
      <c r="BF45" s="27"/>
      <c r="BG45" s="27"/>
      <c r="BH45" s="27"/>
      <c r="BI45" s="27"/>
      <c r="BJ45" s="27"/>
      <c r="BK45" s="27"/>
      <c r="BL45" s="27"/>
      <c r="BM45" s="27"/>
      <c r="BN45" s="27"/>
      <c r="BO45" s="27"/>
      <c r="BP45" s="27"/>
      <c r="BQ45" s="325">
        <v>37834</v>
      </c>
      <c r="BR45" s="415">
        <v>2.69</v>
      </c>
      <c r="BS45" s="415">
        <v>2.6949999999999998</v>
      </c>
      <c r="BT45" s="415">
        <v>2.7</v>
      </c>
      <c r="BU45" s="416">
        <v>0.1895</v>
      </c>
      <c r="BV45" s="416">
        <v>0.19700000000000001</v>
      </c>
      <c r="BW45" s="416">
        <v>0.20449999999999999</v>
      </c>
      <c r="BX45" s="416">
        <v>-7.0000000000000007E-2</v>
      </c>
      <c r="BY45" s="416"/>
      <c r="BZ45" s="416">
        <v>7.0000000000000007E-2</v>
      </c>
      <c r="CA45" s="432">
        <v>0</v>
      </c>
      <c r="CB45" s="1618">
        <v>0</v>
      </c>
      <c r="CC45" s="445">
        <v>2.8440000000000003</v>
      </c>
      <c r="CD45" s="449">
        <v>0.17400000000000002</v>
      </c>
    </row>
    <row r="46" spans="1:82">
      <c r="A46" s="325">
        <v>37956</v>
      </c>
      <c r="B46" s="416">
        <v>7.1340744526580013E-2</v>
      </c>
      <c r="C46" s="275"/>
      <c r="D46" s="1786">
        <v>36831</v>
      </c>
      <c r="E46" s="1787">
        <v>34.625</v>
      </c>
      <c r="F46" s="1787">
        <v>35.375</v>
      </c>
      <c r="G46" s="1787">
        <v>36.625</v>
      </c>
      <c r="H46" s="1788"/>
      <c r="I46" s="1787">
        <v>23.15625</v>
      </c>
      <c r="J46" s="1787">
        <v>24.15625</v>
      </c>
      <c r="K46" s="1787">
        <v>26.15625</v>
      </c>
      <c r="M46" s="1791">
        <v>37712</v>
      </c>
      <c r="N46" s="1792">
        <v>29.277543066989299</v>
      </c>
      <c r="O46" s="1792">
        <v>30.777543066989299</v>
      </c>
      <c r="P46" s="1792">
        <v>35.277543066989296</v>
      </c>
      <c r="Q46" s="29"/>
      <c r="R46" s="1792">
        <v>21.583157300241972</v>
      </c>
      <c r="S46" s="1792">
        <v>23.083157300241972</v>
      </c>
      <c r="T46" s="1792">
        <v>27.583157300241972</v>
      </c>
      <c r="V46" s="500">
        <v>0</v>
      </c>
      <c r="W46" s="500">
        <v>0</v>
      </c>
      <c r="X46" s="500">
        <v>0</v>
      </c>
      <c r="Y46" s="27"/>
      <c r="Z46" s="1792">
        <v>0.155</v>
      </c>
      <c r="AA46" s="1792">
        <v>0.16500000000000001</v>
      </c>
      <c r="AB46" s="1792">
        <v>0.17499999999999999</v>
      </c>
      <c r="AC46" s="29"/>
      <c r="AD46" s="1792">
        <v>0.09</v>
      </c>
      <c r="AE46" s="1792">
        <v>0.11</v>
      </c>
      <c r="AF46" s="1792">
        <v>0.13</v>
      </c>
      <c r="AG46" s="29"/>
      <c r="AH46" s="1792">
        <v>-0.1</v>
      </c>
      <c r="AI46" s="1792">
        <v>0.65</v>
      </c>
      <c r="AJ46" s="1792">
        <v>0.1</v>
      </c>
      <c r="AK46" s="29"/>
      <c r="AL46" s="1792">
        <v>-0.01</v>
      </c>
      <c r="AM46" s="1792">
        <v>0.16</v>
      </c>
      <c r="AN46" s="1792">
        <v>0.01</v>
      </c>
      <c r="AO46" s="29"/>
      <c r="AP46" s="14">
        <v>13</v>
      </c>
      <c r="AQ46" s="1802">
        <v>0.35</v>
      </c>
      <c r="AR46" s="27"/>
      <c r="AS46" s="27">
        <v>-0.5</v>
      </c>
      <c r="AT46" s="2">
        <v>0</v>
      </c>
      <c r="AU46" s="14"/>
      <c r="AV46" s="1802">
        <v>0</v>
      </c>
      <c r="AW46" s="14"/>
      <c r="AX46" s="27"/>
      <c r="AY46" s="27"/>
      <c r="AZ46" s="27"/>
      <c r="BA46" s="27"/>
      <c r="BB46" s="27"/>
      <c r="BC46" s="27"/>
      <c r="BD46" s="27"/>
      <c r="BE46" s="27"/>
      <c r="BF46" s="27"/>
      <c r="BG46" s="27"/>
      <c r="BH46" s="27"/>
      <c r="BI46" s="27"/>
      <c r="BJ46" s="27"/>
      <c r="BK46" s="27"/>
      <c r="BL46" s="27"/>
      <c r="BM46" s="27"/>
      <c r="BN46" s="27"/>
      <c r="BO46" s="27"/>
      <c r="BP46" s="27"/>
      <c r="BQ46" s="325">
        <v>37865</v>
      </c>
      <c r="BR46" s="415">
        <v>2.6970000000000001</v>
      </c>
      <c r="BS46" s="415">
        <v>2.702</v>
      </c>
      <c r="BT46" s="415">
        <v>2.7069999999999999</v>
      </c>
      <c r="BU46" s="416">
        <v>0.1895</v>
      </c>
      <c r="BV46" s="416">
        <v>0.19700000000000001</v>
      </c>
      <c r="BW46" s="416">
        <v>0.20449999999999999</v>
      </c>
      <c r="BX46" s="416">
        <v>-7.0000000000000007E-2</v>
      </c>
      <c r="BY46" s="416"/>
      <c r="BZ46" s="416">
        <v>7.0000000000000007E-2</v>
      </c>
      <c r="CA46" s="432">
        <v>0</v>
      </c>
      <c r="CB46" s="1618">
        <v>0</v>
      </c>
      <c r="CC46" s="445">
        <v>2.7189999999999999</v>
      </c>
      <c r="CD46" s="449">
        <v>0.17249999999999999</v>
      </c>
    </row>
    <row r="47" spans="1:82">
      <c r="A47" s="325">
        <v>37987</v>
      </c>
      <c r="B47" s="416">
        <v>7.1355586914350025E-2</v>
      </c>
      <c r="C47" s="275"/>
      <c r="D47" s="1786">
        <v>36861</v>
      </c>
      <c r="E47" s="1787">
        <v>34.625</v>
      </c>
      <c r="F47" s="1787">
        <v>35.375</v>
      </c>
      <c r="G47" s="1787">
        <v>36.625</v>
      </c>
      <c r="H47" s="1788"/>
      <c r="I47" s="1787">
        <v>23.060483870967747</v>
      </c>
      <c r="J47" s="1787">
        <v>24.060483870967747</v>
      </c>
      <c r="K47" s="1787">
        <v>26.060483870967747</v>
      </c>
      <c r="M47" s="1791">
        <v>37742</v>
      </c>
      <c r="N47" s="1792">
        <v>29.277543066989299</v>
      </c>
      <c r="O47" s="1792">
        <v>30.777543066989299</v>
      </c>
      <c r="P47" s="1792">
        <v>35.277543066989296</v>
      </c>
      <c r="Q47" s="29"/>
      <c r="R47" s="1792">
        <v>21.583157300241972</v>
      </c>
      <c r="S47" s="1792">
        <v>23.083157300241972</v>
      </c>
      <c r="T47" s="1792">
        <v>27.583157300241972</v>
      </c>
      <c r="V47" s="500">
        <v>0</v>
      </c>
      <c r="W47" s="500">
        <v>0</v>
      </c>
      <c r="X47" s="500">
        <v>0</v>
      </c>
      <c r="Y47" s="27"/>
      <c r="Z47" s="1792">
        <v>0.155</v>
      </c>
      <c r="AA47" s="1792">
        <v>0.16500000000000001</v>
      </c>
      <c r="AB47" s="1792">
        <v>0.17499999999999999</v>
      </c>
      <c r="AC47" s="29"/>
      <c r="AD47" s="1792">
        <v>0.09</v>
      </c>
      <c r="AE47" s="1792">
        <v>0.11</v>
      </c>
      <c r="AF47" s="1792">
        <v>0.13</v>
      </c>
      <c r="AG47" s="29"/>
      <c r="AH47" s="1792">
        <v>-0.1</v>
      </c>
      <c r="AI47" s="1792">
        <v>0.65</v>
      </c>
      <c r="AJ47" s="1792">
        <v>0.1</v>
      </c>
      <c r="AK47" s="29"/>
      <c r="AL47" s="1792">
        <v>-0.01</v>
      </c>
      <c r="AM47" s="1792">
        <v>0.16</v>
      </c>
      <c r="AN47" s="1792">
        <v>0.01</v>
      </c>
      <c r="AO47" s="29"/>
      <c r="AP47" s="14">
        <v>13</v>
      </c>
      <c r="AQ47" s="1802">
        <v>0.35</v>
      </c>
      <c r="AR47" s="27"/>
      <c r="AS47" s="27">
        <v>0</v>
      </c>
      <c r="AT47" s="2">
        <v>0</v>
      </c>
      <c r="AU47" s="14"/>
      <c r="AV47" s="1802">
        <v>0</v>
      </c>
      <c r="AW47" s="14"/>
      <c r="AX47" s="27"/>
      <c r="AY47" s="27"/>
      <c r="AZ47" s="27"/>
      <c r="BA47" s="27"/>
      <c r="BB47" s="27"/>
      <c r="BC47" s="27"/>
      <c r="BD47" s="27"/>
      <c r="BE47" s="27"/>
      <c r="BF47" s="27"/>
      <c r="BG47" s="27"/>
      <c r="BH47" s="27"/>
      <c r="BI47" s="27"/>
      <c r="BJ47" s="27"/>
      <c r="BK47" s="27"/>
      <c r="BL47" s="27"/>
      <c r="BM47" s="27"/>
      <c r="BN47" s="27"/>
      <c r="BO47" s="27"/>
      <c r="BP47" s="27"/>
      <c r="BQ47" s="325">
        <v>37895</v>
      </c>
      <c r="BR47" s="415">
        <v>2.7239999999999998</v>
      </c>
      <c r="BS47" s="415">
        <v>2.7289999999999996</v>
      </c>
      <c r="BT47" s="415">
        <v>2.7340000000000004</v>
      </c>
      <c r="BU47" s="416">
        <v>0.1895</v>
      </c>
      <c r="BV47" s="416">
        <v>0.19700000000000001</v>
      </c>
      <c r="BW47" s="416">
        <v>0.20449999999999999</v>
      </c>
      <c r="BX47" s="416">
        <v>-7.0000000000000007E-2</v>
      </c>
      <c r="BY47" s="416"/>
      <c r="BZ47" s="416">
        <v>7.0000000000000007E-2</v>
      </c>
      <c r="CA47" s="432">
        <v>0</v>
      </c>
      <c r="CB47" s="1618">
        <v>0</v>
      </c>
      <c r="CC47" s="445">
        <v>2.6120000000000001</v>
      </c>
      <c r="CD47" s="449">
        <v>0.16850000000000001</v>
      </c>
    </row>
    <row r="48" spans="1:82">
      <c r="A48" s="325">
        <v>38018</v>
      </c>
      <c r="B48" s="416">
        <v>7.1375163309823006E-2</v>
      </c>
      <c r="C48" s="275"/>
      <c r="D48" s="1786">
        <v>36892</v>
      </c>
      <c r="E48" s="1787">
        <v>34</v>
      </c>
      <c r="F48" s="1787">
        <v>35</v>
      </c>
      <c r="G48" s="1787">
        <v>38.5</v>
      </c>
      <c r="H48" s="1788"/>
      <c r="I48" s="1787">
        <v>18.056451612903224</v>
      </c>
      <c r="J48" s="1787">
        <v>19.306451612903224</v>
      </c>
      <c r="K48" s="1787">
        <v>21.806451612903224</v>
      </c>
      <c r="M48" s="1791">
        <v>37773</v>
      </c>
      <c r="N48" s="1792">
        <v>34.527543066989296</v>
      </c>
      <c r="O48" s="1792">
        <v>36.027543066989296</v>
      </c>
      <c r="P48" s="1792">
        <v>40.527543066989296</v>
      </c>
      <c r="Q48" s="29"/>
      <c r="R48" s="1792">
        <v>25.520657300241972</v>
      </c>
      <c r="S48" s="1792">
        <v>27.020657300241972</v>
      </c>
      <c r="T48" s="1792">
        <v>31.520657300241972</v>
      </c>
      <c r="V48" s="500">
        <v>0</v>
      </c>
      <c r="W48" s="500">
        <v>0</v>
      </c>
      <c r="X48" s="500">
        <v>0</v>
      </c>
      <c r="Y48" s="27"/>
      <c r="Z48" s="1792">
        <v>0.155</v>
      </c>
      <c r="AA48" s="1792">
        <v>0.16500000000000001</v>
      </c>
      <c r="AB48" s="1792">
        <v>0.17499999999999999</v>
      </c>
      <c r="AC48" s="29"/>
      <c r="AD48" s="1792">
        <v>0.09</v>
      </c>
      <c r="AE48" s="1792">
        <v>0.11</v>
      </c>
      <c r="AF48" s="1792">
        <v>0.13</v>
      </c>
      <c r="AG48" s="29"/>
      <c r="AH48" s="1792">
        <v>-0.35</v>
      </c>
      <c r="AI48" s="1792">
        <v>0.65</v>
      </c>
      <c r="AJ48" s="1792">
        <v>0.2</v>
      </c>
      <c r="AK48" s="29"/>
      <c r="AL48" s="1792">
        <v>-0.01</v>
      </c>
      <c r="AM48" s="1792">
        <v>0.16</v>
      </c>
      <c r="AN48" s="1792">
        <v>0.01</v>
      </c>
      <c r="AO48" s="29"/>
      <c r="AP48" s="14">
        <v>13</v>
      </c>
      <c r="AQ48" s="1802">
        <v>0.35</v>
      </c>
      <c r="AR48" s="27"/>
      <c r="AS48" s="27">
        <v>1</v>
      </c>
      <c r="AT48" s="2">
        <v>0</v>
      </c>
      <c r="AU48" s="14"/>
      <c r="AV48" s="1802">
        <v>0</v>
      </c>
      <c r="AW48" s="14"/>
      <c r="AX48" s="27"/>
      <c r="AY48" s="27"/>
      <c r="AZ48" s="27"/>
      <c r="BA48" s="27"/>
      <c r="BB48" s="27"/>
      <c r="BC48" s="27"/>
      <c r="BD48" s="27"/>
      <c r="BE48" s="27"/>
      <c r="BF48" s="27"/>
      <c r="BG48" s="27"/>
      <c r="BH48" s="27"/>
      <c r="BI48" s="27"/>
      <c r="BJ48" s="27"/>
      <c r="BK48" s="27"/>
      <c r="BL48" s="27"/>
      <c r="BM48" s="27"/>
      <c r="BN48" s="27"/>
      <c r="BO48" s="27"/>
      <c r="BP48" s="27"/>
      <c r="BQ48" s="325">
        <v>37926</v>
      </c>
      <c r="BR48" s="415">
        <v>2.8569999999999998</v>
      </c>
      <c r="BS48" s="415">
        <v>2.8620000000000001</v>
      </c>
      <c r="BT48" s="415">
        <v>2.867</v>
      </c>
      <c r="BU48" s="416">
        <v>0.1895</v>
      </c>
      <c r="BV48" s="416">
        <v>0.19700000000000001</v>
      </c>
      <c r="BW48" s="416">
        <v>0.20449999999999999</v>
      </c>
      <c r="BX48" s="416">
        <v>-7.0000000000000007E-2</v>
      </c>
      <c r="BY48" s="416"/>
      <c r="BZ48" s="416">
        <v>7.0000000000000007E-2</v>
      </c>
      <c r="CA48" s="432">
        <v>0</v>
      </c>
      <c r="CB48" s="1618">
        <v>0</v>
      </c>
      <c r="CC48" s="445">
        <v>2.5089999999999999</v>
      </c>
      <c r="CD48" s="449">
        <v>0.16600000000000001</v>
      </c>
    </row>
    <row r="49" spans="1:82">
      <c r="A49" s="325">
        <v>38047</v>
      </c>
      <c r="B49" s="416">
        <v>7.1393476712154E-2</v>
      </c>
      <c r="C49" s="275"/>
      <c r="D49" s="1786">
        <v>36923</v>
      </c>
      <c r="E49" s="1787">
        <v>33.5</v>
      </c>
      <c r="F49" s="1787">
        <v>34.5</v>
      </c>
      <c r="G49" s="1787">
        <v>38</v>
      </c>
      <c r="H49" s="1788"/>
      <c r="I49" s="1787">
        <v>18.357142857142854</v>
      </c>
      <c r="J49" s="1787">
        <v>19.607142857142854</v>
      </c>
      <c r="K49" s="1787">
        <v>22.107142857142854</v>
      </c>
      <c r="M49" s="1791">
        <v>37803</v>
      </c>
      <c r="N49" s="1792">
        <v>59.480329007309521</v>
      </c>
      <c r="O49" s="1792">
        <v>60.980329007309521</v>
      </c>
      <c r="P49" s="1792">
        <v>65.480329007309521</v>
      </c>
      <c r="Q49" s="29"/>
      <c r="R49" s="1792">
        <v>44.235246755482137</v>
      </c>
      <c r="S49" s="1792">
        <v>45.735246755482137</v>
      </c>
      <c r="T49" s="1792">
        <v>50.235246755482137</v>
      </c>
      <c r="V49" s="500">
        <v>0</v>
      </c>
      <c r="W49" s="500">
        <v>0</v>
      </c>
      <c r="X49" s="500">
        <v>0</v>
      </c>
      <c r="Y49" s="27"/>
      <c r="Z49" s="1792">
        <v>0.155</v>
      </c>
      <c r="AA49" s="1792">
        <v>0.16500000000000001</v>
      </c>
      <c r="AB49" s="1792">
        <v>0.17499999999999999</v>
      </c>
      <c r="AC49" s="29"/>
      <c r="AD49" s="1792">
        <v>0.09</v>
      </c>
      <c r="AE49" s="1792">
        <v>0.11</v>
      </c>
      <c r="AF49" s="1792">
        <v>0.13</v>
      </c>
      <c r="AG49" s="29"/>
      <c r="AH49" s="1792">
        <v>-0.35</v>
      </c>
      <c r="AI49" s="1792">
        <v>3</v>
      </c>
      <c r="AJ49" s="1792">
        <v>0.35</v>
      </c>
      <c r="AK49" s="29"/>
      <c r="AL49" s="1792">
        <v>-0.01</v>
      </c>
      <c r="AM49" s="1792">
        <v>0.16</v>
      </c>
      <c r="AN49" s="1792">
        <v>0.01</v>
      </c>
      <c r="AO49" s="29"/>
      <c r="AP49" s="14">
        <v>14</v>
      </c>
      <c r="AQ49" s="1802">
        <v>0.35</v>
      </c>
      <c r="AR49" s="27"/>
      <c r="AS49" s="27">
        <v>2</v>
      </c>
      <c r="AT49" s="2">
        <v>0</v>
      </c>
      <c r="AU49" s="14"/>
      <c r="AV49" s="1802">
        <v>0</v>
      </c>
      <c r="AW49" s="14"/>
      <c r="AX49" s="27"/>
      <c r="AY49" s="27"/>
      <c r="AZ49" s="27"/>
      <c r="BA49" s="27"/>
      <c r="BB49" s="27"/>
      <c r="BC49" s="27"/>
      <c r="BD49" s="27"/>
      <c r="BE49" s="27"/>
      <c r="BF49" s="27"/>
      <c r="BG49" s="27"/>
      <c r="BH49" s="27"/>
      <c r="BI49" s="27"/>
      <c r="BJ49" s="27"/>
      <c r="BK49" s="27"/>
      <c r="BL49" s="27"/>
      <c r="BM49" s="27"/>
      <c r="BN49" s="27"/>
      <c r="BO49" s="27"/>
      <c r="BP49" s="27"/>
      <c r="BQ49" s="325">
        <v>37956</v>
      </c>
      <c r="BR49" s="415">
        <v>2.98</v>
      </c>
      <c r="BS49" s="415">
        <v>2.9849999999999999</v>
      </c>
      <c r="BT49" s="415">
        <v>2.99</v>
      </c>
      <c r="BU49" s="416">
        <v>0.1895</v>
      </c>
      <c r="BV49" s="416">
        <v>0.19700000000000001</v>
      </c>
      <c r="BW49" s="416">
        <v>0.20449999999999999</v>
      </c>
      <c r="BX49" s="416">
        <v>-7.0000000000000007E-2</v>
      </c>
      <c r="BY49" s="416"/>
      <c r="BZ49" s="416">
        <v>7.0000000000000007E-2</v>
      </c>
      <c r="CA49" s="432">
        <v>0</v>
      </c>
      <c r="CB49" s="1618">
        <v>0</v>
      </c>
      <c r="CC49" s="445">
        <v>2.4849999999999999</v>
      </c>
      <c r="CD49" s="449">
        <v>0.16350000000000001</v>
      </c>
    </row>
    <row r="50" spans="1:82">
      <c r="A50" s="325">
        <v>38078</v>
      </c>
      <c r="B50" s="416">
        <v>7.1412258931977016E-2</v>
      </c>
      <c r="C50" s="275"/>
      <c r="D50" s="1786">
        <v>36951</v>
      </c>
      <c r="E50" s="1787">
        <v>32.75</v>
      </c>
      <c r="F50" s="1787">
        <v>33.75</v>
      </c>
      <c r="G50" s="1787">
        <v>37.25</v>
      </c>
      <c r="H50" s="1788"/>
      <c r="I50" s="1787">
        <v>18.637096774193548</v>
      </c>
      <c r="J50" s="1787">
        <v>19.887096774193548</v>
      </c>
      <c r="K50" s="1787">
        <v>22.387096774193548</v>
      </c>
      <c r="M50" s="1791">
        <v>37834</v>
      </c>
      <c r="N50" s="1792">
        <v>80.105329007309521</v>
      </c>
      <c r="O50" s="1792">
        <v>81.605329007309521</v>
      </c>
      <c r="P50" s="1792">
        <v>86.105329007309521</v>
      </c>
      <c r="Q50" s="29"/>
      <c r="R50" s="1792">
        <v>59.703996755482137</v>
      </c>
      <c r="S50" s="1792">
        <v>61.203996755482137</v>
      </c>
      <c r="T50" s="1792">
        <v>65.703996755482137</v>
      </c>
      <c r="V50" s="500">
        <v>0</v>
      </c>
      <c r="W50" s="500">
        <v>0</v>
      </c>
      <c r="X50" s="500">
        <v>0</v>
      </c>
      <c r="Y50" s="27"/>
      <c r="Z50" s="1792">
        <v>0.155</v>
      </c>
      <c r="AA50" s="1792">
        <v>0.16500000000000001</v>
      </c>
      <c r="AB50" s="1792">
        <v>0.17499999999999999</v>
      </c>
      <c r="AC50" s="29"/>
      <c r="AD50" s="1792">
        <v>0.09</v>
      </c>
      <c r="AE50" s="1792">
        <v>0.11</v>
      </c>
      <c r="AF50" s="1792">
        <v>0.13</v>
      </c>
      <c r="AG50" s="29"/>
      <c r="AH50" s="1792">
        <v>-0.35</v>
      </c>
      <c r="AI50" s="1792">
        <v>3</v>
      </c>
      <c r="AJ50" s="1792">
        <v>0.35</v>
      </c>
      <c r="AK50" s="29"/>
      <c r="AL50" s="1792">
        <v>-0.01</v>
      </c>
      <c r="AM50" s="1792">
        <v>0.16</v>
      </c>
      <c r="AN50" s="1792">
        <v>0.01</v>
      </c>
      <c r="AO50" s="29"/>
      <c r="AP50" s="14">
        <v>14</v>
      </c>
      <c r="AQ50" s="1802">
        <v>0.35</v>
      </c>
      <c r="AR50" s="27"/>
      <c r="AS50" s="27">
        <v>3</v>
      </c>
      <c r="AT50" s="2">
        <v>0.01</v>
      </c>
      <c r="AU50" s="14"/>
      <c r="AV50" s="1802">
        <v>0</v>
      </c>
      <c r="AW50" s="14"/>
      <c r="AX50" s="27"/>
      <c r="AY50" s="27"/>
      <c r="AZ50" s="27"/>
      <c r="BA50" s="27"/>
      <c r="BB50" s="27"/>
      <c r="BC50" s="27"/>
      <c r="BD50" s="27"/>
      <c r="BE50" s="27"/>
      <c r="BF50" s="27"/>
      <c r="BG50" s="27"/>
      <c r="BH50" s="27"/>
      <c r="BI50" s="27"/>
      <c r="BJ50" s="27"/>
      <c r="BK50" s="27"/>
      <c r="BL50" s="27"/>
      <c r="BM50" s="27"/>
      <c r="BN50" s="27"/>
      <c r="BO50" s="27"/>
      <c r="BP50" s="27"/>
      <c r="BQ50" s="325">
        <v>37987</v>
      </c>
      <c r="BR50" s="415">
        <v>3.0095000000000001</v>
      </c>
      <c r="BS50" s="415">
        <v>3.0145</v>
      </c>
      <c r="BT50" s="415">
        <v>3.0194999999999999</v>
      </c>
      <c r="BU50" s="416">
        <v>0.1905</v>
      </c>
      <c r="BV50" s="416">
        <v>0.19800000000000001</v>
      </c>
      <c r="BW50" s="416">
        <v>0.20550000000000002</v>
      </c>
      <c r="BX50" s="416">
        <v>-7.0000000000000007E-2</v>
      </c>
      <c r="BY50" s="416"/>
      <c r="BZ50" s="416">
        <v>7.0000000000000007E-2</v>
      </c>
      <c r="CA50" s="432">
        <v>0</v>
      </c>
      <c r="CB50" s="1618">
        <v>0</v>
      </c>
      <c r="CC50" s="445">
        <v>2.4920000000000004</v>
      </c>
      <c r="CD50" s="449">
        <v>0.16350000000000001</v>
      </c>
    </row>
    <row r="51" spans="1:82">
      <c r="A51" s="325">
        <v>38108</v>
      </c>
      <c r="B51" s="416">
        <v>7.1429615479373015E-2</v>
      </c>
      <c r="C51" s="275"/>
      <c r="D51" s="1786">
        <v>36982</v>
      </c>
      <c r="E51" s="1787">
        <v>32.25</v>
      </c>
      <c r="F51" s="1787">
        <v>33.25</v>
      </c>
      <c r="G51" s="1787">
        <v>36.75</v>
      </c>
      <c r="H51" s="1788"/>
      <c r="I51" s="1787">
        <v>16.4375</v>
      </c>
      <c r="J51" s="1787">
        <v>17.6875</v>
      </c>
      <c r="K51" s="1787">
        <v>20.1875</v>
      </c>
      <c r="M51" s="1791">
        <v>37865</v>
      </c>
      <c r="N51" s="1792">
        <v>64.105329007309521</v>
      </c>
      <c r="O51" s="1792">
        <v>65.605329007309521</v>
      </c>
      <c r="P51" s="1792">
        <v>70.105329007309521</v>
      </c>
      <c r="Q51" s="29"/>
      <c r="R51" s="1792">
        <v>47.703996755482137</v>
      </c>
      <c r="S51" s="1792">
        <v>49.203996755482137</v>
      </c>
      <c r="T51" s="1792">
        <v>53.703996755482137</v>
      </c>
      <c r="V51" s="500">
        <v>0</v>
      </c>
      <c r="W51" s="500">
        <v>0</v>
      </c>
      <c r="X51" s="500">
        <v>0</v>
      </c>
      <c r="Y51" s="27"/>
      <c r="Z51" s="1792">
        <v>0.155</v>
      </c>
      <c r="AA51" s="1792">
        <v>0.16500000000000001</v>
      </c>
      <c r="AB51" s="1792">
        <v>0.17499999999999999</v>
      </c>
      <c r="AC51" s="29"/>
      <c r="AD51" s="1792">
        <v>0.09</v>
      </c>
      <c r="AE51" s="1792">
        <v>0.11</v>
      </c>
      <c r="AF51" s="1792">
        <v>0.13</v>
      </c>
      <c r="AG51" s="29"/>
      <c r="AH51" s="1792">
        <v>-0.35</v>
      </c>
      <c r="AI51" s="1792">
        <v>3</v>
      </c>
      <c r="AJ51" s="1792">
        <v>0.2</v>
      </c>
      <c r="AK51" s="29"/>
      <c r="AL51" s="1792">
        <v>-0.01</v>
      </c>
      <c r="AM51" s="1792">
        <v>0.16</v>
      </c>
      <c r="AN51" s="1792">
        <v>0.01</v>
      </c>
      <c r="AO51" s="29"/>
      <c r="AP51" s="14">
        <v>14</v>
      </c>
      <c r="AQ51" s="1802">
        <v>0.35</v>
      </c>
      <c r="AR51" s="27"/>
      <c r="AS51" s="27">
        <v>4</v>
      </c>
      <c r="AT51" s="2">
        <v>1.4999999999999999E-2</v>
      </c>
      <c r="AU51" s="14"/>
      <c r="AV51" s="1802">
        <v>0</v>
      </c>
      <c r="AW51" s="14"/>
      <c r="AX51" s="27"/>
      <c r="AY51" s="27"/>
      <c r="AZ51" s="27"/>
      <c r="BA51" s="27"/>
      <c r="BB51" s="27"/>
      <c r="BC51" s="27"/>
      <c r="BD51" s="27"/>
      <c r="BE51" s="27"/>
      <c r="BF51" s="27"/>
      <c r="BG51" s="27"/>
      <c r="BH51" s="27"/>
      <c r="BI51" s="27"/>
      <c r="BJ51" s="27"/>
      <c r="BK51" s="27"/>
      <c r="BL51" s="27"/>
      <c r="BM51" s="27"/>
      <c r="BN51" s="27"/>
      <c r="BO51" s="27"/>
      <c r="BP51" s="27"/>
      <c r="BQ51" s="325">
        <v>38018</v>
      </c>
      <c r="BR51" s="415">
        <v>2.9005000000000001</v>
      </c>
      <c r="BS51" s="415">
        <v>2.9055</v>
      </c>
      <c r="BT51" s="415">
        <v>2.9105000000000003</v>
      </c>
      <c r="BU51" s="416">
        <v>0.1895</v>
      </c>
      <c r="BV51" s="416">
        <v>0.19700000000000001</v>
      </c>
      <c r="BW51" s="416">
        <v>0.20449999999999999</v>
      </c>
      <c r="BX51" s="416">
        <v>-7.0000000000000007E-2</v>
      </c>
      <c r="BY51" s="416"/>
      <c r="BZ51" s="416">
        <v>7.0000000000000007E-2</v>
      </c>
      <c r="CA51" s="432">
        <v>0</v>
      </c>
      <c r="CB51" s="1618">
        <v>0</v>
      </c>
      <c r="CC51" s="445">
        <v>2.4980000000000002</v>
      </c>
      <c r="CD51" s="449">
        <v>0.16350000000000001</v>
      </c>
    </row>
    <row r="52" spans="1:82">
      <c r="A52" s="325">
        <v>38139</v>
      </c>
      <c r="B52" s="416">
        <v>7.1447550578454019E-2</v>
      </c>
      <c r="C52" s="275"/>
      <c r="D52" s="1786">
        <v>37012</v>
      </c>
      <c r="E52" s="1787">
        <v>32.25</v>
      </c>
      <c r="F52" s="1787">
        <v>33.25</v>
      </c>
      <c r="G52" s="1787">
        <v>36.75</v>
      </c>
      <c r="H52" s="1788"/>
      <c r="I52" s="1787">
        <v>16.49596774193548</v>
      </c>
      <c r="J52" s="1787">
        <v>17.74596774193548</v>
      </c>
      <c r="K52" s="1787">
        <v>20.24596774193548</v>
      </c>
      <c r="M52" s="1791">
        <v>37895</v>
      </c>
      <c r="N52" s="1792">
        <v>37.44724361300576</v>
      </c>
      <c r="O52" s="1792">
        <v>38.94724361300576</v>
      </c>
      <c r="P52" s="1792">
        <v>43.44724361300576</v>
      </c>
      <c r="Q52" s="29"/>
      <c r="R52" s="1792">
        <v>27.710432709754322</v>
      </c>
      <c r="S52" s="1792">
        <v>29.210432709754322</v>
      </c>
      <c r="T52" s="1792">
        <v>33.710432709754322</v>
      </c>
      <c r="V52" s="500">
        <v>0</v>
      </c>
      <c r="W52" s="500">
        <v>0</v>
      </c>
      <c r="X52" s="500">
        <v>0</v>
      </c>
      <c r="Y52" s="27"/>
      <c r="Z52" s="1792">
        <v>0.155</v>
      </c>
      <c r="AA52" s="1792">
        <v>0.16500000000000001</v>
      </c>
      <c r="AB52" s="1792">
        <v>0.17499999999999999</v>
      </c>
      <c r="AC52" s="29"/>
      <c r="AD52" s="1792">
        <v>0.09</v>
      </c>
      <c r="AE52" s="1792">
        <v>0.11</v>
      </c>
      <c r="AF52" s="1792">
        <v>0.13</v>
      </c>
      <c r="AG52" s="29"/>
      <c r="AH52" s="1792">
        <v>-0.1</v>
      </c>
      <c r="AI52" s="1792">
        <v>0.6</v>
      </c>
      <c r="AJ52" s="1792">
        <v>0.1</v>
      </c>
      <c r="AK52" s="29"/>
      <c r="AL52" s="1792">
        <v>-0.01</v>
      </c>
      <c r="AM52" s="1792">
        <v>0.16</v>
      </c>
      <c r="AN52" s="1792">
        <v>0.01</v>
      </c>
      <c r="AO52" s="29"/>
      <c r="AP52" s="14">
        <v>15</v>
      </c>
      <c r="AQ52" s="1802">
        <v>0.35</v>
      </c>
      <c r="AR52" s="27"/>
      <c r="AS52" s="27">
        <v>5</v>
      </c>
      <c r="AT52" s="2">
        <v>1.7500000000000002E-2</v>
      </c>
      <c r="AU52" s="14"/>
      <c r="AV52" s="1802">
        <v>0</v>
      </c>
      <c r="AW52" s="14"/>
      <c r="AX52" s="27"/>
      <c r="AY52" s="27"/>
      <c r="AZ52" s="27"/>
      <c r="BA52" s="27"/>
      <c r="BB52" s="27"/>
      <c r="BC52" s="27"/>
      <c r="BD52" s="27"/>
      <c r="BE52" s="27"/>
      <c r="BF52" s="27"/>
      <c r="BG52" s="27"/>
      <c r="BH52" s="27"/>
      <c r="BI52" s="27"/>
      <c r="BJ52" s="27"/>
      <c r="BK52" s="27"/>
      <c r="BL52" s="27"/>
      <c r="BM52" s="27"/>
      <c r="BN52" s="27"/>
      <c r="BO52" s="27"/>
      <c r="BP52" s="27"/>
      <c r="BQ52" s="325">
        <v>38047</v>
      </c>
      <c r="BR52" s="415">
        <v>2.7885000000000004</v>
      </c>
      <c r="BS52" s="415">
        <v>2.7935000000000003</v>
      </c>
      <c r="BT52" s="415">
        <v>2.7985000000000002</v>
      </c>
      <c r="BU52" s="416">
        <v>0.1875</v>
      </c>
      <c r="BV52" s="416">
        <v>0.19500000000000001</v>
      </c>
      <c r="BW52" s="416">
        <v>0.20250000000000001</v>
      </c>
      <c r="BX52" s="416">
        <v>-7.0000000000000007E-2</v>
      </c>
      <c r="BY52" s="416"/>
      <c r="BZ52" s="416">
        <v>7.0000000000000007E-2</v>
      </c>
      <c r="CA52" s="432">
        <v>0</v>
      </c>
      <c r="CB52" s="1618">
        <v>0</v>
      </c>
      <c r="CC52" s="445">
        <v>2.5030000000000001</v>
      </c>
      <c r="CD52" s="449">
        <v>0.16350000000000001</v>
      </c>
    </row>
    <row r="53" spans="1:82">
      <c r="A53" s="325">
        <v>38169</v>
      </c>
      <c r="B53" s="416">
        <v>7.1464907126053009E-2</v>
      </c>
      <c r="C53" s="275"/>
      <c r="D53" s="1786">
        <v>37043</v>
      </c>
      <c r="E53" s="1787">
        <v>37.5</v>
      </c>
      <c r="F53" s="1787">
        <v>38.5</v>
      </c>
      <c r="G53" s="1787">
        <v>42</v>
      </c>
      <c r="H53" s="1788"/>
      <c r="I53" s="1787">
        <v>15.75</v>
      </c>
      <c r="J53" s="1787">
        <v>17</v>
      </c>
      <c r="K53" s="1787">
        <v>19.5</v>
      </c>
      <c r="M53" s="1791">
        <v>37926</v>
      </c>
      <c r="N53" s="1792">
        <v>29.69724361300576</v>
      </c>
      <c r="O53" s="1792">
        <v>31.19724361300576</v>
      </c>
      <c r="P53" s="1792">
        <v>35.69724361300576</v>
      </c>
      <c r="Q53" s="29"/>
      <c r="R53" s="1792">
        <v>21.897932709754322</v>
      </c>
      <c r="S53" s="1792">
        <v>23.397932709754322</v>
      </c>
      <c r="T53" s="1792">
        <v>27.897932709754322</v>
      </c>
      <c r="V53" s="500">
        <v>0</v>
      </c>
      <c r="W53" s="500">
        <v>0</v>
      </c>
      <c r="X53" s="500">
        <v>0</v>
      </c>
      <c r="Y53" s="27"/>
      <c r="Z53" s="1792">
        <v>0.155</v>
      </c>
      <c r="AA53" s="1792">
        <v>0.16500000000000001</v>
      </c>
      <c r="AB53" s="1792">
        <v>0.17499999999999999</v>
      </c>
      <c r="AC53" s="29"/>
      <c r="AD53" s="1792">
        <v>0.09</v>
      </c>
      <c r="AE53" s="1792">
        <v>0.11</v>
      </c>
      <c r="AF53" s="1792">
        <v>0.13</v>
      </c>
      <c r="AG53" s="29"/>
      <c r="AH53" s="1792">
        <v>-0.1</v>
      </c>
      <c r="AI53" s="1792">
        <v>0.6</v>
      </c>
      <c r="AJ53" s="1792">
        <v>0.1</v>
      </c>
      <c r="AK53" s="29"/>
      <c r="AL53" s="1792">
        <v>-0.01</v>
      </c>
      <c r="AM53" s="1792">
        <v>0.16</v>
      </c>
      <c r="AN53" s="1792">
        <v>0.01</v>
      </c>
      <c r="AO53" s="29"/>
      <c r="AP53" s="14">
        <v>15</v>
      </c>
      <c r="AQ53" s="1802">
        <v>0.35</v>
      </c>
      <c r="AR53" s="27"/>
      <c r="AS53" s="27">
        <v>6</v>
      </c>
      <c r="AT53" s="2">
        <v>2.5000000000000001E-2</v>
      </c>
      <c r="AU53" s="14"/>
      <c r="AV53" s="1802">
        <v>0</v>
      </c>
      <c r="AW53" s="14"/>
      <c r="AX53" s="27"/>
      <c r="AY53" s="27"/>
      <c r="AZ53" s="27"/>
      <c r="BA53" s="27"/>
      <c r="BB53" s="27"/>
      <c r="BC53" s="27"/>
      <c r="BD53" s="27"/>
      <c r="BE53" s="27"/>
      <c r="BF53" s="27"/>
      <c r="BG53" s="27"/>
      <c r="BH53" s="27"/>
      <c r="BI53" s="27"/>
      <c r="BJ53" s="27"/>
      <c r="BK53" s="27"/>
      <c r="BL53" s="27"/>
      <c r="BM53" s="27"/>
      <c r="BN53" s="27"/>
      <c r="BO53" s="27"/>
      <c r="BP53" s="27"/>
      <c r="BQ53" s="325">
        <v>38078</v>
      </c>
      <c r="BR53" s="415">
        <v>2.6915</v>
      </c>
      <c r="BS53" s="415">
        <v>2.6964999999999999</v>
      </c>
      <c r="BT53" s="415">
        <v>2.7014999999999998</v>
      </c>
      <c r="BU53" s="416">
        <v>0.18350000000000002</v>
      </c>
      <c r="BV53" s="416">
        <v>0.19100000000000003</v>
      </c>
      <c r="BW53" s="416">
        <v>0.19850000000000001</v>
      </c>
      <c r="BX53" s="416">
        <v>-7.0000000000000007E-2</v>
      </c>
      <c r="BY53" s="416"/>
      <c r="BZ53" s="416">
        <v>7.0000000000000007E-2</v>
      </c>
      <c r="CA53" s="432">
        <v>0</v>
      </c>
      <c r="CB53" s="1618">
        <v>0</v>
      </c>
      <c r="CC53" s="445">
        <v>2.5059999999999998</v>
      </c>
      <c r="CD53" s="449">
        <v>0.16300000000000001</v>
      </c>
    </row>
    <row r="54" spans="1:82">
      <c r="A54" s="325">
        <v>38200</v>
      </c>
      <c r="B54" s="416">
        <v>7.1482842225343013E-2</v>
      </c>
      <c r="C54" s="275"/>
      <c r="D54" s="1786">
        <v>37073</v>
      </c>
      <c r="E54" s="1787">
        <v>58.25</v>
      </c>
      <c r="F54" s="1787">
        <v>59.25</v>
      </c>
      <c r="G54" s="1787">
        <v>62.75</v>
      </c>
      <c r="H54" s="1788"/>
      <c r="I54" s="1787">
        <v>21.774193548387096</v>
      </c>
      <c r="J54" s="1787">
        <v>23.024193548387096</v>
      </c>
      <c r="K54" s="1787">
        <v>25.524193548387096</v>
      </c>
      <c r="M54" s="1791">
        <v>37956</v>
      </c>
      <c r="N54" s="1792">
        <v>31.69724361300576</v>
      </c>
      <c r="O54" s="1792">
        <v>33.19724361300576</v>
      </c>
      <c r="P54" s="1792">
        <v>37.69724361300576</v>
      </c>
      <c r="Q54" s="29"/>
      <c r="R54" s="1792">
        <v>23.397932709754322</v>
      </c>
      <c r="S54" s="1792">
        <v>24.897932709754322</v>
      </c>
      <c r="T54" s="1792">
        <v>29.397932709754322</v>
      </c>
      <c r="V54" s="500">
        <v>0</v>
      </c>
      <c r="W54" s="500">
        <v>0</v>
      </c>
      <c r="X54" s="500">
        <v>0</v>
      </c>
      <c r="Y54" s="27"/>
      <c r="Z54" s="1792">
        <v>0.155</v>
      </c>
      <c r="AA54" s="1792">
        <v>0.16500000000000001</v>
      </c>
      <c r="AB54" s="1792">
        <v>0.17499999999999999</v>
      </c>
      <c r="AC54" s="29"/>
      <c r="AD54" s="1792">
        <v>0.09</v>
      </c>
      <c r="AE54" s="1792">
        <v>0.11</v>
      </c>
      <c r="AF54" s="1792">
        <v>0.13</v>
      </c>
      <c r="AG54" s="29"/>
      <c r="AH54" s="1792">
        <v>-0.25</v>
      </c>
      <c r="AI54" s="1792">
        <v>0.6</v>
      </c>
      <c r="AJ54" s="1792">
        <v>0.25</v>
      </c>
      <c r="AK54" s="29"/>
      <c r="AL54" s="1792">
        <v>-0.01</v>
      </c>
      <c r="AM54" s="1792">
        <v>0.16</v>
      </c>
      <c r="AN54" s="1792">
        <v>0.01</v>
      </c>
      <c r="AO54" s="29"/>
      <c r="AP54" s="14">
        <v>15</v>
      </c>
      <c r="AQ54" s="1802">
        <v>0.35</v>
      </c>
      <c r="AR54" s="27"/>
      <c r="AS54" s="27">
        <v>7</v>
      </c>
      <c r="AT54" s="2">
        <v>3.5000000000000003E-2</v>
      </c>
      <c r="AU54" s="14"/>
      <c r="AV54" s="1802">
        <v>0</v>
      </c>
      <c r="AW54" s="14"/>
      <c r="AX54" s="27"/>
      <c r="AY54" s="27"/>
      <c r="AZ54" s="27"/>
      <c r="BA54" s="27"/>
      <c r="BB54" s="27"/>
      <c r="BC54" s="27"/>
      <c r="BD54" s="27"/>
      <c r="BE54" s="27"/>
      <c r="BF54" s="27"/>
      <c r="BG54" s="27"/>
      <c r="BH54" s="27"/>
      <c r="BI54" s="27"/>
      <c r="BJ54" s="27"/>
      <c r="BK54" s="27"/>
      <c r="BL54" s="27"/>
      <c r="BM54" s="27"/>
      <c r="BN54" s="27"/>
      <c r="BO54" s="27"/>
      <c r="BP54" s="27"/>
      <c r="BQ54" s="325">
        <v>38108</v>
      </c>
      <c r="BR54" s="415">
        <v>2.7064999999999997</v>
      </c>
      <c r="BS54" s="415">
        <v>2.7115</v>
      </c>
      <c r="BT54" s="415">
        <v>2.7164999999999999</v>
      </c>
      <c r="BU54" s="416">
        <v>0.18350000000000002</v>
      </c>
      <c r="BV54" s="416">
        <v>0.19100000000000003</v>
      </c>
      <c r="BW54" s="416">
        <v>0.19850000000000001</v>
      </c>
      <c r="BX54" s="416">
        <v>-7.0000000000000007E-2</v>
      </c>
      <c r="BY54" s="416"/>
      <c r="BZ54" s="416">
        <v>7.0000000000000007E-2</v>
      </c>
      <c r="CA54" s="432">
        <v>0</v>
      </c>
      <c r="CB54" s="1618">
        <v>0</v>
      </c>
      <c r="CC54" s="445">
        <v>2.5390000000000001</v>
      </c>
      <c r="CD54" s="449">
        <v>0.16300000000000001</v>
      </c>
    </row>
    <row r="55" spans="1:82">
      <c r="A55" s="325">
        <v>38231</v>
      </c>
      <c r="B55" s="416">
        <v>7.150077732474E-2</v>
      </c>
      <c r="C55" s="275"/>
      <c r="D55" s="1786">
        <v>37104</v>
      </c>
      <c r="E55" s="1787">
        <v>78.875</v>
      </c>
      <c r="F55" s="1787">
        <v>79.875</v>
      </c>
      <c r="G55" s="1787">
        <v>83.375</v>
      </c>
      <c r="H55" s="1788"/>
      <c r="I55" s="1787">
        <v>19.774193548387096</v>
      </c>
      <c r="J55" s="1787">
        <v>21.024193548387096</v>
      </c>
      <c r="K55" s="1787">
        <v>23.524193548387096</v>
      </c>
      <c r="M55" s="1791">
        <v>37987</v>
      </c>
      <c r="N55" s="1792">
        <v>29.61563424178717</v>
      </c>
      <c r="O55" s="1792">
        <v>31.36563424178717</v>
      </c>
      <c r="P55" s="1792">
        <v>35.86563424178717</v>
      </c>
      <c r="Q55" s="29"/>
      <c r="R55" s="1792">
        <v>21.774225681340376</v>
      </c>
      <c r="S55" s="1792">
        <v>23.524225681340376</v>
      </c>
      <c r="T55" s="1792">
        <v>28.024225681340376</v>
      </c>
      <c r="V55" s="500">
        <v>0</v>
      </c>
      <c r="W55" s="500">
        <v>0</v>
      </c>
      <c r="X55" s="500">
        <v>0</v>
      </c>
      <c r="Y55" s="27"/>
      <c r="Z55" s="1792">
        <v>0.15</v>
      </c>
      <c r="AA55" s="1792">
        <v>0.16</v>
      </c>
      <c r="AB55" s="1792">
        <v>0.17</v>
      </c>
      <c r="AC55" s="29"/>
      <c r="AD55" s="1792">
        <v>0.09</v>
      </c>
      <c r="AE55" s="1792">
        <v>0.11</v>
      </c>
      <c r="AF55" s="1792">
        <v>0.13</v>
      </c>
      <c r="AG55" s="29"/>
      <c r="AH55" s="1792">
        <v>-0.25</v>
      </c>
      <c r="AI55" s="1792">
        <v>0.65</v>
      </c>
      <c r="AJ55" s="1792">
        <v>0.25</v>
      </c>
      <c r="AK55" s="29"/>
      <c r="AL55" s="1792">
        <v>-0.01</v>
      </c>
      <c r="AM55" s="1792">
        <v>0.16</v>
      </c>
      <c r="AN55" s="1792">
        <v>0.01</v>
      </c>
      <c r="AO55" s="29"/>
      <c r="AP55" s="14">
        <v>16</v>
      </c>
      <c r="AQ55" s="1802">
        <v>0.35</v>
      </c>
      <c r="AR55" s="27"/>
      <c r="AS55" s="27">
        <v>8</v>
      </c>
      <c r="AT55" s="2">
        <v>0.04</v>
      </c>
      <c r="AU55" s="14"/>
      <c r="AV55" s="1802">
        <v>0</v>
      </c>
      <c r="AW55" s="14"/>
      <c r="AX55" s="27"/>
      <c r="AY55" s="27"/>
      <c r="AZ55" s="27"/>
      <c r="BA55" s="27"/>
      <c r="BB55" s="27"/>
      <c r="BC55" s="27"/>
      <c r="BD55" s="27"/>
      <c r="BE55" s="27"/>
      <c r="BF55" s="27"/>
      <c r="BG55" s="27"/>
      <c r="BH55" s="27"/>
      <c r="BI55" s="27"/>
      <c r="BJ55" s="27"/>
      <c r="BK55" s="27"/>
      <c r="BL55" s="27"/>
      <c r="BM55" s="27"/>
      <c r="BN55" s="27"/>
      <c r="BO55" s="27"/>
      <c r="BP55" s="27"/>
      <c r="BQ55" s="325">
        <v>38139</v>
      </c>
      <c r="BR55" s="415">
        <v>2.7145000000000001</v>
      </c>
      <c r="BS55" s="415">
        <v>2.7195</v>
      </c>
      <c r="BT55" s="415">
        <v>2.7244999999999999</v>
      </c>
      <c r="BU55" s="416">
        <v>0.18350000000000002</v>
      </c>
      <c r="BV55" s="416">
        <v>0.19100000000000003</v>
      </c>
      <c r="BW55" s="416">
        <v>0.19850000000000001</v>
      </c>
      <c r="BX55" s="416">
        <v>-7.0000000000000007E-2</v>
      </c>
      <c r="BY55" s="416"/>
      <c r="BZ55" s="416">
        <v>7.0000000000000007E-2</v>
      </c>
      <c r="CA55" s="432">
        <v>0</v>
      </c>
      <c r="CB55" s="1618">
        <v>0</v>
      </c>
      <c r="CC55" s="445">
        <v>2.68</v>
      </c>
      <c r="CD55" s="449">
        <v>0.16300000000000001</v>
      </c>
    </row>
    <row r="56" spans="1:82">
      <c r="A56" s="325">
        <v>38261</v>
      </c>
      <c r="B56" s="416">
        <v>7.1518133872644024E-2</v>
      </c>
      <c r="C56" s="275"/>
      <c r="D56" s="1786">
        <v>37135</v>
      </c>
      <c r="E56" s="1787">
        <v>62.875</v>
      </c>
      <c r="F56" s="1787">
        <v>63.875</v>
      </c>
      <c r="G56" s="1787">
        <v>67.375</v>
      </c>
      <c r="H56" s="1788"/>
      <c r="I56" s="1787">
        <v>20.1875</v>
      </c>
      <c r="J56" s="1787">
        <v>21.4375</v>
      </c>
      <c r="K56" s="1787">
        <v>23.9375</v>
      </c>
      <c r="M56" s="1791">
        <v>38018</v>
      </c>
      <c r="N56" s="1792">
        <v>29.11563424178717</v>
      </c>
      <c r="O56" s="1792">
        <v>30.86563424178717</v>
      </c>
      <c r="P56" s="1792">
        <v>35.36563424178717</v>
      </c>
      <c r="Q56" s="29"/>
      <c r="R56" s="1792">
        <v>21.399225681340376</v>
      </c>
      <c r="S56" s="1792">
        <v>23.149225681340376</v>
      </c>
      <c r="T56" s="1792">
        <v>27.649225681340376</v>
      </c>
      <c r="V56" s="500">
        <v>0</v>
      </c>
      <c r="W56" s="500">
        <v>0</v>
      </c>
      <c r="X56" s="500">
        <v>0</v>
      </c>
      <c r="Y56" s="27"/>
      <c r="Z56" s="1792">
        <v>0.15</v>
      </c>
      <c r="AA56" s="1792">
        <v>0.16</v>
      </c>
      <c r="AB56" s="1792">
        <v>0.17</v>
      </c>
      <c r="AC56" s="29"/>
      <c r="AD56" s="1792">
        <v>0.09</v>
      </c>
      <c r="AE56" s="1792">
        <v>0.11</v>
      </c>
      <c r="AF56" s="1792">
        <v>0.13</v>
      </c>
      <c r="AG56" s="29"/>
      <c r="AH56" s="1792">
        <v>-0.25</v>
      </c>
      <c r="AI56" s="1792">
        <v>0.65</v>
      </c>
      <c r="AJ56" s="1792">
        <v>0.25</v>
      </c>
      <c r="AK56" s="29"/>
      <c r="AL56" s="1792">
        <v>-0.01</v>
      </c>
      <c r="AM56" s="1792">
        <v>0.16</v>
      </c>
      <c r="AN56" s="1792">
        <v>0.01</v>
      </c>
      <c r="AO56" s="29"/>
      <c r="AP56" s="14">
        <v>16</v>
      </c>
      <c r="AQ56" s="1802">
        <v>0.35</v>
      </c>
      <c r="AR56" s="27"/>
      <c r="AS56" s="27">
        <v>9</v>
      </c>
      <c r="AT56" s="2">
        <v>5.5E-2</v>
      </c>
      <c r="AU56" s="14"/>
      <c r="AV56" s="1802">
        <v>0</v>
      </c>
      <c r="AW56" s="14"/>
      <c r="AX56" s="27"/>
      <c r="AY56" s="27"/>
      <c r="AZ56" s="27"/>
      <c r="BA56" s="27"/>
      <c r="BB56" s="27"/>
      <c r="BC56" s="27"/>
      <c r="BD56" s="27"/>
      <c r="BE56" s="27"/>
      <c r="BF56" s="27"/>
      <c r="BG56" s="27"/>
      <c r="BH56" s="27"/>
      <c r="BI56" s="27"/>
      <c r="BJ56" s="27"/>
      <c r="BK56" s="27"/>
      <c r="BL56" s="27"/>
      <c r="BM56" s="27"/>
      <c r="BN56" s="27"/>
      <c r="BO56" s="27"/>
      <c r="BP56" s="27"/>
      <c r="BQ56" s="325">
        <v>38169</v>
      </c>
      <c r="BR56" s="415">
        <v>2.7225000000000001</v>
      </c>
      <c r="BS56" s="415">
        <v>2.7275</v>
      </c>
      <c r="BT56" s="415">
        <v>2.7324999999999999</v>
      </c>
      <c r="BU56" s="416">
        <v>0.1825</v>
      </c>
      <c r="BV56" s="416">
        <v>0.19</v>
      </c>
      <c r="BW56" s="416">
        <v>0.19750000000000001</v>
      </c>
      <c r="BX56" s="416">
        <v>-7.0000000000000007E-2</v>
      </c>
      <c r="BY56" s="416"/>
      <c r="BZ56" s="416">
        <v>7.0000000000000007E-2</v>
      </c>
      <c r="CA56" s="432">
        <v>0</v>
      </c>
      <c r="CB56" s="1618">
        <v>0</v>
      </c>
      <c r="CC56" s="445">
        <v>2.8250000000000002</v>
      </c>
      <c r="CD56" s="449">
        <v>0.16350000000000001</v>
      </c>
    </row>
    <row r="57" spans="1:82">
      <c r="A57" s="325">
        <v>38292</v>
      </c>
      <c r="B57" s="416">
        <v>7.1536068972249997E-2</v>
      </c>
      <c r="C57" s="275"/>
      <c r="D57" s="1786">
        <v>37165</v>
      </c>
      <c r="E57" s="1787">
        <v>40.25</v>
      </c>
      <c r="F57" s="1787">
        <v>41.25</v>
      </c>
      <c r="G57" s="1787">
        <v>44.75</v>
      </c>
      <c r="H57" s="1788"/>
      <c r="I57" s="1787">
        <v>19.701612903225804</v>
      </c>
      <c r="J57" s="1787">
        <v>20.951612903225804</v>
      </c>
      <c r="K57" s="1787">
        <v>23.451612903225804</v>
      </c>
      <c r="M57" s="1791">
        <v>38047</v>
      </c>
      <c r="N57" s="1792">
        <v>28.36563424178717</v>
      </c>
      <c r="O57" s="1792">
        <v>30.11563424178717</v>
      </c>
      <c r="P57" s="1792">
        <v>34.61563424178717</v>
      </c>
      <c r="Q57" s="29"/>
      <c r="R57" s="1792">
        <v>20.836725681340376</v>
      </c>
      <c r="S57" s="1792">
        <v>22.586725681340376</v>
      </c>
      <c r="T57" s="1792">
        <v>27.086725681340376</v>
      </c>
      <c r="V57" s="500">
        <v>0</v>
      </c>
      <c r="W57" s="500">
        <v>0</v>
      </c>
      <c r="X57" s="500">
        <v>0</v>
      </c>
      <c r="Y57" s="27"/>
      <c r="Z57" s="1792">
        <v>0.15</v>
      </c>
      <c r="AA57" s="1792">
        <v>0.16</v>
      </c>
      <c r="AB57" s="1792">
        <v>0.17</v>
      </c>
      <c r="AC57" s="29"/>
      <c r="AD57" s="1792">
        <v>0.09</v>
      </c>
      <c r="AE57" s="1792">
        <v>0.11</v>
      </c>
      <c r="AF57" s="1792">
        <v>0.13</v>
      </c>
      <c r="AG57" s="29"/>
      <c r="AH57" s="1792">
        <v>-0.1</v>
      </c>
      <c r="AI57" s="1792">
        <v>0.65</v>
      </c>
      <c r="AJ57" s="1792">
        <v>0.1</v>
      </c>
      <c r="AK57" s="29"/>
      <c r="AL57" s="1792">
        <v>-0.01</v>
      </c>
      <c r="AM57" s="1792">
        <v>0.16</v>
      </c>
      <c r="AN57" s="1792">
        <v>0.01</v>
      </c>
      <c r="AO57" s="29"/>
      <c r="AP57" s="14">
        <v>16</v>
      </c>
      <c r="AQ57" s="1802">
        <v>0.35</v>
      </c>
      <c r="AR57" s="27"/>
      <c r="AS57" s="27">
        <v>10</v>
      </c>
      <c r="AT57" s="2">
        <v>7.0000000000000007E-2</v>
      </c>
      <c r="AU57" s="14"/>
      <c r="AV57" s="14"/>
      <c r="AW57" s="14"/>
      <c r="AX57" s="27"/>
      <c r="AY57" s="27"/>
      <c r="AZ57" s="27"/>
      <c r="BA57" s="27"/>
      <c r="BB57" s="27"/>
      <c r="BC57" s="27"/>
      <c r="BD57" s="27"/>
      <c r="BE57" s="27"/>
      <c r="BF57" s="27"/>
      <c r="BG57" s="27"/>
      <c r="BH57" s="27"/>
      <c r="BI57" s="27"/>
      <c r="BJ57" s="27"/>
      <c r="BK57" s="27"/>
      <c r="BL57" s="27"/>
      <c r="BM57" s="27"/>
      <c r="BN57" s="27"/>
      <c r="BO57" s="27"/>
      <c r="BP57" s="27"/>
      <c r="BQ57" s="325">
        <v>38200</v>
      </c>
      <c r="BR57" s="415">
        <v>2.7315000000000005</v>
      </c>
      <c r="BS57" s="415">
        <v>2.7365000000000004</v>
      </c>
      <c r="BT57" s="415">
        <v>2.7415000000000003</v>
      </c>
      <c r="BU57" s="416">
        <v>0.1825</v>
      </c>
      <c r="BV57" s="416">
        <v>0.19</v>
      </c>
      <c r="BW57" s="416">
        <v>0.19750000000000001</v>
      </c>
      <c r="BX57" s="416">
        <v>-7.0000000000000007E-2</v>
      </c>
      <c r="BY57" s="416"/>
      <c r="BZ57" s="416">
        <v>7.0000000000000007E-2</v>
      </c>
      <c r="CA57" s="432">
        <v>0</v>
      </c>
      <c r="CB57" s="1618">
        <v>0</v>
      </c>
      <c r="CC57" s="445">
        <v>2.8740000000000006</v>
      </c>
      <c r="CD57" s="449">
        <v>0.16350000000000001</v>
      </c>
    </row>
    <row r="58" spans="1:82">
      <c r="A58" s="325">
        <v>38322</v>
      </c>
      <c r="B58" s="416">
        <v>7.1553425520356012E-2</v>
      </c>
      <c r="C58" s="275"/>
      <c r="D58" s="1786">
        <v>37196</v>
      </c>
      <c r="E58" s="1787">
        <v>32.5</v>
      </c>
      <c r="F58" s="1787">
        <v>33.5</v>
      </c>
      <c r="G58" s="1787">
        <v>37</v>
      </c>
      <c r="H58" s="1788"/>
      <c r="I58" s="1787">
        <v>21.041666666666664</v>
      </c>
      <c r="J58" s="1787">
        <v>22.291666666666664</v>
      </c>
      <c r="K58" s="1787">
        <v>24.791666666666664</v>
      </c>
      <c r="M58" s="1791">
        <v>38078</v>
      </c>
      <c r="N58" s="1792">
        <v>28.148774763014199</v>
      </c>
      <c r="O58" s="1792">
        <v>29.898774763014199</v>
      </c>
      <c r="P58" s="1792">
        <v>34.398774763014202</v>
      </c>
      <c r="Q58" s="29"/>
      <c r="R58" s="1792">
        <v>20.674081072260648</v>
      </c>
      <c r="S58" s="1792">
        <v>22.424081072260648</v>
      </c>
      <c r="T58" s="1792">
        <v>26.924081072260648</v>
      </c>
      <c r="V58" s="500">
        <v>0</v>
      </c>
      <c r="W58" s="500">
        <v>0</v>
      </c>
      <c r="X58" s="500">
        <v>0</v>
      </c>
      <c r="Y58" s="27"/>
      <c r="Z58" s="1792">
        <v>0.15</v>
      </c>
      <c r="AA58" s="1792">
        <v>0.16</v>
      </c>
      <c r="AB58" s="1792">
        <v>0.17</v>
      </c>
      <c r="AC58" s="29"/>
      <c r="AD58" s="1792">
        <v>0.09</v>
      </c>
      <c r="AE58" s="1792">
        <v>0.11</v>
      </c>
      <c r="AF58" s="1792">
        <v>0.13</v>
      </c>
      <c r="AG58" s="29"/>
      <c r="AH58" s="1792">
        <v>-0.1</v>
      </c>
      <c r="AI58" s="1792">
        <v>0.65</v>
      </c>
      <c r="AJ58" s="1792">
        <v>0.1</v>
      </c>
      <c r="AK58" s="29"/>
      <c r="AL58" s="1792">
        <v>-0.01</v>
      </c>
      <c r="AM58" s="1792">
        <v>0.16</v>
      </c>
      <c r="AN58" s="1792">
        <v>0.01</v>
      </c>
      <c r="AO58" s="29"/>
      <c r="AP58" s="14">
        <v>17</v>
      </c>
      <c r="AQ58" s="1802">
        <v>0.35</v>
      </c>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325">
        <v>38231</v>
      </c>
      <c r="BR58" s="415">
        <v>2.7374999999999998</v>
      </c>
      <c r="BS58" s="415">
        <v>2.7425000000000002</v>
      </c>
      <c r="BT58" s="415">
        <v>2.7475000000000001</v>
      </c>
      <c r="BU58" s="416">
        <v>0.1825</v>
      </c>
      <c r="BV58" s="416">
        <v>0.19</v>
      </c>
      <c r="BW58" s="416">
        <v>0.19750000000000001</v>
      </c>
      <c r="BX58" s="416">
        <v>-7.0000000000000007E-2</v>
      </c>
      <c r="BY58" s="416"/>
      <c r="BZ58" s="416">
        <v>7.0000000000000007E-2</v>
      </c>
      <c r="CA58" s="432">
        <v>0</v>
      </c>
      <c r="CB58" s="1618">
        <v>0</v>
      </c>
      <c r="CC58" s="445">
        <v>2.7490000000000006</v>
      </c>
      <c r="CD58" s="449">
        <v>0.16200000000000001</v>
      </c>
    </row>
    <row r="59" spans="1:82">
      <c r="A59" s="325">
        <v>38353</v>
      </c>
      <c r="B59" s="416">
        <v>7.1571360620170998E-2</v>
      </c>
      <c r="C59" s="275"/>
      <c r="D59" s="1786">
        <v>37226</v>
      </c>
      <c r="E59" s="1787">
        <v>34.5</v>
      </c>
      <c r="F59" s="1787">
        <v>35.5</v>
      </c>
      <c r="G59" s="1787">
        <v>39</v>
      </c>
      <c r="H59" s="1788"/>
      <c r="I59" s="1787">
        <v>20.346774193548391</v>
      </c>
      <c r="J59" s="1787">
        <v>21.596774193548391</v>
      </c>
      <c r="K59" s="1787">
        <v>24.096774193548391</v>
      </c>
      <c r="M59" s="1791">
        <v>38108</v>
      </c>
      <c r="N59" s="1792">
        <v>28.148774763014199</v>
      </c>
      <c r="O59" s="1792">
        <v>29.898774763014199</v>
      </c>
      <c r="P59" s="1792">
        <v>34.398774763014202</v>
      </c>
      <c r="Q59" s="29"/>
      <c r="R59" s="1792">
        <v>20.674081072260648</v>
      </c>
      <c r="S59" s="1792">
        <v>22.424081072260648</v>
      </c>
      <c r="T59" s="1792">
        <v>26.924081072260648</v>
      </c>
      <c r="V59" s="500">
        <v>0</v>
      </c>
      <c r="W59" s="500">
        <v>0</v>
      </c>
      <c r="X59" s="500">
        <v>0</v>
      </c>
      <c r="Y59" s="27"/>
      <c r="Z59" s="1792">
        <v>0.15</v>
      </c>
      <c r="AA59" s="1792">
        <v>0.16</v>
      </c>
      <c r="AB59" s="1792">
        <v>0.17</v>
      </c>
      <c r="AC59" s="29"/>
      <c r="AD59" s="1792">
        <v>0.09</v>
      </c>
      <c r="AE59" s="1792">
        <v>0.11</v>
      </c>
      <c r="AF59" s="1792">
        <v>0.13</v>
      </c>
      <c r="AG59" s="29"/>
      <c r="AH59" s="1792">
        <v>-0.1</v>
      </c>
      <c r="AI59" s="1792">
        <v>0.65</v>
      </c>
      <c r="AJ59" s="1792">
        <v>0.1</v>
      </c>
      <c r="AK59" s="29"/>
      <c r="AL59" s="1792">
        <v>-0.01</v>
      </c>
      <c r="AM59" s="1792">
        <v>0.16</v>
      </c>
      <c r="AN59" s="1792">
        <v>0.01</v>
      </c>
      <c r="AO59" s="29"/>
      <c r="AP59" s="14">
        <v>17</v>
      </c>
      <c r="AQ59" s="1802">
        <v>0.35</v>
      </c>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325">
        <v>38261</v>
      </c>
      <c r="BR59" s="415">
        <v>2.7635000000000001</v>
      </c>
      <c r="BS59" s="415">
        <v>2.7685000000000004</v>
      </c>
      <c r="BT59" s="415">
        <v>2.7735000000000003</v>
      </c>
      <c r="BU59" s="416">
        <v>0.1825</v>
      </c>
      <c r="BV59" s="416">
        <v>0.19</v>
      </c>
      <c r="BW59" s="416">
        <v>0.19750000000000001</v>
      </c>
      <c r="BX59" s="416">
        <v>-7.0000000000000007E-2</v>
      </c>
      <c r="BY59" s="416"/>
      <c r="BZ59" s="416">
        <v>7.0000000000000007E-2</v>
      </c>
      <c r="CA59" s="432">
        <v>0</v>
      </c>
      <c r="CB59" s="1618">
        <v>0</v>
      </c>
      <c r="CC59" s="445">
        <v>2.6419999999999999</v>
      </c>
      <c r="CD59" s="449">
        <v>0.1595</v>
      </c>
    </row>
    <row r="60" spans="1:82">
      <c r="A60" s="325">
        <v>38384</v>
      </c>
      <c r="B60" s="416">
        <v>7.1589295720092011E-2</v>
      </c>
      <c r="C60" s="275"/>
      <c r="D60" s="1786">
        <v>37257</v>
      </c>
      <c r="E60" s="1787">
        <v>32.325640842317526</v>
      </c>
      <c r="F60" s="1787">
        <v>33.575640842317526</v>
      </c>
      <c r="G60" s="1787">
        <v>38.075640842317526</v>
      </c>
      <c r="H60" s="1788"/>
      <c r="I60" s="1787">
        <v>18.188119151052206</v>
      </c>
      <c r="J60" s="1787">
        <v>19.438119151052206</v>
      </c>
      <c r="K60" s="1787">
        <v>22.438119151052206</v>
      </c>
      <c r="M60" s="1791">
        <v>38139</v>
      </c>
      <c r="N60" s="1792">
        <v>33.398774763014195</v>
      </c>
      <c r="O60" s="1792">
        <v>35.148774763014195</v>
      </c>
      <c r="P60" s="1792">
        <v>39.648774763014195</v>
      </c>
      <c r="Q60" s="29"/>
      <c r="R60" s="1792">
        <v>24.611581072260648</v>
      </c>
      <c r="S60" s="1792">
        <v>26.361581072260648</v>
      </c>
      <c r="T60" s="1792">
        <v>30.861581072260648</v>
      </c>
      <c r="V60" s="500">
        <v>0</v>
      </c>
      <c r="W60" s="500">
        <v>0</v>
      </c>
      <c r="X60" s="500">
        <v>0</v>
      </c>
      <c r="Y60" s="27"/>
      <c r="Z60" s="1792">
        <v>0.15</v>
      </c>
      <c r="AA60" s="1792">
        <v>0.16</v>
      </c>
      <c r="AB60" s="1792">
        <v>0.17</v>
      </c>
      <c r="AC60" s="29"/>
      <c r="AD60" s="1792">
        <v>0.09</v>
      </c>
      <c r="AE60" s="1792">
        <v>0.11</v>
      </c>
      <c r="AF60" s="1792">
        <v>0.13</v>
      </c>
      <c r="AG60" s="29"/>
      <c r="AH60" s="1792">
        <v>-0.35</v>
      </c>
      <c r="AI60" s="1792">
        <v>0.65</v>
      </c>
      <c r="AJ60" s="1792">
        <v>0.2</v>
      </c>
      <c r="AK60" s="29"/>
      <c r="AL60" s="1792">
        <v>-0.01</v>
      </c>
      <c r="AM60" s="1792">
        <v>0.16</v>
      </c>
      <c r="AN60" s="1792">
        <v>0.01</v>
      </c>
      <c r="AO60" s="29"/>
      <c r="AP60" s="14">
        <v>17</v>
      </c>
      <c r="AQ60" s="1802">
        <v>0.35</v>
      </c>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325">
        <v>38292</v>
      </c>
      <c r="BR60" s="415">
        <v>2.8915000000000002</v>
      </c>
      <c r="BS60" s="415">
        <v>2.8965000000000005</v>
      </c>
      <c r="BT60" s="415">
        <v>2.9015000000000004</v>
      </c>
      <c r="BU60" s="416">
        <v>0.1825</v>
      </c>
      <c r="BV60" s="416">
        <v>0.19</v>
      </c>
      <c r="BW60" s="416">
        <v>0.19750000000000001</v>
      </c>
      <c r="BX60" s="416">
        <v>-7.0000000000000007E-2</v>
      </c>
      <c r="BY60" s="416"/>
      <c r="BZ60" s="416">
        <v>7.0000000000000007E-2</v>
      </c>
      <c r="CA60" s="432">
        <v>0</v>
      </c>
      <c r="CB60" s="1618">
        <v>0</v>
      </c>
      <c r="CC60" s="445">
        <v>2.5390000000000001</v>
      </c>
      <c r="CD60" s="449">
        <v>0.157</v>
      </c>
    </row>
    <row r="61" spans="1:82">
      <c r="A61" s="325">
        <v>38412</v>
      </c>
      <c r="B61" s="416">
        <v>7.1605495165272995E-2</v>
      </c>
      <c r="C61" s="275"/>
      <c r="D61" s="1786">
        <v>37288</v>
      </c>
      <c r="E61" s="1787">
        <v>31.825640842317526</v>
      </c>
      <c r="F61" s="1787">
        <v>33.075640842317526</v>
      </c>
      <c r="G61" s="1787">
        <v>37.575640842317526</v>
      </c>
      <c r="H61" s="1788"/>
      <c r="I61" s="1787">
        <v>19.157142857142855</v>
      </c>
      <c r="J61" s="1787">
        <v>20.407142857142855</v>
      </c>
      <c r="K61" s="1787">
        <v>23.407142857142855</v>
      </c>
      <c r="M61" s="1791">
        <v>38169</v>
      </c>
      <c r="N61" s="1792">
        <v>59.708599050712039</v>
      </c>
      <c r="O61" s="1792">
        <v>61.458599050712039</v>
      </c>
      <c r="P61" s="1792">
        <v>65.958599050712039</v>
      </c>
      <c r="Q61" s="29"/>
      <c r="R61" s="1792">
        <v>44.343949288034025</v>
      </c>
      <c r="S61" s="1792">
        <v>46.093949288034025</v>
      </c>
      <c r="T61" s="1792">
        <v>50.593949288034025</v>
      </c>
      <c r="V61" s="500">
        <v>0</v>
      </c>
      <c r="W61" s="500">
        <v>0</v>
      </c>
      <c r="X61" s="500">
        <v>0</v>
      </c>
      <c r="Y61" s="27"/>
      <c r="Z61" s="1792">
        <v>0.15</v>
      </c>
      <c r="AA61" s="1792">
        <v>0.16</v>
      </c>
      <c r="AB61" s="1792">
        <v>0.17</v>
      </c>
      <c r="AC61" s="29"/>
      <c r="AD61" s="1792">
        <v>0.09</v>
      </c>
      <c r="AE61" s="1792">
        <v>0.11</v>
      </c>
      <c r="AF61" s="1792">
        <v>0.13</v>
      </c>
      <c r="AG61" s="29"/>
      <c r="AH61" s="1792">
        <v>-0.35</v>
      </c>
      <c r="AI61" s="1792">
        <v>3</v>
      </c>
      <c r="AJ61" s="1792">
        <v>0.35</v>
      </c>
      <c r="AK61" s="29"/>
      <c r="AL61" s="1792">
        <v>-0.01</v>
      </c>
      <c r="AM61" s="1792">
        <v>0.16</v>
      </c>
      <c r="AN61" s="1792">
        <v>0.01</v>
      </c>
      <c r="AO61" s="29"/>
      <c r="AP61" s="14">
        <v>18</v>
      </c>
      <c r="AQ61" s="1802">
        <v>0.35</v>
      </c>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325">
        <v>38322</v>
      </c>
      <c r="BR61" s="415">
        <v>3.0115000000000003</v>
      </c>
      <c r="BS61" s="415">
        <v>3.0165000000000006</v>
      </c>
      <c r="BT61" s="415">
        <v>3.0215000000000005</v>
      </c>
      <c r="BU61" s="416">
        <v>0.18350000000000002</v>
      </c>
      <c r="BV61" s="416">
        <v>0.19100000000000003</v>
      </c>
      <c r="BW61" s="416">
        <v>0.19850000000000001</v>
      </c>
      <c r="BX61" s="416">
        <v>-7.0000000000000007E-2</v>
      </c>
      <c r="BY61" s="416"/>
      <c r="BZ61" s="416">
        <v>7.0000000000000007E-2</v>
      </c>
      <c r="CA61" s="432">
        <v>0</v>
      </c>
      <c r="CB61" s="1618">
        <v>0</v>
      </c>
      <c r="CC61" s="445">
        <v>2.5150000000000001</v>
      </c>
      <c r="CD61" s="449">
        <v>0.155</v>
      </c>
    </row>
    <row r="62" spans="1:82">
      <c r="A62" s="325">
        <v>38443</v>
      </c>
      <c r="B62" s="416">
        <v>7.1623430265396026E-2</v>
      </c>
      <c r="C62" s="275"/>
      <c r="D62" s="1786">
        <v>37316</v>
      </c>
      <c r="E62" s="1787">
        <v>31.575640842317526</v>
      </c>
      <c r="F62" s="1787">
        <v>32.825640842317526</v>
      </c>
      <c r="G62" s="1787">
        <v>37.325640842317526</v>
      </c>
      <c r="H62" s="1788"/>
      <c r="I62" s="1787">
        <v>19.437096774193549</v>
      </c>
      <c r="J62" s="1787">
        <v>20.687096774193549</v>
      </c>
      <c r="K62" s="1787">
        <v>23.687096774193549</v>
      </c>
      <c r="M62" s="1791">
        <v>38200</v>
      </c>
      <c r="N62" s="1792">
        <v>80.333599050712039</v>
      </c>
      <c r="O62" s="1792">
        <v>82.083599050712039</v>
      </c>
      <c r="P62" s="1792">
        <v>86.583599050712039</v>
      </c>
      <c r="Q62" s="29"/>
      <c r="R62" s="1792">
        <v>59.812699288034025</v>
      </c>
      <c r="S62" s="1792">
        <v>61.562699288034025</v>
      </c>
      <c r="T62" s="1792">
        <v>66.062699288034025</v>
      </c>
      <c r="V62" s="500">
        <v>0</v>
      </c>
      <c r="W62" s="500">
        <v>0</v>
      </c>
      <c r="X62" s="500">
        <v>0</v>
      </c>
      <c r="Y62" s="27"/>
      <c r="Z62" s="1792">
        <v>0.15</v>
      </c>
      <c r="AA62" s="1792">
        <v>0.16</v>
      </c>
      <c r="AB62" s="1792">
        <v>0.17</v>
      </c>
      <c r="AC62" s="29"/>
      <c r="AD62" s="1792">
        <v>0.09</v>
      </c>
      <c r="AE62" s="1792">
        <v>0.11</v>
      </c>
      <c r="AF62" s="1792">
        <v>0.13</v>
      </c>
      <c r="AG62" s="29"/>
      <c r="AH62" s="1792">
        <v>-0.35</v>
      </c>
      <c r="AI62" s="1792">
        <v>3</v>
      </c>
      <c r="AJ62" s="1792">
        <v>0.35</v>
      </c>
      <c r="AK62" s="29"/>
      <c r="AL62" s="1792">
        <v>-0.01</v>
      </c>
      <c r="AM62" s="1792">
        <v>0.16</v>
      </c>
      <c r="AN62" s="1792">
        <v>0.01</v>
      </c>
      <c r="AO62" s="29"/>
      <c r="AP62" s="14">
        <v>18</v>
      </c>
      <c r="AQ62" s="1802">
        <v>0.35</v>
      </c>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325">
        <v>38353</v>
      </c>
      <c r="BR62" s="415">
        <v>3.0490000000000004</v>
      </c>
      <c r="BS62" s="415">
        <v>3.0540000000000003</v>
      </c>
      <c r="BT62" s="415">
        <v>3.0590000000000006</v>
      </c>
      <c r="BU62" s="416">
        <v>0.1855</v>
      </c>
      <c r="BV62" s="416">
        <v>0.193</v>
      </c>
      <c r="BW62" s="416">
        <v>0.20050000000000001</v>
      </c>
      <c r="BX62" s="416">
        <v>-7.0000000000000007E-2</v>
      </c>
      <c r="BY62" s="416"/>
      <c r="BZ62" s="416">
        <v>7.0000000000000007E-2</v>
      </c>
      <c r="CA62" s="432">
        <v>0</v>
      </c>
      <c r="CB62" s="1618">
        <v>0</v>
      </c>
      <c r="CC62" s="445">
        <v>2.5220000000000002</v>
      </c>
      <c r="CD62" s="449">
        <v>0.1547</v>
      </c>
    </row>
    <row r="63" spans="1:82">
      <c r="A63" s="325">
        <v>38473</v>
      </c>
      <c r="B63" s="416">
        <v>7.1643364850128011E-2</v>
      </c>
      <c r="C63" s="275"/>
      <c r="D63" s="1786">
        <v>37347</v>
      </c>
      <c r="E63" s="1787">
        <v>31.431626668160611</v>
      </c>
      <c r="F63" s="1787">
        <v>32.681626668160611</v>
      </c>
      <c r="G63" s="1787">
        <v>37.181626668160611</v>
      </c>
      <c r="H63" s="1788"/>
      <c r="I63" s="1787">
        <v>17.237500000000001</v>
      </c>
      <c r="J63" s="1787">
        <v>18.487500000000001</v>
      </c>
      <c r="K63" s="1787">
        <v>21.487500000000001</v>
      </c>
      <c r="M63" s="1791">
        <v>38231</v>
      </c>
      <c r="N63" s="1792">
        <v>64.333599050712039</v>
      </c>
      <c r="O63" s="1792">
        <v>66.083599050712039</v>
      </c>
      <c r="P63" s="1792">
        <v>70.583599050712039</v>
      </c>
      <c r="Q63" s="29"/>
      <c r="R63" s="1792">
        <v>47.812699288034025</v>
      </c>
      <c r="S63" s="1792">
        <v>49.562699288034025</v>
      </c>
      <c r="T63" s="1792">
        <v>54.062699288034025</v>
      </c>
      <c r="V63" s="500">
        <v>0</v>
      </c>
      <c r="W63" s="500">
        <v>0</v>
      </c>
      <c r="X63" s="500">
        <v>0</v>
      </c>
      <c r="Y63" s="27"/>
      <c r="Z63" s="1792">
        <v>0.15</v>
      </c>
      <c r="AA63" s="1792">
        <v>0.16</v>
      </c>
      <c r="AB63" s="1792">
        <v>0.17</v>
      </c>
      <c r="AC63" s="29"/>
      <c r="AD63" s="1792">
        <v>0.09</v>
      </c>
      <c r="AE63" s="1792">
        <v>0.11</v>
      </c>
      <c r="AF63" s="1792">
        <v>0.13</v>
      </c>
      <c r="AG63" s="29"/>
      <c r="AH63" s="1792">
        <v>-0.35</v>
      </c>
      <c r="AI63" s="1792">
        <v>3</v>
      </c>
      <c r="AJ63" s="1792">
        <v>0.2</v>
      </c>
      <c r="AK63" s="29"/>
      <c r="AL63" s="1792">
        <v>-0.01</v>
      </c>
      <c r="AM63" s="1792">
        <v>0.16</v>
      </c>
      <c r="AN63" s="1792">
        <v>0.01</v>
      </c>
      <c r="AO63" s="29"/>
      <c r="AP63" s="14">
        <v>18</v>
      </c>
      <c r="AQ63" s="1802">
        <v>0.35</v>
      </c>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325">
        <v>38384</v>
      </c>
      <c r="BR63" s="415">
        <v>2.9440000000000004</v>
      </c>
      <c r="BS63" s="415">
        <v>2.9490000000000003</v>
      </c>
      <c r="BT63" s="415">
        <v>2.9540000000000002</v>
      </c>
      <c r="BU63" s="416">
        <v>0.1845</v>
      </c>
      <c r="BV63" s="416">
        <v>0.192</v>
      </c>
      <c r="BW63" s="416">
        <v>0.19950000000000001</v>
      </c>
      <c r="BX63" s="416">
        <v>-7.0000000000000007E-2</v>
      </c>
      <c r="BY63" s="416"/>
      <c r="BZ63" s="416">
        <v>7.0000000000000007E-2</v>
      </c>
      <c r="CA63" s="432">
        <v>0</v>
      </c>
      <c r="CB63" s="1618">
        <v>0</v>
      </c>
      <c r="CC63" s="445">
        <v>2.528</v>
      </c>
      <c r="CD63" s="449">
        <v>0.15440000000000001</v>
      </c>
    </row>
    <row r="64" spans="1:82">
      <c r="A64" s="325">
        <v>38504</v>
      </c>
      <c r="B64" s="416">
        <v>7.1666001075206015E-2</v>
      </c>
      <c r="C64" s="275"/>
      <c r="D64" s="1786">
        <v>37377</v>
      </c>
      <c r="E64" s="1787">
        <v>30.681626668160611</v>
      </c>
      <c r="F64" s="1787">
        <v>31.931626668160611</v>
      </c>
      <c r="G64" s="1787">
        <v>36.431626668160611</v>
      </c>
      <c r="H64" s="1788"/>
      <c r="I64" s="1787">
        <v>17.295967741935481</v>
      </c>
      <c r="J64" s="1787">
        <v>18.545967741935481</v>
      </c>
      <c r="K64" s="1787">
        <v>21.545967741935481</v>
      </c>
      <c r="M64" s="1791">
        <v>38261</v>
      </c>
      <c r="N64" s="1792">
        <v>36.385355836352929</v>
      </c>
      <c r="O64" s="1792">
        <v>38.135355836352929</v>
      </c>
      <c r="P64" s="1792">
        <v>42.635355836352929</v>
      </c>
      <c r="Q64" s="29"/>
      <c r="R64" s="1792">
        <v>26.8515168772647</v>
      </c>
      <c r="S64" s="1792">
        <v>28.6015168772647</v>
      </c>
      <c r="T64" s="1792">
        <v>33.1015168772647</v>
      </c>
      <c r="V64" s="500">
        <v>0</v>
      </c>
      <c r="W64" s="500">
        <v>0</v>
      </c>
      <c r="X64" s="500">
        <v>0</v>
      </c>
      <c r="Y64" s="27"/>
      <c r="Z64" s="1792">
        <v>0.15</v>
      </c>
      <c r="AA64" s="1792">
        <v>0.16</v>
      </c>
      <c r="AB64" s="1792">
        <v>0.17</v>
      </c>
      <c r="AC64" s="29"/>
      <c r="AD64" s="1792">
        <v>0.09</v>
      </c>
      <c r="AE64" s="1792">
        <v>0.11</v>
      </c>
      <c r="AF64" s="1792">
        <v>0.13</v>
      </c>
      <c r="AG64" s="29"/>
      <c r="AH64" s="1792">
        <v>-0.1</v>
      </c>
      <c r="AI64" s="1792">
        <v>0.6</v>
      </c>
      <c r="AJ64" s="1792">
        <v>0.1</v>
      </c>
      <c r="AK64" s="29"/>
      <c r="AL64" s="1792">
        <v>-0.01</v>
      </c>
      <c r="AM64" s="1792">
        <v>0.16</v>
      </c>
      <c r="AN64" s="1792">
        <v>0.01</v>
      </c>
      <c r="AO64" s="29"/>
      <c r="AP64" s="14">
        <v>19</v>
      </c>
      <c r="AQ64" s="1802">
        <v>0.35</v>
      </c>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325">
        <v>38412</v>
      </c>
      <c r="BR64" s="415">
        <v>2.835</v>
      </c>
      <c r="BS64" s="415">
        <v>2.84</v>
      </c>
      <c r="BT64" s="415">
        <v>2.8450000000000002</v>
      </c>
      <c r="BU64" s="416">
        <v>0.1825</v>
      </c>
      <c r="BV64" s="416">
        <v>0.19</v>
      </c>
      <c r="BW64" s="416">
        <v>0.19750000000000001</v>
      </c>
      <c r="BX64" s="416">
        <v>-7.0000000000000007E-2</v>
      </c>
      <c r="BY64" s="416"/>
      <c r="BZ64" s="416">
        <v>7.0000000000000007E-2</v>
      </c>
      <c r="CA64" s="432">
        <v>0</v>
      </c>
      <c r="CB64" s="1618">
        <v>0</v>
      </c>
      <c r="CC64" s="445">
        <v>2.5330000000000004</v>
      </c>
      <c r="CD64" s="449">
        <v>0.15410000000000001</v>
      </c>
    </row>
    <row r="65" spans="1:82">
      <c r="A65" s="325">
        <v>38534</v>
      </c>
      <c r="B65" s="416">
        <v>7.1687907099636017E-2</v>
      </c>
      <c r="C65" s="275"/>
      <c r="D65" s="1786">
        <v>37408</v>
      </c>
      <c r="E65" s="1787">
        <v>35.931626668160611</v>
      </c>
      <c r="F65" s="1787">
        <v>37.181626668160611</v>
      </c>
      <c r="G65" s="1787">
        <v>41.681626668160611</v>
      </c>
      <c r="H65" s="1788"/>
      <c r="I65" s="1787">
        <v>16.55</v>
      </c>
      <c r="J65" s="1787">
        <v>17.8</v>
      </c>
      <c r="K65" s="1787">
        <v>20.8</v>
      </c>
      <c r="M65" s="1791">
        <v>38292</v>
      </c>
      <c r="N65" s="1792">
        <v>28.635355836352932</v>
      </c>
      <c r="O65" s="1792">
        <v>30.385355836352932</v>
      </c>
      <c r="P65" s="1792">
        <v>34.885355836352929</v>
      </c>
      <c r="Q65" s="29"/>
      <c r="R65" s="1792">
        <v>21.0390168772647</v>
      </c>
      <c r="S65" s="1792">
        <v>22.7890168772647</v>
      </c>
      <c r="T65" s="1792">
        <v>27.2890168772647</v>
      </c>
      <c r="V65" s="500">
        <v>0</v>
      </c>
      <c r="W65" s="500">
        <v>0</v>
      </c>
      <c r="X65" s="500">
        <v>0</v>
      </c>
      <c r="Y65" s="27"/>
      <c r="Z65" s="1792">
        <v>0.15</v>
      </c>
      <c r="AA65" s="1792">
        <v>0.16</v>
      </c>
      <c r="AB65" s="1792">
        <v>0.17</v>
      </c>
      <c r="AC65" s="29"/>
      <c r="AD65" s="1792">
        <v>0.09</v>
      </c>
      <c r="AE65" s="1792">
        <v>0.11</v>
      </c>
      <c r="AF65" s="1792">
        <v>0.13</v>
      </c>
      <c r="AG65" s="29"/>
      <c r="AH65" s="1792">
        <v>-0.1</v>
      </c>
      <c r="AI65" s="1792">
        <v>0.6</v>
      </c>
      <c r="AJ65" s="1792">
        <v>0.1</v>
      </c>
      <c r="AK65" s="29"/>
      <c r="AL65" s="1792">
        <v>-0.01</v>
      </c>
      <c r="AM65" s="1792">
        <v>0.16</v>
      </c>
      <c r="AN65" s="1792">
        <v>0.01</v>
      </c>
      <c r="AO65" s="29"/>
      <c r="AP65" s="14">
        <v>19</v>
      </c>
      <c r="AQ65" s="1802">
        <v>0.35</v>
      </c>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325">
        <v>38443</v>
      </c>
      <c r="BR65" s="415">
        <v>2.7410000000000001</v>
      </c>
      <c r="BS65" s="415">
        <v>2.7460000000000004</v>
      </c>
      <c r="BT65" s="415">
        <v>2.7510000000000003</v>
      </c>
      <c r="BU65" s="416">
        <v>0.17949999999999999</v>
      </c>
      <c r="BV65" s="416">
        <v>0.187</v>
      </c>
      <c r="BW65" s="416">
        <v>0.19450000000000001</v>
      </c>
      <c r="BX65" s="416">
        <v>-7.0000000000000007E-2</v>
      </c>
      <c r="BY65" s="416"/>
      <c r="BZ65" s="416">
        <v>7.0000000000000007E-2</v>
      </c>
      <c r="CA65" s="432">
        <v>0</v>
      </c>
      <c r="CB65" s="1618">
        <v>0</v>
      </c>
      <c r="CC65" s="445">
        <v>2.536</v>
      </c>
      <c r="CD65" s="449">
        <v>0.15380000000000002</v>
      </c>
    </row>
    <row r="66" spans="1:82">
      <c r="A66" s="325">
        <v>38565</v>
      </c>
      <c r="B66" s="416">
        <v>7.1710543325046006E-2</v>
      </c>
      <c r="C66" s="275"/>
      <c r="D66" s="1786">
        <v>37438</v>
      </c>
      <c r="E66" s="1787">
        <v>59.011751297974627</v>
      </c>
      <c r="F66" s="1787">
        <v>60.261751297974627</v>
      </c>
      <c r="G66" s="1787">
        <v>64.761751297974627</v>
      </c>
      <c r="H66" s="1788"/>
      <c r="I66" s="1787">
        <v>22.574193548387097</v>
      </c>
      <c r="J66" s="1787">
        <v>23.824193548387097</v>
      </c>
      <c r="K66" s="1787">
        <v>26.824193548387097</v>
      </c>
      <c r="M66" s="1791">
        <v>38322</v>
      </c>
      <c r="N66" s="1792">
        <v>30.635355836352929</v>
      </c>
      <c r="O66" s="1792">
        <v>32.385355836352929</v>
      </c>
      <c r="P66" s="1792">
        <v>36.885355836352929</v>
      </c>
      <c r="Q66" s="29"/>
      <c r="R66" s="1792">
        <v>22.5390168772647</v>
      </c>
      <c r="S66" s="1792">
        <v>24.2890168772647</v>
      </c>
      <c r="T66" s="1792">
        <v>28.7890168772647</v>
      </c>
      <c r="V66" s="500">
        <v>0</v>
      </c>
      <c r="W66" s="500">
        <v>0</v>
      </c>
      <c r="X66" s="500">
        <v>0</v>
      </c>
      <c r="Y66" s="27"/>
      <c r="Z66" s="1792">
        <v>0.15</v>
      </c>
      <c r="AA66" s="1792">
        <v>0.16</v>
      </c>
      <c r="AB66" s="1792">
        <v>0.17</v>
      </c>
      <c r="AC66" s="29"/>
      <c r="AD66" s="1792">
        <v>0.09</v>
      </c>
      <c r="AE66" s="1792">
        <v>0.11</v>
      </c>
      <c r="AF66" s="1792">
        <v>0.13</v>
      </c>
      <c r="AG66" s="29"/>
      <c r="AH66" s="1792">
        <v>-0.25</v>
      </c>
      <c r="AI66" s="1792">
        <v>0.6</v>
      </c>
      <c r="AJ66" s="1792">
        <v>0.25</v>
      </c>
      <c r="AK66" s="29"/>
      <c r="AL66" s="1792">
        <v>-0.01</v>
      </c>
      <c r="AM66" s="1792">
        <v>0.16</v>
      </c>
      <c r="AN66" s="1792">
        <v>0.01</v>
      </c>
      <c r="AO66" s="29"/>
      <c r="AP66" s="14">
        <v>19</v>
      </c>
      <c r="AQ66" s="1802">
        <v>0.35</v>
      </c>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325">
        <v>38473</v>
      </c>
      <c r="BR66" s="415">
        <v>2.7570000000000001</v>
      </c>
      <c r="BS66" s="415">
        <v>2.762</v>
      </c>
      <c r="BT66" s="415">
        <v>2.7669999999999999</v>
      </c>
      <c r="BU66" s="416">
        <v>0.17850000000000002</v>
      </c>
      <c r="BV66" s="416">
        <v>0.18600000000000003</v>
      </c>
      <c r="BW66" s="416">
        <v>0.19350000000000001</v>
      </c>
      <c r="BX66" s="416">
        <v>-7.0000000000000007E-2</v>
      </c>
      <c r="BY66" s="416"/>
      <c r="BZ66" s="416">
        <v>7.0000000000000007E-2</v>
      </c>
      <c r="CA66" s="432">
        <v>0</v>
      </c>
      <c r="CB66" s="1618">
        <v>0</v>
      </c>
      <c r="CC66" s="445">
        <v>2.569</v>
      </c>
      <c r="CD66" s="449">
        <v>0.1535</v>
      </c>
    </row>
    <row r="67" spans="1:82">
      <c r="A67" s="325">
        <v>38596</v>
      </c>
      <c r="B67" s="416">
        <v>7.1733179550626011E-2</v>
      </c>
      <c r="C67" s="275"/>
      <c r="D67" s="1786">
        <v>37469</v>
      </c>
      <c r="E67" s="1787">
        <v>79.636751297974627</v>
      </c>
      <c r="F67" s="1787">
        <v>80.886751297974627</v>
      </c>
      <c r="G67" s="1787">
        <v>85.386751297974627</v>
      </c>
      <c r="H67" s="1788"/>
      <c r="I67" s="1787">
        <v>20.574193548387097</v>
      </c>
      <c r="J67" s="1787">
        <v>21.824193548387097</v>
      </c>
      <c r="K67" s="1787">
        <v>24.824193548387097</v>
      </c>
      <c r="M67" s="1791">
        <v>38353</v>
      </c>
      <c r="N67" s="1792">
        <v>28.689976976831371</v>
      </c>
      <c r="O67" s="1792">
        <v>30.689976976831371</v>
      </c>
      <c r="P67" s="1792">
        <v>35.189976976831375</v>
      </c>
      <c r="Q67" s="29"/>
      <c r="R67" s="1792">
        <v>21.017482732623527</v>
      </c>
      <c r="S67" s="1792">
        <v>23.017482732623527</v>
      </c>
      <c r="T67" s="1792">
        <v>27.517482732623527</v>
      </c>
      <c r="V67" s="500">
        <v>0</v>
      </c>
      <c r="W67" s="500">
        <v>0</v>
      </c>
      <c r="X67" s="500">
        <v>0</v>
      </c>
      <c r="Y67" s="27"/>
      <c r="Z67" s="1792">
        <v>0.14499999999999999</v>
      </c>
      <c r="AA67" s="1792">
        <v>0.155</v>
      </c>
      <c r="AB67" s="1792">
        <v>0.16500000000000001</v>
      </c>
      <c r="AC67" s="29"/>
      <c r="AD67" s="1792">
        <v>0.09</v>
      </c>
      <c r="AE67" s="1792">
        <v>0.11</v>
      </c>
      <c r="AF67" s="1792">
        <v>0.13</v>
      </c>
      <c r="AG67" s="29"/>
      <c r="AH67" s="1792">
        <v>-0.25</v>
      </c>
      <c r="AI67" s="1792">
        <v>0.65</v>
      </c>
      <c r="AJ67" s="1792">
        <v>0.25</v>
      </c>
      <c r="AK67" s="29"/>
      <c r="AL67" s="1792">
        <v>-0.01</v>
      </c>
      <c r="AM67" s="1792">
        <v>0.16</v>
      </c>
      <c r="AN67" s="1792">
        <v>0.01</v>
      </c>
      <c r="AO67" s="29"/>
      <c r="AP67" s="14">
        <v>20</v>
      </c>
      <c r="AQ67" s="1802">
        <v>0.35</v>
      </c>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325">
        <v>38504</v>
      </c>
      <c r="BR67" s="415">
        <v>2.7660000000000005</v>
      </c>
      <c r="BS67" s="415">
        <v>2.7710000000000004</v>
      </c>
      <c r="BT67" s="415">
        <v>2.7760000000000002</v>
      </c>
      <c r="BU67" s="416">
        <v>0.17800000000000002</v>
      </c>
      <c r="BV67" s="416">
        <v>0.1855</v>
      </c>
      <c r="BW67" s="416">
        <v>0.193</v>
      </c>
      <c r="BX67" s="416">
        <v>-7.0000000000000007E-2</v>
      </c>
      <c r="BY67" s="416"/>
      <c r="BZ67" s="416">
        <v>7.0000000000000007E-2</v>
      </c>
      <c r="CA67" s="432">
        <v>0</v>
      </c>
      <c r="CB67" s="1618">
        <v>0</v>
      </c>
      <c r="CC67" s="445">
        <v>2.71</v>
      </c>
      <c r="CD67" s="449">
        <v>0.1535</v>
      </c>
    </row>
    <row r="68" spans="1:82">
      <c r="A68" s="325">
        <v>38626</v>
      </c>
      <c r="B68" s="416">
        <v>7.1755085575542998E-2</v>
      </c>
      <c r="C68" s="275"/>
      <c r="D68" s="1786">
        <v>37500</v>
      </c>
      <c r="E68" s="1787">
        <v>63.636751297974627</v>
      </c>
      <c r="F68" s="1787">
        <v>64.886751297974627</v>
      </c>
      <c r="G68" s="1787">
        <v>69.386751297974627</v>
      </c>
      <c r="H68" s="1788"/>
      <c r="I68" s="1787">
        <v>20.987500000000001</v>
      </c>
      <c r="J68" s="1787">
        <v>22.237500000000001</v>
      </c>
      <c r="K68" s="1787">
        <v>25.237500000000001</v>
      </c>
      <c r="M68" s="1791">
        <v>38384</v>
      </c>
      <c r="N68" s="1792">
        <v>28.189976976831371</v>
      </c>
      <c r="O68" s="1792">
        <v>30.189976976831371</v>
      </c>
      <c r="P68" s="1792">
        <v>34.689976976831375</v>
      </c>
      <c r="Q68" s="29"/>
      <c r="R68" s="1792">
        <v>20.642482732623527</v>
      </c>
      <c r="S68" s="1792">
        <v>22.642482732623527</v>
      </c>
      <c r="T68" s="1792">
        <v>27.142482732623527</v>
      </c>
      <c r="V68" s="500">
        <v>0</v>
      </c>
      <c r="W68" s="500">
        <v>0</v>
      </c>
      <c r="X68" s="500">
        <v>0</v>
      </c>
      <c r="Y68" s="27"/>
      <c r="Z68" s="1792">
        <v>0.14499999999999999</v>
      </c>
      <c r="AA68" s="1792">
        <v>0.155</v>
      </c>
      <c r="AB68" s="1792">
        <v>0.16500000000000001</v>
      </c>
      <c r="AC68" s="29"/>
      <c r="AD68" s="1792">
        <v>0.09</v>
      </c>
      <c r="AE68" s="1792">
        <v>0.11</v>
      </c>
      <c r="AF68" s="1792">
        <v>0.13</v>
      </c>
      <c r="AG68" s="29"/>
      <c r="AH68" s="1792">
        <v>-0.25</v>
      </c>
      <c r="AI68" s="1792">
        <v>0.65</v>
      </c>
      <c r="AJ68" s="1792">
        <v>0.25</v>
      </c>
      <c r="AK68" s="29"/>
      <c r="AL68" s="1792">
        <v>-0.01</v>
      </c>
      <c r="AM68" s="1792">
        <v>0.16</v>
      </c>
      <c r="AN68" s="1792">
        <v>0.01</v>
      </c>
      <c r="AO68" s="29"/>
      <c r="AP68" s="14">
        <v>20</v>
      </c>
      <c r="AQ68" s="1802">
        <v>0.35</v>
      </c>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325">
        <v>38534</v>
      </c>
      <c r="BR68" s="415">
        <v>2.7740000000000005</v>
      </c>
      <c r="BS68" s="415">
        <v>2.7790000000000004</v>
      </c>
      <c r="BT68" s="415">
        <v>2.7840000000000003</v>
      </c>
      <c r="BU68" s="416">
        <v>0.17749999999999999</v>
      </c>
      <c r="BV68" s="416">
        <v>0.185</v>
      </c>
      <c r="BW68" s="416">
        <v>0.1925</v>
      </c>
      <c r="BX68" s="416">
        <v>-7.0000000000000007E-2</v>
      </c>
      <c r="BY68" s="416"/>
      <c r="BZ68" s="416">
        <v>7.0000000000000007E-2</v>
      </c>
      <c r="CA68" s="432">
        <v>0</v>
      </c>
      <c r="CB68" s="1618">
        <v>0</v>
      </c>
      <c r="CC68" s="445">
        <v>2.855</v>
      </c>
      <c r="CD68" s="449">
        <v>0.1535</v>
      </c>
    </row>
    <row r="69" spans="1:82">
      <c r="A69" s="325">
        <v>38657</v>
      </c>
      <c r="B69" s="416">
        <v>7.1777721801456015E-2</v>
      </c>
      <c r="C69" s="275"/>
      <c r="D69" s="1786">
        <v>37530</v>
      </c>
      <c r="E69" s="1787">
        <v>38.752775751638893</v>
      </c>
      <c r="F69" s="1787">
        <v>40.002775751638893</v>
      </c>
      <c r="G69" s="1787">
        <v>44.502775751638893</v>
      </c>
      <c r="H69" s="1788"/>
      <c r="I69" s="1787">
        <v>20.501612903225805</v>
      </c>
      <c r="J69" s="1787">
        <v>21.751612903225805</v>
      </c>
      <c r="K69" s="1787">
        <v>24.751612903225805</v>
      </c>
      <c r="M69" s="1791">
        <v>38412</v>
      </c>
      <c r="N69" s="1792">
        <v>27.439976976831371</v>
      </c>
      <c r="O69" s="1792">
        <v>29.439976976831371</v>
      </c>
      <c r="P69" s="1792">
        <v>33.939976976831375</v>
      </c>
      <c r="Q69" s="29"/>
      <c r="R69" s="1792">
        <v>20.079982732623527</v>
      </c>
      <c r="S69" s="1792">
        <v>22.079982732623527</v>
      </c>
      <c r="T69" s="1792">
        <v>26.579982732623527</v>
      </c>
      <c r="V69" s="500">
        <v>0</v>
      </c>
      <c r="W69" s="500">
        <v>0</v>
      </c>
      <c r="X69" s="500">
        <v>0</v>
      </c>
      <c r="Y69" s="27"/>
      <c r="Z69" s="1792">
        <v>0.14499999999999999</v>
      </c>
      <c r="AA69" s="1792">
        <v>0.155</v>
      </c>
      <c r="AB69" s="1792">
        <v>0.16500000000000001</v>
      </c>
      <c r="AC69" s="29"/>
      <c r="AD69" s="1792">
        <v>0.09</v>
      </c>
      <c r="AE69" s="1792">
        <v>0.11</v>
      </c>
      <c r="AF69" s="1792">
        <v>0.13</v>
      </c>
      <c r="AG69" s="29"/>
      <c r="AH69" s="1792">
        <v>-0.1</v>
      </c>
      <c r="AI69" s="1792">
        <v>0.65</v>
      </c>
      <c r="AJ69" s="1792">
        <v>0.1</v>
      </c>
      <c r="AK69" s="29"/>
      <c r="AL69" s="1792">
        <v>-0.01</v>
      </c>
      <c r="AM69" s="1792">
        <v>0.16</v>
      </c>
      <c r="AN69" s="1792">
        <v>0.01</v>
      </c>
      <c r="AO69" s="29"/>
      <c r="AP69" s="14">
        <v>20</v>
      </c>
      <c r="AQ69" s="1802">
        <v>0.35</v>
      </c>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325">
        <v>38565</v>
      </c>
      <c r="BR69" s="415">
        <v>2.7830000000000004</v>
      </c>
      <c r="BS69" s="415">
        <v>2.7880000000000003</v>
      </c>
      <c r="BT69" s="415">
        <v>2.7930000000000001</v>
      </c>
      <c r="BU69" s="416">
        <v>0.17749999999999999</v>
      </c>
      <c r="BV69" s="416">
        <v>0.185</v>
      </c>
      <c r="BW69" s="416">
        <v>0.1925</v>
      </c>
      <c r="BX69" s="416">
        <v>-7.0000000000000007E-2</v>
      </c>
      <c r="BY69" s="416"/>
      <c r="BZ69" s="416">
        <v>7.0000000000000007E-2</v>
      </c>
      <c r="CA69" s="432">
        <v>0</v>
      </c>
      <c r="CB69" s="1618">
        <v>0</v>
      </c>
      <c r="CC69" s="445">
        <v>2.9165000000000005</v>
      </c>
      <c r="CD69" s="449">
        <v>0.1535</v>
      </c>
    </row>
    <row r="70" spans="1:82">
      <c r="A70" s="325">
        <v>38687</v>
      </c>
      <c r="B70" s="416">
        <v>7.179962782669401E-2</v>
      </c>
      <c r="C70" s="275"/>
      <c r="D70" s="1786">
        <v>37561</v>
      </c>
      <c r="E70" s="1787">
        <v>31.002775751638893</v>
      </c>
      <c r="F70" s="1787">
        <v>32.252775751638893</v>
      </c>
      <c r="G70" s="1787">
        <v>36.752775751638893</v>
      </c>
      <c r="H70" s="1788"/>
      <c r="I70" s="1787">
        <v>21.841666666666665</v>
      </c>
      <c r="J70" s="1787">
        <v>23.091666666666665</v>
      </c>
      <c r="K70" s="1787">
        <v>26.091666666666665</v>
      </c>
      <c r="M70" s="1791">
        <v>38443</v>
      </c>
      <c r="N70" s="1792">
        <v>27.270529117516261</v>
      </c>
      <c r="O70" s="1792">
        <v>29.270529117516261</v>
      </c>
      <c r="P70" s="1792">
        <v>33.770529117516261</v>
      </c>
      <c r="Q70" s="29"/>
      <c r="R70" s="1792">
        <v>19.952896838137196</v>
      </c>
      <c r="S70" s="1792">
        <v>21.952896838137196</v>
      </c>
      <c r="T70" s="1792">
        <v>26.452896838137196</v>
      </c>
      <c r="V70" s="500">
        <v>0</v>
      </c>
      <c r="W70" s="500">
        <v>0</v>
      </c>
      <c r="X70" s="500">
        <v>0</v>
      </c>
      <c r="Y70" s="27"/>
      <c r="Z70" s="1792">
        <v>0.14499999999999999</v>
      </c>
      <c r="AA70" s="1792">
        <v>0.155</v>
      </c>
      <c r="AB70" s="1792">
        <v>0.16500000000000001</v>
      </c>
      <c r="AC70" s="29"/>
      <c r="AD70" s="1792">
        <v>0.09</v>
      </c>
      <c r="AE70" s="1792">
        <v>0.11</v>
      </c>
      <c r="AF70" s="1792">
        <v>0.13</v>
      </c>
      <c r="AG70" s="29"/>
      <c r="AH70" s="1792">
        <v>-0.1</v>
      </c>
      <c r="AI70" s="1792">
        <v>0.65</v>
      </c>
      <c r="AJ70" s="1792">
        <v>0.1</v>
      </c>
      <c r="AK70" s="29"/>
      <c r="AL70" s="1792">
        <v>-0.01</v>
      </c>
      <c r="AM70" s="1792">
        <v>0.16</v>
      </c>
      <c r="AN70" s="1792">
        <v>0.01</v>
      </c>
      <c r="AO70" s="29"/>
      <c r="AP70" s="14">
        <v>21</v>
      </c>
      <c r="AQ70" s="1802">
        <v>0.35</v>
      </c>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325">
        <v>38596</v>
      </c>
      <c r="BR70" s="415">
        <v>2.7880000000000003</v>
      </c>
      <c r="BS70" s="415">
        <v>2.7930000000000001</v>
      </c>
      <c r="BT70" s="415">
        <v>2.798</v>
      </c>
      <c r="BU70" s="416">
        <v>0.17749999999999999</v>
      </c>
      <c r="BV70" s="416">
        <v>0.185</v>
      </c>
      <c r="BW70" s="416">
        <v>0.1925</v>
      </c>
      <c r="BX70" s="416">
        <v>-7.0000000000000007E-2</v>
      </c>
      <c r="BY70" s="416"/>
      <c r="BZ70" s="416">
        <v>7.0000000000000007E-2</v>
      </c>
      <c r="CA70" s="432">
        <v>0</v>
      </c>
      <c r="CB70" s="1618">
        <v>0</v>
      </c>
      <c r="CC70" s="445">
        <v>2.7915000000000005</v>
      </c>
      <c r="CD70" s="449">
        <v>0.1535</v>
      </c>
    </row>
    <row r="71" spans="1:82">
      <c r="A71" s="325">
        <v>38718</v>
      </c>
      <c r="B71" s="416">
        <v>7.1822264052941009E-2</v>
      </c>
      <c r="C71" s="275"/>
      <c r="D71" s="1786">
        <v>37591</v>
      </c>
      <c r="E71" s="1787">
        <v>33.002775751638893</v>
      </c>
      <c r="F71" s="1787">
        <v>34.252775751638893</v>
      </c>
      <c r="G71" s="1787">
        <v>38.752775751638893</v>
      </c>
      <c r="H71" s="1788"/>
      <c r="I71" s="1787">
        <v>21.146774193548392</v>
      </c>
      <c r="J71" s="1787">
        <v>22.396774193548392</v>
      </c>
      <c r="K71" s="1787">
        <v>25.396774193548392</v>
      </c>
      <c r="M71" s="1791">
        <v>38473</v>
      </c>
      <c r="N71" s="1792">
        <v>27.270529117516261</v>
      </c>
      <c r="O71" s="1792">
        <v>29.270529117516261</v>
      </c>
      <c r="P71" s="1792">
        <v>33.770529117516261</v>
      </c>
      <c r="Q71" s="29"/>
      <c r="R71" s="1792">
        <v>19.952896838137196</v>
      </c>
      <c r="S71" s="1792">
        <v>21.952896838137196</v>
      </c>
      <c r="T71" s="1792">
        <v>26.452896838137196</v>
      </c>
      <c r="V71" s="500">
        <v>0</v>
      </c>
      <c r="W71" s="500">
        <v>0</v>
      </c>
      <c r="X71" s="500">
        <v>0</v>
      </c>
      <c r="Y71" s="27"/>
      <c r="Z71" s="1792">
        <v>0.14499999999999999</v>
      </c>
      <c r="AA71" s="1792">
        <v>0.155</v>
      </c>
      <c r="AB71" s="1792">
        <v>0.16500000000000001</v>
      </c>
      <c r="AC71" s="29"/>
      <c r="AD71" s="1792">
        <v>0.09</v>
      </c>
      <c r="AE71" s="1792">
        <v>0.11</v>
      </c>
      <c r="AF71" s="1792">
        <v>0.13</v>
      </c>
      <c r="AG71" s="29"/>
      <c r="AH71" s="1792">
        <v>-0.1</v>
      </c>
      <c r="AI71" s="1792">
        <v>0.65</v>
      </c>
      <c r="AJ71" s="1792">
        <v>0.1</v>
      </c>
      <c r="AK71" s="29"/>
      <c r="AL71" s="1792">
        <v>-0.01</v>
      </c>
      <c r="AM71" s="1792">
        <v>0.16</v>
      </c>
      <c r="AN71" s="1792">
        <v>0.01</v>
      </c>
      <c r="AO71" s="29"/>
      <c r="AP71" s="14">
        <v>21</v>
      </c>
      <c r="AQ71" s="1802">
        <v>0.35</v>
      </c>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325">
        <v>38626</v>
      </c>
      <c r="BR71" s="415">
        <v>2.8130000000000002</v>
      </c>
      <c r="BS71" s="415">
        <v>2.8180000000000001</v>
      </c>
      <c r="BT71" s="415">
        <v>2.823</v>
      </c>
      <c r="BU71" s="416">
        <v>0.17699999999999999</v>
      </c>
      <c r="BV71" s="416">
        <v>0.1845</v>
      </c>
      <c r="BW71" s="416">
        <v>0.192</v>
      </c>
      <c r="BX71" s="416">
        <v>-7.0000000000000007E-2</v>
      </c>
      <c r="BY71" s="416"/>
      <c r="BZ71" s="416">
        <v>7.0000000000000007E-2</v>
      </c>
      <c r="CA71" s="432">
        <v>0</v>
      </c>
      <c r="CB71" s="1618">
        <v>0</v>
      </c>
      <c r="CC71" s="445">
        <v>2.6844999999999999</v>
      </c>
      <c r="CD71" s="449">
        <v>0.1515</v>
      </c>
    </row>
    <row r="72" spans="1:82">
      <c r="A72" s="325">
        <v>38749</v>
      </c>
      <c r="B72" s="416">
        <v>7.1844900279356014E-2</v>
      </c>
      <c r="C72" s="275"/>
      <c r="D72" s="1786">
        <v>37622</v>
      </c>
      <c r="E72" s="1787">
        <v>30.817551391905674</v>
      </c>
      <c r="F72" s="1787">
        <v>32.317551391905674</v>
      </c>
      <c r="G72" s="1787">
        <v>36.817551391905674</v>
      </c>
      <c r="H72" s="1788"/>
      <c r="I72" s="1787">
        <v>18.988119151052206</v>
      </c>
      <c r="J72" s="1787">
        <v>20.238119151052206</v>
      </c>
      <c r="K72" s="1787">
        <v>23.238119151052206</v>
      </c>
      <c r="M72" s="1791">
        <v>38504</v>
      </c>
      <c r="N72" s="1792">
        <v>32.520529117516261</v>
      </c>
      <c r="O72" s="1792">
        <v>34.520529117516261</v>
      </c>
      <c r="P72" s="1792">
        <v>39.020529117516261</v>
      </c>
      <c r="Q72" s="29"/>
      <c r="R72" s="1792">
        <v>23.890396838137196</v>
      </c>
      <c r="S72" s="1792">
        <v>25.890396838137196</v>
      </c>
      <c r="T72" s="1792">
        <v>30.390396838137196</v>
      </c>
      <c r="V72" s="500">
        <v>0</v>
      </c>
      <c r="W72" s="500">
        <v>0</v>
      </c>
      <c r="X72" s="500">
        <v>0</v>
      </c>
      <c r="Y72" s="27"/>
      <c r="Z72" s="1792">
        <v>0.14499999999999999</v>
      </c>
      <c r="AA72" s="1792">
        <v>0.155</v>
      </c>
      <c r="AB72" s="1792">
        <v>0.16500000000000001</v>
      </c>
      <c r="AC72" s="29"/>
      <c r="AD72" s="1792">
        <v>0.09</v>
      </c>
      <c r="AE72" s="1792">
        <v>0.11</v>
      </c>
      <c r="AF72" s="1792">
        <v>0.13</v>
      </c>
      <c r="AG72" s="29"/>
      <c r="AH72" s="1792">
        <v>-0.35</v>
      </c>
      <c r="AI72" s="1792">
        <v>0.65</v>
      </c>
      <c r="AJ72" s="1792">
        <v>0.2</v>
      </c>
      <c r="AK72" s="29"/>
      <c r="AL72" s="1792">
        <v>-0.01</v>
      </c>
      <c r="AM72" s="1792">
        <v>0.16</v>
      </c>
      <c r="AN72" s="1792">
        <v>0.01</v>
      </c>
      <c r="AO72" s="29"/>
      <c r="AP72" s="14">
        <v>21</v>
      </c>
      <c r="AQ72" s="1802">
        <v>0.35</v>
      </c>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325">
        <v>38657</v>
      </c>
      <c r="BR72" s="415">
        <v>2.9360000000000004</v>
      </c>
      <c r="BS72" s="415">
        <v>2.9410000000000003</v>
      </c>
      <c r="BT72" s="415">
        <v>2.9460000000000002</v>
      </c>
      <c r="BU72" s="416">
        <v>0.17650000000000002</v>
      </c>
      <c r="BV72" s="416">
        <v>0.18400000000000002</v>
      </c>
      <c r="BW72" s="416">
        <v>0.19150000000000003</v>
      </c>
      <c r="BX72" s="416">
        <v>-7.0000000000000007E-2</v>
      </c>
      <c r="BY72" s="416"/>
      <c r="BZ72" s="416">
        <v>7.0000000000000007E-2</v>
      </c>
      <c r="CA72" s="432">
        <v>0</v>
      </c>
      <c r="CB72" s="1618">
        <v>0</v>
      </c>
      <c r="CC72" s="445">
        <v>2.5814999999999997</v>
      </c>
      <c r="CD72" s="449">
        <v>0.14950000000000002</v>
      </c>
    </row>
    <row r="73" spans="1:82">
      <c r="A73" s="325">
        <v>38777</v>
      </c>
      <c r="B73" s="416">
        <v>7.1865345903361022E-2</v>
      </c>
      <c r="C73" s="275"/>
      <c r="D73" s="1786">
        <v>37653</v>
      </c>
      <c r="E73" s="1787">
        <v>30.317551391905674</v>
      </c>
      <c r="F73" s="1787">
        <v>31.817551391905674</v>
      </c>
      <c r="G73" s="1787">
        <v>36.317551391905674</v>
      </c>
      <c r="H73" s="1788"/>
      <c r="I73" s="1787">
        <v>19.957142857142856</v>
      </c>
      <c r="J73" s="1787">
        <v>21.207142857142856</v>
      </c>
      <c r="K73" s="1787">
        <v>24.207142857142856</v>
      </c>
      <c r="M73" s="1791">
        <v>38534</v>
      </c>
      <c r="N73" s="1792">
        <v>59.571620710573768</v>
      </c>
      <c r="O73" s="1792">
        <v>61.571620710573768</v>
      </c>
      <c r="P73" s="1792">
        <v>66.071620710573768</v>
      </c>
      <c r="Q73" s="29"/>
      <c r="R73" s="1792">
        <v>44.178715532930326</v>
      </c>
      <c r="S73" s="1792">
        <v>46.178715532930326</v>
      </c>
      <c r="T73" s="1792">
        <v>50.678715532930326</v>
      </c>
      <c r="V73" s="500">
        <v>0</v>
      </c>
      <c r="W73" s="500">
        <v>0</v>
      </c>
      <c r="X73" s="500">
        <v>0</v>
      </c>
      <c r="Y73" s="27"/>
      <c r="Z73" s="1792">
        <v>0.14499999999999999</v>
      </c>
      <c r="AA73" s="1792">
        <v>0.155</v>
      </c>
      <c r="AB73" s="1792">
        <v>0.16500000000000001</v>
      </c>
      <c r="AC73" s="29"/>
      <c r="AD73" s="1792">
        <v>0.09</v>
      </c>
      <c r="AE73" s="1792">
        <v>0.11</v>
      </c>
      <c r="AF73" s="1792">
        <v>0.13</v>
      </c>
      <c r="AG73" s="29"/>
      <c r="AH73" s="1792">
        <v>-0.35</v>
      </c>
      <c r="AI73" s="1792">
        <v>3</v>
      </c>
      <c r="AJ73" s="1792">
        <v>0.35</v>
      </c>
      <c r="AK73" s="29"/>
      <c r="AL73" s="1792">
        <v>-0.01</v>
      </c>
      <c r="AM73" s="1792">
        <v>0.16</v>
      </c>
      <c r="AN73" s="1792">
        <v>0.01</v>
      </c>
      <c r="AO73" s="29"/>
      <c r="AP73" s="14">
        <v>22</v>
      </c>
      <c r="AQ73" s="1802">
        <v>0.35</v>
      </c>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325">
        <v>38687</v>
      </c>
      <c r="BR73" s="415">
        <v>3.0530000000000004</v>
      </c>
      <c r="BS73" s="415">
        <v>3.0580000000000003</v>
      </c>
      <c r="BT73" s="415">
        <v>3.0630000000000002</v>
      </c>
      <c r="BU73" s="416">
        <v>0.17749999999999999</v>
      </c>
      <c r="BV73" s="416">
        <v>0.185</v>
      </c>
      <c r="BW73" s="416">
        <v>0.1925</v>
      </c>
      <c r="BX73" s="416">
        <v>-7.0000000000000007E-2</v>
      </c>
      <c r="BY73" s="416"/>
      <c r="BZ73" s="416">
        <v>7.0000000000000007E-2</v>
      </c>
      <c r="CA73" s="432">
        <v>0</v>
      </c>
      <c r="CB73" s="1618">
        <v>0</v>
      </c>
      <c r="CC73" s="445">
        <v>2.5575000000000001</v>
      </c>
      <c r="CD73" s="449">
        <v>0.14849999999999999</v>
      </c>
    </row>
    <row r="74" spans="1:82">
      <c r="A74" s="325">
        <v>38808</v>
      </c>
      <c r="B74" s="416">
        <v>7.1887982130098005E-2</v>
      </c>
      <c r="C74" s="275"/>
      <c r="D74" s="1786">
        <v>37681</v>
      </c>
      <c r="E74" s="1787">
        <v>30.067551391905674</v>
      </c>
      <c r="F74" s="1787">
        <v>31.567551391905674</v>
      </c>
      <c r="G74" s="1787">
        <v>36.067551391905674</v>
      </c>
      <c r="H74" s="1788"/>
      <c r="I74" s="1787">
        <v>20.237096774193549</v>
      </c>
      <c r="J74" s="1787">
        <v>21.487096774193549</v>
      </c>
      <c r="K74" s="1787">
        <v>24.487096774193549</v>
      </c>
      <c r="M74" s="1791">
        <v>38565</v>
      </c>
      <c r="N74" s="1792">
        <v>80.196620710573768</v>
      </c>
      <c r="O74" s="1792">
        <v>82.196620710573768</v>
      </c>
      <c r="P74" s="1792">
        <v>86.696620710573768</v>
      </c>
      <c r="Q74" s="29"/>
      <c r="R74" s="1792">
        <v>59.647465532930326</v>
      </c>
      <c r="S74" s="1792">
        <v>61.647465532930326</v>
      </c>
      <c r="T74" s="1792">
        <v>66.147465532930326</v>
      </c>
      <c r="V74" s="500">
        <v>0</v>
      </c>
      <c r="W74" s="500">
        <v>0</v>
      </c>
      <c r="X74" s="500">
        <v>0</v>
      </c>
      <c r="Y74" s="27"/>
      <c r="Z74" s="1792">
        <v>0.14499999999999999</v>
      </c>
      <c r="AA74" s="1792">
        <v>0.155</v>
      </c>
      <c r="AB74" s="1792">
        <v>0.16500000000000001</v>
      </c>
      <c r="AC74" s="29"/>
      <c r="AD74" s="1792">
        <v>0.09</v>
      </c>
      <c r="AE74" s="1792">
        <v>0.11</v>
      </c>
      <c r="AF74" s="1792">
        <v>0.13</v>
      </c>
      <c r="AG74" s="29"/>
      <c r="AH74" s="1792">
        <v>-0.35</v>
      </c>
      <c r="AI74" s="1792">
        <v>3</v>
      </c>
      <c r="AJ74" s="1792">
        <v>0.35</v>
      </c>
      <c r="AK74" s="29"/>
      <c r="AL74" s="1792">
        <v>-0.01</v>
      </c>
      <c r="AM74" s="1792">
        <v>0.16</v>
      </c>
      <c r="AN74" s="1792">
        <v>0.01</v>
      </c>
      <c r="AO74" s="29"/>
      <c r="AP74" s="14">
        <v>22</v>
      </c>
      <c r="AQ74" s="1802">
        <v>0.35</v>
      </c>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325">
        <v>38718</v>
      </c>
      <c r="BR74" s="415">
        <v>3.0960000000000001</v>
      </c>
      <c r="BS74" s="415">
        <v>3.1010000000000004</v>
      </c>
      <c r="BT74" s="415">
        <v>3.1060000000000003</v>
      </c>
      <c r="BU74" s="416">
        <v>0.15200000000000002</v>
      </c>
      <c r="BV74" s="416">
        <v>0.1595</v>
      </c>
      <c r="BW74" s="416">
        <v>0.16700000000000001</v>
      </c>
      <c r="BX74" s="416">
        <v>-7.0000000000000007E-2</v>
      </c>
      <c r="BY74" s="416"/>
      <c r="BZ74" s="416">
        <v>7.0000000000000007E-2</v>
      </c>
      <c r="CA74" s="432">
        <v>0</v>
      </c>
      <c r="CB74" s="1618">
        <v>0</v>
      </c>
      <c r="CC74" s="445">
        <v>2.5644999999999998</v>
      </c>
      <c r="CD74" s="449">
        <v>0.1482</v>
      </c>
    </row>
    <row r="75" spans="1:82">
      <c r="A75" s="325">
        <v>38838</v>
      </c>
      <c r="B75" s="416">
        <v>7.1909888156134999E-2</v>
      </c>
      <c r="C75" s="275"/>
      <c r="D75" s="1786">
        <v>37712</v>
      </c>
      <c r="E75" s="1787">
        <v>30.027543066989299</v>
      </c>
      <c r="F75" s="1787">
        <v>31.527543066989299</v>
      </c>
      <c r="G75" s="1787">
        <v>36.027543066989296</v>
      </c>
      <c r="H75" s="1788"/>
      <c r="I75" s="1787">
        <v>18.037500000000001</v>
      </c>
      <c r="J75" s="1787">
        <v>19.287500000000001</v>
      </c>
      <c r="K75" s="1787">
        <v>22.287500000000001</v>
      </c>
      <c r="M75" s="1791">
        <v>38596</v>
      </c>
      <c r="N75" s="1792">
        <v>64.196620710573768</v>
      </c>
      <c r="O75" s="1792">
        <v>66.196620710573768</v>
      </c>
      <c r="P75" s="1792">
        <v>70.696620710573768</v>
      </c>
      <c r="Q75" s="29"/>
      <c r="R75" s="1792">
        <v>47.647465532930326</v>
      </c>
      <c r="S75" s="1792">
        <v>49.647465532930326</v>
      </c>
      <c r="T75" s="1792">
        <v>54.147465532930326</v>
      </c>
      <c r="V75" s="500">
        <v>0</v>
      </c>
      <c r="W75" s="500">
        <v>0</v>
      </c>
      <c r="X75" s="500">
        <v>0</v>
      </c>
      <c r="Y75" s="27"/>
      <c r="Z75" s="1792">
        <v>0.14499999999999999</v>
      </c>
      <c r="AA75" s="1792">
        <v>0.155</v>
      </c>
      <c r="AB75" s="1792">
        <v>0.16500000000000001</v>
      </c>
      <c r="AC75" s="29"/>
      <c r="AD75" s="1792">
        <v>0.09</v>
      </c>
      <c r="AE75" s="1792">
        <v>0.11</v>
      </c>
      <c r="AF75" s="1792">
        <v>0.13</v>
      </c>
      <c r="AG75" s="29"/>
      <c r="AH75" s="1792">
        <v>-0.35</v>
      </c>
      <c r="AI75" s="1792">
        <v>3</v>
      </c>
      <c r="AJ75" s="1792">
        <v>0.2</v>
      </c>
      <c r="AK75" s="29"/>
      <c r="AL75" s="1792">
        <v>-0.01</v>
      </c>
      <c r="AM75" s="1792">
        <v>0.16</v>
      </c>
      <c r="AN75" s="1792">
        <v>0.01</v>
      </c>
      <c r="AO75" s="29"/>
      <c r="AP75" s="14">
        <v>22</v>
      </c>
      <c r="AQ75" s="1802">
        <v>0.35</v>
      </c>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325">
        <v>38749</v>
      </c>
      <c r="BR75" s="415">
        <v>2.9950000000000001</v>
      </c>
      <c r="BS75" s="415">
        <v>3</v>
      </c>
      <c r="BT75" s="415">
        <v>3.0049999999999999</v>
      </c>
      <c r="BU75" s="416">
        <v>0.15200000000000002</v>
      </c>
      <c r="BV75" s="416">
        <v>0.1595</v>
      </c>
      <c r="BW75" s="416">
        <v>0.16700000000000001</v>
      </c>
      <c r="BX75" s="416">
        <v>-7.0000000000000007E-2</v>
      </c>
      <c r="BY75" s="416"/>
      <c r="BZ75" s="416">
        <v>7.0000000000000007E-2</v>
      </c>
      <c r="CA75" s="432">
        <v>0</v>
      </c>
      <c r="CB75" s="1618">
        <v>0</v>
      </c>
      <c r="CC75" s="445">
        <v>2.5705</v>
      </c>
      <c r="CD75" s="449">
        <v>0.1479</v>
      </c>
    </row>
    <row r="76" spans="1:82">
      <c r="A76" s="325">
        <v>38869</v>
      </c>
      <c r="B76" s="416">
        <v>7.193252438320602E-2</v>
      </c>
      <c r="C76" s="275"/>
      <c r="D76" s="1786">
        <v>37742</v>
      </c>
      <c r="E76" s="1787">
        <v>29.277543066989299</v>
      </c>
      <c r="F76" s="1787">
        <v>30.777543066989299</v>
      </c>
      <c r="G76" s="1787">
        <v>35.277543066989296</v>
      </c>
      <c r="H76" s="1788"/>
      <c r="I76" s="1787">
        <v>18.095967741935482</v>
      </c>
      <c r="J76" s="1787">
        <v>19.345967741935482</v>
      </c>
      <c r="K76" s="1787">
        <v>22.345967741935482</v>
      </c>
      <c r="M76" s="1791">
        <v>38626</v>
      </c>
      <c r="N76" s="1792">
        <v>35.560176235680309</v>
      </c>
      <c r="O76" s="1792">
        <v>37.560176235680309</v>
      </c>
      <c r="P76" s="1792">
        <v>42.060176235680309</v>
      </c>
      <c r="Q76" s="29"/>
      <c r="R76" s="1792">
        <v>26.170132176760234</v>
      </c>
      <c r="S76" s="1792">
        <v>28.170132176760234</v>
      </c>
      <c r="T76" s="1792">
        <v>32.670132176760234</v>
      </c>
      <c r="V76" s="500">
        <v>0</v>
      </c>
      <c r="W76" s="500">
        <v>0</v>
      </c>
      <c r="X76" s="500">
        <v>0</v>
      </c>
      <c r="Y76" s="27"/>
      <c r="Z76" s="1792">
        <v>0.14499999999999999</v>
      </c>
      <c r="AA76" s="1792">
        <v>0.155</v>
      </c>
      <c r="AB76" s="1792">
        <v>0.16500000000000001</v>
      </c>
      <c r="AC76" s="29"/>
      <c r="AD76" s="1792">
        <v>0.09</v>
      </c>
      <c r="AE76" s="1792">
        <v>0.11</v>
      </c>
      <c r="AF76" s="1792">
        <v>0.13</v>
      </c>
      <c r="AG76" s="29"/>
      <c r="AH76" s="1792">
        <v>-0.1</v>
      </c>
      <c r="AI76" s="1792">
        <v>0.6</v>
      </c>
      <c r="AJ76" s="1792">
        <v>0.1</v>
      </c>
      <c r="AK76" s="29"/>
      <c r="AL76" s="1792">
        <v>-0.01</v>
      </c>
      <c r="AM76" s="1792">
        <v>0.16</v>
      </c>
      <c r="AN76" s="1792">
        <v>0.01</v>
      </c>
      <c r="AO76" s="29"/>
      <c r="AP76" s="14">
        <v>23</v>
      </c>
      <c r="AQ76" s="1802">
        <v>0.35</v>
      </c>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325">
        <v>38777</v>
      </c>
      <c r="BR76" s="415">
        <v>2.8890000000000002</v>
      </c>
      <c r="BS76" s="415">
        <v>2.8940000000000006</v>
      </c>
      <c r="BT76" s="415">
        <v>2.8990000000000005</v>
      </c>
      <c r="BU76" s="416">
        <v>0.151</v>
      </c>
      <c r="BV76" s="416">
        <v>0.1585</v>
      </c>
      <c r="BW76" s="416">
        <v>0.16600000000000001</v>
      </c>
      <c r="BX76" s="416">
        <v>-7.0000000000000007E-2</v>
      </c>
      <c r="BY76" s="416"/>
      <c r="BZ76" s="416">
        <v>7.0000000000000007E-2</v>
      </c>
      <c r="CA76" s="432">
        <v>0</v>
      </c>
      <c r="CB76" s="1618">
        <v>0</v>
      </c>
      <c r="CC76" s="445">
        <v>2.5755000000000003</v>
      </c>
      <c r="CD76" s="449">
        <v>0.14760000000000001</v>
      </c>
    </row>
    <row r="77" spans="1:82">
      <c r="A77" s="325">
        <v>38899</v>
      </c>
      <c r="B77" s="416">
        <v>7.1954430409564007E-2</v>
      </c>
      <c r="C77" s="275"/>
      <c r="D77" s="1786">
        <v>37773</v>
      </c>
      <c r="E77" s="1787">
        <v>34.527543066989296</v>
      </c>
      <c r="F77" s="1787">
        <v>36.027543066989296</v>
      </c>
      <c r="G77" s="1787">
        <v>40.527543066989296</v>
      </c>
      <c r="H77" s="1788"/>
      <c r="I77" s="1787">
        <v>17.350000000000001</v>
      </c>
      <c r="J77" s="1787">
        <v>18.600000000000001</v>
      </c>
      <c r="K77" s="1787">
        <v>21.6</v>
      </c>
      <c r="M77" s="1791">
        <v>38657</v>
      </c>
      <c r="N77" s="1792">
        <v>27.810176235680313</v>
      </c>
      <c r="O77" s="1792">
        <v>29.810176235680313</v>
      </c>
      <c r="P77" s="1792">
        <v>34.310176235680316</v>
      </c>
      <c r="Q77" s="29"/>
      <c r="R77" s="1792">
        <v>20.357632176760234</v>
      </c>
      <c r="S77" s="1792">
        <v>22.357632176760234</v>
      </c>
      <c r="T77" s="1792">
        <v>26.857632176760234</v>
      </c>
      <c r="V77" s="500">
        <v>0</v>
      </c>
      <c r="W77" s="500">
        <v>0</v>
      </c>
      <c r="X77" s="500">
        <v>0</v>
      </c>
      <c r="Y77" s="27"/>
      <c r="Z77" s="1792">
        <v>0.14499999999999999</v>
      </c>
      <c r="AA77" s="1792">
        <v>0.155</v>
      </c>
      <c r="AB77" s="1792">
        <v>0.16500000000000001</v>
      </c>
      <c r="AC77" s="29"/>
      <c r="AD77" s="1792">
        <v>0.09</v>
      </c>
      <c r="AE77" s="1792">
        <v>0.11</v>
      </c>
      <c r="AF77" s="1792">
        <v>0.13</v>
      </c>
      <c r="AG77" s="29"/>
      <c r="AH77" s="1792">
        <v>-0.1</v>
      </c>
      <c r="AI77" s="1792">
        <v>0.6</v>
      </c>
      <c r="AJ77" s="1792">
        <v>0.1</v>
      </c>
      <c r="AK77" s="29"/>
      <c r="AL77" s="1792">
        <v>-0.01</v>
      </c>
      <c r="AM77" s="1792">
        <v>0.16</v>
      </c>
      <c r="AN77" s="1792">
        <v>0.01</v>
      </c>
      <c r="AO77" s="29"/>
      <c r="AP77" s="14">
        <v>23</v>
      </c>
      <c r="AQ77" s="1802">
        <v>0.35</v>
      </c>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325">
        <v>38808</v>
      </c>
      <c r="BR77" s="415">
        <v>2.798</v>
      </c>
      <c r="BS77" s="415">
        <v>2.8030000000000004</v>
      </c>
      <c r="BT77" s="415">
        <v>2.8080000000000003</v>
      </c>
      <c r="BU77" s="416">
        <v>0.15</v>
      </c>
      <c r="BV77" s="416">
        <v>0.1575</v>
      </c>
      <c r="BW77" s="416">
        <v>0.16500000000000001</v>
      </c>
      <c r="BX77" s="416">
        <v>-7.0000000000000007E-2</v>
      </c>
      <c r="BY77" s="416"/>
      <c r="BZ77" s="416">
        <v>7.0000000000000007E-2</v>
      </c>
      <c r="CA77" s="432">
        <v>0</v>
      </c>
      <c r="CB77" s="1618">
        <v>0</v>
      </c>
      <c r="CC77" s="445">
        <v>2.5785000000000005</v>
      </c>
      <c r="CD77" s="449">
        <v>0.14730000000000001</v>
      </c>
    </row>
    <row r="78" spans="1:82">
      <c r="A78" s="325">
        <v>38930</v>
      </c>
      <c r="B78" s="416">
        <v>7.1977066636968012E-2</v>
      </c>
      <c r="C78" s="275"/>
      <c r="D78" s="1786">
        <v>37803</v>
      </c>
      <c r="E78" s="1787">
        <v>59.480329007309521</v>
      </c>
      <c r="F78" s="1787">
        <v>60.980329007309521</v>
      </c>
      <c r="G78" s="1787">
        <v>65.480329007309521</v>
      </c>
      <c r="H78" s="1788"/>
      <c r="I78" s="1787">
        <v>23.374193548387098</v>
      </c>
      <c r="J78" s="1787">
        <v>24.624193548387098</v>
      </c>
      <c r="K78" s="1787">
        <v>27.624193548387098</v>
      </c>
      <c r="M78" s="1791">
        <v>38687</v>
      </c>
      <c r="N78" s="1792">
        <v>29.810176235680309</v>
      </c>
      <c r="O78" s="1792">
        <v>31.810176235680309</v>
      </c>
      <c r="P78" s="1792">
        <v>36.310176235680309</v>
      </c>
      <c r="Q78" s="29"/>
      <c r="R78" s="1792">
        <v>21.857632176760234</v>
      </c>
      <c r="S78" s="1792">
        <v>23.857632176760234</v>
      </c>
      <c r="T78" s="1792">
        <v>28.357632176760234</v>
      </c>
      <c r="V78" s="500">
        <v>0</v>
      </c>
      <c r="W78" s="500">
        <v>0</v>
      </c>
      <c r="X78" s="500">
        <v>0</v>
      </c>
      <c r="Y78" s="27"/>
      <c r="Z78" s="1792">
        <v>0.14499999999999999</v>
      </c>
      <c r="AA78" s="1792">
        <v>0.155</v>
      </c>
      <c r="AB78" s="1792">
        <v>0.16500000000000001</v>
      </c>
      <c r="AC78" s="29"/>
      <c r="AD78" s="1792">
        <v>0.09</v>
      </c>
      <c r="AE78" s="1792">
        <v>0.11</v>
      </c>
      <c r="AF78" s="1792">
        <v>0.13</v>
      </c>
      <c r="AG78" s="29"/>
      <c r="AH78" s="1792">
        <v>-0.25</v>
      </c>
      <c r="AI78" s="1792">
        <v>0.6</v>
      </c>
      <c r="AJ78" s="1792">
        <v>0.25</v>
      </c>
      <c r="AK78" s="29"/>
      <c r="AL78" s="1792">
        <v>-0.01</v>
      </c>
      <c r="AM78" s="1792">
        <v>0.16</v>
      </c>
      <c r="AN78" s="1792">
        <v>0.01</v>
      </c>
      <c r="AO78" s="29"/>
      <c r="AP78" s="14">
        <v>23</v>
      </c>
      <c r="AQ78" s="1802">
        <v>0.35</v>
      </c>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325">
        <v>38838</v>
      </c>
      <c r="BR78" s="415">
        <v>2.8149999999999999</v>
      </c>
      <c r="BS78" s="415">
        <v>2.82</v>
      </c>
      <c r="BT78" s="415">
        <v>2.8250000000000002</v>
      </c>
      <c r="BU78" s="416">
        <v>0.15</v>
      </c>
      <c r="BV78" s="416">
        <v>0.1575</v>
      </c>
      <c r="BW78" s="416">
        <v>0.16500000000000001</v>
      </c>
      <c r="BX78" s="416">
        <v>-7.0000000000000007E-2</v>
      </c>
      <c r="BY78" s="416"/>
      <c r="BZ78" s="416">
        <v>7.0000000000000007E-2</v>
      </c>
      <c r="CA78" s="432">
        <v>0</v>
      </c>
      <c r="CB78" s="1618">
        <v>0</v>
      </c>
      <c r="CC78" s="445">
        <v>2.6114999999999999</v>
      </c>
      <c r="CD78" s="449">
        <v>0.14700000000000002</v>
      </c>
    </row>
    <row r="79" spans="1:82">
      <c r="A79" s="325">
        <v>38961</v>
      </c>
      <c r="B79" s="416">
        <v>7.199970286454202E-2</v>
      </c>
      <c r="C79" s="275"/>
      <c r="D79" s="1786">
        <v>37834</v>
      </c>
      <c r="E79" s="1787">
        <v>80.105329007309521</v>
      </c>
      <c r="F79" s="1787">
        <v>81.605329007309521</v>
      </c>
      <c r="G79" s="1787">
        <v>86.105329007309521</v>
      </c>
      <c r="H79" s="1788"/>
      <c r="I79" s="1787">
        <v>21.374193548387098</v>
      </c>
      <c r="J79" s="1787">
        <v>22.624193548387098</v>
      </c>
      <c r="K79" s="1787">
        <v>25.624193548387098</v>
      </c>
      <c r="M79" s="1791">
        <v>38718</v>
      </c>
      <c r="N79" s="1792">
        <v>27.413171703717751</v>
      </c>
      <c r="O79" s="1792">
        <v>30.413171703717751</v>
      </c>
      <c r="P79" s="1792">
        <v>34.913171703717751</v>
      </c>
      <c r="Q79" s="29"/>
      <c r="R79" s="1792">
        <v>19.809878777788313</v>
      </c>
      <c r="S79" s="1792">
        <v>22.809878777788313</v>
      </c>
      <c r="T79" s="1792">
        <v>27.309878777788313</v>
      </c>
      <c r="V79" s="500">
        <v>0</v>
      </c>
      <c r="W79" s="500">
        <v>0</v>
      </c>
      <c r="X79" s="500">
        <v>0</v>
      </c>
      <c r="Y79" s="27"/>
      <c r="Z79" s="1792">
        <v>0.14000000000000001</v>
      </c>
      <c r="AA79" s="1792">
        <v>0.15</v>
      </c>
      <c r="AB79" s="1792">
        <v>0.16</v>
      </c>
      <c r="AC79" s="29"/>
      <c r="AD79" s="1792">
        <v>0.09</v>
      </c>
      <c r="AE79" s="1792">
        <v>0.11</v>
      </c>
      <c r="AF79" s="1792">
        <v>0.13</v>
      </c>
      <c r="AG79" s="29"/>
      <c r="AH79" s="1792">
        <v>-0.25</v>
      </c>
      <c r="AI79" s="1792">
        <v>0.65</v>
      </c>
      <c r="AJ79" s="1792">
        <v>0.25</v>
      </c>
      <c r="AK79" s="29"/>
      <c r="AL79" s="1792">
        <v>-0.01</v>
      </c>
      <c r="AM79" s="1792">
        <v>0.16</v>
      </c>
      <c r="AN79" s="1792">
        <v>0.01</v>
      </c>
      <c r="AO79" s="29"/>
      <c r="AP79" s="14">
        <v>24</v>
      </c>
      <c r="AQ79" s="1802">
        <v>0.35</v>
      </c>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325">
        <v>38869</v>
      </c>
      <c r="BR79" s="415">
        <v>2.8250000000000002</v>
      </c>
      <c r="BS79" s="415">
        <v>2.83</v>
      </c>
      <c r="BT79" s="415">
        <v>2.835</v>
      </c>
      <c r="BU79" s="416">
        <v>0.15</v>
      </c>
      <c r="BV79" s="416">
        <v>0.1575</v>
      </c>
      <c r="BW79" s="416">
        <v>0.16500000000000001</v>
      </c>
      <c r="BX79" s="416">
        <v>-7.0000000000000007E-2</v>
      </c>
      <c r="BY79" s="416"/>
      <c r="BZ79" s="416">
        <v>7.0000000000000007E-2</v>
      </c>
      <c r="CA79" s="432">
        <v>0</v>
      </c>
      <c r="CB79" s="1618">
        <v>0</v>
      </c>
      <c r="CC79" s="445">
        <v>2.7524999999999999</v>
      </c>
      <c r="CD79" s="449">
        <v>0.14700000000000002</v>
      </c>
    </row>
    <row r="80" spans="1:82">
      <c r="A80" s="325">
        <v>38991</v>
      </c>
      <c r="B80" s="416">
        <v>7.2021608891387021E-2</v>
      </c>
      <c r="C80" s="275"/>
      <c r="D80" s="1786">
        <v>37865</v>
      </c>
      <c r="E80" s="1787">
        <v>64.105329007309521</v>
      </c>
      <c r="F80" s="1787">
        <v>65.605329007309521</v>
      </c>
      <c r="G80" s="1787">
        <v>70.105329007309521</v>
      </c>
      <c r="H80" s="1788"/>
      <c r="I80" s="1787">
        <v>21.787500000000001</v>
      </c>
      <c r="J80" s="1787">
        <v>23.037500000000001</v>
      </c>
      <c r="K80" s="1787">
        <v>26.037500000000001</v>
      </c>
      <c r="M80" s="1791">
        <v>38749</v>
      </c>
      <c r="N80" s="1792">
        <v>26.913171703717751</v>
      </c>
      <c r="O80" s="1792">
        <v>29.913171703717751</v>
      </c>
      <c r="P80" s="1792">
        <v>34.413171703717751</v>
      </c>
      <c r="Q80" s="29"/>
      <c r="R80" s="1792">
        <v>19.434878777788313</v>
      </c>
      <c r="S80" s="1792">
        <v>22.434878777788313</v>
      </c>
      <c r="T80" s="1792">
        <v>26.934878777788313</v>
      </c>
      <c r="V80" s="500">
        <v>0</v>
      </c>
      <c r="W80" s="500">
        <v>0</v>
      </c>
      <c r="X80" s="500">
        <v>0</v>
      </c>
      <c r="Y80" s="27"/>
      <c r="Z80" s="1792">
        <v>0.14000000000000001</v>
      </c>
      <c r="AA80" s="1792">
        <v>0.15</v>
      </c>
      <c r="AB80" s="1792">
        <v>0.16</v>
      </c>
      <c r="AC80" s="29"/>
      <c r="AD80" s="1792">
        <v>0.09</v>
      </c>
      <c r="AE80" s="1792">
        <v>0.11</v>
      </c>
      <c r="AF80" s="1792">
        <v>0.13</v>
      </c>
      <c r="AG80" s="29"/>
      <c r="AH80" s="1792">
        <v>-0.25</v>
      </c>
      <c r="AI80" s="1792">
        <v>0.65</v>
      </c>
      <c r="AJ80" s="1792">
        <v>0.25</v>
      </c>
      <c r="AK80" s="29"/>
      <c r="AL80" s="1792">
        <v>-0.01</v>
      </c>
      <c r="AM80" s="1792">
        <v>0.16</v>
      </c>
      <c r="AN80" s="1792">
        <v>0.01</v>
      </c>
      <c r="AO80" s="29"/>
      <c r="AP80" s="14">
        <v>24</v>
      </c>
      <c r="AQ80" s="1802">
        <v>0.35</v>
      </c>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325">
        <v>38899</v>
      </c>
      <c r="BR80" s="415">
        <v>2.8330000000000002</v>
      </c>
      <c r="BS80" s="415">
        <v>2.8380000000000001</v>
      </c>
      <c r="BT80" s="415">
        <v>2.843</v>
      </c>
      <c r="BU80" s="416">
        <v>0.15</v>
      </c>
      <c r="BV80" s="416">
        <v>0.1575</v>
      </c>
      <c r="BW80" s="416">
        <v>0.16500000000000001</v>
      </c>
      <c r="BX80" s="416">
        <v>-7.0000000000000007E-2</v>
      </c>
      <c r="BY80" s="416"/>
      <c r="BZ80" s="416">
        <v>7.0000000000000007E-2</v>
      </c>
      <c r="CA80" s="432">
        <v>0</v>
      </c>
      <c r="CB80" s="1618">
        <v>0</v>
      </c>
      <c r="CC80" s="445">
        <v>2.8975</v>
      </c>
      <c r="CD80" s="449">
        <v>0.14700000000000002</v>
      </c>
    </row>
    <row r="81" spans="1:82">
      <c r="A81" s="325">
        <v>39022</v>
      </c>
      <c r="B81" s="416">
        <v>7.2044245119292014E-2</v>
      </c>
      <c r="C81" s="275"/>
      <c r="D81" s="1786">
        <v>37895</v>
      </c>
      <c r="E81" s="1787">
        <v>37.44724361300576</v>
      </c>
      <c r="F81" s="1787">
        <v>38.94724361300576</v>
      </c>
      <c r="G81" s="1787">
        <v>43.44724361300576</v>
      </c>
      <c r="H81" s="1788"/>
      <c r="I81" s="1787">
        <v>21.301612903225806</v>
      </c>
      <c r="J81" s="1787">
        <v>22.551612903225806</v>
      </c>
      <c r="K81" s="1787">
        <v>25.551612903225806</v>
      </c>
      <c r="M81" s="1791">
        <v>38777</v>
      </c>
      <c r="N81" s="1792">
        <v>26.163171703717751</v>
      </c>
      <c r="O81" s="1792">
        <v>29.163171703717751</v>
      </c>
      <c r="P81" s="1792">
        <v>33.663171703717751</v>
      </c>
      <c r="Q81" s="29"/>
      <c r="R81" s="1792">
        <v>18.872378777788313</v>
      </c>
      <c r="S81" s="1792">
        <v>21.872378777788313</v>
      </c>
      <c r="T81" s="1792">
        <v>26.372378777788313</v>
      </c>
      <c r="V81" s="500">
        <v>0</v>
      </c>
      <c r="W81" s="500">
        <v>0</v>
      </c>
      <c r="X81" s="500">
        <v>0</v>
      </c>
      <c r="Y81" s="27"/>
      <c r="Z81" s="1792">
        <v>0.14000000000000001</v>
      </c>
      <c r="AA81" s="1792">
        <v>0.15</v>
      </c>
      <c r="AB81" s="1792">
        <v>0.16</v>
      </c>
      <c r="AC81" s="29"/>
      <c r="AD81" s="1792">
        <v>0.09</v>
      </c>
      <c r="AE81" s="1792">
        <v>0.11</v>
      </c>
      <c r="AF81" s="1792">
        <v>0.13</v>
      </c>
      <c r="AG81" s="29"/>
      <c r="AH81" s="1792">
        <v>-0.1</v>
      </c>
      <c r="AI81" s="1792">
        <v>0.65</v>
      </c>
      <c r="AJ81" s="1792">
        <v>0.1</v>
      </c>
      <c r="AK81" s="29"/>
      <c r="AL81" s="1792">
        <v>-0.01</v>
      </c>
      <c r="AM81" s="1792">
        <v>0.16</v>
      </c>
      <c r="AN81" s="1792">
        <v>0.01</v>
      </c>
      <c r="AO81" s="29"/>
      <c r="AP81" s="14">
        <v>24</v>
      </c>
      <c r="AQ81" s="1802">
        <v>0.35</v>
      </c>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325">
        <v>38930</v>
      </c>
      <c r="BR81" s="415">
        <v>2.8420000000000001</v>
      </c>
      <c r="BS81" s="415">
        <v>2.847</v>
      </c>
      <c r="BT81" s="415">
        <v>2.8519999999999999</v>
      </c>
      <c r="BU81" s="416">
        <v>0.15</v>
      </c>
      <c r="BV81" s="416">
        <v>0.1575</v>
      </c>
      <c r="BW81" s="416">
        <v>0.16500000000000001</v>
      </c>
      <c r="BX81" s="416">
        <v>-7.0000000000000007E-2</v>
      </c>
      <c r="BY81" s="416"/>
      <c r="BZ81" s="416">
        <v>7.0000000000000007E-2</v>
      </c>
      <c r="CA81" s="432">
        <v>0</v>
      </c>
      <c r="CB81" s="1618">
        <v>0</v>
      </c>
      <c r="CC81" s="445">
        <v>2.9665000000000004</v>
      </c>
      <c r="CD81" s="449">
        <v>0.17749999999999999</v>
      </c>
    </row>
    <row r="82" spans="1:82">
      <c r="A82" s="325">
        <v>39052</v>
      </c>
      <c r="B82" s="416">
        <v>7.2066151146460006E-2</v>
      </c>
      <c r="C82" s="275"/>
      <c r="D82" s="1786">
        <v>37926</v>
      </c>
      <c r="E82" s="1787">
        <v>29.69724361300576</v>
      </c>
      <c r="F82" s="1787">
        <v>31.19724361300576</v>
      </c>
      <c r="G82" s="1787">
        <v>35.69724361300576</v>
      </c>
      <c r="H82" s="1788"/>
      <c r="I82" s="1787">
        <v>22.641666666666666</v>
      </c>
      <c r="J82" s="1787">
        <v>23.891666666666666</v>
      </c>
      <c r="K82" s="1787">
        <v>26.891666666666666</v>
      </c>
      <c r="M82" s="1791">
        <v>38808</v>
      </c>
      <c r="N82" s="1792">
        <v>25.998194495117172</v>
      </c>
      <c r="O82" s="1792">
        <v>28.998194495117172</v>
      </c>
      <c r="P82" s="1792">
        <v>33.498194495117176</v>
      </c>
      <c r="Q82" s="29"/>
      <c r="R82" s="1792">
        <v>18.748645871337878</v>
      </c>
      <c r="S82" s="1792">
        <v>21.748645871337878</v>
      </c>
      <c r="T82" s="1792">
        <v>26.248645871337878</v>
      </c>
      <c r="V82" s="500">
        <v>0</v>
      </c>
      <c r="W82" s="500">
        <v>0</v>
      </c>
      <c r="X82" s="500">
        <v>0</v>
      </c>
      <c r="Y82" s="27"/>
      <c r="Z82" s="1792">
        <v>0.14000000000000001</v>
      </c>
      <c r="AA82" s="1792">
        <v>0.15</v>
      </c>
      <c r="AB82" s="1792">
        <v>0.16</v>
      </c>
      <c r="AC82" s="29"/>
      <c r="AD82" s="1792">
        <v>0.09</v>
      </c>
      <c r="AE82" s="1792">
        <v>0.11</v>
      </c>
      <c r="AF82" s="1792">
        <v>0.13</v>
      </c>
      <c r="AG82" s="29"/>
      <c r="AH82" s="1792">
        <v>-0.1</v>
      </c>
      <c r="AI82" s="1792">
        <v>0.65</v>
      </c>
      <c r="AJ82" s="1792">
        <v>0.1</v>
      </c>
      <c r="AK82" s="29"/>
      <c r="AL82" s="1792">
        <v>-0.01</v>
      </c>
      <c r="AM82" s="1792">
        <v>0.16</v>
      </c>
      <c r="AN82" s="1792">
        <v>0.01</v>
      </c>
      <c r="AO82" s="29"/>
      <c r="AP82" s="14">
        <v>25</v>
      </c>
      <c r="AQ82" s="1802">
        <v>0.35</v>
      </c>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325">
        <v>38961</v>
      </c>
      <c r="BR82" s="415">
        <v>2.8460000000000001</v>
      </c>
      <c r="BS82" s="415">
        <v>2.8510000000000004</v>
      </c>
      <c r="BT82" s="415">
        <v>2.8560000000000003</v>
      </c>
      <c r="BU82" s="416">
        <v>0.15</v>
      </c>
      <c r="BV82" s="416">
        <v>0.1575</v>
      </c>
      <c r="BW82" s="416">
        <v>0.16500000000000001</v>
      </c>
      <c r="BX82" s="416">
        <v>-7.0000000000000007E-2</v>
      </c>
      <c r="BY82" s="416"/>
      <c r="BZ82" s="416">
        <v>7.0000000000000007E-2</v>
      </c>
      <c r="CA82" s="432">
        <v>0</v>
      </c>
      <c r="CB82" s="1618">
        <v>0</v>
      </c>
      <c r="CC82" s="445">
        <v>2.8415000000000004</v>
      </c>
      <c r="CD82" s="449">
        <v>0.17749999999999999</v>
      </c>
    </row>
    <row r="83" spans="1:82">
      <c r="A83" s="325">
        <v>39083</v>
      </c>
      <c r="B83" s="416">
        <v>7.2088787374699009E-2</v>
      </c>
      <c r="C83" s="275"/>
      <c r="D83" s="1786">
        <v>37956</v>
      </c>
      <c r="E83" s="1787">
        <v>31.69724361300576</v>
      </c>
      <c r="F83" s="1787">
        <v>33.19724361300576</v>
      </c>
      <c r="G83" s="1787">
        <v>37.69724361300576</v>
      </c>
      <c r="H83" s="1788"/>
      <c r="I83" s="1787">
        <v>21.946774193548393</v>
      </c>
      <c r="J83" s="1787">
        <v>23.196774193548393</v>
      </c>
      <c r="K83" s="1787">
        <v>26.196774193548393</v>
      </c>
      <c r="M83" s="1791">
        <v>38838</v>
      </c>
      <c r="N83" s="1792">
        <v>25.998194495117172</v>
      </c>
      <c r="O83" s="1792">
        <v>28.998194495117172</v>
      </c>
      <c r="P83" s="1792">
        <v>33.498194495117176</v>
      </c>
      <c r="Q83" s="29"/>
      <c r="R83" s="1792">
        <v>18.748645871337878</v>
      </c>
      <c r="S83" s="1792">
        <v>21.748645871337878</v>
      </c>
      <c r="T83" s="1792">
        <v>26.248645871337878</v>
      </c>
      <c r="V83" s="500">
        <v>0</v>
      </c>
      <c r="W83" s="500">
        <v>0</v>
      </c>
      <c r="X83" s="500">
        <v>0</v>
      </c>
      <c r="Y83" s="27"/>
      <c r="Z83" s="1792">
        <v>0.14000000000000001</v>
      </c>
      <c r="AA83" s="1792">
        <v>0.15</v>
      </c>
      <c r="AB83" s="1792">
        <v>0.16</v>
      </c>
      <c r="AC83" s="29"/>
      <c r="AD83" s="1792">
        <v>0.09</v>
      </c>
      <c r="AE83" s="1792">
        <v>0.11</v>
      </c>
      <c r="AF83" s="1792">
        <v>0.13</v>
      </c>
      <c r="AG83" s="29"/>
      <c r="AH83" s="1792">
        <v>-0.1</v>
      </c>
      <c r="AI83" s="1792">
        <v>0.65</v>
      </c>
      <c r="AJ83" s="1792">
        <v>0.1</v>
      </c>
      <c r="AK83" s="29"/>
      <c r="AL83" s="1792">
        <v>-0.01</v>
      </c>
      <c r="AM83" s="1792">
        <v>0.16</v>
      </c>
      <c r="AN83" s="1792">
        <v>0.01</v>
      </c>
      <c r="AO83" s="29"/>
      <c r="AP83" s="14">
        <v>25</v>
      </c>
      <c r="AQ83" s="1802">
        <v>0.35</v>
      </c>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325">
        <v>38991</v>
      </c>
      <c r="BR83" s="415">
        <v>2.87</v>
      </c>
      <c r="BS83" s="415">
        <v>2.875</v>
      </c>
      <c r="BT83" s="415">
        <v>2.88</v>
      </c>
      <c r="BU83" s="416">
        <v>0.15</v>
      </c>
      <c r="BV83" s="416">
        <v>0.1575</v>
      </c>
      <c r="BW83" s="416">
        <v>0.16500000000000001</v>
      </c>
      <c r="BX83" s="416">
        <v>-7.0000000000000007E-2</v>
      </c>
      <c r="BY83" s="416"/>
      <c r="BZ83" s="416">
        <v>7.0000000000000007E-2</v>
      </c>
      <c r="CA83" s="432">
        <v>0</v>
      </c>
      <c r="CB83" s="1618">
        <v>0</v>
      </c>
      <c r="CC83" s="445">
        <v>2.7345000000000002</v>
      </c>
      <c r="CD83" s="449">
        <v>0.17749999999999999</v>
      </c>
    </row>
    <row r="84" spans="1:82">
      <c r="A84" s="325">
        <v>39114</v>
      </c>
      <c r="B84" s="416">
        <v>7.2111423603108002E-2</v>
      </c>
      <c r="C84" s="275"/>
      <c r="D84" s="1786">
        <v>37987</v>
      </c>
      <c r="E84" s="1787">
        <v>29.61563424178717</v>
      </c>
      <c r="F84" s="1787">
        <v>31.36563424178717</v>
      </c>
      <c r="G84" s="1787">
        <v>35.86563424178717</v>
      </c>
      <c r="H84" s="1788"/>
      <c r="I84" s="1787">
        <v>19.788119151052207</v>
      </c>
      <c r="J84" s="1787">
        <v>21.038119151052207</v>
      </c>
      <c r="K84" s="1787">
        <v>24.038119151052207</v>
      </c>
      <c r="M84" s="1791">
        <v>38869</v>
      </c>
      <c r="N84" s="1792">
        <v>31.248194495117176</v>
      </c>
      <c r="O84" s="1792">
        <v>34.248194495117176</v>
      </c>
      <c r="P84" s="1792">
        <v>38.748194495117176</v>
      </c>
      <c r="Q84" s="29"/>
      <c r="R84" s="1792">
        <v>22.686145871337878</v>
      </c>
      <c r="S84" s="1792">
        <v>25.686145871337878</v>
      </c>
      <c r="T84" s="1792">
        <v>30.186145871337878</v>
      </c>
      <c r="V84" s="500">
        <v>0</v>
      </c>
      <c r="W84" s="500">
        <v>0</v>
      </c>
      <c r="X84" s="500">
        <v>0</v>
      </c>
      <c r="Y84" s="27"/>
      <c r="Z84" s="1792">
        <v>0.14000000000000001</v>
      </c>
      <c r="AA84" s="1792">
        <v>0.15</v>
      </c>
      <c r="AB84" s="1792">
        <v>0.16</v>
      </c>
      <c r="AC84" s="29"/>
      <c r="AD84" s="1792">
        <v>0.09</v>
      </c>
      <c r="AE84" s="1792">
        <v>0.11</v>
      </c>
      <c r="AF84" s="1792">
        <v>0.13</v>
      </c>
      <c r="AG84" s="29"/>
      <c r="AH84" s="1792">
        <v>-0.35</v>
      </c>
      <c r="AI84" s="1792">
        <v>0.65</v>
      </c>
      <c r="AJ84" s="1792">
        <v>0.2</v>
      </c>
      <c r="AK84" s="29"/>
      <c r="AL84" s="1792">
        <v>-0.01</v>
      </c>
      <c r="AM84" s="1792">
        <v>0.16</v>
      </c>
      <c r="AN84" s="1792">
        <v>0.01</v>
      </c>
      <c r="AO84" s="29"/>
      <c r="AP84" s="14">
        <v>25</v>
      </c>
      <c r="AQ84" s="1802">
        <v>0.35</v>
      </c>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325">
        <v>39022</v>
      </c>
      <c r="BR84" s="415">
        <v>2.988</v>
      </c>
      <c r="BS84" s="415">
        <v>2.9930000000000003</v>
      </c>
      <c r="BT84" s="415">
        <v>2.9980000000000002</v>
      </c>
      <c r="BU84" s="416">
        <v>0.15</v>
      </c>
      <c r="BV84" s="416">
        <v>0.1575</v>
      </c>
      <c r="BW84" s="416">
        <v>0.16500000000000001</v>
      </c>
      <c r="BX84" s="416">
        <v>-7.0000000000000007E-2</v>
      </c>
      <c r="BY84" s="416"/>
      <c r="BZ84" s="416">
        <v>7.0000000000000007E-2</v>
      </c>
      <c r="CA84" s="432">
        <v>0</v>
      </c>
      <c r="CB84" s="1618">
        <v>0</v>
      </c>
      <c r="CC84" s="445">
        <v>2.6315</v>
      </c>
      <c r="CD84" s="449">
        <v>0.17749999999999999</v>
      </c>
    </row>
    <row r="85" spans="1:82">
      <c r="A85" s="325">
        <v>39142</v>
      </c>
      <c r="B85" s="416">
        <v>7.2131869228912016E-2</v>
      </c>
      <c r="C85" s="275"/>
      <c r="D85" s="1786">
        <v>38018</v>
      </c>
      <c r="E85" s="1787">
        <v>29.11563424178717</v>
      </c>
      <c r="F85" s="1787">
        <v>30.86563424178717</v>
      </c>
      <c r="G85" s="1787">
        <v>35.36563424178717</v>
      </c>
      <c r="H85" s="1788"/>
      <c r="I85" s="1787">
        <v>20.757142857142856</v>
      </c>
      <c r="J85" s="1787">
        <v>22.007142857142856</v>
      </c>
      <c r="K85" s="1787">
        <v>25.007142857142856</v>
      </c>
      <c r="M85" s="1791">
        <v>38899</v>
      </c>
      <c r="N85" s="1792">
        <v>57.991048136426357</v>
      </c>
      <c r="O85" s="1792">
        <v>60.991048136426357</v>
      </c>
      <c r="P85" s="1792">
        <v>65.491048136426357</v>
      </c>
      <c r="Q85" s="29"/>
      <c r="R85" s="1792">
        <v>42.743286102319772</v>
      </c>
      <c r="S85" s="1792">
        <v>45.743286102319772</v>
      </c>
      <c r="T85" s="1792">
        <v>50.243286102319772</v>
      </c>
      <c r="V85" s="500">
        <v>0</v>
      </c>
      <c r="W85" s="500">
        <v>0</v>
      </c>
      <c r="X85" s="500">
        <v>0</v>
      </c>
      <c r="Y85" s="27"/>
      <c r="Z85" s="1792">
        <v>0.14000000000000001</v>
      </c>
      <c r="AA85" s="1792">
        <v>0.15</v>
      </c>
      <c r="AB85" s="1792">
        <v>0.16</v>
      </c>
      <c r="AC85" s="29"/>
      <c r="AD85" s="1792">
        <v>0.09</v>
      </c>
      <c r="AE85" s="1792">
        <v>0.11</v>
      </c>
      <c r="AF85" s="1792">
        <v>0.13</v>
      </c>
      <c r="AG85" s="29"/>
      <c r="AH85" s="1792">
        <v>-0.35</v>
      </c>
      <c r="AI85" s="1792">
        <v>3</v>
      </c>
      <c r="AJ85" s="1792">
        <v>0.35</v>
      </c>
      <c r="AK85" s="29"/>
      <c r="AL85" s="1792">
        <v>-0.01</v>
      </c>
      <c r="AM85" s="1792">
        <v>0.16</v>
      </c>
      <c r="AN85" s="1792">
        <v>0.01</v>
      </c>
      <c r="AO85" s="29"/>
      <c r="AP85" s="14">
        <v>26</v>
      </c>
      <c r="AQ85" s="1802">
        <v>0.35</v>
      </c>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325">
        <v>39052</v>
      </c>
      <c r="BR85" s="415">
        <v>3.1019999999999999</v>
      </c>
      <c r="BS85" s="415">
        <v>3.1069999999999998</v>
      </c>
      <c r="BT85" s="415">
        <v>3.1120000000000001</v>
      </c>
      <c r="BU85" s="416">
        <v>0.15</v>
      </c>
      <c r="BV85" s="416">
        <v>0.1575</v>
      </c>
      <c r="BW85" s="416">
        <v>0.16500000000000001</v>
      </c>
      <c r="BX85" s="416">
        <v>-7.0000000000000007E-2</v>
      </c>
      <c r="BY85" s="416"/>
      <c r="BZ85" s="416">
        <v>7.0000000000000007E-2</v>
      </c>
      <c r="CA85" s="432">
        <v>0</v>
      </c>
      <c r="CB85" s="1618">
        <v>0</v>
      </c>
      <c r="CC85" s="445">
        <v>2.6074999999999999</v>
      </c>
      <c r="CD85" s="449">
        <v>0.17749999999999999</v>
      </c>
    </row>
    <row r="86" spans="1:82">
      <c r="A86" s="325">
        <v>39173</v>
      </c>
      <c r="B86" s="416">
        <v>7.2154505457643014E-2</v>
      </c>
      <c r="C86" s="275"/>
      <c r="D86" s="1786">
        <v>38047</v>
      </c>
      <c r="E86" s="1787">
        <v>28.86563424178717</v>
      </c>
      <c r="F86" s="1787">
        <v>30.61563424178717</v>
      </c>
      <c r="G86" s="1787">
        <v>35.11563424178717</v>
      </c>
      <c r="H86" s="1788"/>
      <c r="I86" s="1787">
        <v>21.03709677419355</v>
      </c>
      <c r="J86" s="1787">
        <v>22.28709677419355</v>
      </c>
      <c r="K86" s="1787">
        <v>25.28709677419355</v>
      </c>
      <c r="M86" s="1791">
        <v>38930</v>
      </c>
      <c r="N86" s="1792">
        <v>78.616048136426357</v>
      </c>
      <c r="O86" s="1792">
        <v>81.616048136426357</v>
      </c>
      <c r="P86" s="1792">
        <v>86.116048136426357</v>
      </c>
      <c r="Q86" s="29"/>
      <c r="R86" s="1792">
        <v>58.212036102319772</v>
      </c>
      <c r="S86" s="1792">
        <v>61.212036102319772</v>
      </c>
      <c r="T86" s="1792">
        <v>65.712036102319772</v>
      </c>
      <c r="V86" s="500">
        <v>0</v>
      </c>
      <c r="W86" s="500">
        <v>0</v>
      </c>
      <c r="X86" s="500">
        <v>0</v>
      </c>
      <c r="Y86" s="27"/>
      <c r="Z86" s="1792">
        <v>0.14000000000000001</v>
      </c>
      <c r="AA86" s="1792">
        <v>0.15</v>
      </c>
      <c r="AB86" s="1792">
        <v>0.16</v>
      </c>
      <c r="AC86" s="29"/>
      <c r="AD86" s="1792">
        <v>0.09</v>
      </c>
      <c r="AE86" s="1792">
        <v>0.11</v>
      </c>
      <c r="AF86" s="1792">
        <v>0.13</v>
      </c>
      <c r="AG86" s="29"/>
      <c r="AH86" s="1792">
        <v>-0.35</v>
      </c>
      <c r="AI86" s="1792">
        <v>3</v>
      </c>
      <c r="AJ86" s="1792">
        <v>0.35</v>
      </c>
      <c r="AK86" s="29"/>
      <c r="AL86" s="1792">
        <v>-0.01</v>
      </c>
      <c r="AM86" s="1792">
        <v>0.16</v>
      </c>
      <c r="AN86" s="1792">
        <v>0.01</v>
      </c>
      <c r="AO86" s="29"/>
      <c r="AP86" s="14">
        <v>26</v>
      </c>
      <c r="AQ86" s="1802">
        <v>0.35</v>
      </c>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325">
        <v>39083</v>
      </c>
      <c r="BR86" s="415">
        <v>3.1480000000000001</v>
      </c>
      <c r="BS86" s="415">
        <v>3.153</v>
      </c>
      <c r="BT86" s="415">
        <v>3.1580000000000004</v>
      </c>
      <c r="BU86" s="416">
        <v>0.15</v>
      </c>
      <c r="BV86" s="416">
        <v>0.1575</v>
      </c>
      <c r="BW86" s="416">
        <v>0.16500000000000001</v>
      </c>
      <c r="BX86" s="416">
        <v>-7.0000000000000007E-2</v>
      </c>
      <c r="BY86" s="416"/>
      <c r="BZ86" s="416">
        <v>7.0000000000000007E-2</v>
      </c>
      <c r="CA86" s="432">
        <v>0</v>
      </c>
      <c r="CB86" s="1618">
        <v>0</v>
      </c>
      <c r="CC86" s="445">
        <v>2.6145</v>
      </c>
      <c r="CD86" s="449">
        <v>0.17749999999999999</v>
      </c>
    </row>
    <row r="87" spans="1:82">
      <c r="A87" s="325">
        <v>39203</v>
      </c>
      <c r="B87" s="416">
        <v>7.2174277207544019E-2</v>
      </c>
      <c r="C87" s="275"/>
      <c r="D87" s="1786">
        <v>38078</v>
      </c>
      <c r="E87" s="1787">
        <v>28.898774763014199</v>
      </c>
      <c r="F87" s="1787">
        <v>30.648774763014199</v>
      </c>
      <c r="G87" s="1787">
        <v>35.148774763014202</v>
      </c>
      <c r="H87" s="1788"/>
      <c r="I87" s="1787">
        <v>18.837499999999999</v>
      </c>
      <c r="J87" s="1787">
        <v>20.087499999999999</v>
      </c>
      <c r="K87" s="1787">
        <v>23.087499999999999</v>
      </c>
      <c r="M87" s="1791">
        <v>38961</v>
      </c>
      <c r="N87" s="1792">
        <v>62.616048136426357</v>
      </c>
      <c r="O87" s="1792">
        <v>65.616048136426357</v>
      </c>
      <c r="P87" s="1792">
        <v>70.116048136426357</v>
      </c>
      <c r="Q87" s="29"/>
      <c r="R87" s="1792">
        <v>46.212036102319772</v>
      </c>
      <c r="S87" s="1792">
        <v>49.212036102319772</v>
      </c>
      <c r="T87" s="1792">
        <v>53.712036102319772</v>
      </c>
      <c r="V87" s="500">
        <v>0</v>
      </c>
      <c r="W87" s="500">
        <v>0</v>
      </c>
      <c r="X87" s="500">
        <v>0</v>
      </c>
      <c r="Y87" s="27"/>
      <c r="Z87" s="1792">
        <v>0.14000000000000001</v>
      </c>
      <c r="AA87" s="1792">
        <v>0.15</v>
      </c>
      <c r="AB87" s="1792">
        <v>0.16</v>
      </c>
      <c r="AC87" s="29"/>
      <c r="AD87" s="1792">
        <v>0.09</v>
      </c>
      <c r="AE87" s="1792">
        <v>0.11</v>
      </c>
      <c r="AF87" s="1792">
        <v>0.13</v>
      </c>
      <c r="AG87" s="29"/>
      <c r="AH87" s="1792">
        <v>-0.35</v>
      </c>
      <c r="AI87" s="1792">
        <v>3</v>
      </c>
      <c r="AJ87" s="1792">
        <v>0.2</v>
      </c>
      <c r="AK87" s="29"/>
      <c r="AL87" s="1792">
        <v>-0.01</v>
      </c>
      <c r="AM87" s="1792">
        <v>0.16</v>
      </c>
      <c r="AN87" s="1792">
        <v>0.01</v>
      </c>
      <c r="AO87" s="29"/>
      <c r="AP87" s="14">
        <v>26</v>
      </c>
      <c r="AQ87" s="1802">
        <v>0.35</v>
      </c>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325">
        <v>39114</v>
      </c>
      <c r="BR87" s="415">
        <v>3.0510000000000002</v>
      </c>
      <c r="BS87" s="415">
        <v>3.0560000000000005</v>
      </c>
      <c r="BT87" s="415">
        <v>3.0610000000000004</v>
      </c>
      <c r="BU87" s="416">
        <v>0.15</v>
      </c>
      <c r="BV87" s="416">
        <v>0.1575</v>
      </c>
      <c r="BW87" s="416">
        <v>0.16500000000000001</v>
      </c>
      <c r="BX87" s="416">
        <v>-7.0000000000000007E-2</v>
      </c>
      <c r="BY87" s="416"/>
      <c r="BZ87" s="416">
        <v>7.0000000000000007E-2</v>
      </c>
      <c r="CA87" s="432">
        <v>0</v>
      </c>
      <c r="CB87" s="1618">
        <v>0</v>
      </c>
      <c r="CC87" s="445">
        <v>2.6205000000000003</v>
      </c>
      <c r="CD87" s="449">
        <v>0.17749999999999999</v>
      </c>
    </row>
    <row r="88" spans="1:82">
      <c r="A88" s="325">
        <v>39234</v>
      </c>
      <c r="B88" s="416">
        <v>7.219250259523001E-2</v>
      </c>
      <c r="C88" s="275"/>
      <c r="D88" s="1786">
        <v>38108</v>
      </c>
      <c r="E88" s="1787">
        <v>28.148774763014199</v>
      </c>
      <c r="F88" s="1787">
        <v>29.898774763014199</v>
      </c>
      <c r="G88" s="1787">
        <v>34.398774763014202</v>
      </c>
      <c r="H88" s="1788"/>
      <c r="I88" s="1787">
        <v>18.895967741935483</v>
      </c>
      <c r="J88" s="1787">
        <v>20.145967741935483</v>
      </c>
      <c r="K88" s="1787">
        <v>23.145967741935483</v>
      </c>
      <c r="M88" s="1791">
        <v>38991</v>
      </c>
      <c r="N88" s="1792">
        <v>34.318960640176101</v>
      </c>
      <c r="O88" s="1792">
        <v>37.318960640176101</v>
      </c>
      <c r="P88" s="1792">
        <v>41.818960640176101</v>
      </c>
      <c r="Q88" s="29"/>
      <c r="R88" s="1792">
        <v>24.989220480132079</v>
      </c>
      <c r="S88" s="1792">
        <v>27.989220480132079</v>
      </c>
      <c r="T88" s="1792">
        <v>32.489220480132076</v>
      </c>
      <c r="V88" s="500">
        <v>0</v>
      </c>
      <c r="W88" s="500">
        <v>0</v>
      </c>
      <c r="X88" s="500">
        <v>0</v>
      </c>
      <c r="Y88" s="27"/>
      <c r="Z88" s="1792">
        <v>0.14000000000000001</v>
      </c>
      <c r="AA88" s="1792">
        <v>0.15</v>
      </c>
      <c r="AB88" s="1792">
        <v>0.16</v>
      </c>
      <c r="AC88" s="29"/>
      <c r="AD88" s="1792">
        <v>0.09</v>
      </c>
      <c r="AE88" s="1792">
        <v>0.11</v>
      </c>
      <c r="AF88" s="1792">
        <v>0.13</v>
      </c>
      <c r="AG88" s="29"/>
      <c r="AH88" s="1792">
        <v>-0.1</v>
      </c>
      <c r="AI88" s="1792">
        <v>0.6</v>
      </c>
      <c r="AJ88" s="1792">
        <v>0.1</v>
      </c>
      <c r="AK88" s="29"/>
      <c r="AL88" s="1792">
        <v>-0.01</v>
      </c>
      <c r="AM88" s="1792">
        <v>0.16</v>
      </c>
      <c r="AN88" s="1792">
        <v>0.01</v>
      </c>
      <c r="AO88" s="29"/>
      <c r="AP88" s="14">
        <v>27</v>
      </c>
      <c r="AQ88" s="1802">
        <v>0.35</v>
      </c>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325">
        <v>39142</v>
      </c>
      <c r="BR88" s="415">
        <v>2.948</v>
      </c>
      <c r="BS88" s="415">
        <v>2.9530000000000003</v>
      </c>
      <c r="BT88" s="415">
        <v>2.9580000000000002</v>
      </c>
      <c r="BU88" s="416">
        <v>0.15</v>
      </c>
      <c r="BV88" s="416">
        <v>0.1575</v>
      </c>
      <c r="BW88" s="416">
        <v>0.16500000000000001</v>
      </c>
      <c r="BX88" s="416">
        <v>-7.0000000000000007E-2</v>
      </c>
      <c r="BY88" s="416"/>
      <c r="BZ88" s="416">
        <v>7.0000000000000007E-2</v>
      </c>
      <c r="CA88" s="432">
        <v>0</v>
      </c>
      <c r="CB88" s="1618">
        <v>0</v>
      </c>
      <c r="CC88" s="445">
        <v>2.6255000000000002</v>
      </c>
      <c r="CD88" s="449">
        <v>0.17749999999999999</v>
      </c>
    </row>
    <row r="89" spans="1:82">
      <c r="A89" s="325">
        <v>39264</v>
      </c>
      <c r="B89" s="416">
        <v>7.2210140067289E-2</v>
      </c>
      <c r="C89" s="275"/>
      <c r="D89" s="1786">
        <v>38139</v>
      </c>
      <c r="E89" s="1787">
        <v>33.398774763014195</v>
      </c>
      <c r="F89" s="1787">
        <v>35.148774763014195</v>
      </c>
      <c r="G89" s="1787">
        <v>39.648774763014195</v>
      </c>
      <c r="H89" s="1788"/>
      <c r="I89" s="1787">
        <v>18.149999999999999</v>
      </c>
      <c r="J89" s="1787">
        <v>19.399999999999999</v>
      </c>
      <c r="K89" s="1787">
        <v>22.4</v>
      </c>
      <c r="M89" s="1791">
        <v>39022</v>
      </c>
      <c r="N89" s="1792">
        <v>26.568960640176108</v>
      </c>
      <c r="O89" s="1792">
        <v>29.568960640176108</v>
      </c>
      <c r="P89" s="1792">
        <v>34.068960640176108</v>
      </c>
      <c r="Q89" s="29"/>
      <c r="R89" s="1792">
        <v>19.176720480132079</v>
      </c>
      <c r="S89" s="1792">
        <v>22.176720480132079</v>
      </c>
      <c r="T89" s="1792">
        <v>26.676720480132079</v>
      </c>
      <c r="V89" s="500">
        <v>0</v>
      </c>
      <c r="W89" s="500">
        <v>0</v>
      </c>
      <c r="X89" s="500">
        <v>0</v>
      </c>
      <c r="Y89" s="27"/>
      <c r="Z89" s="1792">
        <v>0.14000000000000001</v>
      </c>
      <c r="AA89" s="1792">
        <v>0.15</v>
      </c>
      <c r="AB89" s="1792">
        <v>0.16</v>
      </c>
      <c r="AC89" s="29"/>
      <c r="AD89" s="1792">
        <v>0.09</v>
      </c>
      <c r="AE89" s="1792">
        <v>0.11</v>
      </c>
      <c r="AF89" s="1792">
        <v>0.13</v>
      </c>
      <c r="AG89" s="29"/>
      <c r="AH89" s="1792">
        <v>-0.1</v>
      </c>
      <c r="AI89" s="1792">
        <v>0.6</v>
      </c>
      <c r="AJ89" s="1792">
        <v>0.1</v>
      </c>
      <c r="AK89" s="29"/>
      <c r="AL89" s="1792">
        <v>-0.01</v>
      </c>
      <c r="AM89" s="1792">
        <v>0.16</v>
      </c>
      <c r="AN89" s="1792">
        <v>0.01</v>
      </c>
      <c r="AO89" s="29"/>
      <c r="AP89" s="14">
        <v>27</v>
      </c>
      <c r="AQ89" s="1802">
        <v>0.35</v>
      </c>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325">
        <v>39173</v>
      </c>
      <c r="BR89" s="415">
        <v>2.86</v>
      </c>
      <c r="BS89" s="415">
        <v>2.8650000000000002</v>
      </c>
      <c r="BT89" s="415">
        <v>2.87</v>
      </c>
      <c r="BU89" s="416">
        <v>0.15</v>
      </c>
      <c r="BV89" s="416">
        <v>0.1575</v>
      </c>
      <c r="BW89" s="416">
        <v>0.16500000000000001</v>
      </c>
      <c r="BX89" s="416">
        <v>-7.0000000000000007E-2</v>
      </c>
      <c r="BY89" s="416"/>
      <c r="BZ89" s="416">
        <v>7.0000000000000007E-2</v>
      </c>
      <c r="CA89" s="432">
        <v>0</v>
      </c>
      <c r="CB89" s="1618">
        <v>0</v>
      </c>
      <c r="CC89" s="445">
        <v>2.6285000000000003</v>
      </c>
      <c r="CD89" s="449">
        <v>0.17749999999999999</v>
      </c>
    </row>
    <row r="90" spans="1:82">
      <c r="A90" s="325">
        <v>39295</v>
      </c>
      <c r="B90" s="416">
        <v>7.2228365455191026E-2</v>
      </c>
      <c r="C90" s="275"/>
      <c r="D90" s="1786">
        <v>38169</v>
      </c>
      <c r="E90" s="1787">
        <v>59.708599050712039</v>
      </c>
      <c r="F90" s="1787">
        <v>61.458599050712039</v>
      </c>
      <c r="G90" s="1787">
        <v>65.958599050712039</v>
      </c>
      <c r="H90" s="1788"/>
      <c r="I90" s="1787">
        <v>24.174193548387098</v>
      </c>
      <c r="J90" s="1787">
        <v>25.424193548387098</v>
      </c>
      <c r="K90" s="1787">
        <v>28.424193548387098</v>
      </c>
      <c r="M90" s="1791">
        <v>39052</v>
      </c>
      <c r="N90" s="1792">
        <v>28.568960640176105</v>
      </c>
      <c r="O90" s="1792">
        <v>31.568960640176105</v>
      </c>
      <c r="P90" s="1792">
        <v>36.068960640176101</v>
      </c>
      <c r="Q90" s="29"/>
      <c r="R90" s="1792">
        <v>20.676720480132079</v>
      </c>
      <c r="S90" s="1792">
        <v>23.676720480132079</v>
      </c>
      <c r="T90" s="1792">
        <v>28.176720480132079</v>
      </c>
      <c r="V90" s="500">
        <v>0</v>
      </c>
      <c r="W90" s="500">
        <v>0</v>
      </c>
      <c r="X90" s="500">
        <v>0</v>
      </c>
      <c r="Y90" s="27"/>
      <c r="Z90" s="1792">
        <v>0.14000000000000001</v>
      </c>
      <c r="AA90" s="1792">
        <v>0.15</v>
      </c>
      <c r="AB90" s="1792">
        <v>0.16</v>
      </c>
      <c r="AC90" s="29"/>
      <c r="AD90" s="1792">
        <v>0.09</v>
      </c>
      <c r="AE90" s="1792">
        <v>0.11</v>
      </c>
      <c r="AF90" s="1792">
        <v>0.13</v>
      </c>
      <c r="AG90" s="29"/>
      <c r="AH90" s="1792">
        <v>-0.25</v>
      </c>
      <c r="AI90" s="1792">
        <v>0.6</v>
      </c>
      <c r="AJ90" s="1792">
        <v>0.25</v>
      </c>
      <c r="AK90" s="29"/>
      <c r="AL90" s="1792">
        <v>-0.01</v>
      </c>
      <c r="AM90" s="1792">
        <v>0.16</v>
      </c>
      <c r="AN90" s="1792">
        <v>0.01</v>
      </c>
      <c r="AO90" s="29"/>
      <c r="AP90" s="14">
        <v>27</v>
      </c>
      <c r="AQ90" s="1802">
        <v>0.35</v>
      </c>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325">
        <v>39203</v>
      </c>
      <c r="BR90" s="415">
        <v>2.8780000000000001</v>
      </c>
      <c r="BS90" s="415">
        <v>2.883</v>
      </c>
      <c r="BT90" s="415">
        <v>2.8880000000000003</v>
      </c>
      <c r="BU90" s="416">
        <v>0.15</v>
      </c>
      <c r="BV90" s="416">
        <v>0.1575</v>
      </c>
      <c r="BW90" s="416">
        <v>0.16500000000000001</v>
      </c>
      <c r="BX90" s="416">
        <v>-7.0000000000000007E-2</v>
      </c>
      <c r="BY90" s="416"/>
      <c r="BZ90" s="416">
        <v>7.0000000000000007E-2</v>
      </c>
      <c r="CA90" s="432">
        <v>0</v>
      </c>
      <c r="CB90" s="1618">
        <v>0</v>
      </c>
      <c r="CC90" s="445">
        <v>2.6614999999999998</v>
      </c>
      <c r="CD90" s="449">
        <v>0.17749999999999999</v>
      </c>
    </row>
    <row r="91" spans="1:82">
      <c r="A91" s="325">
        <v>39326</v>
      </c>
      <c r="B91" s="416">
        <v>7.2246590843203007E-2</v>
      </c>
      <c r="C91" s="275"/>
      <c r="D91" s="1786">
        <v>38200</v>
      </c>
      <c r="E91" s="1787">
        <v>80.333599050712039</v>
      </c>
      <c r="F91" s="1787">
        <v>82.083599050712039</v>
      </c>
      <c r="G91" s="1787">
        <v>86.583599050712039</v>
      </c>
      <c r="H91" s="1788"/>
      <c r="I91" s="1787">
        <v>22.174193548387098</v>
      </c>
      <c r="J91" s="1787">
        <v>23.424193548387098</v>
      </c>
      <c r="K91" s="1787">
        <v>26.424193548387098</v>
      </c>
      <c r="M91" s="1791">
        <v>39083</v>
      </c>
      <c r="N91" s="1792">
        <v>27.220622052839104</v>
      </c>
      <c r="O91" s="1792">
        <v>30.220622052839104</v>
      </c>
      <c r="P91" s="1792">
        <v>35.220622052839104</v>
      </c>
      <c r="Q91" s="29"/>
      <c r="R91" s="1792">
        <v>19.665466539629328</v>
      </c>
      <c r="S91" s="1792">
        <v>22.665466539629328</v>
      </c>
      <c r="T91" s="1792">
        <v>27.665466539629328</v>
      </c>
      <c r="V91" s="500">
        <v>0</v>
      </c>
      <c r="W91" s="500">
        <v>0</v>
      </c>
      <c r="X91" s="500">
        <v>0</v>
      </c>
      <c r="Y91" s="27"/>
      <c r="Z91" s="1792">
        <v>0.13500000000000001</v>
      </c>
      <c r="AA91" s="1792">
        <v>0.14499999999999999</v>
      </c>
      <c r="AB91" s="1792">
        <v>0.155</v>
      </c>
      <c r="AC91" s="29"/>
      <c r="AD91" s="1792">
        <v>0.09</v>
      </c>
      <c r="AE91" s="1792">
        <v>0.11</v>
      </c>
      <c r="AF91" s="1792">
        <v>0.13</v>
      </c>
      <c r="AG91" s="29"/>
      <c r="AH91" s="1792">
        <v>-0.25</v>
      </c>
      <c r="AI91" s="1792">
        <v>0.65</v>
      </c>
      <c r="AJ91" s="1792">
        <v>0.25</v>
      </c>
      <c r="AK91" s="29"/>
      <c r="AL91" s="1792">
        <v>-0.01</v>
      </c>
      <c r="AM91" s="1792">
        <v>0.16</v>
      </c>
      <c r="AN91" s="1792">
        <v>0.01</v>
      </c>
      <c r="AO91" s="29"/>
      <c r="AP91" s="14">
        <v>28</v>
      </c>
      <c r="AQ91" s="1802">
        <v>0.35</v>
      </c>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325">
        <v>39234</v>
      </c>
      <c r="BR91" s="415">
        <v>2.8890000000000002</v>
      </c>
      <c r="BS91" s="415">
        <v>2.8940000000000006</v>
      </c>
      <c r="BT91" s="415">
        <v>2.8990000000000005</v>
      </c>
      <c r="BU91" s="416">
        <v>0.15</v>
      </c>
      <c r="BV91" s="416">
        <v>0.1575</v>
      </c>
      <c r="BW91" s="416">
        <v>0.16500000000000001</v>
      </c>
      <c r="BX91" s="416">
        <v>-7.0000000000000007E-2</v>
      </c>
      <c r="BY91" s="416"/>
      <c r="BZ91" s="416">
        <v>7.0000000000000007E-2</v>
      </c>
      <c r="CA91" s="432">
        <v>0</v>
      </c>
      <c r="CB91" s="1618">
        <v>0</v>
      </c>
      <c r="CC91" s="445">
        <v>2.8025000000000002</v>
      </c>
      <c r="CD91" s="449">
        <v>0.17749999999999999</v>
      </c>
    </row>
    <row r="92" spans="1:82">
      <c r="A92" s="325">
        <v>39356</v>
      </c>
      <c r="B92" s="416">
        <v>7.2264228315576995E-2</v>
      </c>
      <c r="C92" s="275"/>
      <c r="D92" s="1786">
        <v>38231</v>
      </c>
      <c r="E92" s="1787">
        <v>64.333599050712039</v>
      </c>
      <c r="F92" s="1787">
        <v>66.083599050712039</v>
      </c>
      <c r="G92" s="1787">
        <v>70.583599050712039</v>
      </c>
      <c r="H92" s="1788"/>
      <c r="I92" s="1787">
        <v>22.587499999999999</v>
      </c>
      <c r="J92" s="1787">
        <v>23.837499999999999</v>
      </c>
      <c r="K92" s="1787">
        <v>26.837499999999999</v>
      </c>
      <c r="M92" s="1791">
        <v>39114</v>
      </c>
      <c r="N92" s="1792">
        <v>26.720622052839104</v>
      </c>
      <c r="O92" s="1792">
        <v>29.720622052839104</v>
      </c>
      <c r="P92" s="1792">
        <v>34.720622052839104</v>
      </c>
      <c r="Q92" s="29"/>
      <c r="R92" s="1792">
        <v>19.290466539629328</v>
      </c>
      <c r="S92" s="1792">
        <v>22.290466539629328</v>
      </c>
      <c r="T92" s="1792">
        <v>27.290466539629328</v>
      </c>
      <c r="V92" s="500">
        <v>0</v>
      </c>
      <c r="W92" s="500">
        <v>0</v>
      </c>
      <c r="X92" s="500">
        <v>0</v>
      </c>
      <c r="Y92" s="27"/>
      <c r="Z92" s="1792">
        <v>0.13500000000000001</v>
      </c>
      <c r="AA92" s="1792">
        <v>0.14499999999999999</v>
      </c>
      <c r="AB92" s="1792">
        <v>0.155</v>
      </c>
      <c r="AC92" s="29"/>
      <c r="AD92" s="1792">
        <v>0.09</v>
      </c>
      <c r="AE92" s="1792">
        <v>0.11</v>
      </c>
      <c r="AF92" s="1792">
        <v>0.13</v>
      </c>
      <c r="AG92" s="29"/>
      <c r="AH92" s="1792">
        <v>-0.25</v>
      </c>
      <c r="AI92" s="1792">
        <v>0.65</v>
      </c>
      <c r="AJ92" s="1792">
        <v>0.25</v>
      </c>
      <c r="AK92" s="29"/>
      <c r="AL92" s="1792">
        <v>-0.01</v>
      </c>
      <c r="AM92" s="1792">
        <v>0.16</v>
      </c>
      <c r="AN92" s="1792">
        <v>0.01</v>
      </c>
      <c r="AO92" s="29"/>
      <c r="AP92" s="14">
        <v>28</v>
      </c>
      <c r="AQ92" s="1802">
        <v>0.35</v>
      </c>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325">
        <v>39264</v>
      </c>
      <c r="BR92" s="415">
        <v>2.8969999999999998</v>
      </c>
      <c r="BS92" s="415">
        <v>2.9020000000000001</v>
      </c>
      <c r="BT92" s="415">
        <v>2.907</v>
      </c>
      <c r="BU92" s="416">
        <v>0.15</v>
      </c>
      <c r="BV92" s="416">
        <v>0.1575</v>
      </c>
      <c r="BW92" s="416">
        <v>0.16500000000000001</v>
      </c>
      <c r="BX92" s="416">
        <v>-7.0000000000000007E-2</v>
      </c>
      <c r="BY92" s="416"/>
      <c r="BZ92" s="416">
        <v>7.0000000000000007E-2</v>
      </c>
      <c r="CA92" s="432">
        <v>0</v>
      </c>
      <c r="CB92" s="1618">
        <v>0</v>
      </c>
      <c r="CC92" s="445">
        <v>2.9474999999999998</v>
      </c>
      <c r="CD92" s="449">
        <v>0.17749999999999999</v>
      </c>
    </row>
    <row r="93" spans="1:82">
      <c r="A93" s="325">
        <v>39387</v>
      </c>
      <c r="B93" s="416">
        <v>7.2282453703805011E-2</v>
      </c>
      <c r="C93" s="275"/>
      <c r="D93" s="1786">
        <v>38261</v>
      </c>
      <c r="E93" s="1787">
        <v>36.385355836352929</v>
      </c>
      <c r="F93" s="1787">
        <v>38.135355836352929</v>
      </c>
      <c r="G93" s="1787">
        <v>42.635355836352929</v>
      </c>
      <c r="H93" s="1788"/>
      <c r="I93" s="1787">
        <v>22.101612903225806</v>
      </c>
      <c r="J93" s="1787">
        <v>23.351612903225806</v>
      </c>
      <c r="K93" s="1787">
        <v>26.351612903225806</v>
      </c>
      <c r="M93" s="1791">
        <v>39142</v>
      </c>
      <c r="N93" s="1792">
        <v>25.970622052839104</v>
      </c>
      <c r="O93" s="1792">
        <v>28.970622052839104</v>
      </c>
      <c r="P93" s="1792">
        <v>33.970622052839104</v>
      </c>
      <c r="Q93" s="29"/>
      <c r="R93" s="1792">
        <v>18.727966539629328</v>
      </c>
      <c r="S93" s="1792">
        <v>21.727966539629328</v>
      </c>
      <c r="T93" s="1792">
        <v>26.727966539629328</v>
      </c>
      <c r="V93" s="500">
        <v>0</v>
      </c>
      <c r="W93" s="500">
        <v>0</v>
      </c>
      <c r="X93" s="500">
        <v>0</v>
      </c>
      <c r="Y93" s="27"/>
      <c r="Z93" s="1792">
        <v>0.13500000000000001</v>
      </c>
      <c r="AA93" s="1792">
        <v>0.14499999999999999</v>
      </c>
      <c r="AB93" s="1792">
        <v>0.155</v>
      </c>
      <c r="AC93" s="29"/>
      <c r="AD93" s="1792">
        <v>0.09</v>
      </c>
      <c r="AE93" s="1792">
        <v>0.11</v>
      </c>
      <c r="AF93" s="1792">
        <v>0.13</v>
      </c>
      <c r="AG93" s="29"/>
      <c r="AH93" s="1792">
        <v>-0.1</v>
      </c>
      <c r="AI93" s="1792">
        <v>0.65</v>
      </c>
      <c r="AJ93" s="1792">
        <v>0.1</v>
      </c>
      <c r="AK93" s="29"/>
      <c r="AL93" s="1792">
        <v>-0.01</v>
      </c>
      <c r="AM93" s="1792">
        <v>0.16</v>
      </c>
      <c r="AN93" s="1792">
        <v>0.01</v>
      </c>
      <c r="AO93" s="29"/>
      <c r="AP93" s="14">
        <v>28</v>
      </c>
      <c r="AQ93" s="1802">
        <v>0.35</v>
      </c>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325">
        <v>39295</v>
      </c>
      <c r="BR93" s="415">
        <v>2.9060000000000001</v>
      </c>
      <c r="BS93" s="415">
        <v>2.9110000000000005</v>
      </c>
      <c r="BT93" s="415">
        <v>2.9160000000000004</v>
      </c>
      <c r="BU93" s="416">
        <v>0.15</v>
      </c>
      <c r="BV93" s="416">
        <v>0.1575</v>
      </c>
      <c r="BW93" s="416">
        <v>0.16500000000000001</v>
      </c>
      <c r="BX93" s="416">
        <v>-7.0000000000000007E-2</v>
      </c>
      <c r="BY93" s="416"/>
      <c r="BZ93" s="416">
        <v>7.0000000000000007E-2</v>
      </c>
      <c r="CA93" s="432">
        <v>0</v>
      </c>
      <c r="CB93" s="1618">
        <v>0</v>
      </c>
      <c r="CC93" s="445">
        <v>3.0240000000000005</v>
      </c>
      <c r="CD93" s="449">
        <v>0.16750000000000001</v>
      </c>
    </row>
    <row r="94" spans="1:82">
      <c r="A94" s="325">
        <v>39417</v>
      </c>
      <c r="B94" s="416">
        <v>7.2300091176387027E-2</v>
      </c>
      <c r="C94" s="275"/>
      <c r="D94" s="1786">
        <v>38292</v>
      </c>
      <c r="E94" s="1787">
        <v>28.635355836352932</v>
      </c>
      <c r="F94" s="1787">
        <v>30.385355836352932</v>
      </c>
      <c r="G94" s="1787">
        <v>34.885355836352929</v>
      </c>
      <c r="H94" s="1788"/>
      <c r="I94" s="1787">
        <v>23.441666666666666</v>
      </c>
      <c r="J94" s="1787">
        <v>24.691666666666666</v>
      </c>
      <c r="K94" s="1787">
        <v>27.691666666666666</v>
      </c>
      <c r="M94" s="1791">
        <v>39173</v>
      </c>
      <c r="N94" s="1792">
        <v>25.804933984425674</v>
      </c>
      <c r="O94" s="1792">
        <v>28.804933984425674</v>
      </c>
      <c r="P94" s="1792">
        <v>33.804933984425674</v>
      </c>
      <c r="Q94" s="29"/>
      <c r="R94" s="1792">
        <v>18.603700488319255</v>
      </c>
      <c r="S94" s="1792">
        <v>21.603700488319255</v>
      </c>
      <c r="T94" s="1792">
        <v>26.603700488319255</v>
      </c>
      <c r="V94" s="500">
        <v>0</v>
      </c>
      <c r="W94" s="500">
        <v>0</v>
      </c>
      <c r="X94" s="500">
        <v>0</v>
      </c>
      <c r="Y94" s="27"/>
      <c r="Z94" s="1792">
        <v>0.13500000000000001</v>
      </c>
      <c r="AA94" s="1792">
        <v>0.14499999999999999</v>
      </c>
      <c r="AB94" s="1792">
        <v>0.155</v>
      </c>
      <c r="AC94" s="29"/>
      <c r="AD94" s="1792">
        <v>0.09</v>
      </c>
      <c r="AE94" s="1792">
        <v>0.11</v>
      </c>
      <c r="AF94" s="1792">
        <v>0.13</v>
      </c>
      <c r="AG94" s="29"/>
      <c r="AH94" s="1792">
        <v>-0.1</v>
      </c>
      <c r="AI94" s="1792">
        <v>0.65</v>
      </c>
      <c r="AJ94" s="1792">
        <v>0.1</v>
      </c>
      <c r="AK94" s="29"/>
      <c r="AL94" s="1792">
        <v>-0.01</v>
      </c>
      <c r="AM94" s="1792">
        <v>0.16</v>
      </c>
      <c r="AN94" s="1792">
        <v>0.01</v>
      </c>
      <c r="AO94" s="29"/>
      <c r="AP94" s="14">
        <v>29</v>
      </c>
      <c r="AQ94" s="1802">
        <v>0.35</v>
      </c>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325">
        <v>39326</v>
      </c>
      <c r="BR94" s="415">
        <v>2.9090000000000003</v>
      </c>
      <c r="BS94" s="415">
        <v>2.9140000000000006</v>
      </c>
      <c r="BT94" s="415">
        <v>2.9190000000000005</v>
      </c>
      <c r="BU94" s="416">
        <v>0.15</v>
      </c>
      <c r="BV94" s="416">
        <v>0.1575</v>
      </c>
      <c r="BW94" s="416">
        <v>0.16500000000000001</v>
      </c>
      <c r="BX94" s="416">
        <v>-7.0000000000000007E-2</v>
      </c>
      <c r="BY94" s="416"/>
      <c r="BZ94" s="416">
        <v>7.0000000000000007E-2</v>
      </c>
      <c r="CA94" s="432">
        <v>0</v>
      </c>
      <c r="CB94" s="1618">
        <v>0</v>
      </c>
      <c r="CC94" s="445">
        <v>2.8990000000000005</v>
      </c>
      <c r="CD94" s="449">
        <v>0.16750000000000001</v>
      </c>
    </row>
    <row r="95" spans="1:82">
      <c r="A95" s="325">
        <v>39448</v>
      </c>
      <c r="B95" s="416">
        <v>7.2318316564831009E-2</v>
      </c>
      <c r="C95" s="275"/>
      <c r="D95" s="1786">
        <v>38322</v>
      </c>
      <c r="E95" s="1787">
        <v>30.635355836352929</v>
      </c>
      <c r="F95" s="1787">
        <v>32.385355836352929</v>
      </c>
      <c r="G95" s="1787">
        <v>36.885355836352929</v>
      </c>
      <c r="H95" s="1788"/>
      <c r="I95" s="1787">
        <v>22.746774193548394</v>
      </c>
      <c r="J95" s="1787">
        <v>23.996774193548394</v>
      </c>
      <c r="K95" s="1787">
        <v>26.996774193548394</v>
      </c>
      <c r="M95" s="1791">
        <v>39203</v>
      </c>
      <c r="N95" s="1792">
        <v>25.804933984425674</v>
      </c>
      <c r="O95" s="1792">
        <v>28.804933984425674</v>
      </c>
      <c r="P95" s="1792">
        <v>33.804933984425674</v>
      </c>
      <c r="Q95" s="29"/>
      <c r="R95" s="1792">
        <v>18.603700488319255</v>
      </c>
      <c r="S95" s="1792">
        <v>21.603700488319255</v>
      </c>
      <c r="T95" s="1792">
        <v>26.603700488319255</v>
      </c>
      <c r="V95" s="500">
        <v>0</v>
      </c>
      <c r="W95" s="500">
        <v>0</v>
      </c>
      <c r="X95" s="500">
        <v>0</v>
      </c>
      <c r="Y95" s="27"/>
      <c r="Z95" s="1792">
        <v>0.13500000000000001</v>
      </c>
      <c r="AA95" s="1792">
        <v>0.14499999999999999</v>
      </c>
      <c r="AB95" s="1792">
        <v>0.155</v>
      </c>
      <c r="AC95" s="29"/>
      <c r="AD95" s="1792">
        <v>0.09</v>
      </c>
      <c r="AE95" s="1792">
        <v>0.11</v>
      </c>
      <c r="AF95" s="1792">
        <v>0.13</v>
      </c>
      <c r="AG95" s="29"/>
      <c r="AH95" s="1792">
        <v>-0.1</v>
      </c>
      <c r="AI95" s="1792">
        <v>0.65</v>
      </c>
      <c r="AJ95" s="1792">
        <v>0.1</v>
      </c>
      <c r="AK95" s="29"/>
      <c r="AL95" s="1792">
        <v>-0.01</v>
      </c>
      <c r="AM95" s="1792">
        <v>0.16</v>
      </c>
      <c r="AN95" s="1792">
        <v>0.01</v>
      </c>
      <c r="AO95" s="29"/>
      <c r="AP95" s="14">
        <v>29</v>
      </c>
      <c r="AQ95" s="1802">
        <v>0.35</v>
      </c>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325">
        <v>39356</v>
      </c>
      <c r="BR95" s="415">
        <v>2.9319999999999999</v>
      </c>
      <c r="BS95" s="415">
        <v>2.9369999999999998</v>
      </c>
      <c r="BT95" s="415">
        <v>2.9419999999999997</v>
      </c>
      <c r="BU95" s="416">
        <v>0.15</v>
      </c>
      <c r="BV95" s="416">
        <v>0.1575</v>
      </c>
      <c r="BW95" s="416">
        <v>0.16500000000000001</v>
      </c>
      <c r="BX95" s="416">
        <v>-7.0000000000000007E-2</v>
      </c>
      <c r="BY95" s="416"/>
      <c r="BZ95" s="416">
        <v>7.0000000000000007E-2</v>
      </c>
      <c r="CA95" s="432">
        <v>0</v>
      </c>
      <c r="CB95" s="1618">
        <v>0</v>
      </c>
      <c r="CC95" s="445">
        <v>2.7919999999999998</v>
      </c>
      <c r="CD95" s="449">
        <v>0.16750000000000001</v>
      </c>
    </row>
    <row r="96" spans="1:82">
      <c r="A96" s="325">
        <v>39479</v>
      </c>
      <c r="B96" s="416">
        <v>7.2336541953385E-2</v>
      </c>
      <c r="C96" s="275"/>
      <c r="D96" s="1786">
        <v>38353</v>
      </c>
      <c r="E96" s="1787">
        <v>28.689976976831371</v>
      </c>
      <c r="F96" s="1787">
        <v>30.689976976831371</v>
      </c>
      <c r="G96" s="1787">
        <v>35.189976976831375</v>
      </c>
      <c r="H96" s="1788"/>
      <c r="I96" s="1787">
        <v>20.488119151052206</v>
      </c>
      <c r="J96" s="1787">
        <v>21.738119151052206</v>
      </c>
      <c r="K96" s="1787">
        <v>24.738119151052206</v>
      </c>
      <c r="M96" s="1791">
        <v>39234</v>
      </c>
      <c r="N96" s="1792">
        <v>31.054933984425674</v>
      </c>
      <c r="O96" s="1792">
        <v>34.054933984425674</v>
      </c>
      <c r="P96" s="1792">
        <v>39.054933984425674</v>
      </c>
      <c r="Q96" s="29"/>
      <c r="R96" s="1792">
        <v>22.541200488319255</v>
      </c>
      <c r="S96" s="1792">
        <v>25.541200488319255</v>
      </c>
      <c r="T96" s="1792">
        <v>30.541200488319255</v>
      </c>
      <c r="V96" s="500">
        <v>0</v>
      </c>
      <c r="W96" s="500">
        <v>0</v>
      </c>
      <c r="X96" s="500">
        <v>0</v>
      </c>
      <c r="Y96" s="27"/>
      <c r="Z96" s="1792">
        <v>0.13500000000000001</v>
      </c>
      <c r="AA96" s="1792">
        <v>0.14499999999999999</v>
      </c>
      <c r="AB96" s="1792">
        <v>0.155</v>
      </c>
      <c r="AC96" s="29"/>
      <c r="AD96" s="1792">
        <v>0.09</v>
      </c>
      <c r="AE96" s="1792">
        <v>0.11</v>
      </c>
      <c r="AF96" s="1792">
        <v>0.13</v>
      </c>
      <c r="AG96" s="29"/>
      <c r="AH96" s="1792">
        <v>-0.35</v>
      </c>
      <c r="AI96" s="1792">
        <v>0.65</v>
      </c>
      <c r="AJ96" s="1792">
        <v>0.2</v>
      </c>
      <c r="AK96" s="29"/>
      <c r="AL96" s="1792">
        <v>-0.01</v>
      </c>
      <c r="AM96" s="1792">
        <v>0.16</v>
      </c>
      <c r="AN96" s="1792">
        <v>0.01</v>
      </c>
      <c r="AO96" s="29"/>
      <c r="AP96" s="14">
        <v>29</v>
      </c>
      <c r="AQ96" s="1802">
        <v>0.35</v>
      </c>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325">
        <v>39387</v>
      </c>
      <c r="BR96" s="415">
        <v>3.0449999999999999</v>
      </c>
      <c r="BS96" s="415">
        <v>3.05</v>
      </c>
      <c r="BT96" s="415">
        <v>3.0550000000000002</v>
      </c>
      <c r="BU96" s="416">
        <v>0.15</v>
      </c>
      <c r="BV96" s="416">
        <v>0.1575</v>
      </c>
      <c r="BW96" s="416">
        <v>0.16500000000000001</v>
      </c>
      <c r="BX96" s="416">
        <v>-7.0000000000000007E-2</v>
      </c>
      <c r="BY96" s="416"/>
      <c r="BZ96" s="416">
        <v>7.0000000000000007E-2</v>
      </c>
      <c r="CA96" s="432">
        <v>0</v>
      </c>
      <c r="CB96" s="1618">
        <v>0</v>
      </c>
      <c r="CC96" s="445">
        <v>2.6889999999999996</v>
      </c>
      <c r="CD96" s="449">
        <v>0.16750000000000001</v>
      </c>
    </row>
    <row r="97" spans="1:82">
      <c r="A97" s="325">
        <v>39508</v>
      </c>
      <c r="B97" s="416">
        <v>7.2353591510517012E-2</v>
      </c>
      <c r="C97" s="275"/>
      <c r="D97" s="1786">
        <v>38384</v>
      </c>
      <c r="E97" s="1787">
        <v>28.189976976831371</v>
      </c>
      <c r="F97" s="1787">
        <v>30.189976976831371</v>
      </c>
      <c r="G97" s="1787">
        <v>34.689976976831375</v>
      </c>
      <c r="H97" s="1788"/>
      <c r="I97" s="1787">
        <v>21.457142857142856</v>
      </c>
      <c r="J97" s="1787">
        <v>22.707142857142856</v>
      </c>
      <c r="K97" s="1787">
        <v>25.707142857142856</v>
      </c>
      <c r="M97" s="1791">
        <v>39264</v>
      </c>
      <c r="N97" s="1792">
        <v>57.570045296218495</v>
      </c>
      <c r="O97" s="1792">
        <v>60.570045296218495</v>
      </c>
      <c r="P97" s="1792">
        <v>65.570045296218495</v>
      </c>
      <c r="Q97" s="29"/>
      <c r="R97" s="1792">
        <v>42.427533972163872</v>
      </c>
      <c r="S97" s="1792">
        <v>45.427533972163872</v>
      </c>
      <c r="T97" s="1792">
        <v>50.427533972163872</v>
      </c>
      <c r="V97" s="500">
        <v>0</v>
      </c>
      <c r="W97" s="500">
        <v>0</v>
      </c>
      <c r="X97" s="500">
        <v>0</v>
      </c>
      <c r="Y97" s="27"/>
      <c r="Z97" s="1792">
        <v>0.13500000000000001</v>
      </c>
      <c r="AA97" s="1792">
        <v>0.14499999999999999</v>
      </c>
      <c r="AB97" s="1792">
        <v>0.155</v>
      </c>
      <c r="AC97" s="29"/>
      <c r="AD97" s="1792">
        <v>0.09</v>
      </c>
      <c r="AE97" s="1792">
        <v>0.11</v>
      </c>
      <c r="AF97" s="1792">
        <v>0.13</v>
      </c>
      <c r="AG97" s="29"/>
      <c r="AH97" s="1792">
        <v>-0.35</v>
      </c>
      <c r="AI97" s="1792">
        <v>3</v>
      </c>
      <c r="AJ97" s="1792">
        <v>0.35</v>
      </c>
      <c r="AK97" s="29"/>
      <c r="AL97" s="1792">
        <v>-0.01</v>
      </c>
      <c r="AM97" s="1792">
        <v>0.16</v>
      </c>
      <c r="AN97" s="1792">
        <v>0.01</v>
      </c>
      <c r="AO97" s="29"/>
      <c r="AP97" s="14">
        <v>30</v>
      </c>
      <c r="AQ97" s="1802">
        <v>0.35</v>
      </c>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325">
        <v>39417</v>
      </c>
      <c r="BR97" s="415">
        <v>3.1560000000000001</v>
      </c>
      <c r="BS97" s="415">
        <v>3.1610000000000005</v>
      </c>
      <c r="BT97" s="415">
        <v>3.1660000000000004</v>
      </c>
      <c r="BU97" s="416">
        <v>0.15</v>
      </c>
      <c r="BV97" s="416">
        <v>0.1575</v>
      </c>
      <c r="BW97" s="416">
        <v>0.16500000000000001</v>
      </c>
      <c r="BX97" s="416">
        <v>-7.0000000000000007E-2</v>
      </c>
      <c r="BY97" s="416"/>
      <c r="BZ97" s="416">
        <v>7.0000000000000007E-2</v>
      </c>
      <c r="CA97" s="432">
        <v>0</v>
      </c>
      <c r="CB97" s="1618">
        <v>0</v>
      </c>
      <c r="CC97" s="445">
        <v>2.665</v>
      </c>
      <c r="CD97" s="449">
        <v>0.16750000000000001</v>
      </c>
    </row>
    <row r="98" spans="1:82">
      <c r="A98" s="325">
        <v>39539</v>
      </c>
      <c r="B98" s="416">
        <v>7.2371816899283015E-2</v>
      </c>
      <c r="C98" s="275"/>
      <c r="D98" s="1786">
        <v>38412</v>
      </c>
      <c r="E98" s="1787">
        <v>27.939976976831371</v>
      </c>
      <c r="F98" s="1787">
        <v>29.939976976831371</v>
      </c>
      <c r="G98" s="1787">
        <v>34.439976976831375</v>
      </c>
      <c r="H98" s="1788"/>
      <c r="I98" s="1787">
        <v>21.737096774193549</v>
      </c>
      <c r="J98" s="1787">
        <v>22.987096774193549</v>
      </c>
      <c r="K98" s="1787">
        <v>25.987096774193549</v>
      </c>
      <c r="M98" s="1791">
        <v>39295</v>
      </c>
      <c r="N98" s="1792">
        <v>78.195045296218495</v>
      </c>
      <c r="O98" s="1792">
        <v>81.195045296218495</v>
      </c>
      <c r="P98" s="1792">
        <v>86.195045296218495</v>
      </c>
      <c r="Q98" s="29"/>
      <c r="R98" s="1792">
        <v>57.896283972163872</v>
      </c>
      <c r="S98" s="1792">
        <v>60.896283972163872</v>
      </c>
      <c r="T98" s="1792">
        <v>65.896283972163872</v>
      </c>
      <c r="V98" s="500">
        <v>0</v>
      </c>
      <c r="W98" s="500">
        <v>0</v>
      </c>
      <c r="X98" s="500">
        <v>0</v>
      </c>
      <c r="Y98" s="27"/>
      <c r="Z98" s="1792">
        <v>0.13500000000000001</v>
      </c>
      <c r="AA98" s="1792">
        <v>0.14499999999999999</v>
      </c>
      <c r="AB98" s="1792">
        <v>0.155</v>
      </c>
      <c r="AC98" s="29"/>
      <c r="AD98" s="1792">
        <v>0.09</v>
      </c>
      <c r="AE98" s="1792">
        <v>0.11</v>
      </c>
      <c r="AF98" s="1792">
        <v>0.13</v>
      </c>
      <c r="AG98" s="29"/>
      <c r="AH98" s="1792">
        <v>-0.35</v>
      </c>
      <c r="AI98" s="1792">
        <v>3</v>
      </c>
      <c r="AJ98" s="1792">
        <v>0.35</v>
      </c>
      <c r="AK98" s="29"/>
      <c r="AL98" s="1792">
        <v>-0.01</v>
      </c>
      <c r="AM98" s="1792">
        <v>0.16</v>
      </c>
      <c r="AN98" s="1792">
        <v>0.01</v>
      </c>
      <c r="AO98" s="29"/>
      <c r="AP98" s="14">
        <v>30</v>
      </c>
      <c r="AQ98" s="1802">
        <v>0.35</v>
      </c>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325">
        <v>39448</v>
      </c>
      <c r="BR98" s="415">
        <v>3.2050000000000001</v>
      </c>
      <c r="BS98" s="415">
        <v>3.21</v>
      </c>
      <c r="BT98" s="415">
        <v>3.2149999999999999</v>
      </c>
      <c r="BU98" s="416">
        <v>0.15</v>
      </c>
      <c r="BV98" s="416">
        <v>0.1575</v>
      </c>
      <c r="BW98" s="416">
        <v>0.16500000000000001</v>
      </c>
      <c r="BX98" s="416">
        <v>-7.0000000000000007E-2</v>
      </c>
      <c r="BY98" s="416"/>
      <c r="BZ98" s="416">
        <v>7.0000000000000007E-2</v>
      </c>
      <c r="CA98" s="432">
        <v>0</v>
      </c>
      <c r="CB98" s="1618">
        <v>0</v>
      </c>
      <c r="CC98" s="445">
        <v>2.6720000000000002</v>
      </c>
      <c r="CD98" s="449">
        <v>0.16750000000000001</v>
      </c>
    </row>
    <row r="99" spans="1:82">
      <c r="A99" s="325">
        <v>39569</v>
      </c>
      <c r="B99" s="416">
        <v>7.2389454372387016E-2</v>
      </c>
      <c r="C99" s="275"/>
      <c r="D99" s="1786">
        <v>38443</v>
      </c>
      <c r="E99" s="1787">
        <v>28.020529117516261</v>
      </c>
      <c r="F99" s="1787">
        <v>30.020529117516261</v>
      </c>
      <c r="G99" s="1787">
        <v>34.520529117516261</v>
      </c>
      <c r="H99" s="1788"/>
      <c r="I99" s="1787">
        <v>19.537500000000001</v>
      </c>
      <c r="J99" s="1787">
        <v>20.787500000000001</v>
      </c>
      <c r="K99" s="1787">
        <v>23.787500000000001</v>
      </c>
      <c r="M99" s="1791">
        <v>39326</v>
      </c>
      <c r="N99" s="1792">
        <v>62.195045296218495</v>
      </c>
      <c r="O99" s="1792">
        <v>65.195045296218495</v>
      </c>
      <c r="P99" s="1792">
        <v>70.195045296218495</v>
      </c>
      <c r="Q99" s="29"/>
      <c r="R99" s="1792">
        <v>45.896283972163872</v>
      </c>
      <c r="S99" s="1792">
        <v>48.896283972163872</v>
      </c>
      <c r="T99" s="1792">
        <v>53.896283972163872</v>
      </c>
      <c r="V99" s="500">
        <v>0</v>
      </c>
      <c r="W99" s="500">
        <v>0</v>
      </c>
      <c r="X99" s="500">
        <v>0</v>
      </c>
      <c r="Y99" s="27"/>
      <c r="Z99" s="1792">
        <v>0.13500000000000001</v>
      </c>
      <c r="AA99" s="1792">
        <v>0.14499999999999999</v>
      </c>
      <c r="AB99" s="1792">
        <v>0.155</v>
      </c>
      <c r="AC99" s="29"/>
      <c r="AD99" s="1792">
        <v>0.09</v>
      </c>
      <c r="AE99" s="1792">
        <v>0.11</v>
      </c>
      <c r="AF99" s="1792">
        <v>0.13</v>
      </c>
      <c r="AG99" s="29"/>
      <c r="AH99" s="1792">
        <v>-0.35</v>
      </c>
      <c r="AI99" s="1792">
        <v>3</v>
      </c>
      <c r="AJ99" s="1792">
        <v>0.2</v>
      </c>
      <c r="AK99" s="29"/>
      <c r="AL99" s="1792">
        <v>-0.01</v>
      </c>
      <c r="AM99" s="1792">
        <v>0.16</v>
      </c>
      <c r="AN99" s="1792">
        <v>0.01</v>
      </c>
      <c r="AO99" s="29"/>
      <c r="AP99" s="14">
        <v>30</v>
      </c>
      <c r="AQ99" s="1802">
        <v>0.35</v>
      </c>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325">
        <v>39479</v>
      </c>
      <c r="BR99" s="415">
        <v>3.1120000000000001</v>
      </c>
      <c r="BS99" s="415">
        <v>3.117</v>
      </c>
      <c r="BT99" s="415">
        <v>3.1219999999999999</v>
      </c>
      <c r="BU99" s="416">
        <v>0.15</v>
      </c>
      <c r="BV99" s="416">
        <v>0.1575</v>
      </c>
      <c r="BW99" s="416">
        <v>0.16500000000000001</v>
      </c>
      <c r="BX99" s="416">
        <v>-7.0000000000000007E-2</v>
      </c>
      <c r="BY99" s="416"/>
      <c r="BZ99" s="416">
        <v>7.0000000000000007E-2</v>
      </c>
      <c r="CA99" s="432">
        <v>0</v>
      </c>
      <c r="CB99" s="1618">
        <v>0</v>
      </c>
      <c r="CC99" s="445">
        <v>2.6780000000000004</v>
      </c>
      <c r="CD99" s="449">
        <v>0.16750000000000001</v>
      </c>
    </row>
    <row r="100" spans="1:82">
      <c r="A100" s="325">
        <v>39600</v>
      </c>
      <c r="B100" s="416">
        <v>7.2407679761368013E-2</v>
      </c>
      <c r="C100" s="275"/>
      <c r="D100" s="1786">
        <v>38473</v>
      </c>
      <c r="E100" s="1787">
        <v>27.270529117516261</v>
      </c>
      <c r="F100" s="1787">
        <v>29.270529117516261</v>
      </c>
      <c r="G100" s="1787">
        <v>33.770529117516261</v>
      </c>
      <c r="H100" s="1788"/>
      <c r="I100" s="1787">
        <v>19.595967741935482</v>
      </c>
      <c r="J100" s="1787">
        <v>20.845967741935482</v>
      </c>
      <c r="K100" s="1787">
        <v>23.845967741935482</v>
      </c>
      <c r="M100" s="1791">
        <v>39356</v>
      </c>
      <c r="N100" s="1792">
        <v>34.139834332229739</v>
      </c>
      <c r="O100" s="1792">
        <v>37.139834332229739</v>
      </c>
      <c r="P100" s="1792">
        <v>42.139834332229739</v>
      </c>
      <c r="Q100" s="29"/>
      <c r="R100" s="1792">
        <v>24.854875749172312</v>
      </c>
      <c r="S100" s="1792">
        <v>27.854875749172312</v>
      </c>
      <c r="T100" s="1792">
        <v>32.854875749172308</v>
      </c>
      <c r="V100" s="500">
        <v>0</v>
      </c>
      <c r="W100" s="500">
        <v>0</v>
      </c>
      <c r="X100" s="500">
        <v>0</v>
      </c>
      <c r="Y100" s="27"/>
      <c r="Z100" s="1792">
        <v>0.13500000000000001</v>
      </c>
      <c r="AA100" s="1792">
        <v>0.14499999999999999</v>
      </c>
      <c r="AB100" s="1792">
        <v>0.155</v>
      </c>
      <c r="AC100" s="29"/>
      <c r="AD100" s="1792">
        <v>0.09</v>
      </c>
      <c r="AE100" s="1792">
        <v>0.11</v>
      </c>
      <c r="AF100" s="1792">
        <v>0.13</v>
      </c>
      <c r="AG100" s="29"/>
      <c r="AH100" s="1792">
        <v>-0.1</v>
      </c>
      <c r="AI100" s="1792">
        <v>0.6</v>
      </c>
      <c r="AJ100" s="1792">
        <v>0.1</v>
      </c>
      <c r="AK100" s="29"/>
      <c r="AL100" s="1792">
        <v>-0.01</v>
      </c>
      <c r="AM100" s="1792">
        <v>0.16</v>
      </c>
      <c r="AN100" s="1792">
        <v>0.01</v>
      </c>
      <c r="AO100" s="29"/>
      <c r="AP100" s="14">
        <v>31</v>
      </c>
      <c r="AQ100" s="1802">
        <v>0.35</v>
      </c>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325">
        <v>39508</v>
      </c>
      <c r="BR100" s="415">
        <v>3.012</v>
      </c>
      <c r="BS100" s="415">
        <v>3.0169999999999999</v>
      </c>
      <c r="BT100" s="415">
        <v>3.0219999999999998</v>
      </c>
      <c r="BU100" s="416">
        <v>0.15</v>
      </c>
      <c r="BV100" s="416">
        <v>0.1575</v>
      </c>
      <c r="BW100" s="416">
        <v>0.16500000000000001</v>
      </c>
      <c r="BX100" s="416">
        <v>-7.0000000000000007E-2</v>
      </c>
      <c r="BY100" s="416"/>
      <c r="BZ100" s="416">
        <v>7.0000000000000007E-2</v>
      </c>
      <c r="CA100" s="432">
        <v>0</v>
      </c>
      <c r="CB100" s="1618">
        <v>0</v>
      </c>
      <c r="CC100" s="445">
        <v>2.6830000000000003</v>
      </c>
      <c r="CD100" s="449">
        <v>0.16750000000000001</v>
      </c>
    </row>
    <row r="101" spans="1:82">
      <c r="A101" s="325">
        <v>39630</v>
      </c>
      <c r="B101" s="416">
        <v>7.2425317234681014E-2</v>
      </c>
      <c r="C101" s="275"/>
      <c r="D101" s="1786">
        <v>38504</v>
      </c>
      <c r="E101" s="1787">
        <v>32.520529117516261</v>
      </c>
      <c r="F101" s="1787">
        <v>34.520529117516261</v>
      </c>
      <c r="G101" s="1787">
        <v>39.020529117516261</v>
      </c>
      <c r="H101" s="1788"/>
      <c r="I101" s="1787">
        <v>18.850000000000001</v>
      </c>
      <c r="J101" s="1787">
        <v>20.100000000000001</v>
      </c>
      <c r="K101" s="1787">
        <v>23.1</v>
      </c>
      <c r="M101" s="1791">
        <v>39387</v>
      </c>
      <c r="N101" s="1792">
        <v>26.38983433222975</v>
      </c>
      <c r="O101" s="1792">
        <v>29.38983433222975</v>
      </c>
      <c r="P101" s="1792">
        <v>34.389834332229753</v>
      </c>
      <c r="Q101" s="29"/>
      <c r="R101" s="1792">
        <v>19.042375749172312</v>
      </c>
      <c r="S101" s="1792">
        <v>22.042375749172312</v>
      </c>
      <c r="T101" s="1792">
        <v>27.042375749172312</v>
      </c>
      <c r="V101" s="500">
        <v>0</v>
      </c>
      <c r="W101" s="500">
        <v>0</v>
      </c>
      <c r="X101" s="500">
        <v>0</v>
      </c>
      <c r="Y101" s="27"/>
      <c r="Z101" s="1792">
        <v>0.13500000000000001</v>
      </c>
      <c r="AA101" s="1792">
        <v>0.14499999999999999</v>
      </c>
      <c r="AB101" s="1792">
        <v>0.155</v>
      </c>
      <c r="AC101" s="29"/>
      <c r="AD101" s="1792">
        <v>0.09</v>
      </c>
      <c r="AE101" s="1792">
        <v>0.11</v>
      </c>
      <c r="AF101" s="1792">
        <v>0.13</v>
      </c>
      <c r="AG101" s="29"/>
      <c r="AH101" s="1792">
        <v>-0.1</v>
      </c>
      <c r="AI101" s="1792">
        <v>0.6</v>
      </c>
      <c r="AJ101" s="1792">
        <v>0.1</v>
      </c>
      <c r="AK101" s="29"/>
      <c r="AL101" s="1792">
        <v>-0.01</v>
      </c>
      <c r="AM101" s="1792">
        <v>0.16</v>
      </c>
      <c r="AN101" s="1792">
        <v>0.01</v>
      </c>
      <c r="AO101" s="29"/>
      <c r="AP101" s="14">
        <v>31</v>
      </c>
      <c r="AQ101" s="1802">
        <v>0.35</v>
      </c>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325">
        <v>39539</v>
      </c>
      <c r="BR101" s="415">
        <v>2.927</v>
      </c>
      <c r="BS101" s="415">
        <v>2.9319999999999999</v>
      </c>
      <c r="BT101" s="415">
        <v>2.9369999999999998</v>
      </c>
      <c r="BU101" s="416">
        <v>0.15</v>
      </c>
      <c r="BV101" s="416">
        <v>0.1575</v>
      </c>
      <c r="BW101" s="416">
        <v>0.16500000000000001</v>
      </c>
      <c r="BX101" s="416">
        <v>-7.0000000000000007E-2</v>
      </c>
      <c r="BY101" s="416"/>
      <c r="BZ101" s="416">
        <v>7.0000000000000007E-2</v>
      </c>
      <c r="CA101" s="432">
        <v>0</v>
      </c>
      <c r="CB101" s="1618">
        <v>0</v>
      </c>
      <c r="CC101" s="445">
        <v>2.6860000000000004</v>
      </c>
      <c r="CD101" s="449">
        <v>0.16750000000000001</v>
      </c>
    </row>
    <row r="102" spans="1:82">
      <c r="A102" s="325">
        <v>39661</v>
      </c>
      <c r="B102" s="416">
        <v>7.2443542623878018E-2</v>
      </c>
      <c r="C102" s="275"/>
      <c r="D102" s="1786">
        <v>38534</v>
      </c>
      <c r="E102" s="1787">
        <v>59.571620710573768</v>
      </c>
      <c r="F102" s="1787">
        <v>61.571620710573768</v>
      </c>
      <c r="G102" s="1787">
        <v>66.071620710573768</v>
      </c>
      <c r="H102" s="1788"/>
      <c r="I102" s="1787">
        <v>24.874193548387098</v>
      </c>
      <c r="J102" s="1787">
        <v>26.124193548387098</v>
      </c>
      <c r="K102" s="1787">
        <v>29.124193548387098</v>
      </c>
      <c r="M102" s="1791">
        <v>39417</v>
      </c>
      <c r="N102" s="1792">
        <v>28.389834332229746</v>
      </c>
      <c r="O102" s="1792">
        <v>31.389834332229746</v>
      </c>
      <c r="P102" s="1792">
        <v>36.389834332229746</v>
      </c>
      <c r="Q102" s="29"/>
      <c r="R102" s="1792">
        <v>20.542375749172312</v>
      </c>
      <c r="S102" s="1792">
        <v>23.542375749172312</v>
      </c>
      <c r="T102" s="1792">
        <v>28.542375749172312</v>
      </c>
      <c r="V102" s="500">
        <v>0</v>
      </c>
      <c r="W102" s="500">
        <v>0</v>
      </c>
      <c r="X102" s="500">
        <v>0</v>
      </c>
      <c r="Y102" s="27"/>
      <c r="Z102" s="1792">
        <v>0.13500000000000001</v>
      </c>
      <c r="AA102" s="1792">
        <v>0.14499999999999999</v>
      </c>
      <c r="AB102" s="1792">
        <v>0.155</v>
      </c>
      <c r="AC102" s="29"/>
      <c r="AD102" s="1792">
        <v>0.09</v>
      </c>
      <c r="AE102" s="1792">
        <v>0.11</v>
      </c>
      <c r="AF102" s="1792">
        <v>0.13</v>
      </c>
      <c r="AG102" s="29"/>
      <c r="AH102" s="1792">
        <v>-0.25</v>
      </c>
      <c r="AI102" s="1792">
        <v>0.6</v>
      </c>
      <c r="AJ102" s="1792">
        <v>0.25</v>
      </c>
      <c r="AK102" s="29"/>
      <c r="AL102" s="1792">
        <v>-0.01</v>
      </c>
      <c r="AM102" s="1792">
        <v>0.16</v>
      </c>
      <c r="AN102" s="1792">
        <v>0.01</v>
      </c>
      <c r="AO102" s="29"/>
      <c r="AP102" s="14">
        <v>31</v>
      </c>
      <c r="AQ102" s="1802">
        <v>0.35</v>
      </c>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325">
        <v>39569</v>
      </c>
      <c r="BR102" s="415">
        <v>2.9460000000000002</v>
      </c>
      <c r="BS102" s="415">
        <v>2.9510000000000001</v>
      </c>
      <c r="BT102" s="415">
        <v>2.9560000000000004</v>
      </c>
      <c r="BU102" s="416">
        <v>0.15</v>
      </c>
      <c r="BV102" s="416">
        <v>0.1575</v>
      </c>
      <c r="BW102" s="416">
        <v>0.16500000000000001</v>
      </c>
      <c r="BX102" s="416">
        <v>-7.0000000000000007E-2</v>
      </c>
      <c r="BY102" s="416"/>
      <c r="BZ102" s="416">
        <v>7.0000000000000007E-2</v>
      </c>
      <c r="CA102" s="432">
        <v>0</v>
      </c>
      <c r="CB102" s="1618">
        <v>0</v>
      </c>
      <c r="CC102" s="445">
        <v>2.7189999999999999</v>
      </c>
      <c r="CD102" s="449">
        <v>0.16750000000000001</v>
      </c>
    </row>
    <row r="103" spans="1:82">
      <c r="A103" s="325">
        <v>39692</v>
      </c>
      <c r="B103" s="416">
        <v>7.2461768013185004E-2</v>
      </c>
      <c r="C103" s="275"/>
      <c r="D103" s="1786">
        <v>38565</v>
      </c>
      <c r="E103" s="1787">
        <v>80.196620710573768</v>
      </c>
      <c r="F103" s="1787">
        <v>82.196620710573768</v>
      </c>
      <c r="G103" s="1787">
        <v>86.696620710573768</v>
      </c>
      <c r="H103" s="1788"/>
      <c r="I103" s="1787">
        <v>22.874193548387098</v>
      </c>
      <c r="J103" s="1787">
        <v>24.124193548387098</v>
      </c>
      <c r="K103" s="1787">
        <v>27.124193548387098</v>
      </c>
      <c r="M103" s="1791">
        <v>39448</v>
      </c>
      <c r="N103" s="1792">
        <v>26.814170411508343</v>
      </c>
      <c r="O103" s="1792">
        <v>30.064170411508343</v>
      </c>
      <c r="P103" s="1792">
        <v>35.064170411508343</v>
      </c>
      <c r="Q103" s="29"/>
      <c r="R103" s="1792">
        <v>19.298127808631257</v>
      </c>
      <c r="S103" s="1792">
        <v>22.548127808631257</v>
      </c>
      <c r="T103" s="1792">
        <v>27.548127808631257</v>
      </c>
      <c r="V103" s="500">
        <v>0</v>
      </c>
      <c r="W103" s="500">
        <v>0</v>
      </c>
      <c r="X103" s="500">
        <v>0</v>
      </c>
      <c r="Y103" s="27"/>
      <c r="Z103" s="1792">
        <v>0.13</v>
      </c>
      <c r="AA103" s="1792">
        <v>0.14000000000000001</v>
      </c>
      <c r="AB103" s="1792">
        <v>0.15</v>
      </c>
      <c r="AC103" s="29"/>
      <c r="AD103" s="1792">
        <v>0.09</v>
      </c>
      <c r="AE103" s="1792">
        <v>0.11</v>
      </c>
      <c r="AF103" s="1792">
        <v>0.13</v>
      </c>
      <c r="AG103" s="29"/>
      <c r="AH103" s="1792">
        <v>-0.25</v>
      </c>
      <c r="AI103" s="1792">
        <v>0.65</v>
      </c>
      <c r="AJ103" s="1792">
        <v>0.25</v>
      </c>
      <c r="AK103" s="29"/>
      <c r="AL103" s="1792">
        <v>-0.01</v>
      </c>
      <c r="AM103" s="1792">
        <v>0.16</v>
      </c>
      <c r="AN103" s="1792">
        <v>0.01</v>
      </c>
      <c r="AO103" s="29"/>
      <c r="AP103" s="14">
        <v>32</v>
      </c>
      <c r="AQ103" s="1802">
        <v>0.35</v>
      </c>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325">
        <v>39600</v>
      </c>
      <c r="BR103" s="415">
        <v>2.9580000000000002</v>
      </c>
      <c r="BS103" s="415">
        <v>2.9630000000000001</v>
      </c>
      <c r="BT103" s="415">
        <v>2.968</v>
      </c>
      <c r="BU103" s="416">
        <v>0.15</v>
      </c>
      <c r="BV103" s="416">
        <v>0.1575</v>
      </c>
      <c r="BW103" s="416">
        <v>0.16500000000000001</v>
      </c>
      <c r="BX103" s="416">
        <v>-7.0000000000000007E-2</v>
      </c>
      <c r="BY103" s="416"/>
      <c r="BZ103" s="416">
        <v>7.0000000000000007E-2</v>
      </c>
      <c r="CA103" s="432">
        <v>0</v>
      </c>
      <c r="CB103" s="1618">
        <v>0</v>
      </c>
      <c r="CC103" s="445">
        <v>2.86</v>
      </c>
      <c r="CD103" s="449">
        <v>0.16750000000000001</v>
      </c>
    </row>
    <row r="104" spans="1:82">
      <c r="A104" s="325">
        <v>39722</v>
      </c>
      <c r="B104" s="416">
        <v>7.2479405486813017E-2</v>
      </c>
      <c r="C104" s="275"/>
      <c r="D104" s="1786">
        <v>38596</v>
      </c>
      <c r="E104" s="1787">
        <v>64.196620710573768</v>
      </c>
      <c r="F104" s="1787">
        <v>66.196620710573768</v>
      </c>
      <c r="G104" s="1787">
        <v>70.696620710573768</v>
      </c>
      <c r="H104" s="1788"/>
      <c r="I104" s="1787">
        <v>23.287500000000001</v>
      </c>
      <c r="J104" s="1787">
        <v>24.537500000000001</v>
      </c>
      <c r="K104" s="1787">
        <v>27.537500000000001</v>
      </c>
      <c r="M104" s="1791">
        <v>39479</v>
      </c>
      <c r="N104" s="1792">
        <v>26.314170411508343</v>
      </c>
      <c r="O104" s="1792">
        <v>29.564170411508343</v>
      </c>
      <c r="P104" s="1792">
        <v>34.564170411508343</v>
      </c>
      <c r="Q104" s="29"/>
      <c r="R104" s="1792">
        <v>18.923127808631257</v>
      </c>
      <c r="S104" s="1792">
        <v>22.173127808631257</v>
      </c>
      <c r="T104" s="1792">
        <v>27.173127808631257</v>
      </c>
      <c r="V104" s="500">
        <v>0</v>
      </c>
      <c r="W104" s="500">
        <v>0</v>
      </c>
      <c r="X104" s="500">
        <v>0</v>
      </c>
      <c r="Y104" s="27"/>
      <c r="Z104" s="1792">
        <v>0.13</v>
      </c>
      <c r="AA104" s="1792">
        <v>0.14000000000000001</v>
      </c>
      <c r="AB104" s="1792">
        <v>0.15</v>
      </c>
      <c r="AC104" s="29"/>
      <c r="AD104" s="1792">
        <v>0.09</v>
      </c>
      <c r="AE104" s="1792">
        <v>0.11</v>
      </c>
      <c r="AF104" s="1792">
        <v>0.13</v>
      </c>
      <c r="AG104" s="29"/>
      <c r="AH104" s="1792">
        <v>-0.25</v>
      </c>
      <c r="AI104" s="1792">
        <v>0.65</v>
      </c>
      <c r="AJ104" s="1792">
        <v>0.25</v>
      </c>
      <c r="AK104" s="29"/>
      <c r="AL104" s="1792">
        <v>-0.01</v>
      </c>
      <c r="AM104" s="1792">
        <v>0.16</v>
      </c>
      <c r="AN104" s="1792">
        <v>0.01</v>
      </c>
      <c r="AO104" s="29"/>
      <c r="AP104" s="14">
        <v>32</v>
      </c>
      <c r="AQ104" s="1802">
        <v>0.35</v>
      </c>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325">
        <v>39630</v>
      </c>
      <c r="BR104" s="415">
        <v>2.9660000000000002</v>
      </c>
      <c r="BS104" s="415">
        <v>2.9710000000000001</v>
      </c>
      <c r="BT104" s="415">
        <v>2.9760000000000004</v>
      </c>
      <c r="BU104" s="416">
        <v>0.15</v>
      </c>
      <c r="BV104" s="416">
        <v>0.1575</v>
      </c>
      <c r="BW104" s="416">
        <v>0.16500000000000001</v>
      </c>
      <c r="BX104" s="416">
        <v>-7.0000000000000007E-2</v>
      </c>
      <c r="BY104" s="416"/>
      <c r="BZ104" s="416">
        <v>7.0000000000000007E-2</v>
      </c>
      <c r="CA104" s="432">
        <v>0</v>
      </c>
      <c r="CB104" s="1618">
        <v>0</v>
      </c>
      <c r="CC104" s="445">
        <v>3.0049999999999999</v>
      </c>
      <c r="CD104" s="449">
        <v>0.16750000000000001</v>
      </c>
    </row>
    <row r="105" spans="1:82">
      <c r="A105" s="325">
        <v>39753</v>
      </c>
      <c r="B105" s="416">
        <v>7.2497630876335026E-2</v>
      </c>
      <c r="C105" s="275"/>
      <c r="D105" s="1786">
        <v>38626</v>
      </c>
      <c r="E105" s="1787">
        <v>35.560176235680309</v>
      </c>
      <c r="F105" s="1787">
        <v>37.560176235680309</v>
      </c>
      <c r="G105" s="1787">
        <v>42.060176235680309</v>
      </c>
      <c r="H105" s="1788"/>
      <c r="I105" s="1787">
        <v>22.801612903225806</v>
      </c>
      <c r="J105" s="1787">
        <v>24.051612903225806</v>
      </c>
      <c r="K105" s="1787">
        <v>27.051612903225806</v>
      </c>
      <c r="M105" s="1791">
        <v>39508</v>
      </c>
      <c r="N105" s="1792">
        <v>25.564170411508343</v>
      </c>
      <c r="O105" s="1792">
        <v>28.814170411508343</v>
      </c>
      <c r="P105" s="1792">
        <v>33.814170411508343</v>
      </c>
      <c r="Q105" s="29"/>
      <c r="R105" s="1792">
        <v>18.360627808631257</v>
      </c>
      <c r="S105" s="1792">
        <v>21.610627808631257</v>
      </c>
      <c r="T105" s="1792">
        <v>26.610627808631257</v>
      </c>
      <c r="V105" s="500">
        <v>0</v>
      </c>
      <c r="W105" s="500">
        <v>0</v>
      </c>
      <c r="X105" s="500">
        <v>0</v>
      </c>
      <c r="Y105" s="27"/>
      <c r="Z105" s="1792">
        <v>0.13</v>
      </c>
      <c r="AA105" s="1792">
        <v>0.14000000000000001</v>
      </c>
      <c r="AB105" s="1792">
        <v>0.15</v>
      </c>
      <c r="AC105" s="29"/>
      <c r="AD105" s="1792">
        <v>0.09</v>
      </c>
      <c r="AE105" s="1792">
        <v>0.11</v>
      </c>
      <c r="AF105" s="1792">
        <v>0.13</v>
      </c>
      <c r="AG105" s="29"/>
      <c r="AH105" s="1792">
        <v>-0.1</v>
      </c>
      <c r="AI105" s="1792">
        <v>0.65</v>
      </c>
      <c r="AJ105" s="1792">
        <v>0.1</v>
      </c>
      <c r="AK105" s="29"/>
      <c r="AL105" s="1792">
        <v>-0.01</v>
      </c>
      <c r="AM105" s="1792">
        <v>0.16</v>
      </c>
      <c r="AN105" s="1792">
        <v>0.01</v>
      </c>
      <c r="AO105" s="29"/>
      <c r="AP105" s="14">
        <v>32</v>
      </c>
      <c r="AQ105" s="1802">
        <v>0.35</v>
      </c>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325">
        <v>39661</v>
      </c>
      <c r="BR105" s="415">
        <v>2.9750000000000001</v>
      </c>
      <c r="BS105" s="415">
        <v>2.98</v>
      </c>
      <c r="BT105" s="415">
        <v>2.9849999999999999</v>
      </c>
      <c r="BU105" s="416">
        <v>0.15</v>
      </c>
      <c r="BV105" s="416">
        <v>0.1575</v>
      </c>
      <c r="BW105" s="416">
        <v>0.16500000000000001</v>
      </c>
      <c r="BX105" s="416">
        <v>-7.0000000000000007E-2</v>
      </c>
      <c r="BY105" s="416"/>
      <c r="BZ105" s="416">
        <v>7.0000000000000007E-2</v>
      </c>
      <c r="CA105" s="432">
        <v>0</v>
      </c>
      <c r="CB105" s="1618">
        <v>0</v>
      </c>
      <c r="CC105" s="445">
        <v>3.0890000000000004</v>
      </c>
      <c r="CD105" s="449">
        <v>0.16649999999999998</v>
      </c>
    </row>
    <row r="106" spans="1:82">
      <c r="A106" s="325">
        <v>39783</v>
      </c>
      <c r="B106" s="416">
        <v>7.251526835017201E-2</v>
      </c>
      <c r="C106" s="275"/>
      <c r="D106" s="1786">
        <v>38657</v>
      </c>
      <c r="E106" s="1787">
        <v>27.810176235680313</v>
      </c>
      <c r="F106" s="1787">
        <v>29.810176235680313</v>
      </c>
      <c r="G106" s="1787">
        <v>34.310176235680316</v>
      </c>
      <c r="H106" s="1788"/>
      <c r="I106" s="1787">
        <v>24.141666666666666</v>
      </c>
      <c r="J106" s="1787">
        <v>25.391666666666666</v>
      </c>
      <c r="K106" s="1787">
        <v>28.391666666666666</v>
      </c>
      <c r="M106" s="1791">
        <v>39539</v>
      </c>
      <c r="N106" s="1792">
        <v>25.399735606728807</v>
      </c>
      <c r="O106" s="1792">
        <v>28.649735606728807</v>
      </c>
      <c r="P106" s="1792">
        <v>33.649735606728811</v>
      </c>
      <c r="Q106" s="29"/>
      <c r="R106" s="1792">
        <v>18.237301705046605</v>
      </c>
      <c r="S106" s="1792">
        <v>21.487301705046605</v>
      </c>
      <c r="T106" s="1792">
        <v>26.487301705046605</v>
      </c>
      <c r="V106" s="500">
        <v>0</v>
      </c>
      <c r="W106" s="500">
        <v>0</v>
      </c>
      <c r="X106" s="500">
        <v>0</v>
      </c>
      <c r="Y106" s="27"/>
      <c r="Z106" s="1792">
        <v>0.13</v>
      </c>
      <c r="AA106" s="1792">
        <v>0.14000000000000001</v>
      </c>
      <c r="AB106" s="1792">
        <v>0.15</v>
      </c>
      <c r="AC106" s="29"/>
      <c r="AD106" s="1792">
        <v>0.09</v>
      </c>
      <c r="AE106" s="1792">
        <v>0.11</v>
      </c>
      <c r="AF106" s="1792">
        <v>0.13</v>
      </c>
      <c r="AG106" s="29"/>
      <c r="AH106" s="1792">
        <v>-0.1</v>
      </c>
      <c r="AI106" s="1792">
        <v>0.65</v>
      </c>
      <c r="AJ106" s="1792">
        <v>0.1</v>
      </c>
      <c r="AK106" s="29"/>
      <c r="AL106" s="1792">
        <v>-0.01</v>
      </c>
      <c r="AM106" s="1792">
        <v>0.16</v>
      </c>
      <c r="AN106" s="1792">
        <v>0.01</v>
      </c>
      <c r="AO106" s="29"/>
      <c r="AP106" s="14">
        <v>33</v>
      </c>
      <c r="AQ106" s="1802">
        <v>0.35</v>
      </c>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325">
        <v>39692</v>
      </c>
      <c r="BR106" s="415">
        <v>2.9769999999999999</v>
      </c>
      <c r="BS106" s="415">
        <v>2.9819999999999998</v>
      </c>
      <c r="BT106" s="415">
        <v>2.9870000000000001</v>
      </c>
      <c r="BU106" s="416">
        <v>0.15</v>
      </c>
      <c r="BV106" s="416">
        <v>0.1575</v>
      </c>
      <c r="BW106" s="416">
        <v>0.16500000000000001</v>
      </c>
      <c r="BX106" s="416">
        <v>-7.0000000000000007E-2</v>
      </c>
      <c r="BY106" s="416"/>
      <c r="BZ106" s="416">
        <v>7.0000000000000007E-2</v>
      </c>
      <c r="CA106" s="432">
        <v>0</v>
      </c>
      <c r="CB106" s="1618">
        <v>0</v>
      </c>
      <c r="CC106" s="445">
        <v>2.9640000000000004</v>
      </c>
      <c r="CD106" s="449">
        <v>0.16649999999999998</v>
      </c>
    </row>
    <row r="107" spans="1:82">
      <c r="A107" s="325">
        <v>39814</v>
      </c>
      <c r="B107" s="416">
        <v>7.2533493739911012E-2</v>
      </c>
      <c r="C107" s="275"/>
      <c r="D107" s="1786">
        <v>38687</v>
      </c>
      <c r="E107" s="1787">
        <v>29.810176235680309</v>
      </c>
      <c r="F107" s="1787">
        <v>31.810176235680309</v>
      </c>
      <c r="G107" s="1787">
        <v>36.310176235680309</v>
      </c>
      <c r="H107" s="1788"/>
      <c r="I107" s="1787">
        <v>23.446774193548393</v>
      </c>
      <c r="J107" s="1787">
        <v>24.696774193548393</v>
      </c>
      <c r="K107" s="1787">
        <v>27.696774193548393</v>
      </c>
      <c r="M107" s="1791">
        <v>39569</v>
      </c>
      <c r="N107" s="1792">
        <v>25.399735606728807</v>
      </c>
      <c r="O107" s="1792">
        <v>28.649735606728807</v>
      </c>
      <c r="P107" s="1792">
        <v>33.649735606728811</v>
      </c>
      <c r="Q107" s="29"/>
      <c r="R107" s="1792">
        <v>18.237301705046605</v>
      </c>
      <c r="S107" s="1792">
        <v>21.487301705046605</v>
      </c>
      <c r="T107" s="1792">
        <v>26.487301705046605</v>
      </c>
      <c r="V107" s="500">
        <v>0</v>
      </c>
      <c r="W107" s="500">
        <v>0</v>
      </c>
      <c r="X107" s="500">
        <v>0</v>
      </c>
      <c r="Y107" s="27"/>
      <c r="Z107" s="1792">
        <v>0.13</v>
      </c>
      <c r="AA107" s="1792">
        <v>0.14000000000000001</v>
      </c>
      <c r="AB107" s="1792">
        <v>0.15</v>
      </c>
      <c r="AC107" s="29"/>
      <c r="AD107" s="1792">
        <v>0.09</v>
      </c>
      <c r="AE107" s="1792">
        <v>0.11</v>
      </c>
      <c r="AF107" s="1792">
        <v>0.13</v>
      </c>
      <c r="AG107" s="29"/>
      <c r="AH107" s="1792">
        <v>-0.1</v>
      </c>
      <c r="AI107" s="1792">
        <v>0.65</v>
      </c>
      <c r="AJ107" s="1792">
        <v>0.1</v>
      </c>
      <c r="AK107" s="29"/>
      <c r="AL107" s="1792">
        <v>-0.01</v>
      </c>
      <c r="AM107" s="1792">
        <v>0.16</v>
      </c>
      <c r="AN107" s="1792">
        <v>0.01</v>
      </c>
      <c r="AO107" s="29"/>
      <c r="AP107" s="14">
        <v>33</v>
      </c>
      <c r="AQ107" s="1802">
        <v>0.35</v>
      </c>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325">
        <v>39722</v>
      </c>
      <c r="BR107" s="415">
        <v>2.9990000000000006</v>
      </c>
      <c r="BS107" s="415">
        <v>3.0040000000000004</v>
      </c>
      <c r="BT107" s="415">
        <v>3.0090000000000003</v>
      </c>
      <c r="BU107" s="416">
        <v>0.15</v>
      </c>
      <c r="BV107" s="416">
        <v>0.1575</v>
      </c>
      <c r="BW107" s="416">
        <v>0.16500000000000001</v>
      </c>
      <c r="BX107" s="416">
        <v>-7.0000000000000007E-2</v>
      </c>
      <c r="BY107" s="416"/>
      <c r="BZ107" s="416">
        <v>7.0000000000000007E-2</v>
      </c>
      <c r="CA107" s="432">
        <v>0</v>
      </c>
      <c r="CB107" s="1618">
        <v>0</v>
      </c>
      <c r="CC107" s="445">
        <v>2.8569999999999998</v>
      </c>
      <c r="CD107" s="449">
        <v>0.16649999999999998</v>
      </c>
    </row>
    <row r="108" spans="1:82">
      <c r="A108" s="325">
        <v>39845</v>
      </c>
      <c r="B108" s="416">
        <v>7.255171912975901E-2</v>
      </c>
      <c r="C108" s="275"/>
      <c r="D108" s="1786">
        <v>38718</v>
      </c>
      <c r="E108" s="1787">
        <v>27.413171703717751</v>
      </c>
      <c r="F108" s="1787">
        <v>30.413171703717751</v>
      </c>
      <c r="G108" s="1787">
        <v>34.913171703717751</v>
      </c>
      <c r="H108" s="1788"/>
      <c r="I108" s="1787">
        <v>21.188119151052206</v>
      </c>
      <c r="J108" s="1787">
        <v>22.438119151052206</v>
      </c>
      <c r="K108" s="1787">
        <v>25.438119151052206</v>
      </c>
      <c r="M108" s="1791">
        <v>39600</v>
      </c>
      <c r="N108" s="1792">
        <v>30.649735606728811</v>
      </c>
      <c r="O108" s="1792">
        <v>33.899735606728811</v>
      </c>
      <c r="P108" s="1792">
        <v>38.899735606728811</v>
      </c>
      <c r="Q108" s="29"/>
      <c r="R108" s="1792">
        <v>22.174801705046605</v>
      </c>
      <c r="S108" s="1792">
        <v>25.424801705046605</v>
      </c>
      <c r="T108" s="1792">
        <v>30.424801705046605</v>
      </c>
      <c r="V108" s="500">
        <v>0</v>
      </c>
      <c r="W108" s="500">
        <v>0</v>
      </c>
      <c r="X108" s="500">
        <v>0</v>
      </c>
      <c r="Y108" s="27"/>
      <c r="Z108" s="1792">
        <v>0.13</v>
      </c>
      <c r="AA108" s="1792">
        <v>0.14000000000000001</v>
      </c>
      <c r="AB108" s="1792">
        <v>0.15</v>
      </c>
      <c r="AC108" s="29"/>
      <c r="AD108" s="1792">
        <v>0.09</v>
      </c>
      <c r="AE108" s="1792">
        <v>0.11</v>
      </c>
      <c r="AF108" s="1792">
        <v>0.13</v>
      </c>
      <c r="AG108" s="29"/>
      <c r="AH108" s="1792">
        <v>-0.35</v>
      </c>
      <c r="AI108" s="1792">
        <v>0.65</v>
      </c>
      <c r="AJ108" s="1792">
        <v>0.2</v>
      </c>
      <c r="AK108" s="29"/>
      <c r="AL108" s="1792">
        <v>-0.01</v>
      </c>
      <c r="AM108" s="1792">
        <v>0.16</v>
      </c>
      <c r="AN108" s="1792">
        <v>0.01</v>
      </c>
      <c r="AO108" s="29"/>
      <c r="AP108" s="14">
        <v>33</v>
      </c>
      <c r="AQ108" s="1802">
        <v>0.35</v>
      </c>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325">
        <v>39753</v>
      </c>
      <c r="BR108" s="415">
        <v>3.1069999999999998</v>
      </c>
      <c r="BS108" s="415">
        <v>3.1120000000000001</v>
      </c>
      <c r="BT108" s="415">
        <v>3.117</v>
      </c>
      <c r="BU108" s="416">
        <v>0.15</v>
      </c>
      <c r="BV108" s="416">
        <v>0.1575</v>
      </c>
      <c r="BW108" s="416">
        <v>0.16500000000000001</v>
      </c>
      <c r="BX108" s="416">
        <v>-7.0000000000000007E-2</v>
      </c>
      <c r="BY108" s="416"/>
      <c r="BZ108" s="416">
        <v>7.0000000000000007E-2</v>
      </c>
      <c r="CA108" s="432">
        <v>0</v>
      </c>
      <c r="CB108" s="1618">
        <v>0</v>
      </c>
      <c r="CC108" s="445">
        <v>2.7540000000000004</v>
      </c>
      <c r="CD108" s="449">
        <v>0.16649999999999998</v>
      </c>
    </row>
    <row r="109" spans="1:82">
      <c r="A109" s="325">
        <v>39873</v>
      </c>
      <c r="B109" s="416">
        <v>7.2568180772297E-2</v>
      </c>
      <c r="C109" s="275"/>
      <c r="D109" s="1786">
        <v>38749</v>
      </c>
      <c r="E109" s="1787">
        <v>26.913171703717751</v>
      </c>
      <c r="F109" s="1787">
        <v>29.913171703717751</v>
      </c>
      <c r="G109" s="1787">
        <v>34.413171703717751</v>
      </c>
      <c r="H109" s="1788"/>
      <c r="I109" s="1787">
        <v>22.157142857142855</v>
      </c>
      <c r="J109" s="1787">
        <v>23.407142857142855</v>
      </c>
      <c r="K109" s="1787">
        <v>26.407142857142855</v>
      </c>
      <c r="M109" s="1791">
        <v>39630</v>
      </c>
      <c r="N109" s="1792">
        <v>56.986186824766719</v>
      </c>
      <c r="O109" s="1792">
        <v>60.236186824766719</v>
      </c>
      <c r="P109" s="1792">
        <v>65.236186824766719</v>
      </c>
      <c r="Q109" s="29"/>
      <c r="R109" s="1792">
        <v>41.927140118575039</v>
      </c>
      <c r="S109" s="1792">
        <v>45.177140118575039</v>
      </c>
      <c r="T109" s="1792">
        <v>50.177140118575039</v>
      </c>
      <c r="V109" s="500">
        <v>0</v>
      </c>
      <c r="W109" s="500">
        <v>0</v>
      </c>
      <c r="X109" s="500">
        <v>0</v>
      </c>
      <c r="Y109" s="27"/>
      <c r="Z109" s="1792">
        <v>0.13</v>
      </c>
      <c r="AA109" s="1792">
        <v>0.14000000000000001</v>
      </c>
      <c r="AB109" s="1792">
        <v>0.15</v>
      </c>
      <c r="AC109" s="29"/>
      <c r="AD109" s="1792">
        <v>0.09</v>
      </c>
      <c r="AE109" s="1792">
        <v>0.11</v>
      </c>
      <c r="AF109" s="1792">
        <v>0.13</v>
      </c>
      <c r="AG109" s="29"/>
      <c r="AH109" s="1792">
        <v>-0.35</v>
      </c>
      <c r="AI109" s="1792">
        <v>3</v>
      </c>
      <c r="AJ109" s="1792">
        <v>0.35</v>
      </c>
      <c r="AK109" s="29"/>
      <c r="AL109" s="1792">
        <v>-0.01</v>
      </c>
      <c r="AM109" s="1792">
        <v>0.16</v>
      </c>
      <c r="AN109" s="1792">
        <v>0.01</v>
      </c>
      <c r="AO109" s="29"/>
      <c r="AP109" s="14">
        <v>34</v>
      </c>
      <c r="AQ109" s="1802">
        <v>0.35</v>
      </c>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325">
        <v>39783</v>
      </c>
      <c r="BR109" s="415">
        <v>3.2149999999999999</v>
      </c>
      <c r="BS109" s="415">
        <v>3.22</v>
      </c>
      <c r="BT109" s="415">
        <v>3.2250000000000001</v>
      </c>
      <c r="BU109" s="416">
        <v>0.15</v>
      </c>
      <c r="BV109" s="416">
        <v>0.1575</v>
      </c>
      <c r="BW109" s="416">
        <v>0.16500000000000001</v>
      </c>
      <c r="BX109" s="416">
        <v>-7.0000000000000007E-2</v>
      </c>
      <c r="BY109" s="416"/>
      <c r="BZ109" s="416">
        <v>7.0000000000000007E-2</v>
      </c>
      <c r="CA109" s="432">
        <v>0</v>
      </c>
      <c r="CB109" s="1618">
        <v>0</v>
      </c>
      <c r="CC109" s="445">
        <v>2.73</v>
      </c>
      <c r="CD109" s="449">
        <v>0.16649999999999998</v>
      </c>
    </row>
    <row r="110" spans="1:82">
      <c r="A110" s="325">
        <v>39904</v>
      </c>
      <c r="B110" s="416">
        <v>7.2586406162354997E-2</v>
      </c>
      <c r="C110" s="275"/>
      <c r="D110" s="1786">
        <v>38777</v>
      </c>
      <c r="E110" s="1787">
        <v>26.663171703717751</v>
      </c>
      <c r="F110" s="1787">
        <v>29.663171703717751</v>
      </c>
      <c r="G110" s="1787">
        <v>34.163171703717751</v>
      </c>
      <c r="H110" s="1788"/>
      <c r="I110" s="1787">
        <v>22.437096774193549</v>
      </c>
      <c r="J110" s="1787">
        <v>23.687096774193549</v>
      </c>
      <c r="K110" s="1787">
        <v>26.687096774193549</v>
      </c>
      <c r="M110" s="1791">
        <v>39661</v>
      </c>
      <c r="N110" s="1792">
        <v>77.611186824766719</v>
      </c>
      <c r="O110" s="1792">
        <v>80.861186824766719</v>
      </c>
      <c r="P110" s="1792">
        <v>85.861186824766719</v>
      </c>
      <c r="Q110" s="29"/>
      <c r="R110" s="1792">
        <v>57.395890118575039</v>
      </c>
      <c r="S110" s="1792">
        <v>60.645890118575039</v>
      </c>
      <c r="T110" s="1792">
        <v>65.645890118575039</v>
      </c>
      <c r="V110" s="500">
        <v>0</v>
      </c>
      <c r="W110" s="500">
        <v>0</v>
      </c>
      <c r="X110" s="500">
        <v>0</v>
      </c>
      <c r="Y110" s="27"/>
      <c r="Z110" s="1792">
        <v>0.13</v>
      </c>
      <c r="AA110" s="1792">
        <v>0.14000000000000001</v>
      </c>
      <c r="AB110" s="1792">
        <v>0.15</v>
      </c>
      <c r="AC110" s="29"/>
      <c r="AD110" s="1792">
        <v>0.09</v>
      </c>
      <c r="AE110" s="1792">
        <v>0.11</v>
      </c>
      <c r="AF110" s="1792">
        <v>0.13</v>
      </c>
      <c r="AG110" s="29"/>
      <c r="AH110" s="1792">
        <v>-0.35</v>
      </c>
      <c r="AI110" s="1792">
        <v>3</v>
      </c>
      <c r="AJ110" s="1792">
        <v>0.35</v>
      </c>
      <c r="AK110" s="29"/>
      <c r="AL110" s="1792">
        <v>-0.01</v>
      </c>
      <c r="AM110" s="1792">
        <v>0.16</v>
      </c>
      <c r="AN110" s="1792">
        <v>0.01</v>
      </c>
      <c r="AO110" s="29"/>
      <c r="AP110" s="14">
        <v>34</v>
      </c>
      <c r="AQ110" s="1802">
        <v>0.35</v>
      </c>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325">
        <v>39814</v>
      </c>
      <c r="BR110" s="415">
        <v>3.2645</v>
      </c>
      <c r="BS110" s="415">
        <v>3.2694999999999999</v>
      </c>
      <c r="BT110" s="415">
        <v>3.2744999999999997</v>
      </c>
      <c r="BU110" s="416">
        <v>0.15</v>
      </c>
      <c r="BV110" s="416">
        <v>0.1575</v>
      </c>
      <c r="BW110" s="416">
        <v>0.16500000000000001</v>
      </c>
      <c r="BX110" s="416">
        <v>-7.0000000000000007E-2</v>
      </c>
      <c r="BY110" s="416"/>
      <c r="BZ110" s="416">
        <v>7.0000000000000007E-2</v>
      </c>
      <c r="CA110" s="432">
        <v>0</v>
      </c>
      <c r="CB110" s="1618">
        <v>0</v>
      </c>
      <c r="CC110" s="445">
        <v>2.7370000000000001</v>
      </c>
      <c r="CD110" s="449">
        <v>0.16649999999999998</v>
      </c>
    </row>
    <row r="111" spans="1:82">
      <c r="A111" s="325">
        <v>39934</v>
      </c>
      <c r="B111" s="416">
        <v>7.2604043636708013E-2</v>
      </c>
      <c r="C111" s="275"/>
      <c r="D111" s="1786">
        <v>38808</v>
      </c>
      <c r="E111" s="1787">
        <v>26.748194495117172</v>
      </c>
      <c r="F111" s="1787">
        <v>29.748194495117172</v>
      </c>
      <c r="G111" s="1787">
        <v>34.248194495117176</v>
      </c>
      <c r="H111" s="1788"/>
      <c r="I111" s="1787">
        <v>20.237500000000001</v>
      </c>
      <c r="J111" s="1787">
        <v>21.487500000000001</v>
      </c>
      <c r="K111" s="1787">
        <v>24.487500000000001</v>
      </c>
      <c r="M111" s="1791">
        <v>39692</v>
      </c>
      <c r="N111" s="1792">
        <v>61.611186824766719</v>
      </c>
      <c r="O111" s="1792">
        <v>64.861186824766719</v>
      </c>
      <c r="P111" s="1792">
        <v>69.861186824766719</v>
      </c>
      <c r="Q111" s="29"/>
      <c r="R111" s="1792">
        <v>45.395890118575039</v>
      </c>
      <c r="S111" s="1792">
        <v>48.645890118575039</v>
      </c>
      <c r="T111" s="1792">
        <v>53.645890118575039</v>
      </c>
      <c r="V111" s="500">
        <v>0</v>
      </c>
      <c r="W111" s="500">
        <v>0</v>
      </c>
      <c r="X111" s="500">
        <v>0</v>
      </c>
      <c r="Y111" s="27"/>
      <c r="Z111" s="1792">
        <v>0.13</v>
      </c>
      <c r="AA111" s="1792">
        <v>0.14000000000000001</v>
      </c>
      <c r="AB111" s="1792">
        <v>0.15</v>
      </c>
      <c r="AC111" s="29"/>
      <c r="AD111" s="1792">
        <v>0.09</v>
      </c>
      <c r="AE111" s="1792">
        <v>0.11</v>
      </c>
      <c r="AF111" s="1792">
        <v>0.13</v>
      </c>
      <c r="AG111" s="29"/>
      <c r="AH111" s="1792">
        <v>-0.35</v>
      </c>
      <c r="AI111" s="1792">
        <v>3</v>
      </c>
      <c r="AJ111" s="1792">
        <v>0.2</v>
      </c>
      <c r="AK111" s="29"/>
      <c r="AL111" s="1792">
        <v>-0.01</v>
      </c>
      <c r="AM111" s="1792">
        <v>0.16</v>
      </c>
      <c r="AN111" s="1792">
        <v>0.01</v>
      </c>
      <c r="AO111" s="29"/>
      <c r="AP111" s="14">
        <v>34</v>
      </c>
      <c r="AQ111" s="1802">
        <v>0.35</v>
      </c>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325">
        <v>39845</v>
      </c>
      <c r="BR111" s="415">
        <v>3.1755</v>
      </c>
      <c r="BS111" s="415">
        <v>3.1805000000000003</v>
      </c>
      <c r="BT111" s="415">
        <v>3.1855000000000002</v>
      </c>
      <c r="BU111" s="416">
        <v>0.15</v>
      </c>
      <c r="BV111" s="416">
        <v>0.1575</v>
      </c>
      <c r="BW111" s="416">
        <v>0.16500000000000001</v>
      </c>
      <c r="BX111" s="416">
        <v>-7.0000000000000007E-2</v>
      </c>
      <c r="BY111" s="416"/>
      <c r="BZ111" s="416">
        <v>7.0000000000000007E-2</v>
      </c>
      <c r="CA111" s="432">
        <v>0</v>
      </c>
      <c r="CB111" s="1618">
        <v>0</v>
      </c>
      <c r="CC111" s="445">
        <v>2.7430000000000003</v>
      </c>
      <c r="CD111" s="449">
        <v>0.16649999999999998</v>
      </c>
    </row>
    <row r="112" spans="1:82">
      <c r="A112" s="325">
        <v>39965</v>
      </c>
      <c r="B112" s="416">
        <v>7.2622269026981018E-2</v>
      </c>
      <c r="C112" s="275"/>
      <c r="D112" s="1786">
        <v>38838</v>
      </c>
      <c r="E112" s="1787">
        <v>25.998194495117172</v>
      </c>
      <c r="F112" s="1787">
        <v>28.998194495117172</v>
      </c>
      <c r="G112" s="1787">
        <v>33.498194495117176</v>
      </c>
      <c r="H112" s="1788"/>
      <c r="I112" s="1787">
        <v>20.295967741935481</v>
      </c>
      <c r="J112" s="1787">
        <v>21.545967741935481</v>
      </c>
      <c r="K112" s="1787">
        <v>24.545967741935481</v>
      </c>
      <c r="M112" s="1791">
        <v>39722</v>
      </c>
      <c r="N112" s="1792">
        <v>33.749720364412887</v>
      </c>
      <c r="O112" s="1792">
        <v>36.999720364412887</v>
      </c>
      <c r="P112" s="1792">
        <v>41.999720364412887</v>
      </c>
      <c r="Q112" s="29"/>
      <c r="R112" s="1792">
        <v>24.499790273309671</v>
      </c>
      <c r="S112" s="1792">
        <v>27.749790273309671</v>
      </c>
      <c r="T112" s="1792">
        <v>32.749790273309671</v>
      </c>
      <c r="V112" s="500">
        <v>0</v>
      </c>
      <c r="W112" s="500">
        <v>0</v>
      </c>
      <c r="X112" s="500">
        <v>0</v>
      </c>
      <c r="Y112" s="27"/>
      <c r="Z112" s="1792">
        <v>0.13</v>
      </c>
      <c r="AA112" s="1792">
        <v>0.14000000000000001</v>
      </c>
      <c r="AB112" s="1792">
        <v>0.15</v>
      </c>
      <c r="AC112" s="29"/>
      <c r="AD112" s="1792">
        <v>0.09</v>
      </c>
      <c r="AE112" s="1792">
        <v>0.11</v>
      </c>
      <c r="AF112" s="1792">
        <v>0.13</v>
      </c>
      <c r="AG112" s="29"/>
      <c r="AH112" s="1792">
        <v>-0.1</v>
      </c>
      <c r="AI112" s="1792">
        <v>0.6</v>
      </c>
      <c r="AJ112" s="1792">
        <v>0.1</v>
      </c>
      <c r="AK112" s="29"/>
      <c r="AL112" s="1792">
        <v>-0.01</v>
      </c>
      <c r="AM112" s="1792">
        <v>0.16</v>
      </c>
      <c r="AN112" s="1792">
        <v>0.01</v>
      </c>
      <c r="AO112" s="29"/>
      <c r="AP112" s="14">
        <v>35</v>
      </c>
      <c r="AQ112" s="1802">
        <v>0.35</v>
      </c>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325">
        <v>39873</v>
      </c>
      <c r="BR112" s="415">
        <v>3.0785000000000005</v>
      </c>
      <c r="BS112" s="415">
        <v>3.0835000000000004</v>
      </c>
      <c r="BT112" s="415">
        <v>3.0885000000000002</v>
      </c>
      <c r="BU112" s="416">
        <v>0.15</v>
      </c>
      <c r="BV112" s="416">
        <v>0.1575</v>
      </c>
      <c r="BW112" s="416">
        <v>0.16500000000000001</v>
      </c>
      <c r="BX112" s="416">
        <v>-7.0000000000000007E-2</v>
      </c>
      <c r="BY112" s="416"/>
      <c r="BZ112" s="416">
        <v>7.0000000000000007E-2</v>
      </c>
      <c r="CA112" s="432">
        <v>0</v>
      </c>
      <c r="CB112" s="1618">
        <v>0</v>
      </c>
      <c r="CC112" s="445">
        <v>2.7480000000000002</v>
      </c>
      <c r="CD112" s="449">
        <v>0.16649999999999998</v>
      </c>
    </row>
    <row r="113" spans="1:82">
      <c r="A113" s="325">
        <v>39995</v>
      </c>
      <c r="B113" s="416">
        <v>7.2639906501544019E-2</v>
      </c>
      <c r="C113" s="275"/>
      <c r="D113" s="1786">
        <v>38869</v>
      </c>
      <c r="E113" s="1787">
        <v>31.248194495117176</v>
      </c>
      <c r="F113" s="1787">
        <v>34.248194495117176</v>
      </c>
      <c r="G113" s="1787">
        <v>38.748194495117176</v>
      </c>
      <c r="H113" s="1788"/>
      <c r="I113" s="1787">
        <v>19.55</v>
      </c>
      <c r="J113" s="1787">
        <v>20.8</v>
      </c>
      <c r="K113" s="1787">
        <v>23.8</v>
      </c>
      <c r="M113" s="1791">
        <v>39753</v>
      </c>
      <c r="N113" s="1792">
        <v>25.999720364412898</v>
      </c>
      <c r="O113" s="1792">
        <v>29.249720364412898</v>
      </c>
      <c r="P113" s="1792">
        <v>34.249720364412894</v>
      </c>
      <c r="Q113" s="29"/>
      <c r="R113" s="1792">
        <v>18.687290273309671</v>
      </c>
      <c r="S113" s="1792">
        <v>21.937290273309671</v>
      </c>
      <c r="T113" s="1792">
        <v>26.937290273309671</v>
      </c>
      <c r="V113" s="500">
        <v>0</v>
      </c>
      <c r="W113" s="500">
        <v>0</v>
      </c>
      <c r="X113" s="500">
        <v>0</v>
      </c>
      <c r="Y113" s="27"/>
      <c r="Z113" s="1792">
        <v>0.13</v>
      </c>
      <c r="AA113" s="1792">
        <v>0.14000000000000001</v>
      </c>
      <c r="AB113" s="1792">
        <v>0.15</v>
      </c>
      <c r="AC113" s="29"/>
      <c r="AD113" s="1792">
        <v>0.09</v>
      </c>
      <c r="AE113" s="1792">
        <v>0.11</v>
      </c>
      <c r="AF113" s="1792">
        <v>0.13</v>
      </c>
      <c r="AG113" s="29"/>
      <c r="AH113" s="1792">
        <v>-0.1</v>
      </c>
      <c r="AI113" s="1792">
        <v>0.6</v>
      </c>
      <c r="AJ113" s="1792">
        <v>0.1</v>
      </c>
      <c r="AK113" s="29"/>
      <c r="AL113" s="1792">
        <v>-0.01</v>
      </c>
      <c r="AM113" s="1792">
        <v>0.16</v>
      </c>
      <c r="AN113" s="1792">
        <v>0.01</v>
      </c>
      <c r="AO113" s="29"/>
      <c r="AP113" s="14">
        <v>35</v>
      </c>
      <c r="AQ113" s="1802">
        <v>0.35</v>
      </c>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325">
        <v>39904</v>
      </c>
      <c r="BR113" s="415">
        <v>2.9965000000000006</v>
      </c>
      <c r="BS113" s="415">
        <v>3.0015000000000005</v>
      </c>
      <c r="BT113" s="415">
        <v>3.0065000000000004</v>
      </c>
      <c r="BU113" s="416">
        <v>0.15</v>
      </c>
      <c r="BV113" s="416">
        <v>0.1575</v>
      </c>
      <c r="BW113" s="416">
        <v>0.16500000000000001</v>
      </c>
      <c r="BX113" s="416">
        <v>-7.0000000000000007E-2</v>
      </c>
      <c r="BY113" s="416"/>
      <c r="BZ113" s="416">
        <v>7.0000000000000007E-2</v>
      </c>
      <c r="CA113" s="432">
        <v>0</v>
      </c>
      <c r="CB113" s="1618">
        <v>0</v>
      </c>
      <c r="CC113" s="445">
        <v>2.7510000000000003</v>
      </c>
      <c r="CD113" s="449">
        <v>0.16649999999999998</v>
      </c>
    </row>
    <row r="114" spans="1:82">
      <c r="A114" s="325">
        <v>40026</v>
      </c>
      <c r="B114" s="416">
        <v>7.2658131892033004E-2</v>
      </c>
      <c r="C114" s="275"/>
      <c r="D114" s="1786">
        <v>38899</v>
      </c>
      <c r="E114" s="1787">
        <v>57.991048136426357</v>
      </c>
      <c r="F114" s="1787">
        <v>60.991048136426357</v>
      </c>
      <c r="G114" s="1787">
        <v>65.491048136426357</v>
      </c>
      <c r="H114" s="1788"/>
      <c r="I114" s="1787">
        <v>25.574193548387097</v>
      </c>
      <c r="J114" s="1787">
        <v>26.824193548387097</v>
      </c>
      <c r="K114" s="1787">
        <v>29.824193548387097</v>
      </c>
      <c r="M114" s="1791">
        <v>39783</v>
      </c>
      <c r="N114" s="1792">
        <v>27.999720364412894</v>
      </c>
      <c r="O114" s="1792">
        <v>31.249720364412894</v>
      </c>
      <c r="P114" s="1792">
        <v>36.249720364412894</v>
      </c>
      <c r="Q114" s="29"/>
      <c r="R114" s="1792">
        <v>20.187290273309671</v>
      </c>
      <c r="S114" s="1792">
        <v>23.437290273309671</v>
      </c>
      <c r="T114" s="1792">
        <v>28.437290273309671</v>
      </c>
      <c r="V114" s="500">
        <v>0</v>
      </c>
      <c r="W114" s="500">
        <v>0</v>
      </c>
      <c r="X114" s="500">
        <v>0</v>
      </c>
      <c r="Y114" s="27"/>
      <c r="Z114" s="1792">
        <v>0.13</v>
      </c>
      <c r="AA114" s="1792">
        <v>0.14000000000000001</v>
      </c>
      <c r="AB114" s="1792">
        <v>0.15</v>
      </c>
      <c r="AC114" s="29"/>
      <c r="AD114" s="1792">
        <v>0.09</v>
      </c>
      <c r="AE114" s="1792">
        <v>0.11</v>
      </c>
      <c r="AF114" s="1792">
        <v>0.13</v>
      </c>
      <c r="AG114" s="29"/>
      <c r="AH114" s="1792">
        <v>-0.25</v>
      </c>
      <c r="AI114" s="1792">
        <v>0.6</v>
      </c>
      <c r="AJ114" s="1792">
        <v>0.25</v>
      </c>
      <c r="AK114" s="29"/>
      <c r="AL114" s="1792">
        <v>-0.01</v>
      </c>
      <c r="AM114" s="1792">
        <v>0.16</v>
      </c>
      <c r="AN114" s="1792">
        <v>0.01</v>
      </c>
      <c r="AO114" s="29"/>
      <c r="AP114" s="14">
        <v>35</v>
      </c>
      <c r="AQ114" s="1802">
        <v>0.35</v>
      </c>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325">
        <v>39934</v>
      </c>
      <c r="BR114" s="415">
        <v>3.0165000000000006</v>
      </c>
      <c r="BS114" s="415">
        <v>3.0215000000000005</v>
      </c>
      <c r="BT114" s="415">
        <v>3.0265000000000004</v>
      </c>
      <c r="BU114" s="416">
        <v>0.15</v>
      </c>
      <c r="BV114" s="416">
        <v>0.1575</v>
      </c>
      <c r="BW114" s="416">
        <v>0.16500000000000001</v>
      </c>
      <c r="BX114" s="416">
        <v>-7.0000000000000007E-2</v>
      </c>
      <c r="BY114" s="416"/>
      <c r="BZ114" s="416">
        <v>7.0000000000000007E-2</v>
      </c>
      <c r="CA114" s="432">
        <v>0</v>
      </c>
      <c r="CB114" s="1618">
        <v>0</v>
      </c>
      <c r="CC114" s="445">
        <v>2.7840000000000003</v>
      </c>
      <c r="CD114" s="449">
        <v>0.16649999999999998</v>
      </c>
    </row>
    <row r="115" spans="1:82">
      <c r="A115" s="325">
        <v>40057</v>
      </c>
      <c r="B115" s="416">
        <v>7.2676357282631013E-2</v>
      </c>
      <c r="C115" s="275"/>
      <c r="D115" s="1786">
        <v>38930</v>
      </c>
      <c r="E115" s="1787">
        <v>78.616048136426357</v>
      </c>
      <c r="F115" s="1787">
        <v>81.616048136426357</v>
      </c>
      <c r="G115" s="1787">
        <v>86.116048136426357</v>
      </c>
      <c r="H115" s="1788"/>
      <c r="I115" s="1787">
        <v>23.574193548387097</v>
      </c>
      <c r="J115" s="1787">
        <v>24.824193548387097</v>
      </c>
      <c r="K115" s="1787">
        <v>27.824193548387097</v>
      </c>
      <c r="M115" s="1791">
        <v>39814</v>
      </c>
      <c r="N115" s="1792">
        <v>26.681757176586309</v>
      </c>
      <c r="O115" s="1792">
        <v>29.931757176586309</v>
      </c>
      <c r="P115" s="1792">
        <v>34.931757176586309</v>
      </c>
      <c r="Q115" s="29"/>
      <c r="R115" s="1792">
        <v>19.198817882439734</v>
      </c>
      <c r="S115" s="1792">
        <v>22.448817882439734</v>
      </c>
      <c r="T115" s="1792">
        <v>27.448817882439734</v>
      </c>
      <c r="V115" s="500">
        <v>0</v>
      </c>
      <c r="W115" s="500">
        <v>0</v>
      </c>
      <c r="X115" s="500">
        <v>0</v>
      </c>
      <c r="Y115" s="27"/>
      <c r="Z115" s="1792">
        <v>0.125</v>
      </c>
      <c r="AA115" s="1792">
        <v>0.13500000000000001</v>
      </c>
      <c r="AB115" s="1792">
        <v>0.14499999999999999</v>
      </c>
      <c r="AC115" s="29"/>
      <c r="AD115" s="1792">
        <v>0.09</v>
      </c>
      <c r="AE115" s="1792">
        <v>0.11</v>
      </c>
      <c r="AF115" s="1792">
        <v>0.13</v>
      </c>
      <c r="AG115" s="29"/>
      <c r="AH115" s="1792">
        <v>-0.25</v>
      </c>
      <c r="AI115" s="1792">
        <v>0.65</v>
      </c>
      <c r="AJ115" s="1792">
        <v>0.25</v>
      </c>
      <c r="AK115" s="29"/>
      <c r="AL115" s="1792">
        <v>-0.01</v>
      </c>
      <c r="AM115" s="1792">
        <v>0.16</v>
      </c>
      <c r="AN115" s="1792">
        <v>0.01</v>
      </c>
      <c r="AO115" s="29"/>
      <c r="AP115" s="14">
        <v>36</v>
      </c>
      <c r="AQ115" s="1802">
        <v>0.35</v>
      </c>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325">
        <v>39965</v>
      </c>
      <c r="BR115" s="415">
        <v>3.0295000000000001</v>
      </c>
      <c r="BS115" s="415">
        <v>3.0345</v>
      </c>
      <c r="BT115" s="415">
        <v>3.0394999999999999</v>
      </c>
      <c r="BU115" s="416">
        <v>0.15</v>
      </c>
      <c r="BV115" s="416">
        <v>0.1575</v>
      </c>
      <c r="BW115" s="416">
        <v>0.16500000000000001</v>
      </c>
      <c r="BX115" s="416">
        <v>-7.0000000000000007E-2</v>
      </c>
      <c r="BY115" s="416"/>
      <c r="BZ115" s="416">
        <v>7.0000000000000007E-2</v>
      </c>
      <c r="CA115" s="432">
        <v>0</v>
      </c>
      <c r="CB115" s="1618">
        <v>0</v>
      </c>
      <c r="CC115" s="445">
        <v>2.9249999999999998</v>
      </c>
      <c r="CD115" s="449">
        <v>0.16649999999999998</v>
      </c>
    </row>
    <row r="116" spans="1:82">
      <c r="A116" s="325">
        <v>40087</v>
      </c>
      <c r="B116" s="416">
        <v>7.2693994757509012E-2</v>
      </c>
      <c r="C116" s="275"/>
      <c r="D116" s="1786">
        <v>38961</v>
      </c>
      <c r="E116" s="1787">
        <v>62.616048136426357</v>
      </c>
      <c r="F116" s="1787">
        <v>65.616048136426357</v>
      </c>
      <c r="G116" s="1787">
        <v>70.116048136426357</v>
      </c>
      <c r="H116" s="1788"/>
      <c r="I116" s="1787">
        <v>23.987500000000001</v>
      </c>
      <c r="J116" s="1787">
        <v>25.237500000000001</v>
      </c>
      <c r="K116" s="1787">
        <v>28.237500000000001</v>
      </c>
      <c r="M116" s="1791">
        <v>39845</v>
      </c>
      <c r="N116" s="1792">
        <v>26.181757176586309</v>
      </c>
      <c r="O116" s="1792">
        <v>29.431757176586309</v>
      </c>
      <c r="P116" s="1792">
        <v>34.431757176586309</v>
      </c>
      <c r="Q116" s="29"/>
      <c r="R116" s="1792">
        <v>18.823817882439734</v>
      </c>
      <c r="S116" s="1792">
        <v>22.073817882439734</v>
      </c>
      <c r="T116" s="1792">
        <v>27.073817882439734</v>
      </c>
      <c r="V116" s="500">
        <v>0</v>
      </c>
      <c r="W116" s="500">
        <v>0</v>
      </c>
      <c r="X116" s="500">
        <v>0</v>
      </c>
      <c r="Y116" s="27"/>
      <c r="Z116" s="1792">
        <v>0.125</v>
      </c>
      <c r="AA116" s="1792">
        <v>0.13500000000000001</v>
      </c>
      <c r="AB116" s="1792">
        <v>0.14499999999999999</v>
      </c>
      <c r="AC116" s="29"/>
      <c r="AD116" s="1792">
        <v>0.09</v>
      </c>
      <c r="AE116" s="1792">
        <v>0.11</v>
      </c>
      <c r="AF116" s="1792">
        <v>0.13</v>
      </c>
      <c r="AG116" s="29"/>
      <c r="AH116" s="1792">
        <v>-0.25</v>
      </c>
      <c r="AI116" s="1792">
        <v>0.65</v>
      </c>
      <c r="AJ116" s="1792">
        <v>0.25</v>
      </c>
      <c r="AK116" s="29"/>
      <c r="AL116" s="1792">
        <v>-0.01</v>
      </c>
      <c r="AM116" s="1792">
        <v>0.16</v>
      </c>
      <c r="AN116" s="1792">
        <v>0.01</v>
      </c>
      <c r="AO116" s="29"/>
      <c r="AP116" s="14">
        <v>36</v>
      </c>
      <c r="AQ116" s="1802">
        <v>0.35</v>
      </c>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325">
        <v>39995</v>
      </c>
      <c r="BR116" s="415">
        <v>3.0375000000000001</v>
      </c>
      <c r="BS116" s="415">
        <v>3.0425</v>
      </c>
      <c r="BT116" s="415">
        <v>3.0474999999999999</v>
      </c>
      <c r="BU116" s="416">
        <v>0.15</v>
      </c>
      <c r="BV116" s="416">
        <v>0.1575</v>
      </c>
      <c r="BW116" s="416">
        <v>0.16500000000000001</v>
      </c>
      <c r="BX116" s="416">
        <v>-7.0000000000000007E-2</v>
      </c>
      <c r="BY116" s="416"/>
      <c r="BZ116" s="416">
        <v>7.0000000000000007E-2</v>
      </c>
      <c r="CA116" s="432">
        <v>0</v>
      </c>
      <c r="CB116" s="1618">
        <v>0</v>
      </c>
      <c r="CC116" s="445">
        <v>3.07</v>
      </c>
      <c r="CD116" s="449">
        <v>0.16649999999999998</v>
      </c>
    </row>
    <row r="117" spans="1:82">
      <c r="A117" s="325">
        <v>40118</v>
      </c>
      <c r="B117" s="416">
        <v>7.2712220148324E-2</v>
      </c>
      <c r="C117" s="275"/>
      <c r="D117" s="1786">
        <v>38991</v>
      </c>
      <c r="E117" s="1787">
        <v>34.318960640176101</v>
      </c>
      <c r="F117" s="1787">
        <v>37.318960640176101</v>
      </c>
      <c r="G117" s="1787">
        <v>41.818960640176101</v>
      </c>
      <c r="H117" s="1788"/>
      <c r="I117" s="1787">
        <v>23.501612903225805</v>
      </c>
      <c r="J117" s="1787">
        <v>24.751612903225805</v>
      </c>
      <c r="K117" s="1787">
        <v>27.751612903225805</v>
      </c>
      <c r="M117" s="1791">
        <v>39873</v>
      </c>
      <c r="N117" s="1792">
        <v>25.431757176586309</v>
      </c>
      <c r="O117" s="1792">
        <v>28.681757176586309</v>
      </c>
      <c r="P117" s="1792">
        <v>33.681757176586309</v>
      </c>
      <c r="Q117" s="29"/>
      <c r="R117" s="1792">
        <v>18.261317882439734</v>
      </c>
      <c r="S117" s="1792">
        <v>21.511317882439734</v>
      </c>
      <c r="T117" s="1792">
        <v>26.511317882439734</v>
      </c>
      <c r="V117" s="500">
        <v>0</v>
      </c>
      <c r="W117" s="500">
        <v>0</v>
      </c>
      <c r="X117" s="500">
        <v>0</v>
      </c>
      <c r="Y117" s="27"/>
      <c r="Z117" s="1792">
        <v>0.125</v>
      </c>
      <c r="AA117" s="1792">
        <v>0.13500000000000001</v>
      </c>
      <c r="AB117" s="1792">
        <v>0.14499999999999999</v>
      </c>
      <c r="AC117" s="29"/>
      <c r="AD117" s="1792">
        <v>0.09</v>
      </c>
      <c r="AE117" s="1792">
        <v>0.11</v>
      </c>
      <c r="AF117" s="1792">
        <v>0.13</v>
      </c>
      <c r="AG117" s="29"/>
      <c r="AH117" s="1792">
        <v>-0.1</v>
      </c>
      <c r="AI117" s="1792">
        <v>0.65</v>
      </c>
      <c r="AJ117" s="1792">
        <v>0.1</v>
      </c>
      <c r="AK117" s="29"/>
      <c r="AL117" s="1792">
        <v>-0.01</v>
      </c>
      <c r="AM117" s="1792">
        <v>0.16</v>
      </c>
      <c r="AN117" s="1792">
        <v>0.01</v>
      </c>
      <c r="AO117" s="29"/>
      <c r="AP117" s="14">
        <v>36</v>
      </c>
      <c r="AQ117" s="1802">
        <v>0.35</v>
      </c>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325">
        <v>40026</v>
      </c>
      <c r="BR117" s="415">
        <v>3.0465000000000004</v>
      </c>
      <c r="BS117" s="415">
        <v>3.0515000000000003</v>
      </c>
      <c r="BT117" s="415">
        <v>3.0565000000000002</v>
      </c>
      <c r="BU117" s="416">
        <v>0.15</v>
      </c>
      <c r="BV117" s="416">
        <v>0.1575</v>
      </c>
      <c r="BW117" s="416">
        <v>0.16500000000000001</v>
      </c>
      <c r="BX117" s="416">
        <v>-7.0000000000000007E-2</v>
      </c>
      <c r="BY117" s="416"/>
      <c r="BZ117" s="416">
        <v>7.0000000000000007E-2</v>
      </c>
      <c r="CA117" s="432">
        <v>0</v>
      </c>
      <c r="CB117" s="1618">
        <v>0</v>
      </c>
      <c r="CC117" s="445">
        <v>3.1590000000000003</v>
      </c>
      <c r="CD117" s="449">
        <v>0.16550000000000001</v>
      </c>
    </row>
    <row r="118" spans="1:82">
      <c r="A118" s="325">
        <v>40148</v>
      </c>
      <c r="B118" s="416">
        <v>7.2729857623409014E-2</v>
      </c>
      <c r="C118" s="11"/>
      <c r="D118" s="1786">
        <v>39022</v>
      </c>
      <c r="E118" s="1787">
        <v>26.568960640176108</v>
      </c>
      <c r="F118" s="1787">
        <v>29.568960640176108</v>
      </c>
      <c r="G118" s="1787">
        <v>34.068960640176108</v>
      </c>
      <c r="H118" s="1788"/>
      <c r="I118" s="1787">
        <v>24.841666666666665</v>
      </c>
      <c r="J118" s="1787">
        <v>26.091666666666665</v>
      </c>
      <c r="K118" s="1787">
        <v>29.091666666666665</v>
      </c>
      <c r="M118" s="1791">
        <v>39904</v>
      </c>
      <c r="N118" s="1792">
        <v>25.279649516308268</v>
      </c>
      <c r="O118" s="1792">
        <v>28.529649516308268</v>
      </c>
      <c r="P118" s="1792">
        <v>33.529649516308268</v>
      </c>
      <c r="Q118" s="29"/>
      <c r="R118" s="1792">
        <v>18.147237137231201</v>
      </c>
      <c r="S118" s="1792">
        <v>21.397237137231201</v>
      </c>
      <c r="T118" s="1792">
        <v>26.397237137231201</v>
      </c>
      <c r="V118" s="500">
        <v>0</v>
      </c>
      <c r="W118" s="500">
        <v>0</v>
      </c>
      <c r="X118" s="500">
        <v>0</v>
      </c>
      <c r="Y118" s="27"/>
      <c r="Z118" s="1792">
        <v>0.125</v>
      </c>
      <c r="AA118" s="1792">
        <v>0.13500000000000001</v>
      </c>
      <c r="AB118" s="1792">
        <v>0.14499999999999999</v>
      </c>
      <c r="AC118" s="29"/>
      <c r="AD118" s="1792">
        <v>0.09</v>
      </c>
      <c r="AE118" s="1792">
        <v>0.11</v>
      </c>
      <c r="AF118" s="1792">
        <v>0.13</v>
      </c>
      <c r="AG118" s="29"/>
      <c r="AH118" s="1792">
        <v>-0.1</v>
      </c>
      <c r="AI118" s="1792">
        <v>0.65</v>
      </c>
      <c r="AJ118" s="1792">
        <v>0.1</v>
      </c>
      <c r="AK118" s="29"/>
      <c r="AL118" s="1792">
        <v>-0.01</v>
      </c>
      <c r="AM118" s="1792">
        <v>0.16</v>
      </c>
      <c r="AN118" s="1792">
        <v>0.01</v>
      </c>
      <c r="AO118" s="29"/>
      <c r="AP118" s="14">
        <v>37</v>
      </c>
      <c r="AQ118" s="1802">
        <v>0.35</v>
      </c>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325">
        <v>40057</v>
      </c>
      <c r="BR118" s="415">
        <v>3.0474999999999999</v>
      </c>
      <c r="BS118" s="415">
        <v>3.0525000000000002</v>
      </c>
      <c r="BT118" s="415">
        <v>3.0575000000000001</v>
      </c>
      <c r="BU118" s="416">
        <v>0.15</v>
      </c>
      <c r="BV118" s="416">
        <v>0.1575</v>
      </c>
      <c r="BW118" s="416">
        <v>0.16500000000000001</v>
      </c>
      <c r="BX118" s="416">
        <v>-7.0000000000000007E-2</v>
      </c>
      <c r="BY118" s="416"/>
      <c r="BZ118" s="416">
        <v>7.0000000000000007E-2</v>
      </c>
      <c r="CA118" s="432">
        <v>0</v>
      </c>
      <c r="CB118" s="1618">
        <v>0</v>
      </c>
      <c r="CC118" s="445">
        <v>3.0340000000000003</v>
      </c>
      <c r="CD118" s="449">
        <v>0.16550000000000001</v>
      </c>
    </row>
    <row r="119" spans="1:82">
      <c r="A119" s="325">
        <v>40179</v>
      </c>
      <c r="B119" s="416">
        <v>7.274808301444001E-2</v>
      </c>
      <c r="C119" s="11"/>
      <c r="D119" s="1786">
        <v>39052</v>
      </c>
      <c r="E119" s="1787">
        <v>28.568960640176105</v>
      </c>
      <c r="F119" s="1787">
        <v>31.568960640176105</v>
      </c>
      <c r="G119" s="1787">
        <v>36.068960640176101</v>
      </c>
      <c r="H119" s="1788"/>
      <c r="I119" s="1787">
        <v>24.146774193548392</v>
      </c>
      <c r="J119" s="1787">
        <v>25.396774193548392</v>
      </c>
      <c r="K119" s="1787">
        <v>28.396774193548392</v>
      </c>
      <c r="M119" s="1791">
        <v>39934</v>
      </c>
      <c r="N119" s="1792">
        <v>25.279649516308268</v>
      </c>
      <c r="O119" s="1792">
        <v>28.529649516308268</v>
      </c>
      <c r="P119" s="1792">
        <v>33.529649516308268</v>
      </c>
      <c r="Q119" s="29"/>
      <c r="R119" s="1792">
        <v>18.147237137231201</v>
      </c>
      <c r="S119" s="1792">
        <v>21.397237137231201</v>
      </c>
      <c r="T119" s="1792">
        <v>26.397237137231201</v>
      </c>
      <c r="V119" s="500">
        <v>0</v>
      </c>
      <c r="W119" s="500">
        <v>0</v>
      </c>
      <c r="X119" s="500">
        <v>0</v>
      </c>
      <c r="Y119" s="27"/>
      <c r="Z119" s="1792">
        <v>0.125</v>
      </c>
      <c r="AA119" s="1792">
        <v>0.13500000000000001</v>
      </c>
      <c r="AB119" s="1792">
        <v>0.14499999999999999</v>
      </c>
      <c r="AC119" s="29"/>
      <c r="AD119" s="1792">
        <v>0.09</v>
      </c>
      <c r="AE119" s="1792">
        <v>0.11</v>
      </c>
      <c r="AF119" s="1792">
        <v>0.13</v>
      </c>
      <c r="AG119" s="29"/>
      <c r="AH119" s="1792">
        <v>-0.1</v>
      </c>
      <c r="AI119" s="1792">
        <v>0.65</v>
      </c>
      <c r="AJ119" s="1792">
        <v>0.1</v>
      </c>
      <c r="AK119" s="29"/>
      <c r="AL119" s="1792">
        <v>-0.01</v>
      </c>
      <c r="AM119" s="1792">
        <v>0.16</v>
      </c>
      <c r="AN119" s="1792">
        <v>0.01</v>
      </c>
      <c r="AO119" s="29"/>
      <c r="AP119" s="14">
        <v>37</v>
      </c>
      <c r="AQ119" s="1802">
        <v>0.35</v>
      </c>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325">
        <v>40087</v>
      </c>
      <c r="BR119" s="415">
        <v>3.0685000000000002</v>
      </c>
      <c r="BS119" s="415">
        <v>3.0735000000000001</v>
      </c>
      <c r="BT119" s="415">
        <v>3.0785000000000005</v>
      </c>
      <c r="BU119" s="416">
        <v>0.15</v>
      </c>
      <c r="BV119" s="416">
        <v>0.1575</v>
      </c>
      <c r="BW119" s="416">
        <v>0.16500000000000001</v>
      </c>
      <c r="BX119" s="416">
        <v>-7.0000000000000007E-2</v>
      </c>
      <c r="BY119" s="416"/>
      <c r="BZ119" s="416">
        <v>7.0000000000000007E-2</v>
      </c>
      <c r="CA119" s="432">
        <v>0</v>
      </c>
      <c r="CB119" s="1618">
        <v>0</v>
      </c>
      <c r="CC119" s="445">
        <v>2.927</v>
      </c>
      <c r="CD119" s="449">
        <v>0.16550000000000001</v>
      </c>
    </row>
    <row r="120" spans="1:82">
      <c r="A120" s="325">
        <v>40210</v>
      </c>
      <c r="B120" s="416">
        <v>7.2766308405580016E-2</v>
      </c>
      <c r="C120" s="11"/>
      <c r="D120" s="1786">
        <v>39083</v>
      </c>
      <c r="E120" s="1787">
        <v>27.220622052839104</v>
      </c>
      <c r="F120" s="1787">
        <v>30.220622052839104</v>
      </c>
      <c r="G120" s="1787">
        <v>35.220622052839104</v>
      </c>
      <c r="H120" s="1788"/>
      <c r="I120" s="1787">
        <v>21.538119151052207</v>
      </c>
      <c r="J120" s="1787">
        <v>23.038119151052207</v>
      </c>
      <c r="K120" s="1787">
        <v>27.038119151052207</v>
      </c>
      <c r="M120" s="1791">
        <v>39965</v>
      </c>
      <c r="N120" s="1792">
        <v>30.529649516308268</v>
      </c>
      <c r="O120" s="1792">
        <v>33.779649516308268</v>
      </c>
      <c r="P120" s="1792">
        <v>38.779649516308268</v>
      </c>
      <c r="Q120" s="29"/>
      <c r="R120" s="1792">
        <v>22.084737137231201</v>
      </c>
      <c r="S120" s="1792">
        <v>25.334737137231201</v>
      </c>
      <c r="T120" s="1792">
        <v>30.334737137231201</v>
      </c>
      <c r="V120" s="500">
        <v>0</v>
      </c>
      <c r="W120" s="500">
        <v>0</v>
      </c>
      <c r="X120" s="500">
        <v>0</v>
      </c>
      <c r="Y120" s="27"/>
      <c r="Z120" s="1792">
        <v>0.125</v>
      </c>
      <c r="AA120" s="1792">
        <v>0.13500000000000001</v>
      </c>
      <c r="AB120" s="1792">
        <v>0.14499999999999999</v>
      </c>
      <c r="AC120" s="29"/>
      <c r="AD120" s="1792">
        <v>0.09</v>
      </c>
      <c r="AE120" s="1792">
        <v>0.11</v>
      </c>
      <c r="AF120" s="1792">
        <v>0.13</v>
      </c>
      <c r="AG120" s="29"/>
      <c r="AH120" s="1792">
        <v>-0.35</v>
      </c>
      <c r="AI120" s="1792">
        <v>0.65</v>
      </c>
      <c r="AJ120" s="1792">
        <v>0.2</v>
      </c>
      <c r="AK120" s="29"/>
      <c r="AL120" s="1792">
        <v>-0.01</v>
      </c>
      <c r="AM120" s="1792">
        <v>0.16</v>
      </c>
      <c r="AN120" s="1792">
        <v>0.01</v>
      </c>
      <c r="AO120" s="29"/>
      <c r="AP120" s="14">
        <v>37</v>
      </c>
      <c r="AQ120" s="1802">
        <v>0.35</v>
      </c>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325">
        <v>40118</v>
      </c>
      <c r="BR120" s="415">
        <v>3.1715000000000004</v>
      </c>
      <c r="BS120" s="415">
        <v>3.1765000000000003</v>
      </c>
      <c r="BT120" s="415">
        <v>3.1815000000000002</v>
      </c>
      <c r="BU120" s="416">
        <v>0.15</v>
      </c>
      <c r="BV120" s="416">
        <v>0.1575</v>
      </c>
      <c r="BW120" s="416">
        <v>0.16500000000000001</v>
      </c>
      <c r="BX120" s="416">
        <v>-7.0000000000000007E-2</v>
      </c>
      <c r="BY120" s="416"/>
      <c r="BZ120" s="416">
        <v>7.0000000000000007E-2</v>
      </c>
      <c r="CA120" s="432">
        <v>0</v>
      </c>
      <c r="CB120" s="1618">
        <v>0</v>
      </c>
      <c r="CC120" s="445">
        <v>2.8240000000000003</v>
      </c>
      <c r="CD120" s="449">
        <v>0.16550000000000001</v>
      </c>
    </row>
    <row r="121" spans="1:82">
      <c r="A121" s="325">
        <v>40238</v>
      </c>
      <c r="B121" s="416">
        <v>7.2782770049284032E-2</v>
      </c>
      <c r="C121" s="11"/>
      <c r="D121" s="1786">
        <v>39114</v>
      </c>
      <c r="E121" s="1787">
        <v>26.720622052839104</v>
      </c>
      <c r="F121" s="1787">
        <v>29.720622052839104</v>
      </c>
      <c r="G121" s="1787">
        <v>34.720622052839104</v>
      </c>
      <c r="H121" s="1788"/>
      <c r="I121" s="1787">
        <v>22.507142857142856</v>
      </c>
      <c r="J121" s="1787">
        <v>24.007142857142856</v>
      </c>
      <c r="K121" s="1787">
        <v>28.007142857142856</v>
      </c>
      <c r="M121" s="1791">
        <v>39995</v>
      </c>
      <c r="N121" s="1792">
        <v>56.75419172564375</v>
      </c>
      <c r="O121" s="1792">
        <v>60.00419172564375</v>
      </c>
      <c r="P121" s="1792">
        <v>65.00419172564375</v>
      </c>
      <c r="Q121" s="29"/>
      <c r="R121" s="1792">
        <v>41.753143794232813</v>
      </c>
      <c r="S121" s="1792">
        <v>45.003143794232813</v>
      </c>
      <c r="T121" s="1792">
        <v>50.003143794232813</v>
      </c>
      <c r="V121" s="500">
        <v>0</v>
      </c>
      <c r="W121" s="500">
        <v>0</v>
      </c>
      <c r="X121" s="500">
        <v>0</v>
      </c>
      <c r="Y121" s="27"/>
      <c r="Z121" s="1792">
        <v>0.125</v>
      </c>
      <c r="AA121" s="1792">
        <v>0.13500000000000001</v>
      </c>
      <c r="AB121" s="1792">
        <v>0.14499999999999999</v>
      </c>
      <c r="AC121" s="29"/>
      <c r="AD121" s="1792">
        <v>0.09</v>
      </c>
      <c r="AE121" s="1792">
        <v>0.11</v>
      </c>
      <c r="AF121" s="1792">
        <v>0.13</v>
      </c>
      <c r="AG121" s="29"/>
      <c r="AH121" s="1792">
        <v>-0.35</v>
      </c>
      <c r="AI121" s="1792">
        <v>3</v>
      </c>
      <c r="AJ121" s="1792">
        <v>0.35</v>
      </c>
      <c r="AK121" s="29"/>
      <c r="AL121" s="1792">
        <v>-0.01</v>
      </c>
      <c r="AM121" s="1792">
        <v>0.16</v>
      </c>
      <c r="AN121" s="1792">
        <v>0.01</v>
      </c>
      <c r="AO121" s="29"/>
      <c r="AP121" s="14">
        <v>38</v>
      </c>
      <c r="AQ121" s="1802">
        <v>0.35</v>
      </c>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325">
        <v>40148</v>
      </c>
      <c r="BR121" s="415">
        <v>3.2765000000000004</v>
      </c>
      <c r="BS121" s="415">
        <v>3.2815000000000003</v>
      </c>
      <c r="BT121" s="415">
        <v>3.2865000000000002</v>
      </c>
      <c r="BU121" s="416">
        <v>0.14749999999999999</v>
      </c>
      <c r="BV121" s="416">
        <v>0.155</v>
      </c>
      <c r="BW121" s="416">
        <v>0.16250000000000001</v>
      </c>
      <c r="BX121" s="416">
        <v>-7.0000000000000007E-2</v>
      </c>
      <c r="BY121" s="416"/>
      <c r="BZ121" s="416">
        <v>7.0000000000000007E-2</v>
      </c>
      <c r="CA121" s="432">
        <v>0</v>
      </c>
      <c r="CB121" s="1618">
        <v>0</v>
      </c>
      <c r="CC121" s="445">
        <v>2.8</v>
      </c>
      <c r="CD121" s="449">
        <v>0.16550000000000001</v>
      </c>
    </row>
    <row r="122" spans="1:82">
      <c r="A122" s="325">
        <v>40269</v>
      </c>
      <c r="B122" s="416">
        <v>7.280099544063301E-2</v>
      </c>
      <c r="C122" s="11"/>
      <c r="D122" s="1786">
        <v>39142</v>
      </c>
      <c r="E122" s="1787">
        <v>26.470622052839104</v>
      </c>
      <c r="F122" s="1787">
        <v>29.470622052839104</v>
      </c>
      <c r="G122" s="1787">
        <v>34.470622052839104</v>
      </c>
      <c r="H122" s="1788"/>
      <c r="I122" s="1787">
        <v>22.78709677419355</v>
      </c>
      <c r="J122" s="1787">
        <v>24.28709677419355</v>
      </c>
      <c r="K122" s="1787">
        <v>28.28709677419355</v>
      </c>
      <c r="M122" s="1791">
        <v>40026</v>
      </c>
      <c r="N122" s="1792">
        <v>77.37919172564375</v>
      </c>
      <c r="O122" s="1792">
        <v>80.62919172564375</v>
      </c>
      <c r="P122" s="1792">
        <v>85.62919172564375</v>
      </c>
      <c r="Q122" s="29"/>
      <c r="R122" s="1792">
        <v>57.221893794232813</v>
      </c>
      <c r="S122" s="1792">
        <v>60.471893794232813</v>
      </c>
      <c r="T122" s="1792">
        <v>65.471893794232813</v>
      </c>
      <c r="V122" s="500">
        <v>0</v>
      </c>
      <c r="W122" s="500">
        <v>0</v>
      </c>
      <c r="X122" s="500">
        <v>0</v>
      </c>
      <c r="Y122" s="27"/>
      <c r="Z122" s="1792">
        <v>0.125</v>
      </c>
      <c r="AA122" s="1792">
        <v>0.13500000000000001</v>
      </c>
      <c r="AB122" s="1792">
        <v>0.14499999999999999</v>
      </c>
      <c r="AC122" s="29"/>
      <c r="AD122" s="1792">
        <v>0.09</v>
      </c>
      <c r="AE122" s="1792">
        <v>0.11</v>
      </c>
      <c r="AF122" s="1792">
        <v>0.13</v>
      </c>
      <c r="AG122" s="29"/>
      <c r="AH122" s="1792">
        <v>-0.35</v>
      </c>
      <c r="AI122" s="1792">
        <v>3</v>
      </c>
      <c r="AJ122" s="1792">
        <v>0.35</v>
      </c>
      <c r="AK122" s="29"/>
      <c r="AL122" s="1792">
        <v>-0.01</v>
      </c>
      <c r="AM122" s="1792">
        <v>0.16</v>
      </c>
      <c r="AN122" s="1792">
        <v>0.01</v>
      </c>
      <c r="AO122" s="29"/>
      <c r="AP122" s="14">
        <v>38</v>
      </c>
      <c r="AQ122" s="1802">
        <v>0.35</v>
      </c>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325">
        <v>40179</v>
      </c>
      <c r="BR122" s="415">
        <v>3.3265000000000002</v>
      </c>
      <c r="BS122" s="415">
        <v>3.3315000000000006</v>
      </c>
      <c r="BT122" s="415">
        <v>3.3365000000000005</v>
      </c>
      <c r="BU122" s="416">
        <v>0.14249999999999999</v>
      </c>
      <c r="BV122" s="416">
        <v>0.15</v>
      </c>
      <c r="BW122" s="416">
        <v>0.1575</v>
      </c>
      <c r="BX122" s="416">
        <v>-7.0000000000000007E-2</v>
      </c>
      <c r="BY122" s="416"/>
      <c r="BZ122" s="416">
        <v>7.0000000000000007E-2</v>
      </c>
      <c r="CA122" s="432">
        <v>0</v>
      </c>
      <c r="CB122" s="1618">
        <v>0</v>
      </c>
      <c r="CC122" s="445">
        <v>2.8069999999999999</v>
      </c>
      <c r="CD122" s="449">
        <v>0.16550000000000001</v>
      </c>
    </row>
    <row r="123" spans="1:82">
      <c r="A123" s="325">
        <v>40299</v>
      </c>
      <c r="B123" s="416">
        <v>7.2809194381225004E-2</v>
      </c>
      <c r="C123" s="11"/>
      <c r="D123" s="1786">
        <v>39173</v>
      </c>
      <c r="E123" s="1787">
        <v>26.554933984425674</v>
      </c>
      <c r="F123" s="1787">
        <v>29.554933984425674</v>
      </c>
      <c r="G123" s="1787">
        <v>34.554933984425674</v>
      </c>
      <c r="H123" s="1788"/>
      <c r="I123" s="1787">
        <v>20.587499999999999</v>
      </c>
      <c r="J123" s="1787">
        <v>22.087499999999999</v>
      </c>
      <c r="K123" s="1787">
        <v>26.087499999999999</v>
      </c>
      <c r="M123" s="1791">
        <v>40057</v>
      </c>
      <c r="N123" s="1792">
        <v>61.37919172564375</v>
      </c>
      <c r="O123" s="1792">
        <v>64.62919172564375</v>
      </c>
      <c r="P123" s="1792">
        <v>69.62919172564375</v>
      </c>
      <c r="Q123" s="29"/>
      <c r="R123" s="1792">
        <v>45.221893794232813</v>
      </c>
      <c r="S123" s="1792">
        <v>48.471893794232813</v>
      </c>
      <c r="T123" s="1792">
        <v>53.471893794232813</v>
      </c>
      <c r="V123" s="500">
        <v>0</v>
      </c>
      <c r="W123" s="500">
        <v>0</v>
      </c>
      <c r="X123" s="500">
        <v>0</v>
      </c>
      <c r="Y123" s="27"/>
      <c r="Z123" s="1792">
        <v>0.125</v>
      </c>
      <c r="AA123" s="1792">
        <v>0.13500000000000001</v>
      </c>
      <c r="AB123" s="1792">
        <v>0.14499999999999999</v>
      </c>
      <c r="AC123" s="29"/>
      <c r="AD123" s="1792">
        <v>0.09</v>
      </c>
      <c r="AE123" s="1792">
        <v>0.11</v>
      </c>
      <c r="AF123" s="1792">
        <v>0.13</v>
      </c>
      <c r="AG123" s="29"/>
      <c r="AH123" s="1792">
        <v>-0.35</v>
      </c>
      <c r="AI123" s="1792">
        <v>3</v>
      </c>
      <c r="AJ123" s="1792">
        <v>0.2</v>
      </c>
      <c r="AK123" s="29"/>
      <c r="AL123" s="1792">
        <v>-0.01</v>
      </c>
      <c r="AM123" s="1792">
        <v>0.16</v>
      </c>
      <c r="AN123" s="1792">
        <v>0.01</v>
      </c>
      <c r="AO123" s="29"/>
      <c r="AP123" s="14">
        <v>38</v>
      </c>
      <c r="AQ123" s="1802">
        <v>0.35</v>
      </c>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325">
        <v>40210</v>
      </c>
      <c r="BR123" s="415">
        <v>3.2415000000000003</v>
      </c>
      <c r="BS123" s="415">
        <v>3.2465000000000006</v>
      </c>
      <c r="BT123" s="415">
        <v>3.2515000000000005</v>
      </c>
      <c r="BU123" s="416">
        <v>0.14249999999999999</v>
      </c>
      <c r="BV123" s="416">
        <v>0.15</v>
      </c>
      <c r="BW123" s="416">
        <v>0.1575</v>
      </c>
      <c r="BX123" s="416">
        <v>-7.0000000000000007E-2</v>
      </c>
      <c r="BY123" s="416"/>
      <c r="BZ123" s="416">
        <v>7.0000000000000007E-2</v>
      </c>
      <c r="CA123" s="432">
        <v>0</v>
      </c>
      <c r="CB123" s="1618">
        <v>0</v>
      </c>
      <c r="CC123" s="445">
        <v>2.8130000000000002</v>
      </c>
      <c r="CD123" s="449">
        <v>0.16550000000000001</v>
      </c>
    </row>
    <row r="124" spans="1:82">
      <c r="A124" s="325">
        <v>40330</v>
      </c>
      <c r="B124" s="416">
        <v>7.2810208326507017E-2</v>
      </c>
      <c r="C124" s="11"/>
      <c r="D124" s="1786">
        <v>39203</v>
      </c>
      <c r="E124" s="1787">
        <v>25.804933984425674</v>
      </c>
      <c r="F124" s="1787">
        <v>28.804933984425674</v>
      </c>
      <c r="G124" s="1787">
        <v>33.804933984425674</v>
      </c>
      <c r="H124" s="1788"/>
      <c r="I124" s="1787">
        <v>20.645967741935483</v>
      </c>
      <c r="J124" s="1787">
        <v>22.145967741935483</v>
      </c>
      <c r="K124" s="1787">
        <v>26.145967741935483</v>
      </c>
      <c r="M124" s="1791">
        <v>40087</v>
      </c>
      <c r="N124" s="1792">
        <v>33.664554129426698</v>
      </c>
      <c r="O124" s="1792">
        <v>36.914554129426698</v>
      </c>
      <c r="P124" s="1792">
        <v>41.914554129426698</v>
      </c>
      <c r="Q124" s="29"/>
      <c r="R124" s="1792">
        <v>24.435915597070029</v>
      </c>
      <c r="S124" s="1792">
        <v>27.685915597070029</v>
      </c>
      <c r="T124" s="1792">
        <v>32.685915597070029</v>
      </c>
      <c r="V124" s="500">
        <v>0</v>
      </c>
      <c r="W124" s="500">
        <v>0</v>
      </c>
      <c r="X124" s="500">
        <v>0</v>
      </c>
      <c r="Y124" s="27"/>
      <c r="Z124" s="1792">
        <v>0.125</v>
      </c>
      <c r="AA124" s="1792">
        <v>0.13500000000000001</v>
      </c>
      <c r="AB124" s="1792">
        <v>0.14499999999999999</v>
      </c>
      <c r="AC124" s="29"/>
      <c r="AD124" s="1792">
        <v>0.09</v>
      </c>
      <c r="AE124" s="1792">
        <v>0.11</v>
      </c>
      <c r="AF124" s="1792">
        <v>0.13</v>
      </c>
      <c r="AG124" s="29"/>
      <c r="AH124" s="1792">
        <v>-0.1</v>
      </c>
      <c r="AI124" s="1792">
        <v>0.6</v>
      </c>
      <c r="AJ124" s="1792">
        <v>0.1</v>
      </c>
      <c r="AK124" s="29"/>
      <c r="AL124" s="1792">
        <v>-0.01</v>
      </c>
      <c r="AM124" s="1792">
        <v>0.16</v>
      </c>
      <c r="AN124" s="1792">
        <v>0.01</v>
      </c>
      <c r="AO124" s="29"/>
      <c r="AP124" s="14">
        <v>39</v>
      </c>
      <c r="AQ124" s="1802">
        <v>0.35</v>
      </c>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325">
        <v>40238</v>
      </c>
      <c r="BR124" s="415">
        <v>3.1475</v>
      </c>
      <c r="BS124" s="415">
        <v>3.1524999999999999</v>
      </c>
      <c r="BT124" s="415">
        <v>3.1575000000000002</v>
      </c>
      <c r="BU124" s="416">
        <v>0.14249999999999999</v>
      </c>
      <c r="BV124" s="416">
        <v>0.15</v>
      </c>
      <c r="BW124" s="416">
        <v>0.1575</v>
      </c>
      <c r="BX124" s="416">
        <v>-7.0000000000000007E-2</v>
      </c>
      <c r="BY124" s="416"/>
      <c r="BZ124" s="416">
        <v>7.0000000000000007E-2</v>
      </c>
      <c r="CA124" s="432">
        <v>0</v>
      </c>
      <c r="CB124" s="1618">
        <v>0</v>
      </c>
      <c r="CC124" s="445">
        <v>2.8180000000000001</v>
      </c>
      <c r="CD124" s="449">
        <v>0.16550000000000001</v>
      </c>
    </row>
    <row r="125" spans="1:82">
      <c r="A125" s="325">
        <v>40360</v>
      </c>
      <c r="B125" s="416">
        <v>7.2811189563876999E-2</v>
      </c>
      <c r="C125" s="11"/>
      <c r="D125" s="1786">
        <v>39234</v>
      </c>
      <c r="E125" s="1787">
        <v>31.054933984425674</v>
      </c>
      <c r="F125" s="1787">
        <v>34.054933984425674</v>
      </c>
      <c r="G125" s="1787">
        <v>39.054933984425674</v>
      </c>
      <c r="H125" s="1788"/>
      <c r="I125" s="1787">
        <v>19.899999999999999</v>
      </c>
      <c r="J125" s="1787">
        <v>21.4</v>
      </c>
      <c r="K125" s="1787">
        <v>25.4</v>
      </c>
      <c r="M125" s="1791">
        <v>40118</v>
      </c>
      <c r="N125" s="1792">
        <v>25.914554129426708</v>
      </c>
      <c r="O125" s="1792">
        <v>29.164554129426708</v>
      </c>
      <c r="P125" s="1792">
        <v>34.164554129426705</v>
      </c>
      <c r="Q125" s="29"/>
      <c r="R125" s="1792">
        <v>18.623415597070029</v>
      </c>
      <c r="S125" s="1792">
        <v>21.873415597070029</v>
      </c>
      <c r="T125" s="1792">
        <v>26.873415597070029</v>
      </c>
      <c r="V125" s="500">
        <v>0</v>
      </c>
      <c r="W125" s="500">
        <v>0</v>
      </c>
      <c r="X125" s="500">
        <v>0</v>
      </c>
      <c r="Y125" s="27"/>
      <c r="Z125" s="1792">
        <v>0.125</v>
      </c>
      <c r="AA125" s="1792">
        <v>0.13500000000000001</v>
      </c>
      <c r="AB125" s="1792">
        <v>0.14499999999999999</v>
      </c>
      <c r="AC125" s="29"/>
      <c r="AD125" s="1792">
        <v>0.09</v>
      </c>
      <c r="AE125" s="1792">
        <v>0.11</v>
      </c>
      <c r="AF125" s="1792">
        <v>0.13</v>
      </c>
      <c r="AG125" s="29"/>
      <c r="AH125" s="1792">
        <v>-0.1</v>
      </c>
      <c r="AI125" s="1792">
        <v>0.6</v>
      </c>
      <c r="AJ125" s="1792">
        <v>0.1</v>
      </c>
      <c r="AK125" s="29"/>
      <c r="AL125" s="1792">
        <v>-0.01</v>
      </c>
      <c r="AM125" s="1792">
        <v>0.16</v>
      </c>
      <c r="AN125" s="1792">
        <v>0.01</v>
      </c>
      <c r="AO125" s="29"/>
      <c r="AP125" s="14">
        <v>39</v>
      </c>
      <c r="AQ125" s="1802">
        <v>0.35</v>
      </c>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325">
        <v>40269</v>
      </c>
      <c r="BR125" s="415">
        <v>3.0685000000000002</v>
      </c>
      <c r="BS125" s="415">
        <v>3.0735000000000001</v>
      </c>
      <c r="BT125" s="415">
        <v>3.0785000000000005</v>
      </c>
      <c r="BU125" s="416">
        <v>0.14249999999999999</v>
      </c>
      <c r="BV125" s="416">
        <v>0.15</v>
      </c>
      <c r="BW125" s="416">
        <v>0.1575</v>
      </c>
      <c r="BX125" s="416">
        <v>-7.0000000000000007E-2</v>
      </c>
      <c r="BY125" s="416"/>
      <c r="BZ125" s="416">
        <v>7.0000000000000007E-2</v>
      </c>
      <c r="CA125" s="432">
        <v>0</v>
      </c>
      <c r="CB125" s="1618">
        <v>0</v>
      </c>
      <c r="CC125" s="445">
        <v>2.8210000000000002</v>
      </c>
      <c r="CD125" s="449">
        <v>0.16550000000000001</v>
      </c>
    </row>
    <row r="126" spans="1:82">
      <c r="A126" s="325">
        <v>40391</v>
      </c>
      <c r="B126" s="416">
        <v>7.2812203509160012E-2</v>
      </c>
      <c r="C126" s="11"/>
      <c r="D126" s="1786">
        <v>39264</v>
      </c>
      <c r="E126" s="1787">
        <v>57.570045296218495</v>
      </c>
      <c r="F126" s="1787">
        <v>60.570045296218495</v>
      </c>
      <c r="G126" s="1787">
        <v>65.570045296218495</v>
      </c>
      <c r="H126" s="1788"/>
      <c r="I126" s="1787">
        <v>25.924193548387098</v>
      </c>
      <c r="J126" s="1787">
        <v>27.424193548387098</v>
      </c>
      <c r="K126" s="1787">
        <v>31.424193548387098</v>
      </c>
      <c r="M126" s="1791">
        <v>40148</v>
      </c>
      <c r="N126" s="1792">
        <v>27.914554129426705</v>
      </c>
      <c r="O126" s="1792">
        <v>31.164554129426705</v>
      </c>
      <c r="P126" s="1792">
        <v>36.164554129426705</v>
      </c>
      <c r="Q126" s="29"/>
      <c r="R126" s="1792">
        <v>20.123415597070029</v>
      </c>
      <c r="S126" s="1792">
        <v>23.373415597070029</v>
      </c>
      <c r="T126" s="1792">
        <v>28.373415597070029</v>
      </c>
      <c r="V126" s="500">
        <v>0</v>
      </c>
      <c r="W126" s="500">
        <v>0</v>
      </c>
      <c r="X126" s="500">
        <v>0</v>
      </c>
      <c r="Y126" s="27"/>
      <c r="Z126" s="1792">
        <v>0.125</v>
      </c>
      <c r="AA126" s="1792">
        <v>0.13500000000000001</v>
      </c>
      <c r="AB126" s="1792">
        <v>0.14499999999999999</v>
      </c>
      <c r="AC126" s="29"/>
      <c r="AD126" s="1792">
        <v>0.09</v>
      </c>
      <c r="AE126" s="1792">
        <v>0.11</v>
      </c>
      <c r="AF126" s="1792">
        <v>0.13</v>
      </c>
      <c r="AG126" s="29"/>
      <c r="AH126" s="1792">
        <v>-0.25</v>
      </c>
      <c r="AI126" s="1792">
        <v>0.6</v>
      </c>
      <c r="AJ126" s="1792">
        <v>0.25</v>
      </c>
      <c r="AK126" s="29"/>
      <c r="AL126" s="1792">
        <v>-0.01</v>
      </c>
      <c r="AM126" s="1792">
        <v>0.16</v>
      </c>
      <c r="AN126" s="1792">
        <v>0.01</v>
      </c>
      <c r="AO126" s="29"/>
      <c r="AP126" s="14">
        <v>39</v>
      </c>
      <c r="AQ126" s="1802">
        <v>0.35</v>
      </c>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325">
        <v>40299</v>
      </c>
      <c r="BR126" s="415">
        <v>3.0895000000000001</v>
      </c>
      <c r="BS126" s="415">
        <v>3.0945</v>
      </c>
      <c r="BT126" s="415">
        <v>3.0994999999999999</v>
      </c>
      <c r="BU126" s="416">
        <v>0.14249999999999999</v>
      </c>
      <c r="BV126" s="416">
        <v>0.15</v>
      </c>
      <c r="BW126" s="416">
        <v>0.1575</v>
      </c>
      <c r="BX126" s="416">
        <v>-7.0000000000000007E-2</v>
      </c>
      <c r="BY126" s="416"/>
      <c r="BZ126" s="416">
        <v>7.0000000000000007E-2</v>
      </c>
      <c r="CA126" s="432">
        <v>0</v>
      </c>
      <c r="CB126" s="1618">
        <v>0</v>
      </c>
      <c r="CC126" s="445">
        <v>2.8540000000000005</v>
      </c>
      <c r="CD126" s="449">
        <v>0.16550000000000001</v>
      </c>
    </row>
    <row r="127" spans="1:82">
      <c r="A127" s="325">
        <v>40422</v>
      </c>
      <c r="B127" s="416">
        <v>7.2813217454442983E-2</v>
      </c>
      <c r="C127" s="11"/>
      <c r="D127" s="1786">
        <v>39295</v>
      </c>
      <c r="E127" s="1787">
        <v>78.195045296218495</v>
      </c>
      <c r="F127" s="1787">
        <v>81.195045296218495</v>
      </c>
      <c r="G127" s="1787">
        <v>86.195045296218495</v>
      </c>
      <c r="H127" s="1788"/>
      <c r="I127" s="1787">
        <v>23.924193548387098</v>
      </c>
      <c r="J127" s="1787">
        <v>25.424193548387098</v>
      </c>
      <c r="K127" s="1787">
        <v>29.424193548387098</v>
      </c>
      <c r="M127" s="1791">
        <v>40179</v>
      </c>
      <c r="N127" s="1792">
        <v>26.133599563899246</v>
      </c>
      <c r="O127" s="1792">
        <v>29.883599563899246</v>
      </c>
      <c r="P127" s="1792">
        <v>34.883599563899246</v>
      </c>
      <c r="Q127" s="29"/>
      <c r="R127" s="1792">
        <v>18.662699672924436</v>
      </c>
      <c r="S127" s="1792">
        <v>22.412699672924436</v>
      </c>
      <c r="T127" s="1792">
        <v>27.412699672924436</v>
      </c>
      <c r="V127" s="500">
        <v>0</v>
      </c>
      <c r="W127" s="500">
        <v>0</v>
      </c>
      <c r="X127" s="500">
        <v>0</v>
      </c>
      <c r="Y127" s="27"/>
      <c r="Z127" s="1792">
        <v>0.12</v>
      </c>
      <c r="AA127" s="1792">
        <v>0.13</v>
      </c>
      <c r="AB127" s="1792">
        <v>0.14000000000000001</v>
      </c>
      <c r="AC127" s="29"/>
      <c r="AD127" s="1792">
        <v>0.09</v>
      </c>
      <c r="AE127" s="1792">
        <v>0.11</v>
      </c>
      <c r="AF127" s="1792">
        <v>0.13</v>
      </c>
      <c r="AG127" s="29"/>
      <c r="AH127" s="1792">
        <v>-0.25</v>
      </c>
      <c r="AI127" s="1792">
        <v>0.65</v>
      </c>
      <c r="AJ127" s="1792">
        <v>0.25</v>
      </c>
      <c r="AK127" s="29"/>
      <c r="AL127" s="1792">
        <v>-0.01</v>
      </c>
      <c r="AM127" s="1792">
        <v>0.16</v>
      </c>
      <c r="AN127" s="1792">
        <v>0.01</v>
      </c>
      <c r="AO127" s="29"/>
      <c r="AP127" s="14">
        <v>40</v>
      </c>
      <c r="AQ127" s="1802">
        <v>0.35</v>
      </c>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325">
        <v>40330</v>
      </c>
      <c r="BR127" s="415">
        <v>3.1035000000000004</v>
      </c>
      <c r="BS127" s="415">
        <v>3.1085000000000003</v>
      </c>
      <c r="BT127" s="415">
        <v>3.1135000000000002</v>
      </c>
      <c r="BU127" s="416">
        <v>0.14249999999999999</v>
      </c>
      <c r="BV127" s="416">
        <v>0.15</v>
      </c>
      <c r="BW127" s="416">
        <v>0.1575</v>
      </c>
      <c r="BX127" s="416">
        <v>-7.0000000000000007E-2</v>
      </c>
      <c r="BY127" s="416"/>
      <c r="BZ127" s="416">
        <v>7.0000000000000007E-2</v>
      </c>
      <c r="CA127" s="432">
        <v>0</v>
      </c>
      <c r="CB127" s="1618">
        <v>0</v>
      </c>
      <c r="CC127" s="445">
        <v>2.9950000000000001</v>
      </c>
      <c r="CD127" s="449">
        <v>0.16550000000000001</v>
      </c>
    </row>
    <row r="128" spans="1:82">
      <c r="A128" s="325">
        <v>40452</v>
      </c>
      <c r="B128" s="416">
        <v>7.2814198691813006E-2</v>
      </c>
      <c r="C128" s="11"/>
      <c r="D128" s="1786">
        <v>39326</v>
      </c>
      <c r="E128" s="1787">
        <v>62.195045296218495</v>
      </c>
      <c r="F128" s="1787">
        <v>65.195045296218495</v>
      </c>
      <c r="G128" s="1787">
        <v>70.195045296218495</v>
      </c>
      <c r="H128" s="1788"/>
      <c r="I128" s="1787">
        <v>24.337499999999999</v>
      </c>
      <c r="J128" s="1787">
        <v>25.837499999999999</v>
      </c>
      <c r="K128" s="1787">
        <v>29.837499999999999</v>
      </c>
      <c r="M128" s="1791">
        <v>40210</v>
      </c>
      <c r="N128" s="1792">
        <v>25.633599563899246</v>
      </c>
      <c r="O128" s="1792">
        <v>29.383599563899246</v>
      </c>
      <c r="P128" s="1792">
        <v>34.383599563899246</v>
      </c>
      <c r="Q128" s="29"/>
      <c r="R128" s="1792">
        <v>18.287699672924436</v>
      </c>
      <c r="S128" s="1792">
        <v>22.037699672924436</v>
      </c>
      <c r="T128" s="1792">
        <v>27.037699672924436</v>
      </c>
      <c r="V128" s="500">
        <v>0</v>
      </c>
      <c r="W128" s="500">
        <v>0</v>
      </c>
      <c r="X128" s="500">
        <v>0</v>
      </c>
      <c r="Y128" s="27"/>
      <c r="Z128" s="1792">
        <v>0.12</v>
      </c>
      <c r="AA128" s="1792">
        <v>0.13</v>
      </c>
      <c r="AB128" s="1792">
        <v>0.14000000000000001</v>
      </c>
      <c r="AC128" s="29"/>
      <c r="AD128" s="1792">
        <v>0.09</v>
      </c>
      <c r="AE128" s="1792">
        <v>0.11</v>
      </c>
      <c r="AF128" s="1792">
        <v>0.13</v>
      </c>
      <c r="AG128" s="29"/>
      <c r="AH128" s="1792">
        <v>-0.25</v>
      </c>
      <c r="AI128" s="1792">
        <v>0.65</v>
      </c>
      <c r="AJ128" s="1792">
        <v>0.25</v>
      </c>
      <c r="AK128" s="29"/>
      <c r="AL128" s="1792">
        <v>-0.01</v>
      </c>
      <c r="AM128" s="1792">
        <v>0.16</v>
      </c>
      <c r="AN128" s="1792">
        <v>0.01</v>
      </c>
      <c r="AO128" s="29"/>
      <c r="AP128" s="14">
        <v>40</v>
      </c>
      <c r="AQ128" s="1802">
        <v>0.35</v>
      </c>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325">
        <v>40360</v>
      </c>
      <c r="BR128" s="415">
        <v>3.1115000000000004</v>
      </c>
      <c r="BS128" s="415">
        <v>3.1165000000000003</v>
      </c>
      <c r="BT128" s="415">
        <v>3.1215000000000006</v>
      </c>
      <c r="BU128" s="416">
        <v>0.14249999999999999</v>
      </c>
      <c r="BV128" s="416">
        <v>0.15</v>
      </c>
      <c r="BW128" s="416">
        <v>0.1575</v>
      </c>
      <c r="BX128" s="416">
        <v>-7.0000000000000007E-2</v>
      </c>
      <c r="BY128" s="416"/>
      <c r="BZ128" s="416">
        <v>7.0000000000000007E-2</v>
      </c>
      <c r="CA128" s="432">
        <v>0</v>
      </c>
      <c r="CB128" s="1618">
        <v>0</v>
      </c>
      <c r="CC128" s="445">
        <v>3.14</v>
      </c>
      <c r="CD128" s="449">
        <v>0.16550000000000001</v>
      </c>
    </row>
    <row r="129" spans="1:82">
      <c r="A129" s="325">
        <v>40483</v>
      </c>
      <c r="B129" s="416">
        <v>7.2815212637098004E-2</v>
      </c>
      <c r="C129" s="11"/>
      <c r="D129" s="1786">
        <v>39356</v>
      </c>
      <c r="E129" s="1787">
        <v>34.139834332229739</v>
      </c>
      <c r="F129" s="1787">
        <v>37.139834332229739</v>
      </c>
      <c r="G129" s="1787">
        <v>42.139834332229739</v>
      </c>
      <c r="H129" s="1788"/>
      <c r="I129" s="1787">
        <v>23.851612903225806</v>
      </c>
      <c r="J129" s="1787">
        <v>25.351612903225806</v>
      </c>
      <c r="K129" s="1787">
        <v>29.351612903225806</v>
      </c>
      <c r="M129" s="1791">
        <v>40238</v>
      </c>
      <c r="N129" s="1792">
        <v>24.883599563899246</v>
      </c>
      <c r="O129" s="1792">
        <v>28.633599563899246</v>
      </c>
      <c r="P129" s="1792">
        <v>33.633599563899246</v>
      </c>
      <c r="Q129" s="29"/>
      <c r="R129" s="1792">
        <v>17.725199672924436</v>
      </c>
      <c r="S129" s="1792">
        <v>21.475199672924436</v>
      </c>
      <c r="T129" s="1792">
        <v>26.475199672924436</v>
      </c>
      <c r="V129" s="500">
        <v>0</v>
      </c>
      <c r="W129" s="500">
        <v>0</v>
      </c>
      <c r="X129" s="500">
        <v>0</v>
      </c>
      <c r="Y129" s="27"/>
      <c r="Z129" s="1792">
        <v>0.12</v>
      </c>
      <c r="AA129" s="1792">
        <v>0.13</v>
      </c>
      <c r="AB129" s="1792">
        <v>0.14000000000000001</v>
      </c>
      <c r="AC129" s="29"/>
      <c r="AD129" s="1792">
        <v>0.09</v>
      </c>
      <c r="AE129" s="1792">
        <v>0.11</v>
      </c>
      <c r="AF129" s="1792">
        <v>0.13</v>
      </c>
      <c r="AG129" s="29"/>
      <c r="AH129" s="1792">
        <v>-0.1</v>
      </c>
      <c r="AI129" s="1792">
        <v>0.65</v>
      </c>
      <c r="AJ129" s="1792">
        <v>0.1</v>
      </c>
      <c r="AK129" s="29"/>
      <c r="AL129" s="1792">
        <v>-0.01</v>
      </c>
      <c r="AM129" s="1792">
        <v>0.16</v>
      </c>
      <c r="AN129" s="1792">
        <v>0.01</v>
      </c>
      <c r="AO129" s="29"/>
      <c r="AP129" s="14">
        <v>40</v>
      </c>
      <c r="AQ129" s="1802">
        <v>0.35</v>
      </c>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325">
        <v>40391</v>
      </c>
      <c r="BR129" s="415">
        <v>3.1205000000000003</v>
      </c>
      <c r="BS129" s="415">
        <v>3.1255000000000002</v>
      </c>
      <c r="BT129" s="415">
        <v>3.1305000000000001</v>
      </c>
      <c r="BU129" s="416">
        <v>0.14249999999999999</v>
      </c>
      <c r="BV129" s="416">
        <v>0.15</v>
      </c>
      <c r="BW129" s="416">
        <v>0.1575</v>
      </c>
      <c r="BX129" s="416">
        <v>-7.0000000000000007E-2</v>
      </c>
      <c r="BY129" s="416"/>
      <c r="BZ129" s="416">
        <v>7.0000000000000007E-2</v>
      </c>
      <c r="CA129" s="432">
        <v>0</v>
      </c>
      <c r="CB129" s="1618">
        <v>0</v>
      </c>
      <c r="CC129" s="445">
        <v>3.2340000000000004</v>
      </c>
      <c r="CD129" s="449">
        <v>0.16450000000000001</v>
      </c>
    </row>
    <row r="130" spans="1:82">
      <c r="A130" s="325">
        <v>40513</v>
      </c>
      <c r="B130" s="416">
        <v>7.2816193874469012E-2</v>
      </c>
      <c r="C130" s="11"/>
      <c r="D130" s="1786">
        <v>39387</v>
      </c>
      <c r="E130" s="1787">
        <v>26.38983433222975</v>
      </c>
      <c r="F130" s="1787">
        <v>29.38983433222975</v>
      </c>
      <c r="G130" s="1787">
        <v>34.389834332229753</v>
      </c>
      <c r="H130" s="1788"/>
      <c r="I130" s="1787">
        <v>25.191666666666666</v>
      </c>
      <c r="J130" s="1787">
        <v>26.691666666666666</v>
      </c>
      <c r="K130" s="1787">
        <v>30.691666666666666</v>
      </c>
      <c r="M130" s="1791">
        <v>40269</v>
      </c>
      <c r="N130" s="1792">
        <v>24.73863753759532</v>
      </c>
      <c r="O130" s="1792">
        <v>28.48863753759532</v>
      </c>
      <c r="P130" s="1792">
        <v>33.488637537595324</v>
      </c>
      <c r="Q130" s="29"/>
      <c r="R130" s="1792">
        <v>17.616478153196489</v>
      </c>
      <c r="S130" s="1792">
        <v>21.366478153196489</v>
      </c>
      <c r="T130" s="1792">
        <v>26.366478153196489</v>
      </c>
      <c r="V130" s="500">
        <v>0</v>
      </c>
      <c r="W130" s="500">
        <v>0</v>
      </c>
      <c r="X130" s="500">
        <v>0</v>
      </c>
      <c r="Y130" s="27"/>
      <c r="Z130" s="1792">
        <v>0.12</v>
      </c>
      <c r="AA130" s="1792">
        <v>0.13</v>
      </c>
      <c r="AB130" s="1792">
        <v>0.14000000000000001</v>
      </c>
      <c r="AC130" s="29"/>
      <c r="AD130" s="1792">
        <v>0.09</v>
      </c>
      <c r="AE130" s="1792">
        <v>0.11</v>
      </c>
      <c r="AF130" s="1792">
        <v>0.13</v>
      </c>
      <c r="AG130" s="29"/>
      <c r="AH130" s="1792">
        <v>-0.1</v>
      </c>
      <c r="AI130" s="1792">
        <v>0.65</v>
      </c>
      <c r="AJ130" s="1792">
        <v>0.1</v>
      </c>
      <c r="AK130" s="29"/>
      <c r="AL130" s="1792">
        <v>-0.01</v>
      </c>
      <c r="AM130" s="1792">
        <v>0.16</v>
      </c>
      <c r="AN130" s="1792">
        <v>0.01</v>
      </c>
      <c r="AO130" s="29"/>
      <c r="AP130" s="14">
        <v>41</v>
      </c>
      <c r="AQ130" s="1802">
        <v>0.35</v>
      </c>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325">
        <v>40422</v>
      </c>
      <c r="BR130" s="415">
        <v>3.1205000000000003</v>
      </c>
      <c r="BS130" s="415">
        <v>3.1255000000000002</v>
      </c>
      <c r="BT130" s="415">
        <v>3.1305000000000001</v>
      </c>
      <c r="BU130" s="416">
        <v>0.14249999999999999</v>
      </c>
      <c r="BV130" s="416">
        <v>0.15</v>
      </c>
      <c r="BW130" s="416">
        <v>0.1575</v>
      </c>
      <c r="BX130" s="416">
        <v>-7.0000000000000007E-2</v>
      </c>
      <c r="BY130" s="416"/>
      <c r="BZ130" s="416">
        <v>7.0000000000000007E-2</v>
      </c>
      <c r="CA130" s="432">
        <v>0</v>
      </c>
      <c r="CB130" s="1618">
        <v>0</v>
      </c>
      <c r="CC130" s="445">
        <v>3.1090000000000004</v>
      </c>
      <c r="CD130" s="449">
        <v>0.16450000000000001</v>
      </c>
    </row>
    <row r="131" spans="1:82">
      <c r="A131" s="325">
        <v>40544</v>
      </c>
      <c r="B131" s="416">
        <v>7.281720781975301E-2</v>
      </c>
      <c r="C131" s="11"/>
      <c r="D131" s="1786">
        <v>39417</v>
      </c>
      <c r="E131" s="1787">
        <v>28.389834332229746</v>
      </c>
      <c r="F131" s="1787">
        <v>31.389834332229746</v>
      </c>
      <c r="G131" s="1787">
        <v>36.389834332229746</v>
      </c>
      <c r="H131" s="1788"/>
      <c r="I131" s="1787">
        <v>24.496774193548394</v>
      </c>
      <c r="J131" s="1787">
        <v>25.996774193548394</v>
      </c>
      <c r="K131" s="1787">
        <v>29.996774193548394</v>
      </c>
      <c r="M131" s="1791">
        <v>40299</v>
      </c>
      <c r="N131" s="1792">
        <v>24.73863753759532</v>
      </c>
      <c r="O131" s="1792">
        <v>28.48863753759532</v>
      </c>
      <c r="P131" s="1792">
        <v>33.488637537595324</v>
      </c>
      <c r="Q131" s="29"/>
      <c r="R131" s="1792">
        <v>17.616478153196489</v>
      </c>
      <c r="S131" s="1792">
        <v>21.366478153196489</v>
      </c>
      <c r="T131" s="1792">
        <v>26.366478153196489</v>
      </c>
      <c r="V131" s="500">
        <v>0</v>
      </c>
      <c r="W131" s="500">
        <v>0</v>
      </c>
      <c r="X131" s="500">
        <v>0</v>
      </c>
      <c r="Y131" s="27"/>
      <c r="Z131" s="1792">
        <v>0.12</v>
      </c>
      <c r="AA131" s="1792">
        <v>0.13</v>
      </c>
      <c r="AB131" s="1792">
        <v>0.14000000000000001</v>
      </c>
      <c r="AC131" s="29"/>
      <c r="AD131" s="1792">
        <v>0.09</v>
      </c>
      <c r="AE131" s="1792">
        <v>0.11</v>
      </c>
      <c r="AF131" s="1792">
        <v>0.13</v>
      </c>
      <c r="AG131" s="29"/>
      <c r="AH131" s="1792">
        <v>-0.1</v>
      </c>
      <c r="AI131" s="1792">
        <v>0.65</v>
      </c>
      <c r="AJ131" s="1792">
        <v>0.1</v>
      </c>
      <c r="AK131" s="29"/>
      <c r="AL131" s="1792">
        <v>-0.01</v>
      </c>
      <c r="AM131" s="1792">
        <v>0.16</v>
      </c>
      <c r="AN131" s="1792">
        <v>0.01</v>
      </c>
      <c r="AO131" s="29"/>
      <c r="AP131" s="14">
        <v>41</v>
      </c>
      <c r="AQ131" s="1802">
        <v>0.35</v>
      </c>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325">
        <v>40452</v>
      </c>
      <c r="BR131" s="415">
        <v>3.1405000000000003</v>
      </c>
      <c r="BS131" s="415">
        <v>3.1455000000000002</v>
      </c>
      <c r="BT131" s="415">
        <v>3.1505000000000001</v>
      </c>
      <c r="BU131" s="416">
        <v>0.14249999999999999</v>
      </c>
      <c r="BV131" s="416">
        <v>0.15</v>
      </c>
      <c r="BW131" s="416">
        <v>0.1575</v>
      </c>
      <c r="BX131" s="416">
        <v>-7.0000000000000007E-2</v>
      </c>
      <c r="BY131" s="416"/>
      <c r="BZ131" s="416">
        <v>7.0000000000000007E-2</v>
      </c>
      <c r="CA131" s="432">
        <v>0</v>
      </c>
      <c r="CB131" s="1618">
        <v>0</v>
      </c>
      <c r="CC131" s="445">
        <v>3.0019999999999998</v>
      </c>
      <c r="CD131" s="449">
        <v>0.16450000000000001</v>
      </c>
    </row>
    <row r="132" spans="1:82">
      <c r="A132" s="325">
        <v>40575</v>
      </c>
      <c r="B132" s="416">
        <v>7.2818221765038008E-2</v>
      </c>
      <c r="C132" s="11"/>
      <c r="D132" s="1786">
        <v>39448</v>
      </c>
      <c r="E132" s="1787">
        <v>26.814170411508343</v>
      </c>
      <c r="F132" s="1787">
        <v>30.064170411508343</v>
      </c>
      <c r="G132" s="1787">
        <v>35.064170411508343</v>
      </c>
      <c r="H132" s="1788"/>
      <c r="I132" s="1787">
        <v>22.138119151052209</v>
      </c>
      <c r="J132" s="1787">
        <v>23.638119151052209</v>
      </c>
      <c r="K132" s="1787">
        <v>27.638119151052209</v>
      </c>
      <c r="M132" s="1791">
        <v>40330</v>
      </c>
      <c r="N132" s="1792">
        <v>29.988637537595324</v>
      </c>
      <c r="O132" s="1792">
        <v>33.738637537595324</v>
      </c>
      <c r="P132" s="1792">
        <v>38.738637537595324</v>
      </c>
      <c r="Q132" s="29"/>
      <c r="R132" s="1792">
        <v>21.553978153196489</v>
      </c>
      <c r="S132" s="1792">
        <v>25.303978153196489</v>
      </c>
      <c r="T132" s="1792">
        <v>30.303978153196489</v>
      </c>
      <c r="V132" s="500">
        <v>0</v>
      </c>
      <c r="W132" s="500">
        <v>0</v>
      </c>
      <c r="X132" s="500">
        <v>0</v>
      </c>
      <c r="Y132" s="27"/>
      <c r="Z132" s="1792">
        <v>0.12</v>
      </c>
      <c r="AA132" s="1792">
        <v>0.13</v>
      </c>
      <c r="AB132" s="1792">
        <v>0.14000000000000001</v>
      </c>
      <c r="AC132" s="29"/>
      <c r="AD132" s="1792">
        <v>0.09</v>
      </c>
      <c r="AE132" s="1792">
        <v>0.11</v>
      </c>
      <c r="AF132" s="1792">
        <v>0.13</v>
      </c>
      <c r="AG132" s="29"/>
      <c r="AH132" s="1792">
        <v>-0.35</v>
      </c>
      <c r="AI132" s="1792">
        <v>0.65</v>
      </c>
      <c r="AJ132" s="1792">
        <v>0.2</v>
      </c>
      <c r="AK132" s="29"/>
      <c r="AL132" s="1792">
        <v>-0.01</v>
      </c>
      <c r="AM132" s="1792">
        <v>0.16</v>
      </c>
      <c r="AN132" s="1792">
        <v>0.01</v>
      </c>
      <c r="AO132" s="29"/>
      <c r="AP132" s="14">
        <v>41</v>
      </c>
      <c r="AQ132" s="1802">
        <v>0.35</v>
      </c>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325">
        <v>40483</v>
      </c>
      <c r="BR132" s="415">
        <v>3.2385000000000002</v>
      </c>
      <c r="BS132" s="415">
        <v>3.2435000000000005</v>
      </c>
      <c r="BT132" s="415">
        <v>3.2485000000000004</v>
      </c>
      <c r="BU132" s="416">
        <v>0.14249999999999999</v>
      </c>
      <c r="BV132" s="416">
        <v>0.15</v>
      </c>
      <c r="BW132" s="416">
        <v>0.1575</v>
      </c>
      <c r="BX132" s="416">
        <v>-7.0000000000000007E-2</v>
      </c>
      <c r="BY132" s="416"/>
      <c r="BZ132" s="416">
        <v>7.0000000000000007E-2</v>
      </c>
      <c r="CA132" s="432">
        <v>0</v>
      </c>
      <c r="CB132" s="1618">
        <v>0</v>
      </c>
      <c r="CC132" s="445">
        <v>2.8990000000000005</v>
      </c>
      <c r="CD132" s="449">
        <v>0.16450000000000001</v>
      </c>
    </row>
    <row r="133" spans="1:82">
      <c r="A133" s="325">
        <v>40603</v>
      </c>
      <c r="B133" s="416">
        <v>7.2819137586586022E-2</v>
      </c>
      <c r="C133" s="11"/>
      <c r="D133" s="1786">
        <v>39479</v>
      </c>
      <c r="E133" s="1787">
        <v>26.314170411508343</v>
      </c>
      <c r="F133" s="1787">
        <v>29.564170411508343</v>
      </c>
      <c r="G133" s="1787">
        <v>34.564170411508343</v>
      </c>
      <c r="H133" s="1788"/>
      <c r="I133" s="1787">
        <v>23.107142857142858</v>
      </c>
      <c r="J133" s="1787">
        <v>24.607142857142858</v>
      </c>
      <c r="K133" s="1787">
        <v>28.607142857142858</v>
      </c>
      <c r="M133" s="1791">
        <v>40360</v>
      </c>
      <c r="N133" s="1792">
        <v>56.181766360460315</v>
      </c>
      <c r="O133" s="1792">
        <v>59.931766360460315</v>
      </c>
      <c r="P133" s="1792">
        <v>64.931766360460315</v>
      </c>
      <c r="Q133" s="29"/>
      <c r="R133" s="1792">
        <v>41.19882477034524</v>
      </c>
      <c r="S133" s="1792">
        <v>44.94882477034524</v>
      </c>
      <c r="T133" s="1792">
        <v>49.94882477034524</v>
      </c>
      <c r="V133" s="500">
        <v>0</v>
      </c>
      <c r="W133" s="500">
        <v>0</v>
      </c>
      <c r="X133" s="500">
        <v>0</v>
      </c>
      <c r="Y133" s="27"/>
      <c r="Z133" s="1792">
        <v>0.12</v>
      </c>
      <c r="AA133" s="1792">
        <v>0.13</v>
      </c>
      <c r="AB133" s="1792">
        <v>0.14000000000000001</v>
      </c>
      <c r="AC133" s="29"/>
      <c r="AD133" s="1792">
        <v>0.09</v>
      </c>
      <c r="AE133" s="1792">
        <v>0.11</v>
      </c>
      <c r="AF133" s="1792">
        <v>0.13</v>
      </c>
      <c r="AG133" s="29"/>
      <c r="AH133" s="1792">
        <v>-0.35</v>
      </c>
      <c r="AI133" s="1792">
        <v>3</v>
      </c>
      <c r="AJ133" s="1792">
        <v>0.35</v>
      </c>
      <c r="AK133" s="29"/>
      <c r="AL133" s="1792">
        <v>-0.01</v>
      </c>
      <c r="AM133" s="1792">
        <v>0.16</v>
      </c>
      <c r="AN133" s="1792">
        <v>0.01</v>
      </c>
      <c r="AO133" s="29"/>
      <c r="AP133" s="14">
        <v>42</v>
      </c>
      <c r="AQ133" s="1802">
        <v>0.35</v>
      </c>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325">
        <v>40513</v>
      </c>
      <c r="BR133" s="415">
        <v>3.3405</v>
      </c>
      <c r="BS133" s="415">
        <v>3.3455000000000004</v>
      </c>
      <c r="BT133" s="415">
        <v>3.3505000000000003</v>
      </c>
      <c r="BU133" s="416">
        <v>0.14249999999999999</v>
      </c>
      <c r="BV133" s="416">
        <v>0.15</v>
      </c>
      <c r="BW133" s="416">
        <v>0.1575</v>
      </c>
      <c r="BX133" s="416">
        <v>-7.0000000000000007E-2</v>
      </c>
      <c r="BY133" s="416"/>
      <c r="BZ133" s="416">
        <v>7.0000000000000007E-2</v>
      </c>
      <c r="CA133" s="432">
        <v>0</v>
      </c>
      <c r="CB133" s="1618">
        <v>0</v>
      </c>
      <c r="CC133" s="445">
        <v>2.875</v>
      </c>
      <c r="CD133" s="449">
        <v>0.16450000000000001</v>
      </c>
    </row>
    <row r="134" spans="1:82">
      <c r="A134" s="325">
        <v>40634</v>
      </c>
      <c r="B134" s="416">
        <v>7.2820151531871033E-2</v>
      </c>
      <c r="C134" s="11"/>
      <c r="D134" s="1786">
        <v>39508</v>
      </c>
      <c r="E134" s="1787">
        <v>26.064170411508343</v>
      </c>
      <c r="F134" s="1787">
        <v>29.314170411508343</v>
      </c>
      <c r="G134" s="1787">
        <v>34.314170411508343</v>
      </c>
      <c r="H134" s="1788"/>
      <c r="I134" s="1787">
        <v>23.387096774193552</v>
      </c>
      <c r="J134" s="1787">
        <v>24.887096774193552</v>
      </c>
      <c r="K134" s="1787">
        <v>28.887096774193552</v>
      </c>
      <c r="M134" s="1791">
        <v>40391</v>
      </c>
      <c r="N134" s="1792">
        <v>76.806766360460315</v>
      </c>
      <c r="O134" s="1792">
        <v>80.556766360460315</v>
      </c>
      <c r="P134" s="1792">
        <v>85.556766360460315</v>
      </c>
      <c r="Q134" s="29"/>
      <c r="R134" s="1792">
        <v>56.66757477034524</v>
      </c>
      <c r="S134" s="1792">
        <v>60.41757477034524</v>
      </c>
      <c r="T134" s="1792">
        <v>65.41757477034524</v>
      </c>
      <c r="V134" s="500">
        <v>0</v>
      </c>
      <c r="W134" s="500">
        <v>0</v>
      </c>
      <c r="X134" s="500">
        <v>0</v>
      </c>
      <c r="Y134" s="27"/>
      <c r="Z134" s="1792">
        <v>0.12</v>
      </c>
      <c r="AA134" s="1792">
        <v>0.13</v>
      </c>
      <c r="AB134" s="1792">
        <v>0.14000000000000001</v>
      </c>
      <c r="AC134" s="29"/>
      <c r="AD134" s="1792">
        <v>0.09</v>
      </c>
      <c r="AE134" s="1792">
        <v>0.11</v>
      </c>
      <c r="AF134" s="1792">
        <v>0.13</v>
      </c>
      <c r="AG134" s="29"/>
      <c r="AH134" s="1792">
        <v>-0.35</v>
      </c>
      <c r="AI134" s="1792">
        <v>3</v>
      </c>
      <c r="AJ134" s="1792">
        <v>0.35</v>
      </c>
      <c r="AK134" s="29"/>
      <c r="AL134" s="1792">
        <v>-0.01</v>
      </c>
      <c r="AM134" s="1792">
        <v>0.16</v>
      </c>
      <c r="AN134" s="1792">
        <v>0.01</v>
      </c>
      <c r="AO134" s="29"/>
      <c r="AP134" s="14">
        <v>42</v>
      </c>
      <c r="AQ134" s="1802">
        <v>0.35</v>
      </c>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325">
        <v>40544</v>
      </c>
      <c r="BR134" s="415">
        <v>3.3910000000000005</v>
      </c>
      <c r="BS134" s="415">
        <v>3.3960000000000004</v>
      </c>
      <c r="BT134" s="415">
        <v>3.4010000000000002</v>
      </c>
      <c r="BU134" s="416">
        <v>0.14849999999999999</v>
      </c>
      <c r="BV134" s="416">
        <v>0.15</v>
      </c>
      <c r="BW134" s="416">
        <v>0.16350000000000001</v>
      </c>
      <c r="BX134" s="416">
        <v>-7.0000000000000007E-2</v>
      </c>
      <c r="BY134" s="416"/>
      <c r="BZ134" s="416">
        <v>7.0000000000000007E-2</v>
      </c>
      <c r="CA134" s="432">
        <v>0</v>
      </c>
      <c r="CB134" s="1618">
        <v>0</v>
      </c>
      <c r="CC134" s="445">
        <v>2.8820000000000001</v>
      </c>
      <c r="CD134" s="449">
        <v>0.16450000000000001</v>
      </c>
    </row>
    <row r="135" spans="1:82">
      <c r="A135" s="325">
        <v>40664</v>
      </c>
      <c r="B135" s="416">
        <v>7.2821132769244012E-2</v>
      </c>
      <c r="C135" s="11"/>
      <c r="D135" s="1786">
        <v>39539</v>
      </c>
      <c r="E135" s="1787">
        <v>26.149735606728807</v>
      </c>
      <c r="F135" s="1787">
        <v>29.399735606728807</v>
      </c>
      <c r="G135" s="1787">
        <v>34.399735606728811</v>
      </c>
      <c r="H135" s="1788"/>
      <c r="I135" s="1787">
        <v>21.1875</v>
      </c>
      <c r="J135" s="1787">
        <v>22.6875</v>
      </c>
      <c r="K135" s="1787">
        <v>26.6875</v>
      </c>
      <c r="M135" s="1791">
        <v>40422</v>
      </c>
      <c r="N135" s="1792">
        <v>60.806766360460315</v>
      </c>
      <c r="O135" s="1792">
        <v>64.556766360460315</v>
      </c>
      <c r="P135" s="1792">
        <v>69.556766360460315</v>
      </c>
      <c r="Q135" s="29"/>
      <c r="R135" s="1792">
        <v>44.66757477034524</v>
      </c>
      <c r="S135" s="1792">
        <v>48.41757477034524</v>
      </c>
      <c r="T135" s="1792">
        <v>53.41757477034524</v>
      </c>
      <c r="V135" s="500">
        <v>0</v>
      </c>
      <c r="W135" s="500">
        <v>0</v>
      </c>
      <c r="X135" s="500">
        <v>0</v>
      </c>
      <c r="Y135" s="27"/>
      <c r="Z135" s="1792">
        <v>0.12</v>
      </c>
      <c r="AA135" s="1792">
        <v>0.13</v>
      </c>
      <c r="AB135" s="1792">
        <v>0.14000000000000001</v>
      </c>
      <c r="AC135" s="29"/>
      <c r="AD135" s="1792">
        <v>0.09</v>
      </c>
      <c r="AE135" s="1792">
        <v>0.11</v>
      </c>
      <c r="AF135" s="1792">
        <v>0.13</v>
      </c>
      <c r="AG135" s="29"/>
      <c r="AH135" s="1792">
        <v>-0.35</v>
      </c>
      <c r="AI135" s="1792">
        <v>3</v>
      </c>
      <c r="AJ135" s="1792">
        <v>0.2</v>
      </c>
      <c r="AK135" s="29"/>
      <c r="AL135" s="1792">
        <v>-0.01</v>
      </c>
      <c r="AM135" s="1792">
        <v>0.16</v>
      </c>
      <c r="AN135" s="1792">
        <v>0.01</v>
      </c>
      <c r="AO135" s="29"/>
      <c r="AP135" s="14">
        <v>42</v>
      </c>
      <c r="AQ135" s="1802">
        <v>0.35</v>
      </c>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325">
        <v>40575</v>
      </c>
      <c r="BR135" s="415">
        <v>3.31</v>
      </c>
      <c r="BS135" s="415">
        <v>3.3149999999999999</v>
      </c>
      <c r="BT135" s="415">
        <v>3.32</v>
      </c>
      <c r="BU135" s="416">
        <v>0.14849999999999999</v>
      </c>
      <c r="BV135" s="416">
        <v>0.15</v>
      </c>
      <c r="BW135" s="416">
        <v>0.16350000000000001</v>
      </c>
      <c r="BX135" s="416">
        <v>-7.0000000000000007E-2</v>
      </c>
      <c r="BY135" s="416"/>
      <c r="BZ135" s="416">
        <v>7.0000000000000007E-2</v>
      </c>
      <c r="CA135" s="432">
        <v>0</v>
      </c>
      <c r="CB135" s="1618">
        <v>0</v>
      </c>
      <c r="CC135" s="445">
        <v>2.8880000000000003</v>
      </c>
      <c r="CD135" s="449">
        <v>0.16450000000000001</v>
      </c>
    </row>
    <row r="136" spans="1:82">
      <c r="A136" s="325">
        <v>40695</v>
      </c>
      <c r="B136" s="416">
        <v>7.2822146714530009E-2</v>
      </c>
      <c r="C136" s="11"/>
      <c r="D136" s="1786">
        <v>39569</v>
      </c>
      <c r="E136" s="1787">
        <v>25.399735606728807</v>
      </c>
      <c r="F136" s="1787">
        <v>28.649735606728807</v>
      </c>
      <c r="G136" s="1787">
        <v>33.649735606728811</v>
      </c>
      <c r="H136" s="1788"/>
      <c r="I136" s="1787">
        <v>21.245967741935484</v>
      </c>
      <c r="J136" s="1787">
        <v>22.745967741935484</v>
      </c>
      <c r="K136" s="1787">
        <v>26.745967741935484</v>
      </c>
      <c r="M136" s="1791">
        <v>40452</v>
      </c>
      <c r="N136" s="1792">
        <v>33.141477181998354</v>
      </c>
      <c r="O136" s="1792">
        <v>36.891477181998354</v>
      </c>
      <c r="P136" s="1792">
        <v>41.891477181998354</v>
      </c>
      <c r="Q136" s="29"/>
      <c r="R136" s="1792">
        <v>23.918607886498769</v>
      </c>
      <c r="S136" s="1792">
        <v>27.668607886498769</v>
      </c>
      <c r="T136" s="1792">
        <v>32.668607886498769</v>
      </c>
      <c r="V136" s="500">
        <v>0</v>
      </c>
      <c r="W136" s="500">
        <v>0</v>
      </c>
      <c r="X136" s="500">
        <v>0</v>
      </c>
      <c r="Y136" s="27"/>
      <c r="Z136" s="1792">
        <v>0.12</v>
      </c>
      <c r="AA136" s="1792">
        <v>0.13</v>
      </c>
      <c r="AB136" s="1792">
        <v>0.14000000000000001</v>
      </c>
      <c r="AC136" s="29"/>
      <c r="AD136" s="1792">
        <v>0.09</v>
      </c>
      <c r="AE136" s="1792">
        <v>0.11</v>
      </c>
      <c r="AF136" s="1792">
        <v>0.13</v>
      </c>
      <c r="AG136" s="29"/>
      <c r="AH136" s="1792">
        <v>-0.1</v>
      </c>
      <c r="AI136" s="1792">
        <v>0.6</v>
      </c>
      <c r="AJ136" s="1792">
        <v>0.1</v>
      </c>
      <c r="AK136" s="29"/>
      <c r="AL136" s="1792">
        <v>-0.01</v>
      </c>
      <c r="AM136" s="1792">
        <v>0.16</v>
      </c>
      <c r="AN136" s="1792">
        <v>0.01</v>
      </c>
      <c r="AO136" s="29"/>
      <c r="AP136" s="14">
        <v>43</v>
      </c>
      <c r="AQ136" s="1802">
        <v>0.35</v>
      </c>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325">
        <v>40603</v>
      </c>
      <c r="BR136" s="415">
        <v>3.2190000000000003</v>
      </c>
      <c r="BS136" s="415">
        <v>3.2240000000000002</v>
      </c>
      <c r="BT136" s="415">
        <v>3.2290000000000005</v>
      </c>
      <c r="BU136" s="416">
        <v>0.14849999999999999</v>
      </c>
      <c r="BV136" s="416">
        <v>0.15</v>
      </c>
      <c r="BW136" s="416">
        <v>0.16350000000000001</v>
      </c>
      <c r="BX136" s="416">
        <v>-7.0000000000000007E-2</v>
      </c>
      <c r="BY136" s="416"/>
      <c r="BZ136" s="416">
        <v>7.0000000000000007E-2</v>
      </c>
      <c r="CA136" s="432">
        <v>0</v>
      </c>
      <c r="CB136" s="1618">
        <v>0</v>
      </c>
      <c r="CC136" s="445">
        <v>2.8930000000000002</v>
      </c>
      <c r="CD136" s="449">
        <v>0.16450000000000001</v>
      </c>
    </row>
    <row r="137" spans="1:82">
      <c r="A137" s="325">
        <v>40725</v>
      </c>
      <c r="B137" s="416">
        <v>7.2823127951904015E-2</v>
      </c>
      <c r="C137" s="11"/>
      <c r="D137" s="1786">
        <v>39600</v>
      </c>
      <c r="E137" s="1787">
        <v>30.649735606728811</v>
      </c>
      <c r="F137" s="1787">
        <v>33.899735606728811</v>
      </c>
      <c r="G137" s="1787">
        <v>38.899735606728811</v>
      </c>
      <c r="H137" s="1788"/>
      <c r="I137" s="1787">
        <v>20.5</v>
      </c>
      <c r="J137" s="1787">
        <v>22</v>
      </c>
      <c r="K137" s="1787">
        <v>26</v>
      </c>
      <c r="M137" s="1791">
        <v>40483</v>
      </c>
      <c r="N137" s="1792">
        <v>25.391477181998365</v>
      </c>
      <c r="O137" s="1792">
        <v>29.141477181998365</v>
      </c>
      <c r="P137" s="1792">
        <v>34.141477181998368</v>
      </c>
      <c r="Q137" s="29"/>
      <c r="R137" s="1792">
        <v>18.106107886498769</v>
      </c>
      <c r="S137" s="1792">
        <v>21.856107886498769</v>
      </c>
      <c r="T137" s="1792">
        <v>26.856107886498769</v>
      </c>
      <c r="V137" s="500">
        <v>0</v>
      </c>
      <c r="W137" s="500">
        <v>0</v>
      </c>
      <c r="X137" s="500">
        <v>0</v>
      </c>
      <c r="Y137" s="27"/>
      <c r="Z137" s="1792">
        <v>0.12</v>
      </c>
      <c r="AA137" s="1792">
        <v>0.13</v>
      </c>
      <c r="AB137" s="1792">
        <v>0.14000000000000001</v>
      </c>
      <c r="AC137" s="29"/>
      <c r="AD137" s="1792">
        <v>0.09</v>
      </c>
      <c r="AE137" s="1792">
        <v>0.11</v>
      </c>
      <c r="AF137" s="1792">
        <v>0.13</v>
      </c>
      <c r="AG137" s="29"/>
      <c r="AH137" s="1792">
        <v>-0.1</v>
      </c>
      <c r="AI137" s="1792">
        <v>0.6</v>
      </c>
      <c r="AJ137" s="1792">
        <v>0.1</v>
      </c>
      <c r="AK137" s="29"/>
      <c r="AL137" s="1792">
        <v>-0.01</v>
      </c>
      <c r="AM137" s="1792">
        <v>0.16</v>
      </c>
      <c r="AN137" s="1792">
        <v>0.01</v>
      </c>
      <c r="AO137" s="29"/>
      <c r="AP137" s="14">
        <v>43</v>
      </c>
      <c r="AQ137" s="1802">
        <v>0.35</v>
      </c>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325">
        <v>40634</v>
      </c>
      <c r="BR137" s="415">
        <v>3.1430000000000002</v>
      </c>
      <c r="BS137" s="415">
        <v>3.1480000000000001</v>
      </c>
      <c r="BT137" s="415">
        <v>3.153</v>
      </c>
      <c r="BU137" s="416">
        <v>0.14849999999999999</v>
      </c>
      <c r="BV137" s="416">
        <v>0.15</v>
      </c>
      <c r="BW137" s="416">
        <v>0.16350000000000001</v>
      </c>
      <c r="BX137" s="416">
        <v>-7.0000000000000007E-2</v>
      </c>
      <c r="BY137" s="416"/>
      <c r="BZ137" s="416">
        <v>7.0000000000000007E-2</v>
      </c>
      <c r="CA137" s="432">
        <v>0</v>
      </c>
      <c r="CB137" s="1618">
        <v>0</v>
      </c>
      <c r="CC137" s="445">
        <v>2.8960000000000004</v>
      </c>
      <c r="CD137" s="449">
        <v>0.16450000000000001</v>
      </c>
    </row>
    <row r="138" spans="1:82">
      <c r="A138" s="325">
        <v>40756</v>
      </c>
      <c r="B138" s="416">
        <v>7.2824141897191025E-2</v>
      </c>
      <c r="C138" s="11"/>
      <c r="D138" s="1786">
        <v>39630</v>
      </c>
      <c r="E138" s="1787">
        <v>56.986186824766719</v>
      </c>
      <c r="F138" s="1787">
        <v>60.236186824766719</v>
      </c>
      <c r="G138" s="1787">
        <v>65.236186824766719</v>
      </c>
      <c r="H138" s="1788"/>
      <c r="I138" s="1787">
        <v>26.5241935483871</v>
      </c>
      <c r="J138" s="1787">
        <v>28.0241935483871</v>
      </c>
      <c r="K138" s="1787">
        <v>32.024193548387103</v>
      </c>
      <c r="M138" s="1791">
        <v>40513</v>
      </c>
      <c r="N138" s="1792">
        <v>27.391477181998361</v>
      </c>
      <c r="O138" s="1792">
        <v>31.141477181998361</v>
      </c>
      <c r="P138" s="1792">
        <v>36.141477181998361</v>
      </c>
      <c r="Q138" s="29"/>
      <c r="R138" s="1792">
        <v>19.606107886498769</v>
      </c>
      <c r="S138" s="1792">
        <v>23.356107886498769</v>
      </c>
      <c r="T138" s="1792">
        <v>28.356107886498769</v>
      </c>
      <c r="V138" s="500">
        <v>0</v>
      </c>
      <c r="W138" s="500">
        <v>0</v>
      </c>
      <c r="X138" s="500">
        <v>0</v>
      </c>
      <c r="Y138" s="27"/>
      <c r="Z138" s="1792">
        <v>0.12</v>
      </c>
      <c r="AA138" s="1792">
        <v>0.13</v>
      </c>
      <c r="AB138" s="1792">
        <v>0.14000000000000001</v>
      </c>
      <c r="AC138" s="29"/>
      <c r="AD138" s="1792">
        <v>0.09</v>
      </c>
      <c r="AE138" s="1792">
        <v>0.11</v>
      </c>
      <c r="AF138" s="1792">
        <v>0.13</v>
      </c>
      <c r="AG138" s="29"/>
      <c r="AH138" s="1792">
        <v>-0.25</v>
      </c>
      <c r="AI138" s="1792">
        <v>0.6</v>
      </c>
      <c r="AJ138" s="1792">
        <v>0.25</v>
      </c>
      <c r="AK138" s="29"/>
      <c r="AL138" s="1792">
        <v>-0.01</v>
      </c>
      <c r="AM138" s="1792">
        <v>0.16</v>
      </c>
      <c r="AN138" s="1792">
        <v>0.01</v>
      </c>
      <c r="AO138" s="29"/>
      <c r="AP138" s="14">
        <v>43</v>
      </c>
      <c r="AQ138" s="1802">
        <v>0.35</v>
      </c>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325">
        <v>40664</v>
      </c>
      <c r="BR138" s="415">
        <v>3.165</v>
      </c>
      <c r="BS138" s="415">
        <v>3.17</v>
      </c>
      <c r="BT138" s="415">
        <v>3.1749999999999998</v>
      </c>
      <c r="BU138" s="416">
        <v>0.14849999999999999</v>
      </c>
      <c r="BV138" s="416">
        <v>0.15</v>
      </c>
      <c r="BW138" s="416">
        <v>0.16350000000000001</v>
      </c>
      <c r="BX138" s="416">
        <v>-7.0000000000000007E-2</v>
      </c>
      <c r="BY138" s="416"/>
      <c r="BZ138" s="416">
        <v>7.0000000000000007E-2</v>
      </c>
      <c r="CA138" s="432">
        <v>0</v>
      </c>
      <c r="CB138" s="1618">
        <v>0</v>
      </c>
      <c r="CC138" s="445">
        <v>2.9290000000000003</v>
      </c>
      <c r="CD138" s="449">
        <v>0.16450000000000001</v>
      </c>
    </row>
    <row r="139" spans="1:82">
      <c r="A139" s="325">
        <v>40787</v>
      </c>
      <c r="B139" s="416">
        <v>7.282515584247802E-2</v>
      </c>
      <c r="C139" s="11"/>
      <c r="D139" s="1786">
        <v>39661</v>
      </c>
      <c r="E139" s="1787">
        <v>77.611186824766719</v>
      </c>
      <c r="F139" s="1787">
        <v>80.861186824766719</v>
      </c>
      <c r="G139" s="1787">
        <v>85.861186824766719</v>
      </c>
      <c r="H139" s="1788"/>
      <c r="I139" s="1787">
        <v>24.5241935483871</v>
      </c>
      <c r="J139" s="1787">
        <v>26.0241935483871</v>
      </c>
      <c r="K139" s="1787">
        <v>30.0241935483871</v>
      </c>
      <c r="M139" s="1791">
        <v>40544</v>
      </c>
      <c r="N139" s="1792">
        <v>26.121539960760071</v>
      </c>
      <c r="O139" s="1792">
        <v>29.871539960760071</v>
      </c>
      <c r="P139" s="1792">
        <v>34.871539960760074</v>
      </c>
      <c r="Q139" s="29"/>
      <c r="R139" s="1792">
        <v>18.653654970570056</v>
      </c>
      <c r="S139" s="1792">
        <v>22.403654970570056</v>
      </c>
      <c r="T139" s="1792">
        <v>27.403654970570056</v>
      </c>
      <c r="V139" s="500">
        <v>0</v>
      </c>
      <c r="W139" s="500">
        <v>0</v>
      </c>
      <c r="X139" s="500">
        <v>0</v>
      </c>
      <c r="Y139" s="27"/>
      <c r="Z139" s="1792">
        <v>0.115</v>
      </c>
      <c r="AA139" s="1792">
        <v>0.125</v>
      </c>
      <c r="AB139" s="1792">
        <v>0.13500000000000001</v>
      </c>
      <c r="AC139" s="29"/>
      <c r="AD139" s="1792">
        <v>0.09</v>
      </c>
      <c r="AE139" s="1792">
        <v>0.11</v>
      </c>
      <c r="AF139" s="1792">
        <v>0.13</v>
      </c>
      <c r="AG139" s="29"/>
      <c r="AH139" s="1792">
        <v>-0.25</v>
      </c>
      <c r="AI139" s="1792">
        <v>0.65</v>
      </c>
      <c r="AJ139" s="1792">
        <v>0.25</v>
      </c>
      <c r="AK139" s="29"/>
      <c r="AL139" s="1792">
        <v>-0.01</v>
      </c>
      <c r="AM139" s="1792">
        <v>0.16</v>
      </c>
      <c r="AN139" s="1792">
        <v>0.01</v>
      </c>
      <c r="AO139" s="29"/>
      <c r="AP139" s="14">
        <v>44</v>
      </c>
      <c r="AQ139" s="1802">
        <v>0.35</v>
      </c>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325">
        <v>40695</v>
      </c>
      <c r="BR139" s="415">
        <v>3.18</v>
      </c>
      <c r="BS139" s="415">
        <v>3.1850000000000001</v>
      </c>
      <c r="BT139" s="415">
        <v>3.19</v>
      </c>
      <c r="BU139" s="416">
        <v>0.14849999999999999</v>
      </c>
      <c r="BV139" s="416">
        <v>0.15</v>
      </c>
      <c r="BW139" s="416">
        <v>0.16350000000000001</v>
      </c>
      <c r="BX139" s="416">
        <v>-7.0000000000000007E-2</v>
      </c>
      <c r="BY139" s="416"/>
      <c r="BZ139" s="416">
        <v>7.0000000000000007E-2</v>
      </c>
      <c r="CA139" s="432">
        <v>0</v>
      </c>
      <c r="CB139" s="1618">
        <v>0</v>
      </c>
      <c r="CC139" s="445">
        <v>3.07</v>
      </c>
      <c r="CD139" s="449">
        <v>0.16450000000000001</v>
      </c>
    </row>
    <row r="140" spans="1:82">
      <c r="A140" s="325">
        <v>40817</v>
      </c>
      <c r="B140" s="416">
        <v>7.2826137079852013E-2</v>
      </c>
      <c r="C140" s="11"/>
      <c r="D140" s="1786">
        <v>39692</v>
      </c>
      <c r="E140" s="1787">
        <v>61.611186824766719</v>
      </c>
      <c r="F140" s="1787">
        <v>64.861186824766719</v>
      </c>
      <c r="G140" s="1787">
        <v>69.861186824766719</v>
      </c>
      <c r="H140" s="1788"/>
      <c r="I140" s="1787">
        <v>24.9375</v>
      </c>
      <c r="J140" s="1787">
        <v>26.4375</v>
      </c>
      <c r="K140" s="1787">
        <v>30.4375</v>
      </c>
      <c r="M140" s="1791">
        <v>40575</v>
      </c>
      <c r="N140" s="1792">
        <v>25.621539960760071</v>
      </c>
      <c r="O140" s="1792">
        <v>29.371539960760071</v>
      </c>
      <c r="P140" s="1792">
        <v>34.371539960760074</v>
      </c>
      <c r="Q140" s="29"/>
      <c r="R140" s="1792">
        <v>18.278654970570056</v>
      </c>
      <c r="S140" s="1792">
        <v>22.028654970570056</v>
      </c>
      <c r="T140" s="1792">
        <v>27.028654970570056</v>
      </c>
      <c r="V140" s="500">
        <v>0</v>
      </c>
      <c r="W140" s="500">
        <v>0</v>
      </c>
      <c r="X140" s="500">
        <v>0</v>
      </c>
      <c r="Y140" s="27"/>
      <c r="Z140" s="1792">
        <v>0.115</v>
      </c>
      <c r="AA140" s="1792">
        <v>0.125</v>
      </c>
      <c r="AB140" s="1792">
        <v>0.13500000000000001</v>
      </c>
      <c r="AC140" s="29"/>
      <c r="AD140" s="1792">
        <v>0.09</v>
      </c>
      <c r="AE140" s="1792">
        <v>0.11</v>
      </c>
      <c r="AF140" s="1792">
        <v>0.13</v>
      </c>
      <c r="AG140" s="29"/>
      <c r="AH140" s="1792">
        <v>-0.25</v>
      </c>
      <c r="AI140" s="1792">
        <v>0.65</v>
      </c>
      <c r="AJ140" s="1792">
        <v>0.25</v>
      </c>
      <c r="AK140" s="29"/>
      <c r="AL140" s="1792">
        <v>-0.01</v>
      </c>
      <c r="AM140" s="1792">
        <v>0.16</v>
      </c>
      <c r="AN140" s="1792">
        <v>0.01</v>
      </c>
      <c r="AO140" s="29"/>
      <c r="AP140" s="14">
        <v>44</v>
      </c>
      <c r="AQ140" s="1802">
        <v>0.35</v>
      </c>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325">
        <v>40725</v>
      </c>
      <c r="BR140" s="415">
        <v>3.1880000000000002</v>
      </c>
      <c r="BS140" s="415">
        <v>3.1930000000000001</v>
      </c>
      <c r="BT140" s="415">
        <v>3.1980000000000004</v>
      </c>
      <c r="BU140" s="416">
        <v>0.14849999999999999</v>
      </c>
      <c r="BV140" s="416">
        <v>0.15</v>
      </c>
      <c r="BW140" s="416">
        <v>0.16350000000000001</v>
      </c>
      <c r="BX140" s="416">
        <v>-7.0000000000000007E-2</v>
      </c>
      <c r="BY140" s="416"/>
      <c r="BZ140" s="416">
        <v>7.0000000000000007E-2</v>
      </c>
      <c r="CA140" s="432">
        <v>0</v>
      </c>
      <c r="CB140" s="1618">
        <v>0</v>
      </c>
      <c r="CC140" s="445">
        <v>3.2149999999999999</v>
      </c>
      <c r="CD140" s="449">
        <v>0.16450000000000001</v>
      </c>
    </row>
    <row r="141" spans="1:82">
      <c r="A141" s="325">
        <v>40848</v>
      </c>
      <c r="B141" s="416">
        <v>7.2827151025140008E-2</v>
      </c>
      <c r="C141" s="11"/>
      <c r="D141" s="1786">
        <v>39722</v>
      </c>
      <c r="E141" s="1787">
        <v>33.749720364412887</v>
      </c>
      <c r="F141" s="1787">
        <v>36.999720364412887</v>
      </c>
      <c r="G141" s="1787">
        <v>41.999720364412887</v>
      </c>
      <c r="H141" s="1788"/>
      <c r="I141" s="1787">
        <v>24.451612903225808</v>
      </c>
      <c r="J141" s="1787">
        <v>25.951612903225808</v>
      </c>
      <c r="K141" s="1787">
        <v>29.951612903225808</v>
      </c>
      <c r="M141" s="1791">
        <v>40603</v>
      </c>
      <c r="N141" s="1792">
        <v>24.871539960760071</v>
      </c>
      <c r="O141" s="1792">
        <v>28.621539960760071</v>
      </c>
      <c r="P141" s="1792">
        <v>33.621539960760074</v>
      </c>
      <c r="Q141" s="29"/>
      <c r="R141" s="1792">
        <v>17.716154970570056</v>
      </c>
      <c r="S141" s="1792">
        <v>21.466154970570056</v>
      </c>
      <c r="T141" s="1792">
        <v>26.466154970570056</v>
      </c>
      <c r="V141" s="500">
        <v>0</v>
      </c>
      <c r="W141" s="500">
        <v>0</v>
      </c>
      <c r="X141" s="500">
        <v>0</v>
      </c>
      <c r="Y141" s="27"/>
      <c r="Z141" s="1792">
        <v>0.115</v>
      </c>
      <c r="AA141" s="1792">
        <v>0.125</v>
      </c>
      <c r="AB141" s="1792">
        <v>0.13500000000000001</v>
      </c>
      <c r="AC141" s="29"/>
      <c r="AD141" s="1792">
        <v>0.09</v>
      </c>
      <c r="AE141" s="1792">
        <v>0.11</v>
      </c>
      <c r="AF141" s="1792">
        <v>0.13</v>
      </c>
      <c r="AG141" s="29"/>
      <c r="AH141" s="1792">
        <v>-0.1</v>
      </c>
      <c r="AI141" s="1792">
        <v>0.65</v>
      </c>
      <c r="AJ141" s="1792">
        <v>0.1</v>
      </c>
      <c r="AK141" s="29"/>
      <c r="AL141" s="1792">
        <v>-0.01</v>
      </c>
      <c r="AM141" s="1792">
        <v>0.16</v>
      </c>
      <c r="AN141" s="1792">
        <v>0.01</v>
      </c>
      <c r="AO141" s="29"/>
      <c r="AP141" s="14">
        <v>44</v>
      </c>
      <c r="AQ141" s="1802">
        <v>0.35</v>
      </c>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325">
        <v>40756</v>
      </c>
      <c r="BR141" s="415">
        <v>3.1970000000000001</v>
      </c>
      <c r="BS141" s="415">
        <v>3.202</v>
      </c>
      <c r="BT141" s="415">
        <v>3.2069999999999999</v>
      </c>
      <c r="BU141" s="416">
        <v>0.14849999999999999</v>
      </c>
      <c r="BV141" s="416">
        <v>0.15</v>
      </c>
      <c r="BW141" s="416">
        <v>0.16350000000000001</v>
      </c>
      <c r="BX141" s="416">
        <v>-7.0000000000000007E-2</v>
      </c>
      <c r="BY141" s="416"/>
      <c r="BZ141" s="416">
        <v>7.0000000000000007E-2</v>
      </c>
      <c r="CA141" s="432">
        <v>0</v>
      </c>
      <c r="CB141" s="1618">
        <v>0</v>
      </c>
      <c r="CC141" s="445">
        <v>3.3140000000000005</v>
      </c>
      <c r="CD141" s="449">
        <v>0.16350000000000001</v>
      </c>
    </row>
    <row r="142" spans="1:82">
      <c r="A142" s="325">
        <v>40878</v>
      </c>
      <c r="B142" s="416">
        <v>7.2828132262515013E-2</v>
      </c>
      <c r="C142" s="11"/>
      <c r="D142" s="1786">
        <v>39753</v>
      </c>
      <c r="E142" s="1787">
        <v>25.999720364412898</v>
      </c>
      <c r="F142" s="1787">
        <v>29.249720364412898</v>
      </c>
      <c r="G142" s="1787">
        <v>34.249720364412894</v>
      </c>
      <c r="H142" s="1788"/>
      <c r="I142" s="1787">
        <v>25.791666666666668</v>
      </c>
      <c r="J142" s="1787">
        <v>27.291666666666668</v>
      </c>
      <c r="K142" s="1787">
        <v>31.291666666666668</v>
      </c>
      <c r="M142" s="1791">
        <v>40634</v>
      </c>
      <c r="N142" s="1792">
        <v>24.735687691877008</v>
      </c>
      <c r="O142" s="1792">
        <v>28.485687691877008</v>
      </c>
      <c r="P142" s="1792">
        <v>33.485687691877004</v>
      </c>
      <c r="Q142" s="29"/>
      <c r="R142" s="1792">
        <v>17.614265768907757</v>
      </c>
      <c r="S142" s="1792">
        <v>21.364265768907757</v>
      </c>
      <c r="T142" s="1792">
        <v>26.364265768907757</v>
      </c>
      <c r="V142" s="500">
        <v>0</v>
      </c>
      <c r="W142" s="500">
        <v>0</v>
      </c>
      <c r="X142" s="500">
        <v>0</v>
      </c>
      <c r="Y142" s="27"/>
      <c r="Z142" s="1792">
        <v>0.115</v>
      </c>
      <c r="AA142" s="1792">
        <v>0.125</v>
      </c>
      <c r="AB142" s="1792">
        <v>0.13500000000000001</v>
      </c>
      <c r="AC142" s="29"/>
      <c r="AD142" s="1792">
        <v>0.09</v>
      </c>
      <c r="AE142" s="1792">
        <v>0.11</v>
      </c>
      <c r="AF142" s="1792">
        <v>0.13</v>
      </c>
      <c r="AG142" s="29"/>
      <c r="AH142" s="1792">
        <v>-0.1</v>
      </c>
      <c r="AI142" s="1792">
        <v>0.65</v>
      </c>
      <c r="AJ142" s="1792">
        <v>0.1</v>
      </c>
      <c r="AK142" s="29"/>
      <c r="AL142" s="1792">
        <v>-0.01</v>
      </c>
      <c r="AM142" s="1792">
        <v>0.16</v>
      </c>
      <c r="AN142" s="1792">
        <v>0.01</v>
      </c>
      <c r="AO142" s="29"/>
      <c r="AP142" s="14">
        <v>45</v>
      </c>
      <c r="AQ142" s="1802">
        <v>0.35</v>
      </c>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325">
        <v>40787</v>
      </c>
      <c r="BR142" s="415">
        <v>3.1960000000000002</v>
      </c>
      <c r="BS142" s="415">
        <v>3.2010000000000005</v>
      </c>
      <c r="BT142" s="415">
        <v>3.2060000000000004</v>
      </c>
      <c r="BU142" s="416">
        <v>0.14849999999999999</v>
      </c>
      <c r="BV142" s="416">
        <v>0.15</v>
      </c>
      <c r="BW142" s="416">
        <v>0.16350000000000001</v>
      </c>
      <c r="BX142" s="416">
        <v>-7.0000000000000007E-2</v>
      </c>
      <c r="BY142" s="416"/>
      <c r="BZ142" s="416">
        <v>7.0000000000000007E-2</v>
      </c>
      <c r="CA142" s="432">
        <v>0</v>
      </c>
      <c r="CB142" s="1618">
        <v>0</v>
      </c>
      <c r="CC142" s="445">
        <v>3.1890000000000005</v>
      </c>
      <c r="CD142" s="449">
        <v>0.16350000000000001</v>
      </c>
    </row>
    <row r="143" spans="1:82">
      <c r="A143" s="325">
        <v>40909</v>
      </c>
      <c r="B143" s="416">
        <v>7.2829146207804007E-2</v>
      </c>
      <c r="C143" s="11"/>
      <c r="D143" s="1786">
        <v>39783</v>
      </c>
      <c r="E143" s="1787">
        <v>27.999720364412894</v>
      </c>
      <c r="F143" s="1787">
        <v>31.249720364412894</v>
      </c>
      <c r="G143" s="1787">
        <v>36.249720364412894</v>
      </c>
      <c r="H143" s="1788"/>
      <c r="I143" s="1787">
        <v>25.096774193548395</v>
      </c>
      <c r="J143" s="1787">
        <v>26.596774193548395</v>
      </c>
      <c r="K143" s="1787">
        <v>30.596774193548395</v>
      </c>
      <c r="M143" s="1791">
        <v>40664</v>
      </c>
      <c r="N143" s="1792">
        <v>24.735687691877008</v>
      </c>
      <c r="O143" s="1792">
        <v>28.485687691877008</v>
      </c>
      <c r="P143" s="1792">
        <v>33.485687691877004</v>
      </c>
      <c r="Q143" s="29"/>
      <c r="R143" s="1792">
        <v>17.614265768907757</v>
      </c>
      <c r="S143" s="1792">
        <v>21.364265768907757</v>
      </c>
      <c r="T143" s="1792">
        <v>26.364265768907757</v>
      </c>
      <c r="V143" s="500">
        <v>0</v>
      </c>
      <c r="W143" s="500">
        <v>0</v>
      </c>
      <c r="X143" s="500">
        <v>0</v>
      </c>
      <c r="Y143" s="27"/>
      <c r="Z143" s="1792">
        <v>0.115</v>
      </c>
      <c r="AA143" s="1792">
        <v>0.125</v>
      </c>
      <c r="AB143" s="1792">
        <v>0.13500000000000001</v>
      </c>
      <c r="AC143" s="29"/>
      <c r="AD143" s="1792">
        <v>0.09</v>
      </c>
      <c r="AE143" s="1792">
        <v>0.11</v>
      </c>
      <c r="AF143" s="1792">
        <v>0.13</v>
      </c>
      <c r="AG143" s="29"/>
      <c r="AH143" s="1792">
        <v>-0.1</v>
      </c>
      <c r="AI143" s="1792">
        <v>0.65</v>
      </c>
      <c r="AJ143" s="1792">
        <v>0.1</v>
      </c>
      <c r="AK143" s="29"/>
      <c r="AL143" s="1792">
        <v>-0.01</v>
      </c>
      <c r="AM143" s="1792">
        <v>0.16</v>
      </c>
      <c r="AN143" s="1792">
        <v>0.01</v>
      </c>
      <c r="AO143" s="29"/>
      <c r="AP143" s="14">
        <v>45</v>
      </c>
      <c r="AQ143" s="1802">
        <v>0.35</v>
      </c>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325">
        <v>40817</v>
      </c>
      <c r="BR143" s="415">
        <v>3.2149999999999999</v>
      </c>
      <c r="BS143" s="415">
        <v>3.22</v>
      </c>
      <c r="BT143" s="415">
        <v>3.2250000000000001</v>
      </c>
      <c r="BU143" s="416">
        <v>0.14849999999999999</v>
      </c>
      <c r="BV143" s="416">
        <v>0.15</v>
      </c>
      <c r="BW143" s="416">
        <v>0.16350000000000001</v>
      </c>
      <c r="BX143" s="416">
        <v>-7.0000000000000007E-2</v>
      </c>
      <c r="BY143" s="416"/>
      <c r="BZ143" s="416">
        <v>7.0000000000000007E-2</v>
      </c>
      <c r="CA143" s="432">
        <v>0</v>
      </c>
      <c r="CB143" s="1618">
        <v>0</v>
      </c>
      <c r="CC143" s="445">
        <v>3.0819999999999999</v>
      </c>
      <c r="CD143" s="449">
        <v>0.16350000000000001</v>
      </c>
    </row>
    <row r="144" spans="1:82">
      <c r="A144" s="325">
        <v>40940</v>
      </c>
      <c r="B144" s="416">
        <v>7.2830160153093002E-2</v>
      </c>
      <c r="C144" s="11"/>
      <c r="D144" s="1786">
        <v>39814</v>
      </c>
      <c r="E144" s="1787">
        <v>26.681757176586309</v>
      </c>
      <c r="F144" s="1787">
        <v>29.931757176586309</v>
      </c>
      <c r="G144" s="1787">
        <v>34.931757176586309</v>
      </c>
      <c r="H144" s="1788"/>
      <c r="I144" s="1787">
        <v>22.438119151052209</v>
      </c>
      <c r="J144" s="1787">
        <v>24.188119151052209</v>
      </c>
      <c r="K144" s="1787">
        <v>29.188119151052209</v>
      </c>
      <c r="M144" s="1791">
        <v>40695</v>
      </c>
      <c r="N144" s="1792">
        <v>29.985687691877011</v>
      </c>
      <c r="O144" s="1792">
        <v>33.735687691877011</v>
      </c>
      <c r="P144" s="1792">
        <v>38.735687691877011</v>
      </c>
      <c r="Q144" s="29"/>
      <c r="R144" s="1792">
        <v>21.551765768907757</v>
      </c>
      <c r="S144" s="1792">
        <v>25.301765768907757</v>
      </c>
      <c r="T144" s="1792">
        <v>30.301765768907757</v>
      </c>
      <c r="V144" s="500">
        <v>0</v>
      </c>
      <c r="W144" s="500">
        <v>0</v>
      </c>
      <c r="X144" s="500">
        <v>0</v>
      </c>
      <c r="Y144" s="27"/>
      <c r="Z144" s="1792">
        <v>0.115</v>
      </c>
      <c r="AA144" s="1792">
        <v>0.125</v>
      </c>
      <c r="AB144" s="1792">
        <v>0.13500000000000001</v>
      </c>
      <c r="AC144" s="29"/>
      <c r="AD144" s="1792">
        <v>0.09</v>
      </c>
      <c r="AE144" s="1792">
        <v>0.11</v>
      </c>
      <c r="AF144" s="1792">
        <v>0.13</v>
      </c>
      <c r="AG144" s="29"/>
      <c r="AH144" s="1792">
        <v>-0.35</v>
      </c>
      <c r="AI144" s="1792">
        <v>0.65</v>
      </c>
      <c r="AJ144" s="1792">
        <v>0.2</v>
      </c>
      <c r="AK144" s="29"/>
      <c r="AL144" s="1792">
        <v>-0.01</v>
      </c>
      <c r="AM144" s="1792">
        <v>0.16</v>
      </c>
      <c r="AN144" s="1792">
        <v>0.01</v>
      </c>
      <c r="AO144" s="29"/>
      <c r="AP144" s="14">
        <v>45</v>
      </c>
      <c r="AQ144" s="1802">
        <v>0.35</v>
      </c>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325">
        <v>40848</v>
      </c>
      <c r="BR144" s="415">
        <v>3.3080000000000003</v>
      </c>
      <c r="BS144" s="415">
        <v>3.3130000000000002</v>
      </c>
      <c r="BT144" s="415">
        <v>3.3180000000000001</v>
      </c>
      <c r="BU144" s="416">
        <v>0.14849999999999999</v>
      </c>
      <c r="BV144" s="416">
        <v>0.15</v>
      </c>
      <c r="BW144" s="416">
        <v>0.16350000000000001</v>
      </c>
      <c r="BX144" s="416">
        <v>-7.0000000000000007E-2</v>
      </c>
      <c r="BY144" s="416"/>
      <c r="BZ144" s="416">
        <v>7.0000000000000007E-2</v>
      </c>
      <c r="CA144" s="432">
        <v>0</v>
      </c>
      <c r="CB144" s="1618">
        <v>0</v>
      </c>
      <c r="CC144" s="445">
        <v>2.9790000000000005</v>
      </c>
      <c r="CD144" s="449">
        <v>0.16350000000000001</v>
      </c>
    </row>
    <row r="145" spans="1:82">
      <c r="A145" s="325">
        <v>40969</v>
      </c>
      <c r="B145" s="416">
        <v>7.2831108682557016E-2</v>
      </c>
      <c r="C145" s="11"/>
      <c r="D145" s="1786">
        <v>39845</v>
      </c>
      <c r="E145" s="1787">
        <v>26.181757176586309</v>
      </c>
      <c r="F145" s="1787">
        <v>29.431757176586309</v>
      </c>
      <c r="G145" s="1787">
        <v>34.431757176586309</v>
      </c>
      <c r="H145" s="1788"/>
      <c r="I145" s="1787">
        <v>23.407142857142858</v>
      </c>
      <c r="J145" s="1787">
        <v>25.157142857142858</v>
      </c>
      <c r="K145" s="1787">
        <v>30.157142857142858</v>
      </c>
      <c r="M145" s="1791">
        <v>40725</v>
      </c>
      <c r="N145" s="1792">
        <v>56.196485364032981</v>
      </c>
      <c r="O145" s="1792">
        <v>59.946485364032981</v>
      </c>
      <c r="P145" s="1792">
        <v>64.946485364032981</v>
      </c>
      <c r="Q145" s="29"/>
      <c r="R145" s="1792">
        <v>41.209864023024736</v>
      </c>
      <c r="S145" s="1792">
        <v>44.959864023024736</v>
      </c>
      <c r="T145" s="1792">
        <v>49.959864023024736</v>
      </c>
      <c r="V145" s="500">
        <v>0</v>
      </c>
      <c r="W145" s="500">
        <v>0</v>
      </c>
      <c r="X145" s="500">
        <v>0</v>
      </c>
      <c r="Y145" s="27"/>
      <c r="Z145" s="1792">
        <v>0.115</v>
      </c>
      <c r="AA145" s="1792">
        <v>0.125</v>
      </c>
      <c r="AB145" s="1792">
        <v>0.13500000000000001</v>
      </c>
      <c r="AC145" s="29"/>
      <c r="AD145" s="1792">
        <v>0.09</v>
      </c>
      <c r="AE145" s="1792">
        <v>0.11</v>
      </c>
      <c r="AF145" s="1792">
        <v>0.13</v>
      </c>
      <c r="AG145" s="29"/>
      <c r="AH145" s="1792">
        <v>-0.35</v>
      </c>
      <c r="AI145" s="1792">
        <v>3</v>
      </c>
      <c r="AJ145" s="1792">
        <v>0.35</v>
      </c>
      <c r="AK145" s="29"/>
      <c r="AL145" s="1792">
        <v>-0.01</v>
      </c>
      <c r="AM145" s="1792">
        <v>0.16</v>
      </c>
      <c r="AN145" s="1792">
        <v>0.01</v>
      </c>
      <c r="AO145" s="29"/>
      <c r="AP145" s="14">
        <v>46</v>
      </c>
      <c r="AQ145" s="1802">
        <v>0.35</v>
      </c>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325">
        <v>40878</v>
      </c>
      <c r="BR145" s="415">
        <v>3.407</v>
      </c>
      <c r="BS145" s="415">
        <v>3.4119999999999999</v>
      </c>
      <c r="BT145" s="415">
        <v>3.4169999999999998</v>
      </c>
      <c r="BU145" s="416">
        <v>0.14849999999999999</v>
      </c>
      <c r="BV145" s="416">
        <v>0.15</v>
      </c>
      <c r="BW145" s="416">
        <v>0.16350000000000001</v>
      </c>
      <c r="BX145" s="416">
        <v>-7.0000000000000007E-2</v>
      </c>
      <c r="BY145" s="416"/>
      <c r="BZ145" s="416">
        <v>7.0000000000000007E-2</v>
      </c>
      <c r="CA145" s="432">
        <v>0</v>
      </c>
      <c r="CB145" s="1618">
        <v>0</v>
      </c>
      <c r="CC145" s="445">
        <v>2.9550000000000001</v>
      </c>
      <c r="CD145" s="449">
        <v>0.16350000000000001</v>
      </c>
    </row>
    <row r="146" spans="1:82">
      <c r="A146" s="325">
        <v>41000</v>
      </c>
      <c r="B146" s="416">
        <v>7.2832122627846024E-2</v>
      </c>
      <c r="C146" s="11"/>
      <c r="D146" s="1786">
        <v>39873</v>
      </c>
      <c r="E146" s="1787">
        <v>25.931757176586309</v>
      </c>
      <c r="F146" s="1787">
        <v>29.181757176586309</v>
      </c>
      <c r="G146" s="1787">
        <v>34.181757176586309</v>
      </c>
      <c r="H146" s="1788"/>
      <c r="I146" s="1787">
        <v>23.687096774193552</v>
      </c>
      <c r="J146" s="1787">
        <v>25.437096774193552</v>
      </c>
      <c r="K146" s="1787">
        <v>30.437096774193552</v>
      </c>
      <c r="M146" s="1791">
        <v>40756</v>
      </c>
      <c r="N146" s="1792">
        <v>76.821485364032981</v>
      </c>
      <c r="O146" s="1792">
        <v>80.571485364032981</v>
      </c>
      <c r="P146" s="1792">
        <v>85.571485364032981</v>
      </c>
      <c r="Q146" s="29"/>
      <c r="R146" s="1792">
        <v>56.678614023024736</v>
      </c>
      <c r="S146" s="1792">
        <v>60.428614023024736</v>
      </c>
      <c r="T146" s="1792">
        <v>65.428614023024736</v>
      </c>
      <c r="V146" s="500">
        <v>0</v>
      </c>
      <c r="W146" s="500">
        <v>0</v>
      </c>
      <c r="X146" s="500">
        <v>0</v>
      </c>
      <c r="Y146" s="27"/>
      <c r="Z146" s="1792">
        <v>0.115</v>
      </c>
      <c r="AA146" s="1792">
        <v>0.125</v>
      </c>
      <c r="AB146" s="1792">
        <v>0.13500000000000001</v>
      </c>
      <c r="AC146" s="29"/>
      <c r="AD146" s="1792">
        <v>0.09</v>
      </c>
      <c r="AE146" s="1792">
        <v>0.11</v>
      </c>
      <c r="AF146" s="1792">
        <v>0.13</v>
      </c>
      <c r="AG146" s="29"/>
      <c r="AH146" s="1792">
        <v>-0.35</v>
      </c>
      <c r="AI146" s="1792">
        <v>3</v>
      </c>
      <c r="AJ146" s="1792">
        <v>0.35</v>
      </c>
      <c r="AK146" s="29"/>
      <c r="AL146" s="1792">
        <v>-0.01</v>
      </c>
      <c r="AM146" s="1792">
        <v>0.16</v>
      </c>
      <c r="AN146" s="1792">
        <v>0.01</v>
      </c>
      <c r="AO146" s="29"/>
      <c r="AP146" s="14">
        <v>46</v>
      </c>
      <c r="AQ146" s="1802">
        <v>0.35</v>
      </c>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325">
        <v>40909</v>
      </c>
      <c r="BR146" s="415">
        <v>3.4580000000000002</v>
      </c>
      <c r="BS146" s="415">
        <v>3.4630000000000001</v>
      </c>
      <c r="BT146" s="415">
        <v>3.468</v>
      </c>
      <c r="BU146" s="416">
        <v>0.14749999999999999</v>
      </c>
      <c r="BV146" s="416">
        <v>0.15</v>
      </c>
      <c r="BW146" s="416">
        <v>0.16250000000000001</v>
      </c>
      <c r="BX146" s="416">
        <v>-7.0000000000000007E-2</v>
      </c>
      <c r="BY146" s="416"/>
      <c r="BZ146" s="416">
        <v>7.0000000000000007E-2</v>
      </c>
      <c r="CA146" s="432">
        <v>0</v>
      </c>
      <c r="CB146" s="1618">
        <v>0</v>
      </c>
      <c r="CC146" s="445">
        <v>2.9619999999999997</v>
      </c>
      <c r="CD146" s="449">
        <v>0.16350000000000001</v>
      </c>
    </row>
    <row r="147" spans="1:82">
      <c r="A147" s="325">
        <v>41030</v>
      </c>
      <c r="B147" s="416">
        <v>7.2833103865223001E-2</v>
      </c>
      <c r="C147" s="11"/>
      <c r="D147" s="1786">
        <v>39904</v>
      </c>
      <c r="E147" s="1787">
        <v>26.029649516308268</v>
      </c>
      <c r="F147" s="1787">
        <v>29.279649516308268</v>
      </c>
      <c r="G147" s="1787">
        <v>34.279649516308268</v>
      </c>
      <c r="H147" s="1788"/>
      <c r="I147" s="1787">
        <v>21.487500000000001</v>
      </c>
      <c r="J147" s="1787">
        <v>23.237500000000001</v>
      </c>
      <c r="K147" s="1787">
        <v>28.237500000000001</v>
      </c>
      <c r="M147" s="1791">
        <v>40787</v>
      </c>
      <c r="N147" s="1792">
        <v>60.821485364032981</v>
      </c>
      <c r="O147" s="1792">
        <v>64.571485364032981</v>
      </c>
      <c r="P147" s="1792">
        <v>69.571485364032981</v>
      </c>
      <c r="Q147" s="29"/>
      <c r="R147" s="1792">
        <v>44.678614023024736</v>
      </c>
      <c r="S147" s="1792">
        <v>48.428614023024736</v>
      </c>
      <c r="T147" s="1792">
        <v>53.428614023024736</v>
      </c>
      <c r="V147" s="500">
        <v>0</v>
      </c>
      <c r="W147" s="500">
        <v>0</v>
      </c>
      <c r="X147" s="500">
        <v>0</v>
      </c>
      <c r="Y147" s="27"/>
      <c r="Z147" s="1792">
        <v>0.115</v>
      </c>
      <c r="AA147" s="1792">
        <v>0.125</v>
      </c>
      <c r="AB147" s="1792">
        <v>0.13500000000000001</v>
      </c>
      <c r="AC147" s="29"/>
      <c r="AD147" s="1792">
        <v>0.09</v>
      </c>
      <c r="AE147" s="1792">
        <v>0.11</v>
      </c>
      <c r="AF147" s="1792">
        <v>0.13</v>
      </c>
      <c r="AG147" s="29"/>
      <c r="AH147" s="1792">
        <v>-0.35</v>
      </c>
      <c r="AI147" s="1792">
        <v>3</v>
      </c>
      <c r="AJ147" s="1792">
        <v>0.2</v>
      </c>
      <c r="AK147" s="29"/>
      <c r="AL147" s="1792">
        <v>-0.01</v>
      </c>
      <c r="AM147" s="1792">
        <v>0.16</v>
      </c>
      <c r="AN147" s="1792">
        <v>0.01</v>
      </c>
      <c r="AO147" s="29"/>
      <c r="AP147" s="14">
        <v>46</v>
      </c>
      <c r="AQ147" s="1802">
        <v>0.35</v>
      </c>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325">
        <v>40940</v>
      </c>
      <c r="BR147" s="415">
        <v>3.3810000000000002</v>
      </c>
      <c r="BS147" s="415">
        <v>3.3860000000000001</v>
      </c>
      <c r="BT147" s="415">
        <v>3.3910000000000005</v>
      </c>
      <c r="BU147" s="416">
        <v>0.14749999999999999</v>
      </c>
      <c r="BV147" s="416">
        <v>0.15</v>
      </c>
      <c r="BW147" s="416">
        <v>0.16250000000000001</v>
      </c>
      <c r="BX147" s="416">
        <v>-7.0000000000000007E-2</v>
      </c>
      <c r="BY147" s="416"/>
      <c r="BZ147" s="416">
        <v>7.0000000000000007E-2</v>
      </c>
      <c r="CA147" s="432">
        <v>0</v>
      </c>
      <c r="CB147" s="1618">
        <v>0</v>
      </c>
      <c r="CC147" s="445">
        <v>2.968</v>
      </c>
      <c r="CD147" s="449">
        <v>0.16350000000000001</v>
      </c>
    </row>
    <row r="148" spans="1:82">
      <c r="A148" s="325">
        <v>41061</v>
      </c>
      <c r="B148" s="416">
        <v>7.2834117810513008E-2</v>
      </c>
      <c r="C148" s="11"/>
      <c r="D148" s="1786">
        <v>39934</v>
      </c>
      <c r="E148" s="1787">
        <v>25.279649516308268</v>
      </c>
      <c r="F148" s="1787">
        <v>28.529649516308268</v>
      </c>
      <c r="G148" s="1787">
        <v>33.529649516308268</v>
      </c>
      <c r="H148" s="1788"/>
      <c r="I148" s="1787">
        <v>21.545967741935485</v>
      </c>
      <c r="J148" s="1787">
        <v>23.295967741935485</v>
      </c>
      <c r="K148" s="1787">
        <v>28.295967741935485</v>
      </c>
      <c r="M148" s="1791">
        <v>40817</v>
      </c>
      <c r="N148" s="1792">
        <v>33.157412574699507</v>
      </c>
      <c r="O148" s="1792">
        <v>36.907412574699507</v>
      </c>
      <c r="P148" s="1792">
        <v>41.907412574699507</v>
      </c>
      <c r="Q148" s="29"/>
      <c r="R148" s="1792">
        <v>23.930559431024633</v>
      </c>
      <c r="S148" s="1792">
        <v>27.680559431024633</v>
      </c>
      <c r="T148" s="1792">
        <v>32.680559431024633</v>
      </c>
      <c r="V148" s="500">
        <v>0</v>
      </c>
      <c r="W148" s="500">
        <v>0</v>
      </c>
      <c r="X148" s="500">
        <v>0</v>
      </c>
      <c r="Y148" s="27"/>
      <c r="Z148" s="1792">
        <v>0.115</v>
      </c>
      <c r="AA148" s="1792">
        <v>0.125</v>
      </c>
      <c r="AB148" s="1792">
        <v>0.13500000000000001</v>
      </c>
      <c r="AC148" s="29"/>
      <c r="AD148" s="1792">
        <v>0.09</v>
      </c>
      <c r="AE148" s="1792">
        <v>0.11</v>
      </c>
      <c r="AF148" s="1792">
        <v>0.13</v>
      </c>
      <c r="AG148" s="29"/>
      <c r="AH148" s="1792">
        <v>-0.1</v>
      </c>
      <c r="AI148" s="1792">
        <v>0.6</v>
      </c>
      <c r="AJ148" s="1792">
        <v>0.1</v>
      </c>
      <c r="AK148" s="29"/>
      <c r="AL148" s="1792">
        <v>-0.01</v>
      </c>
      <c r="AM148" s="1792">
        <v>0.16</v>
      </c>
      <c r="AN148" s="1792">
        <v>0.01</v>
      </c>
      <c r="AO148" s="29"/>
      <c r="AP148" s="14">
        <v>47</v>
      </c>
      <c r="AQ148" s="1802">
        <v>0.35</v>
      </c>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325">
        <v>40969</v>
      </c>
      <c r="BR148" s="415">
        <v>3.2930000000000001</v>
      </c>
      <c r="BS148" s="415">
        <v>3.298</v>
      </c>
      <c r="BT148" s="415">
        <v>3.3030000000000004</v>
      </c>
      <c r="BU148" s="416">
        <v>0.14749999999999999</v>
      </c>
      <c r="BV148" s="416">
        <v>0.15</v>
      </c>
      <c r="BW148" s="416">
        <v>0.16250000000000001</v>
      </c>
      <c r="BX148" s="416">
        <v>-7.0000000000000007E-2</v>
      </c>
      <c r="BY148" s="416"/>
      <c r="BZ148" s="416">
        <v>7.0000000000000007E-2</v>
      </c>
      <c r="CA148" s="432">
        <v>0</v>
      </c>
      <c r="CB148" s="1618">
        <v>0</v>
      </c>
      <c r="CC148" s="445">
        <v>2.9730000000000003</v>
      </c>
      <c r="CD148" s="449">
        <v>0.16350000000000001</v>
      </c>
    </row>
    <row r="149" spans="1:82">
      <c r="A149" s="325">
        <v>41091</v>
      </c>
      <c r="B149" s="416">
        <v>7.2835099047891025E-2</v>
      </c>
      <c r="C149" s="11"/>
      <c r="D149" s="1786">
        <v>39965</v>
      </c>
      <c r="E149" s="1787">
        <v>30.529649516308268</v>
      </c>
      <c r="F149" s="1787">
        <v>33.779649516308268</v>
      </c>
      <c r="G149" s="1787">
        <v>38.779649516308268</v>
      </c>
      <c r="H149" s="1788"/>
      <c r="I149" s="1787">
        <v>20.8</v>
      </c>
      <c r="J149" s="1787">
        <v>22.55</v>
      </c>
      <c r="K149" s="1787">
        <v>27.55</v>
      </c>
      <c r="M149" s="1791">
        <v>40848</v>
      </c>
      <c r="N149" s="1792">
        <v>25.407412574699517</v>
      </c>
      <c r="O149" s="1792">
        <v>29.157412574699517</v>
      </c>
      <c r="P149" s="1792">
        <v>34.157412574699521</v>
      </c>
      <c r="Q149" s="29"/>
      <c r="R149" s="1792">
        <v>18.118059431024633</v>
      </c>
      <c r="S149" s="1792">
        <v>21.868059431024633</v>
      </c>
      <c r="T149" s="1792">
        <v>26.868059431024633</v>
      </c>
      <c r="V149" s="500">
        <v>0</v>
      </c>
      <c r="W149" s="500">
        <v>0</v>
      </c>
      <c r="X149" s="500">
        <v>0</v>
      </c>
      <c r="Y149" s="27"/>
      <c r="Z149" s="1792">
        <v>0.115</v>
      </c>
      <c r="AA149" s="1792">
        <v>0.125</v>
      </c>
      <c r="AB149" s="1792">
        <v>0.13500000000000001</v>
      </c>
      <c r="AC149" s="29"/>
      <c r="AD149" s="1792">
        <v>0.09</v>
      </c>
      <c r="AE149" s="1792">
        <v>0.11</v>
      </c>
      <c r="AF149" s="1792">
        <v>0.13</v>
      </c>
      <c r="AG149" s="29"/>
      <c r="AH149" s="1792">
        <v>-0.1</v>
      </c>
      <c r="AI149" s="1792">
        <v>0.6</v>
      </c>
      <c r="AJ149" s="1792">
        <v>0.1</v>
      </c>
      <c r="AK149" s="29"/>
      <c r="AL149" s="1792">
        <v>-0.01</v>
      </c>
      <c r="AM149" s="1792">
        <v>0.16</v>
      </c>
      <c r="AN149" s="1792">
        <v>0.01</v>
      </c>
      <c r="AO149" s="29"/>
      <c r="AP149" s="14">
        <v>47</v>
      </c>
      <c r="AQ149" s="1802">
        <v>0.35</v>
      </c>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325">
        <v>41000</v>
      </c>
      <c r="BR149" s="415">
        <v>3.22</v>
      </c>
      <c r="BS149" s="415">
        <v>3.2250000000000001</v>
      </c>
      <c r="BT149" s="415">
        <v>3.23</v>
      </c>
      <c r="BU149" s="416">
        <v>0.14749999999999999</v>
      </c>
      <c r="BV149" s="416">
        <v>0.15</v>
      </c>
      <c r="BW149" s="416">
        <v>0.16250000000000001</v>
      </c>
      <c r="BX149" s="416">
        <v>-7.0000000000000007E-2</v>
      </c>
      <c r="BY149" s="416"/>
      <c r="BZ149" s="416">
        <v>7.0000000000000007E-2</v>
      </c>
      <c r="CA149" s="432">
        <v>0</v>
      </c>
      <c r="CB149" s="1618">
        <v>0</v>
      </c>
      <c r="CC149" s="445">
        <v>2.9760000000000004</v>
      </c>
      <c r="CD149" s="449">
        <v>0.16350000000000001</v>
      </c>
    </row>
    <row r="150" spans="1:82">
      <c r="A150" s="325">
        <v>41122</v>
      </c>
      <c r="B150" s="416">
        <v>7.2836112993181004E-2</v>
      </c>
      <c r="C150" s="11"/>
      <c r="D150" s="1786">
        <v>39995</v>
      </c>
      <c r="E150" s="1787">
        <v>56.75419172564375</v>
      </c>
      <c r="F150" s="1787">
        <v>60.00419172564375</v>
      </c>
      <c r="G150" s="1787">
        <v>65.00419172564375</v>
      </c>
      <c r="H150" s="1788"/>
      <c r="I150" s="1787">
        <v>26.8241935483871</v>
      </c>
      <c r="J150" s="1787">
        <v>28.5741935483871</v>
      </c>
      <c r="K150" s="1787">
        <v>33.5741935483871</v>
      </c>
      <c r="M150" s="1791">
        <v>40878</v>
      </c>
      <c r="N150" s="1792">
        <v>27.407412574699514</v>
      </c>
      <c r="O150" s="1792">
        <v>31.157412574699514</v>
      </c>
      <c r="P150" s="1792">
        <v>36.157412574699514</v>
      </c>
      <c r="Q150" s="29"/>
      <c r="R150" s="1792">
        <v>19.618059431024633</v>
      </c>
      <c r="S150" s="1792">
        <v>23.368059431024633</v>
      </c>
      <c r="T150" s="1792">
        <v>28.368059431024633</v>
      </c>
      <c r="V150" s="500">
        <v>0</v>
      </c>
      <c r="W150" s="500">
        <v>0</v>
      </c>
      <c r="X150" s="500">
        <v>0</v>
      </c>
      <c r="Y150" s="27"/>
      <c r="Z150" s="1792">
        <v>0.115</v>
      </c>
      <c r="AA150" s="1792">
        <v>0.125</v>
      </c>
      <c r="AB150" s="1792">
        <v>0.13500000000000001</v>
      </c>
      <c r="AC150" s="29"/>
      <c r="AD150" s="1792">
        <v>0.09</v>
      </c>
      <c r="AE150" s="1792">
        <v>0.11</v>
      </c>
      <c r="AF150" s="1792">
        <v>0.13</v>
      </c>
      <c r="AG150" s="29"/>
      <c r="AH150" s="1792">
        <v>-0.25</v>
      </c>
      <c r="AI150" s="1792">
        <v>0.6</v>
      </c>
      <c r="AJ150" s="1792">
        <v>0.25</v>
      </c>
      <c r="AK150" s="29"/>
      <c r="AL150" s="1792">
        <v>-0.01</v>
      </c>
      <c r="AM150" s="1792">
        <v>0.16</v>
      </c>
      <c r="AN150" s="1792">
        <v>0.01</v>
      </c>
      <c r="AO150" s="29"/>
      <c r="AP150" s="14">
        <v>47</v>
      </c>
      <c r="AQ150" s="1802">
        <v>0.35</v>
      </c>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325">
        <v>41030</v>
      </c>
      <c r="BR150" s="415">
        <v>3.2430000000000003</v>
      </c>
      <c r="BS150" s="415">
        <v>3.2480000000000002</v>
      </c>
      <c r="BT150" s="415">
        <v>3.2530000000000001</v>
      </c>
      <c r="BU150" s="416">
        <v>0.14749999999999999</v>
      </c>
      <c r="BV150" s="416">
        <v>0.15</v>
      </c>
      <c r="BW150" s="416">
        <v>0.16250000000000001</v>
      </c>
      <c r="BX150" s="416">
        <v>-7.0000000000000007E-2</v>
      </c>
      <c r="BY150" s="416"/>
      <c r="BZ150" s="416">
        <v>7.0000000000000007E-2</v>
      </c>
      <c r="CA150" s="432">
        <v>0</v>
      </c>
      <c r="CB150" s="1618">
        <v>0</v>
      </c>
      <c r="CC150" s="445">
        <v>3.0090000000000003</v>
      </c>
      <c r="CD150" s="449">
        <v>0.16350000000000001</v>
      </c>
    </row>
    <row r="151" spans="1:82">
      <c r="A151" s="325">
        <v>41153</v>
      </c>
      <c r="B151" s="416">
        <v>7.283712693847201E-2</v>
      </c>
      <c r="C151" s="11"/>
      <c r="D151" s="1786">
        <v>40026</v>
      </c>
      <c r="E151" s="1787">
        <v>77.37919172564375</v>
      </c>
      <c r="F151" s="1787">
        <v>80.62919172564375</v>
      </c>
      <c r="G151" s="1787">
        <v>85.62919172564375</v>
      </c>
      <c r="H151" s="1788"/>
      <c r="I151" s="1787">
        <v>24.8241935483871</v>
      </c>
      <c r="J151" s="1787">
        <v>26.5741935483871</v>
      </c>
      <c r="K151" s="1787">
        <v>31.5741935483871</v>
      </c>
      <c r="M151" s="1791">
        <v>40909</v>
      </c>
      <c r="N151" s="1792">
        <v>26.145578367168792</v>
      </c>
      <c r="O151" s="1792">
        <v>29.895578367168792</v>
      </c>
      <c r="P151" s="1792">
        <v>34.895578367168795</v>
      </c>
      <c r="Q151" s="29"/>
      <c r="R151" s="1792">
        <v>18.671683775376597</v>
      </c>
      <c r="S151" s="1792">
        <v>22.421683775376597</v>
      </c>
      <c r="T151" s="1792">
        <v>27.421683775376597</v>
      </c>
      <c r="V151" s="500">
        <v>0</v>
      </c>
      <c r="W151" s="500">
        <v>0</v>
      </c>
      <c r="X151" s="500">
        <v>0</v>
      </c>
      <c r="Y151" s="27"/>
      <c r="Z151" s="1792">
        <v>0.11</v>
      </c>
      <c r="AA151" s="1792">
        <v>0.12</v>
      </c>
      <c r="AB151" s="1792">
        <v>0.13</v>
      </c>
      <c r="AC151" s="29"/>
      <c r="AD151" s="1792">
        <v>0.09</v>
      </c>
      <c r="AE151" s="1792">
        <v>0.11</v>
      </c>
      <c r="AF151" s="1792">
        <v>0.13</v>
      </c>
      <c r="AG151" s="29"/>
      <c r="AH151" s="1792">
        <v>-0.25</v>
      </c>
      <c r="AI151" s="1792">
        <v>0.65</v>
      </c>
      <c r="AJ151" s="1792">
        <v>0.25</v>
      </c>
      <c r="AK151" s="29"/>
      <c r="AL151" s="1792">
        <v>-0.01</v>
      </c>
      <c r="AM151" s="1792">
        <v>0.16</v>
      </c>
      <c r="AN151" s="1792">
        <v>0.01</v>
      </c>
      <c r="AO151" s="29"/>
      <c r="AP151" s="14">
        <v>48</v>
      </c>
      <c r="AQ151" s="1802">
        <v>0.35</v>
      </c>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325">
        <v>41061</v>
      </c>
      <c r="BR151" s="415">
        <v>3.2590000000000003</v>
      </c>
      <c r="BS151" s="415">
        <v>3.2640000000000002</v>
      </c>
      <c r="BT151" s="415">
        <v>3.2690000000000006</v>
      </c>
      <c r="BU151" s="416">
        <v>0.14749999999999999</v>
      </c>
      <c r="BV151" s="416">
        <v>0.15</v>
      </c>
      <c r="BW151" s="416">
        <v>0.16250000000000001</v>
      </c>
      <c r="BX151" s="416">
        <v>-7.0000000000000007E-2</v>
      </c>
      <c r="BY151" s="416"/>
      <c r="BZ151" s="416">
        <v>7.0000000000000007E-2</v>
      </c>
      <c r="CA151" s="432">
        <v>0</v>
      </c>
      <c r="CB151" s="1618">
        <v>0</v>
      </c>
      <c r="CC151" s="445">
        <v>3.15</v>
      </c>
      <c r="CD151" s="449">
        <v>0.16350000000000001</v>
      </c>
    </row>
    <row r="152" spans="1:82">
      <c r="A152" s="325">
        <v>41183</v>
      </c>
      <c r="B152" s="416">
        <v>7.2838108175851013E-2</v>
      </c>
      <c r="C152" s="11"/>
      <c r="D152" s="1786">
        <v>40057</v>
      </c>
      <c r="E152" s="1787">
        <v>61.37919172564375</v>
      </c>
      <c r="F152" s="1787">
        <v>64.62919172564375</v>
      </c>
      <c r="G152" s="1787">
        <v>69.62919172564375</v>
      </c>
      <c r="H152" s="1788"/>
      <c r="I152" s="1787">
        <v>25.237500000000001</v>
      </c>
      <c r="J152" s="1787">
        <v>26.987500000000001</v>
      </c>
      <c r="K152" s="1787">
        <v>31.987500000000001</v>
      </c>
      <c r="M152" s="1791">
        <v>40940</v>
      </c>
      <c r="N152" s="1792">
        <v>25.645578367168792</v>
      </c>
      <c r="O152" s="1792">
        <v>29.395578367168792</v>
      </c>
      <c r="P152" s="1792">
        <v>34.395578367168795</v>
      </c>
      <c r="Q152" s="29"/>
      <c r="R152" s="1792">
        <v>18.296683775376597</v>
      </c>
      <c r="S152" s="1792">
        <v>22.046683775376597</v>
      </c>
      <c r="T152" s="1792">
        <v>27.046683775376597</v>
      </c>
      <c r="V152" s="500">
        <v>0</v>
      </c>
      <c r="W152" s="500">
        <v>0</v>
      </c>
      <c r="X152" s="500">
        <v>0</v>
      </c>
      <c r="Y152" s="27"/>
      <c r="Z152" s="1792">
        <v>0.11</v>
      </c>
      <c r="AA152" s="1792">
        <v>0.12</v>
      </c>
      <c r="AB152" s="1792">
        <v>0.13</v>
      </c>
      <c r="AC152" s="29"/>
      <c r="AD152" s="1792">
        <v>0.09</v>
      </c>
      <c r="AE152" s="1792">
        <v>0.11</v>
      </c>
      <c r="AF152" s="1792">
        <v>0.13</v>
      </c>
      <c r="AG152" s="29"/>
      <c r="AH152" s="1792">
        <v>-0.25</v>
      </c>
      <c r="AI152" s="1792">
        <v>0.65</v>
      </c>
      <c r="AJ152" s="1792">
        <v>0.25</v>
      </c>
      <c r="AK152" s="29"/>
      <c r="AL152" s="1792">
        <v>-0.01</v>
      </c>
      <c r="AM152" s="1792">
        <v>0.16</v>
      </c>
      <c r="AN152" s="1792">
        <v>0.01</v>
      </c>
      <c r="AO152" s="29"/>
      <c r="AP152" s="14">
        <v>48</v>
      </c>
      <c r="AQ152" s="1802">
        <v>0.35</v>
      </c>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325">
        <v>41091</v>
      </c>
      <c r="BR152" s="415">
        <v>3.2669999999999999</v>
      </c>
      <c r="BS152" s="415">
        <v>3.2719999999999998</v>
      </c>
      <c r="BT152" s="415">
        <v>3.2770000000000001</v>
      </c>
      <c r="BU152" s="416">
        <v>0.14749999999999999</v>
      </c>
      <c r="BV152" s="416">
        <v>0.15</v>
      </c>
      <c r="BW152" s="416">
        <v>0.16250000000000001</v>
      </c>
      <c r="BX152" s="416">
        <v>-7.0000000000000007E-2</v>
      </c>
      <c r="BY152" s="416"/>
      <c r="BZ152" s="416">
        <v>7.0000000000000007E-2</v>
      </c>
      <c r="CA152" s="432">
        <v>0</v>
      </c>
      <c r="CB152" s="1618">
        <v>0</v>
      </c>
      <c r="CC152" s="445">
        <v>3.2949999999999999</v>
      </c>
      <c r="CD152" s="449">
        <v>0.16350000000000001</v>
      </c>
    </row>
    <row r="153" spans="1:82">
      <c r="A153" s="325">
        <v>41214</v>
      </c>
      <c r="B153" s="416">
        <v>7.2839122121143018E-2</v>
      </c>
      <c r="C153" s="11"/>
      <c r="D153" s="1786">
        <v>40087</v>
      </c>
      <c r="E153" s="1787">
        <v>33.664554129426698</v>
      </c>
      <c r="F153" s="1787">
        <v>36.914554129426698</v>
      </c>
      <c r="G153" s="1787">
        <v>41.914554129426698</v>
      </c>
      <c r="H153" s="1788"/>
      <c r="I153" s="1787">
        <v>24.751612903225809</v>
      </c>
      <c r="J153" s="1787">
        <v>26.501612903225809</v>
      </c>
      <c r="K153" s="1787">
        <v>31.501612903225809</v>
      </c>
      <c r="M153" s="1791">
        <v>40969</v>
      </c>
      <c r="N153" s="1792">
        <v>24.895578367168792</v>
      </c>
      <c r="O153" s="1792">
        <v>28.645578367168792</v>
      </c>
      <c r="P153" s="1792">
        <v>33.645578367168795</v>
      </c>
      <c r="Q153" s="29"/>
      <c r="R153" s="1792">
        <v>17.734183775376597</v>
      </c>
      <c r="S153" s="1792">
        <v>21.484183775376597</v>
      </c>
      <c r="T153" s="1792">
        <v>26.484183775376597</v>
      </c>
      <c r="V153" s="500">
        <v>0</v>
      </c>
      <c r="W153" s="500">
        <v>0</v>
      </c>
      <c r="X153" s="500">
        <v>0</v>
      </c>
      <c r="Y153" s="27"/>
      <c r="Z153" s="1792">
        <v>0.11</v>
      </c>
      <c r="AA153" s="1792">
        <v>0.12</v>
      </c>
      <c r="AB153" s="1792">
        <v>0.13</v>
      </c>
      <c r="AC153" s="29"/>
      <c r="AD153" s="1792">
        <v>0.09</v>
      </c>
      <c r="AE153" s="1792">
        <v>0.11</v>
      </c>
      <c r="AF153" s="1792">
        <v>0.13</v>
      </c>
      <c r="AG153" s="29"/>
      <c r="AH153" s="1792">
        <v>-0.1</v>
      </c>
      <c r="AI153" s="1792">
        <v>0.65</v>
      </c>
      <c r="AJ153" s="1792">
        <v>0.1</v>
      </c>
      <c r="AK153" s="29"/>
      <c r="AL153" s="1792">
        <v>-0.01</v>
      </c>
      <c r="AM153" s="1792">
        <v>0.16</v>
      </c>
      <c r="AN153" s="1792">
        <v>0.01</v>
      </c>
      <c r="AO153" s="29"/>
      <c r="AP153" s="14">
        <v>48</v>
      </c>
      <c r="AQ153" s="1802">
        <v>0.35</v>
      </c>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325">
        <v>41122</v>
      </c>
      <c r="BR153" s="415">
        <v>3.2760000000000002</v>
      </c>
      <c r="BS153" s="415">
        <v>3.2810000000000001</v>
      </c>
      <c r="BT153" s="415">
        <v>3.2860000000000005</v>
      </c>
      <c r="BU153" s="416">
        <v>0.14749999999999999</v>
      </c>
      <c r="BV153" s="416">
        <v>0.15</v>
      </c>
      <c r="BW153" s="416">
        <v>0.16250000000000001</v>
      </c>
      <c r="BX153" s="416">
        <v>-7.0000000000000007E-2</v>
      </c>
      <c r="BY153" s="416"/>
      <c r="BZ153" s="416">
        <v>7.0000000000000007E-2</v>
      </c>
      <c r="CA153" s="432">
        <v>0</v>
      </c>
      <c r="CB153" s="1618">
        <v>0</v>
      </c>
      <c r="CC153" s="445">
        <v>3.3990000000000005</v>
      </c>
      <c r="CD153" s="449">
        <v>0.16250000000000001</v>
      </c>
    </row>
    <row r="154" spans="1:82">
      <c r="A154" s="325">
        <v>41244</v>
      </c>
      <c r="B154" s="416">
        <v>7.2840103358522021E-2</v>
      </c>
      <c r="C154" s="11"/>
      <c r="D154" s="1786">
        <v>40118</v>
      </c>
      <c r="E154" s="1787">
        <v>25.914554129426708</v>
      </c>
      <c r="F154" s="1787">
        <v>29.164554129426708</v>
      </c>
      <c r="G154" s="1787">
        <v>34.164554129426705</v>
      </c>
      <c r="H154" s="1788"/>
      <c r="I154" s="1787">
        <v>26.091666666666669</v>
      </c>
      <c r="J154" s="1787">
        <v>27.841666666666669</v>
      </c>
      <c r="K154" s="1787">
        <v>32.841666666666669</v>
      </c>
      <c r="M154" s="1791">
        <v>41000</v>
      </c>
      <c r="N154" s="1792">
        <v>24.770799979153328</v>
      </c>
      <c r="O154" s="1792">
        <v>28.520799979153328</v>
      </c>
      <c r="P154" s="1792">
        <v>33.520799979153324</v>
      </c>
      <c r="Q154" s="29"/>
      <c r="R154" s="1792">
        <v>17.640599984364997</v>
      </c>
      <c r="S154" s="1792">
        <v>21.390599984364997</v>
      </c>
      <c r="T154" s="1792">
        <v>26.390599984364997</v>
      </c>
      <c r="V154" s="500">
        <v>0</v>
      </c>
      <c r="W154" s="500">
        <v>0</v>
      </c>
      <c r="X154" s="500">
        <v>0</v>
      </c>
      <c r="Y154" s="27"/>
      <c r="Z154" s="1792">
        <v>0.11</v>
      </c>
      <c r="AA154" s="1792">
        <v>0.12</v>
      </c>
      <c r="AB154" s="1792">
        <v>0.13</v>
      </c>
      <c r="AC154" s="29"/>
      <c r="AD154" s="1792">
        <v>0.09</v>
      </c>
      <c r="AE154" s="1792">
        <v>0.11</v>
      </c>
      <c r="AF154" s="1792">
        <v>0.13</v>
      </c>
      <c r="AG154" s="29"/>
      <c r="AH154" s="1792">
        <v>-0.1</v>
      </c>
      <c r="AI154" s="1792">
        <v>0.65</v>
      </c>
      <c r="AJ154" s="1792">
        <v>0.1</v>
      </c>
      <c r="AK154" s="29"/>
      <c r="AL154" s="1792">
        <v>-0.01</v>
      </c>
      <c r="AM154" s="1792">
        <v>0.16</v>
      </c>
      <c r="AN154" s="1792">
        <v>0.01</v>
      </c>
      <c r="AO154" s="29"/>
      <c r="AP154" s="14">
        <v>49</v>
      </c>
      <c r="AQ154" s="1802">
        <v>0.35</v>
      </c>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325">
        <v>41153</v>
      </c>
      <c r="BR154" s="415">
        <v>3.2740000000000005</v>
      </c>
      <c r="BS154" s="415">
        <v>3.2790000000000004</v>
      </c>
      <c r="BT154" s="415">
        <v>3.2840000000000003</v>
      </c>
      <c r="BU154" s="416">
        <v>0.14749999999999999</v>
      </c>
      <c r="BV154" s="416">
        <v>0.15</v>
      </c>
      <c r="BW154" s="416">
        <v>0.16250000000000001</v>
      </c>
      <c r="BX154" s="416">
        <v>-7.0000000000000007E-2</v>
      </c>
      <c r="BY154" s="416"/>
      <c r="BZ154" s="416">
        <v>7.0000000000000007E-2</v>
      </c>
      <c r="CA154" s="432">
        <v>0</v>
      </c>
      <c r="CB154" s="1618">
        <v>0</v>
      </c>
      <c r="CC154" s="445">
        <v>3.2740000000000005</v>
      </c>
      <c r="CD154" s="449">
        <v>0.16250000000000001</v>
      </c>
    </row>
    <row r="155" spans="1:82">
      <c r="A155" s="325">
        <v>41275</v>
      </c>
      <c r="B155" s="416">
        <v>7.284111730381404E-2</v>
      </c>
      <c r="C155" s="11"/>
      <c r="D155" s="1786">
        <v>40148</v>
      </c>
      <c r="E155" s="1787">
        <v>27.914554129426705</v>
      </c>
      <c r="F155" s="1787">
        <v>31.164554129426705</v>
      </c>
      <c r="G155" s="1787">
        <v>36.164554129426705</v>
      </c>
      <c r="H155" s="1788"/>
      <c r="I155" s="1787">
        <v>25.396774193548396</v>
      </c>
      <c r="J155" s="1787">
        <v>27.146774193548396</v>
      </c>
      <c r="K155" s="1787">
        <v>32.146774193548396</v>
      </c>
      <c r="M155" s="1791">
        <v>41030</v>
      </c>
      <c r="N155" s="1792">
        <v>24.770799979153328</v>
      </c>
      <c r="O155" s="1792">
        <v>28.520799979153328</v>
      </c>
      <c r="P155" s="1792">
        <v>33.520799979153324</v>
      </c>
      <c r="Q155" s="29"/>
      <c r="R155" s="1792">
        <v>17.640599984364997</v>
      </c>
      <c r="S155" s="1792">
        <v>21.390599984364997</v>
      </c>
      <c r="T155" s="1792">
        <v>26.390599984364997</v>
      </c>
      <c r="V155" s="500">
        <v>0</v>
      </c>
      <c r="W155" s="500">
        <v>0</v>
      </c>
      <c r="X155" s="500">
        <v>0</v>
      </c>
      <c r="Y155" s="27"/>
      <c r="Z155" s="1792">
        <v>0.11</v>
      </c>
      <c r="AA155" s="1792">
        <v>0.12</v>
      </c>
      <c r="AB155" s="1792">
        <v>0.13</v>
      </c>
      <c r="AC155" s="29"/>
      <c r="AD155" s="1792">
        <v>0.09</v>
      </c>
      <c r="AE155" s="1792">
        <v>0.11</v>
      </c>
      <c r="AF155" s="1792">
        <v>0.13</v>
      </c>
      <c r="AG155" s="29"/>
      <c r="AH155" s="1792">
        <v>-0.1</v>
      </c>
      <c r="AI155" s="1792">
        <v>0.65</v>
      </c>
      <c r="AJ155" s="1792">
        <v>0.1</v>
      </c>
      <c r="AK155" s="29"/>
      <c r="AL155" s="1792">
        <v>-0.01</v>
      </c>
      <c r="AM155" s="1792">
        <v>0.16</v>
      </c>
      <c r="AN155" s="1792">
        <v>0.01</v>
      </c>
      <c r="AO155" s="29"/>
      <c r="AP155" s="14">
        <v>49</v>
      </c>
      <c r="AQ155" s="1802">
        <v>0.35</v>
      </c>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325">
        <v>41183</v>
      </c>
      <c r="BR155" s="415">
        <v>3.2919999999999998</v>
      </c>
      <c r="BS155" s="415">
        <v>3.2970000000000002</v>
      </c>
      <c r="BT155" s="415">
        <v>3.302</v>
      </c>
      <c r="BU155" s="416">
        <v>0.14749999999999999</v>
      </c>
      <c r="BV155" s="416">
        <v>0.15</v>
      </c>
      <c r="BW155" s="416">
        <v>0.16250000000000001</v>
      </c>
      <c r="BX155" s="416">
        <v>-7.0000000000000007E-2</v>
      </c>
      <c r="BY155" s="416"/>
      <c r="BZ155" s="416">
        <v>7.0000000000000007E-2</v>
      </c>
      <c r="CA155" s="432">
        <v>0</v>
      </c>
      <c r="CB155" s="1618">
        <v>0</v>
      </c>
      <c r="CC155" s="445">
        <v>3.1669999999999998</v>
      </c>
      <c r="CD155" s="449">
        <v>0.16250000000000001</v>
      </c>
    </row>
    <row r="156" spans="1:82">
      <c r="A156" s="325">
        <v>41306</v>
      </c>
      <c r="B156" s="416">
        <v>7.2842131249107031E-2</v>
      </c>
      <c r="C156" s="11"/>
      <c r="D156" s="1786">
        <v>40179</v>
      </c>
      <c r="E156" s="1787">
        <v>26.133599563899246</v>
      </c>
      <c r="F156" s="1787">
        <v>29.883599563899246</v>
      </c>
      <c r="G156" s="1787">
        <v>34.883599563899246</v>
      </c>
      <c r="H156" s="1788"/>
      <c r="I156" s="1787">
        <v>22.98811915105221</v>
      </c>
      <c r="J156" s="1787">
        <v>24.73811915105221</v>
      </c>
      <c r="K156" s="1787">
        <v>29.73811915105221</v>
      </c>
      <c r="M156" s="1791">
        <v>41061</v>
      </c>
      <c r="N156" s="1792">
        <v>30.020799979153331</v>
      </c>
      <c r="O156" s="1792">
        <v>33.770799979153331</v>
      </c>
      <c r="P156" s="1792">
        <v>38.770799979153331</v>
      </c>
      <c r="Q156" s="29"/>
      <c r="R156" s="1792">
        <v>21.578099984364997</v>
      </c>
      <c r="S156" s="1792">
        <v>25.328099984364997</v>
      </c>
      <c r="T156" s="1792">
        <v>30.328099984364997</v>
      </c>
      <c r="V156" s="500">
        <v>0</v>
      </c>
      <c r="W156" s="500">
        <v>0</v>
      </c>
      <c r="X156" s="500">
        <v>0</v>
      </c>
      <c r="Y156" s="27"/>
      <c r="Z156" s="1792">
        <v>0.11</v>
      </c>
      <c r="AA156" s="1792">
        <v>0.12</v>
      </c>
      <c r="AB156" s="1792">
        <v>0.13</v>
      </c>
      <c r="AC156" s="29"/>
      <c r="AD156" s="1792">
        <v>0.09</v>
      </c>
      <c r="AE156" s="1792">
        <v>0.11</v>
      </c>
      <c r="AF156" s="1792">
        <v>0.13</v>
      </c>
      <c r="AG156" s="29"/>
      <c r="AH156" s="1792">
        <v>-0.35</v>
      </c>
      <c r="AI156" s="1792">
        <v>0.65</v>
      </c>
      <c r="AJ156" s="1792">
        <v>0.2</v>
      </c>
      <c r="AK156" s="29"/>
      <c r="AL156" s="1792">
        <v>-0.01</v>
      </c>
      <c r="AM156" s="1792">
        <v>0.16</v>
      </c>
      <c r="AN156" s="1792">
        <v>0.01</v>
      </c>
      <c r="AO156" s="29"/>
      <c r="AP156" s="14">
        <v>49</v>
      </c>
      <c r="AQ156" s="1802">
        <v>0.35</v>
      </c>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325">
        <v>41214</v>
      </c>
      <c r="BR156" s="415">
        <v>3.38</v>
      </c>
      <c r="BS156" s="415">
        <v>3.3849999999999998</v>
      </c>
      <c r="BT156" s="415">
        <v>3.39</v>
      </c>
      <c r="BU156" s="416">
        <v>0.14749999999999999</v>
      </c>
      <c r="BV156" s="416">
        <v>0.15</v>
      </c>
      <c r="BW156" s="416">
        <v>0.16250000000000001</v>
      </c>
      <c r="BX156" s="416">
        <v>-7.0000000000000007E-2</v>
      </c>
      <c r="BY156" s="416"/>
      <c r="BZ156" s="416">
        <v>7.0000000000000007E-2</v>
      </c>
      <c r="CA156" s="432">
        <v>0</v>
      </c>
      <c r="CB156" s="1618">
        <v>0</v>
      </c>
      <c r="CC156" s="445">
        <v>3.0640000000000005</v>
      </c>
      <c r="CD156" s="449">
        <v>0.16250000000000001</v>
      </c>
    </row>
    <row r="157" spans="1:82">
      <c r="A157" s="325">
        <v>41334</v>
      </c>
      <c r="B157" s="416">
        <v>7.2843047070662012E-2</v>
      </c>
      <c r="C157" s="11"/>
      <c r="D157" s="1786">
        <v>40210</v>
      </c>
      <c r="E157" s="1787">
        <v>25.633599563899246</v>
      </c>
      <c r="F157" s="1787">
        <v>29.383599563899246</v>
      </c>
      <c r="G157" s="1787">
        <v>34.383599563899246</v>
      </c>
      <c r="H157" s="1788"/>
      <c r="I157" s="1787">
        <v>23.957142857142859</v>
      </c>
      <c r="J157" s="1787">
        <v>25.707142857142859</v>
      </c>
      <c r="K157" s="1787">
        <v>30.707142857142859</v>
      </c>
      <c r="M157" s="1791">
        <v>41091</v>
      </c>
      <c r="N157" s="1792">
        <v>56.298348736361746</v>
      </c>
      <c r="O157" s="1792">
        <v>60.048348736361746</v>
      </c>
      <c r="P157" s="1792">
        <v>65.048348736361746</v>
      </c>
      <c r="Q157" s="29"/>
      <c r="R157" s="1792">
        <v>41.286261552271313</v>
      </c>
      <c r="S157" s="1792">
        <v>45.036261552271313</v>
      </c>
      <c r="T157" s="1792">
        <v>50.036261552271313</v>
      </c>
      <c r="V157" s="500">
        <v>0</v>
      </c>
      <c r="W157" s="500">
        <v>0</v>
      </c>
      <c r="X157" s="500">
        <v>0</v>
      </c>
      <c r="Y157" s="27"/>
      <c r="Z157" s="1792">
        <v>0.11</v>
      </c>
      <c r="AA157" s="1792">
        <v>0.12</v>
      </c>
      <c r="AB157" s="1792">
        <v>0.13</v>
      </c>
      <c r="AC157" s="29"/>
      <c r="AD157" s="1792">
        <v>0.09</v>
      </c>
      <c r="AE157" s="1792">
        <v>0.11</v>
      </c>
      <c r="AF157" s="1792">
        <v>0.13</v>
      </c>
      <c r="AG157" s="29"/>
      <c r="AH157" s="1792">
        <v>-0.35</v>
      </c>
      <c r="AI157" s="1792">
        <v>3</v>
      </c>
      <c r="AJ157" s="1792">
        <v>0.35</v>
      </c>
      <c r="AK157" s="29"/>
      <c r="AL157" s="1792">
        <v>-0.01</v>
      </c>
      <c r="AM157" s="1792">
        <v>0.16</v>
      </c>
      <c r="AN157" s="1792">
        <v>0.01</v>
      </c>
      <c r="AO157" s="29"/>
      <c r="AP157" s="14">
        <v>50</v>
      </c>
      <c r="AQ157" s="1802">
        <v>0.35</v>
      </c>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325">
        <v>41244</v>
      </c>
      <c r="BR157" s="415">
        <v>3.4760000000000004</v>
      </c>
      <c r="BS157" s="415">
        <v>3.4810000000000003</v>
      </c>
      <c r="BT157" s="415">
        <v>3.4860000000000002</v>
      </c>
      <c r="BU157" s="416">
        <v>0.14749999999999999</v>
      </c>
      <c r="BV157" s="416">
        <v>0.15</v>
      </c>
      <c r="BW157" s="416">
        <v>0.16250000000000001</v>
      </c>
      <c r="BX157" s="416">
        <v>-7.0000000000000007E-2</v>
      </c>
      <c r="BY157" s="416"/>
      <c r="BZ157" s="416">
        <v>7.0000000000000007E-2</v>
      </c>
      <c r="CA157" s="432">
        <v>0</v>
      </c>
      <c r="CB157" s="1618">
        <v>0</v>
      </c>
      <c r="CC157" s="445">
        <v>3.04</v>
      </c>
      <c r="CD157" s="449">
        <v>0.16250000000000001</v>
      </c>
    </row>
    <row r="158" spans="1:82">
      <c r="A158" s="325">
        <v>41365</v>
      </c>
      <c r="B158" s="416">
        <v>7.2844061015956016E-2</v>
      </c>
      <c r="C158" s="11"/>
      <c r="D158" s="1786">
        <v>40238</v>
      </c>
      <c r="E158" s="1787">
        <v>25.383599563899246</v>
      </c>
      <c r="F158" s="1787">
        <v>29.133599563899246</v>
      </c>
      <c r="G158" s="1787">
        <v>34.133599563899246</v>
      </c>
      <c r="H158" s="1788"/>
      <c r="I158" s="1787">
        <v>24.237096774193553</v>
      </c>
      <c r="J158" s="1787">
        <v>25.987096774193553</v>
      </c>
      <c r="K158" s="1787">
        <v>30.987096774193553</v>
      </c>
      <c r="M158" s="1791">
        <v>41122</v>
      </c>
      <c r="N158" s="1792">
        <v>76.923348736361746</v>
      </c>
      <c r="O158" s="1792">
        <v>80.673348736361746</v>
      </c>
      <c r="P158" s="1792">
        <v>85.673348736361746</v>
      </c>
      <c r="Q158" s="29"/>
      <c r="R158" s="1792">
        <v>56.755011552271313</v>
      </c>
      <c r="S158" s="1792">
        <v>60.505011552271313</v>
      </c>
      <c r="T158" s="1792">
        <v>65.505011552271313</v>
      </c>
      <c r="V158" s="500">
        <v>0</v>
      </c>
      <c r="W158" s="500">
        <v>0</v>
      </c>
      <c r="X158" s="500">
        <v>0</v>
      </c>
      <c r="Y158" s="27"/>
      <c r="Z158" s="1792">
        <v>0.11</v>
      </c>
      <c r="AA158" s="1792">
        <v>0.12</v>
      </c>
      <c r="AB158" s="1792">
        <v>0.13</v>
      </c>
      <c r="AC158" s="29"/>
      <c r="AD158" s="1792">
        <v>0.09</v>
      </c>
      <c r="AE158" s="1792">
        <v>0.11</v>
      </c>
      <c r="AF158" s="1792">
        <v>0.13</v>
      </c>
      <c r="AG158" s="29"/>
      <c r="AH158" s="1792">
        <v>-0.35</v>
      </c>
      <c r="AI158" s="1792">
        <v>3</v>
      </c>
      <c r="AJ158" s="1792">
        <v>0.35</v>
      </c>
      <c r="AK158" s="29"/>
      <c r="AL158" s="1792">
        <v>-0.01</v>
      </c>
      <c r="AM158" s="1792">
        <v>0.16</v>
      </c>
      <c r="AN158" s="1792">
        <v>0.01</v>
      </c>
      <c r="AO158" s="29"/>
      <c r="AP158" s="14">
        <v>50</v>
      </c>
      <c r="AQ158" s="1802">
        <v>0.35</v>
      </c>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325">
        <v>41275</v>
      </c>
      <c r="BR158" s="415">
        <v>3.5274999999999999</v>
      </c>
      <c r="BS158" s="415">
        <v>3.5325000000000002</v>
      </c>
      <c r="BT158" s="415">
        <v>3.5375000000000001</v>
      </c>
      <c r="BU158" s="416">
        <v>0.14650000000000002</v>
      </c>
      <c r="BV158" s="416">
        <v>0.15</v>
      </c>
      <c r="BW158" s="416">
        <v>0.16149999999999998</v>
      </c>
      <c r="BX158" s="416">
        <v>-7.0000000000000007E-2</v>
      </c>
      <c r="BY158" s="416"/>
      <c r="BZ158" s="416">
        <v>7.0000000000000007E-2</v>
      </c>
      <c r="CA158" s="432">
        <v>0</v>
      </c>
      <c r="CB158" s="1618">
        <v>0</v>
      </c>
      <c r="CC158" s="445">
        <v>3.0470000000000002</v>
      </c>
      <c r="CD158" s="449">
        <v>0.16250000000000001</v>
      </c>
    </row>
    <row r="159" spans="1:82">
      <c r="A159" s="325">
        <v>41395</v>
      </c>
      <c r="B159" s="416">
        <v>7.2845042253337003E-2</v>
      </c>
      <c r="C159" s="11"/>
      <c r="D159" s="1786">
        <v>40269</v>
      </c>
      <c r="E159" s="1787">
        <v>25.48863753759532</v>
      </c>
      <c r="F159" s="1787">
        <v>29.23863753759532</v>
      </c>
      <c r="G159" s="1787">
        <v>34.238637537595324</v>
      </c>
      <c r="H159" s="1788"/>
      <c r="I159" s="1787">
        <v>22.037500000000001</v>
      </c>
      <c r="J159" s="1787">
        <v>23.787500000000001</v>
      </c>
      <c r="K159" s="1787">
        <v>28.787500000000001</v>
      </c>
      <c r="M159" s="1791">
        <v>41153</v>
      </c>
      <c r="N159" s="1792">
        <v>60.923348736361746</v>
      </c>
      <c r="O159" s="1792">
        <v>64.673348736361746</v>
      </c>
      <c r="P159" s="1792">
        <v>69.673348736361746</v>
      </c>
      <c r="Q159" s="29"/>
      <c r="R159" s="1792">
        <v>44.755011552271313</v>
      </c>
      <c r="S159" s="1792">
        <v>48.505011552271313</v>
      </c>
      <c r="T159" s="1792">
        <v>53.505011552271313</v>
      </c>
      <c r="V159" s="500">
        <v>0</v>
      </c>
      <c r="W159" s="500">
        <v>0</v>
      </c>
      <c r="X159" s="500">
        <v>0</v>
      </c>
      <c r="Y159" s="27"/>
      <c r="Z159" s="1792">
        <v>0.11</v>
      </c>
      <c r="AA159" s="1792">
        <v>0.12</v>
      </c>
      <c r="AB159" s="1792">
        <v>0.13</v>
      </c>
      <c r="AC159" s="29"/>
      <c r="AD159" s="1792">
        <v>0.09</v>
      </c>
      <c r="AE159" s="1792">
        <v>0.11</v>
      </c>
      <c r="AF159" s="1792">
        <v>0.13</v>
      </c>
      <c r="AG159" s="29"/>
      <c r="AH159" s="1792">
        <v>-0.35</v>
      </c>
      <c r="AI159" s="1792">
        <v>3</v>
      </c>
      <c r="AJ159" s="1792">
        <v>0.2</v>
      </c>
      <c r="AK159" s="29"/>
      <c r="AL159" s="1792">
        <v>-0.01</v>
      </c>
      <c r="AM159" s="1792">
        <v>0.16</v>
      </c>
      <c r="AN159" s="1792">
        <v>0.01</v>
      </c>
      <c r="AO159" s="29"/>
      <c r="AP159" s="14">
        <v>50</v>
      </c>
      <c r="AQ159" s="1802">
        <v>0.35</v>
      </c>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325">
        <v>41306</v>
      </c>
      <c r="BR159" s="415">
        <v>3.4544999999999999</v>
      </c>
      <c r="BS159" s="415">
        <v>3.4594999999999998</v>
      </c>
      <c r="BT159" s="415">
        <v>3.4645000000000001</v>
      </c>
      <c r="BU159" s="416">
        <v>0.14650000000000002</v>
      </c>
      <c r="BV159" s="416">
        <v>0.15</v>
      </c>
      <c r="BW159" s="416">
        <v>0.16149999999999998</v>
      </c>
      <c r="BX159" s="416">
        <v>-7.0000000000000007E-2</v>
      </c>
      <c r="BY159" s="416"/>
      <c r="BZ159" s="416">
        <v>7.0000000000000007E-2</v>
      </c>
      <c r="CA159" s="432">
        <v>0</v>
      </c>
      <c r="CB159" s="1618">
        <v>0</v>
      </c>
      <c r="CC159" s="445">
        <v>3.0530000000000004</v>
      </c>
      <c r="CD159" s="449">
        <v>0.16250000000000001</v>
      </c>
    </row>
    <row r="160" spans="1:82">
      <c r="A160" s="325">
        <v>41426</v>
      </c>
      <c r="B160" s="416">
        <v>7.2846056198630021E-2</v>
      </c>
      <c r="C160" s="11"/>
      <c r="D160" s="1786">
        <v>40299</v>
      </c>
      <c r="E160" s="1787">
        <v>24.73863753759532</v>
      </c>
      <c r="F160" s="1787">
        <v>28.48863753759532</v>
      </c>
      <c r="G160" s="1787">
        <v>33.488637537595324</v>
      </c>
      <c r="H160" s="1788"/>
      <c r="I160" s="1787">
        <v>22.095967741935485</v>
      </c>
      <c r="J160" s="1787">
        <v>23.845967741935485</v>
      </c>
      <c r="K160" s="1787">
        <v>28.845967741935485</v>
      </c>
      <c r="M160" s="1791">
        <v>41183</v>
      </c>
      <c r="N160" s="1792">
        <v>33.212360307530169</v>
      </c>
      <c r="O160" s="1792">
        <v>36.962360307530169</v>
      </c>
      <c r="P160" s="1792">
        <v>41.962360307530169</v>
      </c>
      <c r="Q160" s="29"/>
      <c r="R160" s="1792">
        <v>23.971770230647628</v>
      </c>
      <c r="S160" s="1792">
        <v>27.721770230647628</v>
      </c>
      <c r="T160" s="1792">
        <v>32.721770230647628</v>
      </c>
      <c r="V160" s="500">
        <v>0</v>
      </c>
      <c r="W160" s="500">
        <v>0</v>
      </c>
      <c r="X160" s="500">
        <v>0</v>
      </c>
      <c r="Y160" s="27"/>
      <c r="Z160" s="1792">
        <v>0.11</v>
      </c>
      <c r="AA160" s="1792">
        <v>0.12</v>
      </c>
      <c r="AB160" s="1792">
        <v>0.13</v>
      </c>
      <c r="AC160" s="29"/>
      <c r="AD160" s="1792">
        <v>0.09</v>
      </c>
      <c r="AE160" s="1792">
        <v>0.11</v>
      </c>
      <c r="AF160" s="1792">
        <v>0.13</v>
      </c>
      <c r="AG160" s="29"/>
      <c r="AH160" s="1792">
        <v>-0.1</v>
      </c>
      <c r="AI160" s="1792">
        <v>0.6</v>
      </c>
      <c r="AJ160" s="1792">
        <v>0.1</v>
      </c>
      <c r="AK160" s="29"/>
      <c r="AL160" s="1792">
        <v>-0.01</v>
      </c>
      <c r="AM160" s="1792">
        <v>0.16</v>
      </c>
      <c r="AN160" s="1792">
        <v>0.01</v>
      </c>
      <c r="AO160" s="29"/>
      <c r="AP160" s="14">
        <v>51</v>
      </c>
      <c r="AQ160" s="1802">
        <v>0.35</v>
      </c>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325">
        <v>41334</v>
      </c>
      <c r="BR160" s="415">
        <v>3.3694999999999999</v>
      </c>
      <c r="BS160" s="415">
        <v>3.3744999999999998</v>
      </c>
      <c r="BT160" s="415">
        <v>3.3795000000000002</v>
      </c>
      <c r="BU160" s="416">
        <v>0.14650000000000002</v>
      </c>
      <c r="BV160" s="416">
        <v>0.15</v>
      </c>
      <c r="BW160" s="416">
        <v>0.16149999999999998</v>
      </c>
      <c r="BX160" s="416">
        <v>-7.0000000000000007E-2</v>
      </c>
      <c r="BY160" s="416"/>
      <c r="BZ160" s="416">
        <v>7.0000000000000007E-2</v>
      </c>
      <c r="CA160" s="432">
        <v>0</v>
      </c>
      <c r="CB160" s="1618">
        <v>0</v>
      </c>
      <c r="CC160" s="445">
        <v>3.0580000000000003</v>
      </c>
      <c r="CD160" s="449">
        <v>0.16250000000000001</v>
      </c>
    </row>
    <row r="161" spans="1:82">
      <c r="A161" s="325">
        <v>41456</v>
      </c>
      <c r="B161" s="416">
        <v>7.2847037436012022E-2</v>
      </c>
      <c r="C161" s="11"/>
      <c r="D161" s="1786">
        <v>40330</v>
      </c>
      <c r="E161" s="1787">
        <v>29.988637537595324</v>
      </c>
      <c r="F161" s="1787">
        <v>33.738637537595324</v>
      </c>
      <c r="G161" s="1787">
        <v>38.738637537595324</v>
      </c>
      <c r="H161" s="1788"/>
      <c r="I161" s="1787">
        <v>21.35</v>
      </c>
      <c r="J161" s="1787">
        <v>23.1</v>
      </c>
      <c r="K161" s="1787">
        <v>28.1</v>
      </c>
      <c r="M161" s="1791">
        <v>41214</v>
      </c>
      <c r="N161" s="1792">
        <v>25.462360307530179</v>
      </c>
      <c r="O161" s="1792">
        <v>29.212360307530179</v>
      </c>
      <c r="P161" s="1792">
        <v>34.212360307530176</v>
      </c>
      <c r="Q161" s="29"/>
      <c r="R161" s="1792">
        <v>18.159270230647628</v>
      </c>
      <c r="S161" s="1792">
        <v>21.909270230647628</v>
      </c>
      <c r="T161" s="1792">
        <v>26.909270230647628</v>
      </c>
      <c r="V161" s="500">
        <v>0</v>
      </c>
      <c r="W161" s="500">
        <v>0</v>
      </c>
      <c r="X161" s="500">
        <v>0</v>
      </c>
      <c r="Y161" s="27"/>
      <c r="Z161" s="1792">
        <v>0.11</v>
      </c>
      <c r="AA161" s="1792">
        <v>0.12</v>
      </c>
      <c r="AB161" s="1792">
        <v>0.13</v>
      </c>
      <c r="AC161" s="29"/>
      <c r="AD161" s="1792">
        <v>0.09</v>
      </c>
      <c r="AE161" s="1792">
        <v>0.11</v>
      </c>
      <c r="AF161" s="1792">
        <v>0.13</v>
      </c>
      <c r="AG161" s="29"/>
      <c r="AH161" s="1792">
        <v>-0.1</v>
      </c>
      <c r="AI161" s="1792">
        <v>0.6</v>
      </c>
      <c r="AJ161" s="1792">
        <v>0.1</v>
      </c>
      <c r="AK161" s="29"/>
      <c r="AL161" s="1792">
        <v>-0.01</v>
      </c>
      <c r="AM161" s="1792">
        <v>0.16</v>
      </c>
      <c r="AN161" s="1792">
        <v>0.01</v>
      </c>
      <c r="AO161" s="29"/>
      <c r="AP161" s="14">
        <v>51</v>
      </c>
      <c r="AQ161" s="1802">
        <v>0.35</v>
      </c>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325">
        <v>41365</v>
      </c>
      <c r="BR161" s="415">
        <v>3.2995000000000001</v>
      </c>
      <c r="BS161" s="415">
        <v>3.3045</v>
      </c>
      <c r="BT161" s="415">
        <v>3.3094999999999999</v>
      </c>
      <c r="BU161" s="416">
        <v>0.14650000000000002</v>
      </c>
      <c r="BV161" s="416">
        <v>0.15</v>
      </c>
      <c r="BW161" s="416">
        <v>0.16149999999999998</v>
      </c>
      <c r="BX161" s="416">
        <v>-7.0000000000000007E-2</v>
      </c>
      <c r="BY161" s="416"/>
      <c r="BZ161" s="416">
        <v>7.0000000000000007E-2</v>
      </c>
      <c r="CA161" s="432">
        <v>0</v>
      </c>
      <c r="CB161" s="1618">
        <v>0</v>
      </c>
      <c r="CC161" s="445">
        <v>3.0610000000000004</v>
      </c>
      <c r="CD161" s="449">
        <v>0.16250000000000001</v>
      </c>
    </row>
    <row r="162" spans="1:82">
      <c r="A162" s="325">
        <v>41487</v>
      </c>
      <c r="B162" s="416">
        <v>7.2848051381307025E-2</v>
      </c>
      <c r="C162" s="11"/>
      <c r="D162" s="1786">
        <v>40360</v>
      </c>
      <c r="E162" s="1787">
        <v>56.181766360460315</v>
      </c>
      <c r="F162" s="1787">
        <v>59.931766360460315</v>
      </c>
      <c r="G162" s="1787">
        <v>64.931766360460315</v>
      </c>
      <c r="H162" s="1788"/>
      <c r="I162" s="1787">
        <v>27.374193548387101</v>
      </c>
      <c r="J162" s="1787">
        <v>29.124193548387101</v>
      </c>
      <c r="K162" s="1787">
        <v>34.124193548387098</v>
      </c>
      <c r="M162" s="1791">
        <v>41244</v>
      </c>
      <c r="N162" s="1792">
        <v>27.462360307530176</v>
      </c>
      <c r="O162" s="1792">
        <v>31.212360307530176</v>
      </c>
      <c r="P162" s="1792">
        <v>36.212360307530176</v>
      </c>
      <c r="Q162" s="29"/>
      <c r="R162" s="1792">
        <v>19.659270230647628</v>
      </c>
      <c r="S162" s="1792">
        <v>23.409270230647628</v>
      </c>
      <c r="T162" s="1792">
        <v>28.409270230647628</v>
      </c>
      <c r="V162" s="500">
        <v>0</v>
      </c>
      <c r="W162" s="500">
        <v>0</v>
      </c>
      <c r="X162" s="500">
        <v>0</v>
      </c>
      <c r="Y162" s="27"/>
      <c r="Z162" s="1792">
        <v>0.11</v>
      </c>
      <c r="AA162" s="1792">
        <v>0.12</v>
      </c>
      <c r="AB162" s="1792">
        <v>0.13</v>
      </c>
      <c r="AC162" s="29"/>
      <c r="AD162" s="1792">
        <v>0.09</v>
      </c>
      <c r="AE162" s="1792">
        <v>0.11</v>
      </c>
      <c r="AF162" s="1792">
        <v>0.13</v>
      </c>
      <c r="AG162" s="29"/>
      <c r="AH162" s="1792">
        <v>-0.25</v>
      </c>
      <c r="AI162" s="1792">
        <v>0.6</v>
      </c>
      <c r="AJ162" s="1792">
        <v>0.25</v>
      </c>
      <c r="AK162" s="29"/>
      <c r="AL162" s="1792">
        <v>-0.01</v>
      </c>
      <c r="AM162" s="1792">
        <v>0.16</v>
      </c>
      <c r="AN162" s="1792">
        <v>0.01</v>
      </c>
      <c r="AO162" s="29"/>
      <c r="AP162" s="14">
        <v>51</v>
      </c>
      <c r="AQ162" s="1802">
        <v>0.35</v>
      </c>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325">
        <v>41395</v>
      </c>
      <c r="BR162" s="415">
        <v>3.3235000000000001</v>
      </c>
      <c r="BS162" s="415">
        <v>3.3285000000000005</v>
      </c>
      <c r="BT162" s="415">
        <v>3.3335000000000004</v>
      </c>
      <c r="BU162" s="416">
        <v>0.14650000000000002</v>
      </c>
      <c r="BV162" s="416">
        <v>0.15</v>
      </c>
      <c r="BW162" s="416">
        <v>0.16149999999999998</v>
      </c>
      <c r="BX162" s="416">
        <v>-7.0000000000000007E-2</v>
      </c>
      <c r="BY162" s="416"/>
      <c r="BZ162" s="416">
        <v>7.0000000000000007E-2</v>
      </c>
      <c r="CA162" s="432">
        <v>0</v>
      </c>
      <c r="CB162" s="1618">
        <v>0</v>
      </c>
      <c r="CC162" s="445">
        <v>3.0940000000000003</v>
      </c>
      <c r="CD162" s="449">
        <v>0.16250000000000001</v>
      </c>
    </row>
    <row r="163" spans="1:82">
      <c r="A163" s="325">
        <v>41518</v>
      </c>
      <c r="B163" s="416">
        <v>7.2849065326602014E-2</v>
      </c>
      <c r="C163" s="11"/>
      <c r="D163" s="1786">
        <v>40391</v>
      </c>
      <c r="E163" s="1787">
        <v>76.806766360460315</v>
      </c>
      <c r="F163" s="1787">
        <v>80.556766360460315</v>
      </c>
      <c r="G163" s="1787">
        <v>85.556766360460315</v>
      </c>
      <c r="H163" s="1788"/>
      <c r="I163" s="1787">
        <v>25.374193548387101</v>
      </c>
      <c r="J163" s="1787">
        <v>27.124193548387101</v>
      </c>
      <c r="K163" s="1787">
        <v>32.124193548387098</v>
      </c>
      <c r="M163" s="1791">
        <v>41275</v>
      </c>
      <c r="N163" s="1792">
        <v>26.21777438626459</v>
      </c>
      <c r="O163" s="1792">
        <v>29.96777438626459</v>
      </c>
      <c r="P163" s="1792">
        <v>34.967774386264594</v>
      </c>
      <c r="Q163" s="29"/>
      <c r="R163" s="1792">
        <v>18.725830789698445</v>
      </c>
      <c r="S163" s="1792">
        <v>22.475830789698445</v>
      </c>
      <c r="T163" s="1792">
        <v>27.475830789698445</v>
      </c>
      <c r="V163" s="500">
        <v>0</v>
      </c>
      <c r="W163" s="500">
        <v>0</v>
      </c>
      <c r="X163" s="500">
        <v>0</v>
      </c>
      <c r="Y163" s="27"/>
      <c r="Z163" s="1792">
        <v>0.105</v>
      </c>
      <c r="AA163" s="1792">
        <v>0.115</v>
      </c>
      <c r="AB163" s="1792">
        <v>0.125</v>
      </c>
      <c r="AC163" s="29"/>
      <c r="AD163" s="1792">
        <v>0.09</v>
      </c>
      <c r="AE163" s="1792">
        <v>0.11</v>
      </c>
      <c r="AF163" s="1792">
        <v>0.13</v>
      </c>
      <c r="AG163" s="29"/>
      <c r="AH163" s="1792">
        <v>-0.25</v>
      </c>
      <c r="AI163" s="1792">
        <v>0.65</v>
      </c>
      <c r="AJ163" s="1792">
        <v>0.25</v>
      </c>
      <c r="AK163" s="29"/>
      <c r="AL163" s="1792">
        <v>-0.01</v>
      </c>
      <c r="AM163" s="1792">
        <v>0.16</v>
      </c>
      <c r="AN163" s="1792">
        <v>0.01</v>
      </c>
      <c r="AO163" s="29"/>
      <c r="AP163" s="14">
        <v>52</v>
      </c>
      <c r="AQ163" s="1802">
        <v>0.35</v>
      </c>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325">
        <v>41426</v>
      </c>
      <c r="BR163" s="415">
        <v>3.3405</v>
      </c>
      <c r="BS163" s="415">
        <v>3.3455000000000004</v>
      </c>
      <c r="BT163" s="415">
        <v>3.3505000000000003</v>
      </c>
      <c r="BU163" s="416">
        <v>0.14650000000000002</v>
      </c>
      <c r="BV163" s="416">
        <v>0.15</v>
      </c>
      <c r="BW163" s="416">
        <v>0.16149999999999998</v>
      </c>
      <c r="BX163" s="416">
        <v>-7.0000000000000007E-2</v>
      </c>
      <c r="BY163" s="416"/>
      <c r="BZ163" s="416">
        <v>7.0000000000000007E-2</v>
      </c>
      <c r="CA163" s="432">
        <v>0</v>
      </c>
      <c r="CB163" s="1618">
        <v>0</v>
      </c>
      <c r="CC163" s="445">
        <v>3.2349999999999999</v>
      </c>
      <c r="CD163" s="449">
        <v>0.16250000000000001</v>
      </c>
    </row>
    <row r="164" spans="1:82">
      <c r="A164" s="325">
        <v>41548</v>
      </c>
      <c r="B164" s="416">
        <v>7.2850046563984028E-2</v>
      </c>
      <c r="C164" s="11"/>
      <c r="D164" s="1786">
        <v>40422</v>
      </c>
      <c r="E164" s="1787">
        <v>60.806766360460315</v>
      </c>
      <c r="F164" s="1787">
        <v>64.556766360460315</v>
      </c>
      <c r="G164" s="1787">
        <v>69.556766360460315</v>
      </c>
      <c r="H164" s="1788"/>
      <c r="I164" s="1787">
        <v>25.787500000000001</v>
      </c>
      <c r="J164" s="1787">
        <v>27.537500000000001</v>
      </c>
      <c r="K164" s="1787">
        <v>32.537500000000001</v>
      </c>
      <c r="M164" s="1791">
        <v>41306</v>
      </c>
      <c r="N164" s="1792">
        <v>25.71777438626459</v>
      </c>
      <c r="O164" s="1792">
        <v>29.46777438626459</v>
      </c>
      <c r="P164" s="1792">
        <v>34.467774386264594</v>
      </c>
      <c r="Q164" s="29"/>
      <c r="R164" s="1792">
        <v>18.350830789698445</v>
      </c>
      <c r="S164" s="1792">
        <v>22.100830789698445</v>
      </c>
      <c r="T164" s="1792">
        <v>27.100830789698445</v>
      </c>
      <c r="V164" s="500">
        <v>0</v>
      </c>
      <c r="W164" s="500">
        <v>0</v>
      </c>
      <c r="X164" s="500">
        <v>0</v>
      </c>
      <c r="Y164" s="27"/>
      <c r="Z164" s="1792">
        <v>0.105</v>
      </c>
      <c r="AA164" s="1792">
        <v>0.115</v>
      </c>
      <c r="AB164" s="1792">
        <v>0.125</v>
      </c>
      <c r="AC164" s="29"/>
      <c r="AD164" s="1792">
        <v>0.09</v>
      </c>
      <c r="AE164" s="1792">
        <v>0.11</v>
      </c>
      <c r="AF164" s="1792">
        <v>0.13</v>
      </c>
      <c r="AG164" s="29"/>
      <c r="AH164" s="1792">
        <v>-0.25</v>
      </c>
      <c r="AI164" s="1792">
        <v>0.65</v>
      </c>
      <c r="AJ164" s="1792">
        <v>0.25</v>
      </c>
      <c r="AK164" s="29"/>
      <c r="AL164" s="1792">
        <v>-0.01</v>
      </c>
      <c r="AM164" s="1792">
        <v>0.16</v>
      </c>
      <c r="AN164" s="1792">
        <v>0.01</v>
      </c>
      <c r="AO164" s="29"/>
      <c r="AP164" s="14">
        <v>52</v>
      </c>
      <c r="AQ164" s="1802">
        <v>0.35</v>
      </c>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325">
        <v>41456</v>
      </c>
      <c r="BR164" s="415">
        <v>3.3485000000000005</v>
      </c>
      <c r="BS164" s="415">
        <v>3.3535000000000004</v>
      </c>
      <c r="BT164" s="415">
        <v>3.3585000000000003</v>
      </c>
      <c r="BU164" s="416">
        <v>0.14650000000000002</v>
      </c>
      <c r="BV164" s="416">
        <v>0.15</v>
      </c>
      <c r="BW164" s="416">
        <v>0.16149999999999998</v>
      </c>
      <c r="BX164" s="416">
        <v>-7.0000000000000007E-2</v>
      </c>
      <c r="BY164" s="416"/>
      <c r="BZ164" s="416">
        <v>7.0000000000000007E-2</v>
      </c>
      <c r="CA164" s="432">
        <v>0</v>
      </c>
      <c r="CB164" s="1618">
        <v>0</v>
      </c>
      <c r="CC164" s="445">
        <v>3.38</v>
      </c>
      <c r="CD164" s="449">
        <v>0.16250000000000001</v>
      </c>
    </row>
    <row r="165" spans="1:82">
      <c r="A165" s="325">
        <v>41579</v>
      </c>
      <c r="B165" s="416">
        <v>7.2851060509280016E-2</v>
      </c>
      <c r="C165" s="11"/>
      <c r="D165" s="1786">
        <v>40452</v>
      </c>
      <c r="E165" s="1787">
        <v>33.141477181998354</v>
      </c>
      <c r="F165" s="1787">
        <v>36.891477181998354</v>
      </c>
      <c r="G165" s="1787">
        <v>41.891477181998354</v>
      </c>
      <c r="H165" s="1788"/>
      <c r="I165" s="1787">
        <v>25.301612903225809</v>
      </c>
      <c r="J165" s="1787">
        <v>27.051612903225809</v>
      </c>
      <c r="K165" s="1787">
        <v>32.051612903225809</v>
      </c>
      <c r="M165" s="1791">
        <v>41334</v>
      </c>
      <c r="N165" s="1792">
        <v>24.96777438626459</v>
      </c>
      <c r="O165" s="1792">
        <v>28.71777438626459</v>
      </c>
      <c r="P165" s="1792">
        <v>33.717774386264594</v>
      </c>
      <c r="Q165" s="29"/>
      <c r="R165" s="1792">
        <v>17.788330789698445</v>
      </c>
      <c r="S165" s="1792">
        <v>21.538330789698445</v>
      </c>
      <c r="T165" s="1792">
        <v>26.538330789698445</v>
      </c>
      <c r="V165" s="500">
        <v>0</v>
      </c>
      <c r="W165" s="500">
        <v>0</v>
      </c>
      <c r="X165" s="500">
        <v>0</v>
      </c>
      <c r="Y165" s="27"/>
      <c r="Z165" s="1792">
        <v>0.105</v>
      </c>
      <c r="AA165" s="1792">
        <v>0.115</v>
      </c>
      <c r="AB165" s="1792">
        <v>0.125</v>
      </c>
      <c r="AC165" s="29"/>
      <c r="AD165" s="1792">
        <v>0.09</v>
      </c>
      <c r="AE165" s="1792">
        <v>0.11</v>
      </c>
      <c r="AF165" s="1792">
        <v>0.13</v>
      </c>
      <c r="AG165" s="29"/>
      <c r="AH165" s="1792">
        <v>-0.1</v>
      </c>
      <c r="AI165" s="1792">
        <v>0.65</v>
      </c>
      <c r="AJ165" s="1792">
        <v>0.1</v>
      </c>
      <c r="AK165" s="29"/>
      <c r="AL165" s="1792">
        <v>-0.01</v>
      </c>
      <c r="AM165" s="1792">
        <v>0.16</v>
      </c>
      <c r="AN165" s="1792">
        <v>0.01</v>
      </c>
      <c r="AO165" s="29"/>
      <c r="AP165" s="14">
        <v>52</v>
      </c>
      <c r="AQ165" s="1802">
        <v>0.35</v>
      </c>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325">
        <v>41487</v>
      </c>
      <c r="BR165" s="415">
        <v>3.3574999999999999</v>
      </c>
      <c r="BS165" s="415">
        <v>3.3624999999999998</v>
      </c>
      <c r="BT165" s="415">
        <v>3.3675000000000002</v>
      </c>
      <c r="BU165" s="416">
        <v>0.14650000000000002</v>
      </c>
      <c r="BV165" s="416">
        <v>0.15</v>
      </c>
      <c r="BW165" s="416">
        <v>0.16149999999999998</v>
      </c>
      <c r="BX165" s="416">
        <v>-7.0000000000000007E-2</v>
      </c>
      <c r="BY165" s="416"/>
      <c r="BZ165" s="416">
        <v>7.0000000000000007E-2</v>
      </c>
      <c r="CA165" s="432">
        <v>0</v>
      </c>
      <c r="CB165" s="1618">
        <v>0</v>
      </c>
      <c r="CC165" s="445">
        <v>3.4890000000000003</v>
      </c>
      <c r="CD165" s="449">
        <v>0.16149999999999998</v>
      </c>
    </row>
    <row r="166" spans="1:82">
      <c r="A166" s="325">
        <v>41609</v>
      </c>
      <c r="B166" s="416">
        <v>7.2852041746663015E-2</v>
      </c>
      <c r="C166" s="11"/>
      <c r="D166" s="1786">
        <v>40483</v>
      </c>
      <c r="E166" s="1787">
        <v>25.391477181998365</v>
      </c>
      <c r="F166" s="1787">
        <v>29.141477181998365</v>
      </c>
      <c r="G166" s="1787">
        <v>34.141477181998368</v>
      </c>
      <c r="H166" s="1788"/>
      <c r="I166" s="1787">
        <v>26.641666666666669</v>
      </c>
      <c r="J166" s="1787">
        <v>28.391666666666669</v>
      </c>
      <c r="K166" s="1787">
        <v>33.391666666666666</v>
      </c>
      <c r="M166" s="1791">
        <v>41365</v>
      </c>
      <c r="N166" s="1792">
        <v>24.846924245142606</v>
      </c>
      <c r="O166" s="1792">
        <v>28.596924245142606</v>
      </c>
      <c r="P166" s="1792">
        <v>33.596924245142603</v>
      </c>
      <c r="Q166" s="29"/>
      <c r="R166" s="1792">
        <v>17.697693183856956</v>
      </c>
      <c r="S166" s="1792">
        <v>21.447693183856956</v>
      </c>
      <c r="T166" s="1792">
        <v>26.447693183856956</v>
      </c>
      <c r="V166" s="500">
        <v>0</v>
      </c>
      <c r="W166" s="500">
        <v>0</v>
      </c>
      <c r="X166" s="500">
        <v>0</v>
      </c>
      <c r="Y166" s="27"/>
      <c r="Z166" s="1792">
        <v>0.105</v>
      </c>
      <c r="AA166" s="1792">
        <v>0.115</v>
      </c>
      <c r="AB166" s="1792">
        <v>0.125</v>
      </c>
      <c r="AC166" s="29"/>
      <c r="AD166" s="1792">
        <v>0.09</v>
      </c>
      <c r="AE166" s="1792">
        <v>0.11</v>
      </c>
      <c r="AF166" s="1792">
        <v>0.13</v>
      </c>
      <c r="AG166" s="29"/>
      <c r="AH166" s="1792">
        <v>-0.1</v>
      </c>
      <c r="AI166" s="1792">
        <v>0.65</v>
      </c>
      <c r="AJ166" s="1792">
        <v>0.1</v>
      </c>
      <c r="AK166" s="29"/>
      <c r="AL166" s="1792">
        <v>-0.01</v>
      </c>
      <c r="AM166" s="1792">
        <v>0.16</v>
      </c>
      <c r="AN166" s="1792">
        <v>0.01</v>
      </c>
      <c r="AO166" s="29"/>
      <c r="AP166" s="14">
        <v>53</v>
      </c>
      <c r="AQ166" s="1802">
        <v>0.35</v>
      </c>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325">
        <v>41518</v>
      </c>
      <c r="BR166" s="415">
        <v>3.3544999999999998</v>
      </c>
      <c r="BS166" s="415">
        <v>3.3595000000000002</v>
      </c>
      <c r="BT166" s="415">
        <v>3.3645</v>
      </c>
      <c r="BU166" s="416">
        <v>0.14650000000000002</v>
      </c>
      <c r="BV166" s="416">
        <v>0.15</v>
      </c>
      <c r="BW166" s="416">
        <v>0.16149999999999998</v>
      </c>
      <c r="BX166" s="416">
        <v>-7.0000000000000007E-2</v>
      </c>
      <c r="BY166" s="416"/>
      <c r="BZ166" s="416">
        <v>7.0000000000000007E-2</v>
      </c>
      <c r="CA166" s="432">
        <v>0</v>
      </c>
      <c r="CB166" s="1618">
        <v>0</v>
      </c>
      <c r="CC166" s="445">
        <v>3.3640000000000003</v>
      </c>
      <c r="CD166" s="449">
        <v>0.16149999999999998</v>
      </c>
    </row>
    <row r="167" spans="1:82">
      <c r="A167" s="325">
        <v>41640</v>
      </c>
      <c r="B167" s="416">
        <v>7.2853055691959004E-2</v>
      </c>
      <c r="C167" s="11"/>
      <c r="D167" s="1786">
        <v>40513</v>
      </c>
      <c r="E167" s="1787">
        <v>27.391477181998361</v>
      </c>
      <c r="F167" s="1787">
        <v>31.141477181998361</v>
      </c>
      <c r="G167" s="1787">
        <v>36.141477181998361</v>
      </c>
      <c r="H167" s="1788"/>
      <c r="I167" s="1787">
        <v>25.946774193548396</v>
      </c>
      <c r="J167" s="1787">
        <v>27.696774193548396</v>
      </c>
      <c r="K167" s="1787">
        <v>32.696774193548393</v>
      </c>
      <c r="M167" s="1791">
        <v>41395</v>
      </c>
      <c r="N167" s="1792">
        <v>24.846924245142606</v>
      </c>
      <c r="O167" s="1792">
        <v>28.596924245142606</v>
      </c>
      <c r="P167" s="1792">
        <v>33.596924245142603</v>
      </c>
      <c r="Q167" s="29"/>
      <c r="R167" s="1792">
        <v>17.697693183856956</v>
      </c>
      <c r="S167" s="1792">
        <v>21.447693183856956</v>
      </c>
      <c r="T167" s="1792">
        <v>26.447693183856956</v>
      </c>
      <c r="V167" s="500">
        <v>0</v>
      </c>
      <c r="W167" s="500">
        <v>0</v>
      </c>
      <c r="X167" s="500">
        <v>0</v>
      </c>
      <c r="Y167" s="27"/>
      <c r="Z167" s="1792">
        <v>0.105</v>
      </c>
      <c r="AA167" s="1792">
        <v>0.115</v>
      </c>
      <c r="AB167" s="1792">
        <v>0.125</v>
      </c>
      <c r="AC167" s="29"/>
      <c r="AD167" s="1792">
        <v>0.09</v>
      </c>
      <c r="AE167" s="1792">
        <v>0.11</v>
      </c>
      <c r="AF167" s="1792">
        <v>0.13</v>
      </c>
      <c r="AG167" s="29"/>
      <c r="AH167" s="1792">
        <v>-0.1</v>
      </c>
      <c r="AI167" s="1792">
        <v>0.65</v>
      </c>
      <c r="AJ167" s="1792">
        <v>0.1</v>
      </c>
      <c r="AK167" s="29"/>
      <c r="AL167" s="1792">
        <v>-0.01</v>
      </c>
      <c r="AM167" s="1792">
        <v>0.16</v>
      </c>
      <c r="AN167" s="1792">
        <v>0.01</v>
      </c>
      <c r="AO167" s="29"/>
      <c r="AP167" s="14">
        <v>53</v>
      </c>
      <c r="AQ167" s="1802">
        <v>0.35</v>
      </c>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325">
        <v>41548</v>
      </c>
      <c r="BR167" s="415">
        <v>3.3715000000000006</v>
      </c>
      <c r="BS167" s="415">
        <v>3.3765000000000005</v>
      </c>
      <c r="BT167" s="415">
        <v>3.3815000000000004</v>
      </c>
      <c r="BU167" s="416">
        <v>0.14650000000000002</v>
      </c>
      <c r="BV167" s="416">
        <v>0.15</v>
      </c>
      <c r="BW167" s="416">
        <v>0.16149999999999998</v>
      </c>
      <c r="BX167" s="416">
        <v>-7.0000000000000007E-2</v>
      </c>
      <c r="BY167" s="416"/>
      <c r="BZ167" s="416">
        <v>7.0000000000000007E-2</v>
      </c>
      <c r="CA167" s="432">
        <v>0</v>
      </c>
      <c r="CB167" s="1618">
        <v>0</v>
      </c>
      <c r="CC167" s="445">
        <v>3.2570000000000001</v>
      </c>
      <c r="CD167" s="449">
        <v>0.16149999999999998</v>
      </c>
    </row>
    <row r="168" spans="1:82">
      <c r="A168" s="325">
        <v>41671</v>
      </c>
      <c r="B168" s="416">
        <v>7.2854069637256033E-2</v>
      </c>
      <c r="C168" s="11"/>
      <c r="D168" s="1786">
        <v>40544</v>
      </c>
      <c r="E168" s="1787">
        <v>26.121539960760071</v>
      </c>
      <c r="F168" s="1787">
        <v>29.871539960760071</v>
      </c>
      <c r="G168" s="1787">
        <v>34.871539960760074</v>
      </c>
      <c r="H168" s="1788"/>
      <c r="I168" s="1787">
        <v>23.288119151052211</v>
      </c>
      <c r="J168" s="1787">
        <v>25.288119151052211</v>
      </c>
      <c r="K168" s="1787">
        <v>30.288119151052211</v>
      </c>
      <c r="M168" s="1791">
        <v>41426</v>
      </c>
      <c r="N168" s="1792">
        <v>30.09692424514261</v>
      </c>
      <c r="O168" s="1792">
        <v>33.84692424514261</v>
      </c>
      <c r="P168" s="1792">
        <v>38.84692424514261</v>
      </c>
      <c r="Q168" s="29"/>
      <c r="R168" s="1792">
        <v>21.635193183856956</v>
      </c>
      <c r="S168" s="1792">
        <v>25.385193183856956</v>
      </c>
      <c r="T168" s="1792">
        <v>30.385193183856956</v>
      </c>
      <c r="V168" s="500">
        <v>0</v>
      </c>
      <c r="W168" s="500">
        <v>0</v>
      </c>
      <c r="X168" s="500">
        <v>0</v>
      </c>
      <c r="Y168" s="27"/>
      <c r="Z168" s="1792">
        <v>0.105</v>
      </c>
      <c r="AA168" s="1792">
        <v>0.115</v>
      </c>
      <c r="AB168" s="1792">
        <v>0.125</v>
      </c>
      <c r="AC168" s="29"/>
      <c r="AD168" s="1792">
        <v>0.09</v>
      </c>
      <c r="AE168" s="1792">
        <v>0.11</v>
      </c>
      <c r="AF168" s="1792">
        <v>0.13</v>
      </c>
      <c r="AG168" s="29"/>
      <c r="AH168" s="1792">
        <v>-0.35</v>
      </c>
      <c r="AI168" s="1792">
        <v>0.65</v>
      </c>
      <c r="AJ168" s="1792">
        <v>0.2</v>
      </c>
      <c r="AK168" s="29"/>
      <c r="AL168" s="1792">
        <v>-0.01</v>
      </c>
      <c r="AM168" s="1792">
        <v>0.16</v>
      </c>
      <c r="AN168" s="1792">
        <v>0.01</v>
      </c>
      <c r="AO168" s="29"/>
      <c r="AP168" s="14">
        <v>53</v>
      </c>
      <c r="AQ168" s="1802">
        <v>0.35</v>
      </c>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325">
        <v>41579</v>
      </c>
      <c r="BR168" s="415">
        <v>3.4544999999999999</v>
      </c>
      <c r="BS168" s="415">
        <v>3.4594999999999998</v>
      </c>
      <c r="BT168" s="415">
        <v>3.4645000000000001</v>
      </c>
      <c r="BU168" s="416">
        <v>0.14650000000000002</v>
      </c>
      <c r="BV168" s="416">
        <v>0.15</v>
      </c>
      <c r="BW168" s="416">
        <v>0.16149999999999998</v>
      </c>
      <c r="BX168" s="416">
        <v>-7.0000000000000007E-2</v>
      </c>
      <c r="BY168" s="416"/>
      <c r="BZ168" s="416">
        <v>7.0000000000000007E-2</v>
      </c>
      <c r="CA168" s="432">
        <v>0</v>
      </c>
      <c r="CB168" s="1618">
        <v>0</v>
      </c>
      <c r="CC168" s="445">
        <v>3.1540000000000004</v>
      </c>
      <c r="CD168" s="449">
        <v>0.16149999999999998</v>
      </c>
    </row>
    <row r="169" spans="1:82">
      <c r="A169" s="325">
        <v>41699</v>
      </c>
      <c r="B169" s="416">
        <v>7.2854985458814026E-2</v>
      </c>
      <c r="C169" s="11"/>
      <c r="D169" s="1786">
        <v>40575</v>
      </c>
      <c r="E169" s="1787">
        <v>25.621539960760071</v>
      </c>
      <c r="F169" s="1787">
        <v>29.371539960760071</v>
      </c>
      <c r="G169" s="1787">
        <v>34.371539960760074</v>
      </c>
      <c r="H169" s="1788"/>
      <c r="I169" s="1787">
        <v>24.25714285714286</v>
      </c>
      <c r="J169" s="1787">
        <v>26.25714285714286</v>
      </c>
      <c r="K169" s="1787">
        <v>31.25714285714286</v>
      </c>
      <c r="M169" s="1791">
        <v>41456</v>
      </c>
      <c r="N169" s="1792">
        <v>56.472637473873959</v>
      </c>
      <c r="O169" s="1792">
        <v>60.222637473873959</v>
      </c>
      <c r="P169" s="1792">
        <v>65.222637473873959</v>
      </c>
      <c r="Q169" s="29"/>
      <c r="R169" s="1792">
        <v>41.416978105405477</v>
      </c>
      <c r="S169" s="1792">
        <v>45.166978105405477</v>
      </c>
      <c r="T169" s="1792">
        <v>50.166978105405477</v>
      </c>
      <c r="V169" s="500">
        <v>0</v>
      </c>
      <c r="W169" s="500">
        <v>0</v>
      </c>
      <c r="X169" s="500">
        <v>0</v>
      </c>
      <c r="Y169" s="27"/>
      <c r="Z169" s="1792">
        <v>0.105</v>
      </c>
      <c r="AA169" s="1792">
        <v>0.115</v>
      </c>
      <c r="AB169" s="1792">
        <v>0.125</v>
      </c>
      <c r="AC169" s="29"/>
      <c r="AD169" s="1792">
        <v>0.09</v>
      </c>
      <c r="AE169" s="1792">
        <v>0.11</v>
      </c>
      <c r="AF169" s="1792">
        <v>0.13</v>
      </c>
      <c r="AG169" s="29"/>
      <c r="AH169" s="1792">
        <v>-0.35</v>
      </c>
      <c r="AI169" s="1792">
        <v>3</v>
      </c>
      <c r="AJ169" s="1792">
        <v>0.35</v>
      </c>
      <c r="AK169" s="29"/>
      <c r="AL169" s="1792">
        <v>-0.01</v>
      </c>
      <c r="AM169" s="1792">
        <v>0.16</v>
      </c>
      <c r="AN169" s="1792">
        <v>0.01</v>
      </c>
      <c r="AO169" s="29"/>
      <c r="AP169" s="14">
        <v>54</v>
      </c>
      <c r="AQ169" s="1802">
        <v>0.35</v>
      </c>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325">
        <v>41609</v>
      </c>
      <c r="BR169" s="415">
        <v>3.5474999999999999</v>
      </c>
      <c r="BS169" s="415">
        <v>3.5525000000000002</v>
      </c>
      <c r="BT169" s="415">
        <v>3.5575000000000001</v>
      </c>
      <c r="BU169" s="416">
        <v>0.14650000000000002</v>
      </c>
      <c r="BV169" s="416">
        <v>0.15</v>
      </c>
      <c r="BW169" s="416">
        <v>0.16149999999999998</v>
      </c>
      <c r="BX169" s="416">
        <v>-7.0000000000000007E-2</v>
      </c>
      <c r="BY169" s="416"/>
      <c r="BZ169" s="416">
        <v>7.0000000000000007E-2</v>
      </c>
      <c r="CA169" s="432">
        <v>0</v>
      </c>
      <c r="CB169" s="1618">
        <v>0</v>
      </c>
      <c r="CC169" s="445">
        <v>3.13</v>
      </c>
      <c r="CD169" s="449">
        <v>0.16149999999999998</v>
      </c>
    </row>
    <row r="170" spans="1:82">
      <c r="A170" s="325">
        <v>41730</v>
      </c>
      <c r="B170" s="416">
        <v>7.2855999404112012E-2</v>
      </c>
      <c r="C170" s="11"/>
      <c r="D170" s="1786">
        <v>40603</v>
      </c>
      <c r="E170" s="1787">
        <v>25.371539960760071</v>
      </c>
      <c r="F170" s="1787">
        <v>29.121539960760071</v>
      </c>
      <c r="G170" s="1787">
        <v>34.121539960760074</v>
      </c>
      <c r="H170" s="1788"/>
      <c r="I170" s="1787">
        <v>24.537096774193554</v>
      </c>
      <c r="J170" s="1787">
        <v>26.537096774193554</v>
      </c>
      <c r="K170" s="1787">
        <v>31.537096774193554</v>
      </c>
      <c r="M170" s="1791">
        <v>41487</v>
      </c>
      <c r="N170" s="1792">
        <v>77.097637473873959</v>
      </c>
      <c r="O170" s="1792">
        <v>80.847637473873959</v>
      </c>
      <c r="P170" s="1792">
        <v>85.847637473873959</v>
      </c>
      <c r="Q170" s="29"/>
      <c r="R170" s="1792">
        <v>56.885728105405477</v>
      </c>
      <c r="S170" s="1792">
        <v>60.635728105405477</v>
      </c>
      <c r="T170" s="1792">
        <v>65.635728105405477</v>
      </c>
      <c r="V170" s="500">
        <v>0</v>
      </c>
      <c r="W170" s="500">
        <v>0</v>
      </c>
      <c r="X170" s="500">
        <v>0</v>
      </c>
      <c r="Y170" s="27"/>
      <c r="Z170" s="1792">
        <v>0.105</v>
      </c>
      <c r="AA170" s="1792">
        <v>0.115</v>
      </c>
      <c r="AB170" s="1792">
        <v>0.125</v>
      </c>
      <c r="AC170" s="29"/>
      <c r="AD170" s="1792">
        <v>0.09</v>
      </c>
      <c r="AE170" s="1792">
        <v>0.11</v>
      </c>
      <c r="AF170" s="1792">
        <v>0.13</v>
      </c>
      <c r="AG170" s="29"/>
      <c r="AH170" s="1792">
        <v>-0.35</v>
      </c>
      <c r="AI170" s="1792">
        <v>3</v>
      </c>
      <c r="AJ170" s="1792">
        <v>0.35</v>
      </c>
      <c r="AK170" s="29"/>
      <c r="AL170" s="1792">
        <v>-0.01</v>
      </c>
      <c r="AM170" s="1792">
        <v>0.16</v>
      </c>
      <c r="AN170" s="1792">
        <v>0.01</v>
      </c>
      <c r="AO170" s="29"/>
      <c r="AP170" s="14">
        <v>54</v>
      </c>
      <c r="AQ170" s="1802">
        <v>0.35</v>
      </c>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325">
        <v>41640</v>
      </c>
      <c r="BR170" s="415">
        <v>3.5994999999999999</v>
      </c>
      <c r="BS170" s="415">
        <v>3.6044999999999998</v>
      </c>
      <c r="BT170" s="415">
        <v>3.6095000000000002</v>
      </c>
      <c r="BU170" s="416">
        <v>0.14550000000000002</v>
      </c>
      <c r="BV170" s="416">
        <v>0.15</v>
      </c>
      <c r="BW170" s="416">
        <v>0.1605</v>
      </c>
      <c r="BX170" s="416">
        <v>-7.0000000000000007E-2</v>
      </c>
      <c r="BY170" s="416"/>
      <c r="BZ170" s="416">
        <v>7.0000000000000007E-2</v>
      </c>
      <c r="CA170" s="432">
        <v>0</v>
      </c>
      <c r="CB170" s="1618">
        <v>0</v>
      </c>
      <c r="CC170" s="445">
        <v>3.137</v>
      </c>
      <c r="CD170" s="449">
        <v>0.16149999999999998</v>
      </c>
    </row>
    <row r="171" spans="1:82">
      <c r="A171" s="325">
        <v>41760</v>
      </c>
      <c r="B171" s="416">
        <v>7.2856980641497024E-2</v>
      </c>
      <c r="C171" s="11"/>
      <c r="D171" s="1786">
        <v>40634</v>
      </c>
      <c r="E171" s="1787">
        <v>25.485687691877008</v>
      </c>
      <c r="F171" s="1787">
        <v>29.235687691877008</v>
      </c>
      <c r="G171" s="1787">
        <v>34.235687691877004</v>
      </c>
      <c r="H171" s="1788"/>
      <c r="I171" s="1787">
        <v>22.337499999999999</v>
      </c>
      <c r="J171" s="1787">
        <v>24.337499999999999</v>
      </c>
      <c r="K171" s="1787">
        <v>29.337499999999999</v>
      </c>
      <c r="M171" s="1791">
        <v>41518</v>
      </c>
      <c r="N171" s="1792">
        <v>61.097637473873959</v>
      </c>
      <c r="O171" s="1792">
        <v>64.847637473873959</v>
      </c>
      <c r="P171" s="1792">
        <v>69.847637473873959</v>
      </c>
      <c r="Q171" s="29"/>
      <c r="R171" s="1792">
        <v>44.885728105405477</v>
      </c>
      <c r="S171" s="1792">
        <v>48.635728105405477</v>
      </c>
      <c r="T171" s="1792">
        <v>53.635728105405477</v>
      </c>
      <c r="V171" s="500">
        <v>0</v>
      </c>
      <c r="W171" s="500">
        <v>0</v>
      </c>
      <c r="X171" s="500">
        <v>0</v>
      </c>
      <c r="Y171" s="27"/>
      <c r="Z171" s="1792">
        <v>0.105</v>
      </c>
      <c r="AA171" s="1792">
        <v>0.115</v>
      </c>
      <c r="AB171" s="1792">
        <v>0.125</v>
      </c>
      <c r="AC171" s="29"/>
      <c r="AD171" s="1792">
        <v>0.09</v>
      </c>
      <c r="AE171" s="1792">
        <v>0.11</v>
      </c>
      <c r="AF171" s="1792">
        <v>0.13</v>
      </c>
      <c r="AG171" s="29"/>
      <c r="AH171" s="1792">
        <v>-0.35</v>
      </c>
      <c r="AI171" s="1792">
        <v>3</v>
      </c>
      <c r="AJ171" s="1792">
        <v>0.2</v>
      </c>
      <c r="AK171" s="29"/>
      <c r="AL171" s="1792">
        <v>-0.01</v>
      </c>
      <c r="AM171" s="1792">
        <v>0.16</v>
      </c>
      <c r="AN171" s="1792">
        <v>0.01</v>
      </c>
      <c r="AO171" s="29"/>
      <c r="AP171" s="14">
        <v>54</v>
      </c>
      <c r="AQ171" s="1802">
        <v>0.35</v>
      </c>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325">
        <v>41671</v>
      </c>
      <c r="BR171" s="415">
        <v>3.5305</v>
      </c>
      <c r="BS171" s="415">
        <v>3.5355000000000003</v>
      </c>
      <c r="BT171" s="415">
        <v>3.5405000000000002</v>
      </c>
      <c r="BU171" s="416">
        <v>0.14550000000000002</v>
      </c>
      <c r="BV171" s="416">
        <v>0.15</v>
      </c>
      <c r="BW171" s="416">
        <v>0.1605</v>
      </c>
      <c r="BX171" s="416">
        <v>-7.0000000000000007E-2</v>
      </c>
      <c r="BY171" s="416"/>
      <c r="BZ171" s="416">
        <v>7.0000000000000007E-2</v>
      </c>
      <c r="CA171" s="432">
        <v>0</v>
      </c>
      <c r="CB171" s="1618">
        <v>0</v>
      </c>
      <c r="CC171" s="445">
        <v>3.1430000000000002</v>
      </c>
      <c r="CD171" s="449">
        <v>0.16149999999999998</v>
      </c>
    </row>
    <row r="172" spans="1:82">
      <c r="A172" s="325">
        <v>41791</v>
      </c>
      <c r="B172" s="416">
        <v>7.2857994586795011E-2</v>
      </c>
      <c r="C172" s="11"/>
      <c r="D172" s="1786">
        <v>40664</v>
      </c>
      <c r="E172" s="1787">
        <v>24.735687691877008</v>
      </c>
      <c r="F172" s="1787">
        <v>28.485687691877008</v>
      </c>
      <c r="G172" s="1787">
        <v>33.485687691877004</v>
      </c>
      <c r="H172" s="1788"/>
      <c r="I172" s="1787">
        <v>22.395967741935486</v>
      </c>
      <c r="J172" s="1787">
        <v>24.395967741935486</v>
      </c>
      <c r="K172" s="1787">
        <v>29.395967741935486</v>
      </c>
      <c r="M172" s="1791">
        <v>41548</v>
      </c>
      <c r="N172" s="1792">
        <v>33.290384987789167</v>
      </c>
      <c r="O172" s="1792">
        <v>37.040384987789167</v>
      </c>
      <c r="P172" s="1792">
        <v>42.040384987789167</v>
      </c>
      <c r="Q172" s="29"/>
      <c r="R172" s="1792">
        <v>24.030288740841875</v>
      </c>
      <c r="S172" s="1792">
        <v>27.780288740841875</v>
      </c>
      <c r="T172" s="1792">
        <v>32.780288740841875</v>
      </c>
      <c r="V172" s="500">
        <v>0</v>
      </c>
      <c r="W172" s="500">
        <v>0</v>
      </c>
      <c r="X172" s="500">
        <v>0</v>
      </c>
      <c r="Y172" s="27"/>
      <c r="Z172" s="1792">
        <v>0.105</v>
      </c>
      <c r="AA172" s="1792">
        <v>0.115</v>
      </c>
      <c r="AB172" s="1792">
        <v>0.125</v>
      </c>
      <c r="AC172" s="29"/>
      <c r="AD172" s="1792">
        <v>0.09</v>
      </c>
      <c r="AE172" s="1792">
        <v>0.11</v>
      </c>
      <c r="AF172" s="1792">
        <v>0.13</v>
      </c>
      <c r="AG172" s="29"/>
      <c r="AH172" s="1792">
        <v>-0.1</v>
      </c>
      <c r="AI172" s="1792">
        <v>0.6</v>
      </c>
      <c r="AJ172" s="1792">
        <v>0.1</v>
      </c>
      <c r="AK172" s="29"/>
      <c r="AL172" s="1792">
        <v>-0.01</v>
      </c>
      <c r="AM172" s="1792">
        <v>0.16</v>
      </c>
      <c r="AN172" s="1792">
        <v>0.01</v>
      </c>
      <c r="AO172" s="29"/>
      <c r="AP172" s="14">
        <v>55</v>
      </c>
      <c r="AQ172" s="1802">
        <v>0.35</v>
      </c>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325">
        <v>41699</v>
      </c>
      <c r="BR172" s="415">
        <v>3.4485000000000001</v>
      </c>
      <c r="BS172" s="415">
        <v>3.4535000000000005</v>
      </c>
      <c r="BT172" s="415">
        <v>3.4585000000000004</v>
      </c>
      <c r="BU172" s="416">
        <v>0.14550000000000002</v>
      </c>
      <c r="BV172" s="416">
        <v>0.15</v>
      </c>
      <c r="BW172" s="416">
        <v>0.1605</v>
      </c>
      <c r="BX172" s="416">
        <v>-7.0000000000000007E-2</v>
      </c>
      <c r="BY172" s="416"/>
      <c r="BZ172" s="416">
        <v>7.0000000000000007E-2</v>
      </c>
      <c r="CA172" s="432">
        <v>0</v>
      </c>
      <c r="CB172" s="1618">
        <v>0</v>
      </c>
      <c r="CC172" s="445">
        <v>3.1480000000000001</v>
      </c>
      <c r="CD172" s="449">
        <v>0.16149999999999998</v>
      </c>
    </row>
    <row r="173" spans="1:82">
      <c r="A173" s="325">
        <v>41821</v>
      </c>
      <c r="B173" s="416">
        <v>7.2858975824180022E-2</v>
      </c>
      <c r="C173" s="11"/>
      <c r="D173" s="1786">
        <v>40695</v>
      </c>
      <c r="E173" s="1787">
        <v>29.985687691877011</v>
      </c>
      <c r="F173" s="1787">
        <v>33.735687691877011</v>
      </c>
      <c r="G173" s="1787">
        <v>38.735687691877011</v>
      </c>
      <c r="H173" s="1788"/>
      <c r="I173" s="1787">
        <v>21.65</v>
      </c>
      <c r="J173" s="1787">
        <v>23.65</v>
      </c>
      <c r="K173" s="1787">
        <v>28.65</v>
      </c>
      <c r="M173" s="1791">
        <v>41579</v>
      </c>
      <c r="N173" s="1792">
        <v>25.540384987789178</v>
      </c>
      <c r="O173" s="1792">
        <v>29.290384987789178</v>
      </c>
      <c r="P173" s="1792">
        <v>34.290384987789182</v>
      </c>
      <c r="Q173" s="29"/>
      <c r="R173" s="1792">
        <v>18.217788740841875</v>
      </c>
      <c r="S173" s="1792">
        <v>21.967788740841875</v>
      </c>
      <c r="T173" s="1792">
        <v>26.967788740841875</v>
      </c>
      <c r="V173" s="500">
        <v>0</v>
      </c>
      <c r="W173" s="500">
        <v>0</v>
      </c>
      <c r="X173" s="500">
        <v>0</v>
      </c>
      <c r="Y173" s="27"/>
      <c r="Z173" s="1792">
        <v>0.105</v>
      </c>
      <c r="AA173" s="1792">
        <v>0.115</v>
      </c>
      <c r="AB173" s="1792">
        <v>0.125</v>
      </c>
      <c r="AC173" s="29"/>
      <c r="AD173" s="1792">
        <v>0.09</v>
      </c>
      <c r="AE173" s="1792">
        <v>0.11</v>
      </c>
      <c r="AF173" s="1792">
        <v>0.13</v>
      </c>
      <c r="AG173" s="29"/>
      <c r="AH173" s="1792">
        <v>-0.1</v>
      </c>
      <c r="AI173" s="1792">
        <v>0.6</v>
      </c>
      <c r="AJ173" s="1792">
        <v>0.1</v>
      </c>
      <c r="AK173" s="29"/>
      <c r="AL173" s="1792">
        <v>-0.01</v>
      </c>
      <c r="AM173" s="1792">
        <v>0.16</v>
      </c>
      <c r="AN173" s="1792">
        <v>0.01</v>
      </c>
      <c r="AO173" s="29"/>
      <c r="AP173" s="14">
        <v>55</v>
      </c>
      <c r="AQ173" s="1802">
        <v>0.35</v>
      </c>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325">
        <v>41730</v>
      </c>
      <c r="BR173" s="415">
        <v>3.3815000000000004</v>
      </c>
      <c r="BS173" s="415">
        <v>3.3865000000000003</v>
      </c>
      <c r="BT173" s="415">
        <v>3.3915000000000006</v>
      </c>
      <c r="BU173" s="416">
        <v>0.14550000000000002</v>
      </c>
      <c r="BV173" s="416">
        <v>0.15</v>
      </c>
      <c r="BW173" s="416">
        <v>0.1605</v>
      </c>
      <c r="BX173" s="416">
        <v>-7.0000000000000007E-2</v>
      </c>
      <c r="BY173" s="416"/>
      <c r="BZ173" s="416">
        <v>7.0000000000000007E-2</v>
      </c>
      <c r="CA173" s="432">
        <v>0</v>
      </c>
      <c r="CB173" s="1618">
        <v>0</v>
      </c>
      <c r="CC173" s="445">
        <v>3.1510000000000002</v>
      </c>
      <c r="CD173" s="449">
        <v>0.16149999999999998</v>
      </c>
    </row>
    <row r="174" spans="1:82">
      <c r="A174" s="325">
        <v>41852</v>
      </c>
      <c r="B174" s="416">
        <v>7.2859989769479008E-2</v>
      </c>
      <c r="C174" s="11"/>
      <c r="D174" s="1786">
        <v>40725</v>
      </c>
      <c r="E174" s="1787">
        <v>56.196485364032981</v>
      </c>
      <c r="F174" s="1787">
        <v>59.946485364032981</v>
      </c>
      <c r="G174" s="1787">
        <v>64.946485364032981</v>
      </c>
      <c r="H174" s="1788"/>
      <c r="I174" s="1787">
        <v>27.674193548387102</v>
      </c>
      <c r="J174" s="1787">
        <v>29.674193548387102</v>
      </c>
      <c r="K174" s="1787">
        <v>34.674193548387102</v>
      </c>
      <c r="M174" s="1791">
        <v>41609</v>
      </c>
      <c r="N174" s="1792">
        <v>27.540384987789174</v>
      </c>
      <c r="O174" s="1792">
        <v>31.290384987789174</v>
      </c>
      <c r="P174" s="1792">
        <v>36.290384987789174</v>
      </c>
      <c r="Q174" s="29"/>
      <c r="R174" s="1792">
        <v>19.717788740841875</v>
      </c>
      <c r="S174" s="1792">
        <v>23.467788740841875</v>
      </c>
      <c r="T174" s="1792">
        <v>28.467788740841875</v>
      </c>
      <c r="V174" s="500">
        <v>0</v>
      </c>
      <c r="W174" s="500">
        <v>0</v>
      </c>
      <c r="X174" s="500">
        <v>0</v>
      </c>
      <c r="Y174" s="27"/>
      <c r="Z174" s="1792">
        <v>0.105</v>
      </c>
      <c r="AA174" s="1792">
        <v>0.115</v>
      </c>
      <c r="AB174" s="1792">
        <v>0.125</v>
      </c>
      <c r="AC174" s="29"/>
      <c r="AD174" s="1792">
        <v>0.09</v>
      </c>
      <c r="AE174" s="1792">
        <v>0.11</v>
      </c>
      <c r="AF174" s="1792">
        <v>0.13</v>
      </c>
      <c r="AG174" s="29"/>
      <c r="AH174" s="1792">
        <v>-0.25</v>
      </c>
      <c r="AI174" s="1792">
        <v>0.6</v>
      </c>
      <c r="AJ174" s="1792">
        <v>0.25</v>
      </c>
      <c r="AK174" s="29"/>
      <c r="AL174" s="1792">
        <v>-0.01</v>
      </c>
      <c r="AM174" s="1792">
        <v>0.16</v>
      </c>
      <c r="AN174" s="1792">
        <v>0.01</v>
      </c>
      <c r="AO174" s="29"/>
      <c r="AP174" s="14">
        <v>55</v>
      </c>
      <c r="AQ174" s="1802">
        <v>0.35</v>
      </c>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325">
        <v>41760</v>
      </c>
      <c r="BR174" s="415">
        <v>3.4065000000000003</v>
      </c>
      <c r="BS174" s="415">
        <v>3.4115000000000002</v>
      </c>
      <c r="BT174" s="415">
        <v>3.4165000000000005</v>
      </c>
      <c r="BU174" s="416">
        <v>0.14550000000000002</v>
      </c>
      <c r="BV174" s="416">
        <v>0.15</v>
      </c>
      <c r="BW174" s="416">
        <v>0.1605</v>
      </c>
      <c r="BX174" s="416">
        <v>-7.0000000000000007E-2</v>
      </c>
      <c r="BY174" s="416"/>
      <c r="BZ174" s="416">
        <v>7.0000000000000007E-2</v>
      </c>
      <c r="CA174" s="432">
        <v>0</v>
      </c>
      <c r="CB174" s="1618">
        <v>0</v>
      </c>
      <c r="CC174" s="445">
        <v>3.1840000000000006</v>
      </c>
      <c r="CD174" s="449">
        <v>0.16149999999999998</v>
      </c>
    </row>
    <row r="175" spans="1:82">
      <c r="A175" s="325">
        <v>41883</v>
      </c>
      <c r="B175" s="416">
        <v>7.2861003714778008E-2</v>
      </c>
      <c r="C175" s="11"/>
      <c r="D175" s="1786">
        <v>40756</v>
      </c>
      <c r="E175" s="1787">
        <v>76.821485364032981</v>
      </c>
      <c r="F175" s="1787">
        <v>80.571485364032981</v>
      </c>
      <c r="G175" s="1787">
        <v>85.571485364032981</v>
      </c>
      <c r="H175" s="1788"/>
      <c r="I175" s="1787">
        <v>25.674193548387102</v>
      </c>
      <c r="J175" s="1787">
        <v>27.674193548387102</v>
      </c>
      <c r="K175" s="1787">
        <v>32.674193548387102</v>
      </c>
      <c r="M175" s="1791">
        <v>41640</v>
      </c>
      <c r="N175" s="1792">
        <v>26.289696662890865</v>
      </c>
      <c r="O175" s="1792">
        <v>30.039696662890865</v>
      </c>
      <c r="P175" s="1792">
        <v>35.039696662890861</v>
      </c>
      <c r="Q175" s="29"/>
      <c r="R175" s="1792">
        <v>18.779772497168153</v>
      </c>
      <c r="S175" s="1792">
        <v>22.529772497168153</v>
      </c>
      <c r="T175" s="1792">
        <v>27.529772497168153</v>
      </c>
      <c r="V175" s="500">
        <v>0</v>
      </c>
      <c r="W175" s="500">
        <v>0</v>
      </c>
      <c r="X175" s="500">
        <v>0</v>
      </c>
      <c r="Y175" s="27"/>
      <c r="Z175" s="1792">
        <v>9.9999999999999936E-2</v>
      </c>
      <c r="AA175" s="1792">
        <v>0.11</v>
      </c>
      <c r="AB175" s="1792">
        <v>0.12</v>
      </c>
      <c r="AC175" s="29"/>
      <c r="AD175" s="1792">
        <v>0.09</v>
      </c>
      <c r="AE175" s="1792">
        <v>0.11</v>
      </c>
      <c r="AF175" s="1792">
        <v>0.13</v>
      </c>
      <c r="AG175" s="29"/>
      <c r="AH175" s="1792">
        <v>-0.25</v>
      </c>
      <c r="AI175" s="1792">
        <v>0.65</v>
      </c>
      <c r="AJ175" s="1792">
        <v>0.25</v>
      </c>
      <c r="AK175" s="29"/>
      <c r="AL175" s="1792">
        <v>-0.01</v>
      </c>
      <c r="AM175" s="1792">
        <v>0.16</v>
      </c>
      <c r="AN175" s="1792">
        <v>0.01</v>
      </c>
      <c r="AO175" s="29"/>
      <c r="AP175" s="14">
        <v>56</v>
      </c>
      <c r="AQ175" s="1802">
        <v>0.35</v>
      </c>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325">
        <v>41791</v>
      </c>
      <c r="BR175" s="415">
        <v>3.4245000000000001</v>
      </c>
      <c r="BS175" s="415">
        <v>3.4295</v>
      </c>
      <c r="BT175" s="415">
        <v>3.4344999999999999</v>
      </c>
      <c r="BU175" s="416">
        <v>0.14550000000000002</v>
      </c>
      <c r="BV175" s="416">
        <v>0.15</v>
      </c>
      <c r="BW175" s="416">
        <v>0.1605</v>
      </c>
      <c r="BX175" s="416">
        <v>-7.0000000000000007E-2</v>
      </c>
      <c r="BY175" s="416"/>
      <c r="BZ175" s="416">
        <v>7.0000000000000007E-2</v>
      </c>
      <c r="CA175" s="432">
        <v>0</v>
      </c>
      <c r="CB175" s="1618">
        <v>0</v>
      </c>
      <c r="CC175" s="445">
        <v>3.3250000000000002</v>
      </c>
      <c r="CD175" s="449">
        <v>0.16149999999999998</v>
      </c>
    </row>
    <row r="176" spans="1:82">
      <c r="A176" s="325">
        <v>41913</v>
      </c>
      <c r="B176" s="416">
        <v>7.2861984952165018E-2</v>
      </c>
      <c r="C176" s="11"/>
      <c r="D176" s="1786">
        <v>40787</v>
      </c>
      <c r="E176" s="1787">
        <v>60.821485364032981</v>
      </c>
      <c r="F176" s="1787">
        <v>64.571485364032981</v>
      </c>
      <c r="G176" s="1787">
        <v>69.571485364032981</v>
      </c>
      <c r="H176" s="1788"/>
      <c r="I176" s="1787">
        <v>26.087499999999999</v>
      </c>
      <c r="J176" s="1787">
        <v>28.087499999999999</v>
      </c>
      <c r="K176" s="1787">
        <v>33.087499999999999</v>
      </c>
      <c r="M176" s="1791">
        <v>41671</v>
      </c>
      <c r="N176" s="1792">
        <v>25.789696662890865</v>
      </c>
      <c r="O176" s="1792">
        <v>29.539696662890865</v>
      </c>
      <c r="P176" s="1792">
        <v>34.539696662890861</v>
      </c>
      <c r="Q176" s="29"/>
      <c r="R176" s="1792">
        <v>18.404772497168153</v>
      </c>
      <c r="S176" s="1792">
        <v>22.154772497168153</v>
      </c>
      <c r="T176" s="1792">
        <v>27.154772497168153</v>
      </c>
      <c r="V176" s="500">
        <v>0</v>
      </c>
      <c r="W176" s="500">
        <v>0</v>
      </c>
      <c r="X176" s="500">
        <v>0</v>
      </c>
      <c r="Y176" s="27"/>
      <c r="Z176" s="1792">
        <v>9.9999999999999936E-2</v>
      </c>
      <c r="AA176" s="1792">
        <v>0.11</v>
      </c>
      <c r="AB176" s="1792">
        <v>0.12</v>
      </c>
      <c r="AC176" s="29"/>
      <c r="AD176" s="1792">
        <v>0.09</v>
      </c>
      <c r="AE176" s="1792">
        <v>0.11</v>
      </c>
      <c r="AF176" s="1792">
        <v>0.13</v>
      </c>
      <c r="AG176" s="29"/>
      <c r="AH176" s="1792">
        <v>-0.25</v>
      </c>
      <c r="AI176" s="1792">
        <v>0.65</v>
      </c>
      <c r="AJ176" s="1792">
        <v>0.25</v>
      </c>
      <c r="AK176" s="29"/>
      <c r="AL176" s="1792">
        <v>-0.01</v>
      </c>
      <c r="AM176" s="1792">
        <v>0.16</v>
      </c>
      <c r="AN176" s="1792">
        <v>0.01</v>
      </c>
      <c r="AO176" s="29"/>
      <c r="AP176" s="14">
        <v>56</v>
      </c>
      <c r="AQ176" s="1802">
        <v>0.35</v>
      </c>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325">
        <v>41821</v>
      </c>
      <c r="BR176" s="415">
        <v>3.4325000000000001</v>
      </c>
      <c r="BS176" s="415">
        <v>3.4375</v>
      </c>
      <c r="BT176" s="415">
        <v>3.4424999999999999</v>
      </c>
      <c r="BU176" s="416">
        <v>0.14550000000000002</v>
      </c>
      <c r="BV176" s="416">
        <v>0.15</v>
      </c>
      <c r="BW176" s="416">
        <v>0.1605</v>
      </c>
      <c r="BX176" s="416">
        <v>-7.0000000000000007E-2</v>
      </c>
      <c r="BY176" s="416"/>
      <c r="BZ176" s="416">
        <v>7.0000000000000007E-2</v>
      </c>
      <c r="CA176" s="432">
        <v>0</v>
      </c>
      <c r="CB176" s="1618">
        <v>0</v>
      </c>
      <c r="CC176" s="445">
        <v>3.47</v>
      </c>
      <c r="CD176" s="449">
        <v>0.16149999999999998</v>
      </c>
    </row>
    <row r="177" spans="1:82">
      <c r="A177" s="325">
        <v>41944</v>
      </c>
      <c r="B177" s="416">
        <v>7.2862998897464004E-2</v>
      </c>
      <c r="C177" s="11"/>
      <c r="D177" s="1786">
        <v>40817</v>
      </c>
      <c r="E177" s="1787">
        <v>33.157412574699507</v>
      </c>
      <c r="F177" s="1787">
        <v>36.907412574699507</v>
      </c>
      <c r="G177" s="1787">
        <v>41.907412574699507</v>
      </c>
      <c r="H177" s="1788"/>
      <c r="I177" s="1787">
        <v>25.60161290322581</v>
      </c>
      <c r="J177" s="1787">
        <v>27.60161290322581</v>
      </c>
      <c r="K177" s="1787">
        <v>32.601612903225814</v>
      </c>
      <c r="M177" s="1791">
        <v>41699</v>
      </c>
      <c r="N177" s="1792">
        <v>25.039696662890865</v>
      </c>
      <c r="O177" s="1792">
        <v>28.789696662890865</v>
      </c>
      <c r="P177" s="1792">
        <v>33.789696662890861</v>
      </c>
      <c r="Q177" s="29"/>
      <c r="R177" s="1792">
        <v>17.842272497168153</v>
      </c>
      <c r="S177" s="1792">
        <v>21.592272497168153</v>
      </c>
      <c r="T177" s="1792">
        <v>26.592272497168153</v>
      </c>
      <c r="V177" s="500">
        <v>0</v>
      </c>
      <c r="W177" s="500">
        <v>0</v>
      </c>
      <c r="X177" s="500">
        <v>0</v>
      </c>
      <c r="Y177" s="27"/>
      <c r="Z177" s="1792">
        <v>9.9999999999999936E-2</v>
      </c>
      <c r="AA177" s="1792">
        <v>0.11</v>
      </c>
      <c r="AB177" s="1792">
        <v>0.12</v>
      </c>
      <c r="AC177" s="29"/>
      <c r="AD177" s="1792">
        <v>0.09</v>
      </c>
      <c r="AE177" s="1792">
        <v>0.11</v>
      </c>
      <c r="AF177" s="1792">
        <v>0.13</v>
      </c>
      <c r="AG177" s="29"/>
      <c r="AH177" s="1792">
        <v>-0.1</v>
      </c>
      <c r="AI177" s="1792">
        <v>0.65</v>
      </c>
      <c r="AJ177" s="1792">
        <v>0.1</v>
      </c>
      <c r="AK177" s="29"/>
      <c r="AL177" s="1792">
        <v>-0.01</v>
      </c>
      <c r="AM177" s="1792">
        <v>0.16</v>
      </c>
      <c r="AN177" s="1792">
        <v>0.01</v>
      </c>
      <c r="AO177" s="29"/>
      <c r="AP177" s="14">
        <v>56</v>
      </c>
      <c r="AQ177" s="1802">
        <v>0.35</v>
      </c>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325">
        <v>41852</v>
      </c>
      <c r="BR177" s="415">
        <v>3.4415000000000004</v>
      </c>
      <c r="BS177" s="415">
        <v>3.4465000000000003</v>
      </c>
      <c r="BT177" s="415">
        <v>3.4515000000000002</v>
      </c>
      <c r="BU177" s="416">
        <v>0.14550000000000002</v>
      </c>
      <c r="BV177" s="416">
        <v>0.15</v>
      </c>
      <c r="BW177" s="416">
        <v>0.1605</v>
      </c>
      <c r="BX177" s="416">
        <v>-7.0000000000000007E-2</v>
      </c>
      <c r="BY177" s="416"/>
      <c r="BZ177" s="416">
        <v>7.0000000000000007E-2</v>
      </c>
      <c r="CA177" s="432">
        <v>0</v>
      </c>
      <c r="CB177" s="1618">
        <v>0</v>
      </c>
      <c r="CC177" s="445">
        <v>3.5840000000000005</v>
      </c>
      <c r="CD177" s="449">
        <v>0.1605</v>
      </c>
    </row>
    <row r="178" spans="1:82">
      <c r="A178" s="325">
        <v>41974</v>
      </c>
      <c r="B178" s="416">
        <v>7.2863980134851028E-2</v>
      </c>
      <c r="C178" s="11"/>
      <c r="D178" s="1786">
        <v>40848</v>
      </c>
      <c r="E178" s="1787">
        <v>25.407412574699517</v>
      </c>
      <c r="F178" s="1787">
        <v>29.157412574699517</v>
      </c>
      <c r="G178" s="1787">
        <v>34.157412574699521</v>
      </c>
      <c r="H178" s="1788"/>
      <c r="I178" s="1787">
        <v>26.94166666666667</v>
      </c>
      <c r="J178" s="1787">
        <v>28.94166666666667</v>
      </c>
      <c r="K178" s="1787">
        <v>33.94166666666667</v>
      </c>
      <c r="M178" s="1791">
        <v>41730</v>
      </c>
      <c r="N178" s="1792">
        <v>24.924469547157653</v>
      </c>
      <c r="O178" s="1792">
        <v>28.674469547157653</v>
      </c>
      <c r="P178" s="1792">
        <v>33.674469547157656</v>
      </c>
      <c r="Q178" s="29"/>
      <c r="R178" s="1792">
        <v>17.755852160368242</v>
      </c>
      <c r="S178" s="1792">
        <v>21.505852160368242</v>
      </c>
      <c r="T178" s="1792">
        <v>26.505852160368242</v>
      </c>
      <c r="V178" s="500">
        <v>0</v>
      </c>
      <c r="W178" s="500">
        <v>0</v>
      </c>
      <c r="X178" s="500">
        <v>0</v>
      </c>
      <c r="Y178" s="27"/>
      <c r="Z178" s="1792">
        <v>9.9999999999999936E-2</v>
      </c>
      <c r="AA178" s="1792">
        <v>0.11</v>
      </c>
      <c r="AB178" s="1792">
        <v>0.12</v>
      </c>
      <c r="AC178" s="29"/>
      <c r="AD178" s="1792">
        <v>0.09</v>
      </c>
      <c r="AE178" s="1792">
        <v>0.11</v>
      </c>
      <c r="AF178" s="1792">
        <v>0.13</v>
      </c>
      <c r="AG178" s="29"/>
      <c r="AH178" s="1792">
        <v>-0.1</v>
      </c>
      <c r="AI178" s="1792">
        <v>0.65</v>
      </c>
      <c r="AJ178" s="1792">
        <v>0.1</v>
      </c>
      <c r="AK178" s="29"/>
      <c r="AL178" s="1792">
        <v>-0.01</v>
      </c>
      <c r="AM178" s="1792">
        <v>0.16</v>
      </c>
      <c r="AN178" s="1792">
        <v>0.01</v>
      </c>
      <c r="AO178" s="29"/>
      <c r="AP178" s="14">
        <v>57</v>
      </c>
      <c r="AQ178" s="1802">
        <v>0.35</v>
      </c>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325">
        <v>41883</v>
      </c>
      <c r="BR178" s="415">
        <v>3.4375</v>
      </c>
      <c r="BS178" s="415">
        <v>3.4424999999999999</v>
      </c>
      <c r="BT178" s="415">
        <v>3.4474999999999998</v>
      </c>
      <c r="BU178" s="416">
        <v>0.14550000000000002</v>
      </c>
      <c r="BV178" s="416">
        <v>0.15</v>
      </c>
      <c r="BW178" s="416">
        <v>0.1605</v>
      </c>
      <c r="BX178" s="416">
        <v>-7.0000000000000007E-2</v>
      </c>
      <c r="BY178" s="416"/>
      <c r="BZ178" s="416">
        <v>7.0000000000000007E-2</v>
      </c>
      <c r="CA178" s="432">
        <v>0</v>
      </c>
      <c r="CB178" s="1618">
        <v>0</v>
      </c>
      <c r="CC178" s="445">
        <v>3.4590000000000005</v>
      </c>
      <c r="CD178" s="449">
        <v>0.1605</v>
      </c>
    </row>
    <row r="179" spans="1:82">
      <c r="A179" s="325">
        <v>42005</v>
      </c>
      <c r="B179" s="416">
        <v>7.2864994080151013E-2</v>
      </c>
      <c r="C179" s="11"/>
      <c r="D179" s="1786">
        <v>40878</v>
      </c>
      <c r="E179" s="1787">
        <v>27.407412574699514</v>
      </c>
      <c r="F179" s="1787">
        <v>31.157412574699514</v>
      </c>
      <c r="G179" s="1787">
        <v>36.157412574699514</v>
      </c>
      <c r="H179" s="1788"/>
      <c r="I179" s="1787">
        <v>26.246774193548397</v>
      </c>
      <c r="J179" s="1787">
        <v>28.246774193548397</v>
      </c>
      <c r="K179" s="1787">
        <v>33.246774193548397</v>
      </c>
      <c r="M179" s="1791">
        <v>41760</v>
      </c>
      <c r="N179" s="1792">
        <v>24.924469547157653</v>
      </c>
      <c r="O179" s="1792">
        <v>28.674469547157653</v>
      </c>
      <c r="P179" s="1792">
        <v>33.674469547157656</v>
      </c>
      <c r="Q179" s="29"/>
      <c r="R179" s="1792">
        <v>17.755852160368242</v>
      </c>
      <c r="S179" s="1792">
        <v>21.505852160368242</v>
      </c>
      <c r="T179" s="1792">
        <v>26.505852160368242</v>
      </c>
      <c r="V179" s="500">
        <v>0</v>
      </c>
      <c r="W179" s="500">
        <v>0</v>
      </c>
      <c r="X179" s="500">
        <v>0</v>
      </c>
      <c r="Y179" s="27"/>
      <c r="Z179" s="1792">
        <v>9.9999999999999936E-2</v>
      </c>
      <c r="AA179" s="1792">
        <v>0.11</v>
      </c>
      <c r="AB179" s="1792">
        <v>0.12</v>
      </c>
      <c r="AC179" s="29"/>
      <c r="AD179" s="1792">
        <v>0.09</v>
      </c>
      <c r="AE179" s="1792">
        <v>0.11</v>
      </c>
      <c r="AF179" s="1792">
        <v>0.13</v>
      </c>
      <c r="AG179" s="29"/>
      <c r="AH179" s="1792">
        <v>-0.1</v>
      </c>
      <c r="AI179" s="1792">
        <v>0.65</v>
      </c>
      <c r="AJ179" s="1792">
        <v>0.1</v>
      </c>
      <c r="AK179" s="29"/>
      <c r="AL179" s="1792">
        <v>-0.01</v>
      </c>
      <c r="AM179" s="1792">
        <v>0.16</v>
      </c>
      <c r="AN179" s="1792">
        <v>0.01</v>
      </c>
      <c r="AO179" s="29"/>
      <c r="AP179" s="14">
        <v>57</v>
      </c>
      <c r="AQ179" s="1802">
        <v>0.35</v>
      </c>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325">
        <v>41913</v>
      </c>
      <c r="BR179" s="415">
        <v>3.4535000000000005</v>
      </c>
      <c r="BS179" s="415">
        <v>3.4585000000000004</v>
      </c>
      <c r="BT179" s="415">
        <v>3.4635000000000002</v>
      </c>
      <c r="BU179" s="416">
        <v>0.14550000000000002</v>
      </c>
      <c r="BV179" s="416">
        <v>0.15</v>
      </c>
      <c r="BW179" s="416">
        <v>0.1605</v>
      </c>
      <c r="BX179" s="416">
        <v>-7.0000000000000007E-2</v>
      </c>
      <c r="BY179" s="416"/>
      <c r="BZ179" s="416">
        <v>7.0000000000000007E-2</v>
      </c>
      <c r="CA179" s="432">
        <v>0</v>
      </c>
      <c r="CB179" s="1618">
        <v>0</v>
      </c>
      <c r="CC179" s="445">
        <v>3.3519999999999999</v>
      </c>
      <c r="CD179" s="449">
        <v>0.1605</v>
      </c>
    </row>
    <row r="180" spans="1:82">
      <c r="A180" s="325">
        <v>42036</v>
      </c>
      <c r="B180" s="416">
        <v>7.2866008025452011E-2</v>
      </c>
      <c r="C180" s="11"/>
      <c r="D180" s="1786">
        <v>40909</v>
      </c>
      <c r="E180" s="1787">
        <v>26.145578367168792</v>
      </c>
      <c r="F180" s="1787">
        <v>29.895578367168792</v>
      </c>
      <c r="G180" s="1787">
        <v>34.895578367168795</v>
      </c>
      <c r="H180" s="1788"/>
      <c r="I180" s="1787">
        <v>23.838119151052211</v>
      </c>
      <c r="J180" s="1787">
        <v>25.838119151052211</v>
      </c>
      <c r="K180" s="1787">
        <v>30.838119151052211</v>
      </c>
      <c r="M180" s="1791">
        <v>41791</v>
      </c>
      <c r="N180" s="1792">
        <v>30.174469547157656</v>
      </c>
      <c r="O180" s="1792">
        <v>33.924469547157656</v>
      </c>
      <c r="P180" s="1792">
        <v>38.924469547157656</v>
      </c>
      <c r="Q180" s="29"/>
      <c r="R180" s="1792">
        <v>21.693352160368242</v>
      </c>
      <c r="S180" s="1792">
        <v>25.443352160368242</v>
      </c>
      <c r="T180" s="1792">
        <v>30.443352160368242</v>
      </c>
      <c r="V180" s="500">
        <v>0</v>
      </c>
      <c r="W180" s="500">
        <v>0</v>
      </c>
      <c r="X180" s="500">
        <v>0</v>
      </c>
      <c r="Y180" s="27"/>
      <c r="Z180" s="1792">
        <v>9.9999999999999936E-2</v>
      </c>
      <c r="AA180" s="1792">
        <v>0.11</v>
      </c>
      <c r="AB180" s="1792">
        <v>0.12</v>
      </c>
      <c r="AC180" s="29"/>
      <c r="AD180" s="1792">
        <v>0.09</v>
      </c>
      <c r="AE180" s="1792">
        <v>0.11</v>
      </c>
      <c r="AF180" s="1792">
        <v>0.13</v>
      </c>
      <c r="AG180" s="29"/>
      <c r="AH180" s="1792">
        <v>-0.35</v>
      </c>
      <c r="AI180" s="1792">
        <v>0.65</v>
      </c>
      <c r="AJ180" s="1792">
        <v>0.2</v>
      </c>
      <c r="AK180" s="29"/>
      <c r="AL180" s="1792">
        <v>-0.01</v>
      </c>
      <c r="AM180" s="1792">
        <v>0.16</v>
      </c>
      <c r="AN180" s="1792">
        <v>0.01</v>
      </c>
      <c r="AO180" s="29"/>
      <c r="AP180" s="14">
        <v>57</v>
      </c>
      <c r="AQ180" s="1802">
        <v>0.35</v>
      </c>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325">
        <v>41944</v>
      </c>
      <c r="BR180" s="415">
        <v>3.5315000000000003</v>
      </c>
      <c r="BS180" s="415">
        <v>3.5365000000000002</v>
      </c>
      <c r="BT180" s="415">
        <v>3.5415000000000005</v>
      </c>
      <c r="BU180" s="416">
        <v>0.14550000000000002</v>
      </c>
      <c r="BV180" s="416">
        <v>0.15</v>
      </c>
      <c r="BW180" s="416">
        <v>0.1605</v>
      </c>
      <c r="BX180" s="416">
        <v>-7.0000000000000007E-2</v>
      </c>
      <c r="BY180" s="416"/>
      <c r="BZ180" s="416">
        <v>7.0000000000000007E-2</v>
      </c>
      <c r="CA180" s="432">
        <v>0</v>
      </c>
      <c r="CB180" s="1618">
        <v>0</v>
      </c>
      <c r="CC180" s="445">
        <v>3.2490000000000006</v>
      </c>
      <c r="CD180" s="449">
        <v>0.1605</v>
      </c>
    </row>
    <row r="181" spans="1:82">
      <c r="A181" s="325">
        <v>42064</v>
      </c>
      <c r="B181" s="416">
        <v>7.2866923847015E-2</v>
      </c>
      <c r="C181" s="11"/>
      <c r="D181" s="1786">
        <v>40940</v>
      </c>
      <c r="E181" s="1787">
        <v>25.645578367168792</v>
      </c>
      <c r="F181" s="1787">
        <v>29.395578367168792</v>
      </c>
      <c r="G181" s="1787">
        <v>34.395578367168795</v>
      </c>
      <c r="H181" s="1788"/>
      <c r="I181" s="1787">
        <v>24.80714285714286</v>
      </c>
      <c r="J181" s="1787">
        <v>26.80714285714286</v>
      </c>
      <c r="K181" s="1787">
        <v>31.80714285714286</v>
      </c>
      <c r="M181" s="1791">
        <v>41821</v>
      </c>
      <c r="N181" s="1792">
        <v>56.647333066484606</v>
      </c>
      <c r="O181" s="1792">
        <v>60.397333066484606</v>
      </c>
      <c r="P181" s="1792">
        <v>65.397333066484606</v>
      </c>
      <c r="Q181" s="29"/>
      <c r="R181" s="1792">
        <v>41.547999799863462</v>
      </c>
      <c r="S181" s="1792">
        <v>45.297999799863462</v>
      </c>
      <c r="T181" s="1792">
        <v>50.297999799863462</v>
      </c>
      <c r="V181" s="500">
        <v>0</v>
      </c>
      <c r="W181" s="500">
        <v>0</v>
      </c>
      <c r="X181" s="500">
        <v>0</v>
      </c>
      <c r="Y181" s="27"/>
      <c r="Z181" s="1792">
        <v>9.9999999999999936E-2</v>
      </c>
      <c r="AA181" s="1792">
        <v>0.11</v>
      </c>
      <c r="AB181" s="1792">
        <v>0.12</v>
      </c>
      <c r="AC181" s="29"/>
      <c r="AD181" s="1792">
        <v>0.09</v>
      </c>
      <c r="AE181" s="1792">
        <v>0.11</v>
      </c>
      <c r="AF181" s="1792">
        <v>0.13</v>
      </c>
      <c r="AG181" s="29"/>
      <c r="AH181" s="1792">
        <v>-0.35</v>
      </c>
      <c r="AI181" s="1792">
        <v>0.65</v>
      </c>
      <c r="AJ181" s="1792">
        <v>0.35</v>
      </c>
      <c r="AK181" s="29"/>
      <c r="AL181" s="1792">
        <v>-0.01</v>
      </c>
      <c r="AM181" s="1792">
        <v>0.16</v>
      </c>
      <c r="AN181" s="1792">
        <v>0.01</v>
      </c>
      <c r="AO181" s="29"/>
      <c r="AP181" s="14">
        <v>58</v>
      </c>
      <c r="AQ181" s="1802">
        <v>0.35</v>
      </c>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325">
        <v>41974</v>
      </c>
      <c r="BR181" s="415">
        <v>3.6215000000000006</v>
      </c>
      <c r="BS181" s="415">
        <v>3.6265000000000005</v>
      </c>
      <c r="BT181" s="415">
        <v>3.6315000000000004</v>
      </c>
      <c r="BU181" s="416">
        <v>0.14550000000000002</v>
      </c>
      <c r="BV181" s="416">
        <v>0.15</v>
      </c>
      <c r="BW181" s="416">
        <v>0.1605</v>
      </c>
      <c r="BX181" s="416">
        <v>-7.0000000000000007E-2</v>
      </c>
      <c r="BY181" s="416"/>
      <c r="BZ181" s="416">
        <v>7.0000000000000007E-2</v>
      </c>
      <c r="CA181" s="432">
        <v>0</v>
      </c>
      <c r="CB181" s="1618">
        <v>0</v>
      </c>
      <c r="CC181" s="445">
        <v>3.2250000000000001</v>
      </c>
      <c r="CD181" s="449">
        <v>0.1605</v>
      </c>
    </row>
    <row r="182" spans="1:82">
      <c r="A182" s="325">
        <v>42095</v>
      </c>
      <c r="B182" s="416">
        <v>7.2867937792316012E-2</v>
      </c>
      <c r="C182" s="11"/>
      <c r="D182" s="1786">
        <v>40969</v>
      </c>
      <c r="E182" s="1787">
        <v>25.395578367168792</v>
      </c>
      <c r="F182" s="1787">
        <v>29.145578367168792</v>
      </c>
      <c r="G182" s="1787">
        <v>34.145578367168795</v>
      </c>
      <c r="H182" s="1788"/>
      <c r="I182" s="1787">
        <v>25.087096774193554</v>
      </c>
      <c r="J182" s="1787">
        <v>27.087096774193554</v>
      </c>
      <c r="K182" s="1787">
        <v>32.087096774193554</v>
      </c>
      <c r="M182" s="1791">
        <v>41852</v>
      </c>
      <c r="N182" s="1792">
        <v>77.272333066484606</v>
      </c>
      <c r="O182" s="1792">
        <v>81.022333066484606</v>
      </c>
      <c r="P182" s="1792">
        <v>86.022333066484606</v>
      </c>
      <c r="Q182" s="29"/>
      <c r="R182" s="1792">
        <v>57.016749799863462</v>
      </c>
      <c r="S182" s="1792">
        <v>60.766749799863462</v>
      </c>
      <c r="T182" s="1792">
        <v>65.766749799863462</v>
      </c>
      <c r="V182" s="500">
        <v>0</v>
      </c>
      <c r="W182" s="500">
        <v>0</v>
      </c>
      <c r="X182" s="500">
        <v>0</v>
      </c>
      <c r="Y182" s="27"/>
      <c r="Z182" s="1792">
        <v>9.9999999999999936E-2</v>
      </c>
      <c r="AA182" s="1792">
        <v>0.11</v>
      </c>
      <c r="AB182" s="1792">
        <v>0.12</v>
      </c>
      <c r="AC182" s="29"/>
      <c r="AD182" s="1792">
        <v>0.09</v>
      </c>
      <c r="AE182" s="1792">
        <v>0.11</v>
      </c>
      <c r="AF182" s="1792">
        <v>0.13</v>
      </c>
      <c r="AG182" s="29"/>
      <c r="AH182" s="1792">
        <v>-0.35</v>
      </c>
      <c r="AI182" s="1792">
        <v>3</v>
      </c>
      <c r="AJ182" s="1792">
        <v>0.35</v>
      </c>
      <c r="AK182" s="29"/>
      <c r="AL182" s="1792">
        <v>-0.01</v>
      </c>
      <c r="AM182" s="1792">
        <v>0.16</v>
      </c>
      <c r="AN182" s="1792">
        <v>0.01</v>
      </c>
      <c r="AO182" s="29"/>
      <c r="AP182" s="14">
        <v>58</v>
      </c>
      <c r="AQ182" s="1802">
        <v>0.35</v>
      </c>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325">
        <v>42005</v>
      </c>
      <c r="BR182" s="415">
        <v>3.6715000000000004</v>
      </c>
      <c r="BS182" s="415">
        <v>3.6765000000000003</v>
      </c>
      <c r="BT182" s="415">
        <v>3.6815000000000002</v>
      </c>
      <c r="BU182" s="416">
        <v>0.14450000000000002</v>
      </c>
      <c r="BV182" s="416">
        <v>0.15</v>
      </c>
      <c r="BW182" s="416">
        <v>0.1595</v>
      </c>
      <c r="BX182" s="416">
        <v>-7.0000000000000007E-2</v>
      </c>
      <c r="BY182" s="416"/>
      <c r="BZ182" s="416">
        <v>7.0000000000000007E-2</v>
      </c>
      <c r="CA182" s="432">
        <v>0</v>
      </c>
      <c r="CB182" s="1618">
        <v>0</v>
      </c>
      <c r="CC182" s="445">
        <v>3.2319999999999998</v>
      </c>
      <c r="CD182" s="449">
        <v>0.1605</v>
      </c>
    </row>
    <row r="183" spans="1:82">
      <c r="A183" s="325">
        <v>42125</v>
      </c>
      <c r="B183" s="416">
        <v>7.2868919029704021E-2</v>
      </c>
      <c r="C183" s="11"/>
      <c r="D183" s="1786">
        <v>41000</v>
      </c>
      <c r="E183" s="1787">
        <v>25.520799979153328</v>
      </c>
      <c r="F183" s="1787">
        <v>29.270799979153328</v>
      </c>
      <c r="G183" s="1787">
        <v>34.270799979153324</v>
      </c>
      <c r="H183" s="1788"/>
      <c r="I183" s="1787">
        <v>22.887499999999999</v>
      </c>
      <c r="J183" s="1787">
        <v>24.887499999999999</v>
      </c>
      <c r="K183" s="1787">
        <v>29.887499999999999</v>
      </c>
      <c r="M183" s="1791">
        <v>41883</v>
      </c>
      <c r="N183" s="1792">
        <v>61.272333066484606</v>
      </c>
      <c r="O183" s="1792">
        <v>65.022333066484606</v>
      </c>
      <c r="P183" s="1792">
        <v>70.022333066484606</v>
      </c>
      <c r="Q183" s="29"/>
      <c r="R183" s="1792">
        <v>45.016749799863462</v>
      </c>
      <c r="S183" s="1792">
        <v>48.766749799863462</v>
      </c>
      <c r="T183" s="1792">
        <v>53.766749799863462</v>
      </c>
      <c r="V183" s="500">
        <v>0</v>
      </c>
      <c r="W183" s="500">
        <v>0</v>
      </c>
      <c r="X183" s="500">
        <v>0</v>
      </c>
      <c r="Y183" s="27"/>
      <c r="Z183" s="1792">
        <v>9.9999999999999936E-2</v>
      </c>
      <c r="AA183" s="1792">
        <v>0.11</v>
      </c>
      <c r="AB183" s="1792">
        <v>0.12</v>
      </c>
      <c r="AC183" s="29"/>
      <c r="AD183" s="1792">
        <v>0.09</v>
      </c>
      <c r="AE183" s="1792">
        <v>0.11</v>
      </c>
      <c r="AF183" s="1792">
        <v>0.13</v>
      </c>
      <c r="AG183" s="29"/>
      <c r="AH183" s="1792">
        <v>-0.35</v>
      </c>
      <c r="AI183" s="1792">
        <v>3</v>
      </c>
      <c r="AJ183" s="1792">
        <v>0.2</v>
      </c>
      <c r="AK183" s="29"/>
      <c r="AL183" s="1792">
        <v>-0.01</v>
      </c>
      <c r="AM183" s="1792">
        <v>0.16</v>
      </c>
      <c r="AN183" s="1792">
        <v>0.01</v>
      </c>
      <c r="AO183" s="29"/>
      <c r="AP183" s="14">
        <v>58</v>
      </c>
      <c r="AQ183" s="1802">
        <v>0.35</v>
      </c>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325">
        <v>42036</v>
      </c>
      <c r="BR183" s="415">
        <v>3.6065000000000005</v>
      </c>
      <c r="BS183" s="415">
        <v>3.6115000000000004</v>
      </c>
      <c r="BT183" s="415">
        <v>3.6165000000000003</v>
      </c>
      <c r="BU183" s="416">
        <v>0.14450000000000002</v>
      </c>
      <c r="BV183" s="416">
        <v>0.15</v>
      </c>
      <c r="BW183" s="416">
        <v>0.1595</v>
      </c>
      <c r="BX183" s="416">
        <v>-7.0000000000000007E-2</v>
      </c>
      <c r="BY183" s="416"/>
      <c r="BZ183" s="416">
        <v>7.0000000000000007E-2</v>
      </c>
      <c r="CA183" s="432">
        <v>0</v>
      </c>
      <c r="CB183" s="1618">
        <v>0</v>
      </c>
      <c r="CC183" s="445">
        <v>3.238</v>
      </c>
      <c r="CD183" s="449">
        <v>0.1605</v>
      </c>
    </row>
    <row r="184" spans="1:82">
      <c r="A184" s="325">
        <v>42156</v>
      </c>
      <c r="B184" s="416">
        <v>7.2869932975006019E-2</v>
      </c>
      <c r="C184" s="11"/>
      <c r="D184" s="1786">
        <v>41030</v>
      </c>
      <c r="E184" s="1787">
        <v>24.770799979153328</v>
      </c>
      <c r="F184" s="1787">
        <v>28.520799979153328</v>
      </c>
      <c r="G184" s="1787">
        <v>33.520799979153324</v>
      </c>
      <c r="H184" s="1788"/>
      <c r="I184" s="1787">
        <v>22.945967741935487</v>
      </c>
      <c r="J184" s="1787">
        <v>24.945967741935487</v>
      </c>
      <c r="K184" s="1787">
        <v>29.945967741935487</v>
      </c>
      <c r="M184" s="1791">
        <v>41913</v>
      </c>
      <c r="N184" s="1792">
        <v>33.366838963374271</v>
      </c>
      <c r="O184" s="1792">
        <v>37.116838963374271</v>
      </c>
      <c r="P184" s="1792">
        <v>42.116838963374271</v>
      </c>
      <c r="Q184" s="29"/>
      <c r="R184" s="1792">
        <v>24.087629222530701</v>
      </c>
      <c r="S184" s="1792">
        <v>27.837629222530701</v>
      </c>
      <c r="T184" s="1792">
        <v>32.837629222530701</v>
      </c>
      <c r="V184" s="500">
        <v>0</v>
      </c>
      <c r="W184" s="500">
        <v>0</v>
      </c>
      <c r="X184" s="500">
        <v>0</v>
      </c>
      <c r="Y184" s="27"/>
      <c r="Z184" s="1792">
        <v>9.9999999999999936E-2</v>
      </c>
      <c r="AA184" s="1792">
        <v>0.11</v>
      </c>
      <c r="AB184" s="1792">
        <v>0.12</v>
      </c>
      <c r="AC184" s="29"/>
      <c r="AD184" s="1792">
        <v>0.09</v>
      </c>
      <c r="AE184" s="1792">
        <v>0.11</v>
      </c>
      <c r="AF184" s="1792">
        <v>0.13</v>
      </c>
      <c r="AG184" s="29"/>
      <c r="AH184" s="1792">
        <v>-0.1</v>
      </c>
      <c r="AI184" s="1792">
        <v>3</v>
      </c>
      <c r="AJ184" s="1792">
        <v>0.1</v>
      </c>
      <c r="AK184" s="29"/>
      <c r="AL184" s="1792">
        <v>-0.01</v>
      </c>
      <c r="AM184" s="1792">
        <v>0.16</v>
      </c>
      <c r="AN184" s="1792">
        <v>0.01</v>
      </c>
      <c r="AO184" s="29"/>
      <c r="AP184" s="14">
        <v>59</v>
      </c>
      <c r="AQ184" s="1802">
        <v>0.35</v>
      </c>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325">
        <v>42064</v>
      </c>
      <c r="BR184" s="415">
        <v>3.5274999999999999</v>
      </c>
      <c r="BS184" s="415">
        <v>3.5325000000000002</v>
      </c>
      <c r="BT184" s="415">
        <v>3.5375000000000001</v>
      </c>
      <c r="BU184" s="416">
        <v>0.14450000000000002</v>
      </c>
      <c r="BV184" s="416">
        <v>0.15</v>
      </c>
      <c r="BW184" s="416">
        <v>0.1595</v>
      </c>
      <c r="BX184" s="416">
        <v>-7.0000000000000007E-2</v>
      </c>
      <c r="BY184" s="416"/>
      <c r="BZ184" s="416">
        <v>7.0000000000000007E-2</v>
      </c>
      <c r="CA184" s="432">
        <v>0</v>
      </c>
      <c r="CB184" s="1618">
        <v>0</v>
      </c>
      <c r="CC184" s="445">
        <v>3.2430000000000003</v>
      </c>
      <c r="CD184" s="449">
        <v>0.1605</v>
      </c>
    </row>
    <row r="185" spans="1:82">
      <c r="A185" s="325">
        <v>42186</v>
      </c>
      <c r="B185" s="416">
        <v>7.2870914212396012E-2</v>
      </c>
      <c r="C185" s="11"/>
      <c r="D185" s="1786">
        <v>41061</v>
      </c>
      <c r="E185" s="1787">
        <v>30.020799979153331</v>
      </c>
      <c r="F185" s="1787">
        <v>33.770799979153331</v>
      </c>
      <c r="G185" s="1787">
        <v>38.770799979153331</v>
      </c>
      <c r="H185" s="1788"/>
      <c r="I185" s="1787">
        <v>22.2</v>
      </c>
      <c r="J185" s="1787">
        <v>24.2</v>
      </c>
      <c r="K185" s="1787">
        <v>29.2</v>
      </c>
      <c r="M185" s="1791">
        <v>41944</v>
      </c>
      <c r="N185" s="1792">
        <v>25.616838963374281</v>
      </c>
      <c r="O185" s="1792">
        <v>29.366838963374281</v>
      </c>
      <c r="P185" s="1792">
        <v>34.366838963374278</v>
      </c>
      <c r="Q185" s="29"/>
      <c r="R185" s="1792">
        <v>18.275129222530701</v>
      </c>
      <c r="S185" s="1792">
        <v>22.025129222530701</v>
      </c>
      <c r="T185" s="1792">
        <v>27.025129222530701</v>
      </c>
      <c r="V185" s="500">
        <v>0</v>
      </c>
      <c r="W185" s="500">
        <v>0</v>
      </c>
      <c r="X185" s="500">
        <v>0</v>
      </c>
      <c r="Y185" s="27"/>
      <c r="Z185" s="1792">
        <v>9.9999999999999936E-2</v>
      </c>
      <c r="AA185" s="1792">
        <v>0.11</v>
      </c>
      <c r="AB185" s="1792">
        <v>0.12</v>
      </c>
      <c r="AC185" s="29"/>
      <c r="AD185" s="1792">
        <v>0.09</v>
      </c>
      <c r="AE185" s="1792">
        <v>0.11</v>
      </c>
      <c r="AF185" s="1792">
        <v>0.13</v>
      </c>
      <c r="AG185" s="29"/>
      <c r="AH185" s="1792">
        <v>-0.1</v>
      </c>
      <c r="AI185" s="1792">
        <v>0.6</v>
      </c>
      <c r="AJ185" s="1792">
        <v>0.1</v>
      </c>
      <c r="AK185" s="29"/>
      <c r="AL185" s="1792">
        <v>-0.01</v>
      </c>
      <c r="AM185" s="1792">
        <v>0.16</v>
      </c>
      <c r="AN185" s="1792">
        <v>0.01</v>
      </c>
      <c r="AO185" s="29"/>
      <c r="AP185" s="14">
        <v>59</v>
      </c>
      <c r="AQ185" s="1802">
        <v>0.35</v>
      </c>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325">
        <v>42095</v>
      </c>
      <c r="BR185" s="415">
        <v>3.4635000000000002</v>
      </c>
      <c r="BS185" s="415">
        <v>3.4685000000000001</v>
      </c>
      <c r="BT185" s="415">
        <v>3.4735000000000005</v>
      </c>
      <c r="BU185" s="416">
        <v>0.14450000000000002</v>
      </c>
      <c r="BV185" s="416">
        <v>0.15</v>
      </c>
      <c r="BW185" s="416">
        <v>0.1595</v>
      </c>
      <c r="BX185" s="416">
        <v>-7.0000000000000007E-2</v>
      </c>
      <c r="BY185" s="416"/>
      <c r="BZ185" s="416">
        <v>7.0000000000000007E-2</v>
      </c>
      <c r="CA185" s="432">
        <v>0</v>
      </c>
      <c r="CB185" s="1618">
        <v>0</v>
      </c>
      <c r="CC185" s="445">
        <v>3.2460000000000004</v>
      </c>
      <c r="CD185" s="449">
        <v>0.1605</v>
      </c>
    </row>
    <row r="186" spans="1:82">
      <c r="A186" s="325">
        <v>42217</v>
      </c>
      <c r="B186" s="416">
        <v>7.287192815769801E-2</v>
      </c>
      <c r="C186" s="11"/>
      <c r="D186" s="1786">
        <v>41091</v>
      </c>
      <c r="E186" s="1787">
        <v>56.298348736361746</v>
      </c>
      <c r="F186" s="1787">
        <v>60.048348736361746</v>
      </c>
      <c r="G186" s="1787">
        <v>65.048348736361746</v>
      </c>
      <c r="H186" s="1788"/>
      <c r="I186" s="1787">
        <v>28.224193548387102</v>
      </c>
      <c r="J186" s="1787">
        <v>30.224193548387102</v>
      </c>
      <c r="K186" s="1787">
        <v>35.224193548387106</v>
      </c>
      <c r="M186" s="1791">
        <v>41974</v>
      </c>
      <c r="N186" s="1792">
        <v>27.616838963374278</v>
      </c>
      <c r="O186" s="1792">
        <v>31.366838963374278</v>
      </c>
      <c r="P186" s="1792">
        <v>36.366838963374278</v>
      </c>
      <c r="Q186" s="29"/>
      <c r="R186" s="1792">
        <v>19.775129222530701</v>
      </c>
      <c r="S186" s="1792">
        <v>23.525129222530701</v>
      </c>
      <c r="T186" s="1792">
        <v>28.525129222530701</v>
      </c>
      <c r="V186" s="500">
        <v>0</v>
      </c>
      <c r="W186" s="500">
        <v>0</v>
      </c>
      <c r="X186" s="500">
        <v>0</v>
      </c>
      <c r="Y186" s="27"/>
      <c r="Z186" s="1792">
        <v>9.9999999999999936E-2</v>
      </c>
      <c r="AA186" s="1792">
        <v>0.11</v>
      </c>
      <c r="AB186" s="1792">
        <v>0.12</v>
      </c>
      <c r="AC186" s="29"/>
      <c r="AD186" s="1792">
        <v>0.09</v>
      </c>
      <c r="AE186" s="1792">
        <v>0.11</v>
      </c>
      <c r="AF186" s="1792">
        <v>0.13</v>
      </c>
      <c r="AG186" s="29"/>
      <c r="AH186" s="1792">
        <v>-0.25</v>
      </c>
      <c r="AI186" s="1792">
        <v>0.6</v>
      </c>
      <c r="AJ186" s="1792">
        <v>0.25</v>
      </c>
      <c r="AK186" s="29"/>
      <c r="AL186" s="1792">
        <v>-0.01</v>
      </c>
      <c r="AM186" s="1792">
        <v>0.16</v>
      </c>
      <c r="AN186" s="1792">
        <v>0.01</v>
      </c>
      <c r="AO186" s="29"/>
      <c r="AP186" s="14">
        <v>59</v>
      </c>
      <c r="AQ186" s="1802">
        <v>0.35</v>
      </c>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325">
        <v>42125</v>
      </c>
      <c r="BR186" s="415">
        <v>3.4895</v>
      </c>
      <c r="BS186" s="415">
        <v>3.4944999999999999</v>
      </c>
      <c r="BT186" s="415">
        <v>3.4994999999999998</v>
      </c>
      <c r="BU186" s="416">
        <v>0.14450000000000002</v>
      </c>
      <c r="BV186" s="416">
        <v>0.15</v>
      </c>
      <c r="BW186" s="416">
        <v>0.1595</v>
      </c>
      <c r="BX186" s="416">
        <v>-7.0000000000000007E-2</v>
      </c>
      <c r="BY186" s="416"/>
      <c r="BZ186" s="416">
        <v>7.0000000000000007E-2</v>
      </c>
      <c r="CA186" s="432">
        <v>0</v>
      </c>
      <c r="CB186" s="1618">
        <v>0</v>
      </c>
      <c r="CC186" s="445">
        <v>3.2790000000000004</v>
      </c>
      <c r="CD186" s="449">
        <v>0.1605</v>
      </c>
    </row>
    <row r="187" spans="1:82">
      <c r="A187" s="325">
        <v>42248</v>
      </c>
      <c r="B187" s="416">
        <v>7.2872942103002006E-2</v>
      </c>
      <c r="C187" s="11"/>
      <c r="D187" s="1786">
        <v>41122</v>
      </c>
      <c r="E187" s="1787">
        <v>76.923348736361746</v>
      </c>
      <c r="F187" s="1787">
        <v>80.673348736361746</v>
      </c>
      <c r="G187" s="1787">
        <v>85.673348736361746</v>
      </c>
      <c r="H187" s="1788"/>
      <c r="I187" s="1787">
        <v>26.224193548387102</v>
      </c>
      <c r="J187" s="1787">
        <v>28.224193548387102</v>
      </c>
      <c r="K187" s="1787">
        <v>33.224193548387106</v>
      </c>
      <c r="M187" s="1791">
        <v>42005</v>
      </c>
      <c r="N187" s="1792">
        <v>25.11161893951714</v>
      </c>
      <c r="O187" s="1792">
        <v>30.11161893951714</v>
      </c>
      <c r="P187" s="1792">
        <v>35.111618939517143</v>
      </c>
      <c r="Q187" s="29"/>
      <c r="R187" s="1792">
        <v>17.583714204637857</v>
      </c>
      <c r="S187" s="1792">
        <v>22.583714204637857</v>
      </c>
      <c r="T187" s="1792">
        <v>27.583714204637857</v>
      </c>
      <c r="V187" s="500">
        <v>0</v>
      </c>
      <c r="W187" s="500">
        <v>0</v>
      </c>
      <c r="X187" s="500">
        <v>0</v>
      </c>
      <c r="Y187" s="27"/>
      <c r="Z187" s="1792">
        <v>9.4999999999999932E-2</v>
      </c>
      <c r="AA187" s="1792">
        <v>0.105</v>
      </c>
      <c r="AB187" s="1792">
        <v>0.115</v>
      </c>
      <c r="AC187" s="29"/>
      <c r="AD187" s="1792">
        <v>0.09</v>
      </c>
      <c r="AE187" s="1792">
        <v>0.11</v>
      </c>
      <c r="AF187" s="1792">
        <v>0.13</v>
      </c>
      <c r="AG187" s="29"/>
      <c r="AH187" s="1792">
        <v>-0.25</v>
      </c>
      <c r="AI187" s="1792">
        <v>0.6</v>
      </c>
      <c r="AJ187" s="1792">
        <v>0.25</v>
      </c>
      <c r="AK187" s="29"/>
      <c r="AL187" s="1792">
        <v>-0.01</v>
      </c>
      <c r="AM187" s="1792">
        <v>0.16</v>
      </c>
      <c r="AN187" s="1792">
        <v>0.01</v>
      </c>
      <c r="AO187" s="29"/>
      <c r="AP187" s="14">
        <v>60</v>
      </c>
      <c r="AQ187" s="1802">
        <v>0.35</v>
      </c>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325">
        <v>42156</v>
      </c>
      <c r="BR187" s="415">
        <v>3.5085000000000002</v>
      </c>
      <c r="BS187" s="415">
        <v>3.5135000000000005</v>
      </c>
      <c r="BT187" s="415">
        <v>3.5185000000000004</v>
      </c>
      <c r="BU187" s="416">
        <v>0.14450000000000002</v>
      </c>
      <c r="BV187" s="416">
        <v>0.15</v>
      </c>
      <c r="BW187" s="416">
        <v>0.1595</v>
      </c>
      <c r="BX187" s="416">
        <v>-7.0000000000000007E-2</v>
      </c>
      <c r="BY187" s="416"/>
      <c r="BZ187" s="416">
        <v>7.0000000000000007E-2</v>
      </c>
      <c r="CA187" s="432">
        <v>0</v>
      </c>
      <c r="CB187" s="1618">
        <v>0</v>
      </c>
      <c r="CC187" s="445">
        <v>3.42</v>
      </c>
      <c r="CD187" s="449">
        <v>0.1605</v>
      </c>
    </row>
    <row r="188" spans="1:82">
      <c r="A188" s="325">
        <v>42278</v>
      </c>
      <c r="B188" s="416">
        <v>7.2873923340392013E-2</v>
      </c>
      <c r="C188" s="11"/>
      <c r="D188" s="1786">
        <v>41153</v>
      </c>
      <c r="E188" s="1787">
        <v>60.923348736361746</v>
      </c>
      <c r="F188" s="1787">
        <v>64.673348736361746</v>
      </c>
      <c r="G188" s="1787">
        <v>69.673348736361746</v>
      </c>
      <c r="H188" s="1788"/>
      <c r="I188" s="1787">
        <v>26.637499999999999</v>
      </c>
      <c r="J188" s="1787">
        <v>28.637499999999999</v>
      </c>
      <c r="K188" s="1787">
        <v>33.637500000000003</v>
      </c>
      <c r="M188" s="1791">
        <v>42036</v>
      </c>
      <c r="N188" s="1792">
        <v>24.61161893951714</v>
      </c>
      <c r="O188" s="1792">
        <v>29.61161893951714</v>
      </c>
      <c r="P188" s="1792">
        <v>34.611618939517143</v>
      </c>
      <c r="Q188" s="29"/>
      <c r="R188" s="1792">
        <v>17.208714204637857</v>
      </c>
      <c r="S188" s="1792">
        <v>22.208714204637857</v>
      </c>
      <c r="T188" s="1792">
        <v>27.208714204637857</v>
      </c>
      <c r="V188" s="500">
        <v>0</v>
      </c>
      <c r="W188" s="500">
        <v>0</v>
      </c>
      <c r="X188" s="500">
        <v>0</v>
      </c>
      <c r="Y188" s="27"/>
      <c r="Z188" s="1792">
        <v>9.4999999999999932E-2</v>
      </c>
      <c r="AA188" s="1792">
        <v>0.105</v>
      </c>
      <c r="AB188" s="1792">
        <v>0.115</v>
      </c>
      <c r="AC188" s="29"/>
      <c r="AD188" s="1792">
        <v>0.09</v>
      </c>
      <c r="AE188" s="1792">
        <v>0.11</v>
      </c>
      <c r="AF188" s="1792">
        <v>0.13</v>
      </c>
      <c r="AG188" s="29"/>
      <c r="AH188" s="1792">
        <v>-0.25</v>
      </c>
      <c r="AI188" s="1792">
        <v>0.65</v>
      </c>
      <c r="AJ188" s="1792">
        <v>0.25</v>
      </c>
      <c r="AK188" s="29"/>
      <c r="AL188" s="1792">
        <v>-0.01</v>
      </c>
      <c r="AM188" s="1792">
        <v>0.16</v>
      </c>
      <c r="AN188" s="1792">
        <v>0.01</v>
      </c>
      <c r="AO188" s="29"/>
      <c r="AP188" s="14">
        <v>60</v>
      </c>
      <c r="AQ188" s="1802">
        <v>0.35</v>
      </c>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325">
        <v>42186</v>
      </c>
      <c r="BR188" s="415">
        <v>3.5165000000000006</v>
      </c>
      <c r="BS188" s="415">
        <v>3.5215000000000005</v>
      </c>
      <c r="BT188" s="415">
        <v>3.5265000000000004</v>
      </c>
      <c r="BU188" s="416">
        <v>0.14450000000000002</v>
      </c>
      <c r="BV188" s="416">
        <v>0.15</v>
      </c>
      <c r="BW188" s="416">
        <v>0.1595</v>
      </c>
      <c r="BX188" s="416">
        <v>-7.0000000000000007E-2</v>
      </c>
      <c r="BY188" s="416"/>
      <c r="BZ188" s="416">
        <v>7.0000000000000007E-2</v>
      </c>
      <c r="CA188" s="432">
        <v>0</v>
      </c>
      <c r="CB188" s="1618">
        <v>0</v>
      </c>
      <c r="CC188" s="445">
        <v>3.5649999999999999</v>
      </c>
      <c r="CD188" s="449">
        <v>0.1605</v>
      </c>
    </row>
    <row r="189" spans="1:82">
      <c r="A189" s="325">
        <v>42309</v>
      </c>
      <c r="B189" s="416">
        <v>7.287493728569501E-2</v>
      </c>
      <c r="C189" s="11"/>
      <c r="D189" s="1786">
        <v>41183</v>
      </c>
      <c r="E189" s="1787">
        <v>33.212360307530169</v>
      </c>
      <c r="F189" s="1787">
        <v>36.962360307530169</v>
      </c>
      <c r="G189" s="1787">
        <v>41.962360307530169</v>
      </c>
      <c r="H189" s="1788"/>
      <c r="I189" s="1787">
        <v>26.151612903225811</v>
      </c>
      <c r="J189" s="1787">
        <v>28.151612903225811</v>
      </c>
      <c r="K189" s="1787">
        <v>33.151612903225811</v>
      </c>
      <c r="M189" s="1791">
        <v>42064</v>
      </c>
      <c r="N189" s="1792">
        <v>23.86161893951714</v>
      </c>
      <c r="O189" s="1792">
        <v>28.86161893951714</v>
      </c>
      <c r="P189" s="1792">
        <v>33.861618939517143</v>
      </c>
      <c r="Q189" s="29"/>
      <c r="R189" s="1792">
        <v>16.646214204637857</v>
      </c>
      <c r="S189" s="1792">
        <v>21.646214204637857</v>
      </c>
      <c r="T189" s="1792">
        <v>26.646214204637857</v>
      </c>
      <c r="V189" s="500">
        <v>0</v>
      </c>
      <c r="W189" s="500">
        <v>0</v>
      </c>
      <c r="X189" s="500">
        <v>0</v>
      </c>
      <c r="Y189" s="27"/>
      <c r="Z189" s="1792">
        <v>9.4999999999999932E-2</v>
      </c>
      <c r="AA189" s="1792">
        <v>0.105</v>
      </c>
      <c r="AB189" s="1792">
        <v>0.115</v>
      </c>
      <c r="AC189" s="29"/>
      <c r="AD189" s="1792">
        <v>0.09</v>
      </c>
      <c r="AE189" s="1792">
        <v>0.11</v>
      </c>
      <c r="AF189" s="1792">
        <v>0.13</v>
      </c>
      <c r="AG189" s="29"/>
      <c r="AH189" s="1792">
        <v>-0.1</v>
      </c>
      <c r="AI189" s="1792">
        <v>0.65</v>
      </c>
      <c r="AJ189" s="1792">
        <v>0.1</v>
      </c>
      <c r="AK189" s="29"/>
      <c r="AL189" s="1792">
        <v>-0.01</v>
      </c>
      <c r="AM189" s="1792">
        <v>0.16</v>
      </c>
      <c r="AN189" s="1792">
        <v>0.01</v>
      </c>
      <c r="AO189" s="29"/>
      <c r="AP189" s="14">
        <v>60</v>
      </c>
      <c r="AQ189" s="1802">
        <v>0.35</v>
      </c>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325">
        <v>42217</v>
      </c>
      <c r="BR189" s="415">
        <v>3.5255000000000001</v>
      </c>
      <c r="BS189" s="415">
        <v>3.5305</v>
      </c>
      <c r="BT189" s="415">
        <v>3.5355000000000003</v>
      </c>
      <c r="BU189" s="416">
        <v>0.14450000000000002</v>
      </c>
      <c r="BV189" s="416">
        <v>0.15</v>
      </c>
      <c r="BW189" s="416">
        <v>0.1595</v>
      </c>
      <c r="BX189" s="416">
        <v>-7.0000000000000007E-2</v>
      </c>
      <c r="BY189" s="416"/>
      <c r="BZ189" s="416">
        <v>7.0000000000000007E-2</v>
      </c>
      <c r="CA189" s="432">
        <v>0</v>
      </c>
      <c r="CB189" s="1618">
        <v>0</v>
      </c>
      <c r="CC189" s="445">
        <v>3.6840000000000006</v>
      </c>
      <c r="CD189" s="449">
        <v>0.1595</v>
      </c>
    </row>
    <row r="190" spans="1:82">
      <c r="A190" s="325">
        <v>42339</v>
      </c>
      <c r="B190" s="416">
        <v>7.2875918523086031E-2</v>
      </c>
      <c r="C190" s="11"/>
      <c r="D190" s="1786">
        <v>41214</v>
      </c>
      <c r="E190" s="1787">
        <v>25.462360307530179</v>
      </c>
      <c r="F190" s="1787">
        <v>29.212360307530179</v>
      </c>
      <c r="G190" s="1787">
        <v>34.212360307530176</v>
      </c>
      <c r="H190" s="1788"/>
      <c r="I190" s="1787">
        <v>27.491666666666671</v>
      </c>
      <c r="J190" s="1787">
        <v>29.491666666666671</v>
      </c>
      <c r="K190" s="1787">
        <v>34.491666666666674</v>
      </c>
      <c r="M190" s="1791">
        <v>42095</v>
      </c>
      <c r="N190" s="1792">
        <v>23.752014849172699</v>
      </c>
      <c r="O190" s="1792">
        <v>28.752014849172699</v>
      </c>
      <c r="P190" s="1792">
        <v>33.752014849172696</v>
      </c>
      <c r="Q190" s="29"/>
      <c r="R190" s="1792">
        <v>16.564011136879529</v>
      </c>
      <c r="S190" s="1792">
        <v>21.564011136879529</v>
      </c>
      <c r="T190" s="1792">
        <v>26.564011136879529</v>
      </c>
      <c r="V190" s="500">
        <v>0</v>
      </c>
      <c r="W190" s="500">
        <v>0</v>
      </c>
      <c r="X190" s="500">
        <v>0</v>
      </c>
      <c r="Y190" s="27"/>
      <c r="Z190" s="1792">
        <v>9.4999999999999932E-2</v>
      </c>
      <c r="AA190" s="1792">
        <v>0.105</v>
      </c>
      <c r="AB190" s="1792">
        <v>0.115</v>
      </c>
      <c r="AC190" s="29"/>
      <c r="AD190" s="1792">
        <v>0.09</v>
      </c>
      <c r="AE190" s="1792">
        <v>0.11</v>
      </c>
      <c r="AF190" s="1792">
        <v>0.13</v>
      </c>
      <c r="AG190" s="29"/>
      <c r="AH190" s="1792">
        <v>-0.1</v>
      </c>
      <c r="AI190" s="1792">
        <v>0.65</v>
      </c>
      <c r="AJ190" s="1792">
        <v>0.1</v>
      </c>
      <c r="AK190" s="29"/>
      <c r="AL190" s="1792">
        <v>-0.01</v>
      </c>
      <c r="AM190" s="1792">
        <v>0.16</v>
      </c>
      <c r="AN190" s="1792">
        <v>0.01</v>
      </c>
      <c r="AO190" s="29"/>
      <c r="AP190" s="14">
        <v>61</v>
      </c>
      <c r="AQ190" s="1802">
        <v>0.35</v>
      </c>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325">
        <v>42248</v>
      </c>
      <c r="BR190" s="415">
        <v>3.5205000000000002</v>
      </c>
      <c r="BS190" s="415">
        <v>3.5255000000000001</v>
      </c>
      <c r="BT190" s="415">
        <v>3.5305</v>
      </c>
      <c r="BU190" s="416">
        <v>0.14450000000000002</v>
      </c>
      <c r="BV190" s="416">
        <v>0.15</v>
      </c>
      <c r="BW190" s="416">
        <v>0.1595</v>
      </c>
      <c r="BX190" s="416">
        <v>-7.0000000000000007E-2</v>
      </c>
      <c r="BY190" s="416"/>
      <c r="BZ190" s="416">
        <v>7.0000000000000007E-2</v>
      </c>
      <c r="CA190" s="432">
        <v>0</v>
      </c>
      <c r="CB190" s="1618">
        <v>0</v>
      </c>
      <c r="CC190" s="445">
        <v>3.5590000000000006</v>
      </c>
      <c r="CD190" s="449">
        <v>0.1595</v>
      </c>
    </row>
    <row r="191" spans="1:82">
      <c r="A191" s="325">
        <v>42370</v>
      </c>
      <c r="B191" s="416">
        <v>7.2876932468391012E-2</v>
      </c>
      <c r="C191" s="11"/>
      <c r="D191" s="1786">
        <v>41244</v>
      </c>
      <c r="E191" s="1787">
        <v>27.462360307530176</v>
      </c>
      <c r="F191" s="1787">
        <v>31.212360307530176</v>
      </c>
      <c r="G191" s="1787">
        <v>36.212360307530176</v>
      </c>
      <c r="H191" s="1788"/>
      <c r="I191" s="1787">
        <v>26.796774193548398</v>
      </c>
      <c r="J191" s="1787">
        <v>28.796774193548398</v>
      </c>
      <c r="K191" s="1787">
        <v>33.796774193548401</v>
      </c>
      <c r="M191" s="1791">
        <v>42125</v>
      </c>
      <c r="N191" s="1792">
        <v>23.752014849172699</v>
      </c>
      <c r="O191" s="1792">
        <v>28.752014849172699</v>
      </c>
      <c r="P191" s="1792">
        <v>33.752014849172696</v>
      </c>
      <c r="Q191" s="29"/>
      <c r="R191" s="1792">
        <v>16.564011136879529</v>
      </c>
      <c r="S191" s="1792">
        <v>21.564011136879529</v>
      </c>
      <c r="T191" s="1792">
        <v>26.564011136879529</v>
      </c>
      <c r="V191" s="500">
        <v>0</v>
      </c>
      <c r="W191" s="500">
        <v>0</v>
      </c>
      <c r="X191" s="500">
        <v>0</v>
      </c>
      <c r="Y191" s="27"/>
      <c r="Z191" s="1792">
        <v>9.4999999999999932E-2</v>
      </c>
      <c r="AA191" s="1792">
        <v>0.105</v>
      </c>
      <c r="AB191" s="1792">
        <v>0.115</v>
      </c>
      <c r="AC191" s="29"/>
      <c r="AD191" s="1792">
        <v>0.09</v>
      </c>
      <c r="AE191" s="1792">
        <v>0.11</v>
      </c>
      <c r="AF191" s="1792">
        <v>0.13</v>
      </c>
      <c r="AG191" s="29"/>
      <c r="AH191" s="1792">
        <v>-0.1</v>
      </c>
      <c r="AI191" s="1792">
        <v>0.65</v>
      </c>
      <c r="AJ191" s="1792">
        <v>0.1</v>
      </c>
      <c r="AK191" s="29"/>
      <c r="AL191" s="1792">
        <v>-0.01</v>
      </c>
      <c r="AM191" s="1792">
        <v>0.16</v>
      </c>
      <c r="AN191" s="1792">
        <v>0.01</v>
      </c>
      <c r="AO191" s="29"/>
      <c r="AP191" s="14">
        <v>61</v>
      </c>
      <c r="AQ191" s="1802">
        <v>0.35</v>
      </c>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325">
        <v>42278</v>
      </c>
      <c r="BR191" s="415">
        <v>3.5355000000000003</v>
      </c>
      <c r="BS191" s="415">
        <v>3.5405000000000002</v>
      </c>
      <c r="BT191" s="415">
        <v>3.5455000000000001</v>
      </c>
      <c r="BU191" s="416">
        <v>0.14450000000000002</v>
      </c>
      <c r="BV191" s="416">
        <v>0.15</v>
      </c>
      <c r="BW191" s="416">
        <v>0.1595</v>
      </c>
      <c r="BX191" s="416">
        <v>-7.0000000000000007E-2</v>
      </c>
      <c r="BY191" s="416"/>
      <c r="BZ191" s="416">
        <v>7.0000000000000007E-2</v>
      </c>
      <c r="CA191" s="432">
        <v>0</v>
      </c>
      <c r="CB191" s="1618">
        <v>0</v>
      </c>
      <c r="CC191" s="445">
        <v>3.452</v>
      </c>
      <c r="CD191" s="449">
        <v>0.1595</v>
      </c>
    </row>
    <row r="192" spans="1:82">
      <c r="A192" s="325">
        <v>42401</v>
      </c>
      <c r="B192" s="416">
        <v>7.2877946413695022E-2</v>
      </c>
      <c r="C192" s="11"/>
      <c r="D192" s="1786">
        <v>41275</v>
      </c>
      <c r="E192" s="1787">
        <v>26.21777438626459</v>
      </c>
      <c r="F192" s="1787">
        <v>29.96777438626459</v>
      </c>
      <c r="G192" s="1787">
        <v>34.967774386264594</v>
      </c>
      <c r="H192" s="1788"/>
      <c r="I192" s="1787">
        <v>24.338119151052211</v>
      </c>
      <c r="J192" s="1787">
        <v>26.338119151052211</v>
      </c>
      <c r="K192" s="1787">
        <v>31.338119151052211</v>
      </c>
      <c r="M192" s="1791">
        <v>42156</v>
      </c>
      <c r="N192" s="1792">
        <v>29.002014849172703</v>
      </c>
      <c r="O192" s="1792">
        <v>34.002014849172703</v>
      </c>
      <c r="P192" s="1792">
        <v>39.002014849172703</v>
      </c>
      <c r="Q192" s="29"/>
      <c r="R192" s="1792">
        <v>20.501511136879529</v>
      </c>
      <c r="S192" s="1792">
        <v>25.501511136879529</v>
      </c>
      <c r="T192" s="1792">
        <v>30.501511136879529</v>
      </c>
      <c r="V192" s="500">
        <v>0</v>
      </c>
      <c r="W192" s="500">
        <v>0</v>
      </c>
      <c r="X192" s="500">
        <v>0</v>
      </c>
      <c r="Y192" s="27"/>
      <c r="Z192" s="1792">
        <v>9.4999999999999932E-2</v>
      </c>
      <c r="AA192" s="1792">
        <v>0.105</v>
      </c>
      <c r="AB192" s="1792">
        <v>0.115</v>
      </c>
      <c r="AC192" s="29"/>
      <c r="AD192" s="1792">
        <v>0.09</v>
      </c>
      <c r="AE192" s="1792">
        <v>0.11</v>
      </c>
      <c r="AF192" s="1792">
        <v>0.13</v>
      </c>
      <c r="AG192" s="29"/>
      <c r="AH192" s="1792">
        <v>-0.35</v>
      </c>
      <c r="AI192" s="1792">
        <v>0.65</v>
      </c>
      <c r="AJ192" s="1792">
        <v>0.2</v>
      </c>
      <c r="AK192" s="29"/>
      <c r="AL192" s="1792">
        <v>-0.01</v>
      </c>
      <c r="AM192" s="1792">
        <v>0.16</v>
      </c>
      <c r="AN192" s="1792">
        <v>0.01</v>
      </c>
      <c r="AO192" s="29"/>
      <c r="AP192" s="14">
        <v>61</v>
      </c>
      <c r="AQ192" s="1802">
        <v>0.35</v>
      </c>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325">
        <v>42309</v>
      </c>
      <c r="BR192" s="415">
        <v>3.6085000000000003</v>
      </c>
      <c r="BS192" s="415">
        <v>3.6135000000000002</v>
      </c>
      <c r="BT192" s="415">
        <v>3.6185000000000005</v>
      </c>
      <c r="BU192" s="416">
        <v>0.14450000000000002</v>
      </c>
      <c r="BV192" s="416">
        <v>0.15</v>
      </c>
      <c r="BW192" s="416">
        <v>0.1595</v>
      </c>
      <c r="BX192" s="416">
        <v>-7.0000000000000007E-2</v>
      </c>
      <c r="BY192" s="416"/>
      <c r="BZ192" s="416">
        <v>7.0000000000000007E-2</v>
      </c>
      <c r="CA192" s="432">
        <v>0</v>
      </c>
      <c r="CB192" s="1618">
        <v>0</v>
      </c>
      <c r="CC192" s="445">
        <v>3.3490000000000002</v>
      </c>
      <c r="CD192" s="449">
        <v>0.1595</v>
      </c>
    </row>
    <row r="193" spans="1:82">
      <c r="A193" s="325">
        <v>42430</v>
      </c>
      <c r="B193" s="416">
        <v>7.2878894943174025E-2</v>
      </c>
      <c r="C193" s="11"/>
      <c r="D193" s="1786">
        <v>41306</v>
      </c>
      <c r="E193" s="1787">
        <v>25.71777438626459</v>
      </c>
      <c r="F193" s="1787">
        <v>29.46777438626459</v>
      </c>
      <c r="G193" s="1787">
        <v>34.467774386264594</v>
      </c>
      <c r="H193" s="1788"/>
      <c r="I193" s="1787">
        <v>25.30714285714286</v>
      </c>
      <c r="J193" s="1787">
        <v>27.30714285714286</v>
      </c>
      <c r="K193" s="1787">
        <v>32.307142857142864</v>
      </c>
      <c r="M193" s="1791">
        <v>42186</v>
      </c>
      <c r="N193" s="1792">
        <v>55.572028659095253</v>
      </c>
      <c r="O193" s="1792">
        <v>60.572028659095253</v>
      </c>
      <c r="P193" s="1792">
        <v>65.572028659095253</v>
      </c>
      <c r="Q193" s="29"/>
      <c r="R193" s="1792">
        <v>40.429021494321447</v>
      </c>
      <c r="S193" s="1792">
        <v>45.429021494321447</v>
      </c>
      <c r="T193" s="1792">
        <v>50.429021494321447</v>
      </c>
      <c r="V193" s="500">
        <v>0</v>
      </c>
      <c r="W193" s="500">
        <v>0</v>
      </c>
      <c r="X193" s="500">
        <v>0</v>
      </c>
      <c r="Y193" s="27"/>
      <c r="Z193" s="1792">
        <v>9.4999999999999932E-2</v>
      </c>
      <c r="AA193" s="1792">
        <v>0.105</v>
      </c>
      <c r="AB193" s="1792">
        <v>0.115</v>
      </c>
      <c r="AC193" s="29"/>
      <c r="AD193" s="1792">
        <v>0.09</v>
      </c>
      <c r="AE193" s="1792">
        <v>0.11</v>
      </c>
      <c r="AF193" s="1792">
        <v>0.13</v>
      </c>
      <c r="AG193" s="29"/>
      <c r="AH193" s="1792">
        <v>-0.35</v>
      </c>
      <c r="AI193" s="1792">
        <v>0.65</v>
      </c>
      <c r="AJ193" s="1792">
        <v>0.35</v>
      </c>
      <c r="AK193" s="29"/>
      <c r="AL193" s="1792">
        <v>-0.01</v>
      </c>
      <c r="AM193" s="1792">
        <v>0.16</v>
      </c>
      <c r="AN193" s="1792">
        <v>0.01</v>
      </c>
      <c r="AO193" s="29"/>
      <c r="AP193" s="14">
        <v>62</v>
      </c>
      <c r="AQ193" s="1802">
        <v>0.35</v>
      </c>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325">
        <v>42339</v>
      </c>
      <c r="BR193" s="415">
        <v>3.6955</v>
      </c>
      <c r="BS193" s="415">
        <v>3.7005000000000003</v>
      </c>
      <c r="BT193" s="415">
        <v>3.7055000000000002</v>
      </c>
      <c r="BU193" s="416">
        <v>0.14450000000000002</v>
      </c>
      <c r="BV193" s="416">
        <v>0.15</v>
      </c>
      <c r="BW193" s="416">
        <v>0.1595</v>
      </c>
      <c r="BX193" s="416">
        <v>-7.0000000000000007E-2</v>
      </c>
      <c r="BY193" s="416"/>
      <c r="BZ193" s="416">
        <v>7.0000000000000007E-2</v>
      </c>
      <c r="CA193" s="432">
        <v>0</v>
      </c>
      <c r="CB193" s="1618">
        <v>0</v>
      </c>
      <c r="CC193" s="445">
        <v>3.3250000000000002</v>
      </c>
      <c r="CD193" s="449">
        <v>0.1595</v>
      </c>
    </row>
    <row r="194" spans="1:82">
      <c r="A194" s="325">
        <v>42461</v>
      </c>
      <c r="B194" s="416">
        <v>7.2879908888480005E-2</v>
      </c>
      <c r="C194" s="11"/>
      <c r="D194" s="1786">
        <v>41334</v>
      </c>
      <c r="E194" s="1787">
        <v>25.46777438626459</v>
      </c>
      <c r="F194" s="1787">
        <v>29.21777438626459</v>
      </c>
      <c r="G194" s="1787">
        <v>34.217774386264594</v>
      </c>
      <c r="H194" s="1788"/>
      <c r="I194" s="1787">
        <v>25.587096774193554</v>
      </c>
      <c r="J194" s="1787">
        <v>27.587096774193554</v>
      </c>
      <c r="K194" s="1787">
        <v>32.587096774193554</v>
      </c>
      <c r="M194" s="1791">
        <v>42217</v>
      </c>
      <c r="N194" s="1792">
        <v>76.197028659095253</v>
      </c>
      <c r="O194" s="1792">
        <v>81.197028659095253</v>
      </c>
      <c r="P194" s="1792">
        <v>86.197028659095253</v>
      </c>
      <c r="Q194" s="29"/>
      <c r="R194" s="1792">
        <v>55.897771494321447</v>
      </c>
      <c r="S194" s="1792">
        <v>60.897771494321447</v>
      </c>
      <c r="T194" s="1792">
        <v>65.897771494321447</v>
      </c>
      <c r="V194" s="500">
        <v>0</v>
      </c>
      <c r="W194" s="500">
        <v>0</v>
      </c>
      <c r="X194" s="500">
        <v>0</v>
      </c>
      <c r="Y194" s="27"/>
      <c r="Z194" s="1792">
        <v>9.4999999999999932E-2</v>
      </c>
      <c r="AA194" s="1792">
        <v>0.105</v>
      </c>
      <c r="AB194" s="1792">
        <v>0.115</v>
      </c>
      <c r="AC194" s="29"/>
      <c r="AD194" s="1792">
        <v>0.09</v>
      </c>
      <c r="AE194" s="1792">
        <v>0.11</v>
      </c>
      <c r="AF194" s="1792">
        <v>0.13</v>
      </c>
      <c r="AG194" s="29"/>
      <c r="AH194" s="1792">
        <v>-0.35</v>
      </c>
      <c r="AI194" s="1792">
        <v>3</v>
      </c>
      <c r="AJ194" s="1792">
        <v>0.35</v>
      </c>
      <c r="AK194" s="29"/>
      <c r="AL194" s="1792">
        <v>-0.01</v>
      </c>
      <c r="AM194" s="1792">
        <v>0.16</v>
      </c>
      <c r="AN194" s="1792">
        <v>0.01</v>
      </c>
      <c r="AO194" s="29"/>
      <c r="AP194" s="14">
        <v>62</v>
      </c>
      <c r="AQ194" s="1802">
        <v>0.35</v>
      </c>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325">
        <v>42370</v>
      </c>
      <c r="BR194" s="415">
        <v>3.7435000000000005</v>
      </c>
      <c r="BS194" s="415">
        <v>3.7485000000000004</v>
      </c>
      <c r="BT194" s="415">
        <v>3.7535000000000003</v>
      </c>
      <c r="BU194" s="416">
        <v>0.14349999999999999</v>
      </c>
      <c r="BV194" s="416">
        <v>0.15</v>
      </c>
      <c r="BW194" s="416">
        <v>0.1585</v>
      </c>
      <c r="BX194" s="416">
        <v>-7.0000000000000007E-2</v>
      </c>
      <c r="BY194" s="416"/>
      <c r="BZ194" s="416">
        <v>7.0000000000000007E-2</v>
      </c>
      <c r="CA194" s="432">
        <v>0</v>
      </c>
      <c r="CB194" s="1618">
        <v>0</v>
      </c>
      <c r="CC194" s="445">
        <v>3.3319999999999999</v>
      </c>
      <c r="CD194" s="449">
        <v>0.1595</v>
      </c>
    </row>
    <row r="195" spans="1:82">
      <c r="A195" s="325">
        <v>42491</v>
      </c>
      <c r="B195" s="416">
        <v>7.2880890125872025E-2</v>
      </c>
      <c r="C195" s="11"/>
      <c r="D195" s="1786">
        <v>41365</v>
      </c>
      <c r="E195" s="1787">
        <v>25.596924245142606</v>
      </c>
      <c r="F195" s="1787">
        <v>29.346924245142606</v>
      </c>
      <c r="G195" s="1787">
        <v>34.346924245142603</v>
      </c>
      <c r="H195" s="1788"/>
      <c r="I195" s="1787">
        <v>23.387499999999999</v>
      </c>
      <c r="J195" s="1787">
        <v>25.387499999999999</v>
      </c>
      <c r="K195" s="1787">
        <v>30.387499999999999</v>
      </c>
      <c r="M195" s="1791">
        <v>42248</v>
      </c>
      <c r="N195" s="1792">
        <v>60.197028659095253</v>
      </c>
      <c r="O195" s="1792">
        <v>65.197028659095253</v>
      </c>
      <c r="P195" s="1792">
        <v>70.197028659095253</v>
      </c>
      <c r="Q195" s="29"/>
      <c r="R195" s="1792">
        <v>43.897771494321447</v>
      </c>
      <c r="S195" s="1792">
        <v>48.897771494321447</v>
      </c>
      <c r="T195" s="1792">
        <v>53.897771494321447</v>
      </c>
      <c r="V195" s="500">
        <v>0</v>
      </c>
      <c r="W195" s="500">
        <v>0</v>
      </c>
      <c r="X195" s="500">
        <v>0</v>
      </c>
      <c r="Y195" s="27"/>
      <c r="Z195" s="1792">
        <v>9.4999999999999932E-2</v>
      </c>
      <c r="AA195" s="1792">
        <v>0.105</v>
      </c>
      <c r="AB195" s="1792">
        <v>0.115</v>
      </c>
      <c r="AC195" s="29"/>
      <c r="AD195" s="1792">
        <v>0.09</v>
      </c>
      <c r="AE195" s="1792">
        <v>0.11</v>
      </c>
      <c r="AF195" s="1792">
        <v>0.13</v>
      </c>
      <c r="AG195" s="29"/>
      <c r="AH195" s="1792">
        <v>-0.35</v>
      </c>
      <c r="AI195" s="1792">
        <v>3</v>
      </c>
      <c r="AJ195" s="1792">
        <v>0.2</v>
      </c>
      <c r="AK195" s="29"/>
      <c r="AL195" s="1792">
        <v>-0.01</v>
      </c>
      <c r="AM195" s="1792">
        <v>0.16</v>
      </c>
      <c r="AN195" s="1792">
        <v>0.01</v>
      </c>
      <c r="AO195" s="29"/>
      <c r="AP195" s="14">
        <v>62</v>
      </c>
      <c r="AQ195" s="1802">
        <v>0.35</v>
      </c>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325">
        <v>42401</v>
      </c>
      <c r="BR195" s="415">
        <v>3.6825000000000001</v>
      </c>
      <c r="BS195" s="415">
        <v>3.6875</v>
      </c>
      <c r="BT195" s="415">
        <v>3.6924999999999999</v>
      </c>
      <c r="BU195" s="416">
        <v>0.14349999999999999</v>
      </c>
      <c r="BV195" s="416">
        <v>0.15</v>
      </c>
      <c r="BW195" s="416">
        <v>0.1585</v>
      </c>
      <c r="BX195" s="416">
        <v>-7.0000000000000007E-2</v>
      </c>
      <c r="BY195" s="416"/>
      <c r="BZ195" s="416">
        <v>7.0000000000000007E-2</v>
      </c>
      <c r="CA195" s="432">
        <v>0</v>
      </c>
      <c r="CB195" s="1618">
        <v>0</v>
      </c>
      <c r="CC195" s="445">
        <v>3.3380000000000001</v>
      </c>
      <c r="CD195" s="449">
        <v>0.1595</v>
      </c>
    </row>
    <row r="196" spans="1:82">
      <c r="A196" s="325">
        <v>42522</v>
      </c>
      <c r="B196" s="416">
        <v>7.2881904071178005E-2</v>
      </c>
      <c r="C196" s="11"/>
      <c r="D196" s="1786">
        <v>41395</v>
      </c>
      <c r="E196" s="1787">
        <v>24.846924245142606</v>
      </c>
      <c r="F196" s="1787">
        <v>28.596924245142606</v>
      </c>
      <c r="G196" s="1787">
        <v>33.596924245142603</v>
      </c>
      <c r="H196" s="1788"/>
      <c r="I196" s="1787">
        <v>23.445967741935487</v>
      </c>
      <c r="J196" s="1787">
        <v>25.445967741935487</v>
      </c>
      <c r="K196" s="1787">
        <v>30.445967741935487</v>
      </c>
      <c r="M196" s="1791">
        <v>42278</v>
      </c>
      <c r="N196" s="1792">
        <v>32.193292938959374</v>
      </c>
      <c r="O196" s="1792">
        <v>37.193292938959374</v>
      </c>
      <c r="P196" s="1792">
        <v>42.193292938959374</v>
      </c>
      <c r="Q196" s="29"/>
      <c r="R196" s="1792">
        <v>22.894969704219527</v>
      </c>
      <c r="S196" s="1792">
        <v>27.894969704219527</v>
      </c>
      <c r="T196" s="1792">
        <v>32.894969704219527</v>
      </c>
      <c r="V196" s="500">
        <v>0</v>
      </c>
      <c r="W196" s="500">
        <v>0</v>
      </c>
      <c r="X196" s="500">
        <v>0</v>
      </c>
      <c r="Y196" s="27"/>
      <c r="Z196" s="1792">
        <v>9.4999999999999932E-2</v>
      </c>
      <c r="AA196" s="1792">
        <v>0.105</v>
      </c>
      <c r="AB196" s="1792">
        <v>0.115</v>
      </c>
      <c r="AC196" s="29"/>
      <c r="AD196" s="1792">
        <v>0.09</v>
      </c>
      <c r="AE196" s="1792">
        <v>0.11</v>
      </c>
      <c r="AF196" s="1792">
        <v>0.13</v>
      </c>
      <c r="AG196" s="29"/>
      <c r="AH196" s="1792">
        <v>-0.1</v>
      </c>
      <c r="AI196" s="1792">
        <v>3</v>
      </c>
      <c r="AJ196" s="1792">
        <v>0.1</v>
      </c>
      <c r="AK196" s="29"/>
      <c r="AL196" s="1792">
        <v>-0.01</v>
      </c>
      <c r="AM196" s="1792">
        <v>0.16</v>
      </c>
      <c r="AN196" s="1792">
        <v>0.01</v>
      </c>
      <c r="AO196" s="29"/>
      <c r="AP196" s="14">
        <v>63</v>
      </c>
      <c r="AQ196" s="1802">
        <v>0.35</v>
      </c>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325">
        <v>42430</v>
      </c>
      <c r="BR196" s="415">
        <v>3.6065000000000005</v>
      </c>
      <c r="BS196" s="415">
        <v>3.6115000000000004</v>
      </c>
      <c r="BT196" s="415">
        <v>3.6165000000000003</v>
      </c>
      <c r="BU196" s="416">
        <v>0.14349999999999999</v>
      </c>
      <c r="BV196" s="416">
        <v>0.15</v>
      </c>
      <c r="BW196" s="416">
        <v>0.1585</v>
      </c>
      <c r="BX196" s="416">
        <v>-7.0000000000000007E-2</v>
      </c>
      <c r="BY196" s="416"/>
      <c r="BZ196" s="416">
        <v>7.0000000000000007E-2</v>
      </c>
      <c r="CA196" s="432">
        <v>0</v>
      </c>
      <c r="CB196" s="1618">
        <v>0</v>
      </c>
      <c r="CC196" s="445">
        <v>3.343</v>
      </c>
      <c r="CD196" s="449">
        <v>0.1595</v>
      </c>
    </row>
    <row r="197" spans="1:82">
      <c r="A197" s="325">
        <v>42552</v>
      </c>
      <c r="B197" s="416">
        <v>7.2882885308571024E-2</v>
      </c>
      <c r="C197" s="11"/>
      <c r="D197" s="1786">
        <v>41426</v>
      </c>
      <c r="E197" s="1787">
        <v>30.09692424514261</v>
      </c>
      <c r="F197" s="1787">
        <v>33.84692424514261</v>
      </c>
      <c r="G197" s="1787">
        <v>38.84692424514261</v>
      </c>
      <c r="H197" s="1788"/>
      <c r="I197" s="1787">
        <v>22.7</v>
      </c>
      <c r="J197" s="1787">
        <v>24.7</v>
      </c>
      <c r="K197" s="1787">
        <v>29.7</v>
      </c>
      <c r="M197" s="1791">
        <v>42309</v>
      </c>
      <c r="N197" s="1792">
        <v>24.443292938959384</v>
      </c>
      <c r="O197" s="1792">
        <v>29.443292938959384</v>
      </c>
      <c r="P197" s="1792">
        <v>34.443292938959388</v>
      </c>
      <c r="Q197" s="29"/>
      <c r="R197" s="1792">
        <v>17.082469704219527</v>
      </c>
      <c r="S197" s="1792">
        <v>22.082469704219527</v>
      </c>
      <c r="T197" s="1792">
        <v>27.082469704219527</v>
      </c>
      <c r="V197" s="500">
        <v>0</v>
      </c>
      <c r="W197" s="500">
        <v>0</v>
      </c>
      <c r="X197" s="500">
        <v>0</v>
      </c>
      <c r="Y197" s="27"/>
      <c r="Z197" s="1792">
        <v>9.4999999999999932E-2</v>
      </c>
      <c r="AA197" s="1792">
        <v>0.105</v>
      </c>
      <c r="AB197" s="1792">
        <v>0.115</v>
      </c>
      <c r="AC197" s="29"/>
      <c r="AD197" s="1792">
        <v>0.09</v>
      </c>
      <c r="AE197" s="1792">
        <v>0.11</v>
      </c>
      <c r="AF197" s="1792">
        <v>0.13</v>
      </c>
      <c r="AG197" s="29"/>
      <c r="AH197" s="1792">
        <v>-0.1</v>
      </c>
      <c r="AI197" s="1792">
        <v>0.6</v>
      </c>
      <c r="AJ197" s="1792">
        <v>0.1</v>
      </c>
      <c r="AK197" s="29"/>
      <c r="AL197" s="1792">
        <v>-0.01</v>
      </c>
      <c r="AM197" s="1792">
        <v>0.16</v>
      </c>
      <c r="AN197" s="1792">
        <v>0.01</v>
      </c>
      <c r="AO197" s="29"/>
      <c r="AP197" s="14">
        <v>63</v>
      </c>
      <c r="AQ197" s="1802">
        <v>0.35</v>
      </c>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325">
        <v>42461</v>
      </c>
      <c r="BR197" s="415">
        <v>3.5455000000000001</v>
      </c>
      <c r="BS197" s="415">
        <v>3.5505</v>
      </c>
      <c r="BT197" s="415">
        <v>3.5555000000000003</v>
      </c>
      <c r="BU197" s="416">
        <v>0.14349999999999999</v>
      </c>
      <c r="BV197" s="416">
        <v>0.15</v>
      </c>
      <c r="BW197" s="416">
        <v>0.1585</v>
      </c>
      <c r="BX197" s="416">
        <v>-7.0000000000000007E-2</v>
      </c>
      <c r="BY197" s="416"/>
      <c r="BZ197" s="416">
        <v>7.0000000000000007E-2</v>
      </c>
      <c r="CA197" s="432">
        <v>0</v>
      </c>
      <c r="CB197" s="1618">
        <v>0</v>
      </c>
      <c r="CC197" s="445">
        <v>3.3460000000000001</v>
      </c>
      <c r="CD197" s="449">
        <v>0.1595</v>
      </c>
    </row>
    <row r="198" spans="1:82">
      <c r="A198" s="325">
        <v>42583</v>
      </c>
      <c r="B198" s="416">
        <v>7.2883899253878032E-2</v>
      </c>
      <c r="C198" s="11"/>
      <c r="D198" s="1786">
        <v>41456</v>
      </c>
      <c r="E198" s="1787">
        <v>56.472637473873959</v>
      </c>
      <c r="F198" s="1787">
        <v>60.222637473873959</v>
      </c>
      <c r="G198" s="1787">
        <v>65.222637473873959</v>
      </c>
      <c r="H198" s="1788"/>
      <c r="I198" s="1787">
        <v>28.724193548387102</v>
      </c>
      <c r="J198" s="1787">
        <v>30.724193548387102</v>
      </c>
      <c r="K198" s="1787">
        <v>35.724193548387106</v>
      </c>
      <c r="M198" s="1791">
        <v>42339</v>
      </c>
      <c r="N198" s="1792">
        <v>26.443292938959381</v>
      </c>
      <c r="O198" s="1792">
        <v>31.443292938959381</v>
      </c>
      <c r="P198" s="1792">
        <v>36.443292938959381</v>
      </c>
      <c r="Q198" s="29"/>
      <c r="R198" s="1792">
        <v>18.582469704219527</v>
      </c>
      <c r="S198" s="1792">
        <v>23.582469704219527</v>
      </c>
      <c r="T198" s="1792">
        <v>28.582469704219527</v>
      </c>
      <c r="V198" s="500">
        <v>0</v>
      </c>
      <c r="W198" s="500">
        <v>0</v>
      </c>
      <c r="X198" s="500">
        <v>0</v>
      </c>
      <c r="Y198" s="27"/>
      <c r="Z198" s="1792">
        <v>9.4999999999999932E-2</v>
      </c>
      <c r="AA198" s="1792">
        <v>0.105</v>
      </c>
      <c r="AB198" s="1792">
        <v>0.115</v>
      </c>
      <c r="AC198" s="29"/>
      <c r="AD198" s="1792">
        <v>0.09</v>
      </c>
      <c r="AE198" s="1792">
        <v>0.11</v>
      </c>
      <c r="AF198" s="1792">
        <v>0.13</v>
      </c>
      <c r="AG198" s="29"/>
      <c r="AH198" s="1792">
        <v>-0.25</v>
      </c>
      <c r="AI198" s="1792">
        <v>0.6</v>
      </c>
      <c r="AJ198" s="1792">
        <v>0.25</v>
      </c>
      <c r="AK198" s="29"/>
      <c r="AL198" s="1792">
        <v>-0.01</v>
      </c>
      <c r="AM198" s="1792">
        <v>0.16</v>
      </c>
      <c r="AN198" s="1792">
        <v>0.01</v>
      </c>
      <c r="AO198" s="29"/>
      <c r="AP198" s="14">
        <v>63</v>
      </c>
      <c r="AQ198" s="1802">
        <v>0.35</v>
      </c>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325">
        <v>42491</v>
      </c>
      <c r="BR198" s="415">
        <v>3.5724999999999998</v>
      </c>
      <c r="BS198" s="415">
        <v>3.5775000000000001</v>
      </c>
      <c r="BT198" s="415">
        <v>3.5825</v>
      </c>
      <c r="BU198" s="416">
        <v>0.14349999999999999</v>
      </c>
      <c r="BV198" s="416">
        <v>0.15</v>
      </c>
      <c r="BW198" s="416">
        <v>0.1585</v>
      </c>
      <c r="BX198" s="416">
        <v>-7.0000000000000007E-2</v>
      </c>
      <c r="BY198" s="416"/>
      <c r="BZ198" s="416">
        <v>7.0000000000000007E-2</v>
      </c>
      <c r="CA198" s="432">
        <v>0</v>
      </c>
      <c r="CB198" s="1618">
        <v>0</v>
      </c>
      <c r="CC198" s="445">
        <v>3.3790000000000004</v>
      </c>
      <c r="CD198" s="449">
        <v>0.1595</v>
      </c>
    </row>
    <row r="199" spans="1:82">
      <c r="A199" s="325">
        <v>42614</v>
      </c>
      <c r="B199" s="416">
        <v>7.2884913199185011E-2</v>
      </c>
      <c r="C199" s="11"/>
      <c r="D199" s="1786">
        <v>41487</v>
      </c>
      <c r="E199" s="1787">
        <v>77.097637473873959</v>
      </c>
      <c r="F199" s="1787">
        <v>80.847637473873959</v>
      </c>
      <c r="G199" s="1787">
        <v>85.847637473873959</v>
      </c>
      <c r="H199" s="1788"/>
      <c r="I199" s="1787">
        <v>26.724193548387102</v>
      </c>
      <c r="J199" s="1787">
        <v>28.724193548387102</v>
      </c>
      <c r="K199" s="1787">
        <v>33.724193548387106</v>
      </c>
      <c r="M199" s="1791">
        <v>42370</v>
      </c>
      <c r="N199" s="1792">
        <v>25.183541216143414</v>
      </c>
      <c r="O199" s="1792">
        <v>30.183541216143414</v>
      </c>
      <c r="P199" s="1792">
        <v>35.183541216143411</v>
      </c>
      <c r="Q199" s="29"/>
      <c r="R199" s="1792">
        <v>17.637655912107562</v>
      </c>
      <c r="S199" s="1792">
        <v>22.637655912107562</v>
      </c>
      <c r="T199" s="1792">
        <v>27.637655912107562</v>
      </c>
      <c r="V199" s="500">
        <v>0</v>
      </c>
      <c r="W199" s="500">
        <v>0</v>
      </c>
      <c r="X199" s="500">
        <v>0</v>
      </c>
      <c r="Y199" s="27"/>
      <c r="Z199" s="1792">
        <v>0.09</v>
      </c>
      <c r="AA199" s="1792">
        <v>0.1</v>
      </c>
      <c r="AB199" s="1792">
        <v>0.11</v>
      </c>
      <c r="AC199" s="29"/>
      <c r="AD199" s="1792">
        <v>0.09</v>
      </c>
      <c r="AE199" s="1792">
        <v>0.11</v>
      </c>
      <c r="AF199" s="1792">
        <v>0.13</v>
      </c>
      <c r="AG199" s="29"/>
      <c r="AH199" s="1792">
        <v>-0.25</v>
      </c>
      <c r="AI199" s="1792">
        <v>0.6</v>
      </c>
      <c r="AJ199" s="1792">
        <v>0.25</v>
      </c>
      <c r="AK199" s="29"/>
      <c r="AL199" s="1792">
        <v>-0.01</v>
      </c>
      <c r="AM199" s="1792">
        <v>0.16</v>
      </c>
      <c r="AN199" s="1792">
        <v>0.01</v>
      </c>
      <c r="AO199" s="29"/>
      <c r="AP199" s="14">
        <v>64</v>
      </c>
      <c r="AQ199" s="1802">
        <v>0.35</v>
      </c>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325">
        <v>42522</v>
      </c>
      <c r="BR199" s="415">
        <v>3.5924999999999998</v>
      </c>
      <c r="BS199" s="415">
        <v>3.5975000000000001</v>
      </c>
      <c r="BT199" s="415">
        <v>3.6025</v>
      </c>
      <c r="BU199" s="416">
        <v>0.14349999999999999</v>
      </c>
      <c r="BV199" s="416">
        <v>0.15</v>
      </c>
      <c r="BW199" s="416">
        <v>0.1585</v>
      </c>
      <c r="BX199" s="416">
        <v>-7.0000000000000007E-2</v>
      </c>
      <c r="BY199" s="416"/>
      <c r="BZ199" s="416">
        <v>7.0000000000000007E-2</v>
      </c>
      <c r="CA199" s="432">
        <v>0</v>
      </c>
      <c r="CB199" s="1618">
        <v>0</v>
      </c>
      <c r="CC199" s="445">
        <v>3.52</v>
      </c>
      <c r="CD199" s="449">
        <v>0.1595</v>
      </c>
    </row>
    <row r="200" spans="1:82">
      <c r="A200" s="325">
        <v>42644</v>
      </c>
      <c r="B200" s="416">
        <v>7.2885894436579002E-2</v>
      </c>
      <c r="C200" s="11"/>
      <c r="D200" s="1786">
        <v>41518</v>
      </c>
      <c r="E200" s="1787">
        <v>61.097637473873959</v>
      </c>
      <c r="F200" s="1787">
        <v>64.847637473873959</v>
      </c>
      <c r="G200" s="1787">
        <v>69.847637473873959</v>
      </c>
      <c r="H200" s="1788"/>
      <c r="I200" s="1787">
        <v>27.137499999999999</v>
      </c>
      <c r="J200" s="1787">
        <v>29.137499999999999</v>
      </c>
      <c r="K200" s="1787">
        <v>34.137500000000003</v>
      </c>
      <c r="M200" s="1791">
        <v>42401</v>
      </c>
      <c r="N200" s="1792">
        <v>24.683541216143414</v>
      </c>
      <c r="O200" s="1792">
        <v>29.683541216143414</v>
      </c>
      <c r="P200" s="1792">
        <v>34.683541216143411</v>
      </c>
      <c r="Q200" s="29"/>
      <c r="R200" s="1792">
        <v>17.262655912107562</v>
      </c>
      <c r="S200" s="1792">
        <v>22.262655912107562</v>
      </c>
      <c r="T200" s="1792">
        <v>27.262655912107562</v>
      </c>
      <c r="V200" s="500">
        <v>0</v>
      </c>
      <c r="W200" s="500">
        <v>0</v>
      </c>
      <c r="X200" s="500">
        <v>0</v>
      </c>
      <c r="Y200" s="27"/>
      <c r="Z200" s="1792">
        <v>0.09</v>
      </c>
      <c r="AA200" s="1792">
        <v>0.1</v>
      </c>
      <c r="AB200" s="1792">
        <v>0.11</v>
      </c>
      <c r="AC200" s="29"/>
      <c r="AD200" s="1792">
        <v>0.09</v>
      </c>
      <c r="AE200" s="1792">
        <v>0.11</v>
      </c>
      <c r="AF200" s="1792">
        <v>0.13</v>
      </c>
      <c r="AG200" s="29"/>
      <c r="AH200" s="1792">
        <v>-0.25</v>
      </c>
      <c r="AI200" s="1792">
        <v>0.65</v>
      </c>
      <c r="AJ200" s="1792">
        <v>0.25</v>
      </c>
      <c r="AK200" s="29"/>
      <c r="AL200" s="1792">
        <v>-0.01</v>
      </c>
      <c r="AM200" s="1792">
        <v>0.16</v>
      </c>
      <c r="AN200" s="1792">
        <v>0.01</v>
      </c>
      <c r="AO200" s="29"/>
      <c r="AP200" s="14">
        <v>64</v>
      </c>
      <c r="AQ200" s="1802">
        <v>0.35</v>
      </c>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325">
        <v>42552</v>
      </c>
      <c r="BR200" s="415">
        <v>3.6005000000000003</v>
      </c>
      <c r="BS200" s="415">
        <v>3.6055000000000001</v>
      </c>
      <c r="BT200" s="415">
        <v>3.6105</v>
      </c>
      <c r="BU200" s="416">
        <v>0.14349999999999999</v>
      </c>
      <c r="BV200" s="416">
        <v>0.15</v>
      </c>
      <c r="BW200" s="416">
        <v>0.1585</v>
      </c>
      <c r="BX200" s="416">
        <v>-7.0000000000000007E-2</v>
      </c>
      <c r="BY200" s="416"/>
      <c r="BZ200" s="416">
        <v>7.0000000000000007E-2</v>
      </c>
      <c r="CA200" s="432">
        <v>0</v>
      </c>
      <c r="CB200" s="1618">
        <v>0</v>
      </c>
      <c r="CC200" s="445">
        <v>3.665</v>
      </c>
      <c r="CD200" s="449">
        <v>0.1595</v>
      </c>
    </row>
    <row r="201" spans="1:82">
      <c r="A201" s="325">
        <v>42675</v>
      </c>
      <c r="B201" s="416">
        <v>7.2886908381886995E-2</v>
      </c>
      <c r="C201" s="11"/>
      <c r="D201" s="1786">
        <v>41548</v>
      </c>
      <c r="E201" s="1787">
        <v>33.290384987789167</v>
      </c>
      <c r="F201" s="1787">
        <v>37.040384987789167</v>
      </c>
      <c r="G201" s="1787">
        <v>42.040384987789167</v>
      </c>
      <c r="H201" s="1788"/>
      <c r="I201" s="1787">
        <v>26.651612903225811</v>
      </c>
      <c r="J201" s="1787">
        <v>28.651612903225811</v>
      </c>
      <c r="K201" s="1787">
        <v>33.651612903225811</v>
      </c>
      <c r="M201" s="1791">
        <v>42430</v>
      </c>
      <c r="N201" s="1792">
        <v>23.933541216143414</v>
      </c>
      <c r="O201" s="1792">
        <v>28.933541216143414</v>
      </c>
      <c r="P201" s="1792">
        <v>33.933541216143411</v>
      </c>
      <c r="Q201" s="29"/>
      <c r="R201" s="1792">
        <v>16.700155912107562</v>
      </c>
      <c r="S201" s="1792">
        <v>21.700155912107562</v>
      </c>
      <c r="T201" s="1792">
        <v>26.700155912107562</v>
      </c>
      <c r="V201" s="500">
        <v>0</v>
      </c>
      <c r="W201" s="500">
        <v>0</v>
      </c>
      <c r="X201" s="500">
        <v>0</v>
      </c>
      <c r="Y201" s="27"/>
      <c r="Z201" s="1792">
        <v>0.09</v>
      </c>
      <c r="AA201" s="1792">
        <v>0.1</v>
      </c>
      <c r="AB201" s="1792">
        <v>0.11</v>
      </c>
      <c r="AC201" s="29"/>
      <c r="AD201" s="1792">
        <v>0.09</v>
      </c>
      <c r="AE201" s="1792">
        <v>0.11</v>
      </c>
      <c r="AF201" s="1792">
        <v>0.13</v>
      </c>
      <c r="AG201" s="29"/>
      <c r="AH201" s="1792">
        <v>-0.1</v>
      </c>
      <c r="AI201" s="1792">
        <v>0.65</v>
      </c>
      <c r="AJ201" s="1792">
        <v>0.1</v>
      </c>
      <c r="AK201" s="29"/>
      <c r="AL201" s="1792">
        <v>-0.01</v>
      </c>
      <c r="AM201" s="1792">
        <v>0.16</v>
      </c>
      <c r="AN201" s="1792">
        <v>0.01</v>
      </c>
      <c r="AO201" s="29"/>
      <c r="AP201" s="14">
        <v>64</v>
      </c>
      <c r="AQ201" s="1802">
        <v>0.35</v>
      </c>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325">
        <v>42583</v>
      </c>
      <c r="BR201" s="415">
        <v>3.6095000000000002</v>
      </c>
      <c r="BS201" s="415">
        <v>3.6145</v>
      </c>
      <c r="BT201" s="415">
        <v>3.6194999999999999</v>
      </c>
      <c r="BU201" s="416">
        <v>0.14349999999999999</v>
      </c>
      <c r="BV201" s="416">
        <v>0.15</v>
      </c>
      <c r="BW201" s="416">
        <v>0.1585</v>
      </c>
      <c r="BX201" s="416">
        <v>-7.0000000000000007E-2</v>
      </c>
      <c r="BY201" s="416"/>
      <c r="BZ201" s="416">
        <v>7.0000000000000007E-2</v>
      </c>
      <c r="CA201" s="432">
        <v>0</v>
      </c>
      <c r="CB201" s="1618">
        <v>0</v>
      </c>
      <c r="CC201" s="445">
        <v>3.7890000000000006</v>
      </c>
      <c r="CD201" s="449">
        <v>0.1585</v>
      </c>
    </row>
    <row r="202" spans="1:82">
      <c r="A202" s="325">
        <v>42705</v>
      </c>
      <c r="B202" s="416">
        <v>7.2887889619281998E-2</v>
      </c>
      <c r="C202" s="11"/>
      <c r="D202" s="1786">
        <v>41579</v>
      </c>
      <c r="E202" s="1787">
        <v>25.540384987789178</v>
      </c>
      <c r="F202" s="1787">
        <v>29.290384987789178</v>
      </c>
      <c r="G202" s="1787">
        <v>34.290384987789182</v>
      </c>
      <c r="H202" s="1788"/>
      <c r="I202" s="1787">
        <v>27.991666666666671</v>
      </c>
      <c r="J202" s="1787">
        <v>29.991666666666671</v>
      </c>
      <c r="K202" s="1787">
        <v>34.991666666666674</v>
      </c>
      <c r="M202" s="1791">
        <v>42461</v>
      </c>
      <c r="N202" s="1792">
        <v>23.829560151187746</v>
      </c>
      <c r="O202" s="1792">
        <v>28.829560151187746</v>
      </c>
      <c r="P202" s="1792">
        <v>33.829560151187749</v>
      </c>
      <c r="Q202" s="29"/>
      <c r="R202" s="1792">
        <v>16.622170113390816</v>
      </c>
      <c r="S202" s="1792">
        <v>21.622170113390816</v>
      </c>
      <c r="T202" s="1792">
        <v>26.622170113390816</v>
      </c>
      <c r="V202" s="500">
        <v>0</v>
      </c>
      <c r="W202" s="500">
        <v>0</v>
      </c>
      <c r="X202" s="500">
        <v>0</v>
      </c>
      <c r="Y202" s="27"/>
      <c r="Z202" s="1792">
        <v>0.09</v>
      </c>
      <c r="AA202" s="1792">
        <v>0.1</v>
      </c>
      <c r="AB202" s="1792">
        <v>0.11</v>
      </c>
      <c r="AC202" s="29"/>
      <c r="AD202" s="1792">
        <v>0.09</v>
      </c>
      <c r="AE202" s="1792">
        <v>0.11</v>
      </c>
      <c r="AF202" s="1792">
        <v>0.13</v>
      </c>
      <c r="AG202" s="29"/>
      <c r="AH202" s="1792">
        <v>-0.1</v>
      </c>
      <c r="AI202" s="1792">
        <v>0.65</v>
      </c>
      <c r="AJ202" s="1792">
        <v>0.1</v>
      </c>
      <c r="AK202" s="29"/>
      <c r="AL202" s="1792">
        <v>-0.01</v>
      </c>
      <c r="AM202" s="1792">
        <v>0.16</v>
      </c>
      <c r="AN202" s="1792">
        <v>0.01</v>
      </c>
      <c r="AO202" s="29"/>
      <c r="AP202" s="14">
        <v>65</v>
      </c>
      <c r="AQ202" s="1802">
        <v>0.35</v>
      </c>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325">
        <v>42614</v>
      </c>
      <c r="BR202" s="415">
        <v>3.6035000000000004</v>
      </c>
      <c r="BS202" s="415">
        <v>3.6085000000000003</v>
      </c>
      <c r="BT202" s="415">
        <v>3.6135000000000002</v>
      </c>
      <c r="BU202" s="416">
        <v>0.14349999999999999</v>
      </c>
      <c r="BV202" s="416">
        <v>0.15</v>
      </c>
      <c r="BW202" s="416">
        <v>0.1585</v>
      </c>
      <c r="BX202" s="416">
        <v>-7.0000000000000007E-2</v>
      </c>
      <c r="BY202" s="416"/>
      <c r="BZ202" s="416">
        <v>7.0000000000000007E-2</v>
      </c>
      <c r="CA202" s="432">
        <v>0</v>
      </c>
      <c r="CB202" s="1618">
        <v>0</v>
      </c>
      <c r="CC202" s="445">
        <v>3.6640000000000006</v>
      </c>
      <c r="CD202" s="449">
        <v>0.1585</v>
      </c>
    </row>
    <row r="203" spans="1:82">
      <c r="A203" s="325">
        <v>42736</v>
      </c>
      <c r="B203" s="416">
        <v>7.2888903564589991E-2</v>
      </c>
      <c r="C203" s="11"/>
      <c r="D203" s="1786">
        <v>41609</v>
      </c>
      <c r="E203" s="1787">
        <v>27.540384987789174</v>
      </c>
      <c r="F203" s="1787">
        <v>31.290384987789174</v>
      </c>
      <c r="G203" s="1787">
        <v>36.290384987789174</v>
      </c>
      <c r="H203" s="1788"/>
      <c r="I203" s="1787">
        <v>27.296774193548398</v>
      </c>
      <c r="J203" s="1787">
        <v>29.296774193548398</v>
      </c>
      <c r="K203" s="1787">
        <v>34.296774193548401</v>
      </c>
      <c r="M203" s="1791">
        <v>42491</v>
      </c>
      <c r="N203" s="1792">
        <v>23.829560151187746</v>
      </c>
      <c r="O203" s="1792">
        <v>28.829560151187746</v>
      </c>
      <c r="P203" s="1792">
        <v>33.829560151187749</v>
      </c>
      <c r="Q203" s="29"/>
      <c r="R203" s="1792">
        <v>16.622170113390816</v>
      </c>
      <c r="S203" s="1792">
        <v>21.622170113390816</v>
      </c>
      <c r="T203" s="1792">
        <v>26.622170113390816</v>
      </c>
      <c r="V203" s="500">
        <v>0</v>
      </c>
      <c r="W203" s="500">
        <v>0</v>
      </c>
      <c r="X203" s="500">
        <v>0</v>
      </c>
      <c r="Y203" s="27"/>
      <c r="Z203" s="1792">
        <v>0.09</v>
      </c>
      <c r="AA203" s="1792">
        <v>0.1</v>
      </c>
      <c r="AB203" s="1792">
        <v>0.11</v>
      </c>
      <c r="AC203" s="29"/>
      <c r="AD203" s="1792">
        <v>0.09</v>
      </c>
      <c r="AE203" s="1792">
        <v>0.11</v>
      </c>
      <c r="AF203" s="1792">
        <v>0.13</v>
      </c>
      <c r="AG203" s="29"/>
      <c r="AH203" s="1792">
        <v>-0.1</v>
      </c>
      <c r="AI203" s="1792">
        <v>0.65</v>
      </c>
      <c r="AJ203" s="1792">
        <v>0.1</v>
      </c>
      <c r="AK203" s="29"/>
      <c r="AL203" s="1792">
        <v>-0.01</v>
      </c>
      <c r="AM203" s="1792">
        <v>0.16</v>
      </c>
      <c r="AN203" s="1792">
        <v>0.01</v>
      </c>
      <c r="AO203" s="29"/>
      <c r="AP203" s="14">
        <v>65</v>
      </c>
      <c r="AQ203" s="1802">
        <v>0.35</v>
      </c>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325">
        <v>42644</v>
      </c>
      <c r="BR203" s="415">
        <v>3.6175000000000002</v>
      </c>
      <c r="BS203" s="415">
        <v>3.6225000000000001</v>
      </c>
      <c r="BT203" s="415">
        <v>3.6274999999999999</v>
      </c>
      <c r="BU203" s="416">
        <v>0.14349999999999999</v>
      </c>
      <c r="BV203" s="416">
        <v>0.15</v>
      </c>
      <c r="BW203" s="416">
        <v>0.1585</v>
      </c>
      <c r="BX203" s="416">
        <v>-7.0000000000000007E-2</v>
      </c>
      <c r="BY203" s="416"/>
      <c r="BZ203" s="416">
        <v>7.0000000000000007E-2</v>
      </c>
      <c r="CA203" s="432">
        <v>0</v>
      </c>
      <c r="CB203" s="1618">
        <v>0</v>
      </c>
      <c r="CC203" s="445">
        <v>3.5569999999999999</v>
      </c>
      <c r="CD203" s="449">
        <v>0.1585</v>
      </c>
    </row>
    <row r="204" spans="1:82">
      <c r="A204" s="325">
        <v>42767</v>
      </c>
      <c r="B204" s="416">
        <v>7.288991750989901E-2</v>
      </c>
      <c r="C204" s="11"/>
      <c r="D204" s="1786">
        <v>41640</v>
      </c>
      <c r="E204" s="1787">
        <v>26.289696662890865</v>
      </c>
      <c r="F204" s="1787">
        <v>30.039696662890865</v>
      </c>
      <c r="G204" s="1787">
        <v>35.039696662890861</v>
      </c>
      <c r="H204" s="1788"/>
      <c r="I204" s="1787">
        <v>24.838119151052211</v>
      </c>
      <c r="J204" s="1787">
        <v>26.838119151052211</v>
      </c>
      <c r="K204" s="1787">
        <v>31.838119151052211</v>
      </c>
      <c r="M204" s="1791">
        <v>42522</v>
      </c>
      <c r="N204" s="1792">
        <v>29.079560151187749</v>
      </c>
      <c r="O204" s="1792">
        <v>34.079560151187749</v>
      </c>
      <c r="P204" s="1792">
        <v>39.079560151187749</v>
      </c>
      <c r="Q204" s="29"/>
      <c r="R204" s="1792">
        <v>20.559670113390816</v>
      </c>
      <c r="S204" s="1792">
        <v>25.559670113390816</v>
      </c>
      <c r="T204" s="1792">
        <v>30.559670113390816</v>
      </c>
      <c r="V204" s="500">
        <v>0</v>
      </c>
      <c r="W204" s="500">
        <v>0</v>
      </c>
      <c r="X204" s="500">
        <v>0</v>
      </c>
      <c r="Y204" s="27"/>
      <c r="Z204" s="1792">
        <v>0.09</v>
      </c>
      <c r="AA204" s="1792">
        <v>0.1</v>
      </c>
      <c r="AB204" s="1792">
        <v>0.11</v>
      </c>
      <c r="AC204" s="29"/>
      <c r="AD204" s="1792">
        <v>0.09</v>
      </c>
      <c r="AE204" s="1792">
        <v>0.11</v>
      </c>
      <c r="AF204" s="1792">
        <v>0.13</v>
      </c>
      <c r="AG204" s="29"/>
      <c r="AH204" s="1792">
        <v>-0.35</v>
      </c>
      <c r="AI204" s="1792">
        <v>0.65</v>
      </c>
      <c r="AJ204" s="1792">
        <v>0.2</v>
      </c>
      <c r="AK204" s="29"/>
      <c r="AL204" s="1792">
        <v>-0.01</v>
      </c>
      <c r="AM204" s="1792">
        <v>0.16</v>
      </c>
      <c r="AN204" s="1792">
        <v>0.01</v>
      </c>
      <c r="AO204" s="29"/>
      <c r="AP204" s="14">
        <v>65</v>
      </c>
      <c r="AQ204" s="1802">
        <v>0.35</v>
      </c>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325">
        <v>42675</v>
      </c>
      <c r="BR204" s="415">
        <v>3.6855000000000002</v>
      </c>
      <c r="BS204" s="415">
        <v>3.6905000000000001</v>
      </c>
      <c r="BT204" s="415">
        <v>3.6955</v>
      </c>
      <c r="BU204" s="416">
        <v>0.14349999999999999</v>
      </c>
      <c r="BV204" s="416">
        <v>0.15</v>
      </c>
      <c r="BW204" s="416">
        <v>0.1585</v>
      </c>
      <c r="BX204" s="416">
        <v>-7.0000000000000007E-2</v>
      </c>
      <c r="BY204" s="416"/>
      <c r="BZ204" s="416">
        <v>7.0000000000000007E-2</v>
      </c>
      <c r="CA204" s="432">
        <v>0</v>
      </c>
      <c r="CB204" s="1618">
        <v>0</v>
      </c>
      <c r="CC204" s="445">
        <v>3.4540000000000006</v>
      </c>
      <c r="CD204" s="449">
        <v>0.1585</v>
      </c>
    </row>
    <row r="205" spans="1:82">
      <c r="A205" s="325">
        <v>42795</v>
      </c>
      <c r="B205" s="416">
        <v>7.2890833331468008E-2</v>
      </c>
      <c r="C205" s="11"/>
      <c r="D205" s="1786">
        <v>41671</v>
      </c>
      <c r="E205" s="1787">
        <v>25.789696662890865</v>
      </c>
      <c r="F205" s="1787">
        <v>29.539696662890865</v>
      </c>
      <c r="G205" s="1787">
        <v>34.539696662890861</v>
      </c>
      <c r="H205" s="1788"/>
      <c r="I205" s="1787">
        <v>25.80714285714286</v>
      </c>
      <c r="J205" s="1787">
        <v>27.80714285714286</v>
      </c>
      <c r="K205" s="1787">
        <v>32.807142857142864</v>
      </c>
      <c r="M205" s="1791">
        <v>42552</v>
      </c>
      <c r="N205" s="1792">
        <v>55.746724251705899</v>
      </c>
      <c r="O205" s="1792">
        <v>60.746724251705899</v>
      </c>
      <c r="P205" s="1792">
        <v>65.746724251705899</v>
      </c>
      <c r="Q205" s="29"/>
      <c r="R205" s="1792">
        <v>40.560043188779431</v>
      </c>
      <c r="S205" s="1792">
        <v>45.560043188779431</v>
      </c>
      <c r="T205" s="1792">
        <v>50.560043188779431</v>
      </c>
      <c r="V205" s="500">
        <v>0</v>
      </c>
      <c r="W205" s="500">
        <v>0</v>
      </c>
      <c r="X205" s="500">
        <v>0</v>
      </c>
      <c r="Y205" s="27"/>
      <c r="Z205" s="1792">
        <v>0.09</v>
      </c>
      <c r="AA205" s="1792">
        <v>0.1</v>
      </c>
      <c r="AB205" s="1792">
        <v>0.11</v>
      </c>
      <c r="AC205" s="29"/>
      <c r="AD205" s="1792">
        <v>0.09</v>
      </c>
      <c r="AE205" s="1792">
        <v>0.11</v>
      </c>
      <c r="AF205" s="1792">
        <v>0.13</v>
      </c>
      <c r="AG205" s="29"/>
      <c r="AH205" s="1792">
        <v>-0.35</v>
      </c>
      <c r="AI205" s="1792">
        <v>0.65</v>
      </c>
      <c r="AJ205" s="1792">
        <v>0.35</v>
      </c>
      <c r="AK205" s="29"/>
      <c r="AL205" s="1792">
        <v>-0.01</v>
      </c>
      <c r="AM205" s="1792">
        <v>0.16</v>
      </c>
      <c r="AN205" s="1792">
        <v>0.01</v>
      </c>
      <c r="AO205" s="29"/>
      <c r="AP205" s="14">
        <v>66</v>
      </c>
      <c r="AQ205" s="1802">
        <v>0.35</v>
      </c>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325">
        <v>42705</v>
      </c>
      <c r="BR205" s="415">
        <v>3.7694999999999999</v>
      </c>
      <c r="BS205" s="415">
        <v>3.7744999999999997</v>
      </c>
      <c r="BT205" s="415">
        <v>3.7795000000000001</v>
      </c>
      <c r="BU205" s="416">
        <v>0.14349999999999999</v>
      </c>
      <c r="BV205" s="416">
        <v>0.15</v>
      </c>
      <c r="BW205" s="416">
        <v>0.1585</v>
      </c>
      <c r="BX205" s="416">
        <v>-7.0000000000000007E-2</v>
      </c>
      <c r="BY205" s="416"/>
      <c r="BZ205" s="416">
        <v>7.0000000000000007E-2</v>
      </c>
      <c r="CA205" s="432">
        <v>0</v>
      </c>
      <c r="CB205" s="1618">
        <v>0</v>
      </c>
      <c r="CC205" s="445">
        <v>3.43</v>
      </c>
      <c r="CD205" s="449">
        <v>0.1585</v>
      </c>
    </row>
    <row r="206" spans="1:82">
      <c r="A206" s="325">
        <v>42826</v>
      </c>
      <c r="B206" s="416">
        <v>7.2891847276777014E-2</v>
      </c>
      <c r="C206" s="11"/>
      <c r="D206" s="1786">
        <v>41699</v>
      </c>
      <c r="E206" s="1787">
        <v>25.539696662890865</v>
      </c>
      <c r="F206" s="1787">
        <v>29.289696662890865</v>
      </c>
      <c r="G206" s="1787">
        <v>34.289696662890861</v>
      </c>
      <c r="H206" s="1788"/>
      <c r="I206" s="1787">
        <v>26.087096774193554</v>
      </c>
      <c r="J206" s="1787">
        <v>28.087096774193554</v>
      </c>
      <c r="K206" s="1787">
        <v>33.087096774193554</v>
      </c>
      <c r="M206" s="1791">
        <v>42583</v>
      </c>
      <c r="N206" s="1792">
        <v>76.371724251705899</v>
      </c>
      <c r="O206" s="1792">
        <v>81.371724251705899</v>
      </c>
      <c r="P206" s="1792">
        <v>86.371724251705899</v>
      </c>
      <c r="Q206" s="29"/>
      <c r="R206" s="1792">
        <v>56.028793188779431</v>
      </c>
      <c r="S206" s="1792">
        <v>61.028793188779431</v>
      </c>
      <c r="T206" s="1792">
        <v>66.028793188779431</v>
      </c>
      <c r="V206" s="500">
        <v>0</v>
      </c>
      <c r="W206" s="500">
        <v>0</v>
      </c>
      <c r="X206" s="500">
        <v>0</v>
      </c>
      <c r="Y206" s="27"/>
      <c r="Z206" s="1792">
        <v>0.09</v>
      </c>
      <c r="AA206" s="1792">
        <v>0.1</v>
      </c>
      <c r="AB206" s="1792">
        <v>0.11</v>
      </c>
      <c r="AC206" s="29"/>
      <c r="AD206" s="1792">
        <v>0.09</v>
      </c>
      <c r="AE206" s="1792">
        <v>0.11</v>
      </c>
      <c r="AF206" s="1792">
        <v>0.13</v>
      </c>
      <c r="AG206" s="29"/>
      <c r="AH206" s="1792">
        <v>-0.35</v>
      </c>
      <c r="AI206" s="1792">
        <v>3</v>
      </c>
      <c r="AJ206" s="1792">
        <v>0.35</v>
      </c>
      <c r="AK206" s="29"/>
      <c r="AL206" s="1792">
        <v>-0.01</v>
      </c>
      <c r="AM206" s="1792">
        <v>0.16</v>
      </c>
      <c r="AN206" s="1792">
        <v>0.01</v>
      </c>
      <c r="AO206" s="29"/>
      <c r="AP206" s="14">
        <v>66</v>
      </c>
      <c r="AQ206" s="1802">
        <v>0.35</v>
      </c>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325">
        <v>42736</v>
      </c>
      <c r="BR206" s="415">
        <v>3.8155000000000001</v>
      </c>
      <c r="BS206" s="415">
        <v>3.8205</v>
      </c>
      <c r="BT206" s="415">
        <v>3.8255000000000003</v>
      </c>
      <c r="BU206" s="416">
        <v>0.14349999999999999</v>
      </c>
      <c r="BV206" s="416">
        <v>0.15</v>
      </c>
      <c r="BW206" s="416">
        <v>0.1585</v>
      </c>
      <c r="BX206" s="416">
        <v>-7.0000000000000007E-2</v>
      </c>
      <c r="BY206" s="416"/>
      <c r="BZ206" s="416">
        <v>7.0000000000000007E-2</v>
      </c>
      <c r="CA206" s="432">
        <v>0</v>
      </c>
      <c r="CB206" s="1618">
        <v>0</v>
      </c>
      <c r="CC206" s="445">
        <v>3.4369999999999998</v>
      </c>
      <c r="CD206" s="449">
        <v>0.1585</v>
      </c>
    </row>
    <row r="207" spans="1:82">
      <c r="A207" s="325">
        <v>42856</v>
      </c>
      <c r="B207" s="416">
        <v>7.2892828514174002E-2</v>
      </c>
      <c r="C207" s="11"/>
      <c r="D207" s="1786">
        <v>41730</v>
      </c>
      <c r="E207" s="1787">
        <v>25.674469547157653</v>
      </c>
      <c r="F207" s="1787">
        <v>29.424469547157653</v>
      </c>
      <c r="G207" s="1787">
        <v>34.424469547157656</v>
      </c>
      <c r="H207" s="1788"/>
      <c r="I207" s="1787">
        <v>23.887499999999999</v>
      </c>
      <c r="J207" s="1787">
        <v>25.887499999999999</v>
      </c>
      <c r="K207" s="1787">
        <v>30.887499999999999</v>
      </c>
      <c r="M207" s="1791">
        <v>42614</v>
      </c>
      <c r="N207" s="1792">
        <v>60.371724251705899</v>
      </c>
      <c r="O207" s="1792">
        <v>65.371724251705899</v>
      </c>
      <c r="P207" s="1792">
        <v>70.371724251705899</v>
      </c>
      <c r="Q207" s="29"/>
      <c r="R207" s="1792">
        <v>44.028793188779431</v>
      </c>
      <c r="S207" s="1792">
        <v>49.028793188779431</v>
      </c>
      <c r="T207" s="1792">
        <v>54.028793188779431</v>
      </c>
      <c r="V207" s="500">
        <v>0</v>
      </c>
      <c r="W207" s="500">
        <v>0</v>
      </c>
      <c r="X207" s="500">
        <v>0</v>
      </c>
      <c r="Y207" s="27"/>
      <c r="Z207" s="1792">
        <v>0.09</v>
      </c>
      <c r="AA207" s="1792">
        <v>0.1</v>
      </c>
      <c r="AB207" s="1792">
        <v>0.11</v>
      </c>
      <c r="AC207" s="29"/>
      <c r="AD207" s="1792">
        <v>0.09</v>
      </c>
      <c r="AE207" s="1792">
        <v>0.11</v>
      </c>
      <c r="AF207" s="1792">
        <v>0.13</v>
      </c>
      <c r="AG207" s="29"/>
      <c r="AH207" s="1792">
        <v>-0.35</v>
      </c>
      <c r="AI207" s="1792">
        <v>3</v>
      </c>
      <c r="AJ207" s="1792">
        <v>0.2</v>
      </c>
      <c r="AK207" s="29"/>
      <c r="AL207" s="1792">
        <v>-0.01</v>
      </c>
      <c r="AM207" s="1792">
        <v>0.16</v>
      </c>
      <c r="AN207" s="1792">
        <v>0.01</v>
      </c>
      <c r="AO207" s="29"/>
      <c r="AP207" s="14">
        <v>66</v>
      </c>
      <c r="AQ207" s="1802">
        <v>0.35</v>
      </c>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325">
        <v>42767</v>
      </c>
      <c r="BR207" s="415">
        <v>3.7585000000000002</v>
      </c>
      <c r="BS207" s="415">
        <v>3.7635000000000005</v>
      </c>
      <c r="BT207" s="415">
        <v>3.7685000000000004</v>
      </c>
      <c r="BU207" s="416">
        <v>0.14349999999999999</v>
      </c>
      <c r="BV207" s="416">
        <v>0.15</v>
      </c>
      <c r="BW207" s="416">
        <v>0.1585</v>
      </c>
      <c r="BX207" s="416">
        <v>-7.0000000000000007E-2</v>
      </c>
      <c r="BY207" s="416"/>
      <c r="BZ207" s="416">
        <v>7.0000000000000007E-2</v>
      </c>
      <c r="CA207" s="432">
        <v>0</v>
      </c>
      <c r="CB207" s="1618">
        <v>0</v>
      </c>
      <c r="CC207" s="445">
        <v>3.4430000000000001</v>
      </c>
      <c r="CD207" s="449">
        <v>0.1585</v>
      </c>
    </row>
    <row r="208" spans="1:82">
      <c r="A208" s="325">
        <v>42887</v>
      </c>
      <c r="B208" s="416">
        <v>7.2893842459484007E-2</v>
      </c>
      <c r="C208" s="11"/>
      <c r="D208" s="1786">
        <v>41760</v>
      </c>
      <c r="E208" s="1787">
        <v>24.924469547157653</v>
      </c>
      <c r="F208" s="1787">
        <v>28.674469547157653</v>
      </c>
      <c r="G208" s="1787">
        <v>33.674469547157656</v>
      </c>
      <c r="H208" s="1788"/>
      <c r="I208" s="1787">
        <v>23.945967741935487</v>
      </c>
      <c r="J208" s="1787">
        <v>25.945967741935487</v>
      </c>
      <c r="K208" s="1787">
        <v>30.945967741935487</v>
      </c>
      <c r="M208" s="1791">
        <v>42644</v>
      </c>
      <c r="N208" s="1792">
        <v>32.269746914544477</v>
      </c>
      <c r="O208" s="1792">
        <v>37.269746914544477</v>
      </c>
      <c r="P208" s="1792">
        <v>42.269746914544477</v>
      </c>
      <c r="Q208" s="29"/>
      <c r="R208" s="1792">
        <v>22.952310185908352</v>
      </c>
      <c r="S208" s="1792">
        <v>27.952310185908352</v>
      </c>
      <c r="T208" s="1792">
        <v>32.952310185908352</v>
      </c>
      <c r="V208" s="500">
        <v>0</v>
      </c>
      <c r="W208" s="500">
        <v>0</v>
      </c>
      <c r="X208" s="500">
        <v>0</v>
      </c>
      <c r="Y208" s="27"/>
      <c r="Z208" s="1792">
        <v>0.09</v>
      </c>
      <c r="AA208" s="1792">
        <v>0.1</v>
      </c>
      <c r="AB208" s="1792">
        <v>0.11</v>
      </c>
      <c r="AC208" s="29"/>
      <c r="AD208" s="1792">
        <v>0.09</v>
      </c>
      <c r="AE208" s="1792">
        <v>0.11</v>
      </c>
      <c r="AF208" s="1792">
        <v>0.13</v>
      </c>
      <c r="AG208" s="29"/>
      <c r="AH208" s="1792">
        <v>-0.1</v>
      </c>
      <c r="AI208" s="1792">
        <v>3</v>
      </c>
      <c r="AJ208" s="1792">
        <v>0.1</v>
      </c>
      <c r="AK208" s="29"/>
      <c r="AL208" s="1792">
        <v>-0.01</v>
      </c>
      <c r="AM208" s="1792">
        <v>0.16</v>
      </c>
      <c r="AN208" s="1792">
        <v>0.01</v>
      </c>
      <c r="AO208" s="29"/>
      <c r="AP208" s="14">
        <v>67</v>
      </c>
      <c r="AQ208" s="1802">
        <v>0.35</v>
      </c>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325">
        <v>42795</v>
      </c>
      <c r="BR208" s="415">
        <v>3.6855000000000002</v>
      </c>
      <c r="BS208" s="415">
        <v>3.6905000000000001</v>
      </c>
      <c r="BT208" s="415">
        <v>3.6955</v>
      </c>
      <c r="BU208" s="416">
        <v>0.14349999999999999</v>
      </c>
      <c r="BV208" s="416">
        <v>0.15</v>
      </c>
      <c r="BW208" s="416">
        <v>0.1585</v>
      </c>
      <c r="BX208" s="416">
        <v>-7.0000000000000007E-2</v>
      </c>
      <c r="BY208" s="416"/>
      <c r="BZ208" s="416">
        <v>7.0000000000000007E-2</v>
      </c>
      <c r="CA208" s="432">
        <v>0</v>
      </c>
      <c r="CB208" s="1618">
        <v>0</v>
      </c>
      <c r="CC208" s="445">
        <v>3.4480000000000004</v>
      </c>
      <c r="CD208" s="449">
        <v>0.1585</v>
      </c>
    </row>
    <row r="209" spans="1:82">
      <c r="A209" s="325">
        <v>42917</v>
      </c>
      <c r="B209" s="416">
        <v>7.2894823696881009E-2</v>
      </c>
      <c r="C209" s="11"/>
      <c r="D209" s="1786">
        <v>41791</v>
      </c>
      <c r="E209" s="1787">
        <v>30.174469547157656</v>
      </c>
      <c r="F209" s="1787">
        <v>33.924469547157656</v>
      </c>
      <c r="G209" s="1787">
        <v>38.924469547157656</v>
      </c>
      <c r="H209" s="1788"/>
      <c r="I209" s="1787">
        <v>23.2</v>
      </c>
      <c r="J209" s="1787">
        <v>25.2</v>
      </c>
      <c r="K209" s="1787">
        <v>30.2</v>
      </c>
      <c r="M209" s="1791">
        <v>42675</v>
      </c>
      <c r="N209" s="1792">
        <v>24.519746914544488</v>
      </c>
      <c r="O209" s="1792">
        <v>29.519746914544488</v>
      </c>
      <c r="P209" s="1792">
        <v>34.519746914544484</v>
      </c>
      <c r="Q209" s="29"/>
      <c r="R209" s="1792">
        <v>17.139810185908352</v>
      </c>
      <c r="S209" s="1792">
        <v>22.139810185908352</v>
      </c>
      <c r="T209" s="1792">
        <v>27.139810185908352</v>
      </c>
      <c r="V209" s="500">
        <v>0</v>
      </c>
      <c r="W209" s="500">
        <v>0</v>
      </c>
      <c r="X209" s="500">
        <v>0</v>
      </c>
      <c r="Y209" s="27"/>
      <c r="Z209" s="1792">
        <v>0.09</v>
      </c>
      <c r="AA209" s="1792">
        <v>0.1</v>
      </c>
      <c r="AB209" s="1792">
        <v>0.11</v>
      </c>
      <c r="AC209" s="29"/>
      <c r="AD209" s="1792">
        <v>0.09</v>
      </c>
      <c r="AE209" s="1792">
        <v>0.11</v>
      </c>
      <c r="AF209" s="1792">
        <v>0.13</v>
      </c>
      <c r="AG209" s="29"/>
      <c r="AH209" s="1792">
        <v>-0.1</v>
      </c>
      <c r="AI209" s="1792">
        <v>0.6</v>
      </c>
      <c r="AJ209" s="1792">
        <v>0.1</v>
      </c>
      <c r="AK209" s="29"/>
      <c r="AL209" s="1792">
        <v>-0.01</v>
      </c>
      <c r="AM209" s="1792">
        <v>0.16</v>
      </c>
      <c r="AN209" s="1792">
        <v>0.01</v>
      </c>
      <c r="AO209" s="29"/>
      <c r="AP209" s="14">
        <v>67</v>
      </c>
      <c r="AQ209" s="1802">
        <v>0.35</v>
      </c>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325">
        <v>42826</v>
      </c>
      <c r="BR209" s="415">
        <v>3.6274999999999999</v>
      </c>
      <c r="BS209" s="415">
        <v>3.6324999999999998</v>
      </c>
      <c r="BT209" s="415">
        <v>3.6375000000000002</v>
      </c>
      <c r="BU209" s="416">
        <v>0.14349999999999999</v>
      </c>
      <c r="BV209" s="416">
        <v>0.15</v>
      </c>
      <c r="BW209" s="416">
        <v>0.1585</v>
      </c>
      <c r="BX209" s="416">
        <v>-7.0000000000000007E-2</v>
      </c>
      <c r="BY209" s="416"/>
      <c r="BZ209" s="416">
        <v>7.0000000000000007E-2</v>
      </c>
      <c r="CA209" s="432">
        <v>0</v>
      </c>
      <c r="CB209" s="1618">
        <v>0</v>
      </c>
      <c r="CC209" s="445">
        <v>3.4510000000000005</v>
      </c>
      <c r="CD209" s="449">
        <v>0.1585</v>
      </c>
    </row>
    <row r="210" spans="1:82">
      <c r="A210" s="325">
        <v>42948</v>
      </c>
      <c r="B210" s="416">
        <v>7.2895837642192013E-2</v>
      </c>
      <c r="C210" s="11"/>
      <c r="D210" s="1786">
        <v>41821</v>
      </c>
      <c r="E210" s="1787">
        <v>56.647333066484606</v>
      </c>
      <c r="F210" s="1787">
        <v>60.397333066484606</v>
      </c>
      <c r="G210" s="1787">
        <v>65.397333066484606</v>
      </c>
      <c r="H210" s="1788"/>
      <c r="I210" s="1787">
        <v>29.224193548387102</v>
      </c>
      <c r="J210" s="1787">
        <v>31.224193548387102</v>
      </c>
      <c r="K210" s="1787">
        <v>36.224193548387106</v>
      </c>
      <c r="M210" s="1791">
        <v>42705</v>
      </c>
      <c r="N210" s="1792">
        <v>26.519746914544484</v>
      </c>
      <c r="O210" s="1792">
        <v>31.519746914544484</v>
      </c>
      <c r="P210" s="1792">
        <v>36.519746914544484</v>
      </c>
      <c r="Q210" s="29"/>
      <c r="R210" s="1792">
        <v>18.639810185908352</v>
      </c>
      <c r="S210" s="1792">
        <v>23.639810185908352</v>
      </c>
      <c r="T210" s="1792">
        <v>28.639810185908352</v>
      </c>
      <c r="V210" s="500">
        <v>0</v>
      </c>
      <c r="W210" s="500">
        <v>0</v>
      </c>
      <c r="X210" s="500">
        <v>0</v>
      </c>
      <c r="Y210" s="27"/>
      <c r="Z210" s="1792">
        <v>0.09</v>
      </c>
      <c r="AA210" s="1792">
        <v>0.1</v>
      </c>
      <c r="AB210" s="1792">
        <v>0.11</v>
      </c>
      <c r="AC210" s="29"/>
      <c r="AD210" s="1792">
        <v>0.09</v>
      </c>
      <c r="AE210" s="1792">
        <v>0.11</v>
      </c>
      <c r="AF210" s="1792">
        <v>0.13</v>
      </c>
      <c r="AG210" s="29"/>
      <c r="AH210" s="1792">
        <v>-0.25</v>
      </c>
      <c r="AI210" s="1792">
        <v>0.6</v>
      </c>
      <c r="AJ210" s="1792">
        <v>0.25</v>
      </c>
      <c r="AK210" s="29"/>
      <c r="AL210" s="1792">
        <v>-0.01</v>
      </c>
      <c r="AM210" s="1792">
        <v>0.16</v>
      </c>
      <c r="AN210" s="1792">
        <v>0.01</v>
      </c>
      <c r="AO210" s="29"/>
      <c r="AP210" s="14">
        <v>67</v>
      </c>
      <c r="AQ210" s="1802">
        <v>0.35</v>
      </c>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325">
        <v>42856</v>
      </c>
      <c r="BR210" s="415">
        <v>3.6555</v>
      </c>
      <c r="BS210" s="415">
        <v>3.6605000000000003</v>
      </c>
      <c r="BT210" s="415">
        <v>3.6655000000000002</v>
      </c>
      <c r="BU210" s="416">
        <v>0.14349999999999999</v>
      </c>
      <c r="BV210" s="416">
        <v>0.15</v>
      </c>
      <c r="BW210" s="416">
        <v>0.1585</v>
      </c>
      <c r="BX210" s="416">
        <v>-7.0000000000000007E-2</v>
      </c>
      <c r="BY210" s="416"/>
      <c r="BZ210" s="416">
        <v>7.0000000000000007E-2</v>
      </c>
      <c r="CA210" s="432">
        <v>0</v>
      </c>
      <c r="CB210" s="1618">
        <v>0</v>
      </c>
      <c r="CC210" s="445">
        <v>3.4840000000000004</v>
      </c>
      <c r="CD210" s="449">
        <v>0.1585</v>
      </c>
    </row>
    <row r="211" spans="1:82">
      <c r="A211" s="325">
        <v>42979</v>
      </c>
      <c r="B211" s="416">
        <v>7.2896851587503003E-2</v>
      </c>
      <c r="C211" s="11"/>
      <c r="D211" s="1786">
        <v>41852</v>
      </c>
      <c r="E211" s="1787">
        <v>77.272333066484606</v>
      </c>
      <c r="F211" s="1787">
        <v>81.022333066484606</v>
      </c>
      <c r="G211" s="1787">
        <v>86.022333066484606</v>
      </c>
      <c r="H211" s="1788"/>
      <c r="I211" s="1787">
        <v>27.224193548387102</v>
      </c>
      <c r="J211" s="1787">
        <v>29.224193548387102</v>
      </c>
      <c r="K211" s="1787">
        <v>34.224193548387106</v>
      </c>
      <c r="M211" s="1791">
        <v>42736</v>
      </c>
      <c r="N211" s="1792">
        <v>25.255463492769689</v>
      </c>
      <c r="O211" s="1792">
        <v>30.255463492769689</v>
      </c>
      <c r="P211" s="1792">
        <v>35.255463492769692</v>
      </c>
      <c r="Q211" s="29"/>
      <c r="R211" s="1792">
        <v>17.691597619577266</v>
      </c>
      <c r="S211" s="1792">
        <v>22.691597619577266</v>
      </c>
      <c r="T211" s="1792">
        <v>27.691597619577266</v>
      </c>
      <c r="V211" s="500">
        <v>0</v>
      </c>
      <c r="W211" s="500">
        <v>0</v>
      </c>
      <c r="X211" s="500">
        <v>0</v>
      </c>
      <c r="Y211" s="27"/>
      <c r="Z211" s="1792">
        <v>0.09</v>
      </c>
      <c r="AA211" s="1792">
        <v>0.1</v>
      </c>
      <c r="AB211" s="1792">
        <v>0.11</v>
      </c>
      <c r="AC211" s="29"/>
      <c r="AD211" s="1792">
        <v>0.09</v>
      </c>
      <c r="AE211" s="1792">
        <v>0.11</v>
      </c>
      <c r="AF211" s="1792">
        <v>0.13</v>
      </c>
      <c r="AG211" s="29"/>
      <c r="AH211" s="1792">
        <v>-0.25</v>
      </c>
      <c r="AI211" s="1792">
        <v>0.6</v>
      </c>
      <c r="AJ211" s="1792">
        <v>0.25</v>
      </c>
      <c r="AK211" s="29"/>
      <c r="AL211" s="1792">
        <v>-0.01</v>
      </c>
      <c r="AM211" s="1792">
        <v>0.16</v>
      </c>
      <c r="AN211" s="1792">
        <v>0.01</v>
      </c>
      <c r="AO211" s="29"/>
      <c r="AP211" s="14">
        <v>68</v>
      </c>
      <c r="AQ211" s="1802">
        <v>0.35</v>
      </c>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325">
        <v>42887</v>
      </c>
      <c r="BR211" s="415">
        <v>3.6765000000000003</v>
      </c>
      <c r="BS211" s="415">
        <v>3.6815000000000002</v>
      </c>
      <c r="BT211" s="415">
        <v>3.6865000000000006</v>
      </c>
      <c r="BU211" s="416">
        <v>0.14349999999999999</v>
      </c>
      <c r="BV211" s="416">
        <v>0.15</v>
      </c>
      <c r="BW211" s="416">
        <v>0.1585</v>
      </c>
      <c r="BX211" s="416">
        <v>-7.0000000000000007E-2</v>
      </c>
      <c r="BY211" s="416"/>
      <c r="BZ211" s="416">
        <v>7.0000000000000007E-2</v>
      </c>
      <c r="CA211" s="432">
        <v>0</v>
      </c>
      <c r="CB211" s="1618">
        <v>0</v>
      </c>
      <c r="CC211" s="445">
        <v>3.625</v>
      </c>
      <c r="CD211" s="449">
        <v>0.1585</v>
      </c>
    </row>
    <row r="212" spans="1:82">
      <c r="A212" s="325">
        <v>43009</v>
      </c>
      <c r="B212" s="416">
        <v>7.2897832824900005E-2</v>
      </c>
      <c r="C212" s="11"/>
      <c r="D212" s="1786">
        <v>41883</v>
      </c>
      <c r="E212" s="1787">
        <v>61.272333066484606</v>
      </c>
      <c r="F212" s="1787">
        <v>65.022333066484606</v>
      </c>
      <c r="G212" s="1787">
        <v>70.022333066484606</v>
      </c>
      <c r="H212" s="1788"/>
      <c r="I212" s="1787">
        <v>27.637499999999999</v>
      </c>
      <c r="J212" s="1787">
        <v>29.637499999999999</v>
      </c>
      <c r="K212" s="1787">
        <v>34.637500000000003</v>
      </c>
      <c r="M212" s="1791">
        <v>42767</v>
      </c>
      <c r="N212" s="1792">
        <v>24.755463492769689</v>
      </c>
      <c r="O212" s="1792">
        <v>29.755463492769689</v>
      </c>
      <c r="P212" s="1792">
        <v>34.755463492769692</v>
      </c>
      <c r="Q212" s="29"/>
      <c r="R212" s="1792">
        <v>17.316597619577266</v>
      </c>
      <c r="S212" s="1792">
        <v>22.316597619577266</v>
      </c>
      <c r="T212" s="1792">
        <v>27.316597619577266</v>
      </c>
      <c r="V212" s="500">
        <v>0</v>
      </c>
      <c r="W212" s="500">
        <v>0</v>
      </c>
      <c r="X212" s="500">
        <v>0</v>
      </c>
      <c r="Y212" s="27"/>
      <c r="Z212" s="1792">
        <v>0.09</v>
      </c>
      <c r="AA212" s="1792">
        <v>0.1</v>
      </c>
      <c r="AB212" s="1792">
        <v>0.11</v>
      </c>
      <c r="AC212" s="29"/>
      <c r="AD212" s="1792">
        <v>0.09</v>
      </c>
      <c r="AE212" s="1792">
        <v>0.11</v>
      </c>
      <c r="AF212" s="1792">
        <v>0.13</v>
      </c>
      <c r="AG212" s="29"/>
      <c r="AH212" s="1792">
        <v>-0.25</v>
      </c>
      <c r="AI212" s="1792">
        <v>0.65</v>
      </c>
      <c r="AJ212" s="1792">
        <v>0.25</v>
      </c>
      <c r="AK212" s="29"/>
      <c r="AL212" s="1792">
        <v>-0.01</v>
      </c>
      <c r="AM212" s="1792">
        <v>0.16</v>
      </c>
      <c r="AN212" s="1792">
        <v>0.01</v>
      </c>
      <c r="AO212" s="29"/>
      <c r="AP212" s="14">
        <v>68</v>
      </c>
      <c r="AQ212" s="1802">
        <v>0.35</v>
      </c>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325">
        <v>42917</v>
      </c>
      <c r="BR212" s="415">
        <v>3.6844999999999999</v>
      </c>
      <c r="BS212" s="415">
        <v>3.6894999999999998</v>
      </c>
      <c r="BT212" s="415">
        <v>3.6945000000000001</v>
      </c>
      <c r="BU212" s="416">
        <v>0.14349999999999999</v>
      </c>
      <c r="BV212" s="416">
        <v>0.15</v>
      </c>
      <c r="BW212" s="416">
        <v>0.1585</v>
      </c>
      <c r="BX212" s="416">
        <v>-7.0000000000000007E-2</v>
      </c>
      <c r="BY212" s="416"/>
      <c r="BZ212" s="416">
        <v>7.0000000000000007E-2</v>
      </c>
      <c r="CA212" s="432">
        <v>0</v>
      </c>
      <c r="CB212" s="1618">
        <v>0</v>
      </c>
      <c r="CC212" s="445">
        <v>3.77</v>
      </c>
      <c r="CD212" s="449">
        <v>0.1585</v>
      </c>
    </row>
    <row r="213" spans="1:82">
      <c r="A213" s="325">
        <v>43040</v>
      </c>
      <c r="B213" s="416">
        <v>7.2898846770212022E-2</v>
      </c>
      <c r="C213" s="11"/>
      <c r="D213" s="1786">
        <v>41913</v>
      </c>
      <c r="E213" s="1787">
        <v>33.366838963374271</v>
      </c>
      <c r="F213" s="1787">
        <v>37.116838963374271</v>
      </c>
      <c r="G213" s="1787">
        <v>42.116838963374271</v>
      </c>
      <c r="H213" s="1788"/>
      <c r="I213" s="1787">
        <v>27.151612903225811</v>
      </c>
      <c r="J213" s="1787">
        <v>29.151612903225811</v>
      </c>
      <c r="K213" s="1787">
        <v>34.151612903225811</v>
      </c>
      <c r="M213" s="1791">
        <v>42795</v>
      </c>
      <c r="N213" s="1792">
        <v>24.005463492769689</v>
      </c>
      <c r="O213" s="1792">
        <v>29.005463492769689</v>
      </c>
      <c r="P213" s="1792">
        <v>34.005463492769692</v>
      </c>
      <c r="Q213" s="29"/>
      <c r="R213" s="1792">
        <v>16.754097619577266</v>
      </c>
      <c r="S213" s="1792">
        <v>21.754097619577266</v>
      </c>
      <c r="T213" s="1792">
        <v>26.754097619577266</v>
      </c>
      <c r="V213" s="500">
        <v>0</v>
      </c>
      <c r="W213" s="500">
        <v>0</v>
      </c>
      <c r="X213" s="500">
        <v>0</v>
      </c>
      <c r="Y213" s="27"/>
      <c r="Z213" s="1792">
        <v>0.09</v>
      </c>
      <c r="AA213" s="1792">
        <v>0.1</v>
      </c>
      <c r="AB213" s="1792">
        <v>0.11</v>
      </c>
      <c r="AC213" s="29"/>
      <c r="AD213" s="1792">
        <v>0.09</v>
      </c>
      <c r="AE213" s="1792">
        <v>0.11</v>
      </c>
      <c r="AF213" s="1792">
        <v>0.13</v>
      </c>
      <c r="AG213" s="29"/>
      <c r="AH213" s="1792">
        <v>-0.1</v>
      </c>
      <c r="AI213" s="1792">
        <v>0.65</v>
      </c>
      <c r="AJ213" s="1792">
        <v>0.1</v>
      </c>
      <c r="AK213" s="29"/>
      <c r="AL213" s="1792">
        <v>-0.01</v>
      </c>
      <c r="AM213" s="1792">
        <v>0.16</v>
      </c>
      <c r="AN213" s="1792">
        <v>0.01</v>
      </c>
      <c r="AO213" s="29"/>
      <c r="AP213" s="14">
        <v>68</v>
      </c>
      <c r="AQ213" s="1802">
        <v>0.35</v>
      </c>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325">
        <v>42948</v>
      </c>
      <c r="BR213" s="415">
        <v>3.6935000000000002</v>
      </c>
      <c r="BS213" s="415">
        <v>3.6985000000000001</v>
      </c>
      <c r="BT213" s="415">
        <v>3.7035000000000005</v>
      </c>
      <c r="BU213" s="416">
        <v>0.14349999999999999</v>
      </c>
      <c r="BV213" s="416">
        <v>0.15</v>
      </c>
      <c r="BW213" s="416">
        <v>0.1585</v>
      </c>
      <c r="BX213" s="416">
        <v>-7.0000000000000007E-2</v>
      </c>
      <c r="BY213" s="416"/>
      <c r="BZ213" s="416">
        <v>7.0000000000000007E-2</v>
      </c>
      <c r="CA213" s="432">
        <v>0</v>
      </c>
      <c r="CB213" s="1618">
        <v>0</v>
      </c>
      <c r="CC213" s="445">
        <v>3.8990000000000005</v>
      </c>
      <c r="CD213" s="449">
        <v>0.1585</v>
      </c>
    </row>
    <row r="214" spans="1:82">
      <c r="A214" s="325">
        <v>43070</v>
      </c>
      <c r="B214" s="416">
        <v>7.2899828007611037E-2</v>
      </c>
      <c r="C214" s="11"/>
      <c r="D214" s="1786">
        <v>41944</v>
      </c>
      <c r="E214" s="1787">
        <v>25.616838963374281</v>
      </c>
      <c r="F214" s="1787">
        <v>29.366838963374281</v>
      </c>
      <c r="G214" s="1787">
        <v>34.366838963374278</v>
      </c>
      <c r="H214" s="1788"/>
      <c r="I214" s="1787">
        <v>28.491666666666671</v>
      </c>
      <c r="J214" s="1787">
        <v>30.491666666666671</v>
      </c>
      <c r="K214" s="1787">
        <v>35.491666666666674</v>
      </c>
      <c r="M214" s="1791">
        <v>42826</v>
      </c>
      <c r="N214" s="1792">
        <v>23.907105453202792</v>
      </c>
      <c r="O214" s="1792">
        <v>28.907105453202792</v>
      </c>
      <c r="P214" s="1792">
        <v>33.907105453202789</v>
      </c>
      <c r="Q214" s="29"/>
      <c r="R214" s="1792">
        <v>16.680329089902102</v>
      </c>
      <c r="S214" s="1792">
        <v>21.680329089902102</v>
      </c>
      <c r="T214" s="1792">
        <v>26.680329089902102</v>
      </c>
      <c r="V214" s="500">
        <v>0</v>
      </c>
      <c r="W214" s="500">
        <v>0</v>
      </c>
      <c r="X214" s="500">
        <v>0</v>
      </c>
      <c r="Y214" s="27"/>
      <c r="Z214" s="1792">
        <v>0.09</v>
      </c>
      <c r="AA214" s="1792">
        <v>0.1</v>
      </c>
      <c r="AB214" s="1792">
        <v>0.11</v>
      </c>
      <c r="AC214" s="29"/>
      <c r="AD214" s="1792">
        <v>0.09</v>
      </c>
      <c r="AE214" s="1792">
        <v>0.11</v>
      </c>
      <c r="AF214" s="1792">
        <v>0.13</v>
      </c>
      <c r="AG214" s="29"/>
      <c r="AH214" s="1792">
        <v>-0.1</v>
      </c>
      <c r="AI214" s="1792">
        <v>0.65</v>
      </c>
      <c r="AJ214" s="1792">
        <v>0.1</v>
      </c>
      <c r="AK214" s="29"/>
      <c r="AL214" s="1792">
        <v>-0.01</v>
      </c>
      <c r="AM214" s="1792">
        <v>0.16</v>
      </c>
      <c r="AN214" s="1792">
        <v>0.01</v>
      </c>
      <c r="AO214" s="29"/>
      <c r="AP214" s="14">
        <v>69</v>
      </c>
      <c r="AQ214" s="1802">
        <v>0.35</v>
      </c>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325">
        <v>42979</v>
      </c>
      <c r="BR214" s="415">
        <v>3.6865000000000006</v>
      </c>
      <c r="BS214" s="415">
        <v>3.6915000000000004</v>
      </c>
      <c r="BT214" s="415">
        <v>3.6965000000000003</v>
      </c>
      <c r="BU214" s="416">
        <v>0.14349999999999999</v>
      </c>
      <c r="BV214" s="416">
        <v>0.15</v>
      </c>
      <c r="BW214" s="416">
        <v>0.1585</v>
      </c>
      <c r="BX214" s="416">
        <v>-7.0000000000000007E-2</v>
      </c>
      <c r="BY214" s="416"/>
      <c r="BZ214" s="416">
        <v>7.0000000000000007E-2</v>
      </c>
      <c r="CA214" s="432">
        <v>0</v>
      </c>
      <c r="CB214" s="1618">
        <v>0</v>
      </c>
      <c r="CC214" s="445">
        <v>3.7740000000000005</v>
      </c>
      <c r="CD214" s="449">
        <v>0.1585</v>
      </c>
    </row>
    <row r="215" spans="1:82">
      <c r="A215" s="325">
        <v>43101</v>
      </c>
      <c r="B215" s="416">
        <v>7.2900841952923012E-2</v>
      </c>
      <c r="C215" s="11"/>
      <c r="D215" s="1786">
        <v>41974</v>
      </c>
      <c r="E215" s="1787">
        <v>27.616838963374278</v>
      </c>
      <c r="F215" s="1787">
        <v>31.366838963374278</v>
      </c>
      <c r="G215" s="1787">
        <v>36.366838963374278</v>
      </c>
      <c r="H215" s="1788"/>
      <c r="I215" s="1787">
        <v>27.796774193548398</v>
      </c>
      <c r="J215" s="1787">
        <v>29.796774193548398</v>
      </c>
      <c r="K215" s="1787">
        <v>34.796774193548401</v>
      </c>
      <c r="M215" s="1791">
        <v>42856</v>
      </c>
      <c r="N215" s="1792">
        <v>23.907105453202792</v>
      </c>
      <c r="O215" s="1792">
        <v>28.907105453202792</v>
      </c>
      <c r="P215" s="1792">
        <v>33.907105453202789</v>
      </c>
      <c r="Q215" s="29"/>
      <c r="R215" s="1792">
        <v>16.680329089902102</v>
      </c>
      <c r="S215" s="1792">
        <v>21.680329089902102</v>
      </c>
      <c r="T215" s="1792">
        <v>26.680329089902102</v>
      </c>
      <c r="V215" s="500">
        <v>0</v>
      </c>
      <c r="W215" s="500">
        <v>0</v>
      </c>
      <c r="X215" s="500">
        <v>0</v>
      </c>
      <c r="Y215" s="27"/>
      <c r="Z215" s="1792">
        <v>0.09</v>
      </c>
      <c r="AA215" s="1792">
        <v>0.1</v>
      </c>
      <c r="AB215" s="1792">
        <v>0.11</v>
      </c>
      <c r="AC215" s="29"/>
      <c r="AD215" s="1792">
        <v>0.09</v>
      </c>
      <c r="AE215" s="1792">
        <v>0.11</v>
      </c>
      <c r="AF215" s="1792">
        <v>0.13</v>
      </c>
      <c r="AG215" s="29"/>
      <c r="AH215" s="1792">
        <v>-0.1</v>
      </c>
      <c r="AI215" s="1792">
        <v>0.65</v>
      </c>
      <c r="AJ215" s="1792">
        <v>0.1</v>
      </c>
      <c r="AK215" s="29"/>
      <c r="AL215" s="1792">
        <v>-0.01</v>
      </c>
      <c r="AM215" s="1792">
        <v>0.16</v>
      </c>
      <c r="AN215" s="1792">
        <v>0.01</v>
      </c>
      <c r="AO215" s="29"/>
      <c r="AP215" s="14">
        <v>69</v>
      </c>
      <c r="AQ215" s="1802">
        <v>0.35</v>
      </c>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325">
        <v>43009</v>
      </c>
      <c r="BR215" s="415">
        <v>3.6995</v>
      </c>
      <c r="BS215" s="415">
        <v>3.7044999999999999</v>
      </c>
      <c r="BT215" s="415">
        <v>3.7094999999999998</v>
      </c>
      <c r="BU215" s="416">
        <v>0.14349999999999999</v>
      </c>
      <c r="BV215" s="416">
        <v>0.15</v>
      </c>
      <c r="BW215" s="416">
        <v>0.1585</v>
      </c>
      <c r="BX215" s="416">
        <v>-7.0000000000000007E-2</v>
      </c>
      <c r="BY215" s="416"/>
      <c r="BZ215" s="416">
        <v>7.0000000000000007E-2</v>
      </c>
      <c r="CA215" s="432">
        <v>0</v>
      </c>
      <c r="CB215" s="1618">
        <v>0</v>
      </c>
      <c r="CC215" s="445">
        <v>3.6669999999999998</v>
      </c>
      <c r="CD215" s="449">
        <v>0.1585</v>
      </c>
    </row>
    <row r="216" spans="1:82">
      <c r="A216" s="325">
        <v>43132</v>
      </c>
      <c r="B216" s="416">
        <v>7.2901855898236043E-2</v>
      </c>
      <c r="C216" s="11"/>
      <c r="D216" s="1786">
        <v>42005</v>
      </c>
      <c r="E216" s="1787">
        <v>25.11161893951714</v>
      </c>
      <c r="F216" s="1787">
        <v>30.11161893951714</v>
      </c>
      <c r="G216" s="1787">
        <v>35.111618939517143</v>
      </c>
      <c r="H216" s="1788"/>
      <c r="I216" s="1787">
        <v>22.338119151052211</v>
      </c>
      <c r="J216" s="1787">
        <v>27.338119151052211</v>
      </c>
      <c r="K216" s="1787">
        <v>32.338119151052211</v>
      </c>
      <c r="M216" s="1791">
        <v>42887</v>
      </c>
      <c r="N216" s="1792">
        <v>29.157105453202796</v>
      </c>
      <c r="O216" s="1792">
        <v>34.157105453202796</v>
      </c>
      <c r="P216" s="1792">
        <v>39.157105453202796</v>
      </c>
      <c r="Q216" s="29"/>
      <c r="R216" s="1792">
        <v>20.617829089902102</v>
      </c>
      <c r="S216" s="1792">
        <v>25.617829089902102</v>
      </c>
      <c r="T216" s="1792">
        <v>30.617829089902102</v>
      </c>
      <c r="V216" s="500">
        <v>0</v>
      </c>
      <c r="W216" s="500">
        <v>0</v>
      </c>
      <c r="X216" s="500">
        <v>0</v>
      </c>
      <c r="Y216" s="27"/>
      <c r="Z216" s="1792">
        <v>0.09</v>
      </c>
      <c r="AA216" s="1792">
        <v>0.1</v>
      </c>
      <c r="AB216" s="1792">
        <v>0.11</v>
      </c>
      <c r="AC216" s="29"/>
      <c r="AD216" s="1792">
        <v>0.09</v>
      </c>
      <c r="AE216" s="1792">
        <v>0.11</v>
      </c>
      <c r="AF216" s="1792">
        <v>0.13</v>
      </c>
      <c r="AG216" s="29"/>
      <c r="AH216" s="1792">
        <v>-0.35</v>
      </c>
      <c r="AI216" s="1792">
        <v>0.65</v>
      </c>
      <c r="AJ216" s="1792">
        <v>0.2</v>
      </c>
      <c r="AK216" s="29"/>
      <c r="AL216" s="1792">
        <v>-0.01</v>
      </c>
      <c r="AM216" s="1792">
        <v>0.16</v>
      </c>
      <c r="AN216" s="1792">
        <v>0.01</v>
      </c>
      <c r="AO216" s="29"/>
      <c r="AP216" s="14">
        <v>69</v>
      </c>
      <c r="AQ216" s="1802">
        <v>0.35</v>
      </c>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325">
        <v>43040</v>
      </c>
      <c r="BR216" s="415">
        <v>3.7625000000000002</v>
      </c>
      <c r="BS216" s="415">
        <v>3.7675000000000001</v>
      </c>
      <c r="BT216" s="415">
        <v>3.7725</v>
      </c>
      <c r="BU216" s="416">
        <v>0.14349999999999999</v>
      </c>
      <c r="BV216" s="416">
        <v>0.15</v>
      </c>
      <c r="BW216" s="416">
        <v>0.1585</v>
      </c>
      <c r="BX216" s="416">
        <v>-7.0000000000000007E-2</v>
      </c>
      <c r="BY216" s="416"/>
      <c r="BZ216" s="416">
        <v>7.0000000000000007E-2</v>
      </c>
      <c r="CA216" s="432">
        <v>0</v>
      </c>
      <c r="CB216" s="1618">
        <v>0</v>
      </c>
      <c r="CC216" s="445">
        <v>3.5640000000000005</v>
      </c>
      <c r="CD216" s="449">
        <v>0.1585</v>
      </c>
    </row>
    <row r="217" spans="1:82">
      <c r="A217" s="325">
        <v>43160</v>
      </c>
      <c r="B217" s="416">
        <v>7.2902771719809023E-2</v>
      </c>
      <c r="C217" s="11"/>
      <c r="D217" s="1786">
        <v>42036</v>
      </c>
      <c r="E217" s="1787">
        <v>24.61161893951714</v>
      </c>
      <c r="F217" s="1787">
        <v>29.61161893951714</v>
      </c>
      <c r="G217" s="1787">
        <v>34.611618939517143</v>
      </c>
      <c r="H217" s="1788"/>
      <c r="I217" s="1787">
        <v>23.30714285714286</v>
      </c>
      <c r="J217" s="1787">
        <v>28.30714285714286</v>
      </c>
      <c r="K217" s="1787">
        <v>33.307142857142864</v>
      </c>
      <c r="M217" s="1791">
        <v>42917</v>
      </c>
      <c r="N217" s="1792">
        <v>55.921419844316546</v>
      </c>
      <c r="O217" s="1792">
        <v>60.921419844316546</v>
      </c>
      <c r="P217" s="1792">
        <v>65.921419844316546</v>
      </c>
      <c r="Q217" s="29"/>
      <c r="R217" s="1792">
        <v>40.691064883237416</v>
      </c>
      <c r="S217" s="1792">
        <v>45.691064883237416</v>
      </c>
      <c r="T217" s="1792">
        <v>50.691064883237416</v>
      </c>
      <c r="V217" s="500">
        <v>0</v>
      </c>
      <c r="W217" s="500">
        <v>0</v>
      </c>
      <c r="X217" s="500">
        <v>0</v>
      </c>
      <c r="Y217" s="27"/>
      <c r="Z217" s="1792">
        <v>0.09</v>
      </c>
      <c r="AA217" s="1792">
        <v>0.1</v>
      </c>
      <c r="AB217" s="1792">
        <v>0.11</v>
      </c>
      <c r="AC217" s="29"/>
      <c r="AD217" s="1792">
        <v>0.09</v>
      </c>
      <c r="AE217" s="1792">
        <v>0.11</v>
      </c>
      <c r="AF217" s="1792">
        <v>0.13</v>
      </c>
      <c r="AG217" s="29"/>
      <c r="AH217" s="1792">
        <v>-0.35</v>
      </c>
      <c r="AI217" s="1792">
        <v>0.65</v>
      </c>
      <c r="AJ217" s="1792">
        <v>0.35</v>
      </c>
      <c r="AK217" s="29"/>
      <c r="AL217" s="1792">
        <v>-0.01</v>
      </c>
      <c r="AM217" s="1792">
        <v>0.16</v>
      </c>
      <c r="AN217" s="1792">
        <v>0.01</v>
      </c>
      <c r="AO217" s="29"/>
      <c r="AP217" s="14">
        <v>70</v>
      </c>
      <c r="AQ217" s="1802">
        <v>0.35</v>
      </c>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325">
        <v>43070</v>
      </c>
      <c r="BR217" s="415">
        <v>3.8435000000000001</v>
      </c>
      <c r="BS217" s="415">
        <v>3.8485000000000005</v>
      </c>
      <c r="BT217" s="415">
        <v>3.8535000000000004</v>
      </c>
      <c r="BU217" s="416">
        <v>0.14349999999999999</v>
      </c>
      <c r="BV217" s="416">
        <v>0.15</v>
      </c>
      <c r="BW217" s="416">
        <v>0.1585</v>
      </c>
      <c r="BX217" s="416">
        <v>-7.0000000000000007E-2</v>
      </c>
      <c r="BY217" s="416"/>
      <c r="BZ217" s="416">
        <v>7.0000000000000007E-2</v>
      </c>
      <c r="CA217" s="432">
        <v>0</v>
      </c>
      <c r="CB217" s="1618">
        <v>0</v>
      </c>
      <c r="CC217" s="445">
        <v>3.54</v>
      </c>
      <c r="CD217" s="449">
        <v>0.1585</v>
      </c>
    </row>
    <row r="218" spans="1:82">
      <c r="A218" s="325">
        <v>43191</v>
      </c>
      <c r="B218" s="416">
        <v>7.2903785665122012E-2</v>
      </c>
      <c r="C218" s="11"/>
      <c r="D218" s="1786">
        <v>42064</v>
      </c>
      <c r="E218" s="1787">
        <v>24.36161893951714</v>
      </c>
      <c r="F218" s="1787">
        <v>29.36161893951714</v>
      </c>
      <c r="G218" s="1787">
        <v>34.361618939517143</v>
      </c>
      <c r="H218" s="1788"/>
      <c r="I218" s="1787">
        <v>23.587096774193554</v>
      </c>
      <c r="J218" s="1787">
        <v>28.587096774193554</v>
      </c>
      <c r="K218" s="1787">
        <v>33.587096774193554</v>
      </c>
      <c r="M218" s="1791">
        <v>42948</v>
      </c>
      <c r="N218" s="1792">
        <v>76.546419844316546</v>
      </c>
      <c r="O218" s="1792">
        <v>81.546419844316546</v>
      </c>
      <c r="P218" s="1792">
        <v>86.546419844316546</v>
      </c>
      <c r="Q218" s="29"/>
      <c r="R218" s="1792">
        <v>56.159814883237416</v>
      </c>
      <c r="S218" s="1792">
        <v>61.159814883237416</v>
      </c>
      <c r="T218" s="1792">
        <v>66.159814883237416</v>
      </c>
      <c r="V218" s="500">
        <v>0</v>
      </c>
      <c r="W218" s="500">
        <v>0</v>
      </c>
      <c r="X218" s="500">
        <v>0</v>
      </c>
      <c r="Y218" s="27"/>
      <c r="Z218" s="1792">
        <v>0.09</v>
      </c>
      <c r="AA218" s="1792">
        <v>0.1</v>
      </c>
      <c r="AB218" s="1792">
        <v>0.11</v>
      </c>
      <c r="AC218" s="29"/>
      <c r="AD218" s="1792">
        <v>0.09</v>
      </c>
      <c r="AE218" s="1792">
        <v>0.11</v>
      </c>
      <c r="AF218" s="1792">
        <v>0.13</v>
      </c>
      <c r="AG218" s="29"/>
      <c r="AH218" s="1792">
        <v>-0.35</v>
      </c>
      <c r="AI218" s="1792">
        <v>3</v>
      </c>
      <c r="AJ218" s="1792">
        <v>0.35</v>
      </c>
      <c r="AK218" s="29"/>
      <c r="AL218" s="1792">
        <v>-0.01</v>
      </c>
      <c r="AM218" s="1792">
        <v>0.16</v>
      </c>
      <c r="AN218" s="1792">
        <v>0.01</v>
      </c>
      <c r="AO218" s="29"/>
      <c r="AP218" s="14">
        <v>70</v>
      </c>
      <c r="AQ218" s="1802">
        <v>0.35</v>
      </c>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325">
        <v>43101</v>
      </c>
      <c r="BR218" s="415">
        <v>3.8875000000000002</v>
      </c>
      <c r="BS218" s="415">
        <v>3.8925000000000001</v>
      </c>
      <c r="BT218" s="415">
        <v>3.8975</v>
      </c>
      <c r="BU218" s="1722">
        <f>BU217</f>
        <v>0.14349999999999999</v>
      </c>
      <c r="BV218" s="1722">
        <f>BV217</f>
        <v>0.15</v>
      </c>
      <c r="BW218" s="1722">
        <f>BW217</f>
        <v>0.1585</v>
      </c>
      <c r="BX218" s="416">
        <v>-7.0000000000000007E-2</v>
      </c>
      <c r="BY218" s="416"/>
      <c r="BZ218" s="416">
        <v>7.0000000000000007E-2</v>
      </c>
      <c r="CA218" s="432">
        <v>0</v>
      </c>
      <c r="CB218" s="1618">
        <v>0</v>
      </c>
      <c r="CC218" s="445">
        <v>3.5470000000000002</v>
      </c>
      <c r="CD218" s="449">
        <v>0.1585</v>
      </c>
    </row>
    <row r="219" spans="1:82">
      <c r="A219" s="325">
        <v>43221</v>
      </c>
      <c r="B219" s="416">
        <v>7.2904766902522997E-2</v>
      </c>
      <c r="C219" s="11"/>
      <c r="D219" s="1786">
        <v>42095</v>
      </c>
      <c r="E219" s="1787">
        <v>24.502014849172699</v>
      </c>
      <c r="F219" s="1787">
        <v>29.502014849172699</v>
      </c>
      <c r="G219" s="1787">
        <v>34.502014849172696</v>
      </c>
      <c r="H219" s="1788"/>
      <c r="I219" s="1787">
        <v>21.387499999999999</v>
      </c>
      <c r="J219" s="1787">
        <v>26.387499999999999</v>
      </c>
      <c r="K219" s="1787">
        <v>31.387499999999999</v>
      </c>
      <c r="M219" s="1791">
        <v>42979</v>
      </c>
      <c r="N219" s="1792">
        <v>60.546419844316546</v>
      </c>
      <c r="O219" s="1792">
        <v>65.546419844316546</v>
      </c>
      <c r="P219" s="1792">
        <v>70.546419844316546</v>
      </c>
      <c r="Q219" s="29"/>
      <c r="R219" s="1792">
        <v>44.159814883237416</v>
      </c>
      <c r="S219" s="1792">
        <v>49.159814883237416</v>
      </c>
      <c r="T219" s="1792">
        <v>54.159814883237416</v>
      </c>
      <c r="V219" s="500">
        <v>0</v>
      </c>
      <c r="W219" s="500">
        <v>0</v>
      </c>
      <c r="X219" s="500">
        <v>0</v>
      </c>
      <c r="Y219" s="27"/>
      <c r="Z219" s="1792">
        <v>0.09</v>
      </c>
      <c r="AA219" s="1792">
        <v>0.1</v>
      </c>
      <c r="AB219" s="1792">
        <v>0.11</v>
      </c>
      <c r="AC219" s="29"/>
      <c r="AD219" s="1792">
        <v>0.09</v>
      </c>
      <c r="AE219" s="1792">
        <v>0.11</v>
      </c>
      <c r="AF219" s="1792">
        <v>0.13</v>
      </c>
      <c r="AG219" s="29"/>
      <c r="AH219" s="1792">
        <v>-0.35</v>
      </c>
      <c r="AI219" s="1792">
        <v>3</v>
      </c>
      <c r="AJ219" s="1792">
        <v>0.2</v>
      </c>
      <c r="AK219" s="29"/>
      <c r="AL219" s="1792">
        <v>-0.01</v>
      </c>
      <c r="AM219" s="1792">
        <v>0.16</v>
      </c>
      <c r="AN219" s="1792">
        <v>0.01</v>
      </c>
      <c r="AO219" s="29"/>
      <c r="AP219" s="14">
        <v>70</v>
      </c>
      <c r="AQ219" s="1802">
        <v>0.35</v>
      </c>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325">
        <v>43132</v>
      </c>
      <c r="BR219" s="415">
        <v>3.8344999999999998</v>
      </c>
      <c r="BS219" s="415">
        <v>3.8395000000000001</v>
      </c>
      <c r="BT219" s="415">
        <v>3.8445</v>
      </c>
      <c r="BU219" s="1722">
        <f t="shared" ref="BU219:BU282" si="0">BU218</f>
        <v>0.14349999999999999</v>
      </c>
      <c r="BV219" s="1722">
        <f t="shared" ref="BV219:BV282" si="1">BV218</f>
        <v>0.15</v>
      </c>
      <c r="BW219" s="1722">
        <f t="shared" ref="BW219:BW282" si="2">BW218</f>
        <v>0.1585</v>
      </c>
      <c r="BX219" s="416">
        <v>-7.0000000000000007E-2</v>
      </c>
      <c r="BY219" s="416"/>
      <c r="BZ219" s="416">
        <v>7.0000000000000007E-2</v>
      </c>
      <c r="CA219" s="432">
        <v>0</v>
      </c>
      <c r="CB219" s="1618">
        <v>0</v>
      </c>
      <c r="CC219" s="445">
        <v>3.5530000000000004</v>
      </c>
      <c r="CD219" s="449">
        <v>0.1585</v>
      </c>
    </row>
    <row r="220" spans="1:82">
      <c r="A220" s="325">
        <v>43252</v>
      </c>
      <c r="B220" s="416">
        <v>7.2905780847837026E-2</v>
      </c>
      <c r="C220" s="11"/>
      <c r="D220" s="1786">
        <v>42125</v>
      </c>
      <c r="E220" s="1787">
        <v>23.752014849172699</v>
      </c>
      <c r="F220" s="1787">
        <v>28.752014849172699</v>
      </c>
      <c r="G220" s="1787">
        <v>33.752014849172696</v>
      </c>
      <c r="H220" s="1788"/>
      <c r="I220" s="1787">
        <v>21.445967741935487</v>
      </c>
      <c r="J220" s="1787">
        <v>26.445967741935487</v>
      </c>
      <c r="K220" s="1787">
        <v>31.445967741935487</v>
      </c>
      <c r="M220" s="1791">
        <v>43009</v>
      </c>
      <c r="N220" s="1792">
        <v>32.34620089012958</v>
      </c>
      <c r="O220" s="1792">
        <v>37.34620089012958</v>
      </c>
      <c r="P220" s="1792">
        <v>42.34620089012958</v>
      </c>
      <c r="Q220" s="29"/>
      <c r="R220" s="1792">
        <v>23.009650667597178</v>
      </c>
      <c r="S220" s="1792">
        <v>28.009650667597178</v>
      </c>
      <c r="T220" s="1792">
        <v>33.009650667597178</v>
      </c>
      <c r="V220" s="500">
        <v>0</v>
      </c>
      <c r="W220" s="500">
        <v>0</v>
      </c>
      <c r="X220" s="500">
        <v>0</v>
      </c>
      <c r="Y220" s="27"/>
      <c r="Z220" s="1792">
        <v>0.09</v>
      </c>
      <c r="AA220" s="1792">
        <v>0.1</v>
      </c>
      <c r="AB220" s="1792">
        <v>0.11</v>
      </c>
      <c r="AC220" s="29"/>
      <c r="AD220" s="1792">
        <v>0.09</v>
      </c>
      <c r="AE220" s="1792">
        <v>0.11</v>
      </c>
      <c r="AF220" s="1792">
        <v>0.13</v>
      </c>
      <c r="AG220" s="29"/>
      <c r="AH220" s="1792">
        <v>-0.1</v>
      </c>
      <c r="AI220" s="1792">
        <v>3</v>
      </c>
      <c r="AJ220" s="1792">
        <v>0.1</v>
      </c>
      <c r="AK220" s="29"/>
      <c r="AL220" s="1792">
        <v>-0.01</v>
      </c>
      <c r="AM220" s="1792">
        <v>0.16</v>
      </c>
      <c r="AN220" s="1792">
        <v>0.01</v>
      </c>
      <c r="AO220" s="29"/>
      <c r="AP220" s="14">
        <v>71</v>
      </c>
      <c r="AQ220" s="1802">
        <v>0.35</v>
      </c>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325">
        <v>43160</v>
      </c>
      <c r="BR220" s="415">
        <v>3.7645</v>
      </c>
      <c r="BS220" s="415">
        <v>3.7694999999999999</v>
      </c>
      <c r="BT220" s="415">
        <v>3.7744999999999997</v>
      </c>
      <c r="BU220" s="1722">
        <f t="shared" si="0"/>
        <v>0.14349999999999999</v>
      </c>
      <c r="BV220" s="1722">
        <f t="shared" si="1"/>
        <v>0.15</v>
      </c>
      <c r="BW220" s="1722">
        <f t="shared" si="2"/>
        <v>0.1585</v>
      </c>
      <c r="BX220" s="416">
        <v>-7.0000000000000007E-2</v>
      </c>
      <c r="BY220" s="416"/>
      <c r="BZ220" s="416">
        <v>7.0000000000000007E-2</v>
      </c>
      <c r="CA220" s="432">
        <v>0</v>
      </c>
      <c r="CB220" s="1618">
        <v>0</v>
      </c>
      <c r="CC220" s="445">
        <v>3.5580000000000003</v>
      </c>
      <c r="CD220" s="449">
        <v>0.1585</v>
      </c>
    </row>
    <row r="221" spans="1:82">
      <c r="A221" s="325">
        <v>43282</v>
      </c>
      <c r="B221" s="416">
        <v>7.2906762085238011E-2</v>
      </c>
      <c r="C221" s="11"/>
      <c r="D221" s="1786">
        <v>42156</v>
      </c>
      <c r="E221" s="1787">
        <v>29.002014849172703</v>
      </c>
      <c r="F221" s="1787">
        <v>34.002014849172703</v>
      </c>
      <c r="G221" s="1787">
        <v>39.002014849172703</v>
      </c>
      <c r="H221" s="1788"/>
      <c r="I221" s="1787">
        <v>20.7</v>
      </c>
      <c r="J221" s="1787">
        <v>25.7</v>
      </c>
      <c r="K221" s="1787">
        <v>30.7</v>
      </c>
      <c r="M221" s="1791">
        <v>43040</v>
      </c>
      <c r="N221" s="1792">
        <v>24.596200890129591</v>
      </c>
      <c r="O221" s="1792">
        <v>29.596200890129591</v>
      </c>
      <c r="P221" s="1792">
        <v>34.596200890129595</v>
      </c>
      <c r="Q221" s="29"/>
      <c r="R221" s="1792">
        <v>17.197150667597178</v>
      </c>
      <c r="S221" s="1792">
        <v>22.197150667597178</v>
      </c>
      <c r="T221" s="1792">
        <v>27.197150667597178</v>
      </c>
      <c r="V221" s="500">
        <v>0</v>
      </c>
      <c r="W221" s="500">
        <v>0</v>
      </c>
      <c r="X221" s="500">
        <v>0</v>
      </c>
      <c r="Y221" s="27"/>
      <c r="Z221" s="1792">
        <v>0.09</v>
      </c>
      <c r="AA221" s="1792">
        <v>0.1</v>
      </c>
      <c r="AB221" s="1792">
        <v>0.11</v>
      </c>
      <c r="AC221" s="29"/>
      <c r="AD221" s="1792">
        <v>0.09</v>
      </c>
      <c r="AE221" s="1792">
        <v>0.11</v>
      </c>
      <c r="AF221" s="1792">
        <v>0.13</v>
      </c>
      <c r="AG221" s="29"/>
      <c r="AH221" s="1792">
        <v>-0.1</v>
      </c>
      <c r="AI221" s="1792">
        <v>0.6</v>
      </c>
      <c r="AJ221" s="1792">
        <v>0.1</v>
      </c>
      <c r="AK221" s="29"/>
      <c r="AL221" s="1792">
        <v>-0.01</v>
      </c>
      <c r="AM221" s="1792">
        <v>0.16</v>
      </c>
      <c r="AN221" s="1792">
        <v>0.01</v>
      </c>
      <c r="AO221" s="29"/>
      <c r="AP221" s="14">
        <v>71</v>
      </c>
      <c r="AQ221" s="1802">
        <v>0.35</v>
      </c>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325">
        <v>43191</v>
      </c>
      <c r="BR221" s="415">
        <v>3.7094999999999998</v>
      </c>
      <c r="BS221" s="415">
        <v>3.7145000000000001</v>
      </c>
      <c r="BT221" s="415">
        <v>3.7195</v>
      </c>
      <c r="BU221" s="1722">
        <f t="shared" si="0"/>
        <v>0.14349999999999999</v>
      </c>
      <c r="BV221" s="1722">
        <f t="shared" si="1"/>
        <v>0.15</v>
      </c>
      <c r="BW221" s="1722">
        <f t="shared" si="2"/>
        <v>0.1585</v>
      </c>
      <c r="BX221" s="416">
        <v>-7.0000000000000007E-2</v>
      </c>
      <c r="BY221" s="416"/>
      <c r="BZ221" s="416">
        <v>7.0000000000000007E-2</v>
      </c>
      <c r="CA221" s="432">
        <v>0</v>
      </c>
      <c r="CB221" s="1618">
        <v>0</v>
      </c>
      <c r="CC221" s="445">
        <v>3.5610000000000004</v>
      </c>
      <c r="CD221" s="449">
        <v>0.1585</v>
      </c>
    </row>
    <row r="222" spans="1:82">
      <c r="A222" s="325">
        <v>43313</v>
      </c>
      <c r="B222" s="416">
        <v>7.2907776030552998E-2</v>
      </c>
      <c r="C222" s="11"/>
      <c r="D222" s="1786">
        <v>42186</v>
      </c>
      <c r="E222" s="1787">
        <v>55.572028659095253</v>
      </c>
      <c r="F222" s="1787">
        <v>60.572028659095253</v>
      </c>
      <c r="G222" s="1787">
        <v>65.572028659095253</v>
      </c>
      <c r="H222" s="1788"/>
      <c r="I222" s="1787">
        <v>26.724193548387102</v>
      </c>
      <c r="J222" s="1787">
        <v>31.724193548387102</v>
      </c>
      <c r="K222" s="1787">
        <v>36.724193548387106</v>
      </c>
      <c r="M222" s="1791">
        <v>43070</v>
      </c>
      <c r="N222" s="1792">
        <v>26.596200890129587</v>
      </c>
      <c r="O222" s="1792">
        <v>31.596200890129587</v>
      </c>
      <c r="P222" s="1792">
        <v>36.596200890129587</v>
      </c>
      <c r="Q222" s="29"/>
      <c r="R222" s="1792">
        <v>18.697150667597178</v>
      </c>
      <c r="S222" s="1792">
        <v>23.697150667597178</v>
      </c>
      <c r="T222" s="1792">
        <v>28.697150667597178</v>
      </c>
      <c r="V222" s="500">
        <v>0</v>
      </c>
      <c r="W222" s="500">
        <v>0</v>
      </c>
      <c r="X222" s="500">
        <v>0</v>
      </c>
      <c r="Y222" s="27"/>
      <c r="Z222" s="1792">
        <v>0.09</v>
      </c>
      <c r="AA222" s="1792">
        <v>0.1</v>
      </c>
      <c r="AB222" s="1792">
        <v>0.11</v>
      </c>
      <c r="AC222" s="29"/>
      <c r="AD222" s="1792">
        <v>0.09</v>
      </c>
      <c r="AE222" s="1792">
        <v>0.11</v>
      </c>
      <c r="AF222" s="1792">
        <v>0.13</v>
      </c>
      <c r="AG222" s="29"/>
      <c r="AH222" s="1792">
        <v>-0.25</v>
      </c>
      <c r="AI222" s="1792">
        <v>0.6</v>
      </c>
      <c r="AJ222" s="1792">
        <v>0.25</v>
      </c>
      <c r="AK222" s="29"/>
      <c r="AL222" s="1792">
        <v>-0.01</v>
      </c>
      <c r="AM222" s="1792">
        <v>0.16</v>
      </c>
      <c r="AN222" s="1792">
        <v>0.01</v>
      </c>
      <c r="AO222" s="29"/>
      <c r="AP222" s="14">
        <v>71</v>
      </c>
      <c r="AQ222" s="1802">
        <v>0.35</v>
      </c>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325">
        <v>43221</v>
      </c>
      <c r="BR222" s="415">
        <v>3.7385000000000002</v>
      </c>
      <c r="BS222" s="415">
        <v>3.7435000000000005</v>
      </c>
      <c r="BT222" s="415">
        <v>3.7485000000000004</v>
      </c>
      <c r="BU222" s="1722">
        <f t="shared" si="0"/>
        <v>0.14349999999999999</v>
      </c>
      <c r="BV222" s="1722">
        <f t="shared" si="1"/>
        <v>0.15</v>
      </c>
      <c r="BW222" s="1722">
        <f t="shared" si="2"/>
        <v>0.1585</v>
      </c>
      <c r="BX222" s="416">
        <v>-7.0000000000000007E-2</v>
      </c>
      <c r="BY222" s="416"/>
      <c r="BZ222" s="416">
        <v>7.0000000000000007E-2</v>
      </c>
      <c r="CA222" s="432">
        <v>0</v>
      </c>
      <c r="CB222" s="1618">
        <v>0</v>
      </c>
      <c r="CC222" s="445">
        <v>3.5940000000000003</v>
      </c>
      <c r="CD222" s="449">
        <v>0.1585</v>
      </c>
    </row>
    <row r="223" spans="1:82">
      <c r="A223" s="325">
        <v>43344</v>
      </c>
      <c r="B223" s="416">
        <v>7.2908789975867014E-2</v>
      </c>
      <c r="C223" s="11"/>
      <c r="D223" s="1786">
        <v>42217</v>
      </c>
      <c r="E223" s="1787">
        <v>76.197028659095253</v>
      </c>
      <c r="F223" s="1787">
        <v>81.197028659095253</v>
      </c>
      <c r="G223" s="1787">
        <v>86.197028659095253</v>
      </c>
      <c r="H223" s="1788"/>
      <c r="I223" s="1787">
        <v>24.724193548387102</v>
      </c>
      <c r="J223" s="1787">
        <v>29.724193548387102</v>
      </c>
      <c r="K223" s="1787">
        <v>34.724193548387106</v>
      </c>
      <c r="M223" s="1791">
        <v>43101</v>
      </c>
      <c r="N223" s="1792">
        <v>25.327385769395963</v>
      </c>
      <c r="O223" s="1792">
        <v>30.327385769395963</v>
      </c>
      <c r="P223" s="1792">
        <v>35.32738576939596</v>
      </c>
      <c r="Q223" s="29"/>
      <c r="R223" s="1792">
        <v>17.74553932704697</v>
      </c>
      <c r="S223" s="1792">
        <v>22.74553932704697</v>
      </c>
      <c r="T223" s="1792">
        <v>27.74553932704697</v>
      </c>
      <c r="V223" s="500">
        <v>0</v>
      </c>
      <c r="W223" s="500">
        <v>0</v>
      </c>
      <c r="X223" s="500">
        <v>0</v>
      </c>
      <c r="Y223" s="27"/>
      <c r="Z223" s="1792">
        <v>0.09</v>
      </c>
      <c r="AA223" s="1792">
        <v>0.1</v>
      </c>
      <c r="AB223" s="1792">
        <v>0.11</v>
      </c>
      <c r="AC223" s="29"/>
      <c r="AD223" s="1792">
        <v>0.09</v>
      </c>
      <c r="AE223" s="1792">
        <v>0.11</v>
      </c>
      <c r="AF223" s="1792">
        <v>0.13</v>
      </c>
      <c r="AG223" s="29"/>
      <c r="AH223" s="1792">
        <v>-0.25</v>
      </c>
      <c r="AI223" s="1792">
        <v>0.6</v>
      </c>
      <c r="AJ223" s="1792">
        <v>0.25</v>
      </c>
      <c r="AK223" s="29"/>
      <c r="AL223" s="1792">
        <v>-0.01</v>
      </c>
      <c r="AM223" s="1792">
        <v>0.16</v>
      </c>
      <c r="AN223" s="1792">
        <v>0.01</v>
      </c>
      <c r="AO223" s="29"/>
      <c r="AP223" s="14">
        <v>72</v>
      </c>
      <c r="AQ223" s="1802">
        <v>0.35</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325">
        <v>43252</v>
      </c>
      <c r="BR223" s="415">
        <v>3.7605000000000004</v>
      </c>
      <c r="BS223" s="415">
        <v>3.7655000000000003</v>
      </c>
      <c r="BT223" s="415">
        <v>3.7705000000000002</v>
      </c>
      <c r="BU223" s="1722">
        <f t="shared" si="0"/>
        <v>0.14349999999999999</v>
      </c>
      <c r="BV223" s="1722">
        <f t="shared" si="1"/>
        <v>0.15</v>
      </c>
      <c r="BW223" s="1722">
        <f t="shared" si="2"/>
        <v>0.1585</v>
      </c>
      <c r="BX223" s="416">
        <v>-7.0000000000000007E-2</v>
      </c>
      <c r="BY223" s="416"/>
      <c r="BZ223" s="416">
        <v>7.0000000000000007E-2</v>
      </c>
      <c r="CA223" s="432">
        <v>0</v>
      </c>
      <c r="CB223" s="1618">
        <v>0</v>
      </c>
      <c r="CC223" s="445">
        <v>3.7349999999999999</v>
      </c>
      <c r="CD223" s="449">
        <v>0.1585</v>
      </c>
    </row>
    <row r="224" spans="1:82">
      <c r="A224" s="325">
        <v>43374</v>
      </c>
      <c r="B224" s="416">
        <v>7.2909771213269026E-2</v>
      </c>
      <c r="C224" s="11"/>
      <c r="D224" s="1786">
        <v>42248</v>
      </c>
      <c r="E224" s="1787">
        <v>60.197028659095253</v>
      </c>
      <c r="F224" s="1787">
        <v>65.197028659095253</v>
      </c>
      <c r="G224" s="1787">
        <v>70.197028659095253</v>
      </c>
      <c r="H224" s="1788"/>
      <c r="I224" s="1787">
        <v>25.137499999999999</v>
      </c>
      <c r="J224" s="1787">
        <v>30.137499999999999</v>
      </c>
      <c r="K224" s="1787">
        <v>35.137500000000003</v>
      </c>
      <c r="M224" s="1791">
        <v>43132</v>
      </c>
      <c r="N224" s="1792">
        <v>24.827385769395963</v>
      </c>
      <c r="O224" s="1792">
        <v>29.827385769395963</v>
      </c>
      <c r="P224" s="1792">
        <v>34.82738576939596</v>
      </c>
      <c r="Q224" s="29"/>
      <c r="R224" s="1792">
        <v>17.37053932704697</v>
      </c>
      <c r="S224" s="1792">
        <v>22.37053932704697</v>
      </c>
      <c r="T224" s="1792">
        <v>27.37053932704697</v>
      </c>
      <c r="V224" s="500">
        <v>0</v>
      </c>
      <c r="W224" s="500">
        <v>0</v>
      </c>
      <c r="X224" s="500">
        <v>0</v>
      </c>
      <c r="Y224" s="27"/>
      <c r="Z224" s="1792">
        <v>0.09</v>
      </c>
      <c r="AA224" s="1792">
        <v>0.1</v>
      </c>
      <c r="AB224" s="1792">
        <v>0.11</v>
      </c>
      <c r="AC224" s="29"/>
      <c r="AD224" s="1792">
        <v>0.09</v>
      </c>
      <c r="AE224" s="1792">
        <v>0.11</v>
      </c>
      <c r="AF224" s="1792">
        <v>0.13</v>
      </c>
      <c r="AG224" s="29"/>
      <c r="AH224" s="1792">
        <v>-0.25</v>
      </c>
      <c r="AI224" s="1792">
        <v>0.65</v>
      </c>
      <c r="AJ224" s="1792">
        <v>0.25</v>
      </c>
      <c r="AK224" s="29"/>
      <c r="AL224" s="1792">
        <v>-0.01</v>
      </c>
      <c r="AM224" s="1792">
        <v>0.16</v>
      </c>
      <c r="AN224" s="1792">
        <v>0.01</v>
      </c>
      <c r="AO224" s="29"/>
      <c r="AP224" s="14">
        <v>72</v>
      </c>
      <c r="AQ224" s="1802">
        <v>0.35</v>
      </c>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325">
        <v>43282</v>
      </c>
      <c r="BR224" s="415">
        <v>3.7685000000000004</v>
      </c>
      <c r="BS224" s="415">
        <v>3.7735000000000003</v>
      </c>
      <c r="BT224" s="415">
        <v>3.7785000000000002</v>
      </c>
      <c r="BU224" s="1722">
        <f t="shared" si="0"/>
        <v>0.14349999999999999</v>
      </c>
      <c r="BV224" s="1722">
        <f t="shared" si="1"/>
        <v>0.15</v>
      </c>
      <c r="BW224" s="1722">
        <f t="shared" si="2"/>
        <v>0.1585</v>
      </c>
      <c r="BX224" s="416">
        <v>-7.0000000000000007E-2</v>
      </c>
      <c r="BY224" s="416"/>
      <c r="BZ224" s="416">
        <v>7.0000000000000007E-2</v>
      </c>
      <c r="CA224" s="432">
        <v>0</v>
      </c>
      <c r="CB224" s="1618">
        <v>0</v>
      </c>
      <c r="CC224" s="445">
        <v>3.88</v>
      </c>
      <c r="CD224" s="449">
        <v>0.1585</v>
      </c>
    </row>
    <row r="225" spans="1:82">
      <c r="A225" s="325">
        <v>43405</v>
      </c>
      <c r="B225" s="416">
        <v>7.2910785158585026E-2</v>
      </c>
      <c r="C225" s="11"/>
      <c r="D225" s="1786">
        <v>42278</v>
      </c>
      <c r="E225" s="1787">
        <v>32.193292938959374</v>
      </c>
      <c r="F225" s="1787">
        <v>37.193292938959374</v>
      </c>
      <c r="G225" s="1787">
        <v>42.193292938959374</v>
      </c>
      <c r="H225" s="1788"/>
      <c r="I225" s="1787">
        <v>24.651612903225811</v>
      </c>
      <c r="J225" s="1787">
        <v>29.651612903225811</v>
      </c>
      <c r="K225" s="1787">
        <v>34.651612903225811</v>
      </c>
      <c r="M225" s="1791">
        <v>43160</v>
      </c>
      <c r="N225" s="1792">
        <v>24.077385769395963</v>
      </c>
      <c r="O225" s="1792">
        <v>29.077385769395963</v>
      </c>
      <c r="P225" s="1792">
        <v>34.07738576939596</v>
      </c>
      <c r="Q225" s="29"/>
      <c r="R225" s="1792">
        <v>16.80803932704697</v>
      </c>
      <c r="S225" s="1792">
        <v>21.80803932704697</v>
      </c>
      <c r="T225" s="1792">
        <v>26.80803932704697</v>
      </c>
      <c r="V225" s="500">
        <v>0</v>
      </c>
      <c r="W225" s="500">
        <v>0</v>
      </c>
      <c r="X225" s="500">
        <v>0</v>
      </c>
      <c r="Y225" s="27"/>
      <c r="Z225" s="1792">
        <v>0.09</v>
      </c>
      <c r="AA225" s="1792">
        <v>0.1</v>
      </c>
      <c r="AB225" s="1792">
        <v>0.11</v>
      </c>
      <c r="AC225" s="29"/>
      <c r="AD225" s="1792">
        <v>0.09</v>
      </c>
      <c r="AE225" s="1792">
        <v>0.11</v>
      </c>
      <c r="AF225" s="1792">
        <v>0.13</v>
      </c>
      <c r="AG225" s="29"/>
      <c r="AH225" s="1792">
        <v>-0.1</v>
      </c>
      <c r="AI225" s="1792">
        <v>0.65</v>
      </c>
      <c r="AJ225" s="1792">
        <v>0.1</v>
      </c>
      <c r="AK225" s="29"/>
      <c r="AL225" s="1792">
        <v>-0.01</v>
      </c>
      <c r="AM225" s="1792">
        <v>0.16</v>
      </c>
      <c r="AN225" s="1792">
        <v>0.01</v>
      </c>
      <c r="AO225" s="29"/>
      <c r="AP225" s="14">
        <v>72</v>
      </c>
      <c r="AQ225" s="1802">
        <v>0.35</v>
      </c>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325">
        <v>43313</v>
      </c>
      <c r="BR225" s="415">
        <v>3.7774999999999999</v>
      </c>
      <c r="BS225" s="415">
        <v>3.7825000000000002</v>
      </c>
      <c r="BT225" s="415">
        <v>3.7875000000000001</v>
      </c>
      <c r="BU225" s="1722">
        <f t="shared" si="0"/>
        <v>0.14349999999999999</v>
      </c>
      <c r="BV225" s="1722">
        <f t="shared" si="1"/>
        <v>0.15</v>
      </c>
      <c r="BW225" s="1722">
        <f t="shared" si="2"/>
        <v>0.1585</v>
      </c>
      <c r="BX225" s="416">
        <v>-7.0000000000000007E-2</v>
      </c>
      <c r="BY225" s="416"/>
      <c r="BZ225" s="416">
        <v>7.0000000000000007E-2</v>
      </c>
      <c r="CA225" s="432">
        <v>0</v>
      </c>
      <c r="CB225" s="1618">
        <v>0</v>
      </c>
      <c r="CC225" s="445">
        <v>4.0140000000000002</v>
      </c>
      <c r="CD225" s="449">
        <v>0.1585</v>
      </c>
    </row>
    <row r="226" spans="1:82">
      <c r="A226" s="325">
        <v>43435</v>
      </c>
      <c r="B226" s="416">
        <v>7.291176639598701E-2</v>
      </c>
      <c r="C226" s="11"/>
      <c r="D226" s="1786">
        <v>42309</v>
      </c>
      <c r="E226" s="1787">
        <v>24.443292938959384</v>
      </c>
      <c r="F226" s="1787">
        <v>29.443292938959384</v>
      </c>
      <c r="G226" s="1787">
        <v>34.443292938959388</v>
      </c>
      <c r="H226" s="1788"/>
      <c r="I226" s="1787">
        <v>25.991666666666671</v>
      </c>
      <c r="J226" s="1787">
        <v>30.991666666666671</v>
      </c>
      <c r="K226" s="1787">
        <v>35.991666666666674</v>
      </c>
      <c r="M226" s="1791">
        <v>43191</v>
      </c>
      <c r="N226" s="1792">
        <v>23.984650755217839</v>
      </c>
      <c r="O226" s="1792">
        <v>28.984650755217839</v>
      </c>
      <c r="P226" s="1792">
        <v>33.984650755217842</v>
      </c>
      <c r="Q226" s="29"/>
      <c r="R226" s="1792">
        <v>16.738488066413389</v>
      </c>
      <c r="S226" s="1792">
        <v>21.738488066413389</v>
      </c>
      <c r="T226" s="1792">
        <v>26.738488066413389</v>
      </c>
      <c r="V226" s="500">
        <v>0</v>
      </c>
      <c r="W226" s="500">
        <v>0</v>
      </c>
      <c r="X226" s="500">
        <v>0</v>
      </c>
      <c r="Y226" s="27"/>
      <c r="Z226" s="1792">
        <v>0.09</v>
      </c>
      <c r="AA226" s="1792">
        <v>0.1</v>
      </c>
      <c r="AB226" s="1792">
        <v>0.11</v>
      </c>
      <c r="AC226" s="29"/>
      <c r="AD226" s="1792">
        <v>0.09</v>
      </c>
      <c r="AE226" s="1792">
        <v>0.11</v>
      </c>
      <c r="AF226" s="1792">
        <v>0.13</v>
      </c>
      <c r="AG226" s="29"/>
      <c r="AH226" s="1792">
        <v>-0.1</v>
      </c>
      <c r="AI226" s="1792">
        <v>0.65</v>
      </c>
      <c r="AJ226" s="1792">
        <v>0.1</v>
      </c>
      <c r="AK226" s="29"/>
      <c r="AL226" s="1792">
        <v>-0.01</v>
      </c>
      <c r="AM226" s="1792">
        <v>0.16</v>
      </c>
      <c r="AN226" s="1792">
        <v>0.01</v>
      </c>
      <c r="AO226" s="29"/>
      <c r="AP226" s="14">
        <v>73</v>
      </c>
      <c r="AQ226" s="1802">
        <v>0.35</v>
      </c>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325">
        <v>43344</v>
      </c>
      <c r="BR226" s="415">
        <v>3.7694999999999999</v>
      </c>
      <c r="BS226" s="415">
        <v>3.7744999999999997</v>
      </c>
      <c r="BT226" s="415">
        <v>3.7795000000000001</v>
      </c>
      <c r="BU226" s="1722">
        <f t="shared" si="0"/>
        <v>0.14349999999999999</v>
      </c>
      <c r="BV226" s="1722">
        <f t="shared" si="1"/>
        <v>0.15</v>
      </c>
      <c r="BW226" s="1722">
        <f t="shared" si="2"/>
        <v>0.1585</v>
      </c>
      <c r="BX226" s="416">
        <v>-7.0000000000000007E-2</v>
      </c>
      <c r="BY226" s="416"/>
      <c r="BZ226" s="416">
        <v>7.0000000000000007E-2</v>
      </c>
      <c r="CA226" s="432">
        <v>0</v>
      </c>
      <c r="CB226" s="1618">
        <v>0</v>
      </c>
      <c r="CC226" s="445">
        <v>3.8890000000000002</v>
      </c>
      <c r="CD226" s="449">
        <v>0.1585</v>
      </c>
    </row>
    <row r="227" spans="1:82">
      <c r="A227" s="325">
        <v>43466</v>
      </c>
      <c r="B227" s="416">
        <v>7.2912780341304009E-2</v>
      </c>
      <c r="C227" s="11"/>
      <c r="D227" s="1786">
        <v>42339</v>
      </c>
      <c r="E227" s="1787">
        <v>26.443292938959381</v>
      </c>
      <c r="F227" s="1787">
        <v>31.443292938959381</v>
      </c>
      <c r="G227" s="1787">
        <v>36.443292938959381</v>
      </c>
      <c r="H227" s="1788"/>
      <c r="I227" s="1787">
        <v>25.296774193548398</v>
      </c>
      <c r="J227" s="1787">
        <v>30.296774193548398</v>
      </c>
      <c r="K227" s="1787">
        <v>35.296774193548401</v>
      </c>
      <c r="M227" s="1791">
        <v>43221</v>
      </c>
      <c r="N227" s="1792">
        <v>23.984650755217839</v>
      </c>
      <c r="O227" s="1792">
        <v>28.984650755217839</v>
      </c>
      <c r="P227" s="1792">
        <v>33.984650755217842</v>
      </c>
      <c r="Q227" s="29"/>
      <c r="R227" s="1792">
        <v>16.738488066413389</v>
      </c>
      <c r="S227" s="1792">
        <v>21.738488066413389</v>
      </c>
      <c r="T227" s="1792">
        <v>26.738488066413389</v>
      </c>
      <c r="V227" s="500">
        <v>0</v>
      </c>
      <c r="W227" s="500">
        <v>0</v>
      </c>
      <c r="X227" s="500">
        <v>0</v>
      </c>
      <c r="Y227" s="27"/>
      <c r="Z227" s="1792">
        <v>0.09</v>
      </c>
      <c r="AA227" s="1792">
        <v>0.1</v>
      </c>
      <c r="AB227" s="1792">
        <v>0.11</v>
      </c>
      <c r="AC227" s="29"/>
      <c r="AD227" s="1792">
        <v>0.09</v>
      </c>
      <c r="AE227" s="1792">
        <v>0.11</v>
      </c>
      <c r="AF227" s="1792">
        <v>0.13</v>
      </c>
      <c r="AG227" s="29"/>
      <c r="AH227" s="1792">
        <v>-0.1</v>
      </c>
      <c r="AI227" s="1792">
        <v>0.65</v>
      </c>
      <c r="AJ227" s="1792">
        <v>0.1</v>
      </c>
      <c r="AK227" s="29"/>
      <c r="AL227" s="1792">
        <v>-0.01</v>
      </c>
      <c r="AM227" s="1792">
        <v>0.16</v>
      </c>
      <c r="AN227" s="1792">
        <v>0.01</v>
      </c>
      <c r="AO227" s="29"/>
      <c r="AP227" s="14">
        <v>73</v>
      </c>
      <c r="AQ227" s="1802">
        <v>0.35</v>
      </c>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325">
        <v>43374</v>
      </c>
      <c r="BR227" s="415">
        <v>3.7815000000000003</v>
      </c>
      <c r="BS227" s="415">
        <v>3.7865000000000002</v>
      </c>
      <c r="BT227" s="415">
        <v>3.7915000000000005</v>
      </c>
      <c r="BU227" s="1722">
        <f t="shared" si="0"/>
        <v>0.14349999999999999</v>
      </c>
      <c r="BV227" s="1722">
        <f t="shared" si="1"/>
        <v>0.15</v>
      </c>
      <c r="BW227" s="1722">
        <f t="shared" si="2"/>
        <v>0.1585</v>
      </c>
      <c r="BX227" s="416">
        <v>-7.0000000000000007E-2</v>
      </c>
      <c r="BY227" s="416"/>
      <c r="BZ227" s="416">
        <v>7.0000000000000007E-2</v>
      </c>
      <c r="CA227" s="432">
        <v>0</v>
      </c>
      <c r="CB227" s="1618">
        <v>0</v>
      </c>
      <c r="CC227" s="445">
        <v>3.782</v>
      </c>
      <c r="CD227" s="449">
        <v>0.1585</v>
      </c>
    </row>
    <row r="228" spans="1:82">
      <c r="A228" s="325">
        <v>43497</v>
      </c>
      <c r="B228" s="416">
        <v>7.2913794286621023E-2</v>
      </c>
      <c r="C228" s="11"/>
      <c r="D228" s="1786">
        <v>42370</v>
      </c>
      <c r="E228" s="1787">
        <v>25.183541216143414</v>
      </c>
      <c r="F228" s="1787">
        <v>30.183541216143414</v>
      </c>
      <c r="G228" s="1787">
        <v>35.183541216143411</v>
      </c>
      <c r="H228" s="1788"/>
      <c r="I228" s="1787">
        <v>22.838119151052211</v>
      </c>
      <c r="J228" s="1787">
        <v>27.838119151052211</v>
      </c>
      <c r="K228" s="1787">
        <v>32.838119151052211</v>
      </c>
      <c r="M228" s="1791">
        <v>43252</v>
      </c>
      <c r="N228" s="1792">
        <v>29.234650755217842</v>
      </c>
      <c r="O228" s="1792">
        <v>34.234650755217842</v>
      </c>
      <c r="P228" s="1792">
        <v>39.234650755217842</v>
      </c>
      <c r="Q228" s="29"/>
      <c r="R228" s="1792">
        <v>20.675988066413389</v>
      </c>
      <c r="S228" s="1792">
        <v>25.675988066413389</v>
      </c>
      <c r="T228" s="1792">
        <v>30.675988066413389</v>
      </c>
      <c r="V228" s="500">
        <v>0</v>
      </c>
      <c r="W228" s="500">
        <v>0</v>
      </c>
      <c r="X228" s="500">
        <v>0</v>
      </c>
      <c r="Y228" s="27"/>
      <c r="Z228" s="1792">
        <v>0.09</v>
      </c>
      <c r="AA228" s="1792">
        <v>0.1</v>
      </c>
      <c r="AB228" s="1792">
        <v>0.11</v>
      </c>
      <c r="AC228" s="29"/>
      <c r="AD228" s="1792">
        <v>0.09</v>
      </c>
      <c r="AE228" s="1792">
        <v>0.11</v>
      </c>
      <c r="AF228" s="1792">
        <v>0.13</v>
      </c>
      <c r="AG228" s="29"/>
      <c r="AH228" s="1792">
        <v>-0.35</v>
      </c>
      <c r="AI228" s="1792">
        <v>0.65</v>
      </c>
      <c r="AJ228" s="1792">
        <v>0.2</v>
      </c>
      <c r="AK228" s="29"/>
      <c r="AL228" s="1792">
        <v>-0.01</v>
      </c>
      <c r="AM228" s="1792">
        <v>0.16</v>
      </c>
      <c r="AN228" s="1792">
        <v>0.01</v>
      </c>
      <c r="AO228" s="29"/>
      <c r="AP228" s="14">
        <v>73</v>
      </c>
      <c r="AQ228" s="1802">
        <v>0.35</v>
      </c>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325">
        <v>43405</v>
      </c>
      <c r="BR228" s="415">
        <v>3.8395000000000001</v>
      </c>
      <c r="BS228" s="415">
        <v>3.8445</v>
      </c>
      <c r="BT228" s="415">
        <v>3.8494999999999999</v>
      </c>
      <c r="BU228" s="1722">
        <f t="shared" si="0"/>
        <v>0.14349999999999999</v>
      </c>
      <c r="BV228" s="1722">
        <f t="shared" si="1"/>
        <v>0.15</v>
      </c>
      <c r="BW228" s="1722">
        <f t="shared" si="2"/>
        <v>0.1585</v>
      </c>
      <c r="BX228" s="416">
        <v>-7.0000000000000007E-2</v>
      </c>
      <c r="BY228" s="416"/>
      <c r="BZ228" s="416">
        <v>7.0000000000000007E-2</v>
      </c>
      <c r="CA228" s="432">
        <v>0</v>
      </c>
      <c r="CB228" s="1618">
        <v>0</v>
      </c>
      <c r="CC228" s="445">
        <v>3.6790000000000003</v>
      </c>
      <c r="CD228" s="449">
        <v>0.1585</v>
      </c>
    </row>
    <row r="229" spans="1:82">
      <c r="A229" s="325">
        <v>43525</v>
      </c>
      <c r="B229" s="416">
        <v>7.2914710108197028E-2</v>
      </c>
      <c r="C229" s="11"/>
      <c r="D229" s="1786">
        <v>42401</v>
      </c>
      <c r="E229" s="1787">
        <v>24.683541216143414</v>
      </c>
      <c r="F229" s="1787">
        <v>29.683541216143414</v>
      </c>
      <c r="G229" s="1787">
        <v>34.683541216143411</v>
      </c>
      <c r="H229" s="1788"/>
      <c r="I229" s="1787">
        <v>23.80714285714286</v>
      </c>
      <c r="J229" s="1787">
        <v>28.80714285714286</v>
      </c>
      <c r="K229" s="1787">
        <v>33.807142857142864</v>
      </c>
      <c r="M229" s="1791">
        <v>43282</v>
      </c>
      <c r="N229" s="1792">
        <v>56.096115436927192</v>
      </c>
      <c r="O229" s="1792">
        <v>61.096115436927192</v>
      </c>
      <c r="P229" s="1792">
        <v>66.096115436927192</v>
      </c>
      <c r="Q229" s="29"/>
      <c r="R229" s="1792">
        <v>40.822086577695401</v>
      </c>
      <c r="S229" s="1792">
        <v>45.822086577695401</v>
      </c>
      <c r="T229" s="1792">
        <v>50.822086577695401</v>
      </c>
      <c r="V229" s="500">
        <v>0</v>
      </c>
      <c r="W229" s="500">
        <v>0</v>
      </c>
      <c r="X229" s="500">
        <v>0</v>
      </c>
      <c r="Y229" s="27"/>
      <c r="Z229" s="1792">
        <v>0.09</v>
      </c>
      <c r="AA229" s="1792">
        <v>0.1</v>
      </c>
      <c r="AB229" s="1792">
        <v>0.11</v>
      </c>
      <c r="AC229" s="29"/>
      <c r="AD229" s="1792">
        <v>0.09</v>
      </c>
      <c r="AE229" s="1792">
        <v>0.11</v>
      </c>
      <c r="AF229" s="1792">
        <v>0.13</v>
      </c>
      <c r="AG229" s="29"/>
      <c r="AH229" s="1792">
        <v>-0.35</v>
      </c>
      <c r="AI229" s="1792">
        <v>0.65</v>
      </c>
      <c r="AJ229" s="1792">
        <v>0.35</v>
      </c>
      <c r="AK229" s="29"/>
      <c r="AL229" s="1792">
        <v>-0.01</v>
      </c>
      <c r="AM229" s="1792">
        <v>0.16</v>
      </c>
      <c r="AN229" s="1792">
        <v>0.01</v>
      </c>
      <c r="AO229" s="29"/>
      <c r="AP229" s="14">
        <v>74</v>
      </c>
      <c r="AQ229" s="1802">
        <v>0.35</v>
      </c>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325">
        <v>43435</v>
      </c>
      <c r="BR229" s="415">
        <v>3.9175</v>
      </c>
      <c r="BS229" s="415">
        <v>3.9224999999999999</v>
      </c>
      <c r="BT229" s="415">
        <v>3.9275000000000002</v>
      </c>
      <c r="BU229" s="1722">
        <f t="shared" si="0"/>
        <v>0.14349999999999999</v>
      </c>
      <c r="BV229" s="1722">
        <f t="shared" si="1"/>
        <v>0.15</v>
      </c>
      <c r="BW229" s="1722">
        <f t="shared" si="2"/>
        <v>0.1585</v>
      </c>
      <c r="BX229" s="416">
        <v>-7.0000000000000007E-2</v>
      </c>
      <c r="BY229" s="416"/>
      <c r="BZ229" s="416">
        <v>7.0000000000000007E-2</v>
      </c>
      <c r="CA229" s="432">
        <v>0</v>
      </c>
      <c r="CB229" s="1618">
        <v>0</v>
      </c>
      <c r="CC229" s="445">
        <v>3.6549999999999998</v>
      </c>
      <c r="CD229" s="449">
        <v>0.1585</v>
      </c>
    </row>
    <row r="230" spans="1:82">
      <c r="A230" s="325">
        <v>43556</v>
      </c>
      <c r="B230" s="416">
        <v>7.2915724053515013E-2</v>
      </c>
      <c r="C230" s="11"/>
      <c r="D230" s="1786">
        <v>42430</v>
      </c>
      <c r="E230" s="1787">
        <v>24.433541216143414</v>
      </c>
      <c r="F230" s="1787">
        <v>29.433541216143414</v>
      </c>
      <c r="G230" s="1787">
        <v>34.433541216143411</v>
      </c>
      <c r="H230" s="1788"/>
      <c r="I230" s="1787">
        <v>24.087096774193554</v>
      </c>
      <c r="J230" s="1787">
        <v>29.087096774193554</v>
      </c>
      <c r="K230" s="1787">
        <v>34.087096774193554</v>
      </c>
      <c r="M230" s="1791">
        <v>43313</v>
      </c>
      <c r="N230" s="1792">
        <v>76.721115436927192</v>
      </c>
      <c r="O230" s="1792">
        <v>81.721115436927192</v>
      </c>
      <c r="P230" s="1792">
        <v>86.721115436927192</v>
      </c>
      <c r="Q230" s="29"/>
      <c r="R230" s="1792">
        <v>56.290836577695401</v>
      </c>
      <c r="S230" s="1792">
        <v>61.290836577695401</v>
      </c>
      <c r="T230" s="1792">
        <v>66.290836577695401</v>
      </c>
      <c r="V230" s="500">
        <v>0</v>
      </c>
      <c r="W230" s="500">
        <v>0</v>
      </c>
      <c r="X230" s="500">
        <v>0</v>
      </c>
      <c r="Y230" s="27"/>
      <c r="Z230" s="1792">
        <v>0.09</v>
      </c>
      <c r="AA230" s="1792">
        <v>0.1</v>
      </c>
      <c r="AB230" s="1792">
        <v>0.11</v>
      </c>
      <c r="AC230" s="29"/>
      <c r="AD230" s="1792">
        <v>0.09</v>
      </c>
      <c r="AE230" s="1792">
        <v>0.11</v>
      </c>
      <c r="AF230" s="1792">
        <v>0.13</v>
      </c>
      <c r="AG230" s="29"/>
      <c r="AH230" s="1792">
        <v>-0.35</v>
      </c>
      <c r="AI230" s="1792">
        <v>3</v>
      </c>
      <c r="AJ230" s="1792">
        <v>0.35</v>
      </c>
      <c r="AK230" s="29"/>
      <c r="AL230" s="1792">
        <v>-0.01</v>
      </c>
      <c r="AM230" s="1792">
        <v>0.16</v>
      </c>
      <c r="AN230" s="1792">
        <v>0.01</v>
      </c>
      <c r="AO230" s="29"/>
      <c r="AP230" s="14">
        <v>74</v>
      </c>
      <c r="AQ230" s="1802">
        <v>0.35</v>
      </c>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325">
        <v>43466</v>
      </c>
      <c r="BR230" s="415">
        <v>3.9594999999999998</v>
      </c>
      <c r="BS230" s="415">
        <v>3.9645000000000001</v>
      </c>
      <c r="BT230" s="415">
        <v>3.9695</v>
      </c>
      <c r="BU230" s="1722">
        <f t="shared" si="0"/>
        <v>0.14349999999999999</v>
      </c>
      <c r="BV230" s="1722">
        <f t="shared" si="1"/>
        <v>0.15</v>
      </c>
      <c r="BW230" s="1722">
        <f t="shared" si="2"/>
        <v>0.1585</v>
      </c>
      <c r="BX230" s="416">
        <v>-7.0000000000000007E-2</v>
      </c>
      <c r="BY230" s="416"/>
      <c r="BZ230" s="416">
        <v>7.0000000000000007E-2</v>
      </c>
      <c r="CA230" s="432">
        <v>0</v>
      </c>
      <c r="CB230" s="1618">
        <v>0</v>
      </c>
      <c r="CC230" s="445">
        <v>3.6619999999999999</v>
      </c>
      <c r="CD230" s="449">
        <v>0.1585</v>
      </c>
    </row>
    <row r="231" spans="1:82">
      <c r="A231" s="325">
        <v>43586</v>
      </c>
      <c r="B231" s="416">
        <v>7.2916705290919023E-2</v>
      </c>
      <c r="C231" s="11"/>
      <c r="D231" s="1786">
        <v>42461</v>
      </c>
      <c r="E231" s="1787">
        <v>24.579560151187746</v>
      </c>
      <c r="F231" s="1787">
        <v>29.579560151187746</v>
      </c>
      <c r="G231" s="1787">
        <v>34.579560151187749</v>
      </c>
      <c r="H231" s="1788"/>
      <c r="I231" s="1787">
        <v>21.887499999999999</v>
      </c>
      <c r="J231" s="1787">
        <v>26.887499999999999</v>
      </c>
      <c r="K231" s="1787">
        <v>31.887499999999999</v>
      </c>
      <c r="M231" s="1791">
        <v>43344</v>
      </c>
      <c r="N231" s="1792">
        <v>60.721115436927192</v>
      </c>
      <c r="O231" s="1792">
        <v>65.721115436927192</v>
      </c>
      <c r="P231" s="1792">
        <v>70.721115436927192</v>
      </c>
      <c r="Q231" s="29"/>
      <c r="R231" s="1792">
        <v>44.290836577695401</v>
      </c>
      <c r="S231" s="1792">
        <v>49.290836577695401</v>
      </c>
      <c r="T231" s="1792">
        <v>54.290836577695401</v>
      </c>
      <c r="V231" s="500">
        <v>0</v>
      </c>
      <c r="W231" s="500">
        <v>0</v>
      </c>
      <c r="X231" s="500">
        <v>0</v>
      </c>
      <c r="Y231" s="27"/>
      <c r="Z231" s="1792">
        <v>0.09</v>
      </c>
      <c r="AA231" s="1792">
        <v>0.1</v>
      </c>
      <c r="AB231" s="1792">
        <v>0.11</v>
      </c>
      <c r="AC231" s="29"/>
      <c r="AD231" s="1792">
        <v>0.09</v>
      </c>
      <c r="AE231" s="1792">
        <v>0.11</v>
      </c>
      <c r="AF231" s="1792">
        <v>0.13</v>
      </c>
      <c r="AG231" s="29"/>
      <c r="AH231" s="1792">
        <v>-0.35</v>
      </c>
      <c r="AI231" s="1792">
        <v>3</v>
      </c>
      <c r="AJ231" s="1792">
        <v>0.2</v>
      </c>
      <c r="AK231" s="29"/>
      <c r="AL231" s="1792">
        <v>-0.01</v>
      </c>
      <c r="AM231" s="1792">
        <v>0.16</v>
      </c>
      <c r="AN231" s="1792">
        <v>0.01</v>
      </c>
      <c r="AO231" s="29"/>
      <c r="AP231" s="14">
        <v>74</v>
      </c>
      <c r="AQ231" s="1802">
        <v>0.35</v>
      </c>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325">
        <v>43497</v>
      </c>
      <c r="BR231" s="415">
        <v>3.9105000000000003</v>
      </c>
      <c r="BS231" s="415">
        <v>3.9155000000000002</v>
      </c>
      <c r="BT231" s="415">
        <v>3.9205000000000001</v>
      </c>
      <c r="BU231" s="1722">
        <f t="shared" si="0"/>
        <v>0.14349999999999999</v>
      </c>
      <c r="BV231" s="1722">
        <f t="shared" si="1"/>
        <v>0.15</v>
      </c>
      <c r="BW231" s="1722">
        <f t="shared" si="2"/>
        <v>0.1585</v>
      </c>
      <c r="BX231" s="416">
        <v>-7.0000000000000007E-2</v>
      </c>
      <c r="BY231" s="416"/>
      <c r="BZ231" s="416">
        <v>7.0000000000000007E-2</v>
      </c>
      <c r="CA231" s="432">
        <v>0</v>
      </c>
      <c r="CB231" s="1618">
        <v>0</v>
      </c>
      <c r="CC231" s="445">
        <v>3.6680000000000001</v>
      </c>
      <c r="CD231" s="449">
        <v>0.1585</v>
      </c>
    </row>
    <row r="232" spans="1:82">
      <c r="A232" s="325">
        <v>43617</v>
      </c>
      <c r="B232" s="416">
        <v>7.2917719236237008E-2</v>
      </c>
      <c r="C232" s="11"/>
      <c r="D232" s="1786">
        <v>42491</v>
      </c>
      <c r="E232" s="1787">
        <v>23.829560151187746</v>
      </c>
      <c r="F232" s="1787">
        <v>28.829560151187746</v>
      </c>
      <c r="G232" s="1787">
        <v>33.829560151187749</v>
      </c>
      <c r="H232" s="1788"/>
      <c r="I232" s="1787">
        <v>21.945967741935487</v>
      </c>
      <c r="J232" s="1787">
        <v>26.945967741935487</v>
      </c>
      <c r="K232" s="1787">
        <v>31.945967741935487</v>
      </c>
      <c r="M232" s="1791">
        <v>43374</v>
      </c>
      <c r="N232" s="1792">
        <v>32.422654865714684</v>
      </c>
      <c r="O232" s="1792">
        <v>37.422654865714684</v>
      </c>
      <c r="P232" s="1792">
        <v>42.422654865714684</v>
      </c>
      <c r="Q232" s="29"/>
      <c r="R232" s="1792">
        <v>23.066991149286004</v>
      </c>
      <c r="S232" s="1792">
        <v>28.066991149286004</v>
      </c>
      <c r="T232" s="1792">
        <v>33.066991149286004</v>
      </c>
      <c r="V232" s="500">
        <v>0</v>
      </c>
      <c r="W232" s="500">
        <v>0</v>
      </c>
      <c r="X232" s="500">
        <v>0</v>
      </c>
      <c r="Y232" s="27"/>
      <c r="Z232" s="1792">
        <v>0.09</v>
      </c>
      <c r="AA232" s="1792">
        <v>0.1</v>
      </c>
      <c r="AB232" s="1792">
        <v>0.11</v>
      </c>
      <c r="AC232" s="29"/>
      <c r="AD232" s="1792">
        <v>0.09</v>
      </c>
      <c r="AE232" s="1792">
        <v>0.11</v>
      </c>
      <c r="AF232" s="1792">
        <v>0.13</v>
      </c>
      <c r="AG232" s="29"/>
      <c r="AH232" s="1792">
        <v>-0.1</v>
      </c>
      <c r="AI232" s="1792">
        <v>3</v>
      </c>
      <c r="AJ232" s="1792">
        <v>0.1</v>
      </c>
      <c r="AK232" s="29"/>
      <c r="AL232" s="1792">
        <v>-0.01</v>
      </c>
      <c r="AM232" s="1792">
        <v>0.16</v>
      </c>
      <c r="AN232" s="1792">
        <v>0.01</v>
      </c>
      <c r="AO232" s="29"/>
      <c r="AP232" s="14">
        <v>75</v>
      </c>
      <c r="AQ232" s="1802">
        <v>0.35</v>
      </c>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325">
        <v>43525</v>
      </c>
      <c r="BR232" s="415">
        <v>3.8435000000000001</v>
      </c>
      <c r="BS232" s="415">
        <v>3.8485000000000005</v>
      </c>
      <c r="BT232" s="415">
        <v>3.8535000000000004</v>
      </c>
      <c r="BU232" s="1722">
        <f t="shared" si="0"/>
        <v>0.14349999999999999</v>
      </c>
      <c r="BV232" s="1722">
        <f t="shared" si="1"/>
        <v>0.15</v>
      </c>
      <c r="BW232" s="1722">
        <f t="shared" si="2"/>
        <v>0.1585</v>
      </c>
      <c r="BX232" s="416">
        <v>-7.0000000000000007E-2</v>
      </c>
      <c r="BY232" s="416"/>
      <c r="BZ232" s="416">
        <v>7.0000000000000007E-2</v>
      </c>
      <c r="CA232" s="432">
        <v>0</v>
      </c>
      <c r="CB232" s="1618">
        <v>0</v>
      </c>
      <c r="CC232" s="445">
        <v>3.673</v>
      </c>
      <c r="CD232" s="449">
        <v>0.1585</v>
      </c>
    </row>
    <row r="233" spans="1:82">
      <c r="A233" s="325">
        <v>43647</v>
      </c>
      <c r="B233" s="416">
        <v>7.2918700473641018E-2</v>
      </c>
      <c r="C233" s="11"/>
      <c r="D233" s="1786">
        <v>42522</v>
      </c>
      <c r="E233" s="1787">
        <v>29.079560151187749</v>
      </c>
      <c r="F233" s="1787">
        <v>34.079560151187749</v>
      </c>
      <c r="G233" s="1787">
        <v>39.079560151187749</v>
      </c>
      <c r="H233" s="1788"/>
      <c r="I233" s="1787">
        <v>21.2</v>
      </c>
      <c r="J233" s="1787">
        <v>26.2</v>
      </c>
      <c r="K233" s="1787">
        <v>31.2</v>
      </c>
      <c r="M233" s="1791">
        <v>43405</v>
      </c>
      <c r="N233" s="1792">
        <v>24.672654865714694</v>
      </c>
      <c r="O233" s="1792">
        <v>29.672654865714694</v>
      </c>
      <c r="P233" s="1792">
        <v>34.672654865714691</v>
      </c>
      <c r="Q233" s="29"/>
      <c r="R233" s="1792">
        <v>17.254491149286004</v>
      </c>
      <c r="S233" s="1792">
        <v>22.254491149286004</v>
      </c>
      <c r="T233" s="1792">
        <v>27.254491149286004</v>
      </c>
      <c r="V233" s="500">
        <v>0</v>
      </c>
      <c r="W233" s="500">
        <v>0</v>
      </c>
      <c r="X233" s="500">
        <v>0</v>
      </c>
      <c r="Y233" s="27"/>
      <c r="Z233" s="1792">
        <v>0.09</v>
      </c>
      <c r="AA233" s="1792">
        <v>0.1</v>
      </c>
      <c r="AB233" s="1792">
        <v>0.11</v>
      </c>
      <c r="AC233" s="29"/>
      <c r="AD233" s="1792">
        <v>0.09</v>
      </c>
      <c r="AE233" s="1792">
        <v>0.11</v>
      </c>
      <c r="AF233" s="1792">
        <v>0.13</v>
      </c>
      <c r="AG233" s="29"/>
      <c r="AH233" s="1792">
        <v>-0.1</v>
      </c>
      <c r="AI233" s="1792">
        <v>0.6</v>
      </c>
      <c r="AJ233" s="1792">
        <v>0.1</v>
      </c>
      <c r="AK233" s="29"/>
      <c r="AL233" s="1792">
        <v>-0.01</v>
      </c>
      <c r="AM233" s="1792">
        <v>0.16</v>
      </c>
      <c r="AN233" s="1792">
        <v>0.01</v>
      </c>
      <c r="AO233" s="29"/>
      <c r="AP233" s="14">
        <v>75</v>
      </c>
      <c r="AQ233" s="1802">
        <v>0.35</v>
      </c>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325">
        <v>43556</v>
      </c>
      <c r="BR233" s="415">
        <v>3.7915000000000005</v>
      </c>
      <c r="BS233" s="415">
        <v>3.7965000000000004</v>
      </c>
      <c r="BT233" s="415">
        <v>3.8015000000000003</v>
      </c>
      <c r="BU233" s="1722">
        <f t="shared" si="0"/>
        <v>0.14349999999999999</v>
      </c>
      <c r="BV233" s="1722">
        <f t="shared" si="1"/>
        <v>0.15</v>
      </c>
      <c r="BW233" s="1722">
        <f t="shared" si="2"/>
        <v>0.1585</v>
      </c>
      <c r="BX233" s="416">
        <v>-7.0000000000000007E-2</v>
      </c>
      <c r="BY233" s="416"/>
      <c r="BZ233" s="416">
        <v>7.0000000000000007E-2</v>
      </c>
      <c r="CA233" s="432">
        <v>0</v>
      </c>
      <c r="CB233" s="1618">
        <v>0</v>
      </c>
      <c r="CC233" s="445">
        <v>3.6760000000000002</v>
      </c>
      <c r="CD233" s="449">
        <v>0.1585</v>
      </c>
    </row>
    <row r="234" spans="1:82">
      <c r="A234" s="325">
        <v>43678</v>
      </c>
      <c r="B234" s="416">
        <v>7.2919714418960016E-2</v>
      </c>
      <c r="C234" s="11"/>
      <c r="D234" s="1786">
        <v>42552</v>
      </c>
      <c r="E234" s="1787">
        <v>55.746724251705899</v>
      </c>
      <c r="F234" s="1787">
        <v>60.746724251705899</v>
      </c>
      <c r="G234" s="1787">
        <v>65.746724251705899</v>
      </c>
      <c r="H234" s="1788"/>
      <c r="I234" s="1787">
        <v>27.224193548387106</v>
      </c>
      <c r="J234" s="1787">
        <v>32.224193548387106</v>
      </c>
      <c r="K234" s="1787">
        <v>37.224193548387106</v>
      </c>
      <c r="M234" s="1791">
        <v>43435</v>
      </c>
      <c r="N234" s="1792">
        <v>26.672654865714691</v>
      </c>
      <c r="O234" s="1792">
        <v>31.672654865714691</v>
      </c>
      <c r="P234" s="1792">
        <v>36.672654865714691</v>
      </c>
      <c r="Q234" s="29"/>
      <c r="R234" s="1792">
        <v>18.754491149286004</v>
      </c>
      <c r="S234" s="1792">
        <v>23.754491149286004</v>
      </c>
      <c r="T234" s="1792">
        <v>28.754491149286004</v>
      </c>
      <c r="V234" s="500">
        <v>0</v>
      </c>
      <c r="W234" s="500">
        <v>0</v>
      </c>
      <c r="X234" s="500">
        <v>0</v>
      </c>
      <c r="Y234" s="27"/>
      <c r="Z234" s="1792">
        <v>0.09</v>
      </c>
      <c r="AA234" s="1792">
        <v>0.1</v>
      </c>
      <c r="AB234" s="1792">
        <v>0.11</v>
      </c>
      <c r="AC234" s="29"/>
      <c r="AD234" s="1792">
        <v>0.09</v>
      </c>
      <c r="AE234" s="1792">
        <v>0.11</v>
      </c>
      <c r="AF234" s="1792">
        <v>0.13</v>
      </c>
      <c r="AG234" s="29"/>
      <c r="AH234" s="1792">
        <v>-0.25</v>
      </c>
      <c r="AI234" s="1792">
        <v>0.6</v>
      </c>
      <c r="AJ234" s="1792">
        <v>0.25</v>
      </c>
      <c r="AK234" s="29"/>
      <c r="AL234" s="1792">
        <v>-0.01</v>
      </c>
      <c r="AM234" s="1792">
        <v>0.16</v>
      </c>
      <c r="AN234" s="1792">
        <v>0.01</v>
      </c>
      <c r="AO234" s="29"/>
      <c r="AP234" s="14">
        <v>75</v>
      </c>
      <c r="AQ234" s="1802">
        <v>0.35</v>
      </c>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325">
        <v>43586</v>
      </c>
      <c r="BR234" s="415">
        <v>3.8215000000000003</v>
      </c>
      <c r="BS234" s="415">
        <v>3.8265000000000002</v>
      </c>
      <c r="BT234" s="415">
        <v>3.8315000000000006</v>
      </c>
      <c r="BU234" s="1722">
        <f t="shared" si="0"/>
        <v>0.14349999999999999</v>
      </c>
      <c r="BV234" s="1722">
        <f t="shared" si="1"/>
        <v>0.15</v>
      </c>
      <c r="BW234" s="1722">
        <f t="shared" si="2"/>
        <v>0.1585</v>
      </c>
      <c r="BX234" s="416">
        <v>-7.0000000000000007E-2</v>
      </c>
      <c r="BY234" s="416"/>
      <c r="BZ234" s="416">
        <v>7.0000000000000007E-2</v>
      </c>
      <c r="CA234" s="432">
        <v>0</v>
      </c>
      <c r="CB234" s="1618">
        <v>0</v>
      </c>
      <c r="CC234" s="445">
        <v>3.7090000000000005</v>
      </c>
      <c r="CD234" s="449">
        <v>0.1585</v>
      </c>
    </row>
    <row r="235" spans="1:82">
      <c r="A235" s="325">
        <v>43709</v>
      </c>
      <c r="B235" s="416">
        <v>7.2920728364279014E-2</v>
      </c>
      <c r="C235" s="11"/>
      <c r="D235" s="1786">
        <v>42583</v>
      </c>
      <c r="E235" s="1787">
        <v>76.371724251705899</v>
      </c>
      <c r="F235" s="1787">
        <v>81.371724251705899</v>
      </c>
      <c r="G235" s="1787">
        <v>86.371724251705899</v>
      </c>
      <c r="H235" s="1788"/>
      <c r="I235" s="1787">
        <v>25.224193548387102</v>
      </c>
      <c r="J235" s="1787">
        <v>30.224193548387102</v>
      </c>
      <c r="K235" s="1787">
        <v>35.224193548387106</v>
      </c>
      <c r="M235" s="1791">
        <v>43466</v>
      </c>
      <c r="N235" s="1792">
        <v>25.399308046022238</v>
      </c>
      <c r="O235" s="1792">
        <v>30.399308046022238</v>
      </c>
      <c r="P235" s="1792">
        <v>35.399308046022242</v>
      </c>
      <c r="Q235" s="29"/>
      <c r="R235" s="1792">
        <v>17.799481034516674</v>
      </c>
      <c r="S235" s="1792">
        <v>22.799481034516674</v>
      </c>
      <c r="T235" s="1792">
        <v>27.799481034516674</v>
      </c>
      <c r="V235" s="500">
        <v>0</v>
      </c>
      <c r="W235" s="500">
        <v>0</v>
      </c>
      <c r="X235" s="500">
        <v>0</v>
      </c>
      <c r="Y235" s="27"/>
      <c r="Z235" s="1792">
        <v>0.09</v>
      </c>
      <c r="AA235" s="1792">
        <v>0.1</v>
      </c>
      <c r="AB235" s="1792">
        <v>0.11</v>
      </c>
      <c r="AC235" s="29"/>
      <c r="AD235" s="1792">
        <v>0.09</v>
      </c>
      <c r="AE235" s="1792">
        <v>0.11</v>
      </c>
      <c r="AF235" s="1792">
        <v>0.13</v>
      </c>
      <c r="AG235" s="29"/>
      <c r="AH235" s="1792">
        <v>-0.25</v>
      </c>
      <c r="AI235" s="1792">
        <v>0.6</v>
      </c>
      <c r="AJ235" s="1792">
        <v>0.25</v>
      </c>
      <c r="AK235" s="29"/>
      <c r="AL235" s="1792">
        <v>-0.01</v>
      </c>
      <c r="AM235" s="1792">
        <v>0.16</v>
      </c>
      <c r="AN235" s="1792">
        <v>0.01</v>
      </c>
      <c r="AO235" s="29"/>
      <c r="AP235" s="14">
        <v>76</v>
      </c>
      <c r="AQ235" s="1802">
        <v>0.35</v>
      </c>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325">
        <v>43617</v>
      </c>
      <c r="BR235" s="415">
        <v>3.8445</v>
      </c>
      <c r="BS235" s="415">
        <v>3.8494999999999999</v>
      </c>
      <c r="BT235" s="415">
        <v>3.8544999999999998</v>
      </c>
      <c r="BU235" s="1722">
        <f t="shared" si="0"/>
        <v>0.14349999999999999</v>
      </c>
      <c r="BV235" s="1722">
        <f t="shared" si="1"/>
        <v>0.15</v>
      </c>
      <c r="BW235" s="1722">
        <f t="shared" si="2"/>
        <v>0.1585</v>
      </c>
      <c r="BX235" s="416">
        <v>-7.0000000000000007E-2</v>
      </c>
      <c r="BY235" s="416"/>
      <c r="BZ235" s="416">
        <v>7.0000000000000007E-2</v>
      </c>
      <c r="CA235" s="432">
        <v>0</v>
      </c>
      <c r="CB235" s="1618">
        <v>0</v>
      </c>
      <c r="CC235" s="445">
        <v>3.85</v>
      </c>
      <c r="CD235" s="449">
        <v>0.1585</v>
      </c>
    </row>
    <row r="236" spans="1:82">
      <c r="A236" s="325">
        <v>43739</v>
      </c>
      <c r="B236" s="416">
        <v>7.2921709601685022E-2</v>
      </c>
      <c r="C236" s="11"/>
      <c r="D236" s="1786">
        <v>42614</v>
      </c>
      <c r="E236" s="1787">
        <v>60.371724251705899</v>
      </c>
      <c r="F236" s="1787">
        <v>65.371724251705899</v>
      </c>
      <c r="G236" s="1787">
        <v>70.371724251705899</v>
      </c>
      <c r="H236" s="1788"/>
      <c r="I236" s="1787">
        <v>25.637499999999999</v>
      </c>
      <c r="J236" s="1787">
        <v>30.637499999999999</v>
      </c>
      <c r="K236" s="1787">
        <v>35.637500000000003</v>
      </c>
      <c r="M236" s="1791">
        <v>43497</v>
      </c>
      <c r="N236" s="1792">
        <v>24.899308046022238</v>
      </c>
      <c r="O236" s="1792">
        <v>29.899308046022238</v>
      </c>
      <c r="P236" s="1792">
        <v>34.899308046022242</v>
      </c>
      <c r="Q236" s="29"/>
      <c r="R236" s="1792">
        <v>17.424481034516674</v>
      </c>
      <c r="S236" s="1792">
        <v>22.424481034516674</v>
      </c>
      <c r="T236" s="1792">
        <v>27.424481034516674</v>
      </c>
      <c r="V236" s="500">
        <v>0</v>
      </c>
      <c r="W236" s="500">
        <v>0</v>
      </c>
      <c r="X236" s="500">
        <v>0</v>
      </c>
      <c r="Y236" s="27"/>
      <c r="Z236" s="1792">
        <v>0.09</v>
      </c>
      <c r="AA236" s="1792">
        <v>0.1</v>
      </c>
      <c r="AB236" s="1792">
        <v>0.11</v>
      </c>
      <c r="AC236" s="29"/>
      <c r="AD236" s="1792">
        <v>0.09</v>
      </c>
      <c r="AE236" s="1792">
        <v>0.11</v>
      </c>
      <c r="AF236" s="1792">
        <v>0.13</v>
      </c>
      <c r="AG236" s="29"/>
      <c r="AH236" s="1792">
        <v>-0.25</v>
      </c>
      <c r="AI236" s="1792">
        <v>0.65</v>
      </c>
      <c r="AJ236" s="1792">
        <v>0.25</v>
      </c>
      <c r="AK236" s="29"/>
      <c r="AL236" s="1792">
        <v>-0.01</v>
      </c>
      <c r="AM236" s="1792">
        <v>0.16</v>
      </c>
      <c r="AN236" s="1792">
        <v>0.01</v>
      </c>
      <c r="AO236" s="29"/>
      <c r="AP236" s="14">
        <v>76</v>
      </c>
      <c r="AQ236" s="1802">
        <v>0.35</v>
      </c>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325">
        <v>43647</v>
      </c>
      <c r="BR236" s="415">
        <v>3.8525</v>
      </c>
      <c r="BS236" s="415">
        <v>3.8574999999999999</v>
      </c>
      <c r="BT236" s="415">
        <v>3.8624999999999998</v>
      </c>
      <c r="BU236" s="1722">
        <f t="shared" si="0"/>
        <v>0.14349999999999999</v>
      </c>
      <c r="BV236" s="1722">
        <f t="shared" si="1"/>
        <v>0.15</v>
      </c>
      <c r="BW236" s="1722">
        <f t="shared" si="2"/>
        <v>0.1585</v>
      </c>
      <c r="BX236" s="416">
        <v>-7.0000000000000007E-2</v>
      </c>
      <c r="BY236" s="416"/>
      <c r="BZ236" s="416">
        <v>7.0000000000000007E-2</v>
      </c>
      <c r="CA236" s="432">
        <v>0</v>
      </c>
      <c r="CB236" s="1618">
        <v>0</v>
      </c>
      <c r="CC236" s="445">
        <v>3.9950000000000001</v>
      </c>
      <c r="CD236" s="449">
        <v>0.1585</v>
      </c>
    </row>
    <row r="237" spans="1:82">
      <c r="A237" s="325">
        <v>43770</v>
      </c>
      <c r="B237" s="416">
        <v>7.2922723547005019E-2</v>
      </c>
      <c r="C237" s="11"/>
      <c r="D237" s="1786">
        <v>42644</v>
      </c>
      <c r="E237" s="1787">
        <v>32.269746914544477</v>
      </c>
      <c r="F237" s="1787">
        <v>37.269746914544477</v>
      </c>
      <c r="G237" s="1787">
        <v>42.269746914544477</v>
      </c>
      <c r="H237" s="1788"/>
      <c r="I237" s="1787">
        <v>25.151612903225811</v>
      </c>
      <c r="J237" s="1787">
        <v>30.151612903225811</v>
      </c>
      <c r="K237" s="1787">
        <v>35.151612903225811</v>
      </c>
      <c r="M237" s="1791">
        <v>43525</v>
      </c>
      <c r="N237" s="1792">
        <v>24.149308046022238</v>
      </c>
      <c r="O237" s="1792">
        <v>29.149308046022238</v>
      </c>
      <c r="P237" s="1792">
        <v>34.149308046022242</v>
      </c>
      <c r="Q237" s="29"/>
      <c r="R237" s="1792">
        <v>16.861981034516674</v>
      </c>
      <c r="S237" s="1792">
        <v>21.861981034516674</v>
      </c>
      <c r="T237" s="1792">
        <v>26.861981034516674</v>
      </c>
      <c r="V237" s="500">
        <v>0</v>
      </c>
      <c r="W237" s="500">
        <v>0</v>
      </c>
      <c r="X237" s="500">
        <v>0</v>
      </c>
      <c r="Y237" s="27"/>
      <c r="Z237" s="1792">
        <v>0.09</v>
      </c>
      <c r="AA237" s="1792">
        <v>0.1</v>
      </c>
      <c r="AB237" s="1792">
        <v>0.11</v>
      </c>
      <c r="AC237" s="29"/>
      <c r="AD237" s="1792">
        <v>0.09</v>
      </c>
      <c r="AE237" s="1792">
        <v>0.11</v>
      </c>
      <c r="AF237" s="1792">
        <v>0.13</v>
      </c>
      <c r="AG237" s="29"/>
      <c r="AH237" s="1792">
        <v>-0.1</v>
      </c>
      <c r="AI237" s="1792">
        <v>0.65</v>
      </c>
      <c r="AJ237" s="1792">
        <v>0.1</v>
      </c>
      <c r="AK237" s="29"/>
      <c r="AL237" s="1792">
        <v>-0.01</v>
      </c>
      <c r="AM237" s="1792">
        <v>0.16</v>
      </c>
      <c r="AN237" s="1792">
        <v>0.01</v>
      </c>
      <c r="AO237" s="29"/>
      <c r="AP237" s="14">
        <v>76</v>
      </c>
      <c r="AQ237" s="1802">
        <v>0.35</v>
      </c>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325">
        <v>43678</v>
      </c>
      <c r="BR237" s="415">
        <v>3.8615000000000004</v>
      </c>
      <c r="BS237" s="415">
        <v>3.8665000000000003</v>
      </c>
      <c r="BT237" s="415">
        <v>3.8715000000000006</v>
      </c>
      <c r="BU237" s="1722">
        <f t="shared" si="0"/>
        <v>0.14349999999999999</v>
      </c>
      <c r="BV237" s="1722">
        <f t="shared" si="1"/>
        <v>0.15</v>
      </c>
      <c r="BW237" s="1722">
        <f t="shared" si="2"/>
        <v>0.1585</v>
      </c>
      <c r="BX237" s="416">
        <v>-7.0000000000000007E-2</v>
      </c>
      <c r="BY237" s="416"/>
      <c r="BZ237" s="416">
        <v>7.0000000000000007E-2</v>
      </c>
      <c r="CA237" s="432">
        <v>0</v>
      </c>
      <c r="CB237" s="1618">
        <v>0</v>
      </c>
      <c r="CC237" s="445">
        <v>4.1340000000000003</v>
      </c>
      <c r="CD237" s="449">
        <v>0.1585</v>
      </c>
    </row>
    <row r="238" spans="1:82">
      <c r="A238" s="325">
        <v>43800</v>
      </c>
      <c r="B238" s="416">
        <v>7.2923704784411014E-2</v>
      </c>
      <c r="C238" s="11"/>
      <c r="D238" s="1786">
        <v>42675</v>
      </c>
      <c r="E238" s="1787">
        <v>24.519746914544488</v>
      </c>
      <c r="F238" s="1787">
        <v>29.519746914544488</v>
      </c>
      <c r="G238" s="1787">
        <v>34.519746914544484</v>
      </c>
      <c r="H238" s="1788"/>
      <c r="I238" s="1787">
        <v>26.491666666666671</v>
      </c>
      <c r="J238" s="1787">
        <v>31.491666666666671</v>
      </c>
      <c r="K238" s="1787">
        <v>36.491666666666674</v>
      </c>
      <c r="M238" s="1791">
        <v>43556</v>
      </c>
      <c r="N238" s="1792">
        <v>24.062196057232885</v>
      </c>
      <c r="O238" s="1792">
        <v>29.062196057232885</v>
      </c>
      <c r="P238" s="1792">
        <v>34.062196057232882</v>
      </c>
      <c r="Q238" s="29"/>
      <c r="R238" s="1792">
        <v>16.796647042924675</v>
      </c>
      <c r="S238" s="1792">
        <v>21.796647042924675</v>
      </c>
      <c r="T238" s="1792">
        <v>26.796647042924675</v>
      </c>
      <c r="V238" s="500">
        <v>0</v>
      </c>
      <c r="W238" s="500">
        <v>0</v>
      </c>
      <c r="X238" s="500">
        <v>0</v>
      </c>
      <c r="Y238" s="27"/>
      <c r="Z238" s="1792">
        <v>0.09</v>
      </c>
      <c r="AA238" s="1792">
        <v>0.1</v>
      </c>
      <c r="AB238" s="1792">
        <v>0.11</v>
      </c>
      <c r="AC238" s="29"/>
      <c r="AD238" s="1792">
        <v>0.09</v>
      </c>
      <c r="AE238" s="1792">
        <v>0.11</v>
      </c>
      <c r="AF238" s="1792">
        <v>0.13</v>
      </c>
      <c r="AG238" s="29"/>
      <c r="AH238" s="1792">
        <v>-0.1</v>
      </c>
      <c r="AI238" s="1792">
        <v>0.65</v>
      </c>
      <c r="AJ238" s="1792">
        <v>0.1</v>
      </c>
      <c r="AK238" s="29"/>
      <c r="AL238" s="1792">
        <v>-0.01</v>
      </c>
      <c r="AM238" s="1792">
        <v>0.16</v>
      </c>
      <c r="AN238" s="1792">
        <v>0.01</v>
      </c>
      <c r="AO238" s="29"/>
      <c r="AP238" s="14">
        <v>77</v>
      </c>
      <c r="AQ238" s="1802">
        <v>0.35</v>
      </c>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325">
        <v>43709</v>
      </c>
      <c r="BR238" s="415">
        <v>3.8525</v>
      </c>
      <c r="BS238" s="415">
        <v>3.8574999999999999</v>
      </c>
      <c r="BT238" s="415">
        <v>3.8624999999999998</v>
      </c>
      <c r="BU238" s="1722">
        <f t="shared" si="0"/>
        <v>0.14349999999999999</v>
      </c>
      <c r="BV238" s="1722">
        <f t="shared" si="1"/>
        <v>0.15</v>
      </c>
      <c r="BW238" s="1722">
        <f t="shared" si="2"/>
        <v>0.1585</v>
      </c>
      <c r="BX238" s="416">
        <v>-7.0000000000000007E-2</v>
      </c>
      <c r="BY238" s="416"/>
      <c r="BZ238" s="416">
        <v>7.0000000000000007E-2</v>
      </c>
      <c r="CA238" s="432">
        <v>0</v>
      </c>
      <c r="CB238" s="1618">
        <v>0</v>
      </c>
      <c r="CC238" s="445">
        <v>4.0090000000000003</v>
      </c>
      <c r="CD238" s="449">
        <v>0.1585</v>
      </c>
    </row>
    <row r="239" spans="1:82">
      <c r="A239" s="325">
        <v>43831</v>
      </c>
      <c r="B239" s="416">
        <v>7.2924718729730997E-2</v>
      </c>
      <c r="C239" s="11"/>
      <c r="D239" s="1786">
        <v>42705</v>
      </c>
      <c r="E239" s="1787">
        <v>26.519746914544484</v>
      </c>
      <c r="F239" s="1787">
        <v>31.519746914544484</v>
      </c>
      <c r="G239" s="1787">
        <v>36.519746914544484</v>
      </c>
      <c r="H239" s="1788"/>
      <c r="I239" s="1787">
        <v>25.796774193548398</v>
      </c>
      <c r="J239" s="1787">
        <v>30.796774193548398</v>
      </c>
      <c r="K239" s="1787">
        <v>35.796774193548401</v>
      </c>
      <c r="M239" s="1791">
        <v>43586</v>
      </c>
      <c r="N239" s="1792">
        <v>24.062196057232885</v>
      </c>
      <c r="O239" s="1792">
        <v>29.062196057232885</v>
      </c>
      <c r="P239" s="1792">
        <v>34.062196057232882</v>
      </c>
      <c r="Q239" s="29"/>
      <c r="R239" s="1792">
        <v>16.796647042924675</v>
      </c>
      <c r="S239" s="1792">
        <v>21.796647042924675</v>
      </c>
      <c r="T239" s="1792">
        <v>26.796647042924675</v>
      </c>
      <c r="V239" s="500">
        <v>0</v>
      </c>
      <c r="W239" s="500">
        <v>0</v>
      </c>
      <c r="X239" s="500">
        <v>0</v>
      </c>
      <c r="Y239" s="27"/>
      <c r="Z239" s="1792">
        <v>0.09</v>
      </c>
      <c r="AA239" s="1792">
        <v>0.1</v>
      </c>
      <c r="AB239" s="1792">
        <v>0.11</v>
      </c>
      <c r="AC239" s="29"/>
      <c r="AD239" s="1792">
        <v>0.09</v>
      </c>
      <c r="AE239" s="1792">
        <v>0.11</v>
      </c>
      <c r="AF239" s="1792">
        <v>0.13</v>
      </c>
      <c r="AG239" s="29"/>
      <c r="AH239" s="1792">
        <v>-0.1</v>
      </c>
      <c r="AI239" s="1792">
        <v>0.65</v>
      </c>
      <c r="AJ239" s="1792">
        <v>0.1</v>
      </c>
      <c r="AK239" s="29"/>
      <c r="AL239" s="1792">
        <v>-0.01</v>
      </c>
      <c r="AM239" s="1792">
        <v>0.16</v>
      </c>
      <c r="AN239" s="1792">
        <v>0.01</v>
      </c>
      <c r="AO239" s="29"/>
      <c r="AP239" s="14">
        <v>77</v>
      </c>
      <c r="AQ239" s="1802">
        <v>0.35</v>
      </c>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325">
        <v>43739</v>
      </c>
      <c r="BR239" s="415">
        <v>3.8635000000000002</v>
      </c>
      <c r="BS239" s="415">
        <v>3.8685000000000005</v>
      </c>
      <c r="BT239" s="415">
        <v>3.8735000000000004</v>
      </c>
      <c r="BU239" s="1722">
        <f t="shared" si="0"/>
        <v>0.14349999999999999</v>
      </c>
      <c r="BV239" s="1722">
        <f t="shared" si="1"/>
        <v>0.15</v>
      </c>
      <c r="BW239" s="1722">
        <f t="shared" si="2"/>
        <v>0.1585</v>
      </c>
      <c r="BX239" s="416">
        <v>-7.0000000000000007E-2</v>
      </c>
      <c r="BY239" s="416"/>
      <c r="BZ239" s="416">
        <v>7.0000000000000007E-2</v>
      </c>
      <c r="CA239" s="432">
        <v>0</v>
      </c>
      <c r="CB239" s="1618">
        <v>0</v>
      </c>
      <c r="CC239" s="445">
        <v>3.9020000000000001</v>
      </c>
      <c r="CD239" s="449">
        <v>0.1585</v>
      </c>
    </row>
    <row r="240" spans="1:82">
      <c r="A240" s="325">
        <v>43862</v>
      </c>
      <c r="B240" s="416">
        <v>7.2925732675052007E-2</v>
      </c>
      <c r="C240" s="11"/>
      <c r="D240" s="1786">
        <v>42736</v>
      </c>
      <c r="E240" s="1787">
        <v>25.255463492769689</v>
      </c>
      <c r="F240" s="1787">
        <v>30.255463492769689</v>
      </c>
      <c r="G240" s="1787">
        <v>35.255463492769692</v>
      </c>
      <c r="H240" s="1788"/>
      <c r="I240" s="1787">
        <v>23.338119151052211</v>
      </c>
      <c r="J240" s="1787">
        <v>28.338119151052211</v>
      </c>
      <c r="K240" s="1787">
        <v>33.338119151052211</v>
      </c>
      <c r="M240" s="1791">
        <v>43617</v>
      </c>
      <c r="N240" s="1792">
        <v>29.312196057232889</v>
      </c>
      <c r="O240" s="1792">
        <v>34.312196057232889</v>
      </c>
      <c r="P240" s="1792">
        <v>39.312196057232889</v>
      </c>
      <c r="Q240" s="29"/>
      <c r="R240" s="1792">
        <v>20.734147042924675</v>
      </c>
      <c r="S240" s="1792">
        <v>25.734147042924675</v>
      </c>
      <c r="T240" s="1792">
        <v>30.734147042924675</v>
      </c>
      <c r="V240" s="500">
        <v>0</v>
      </c>
      <c r="W240" s="500">
        <v>0</v>
      </c>
      <c r="X240" s="500">
        <v>0</v>
      </c>
      <c r="Y240" s="27"/>
      <c r="Z240" s="1792">
        <v>0.09</v>
      </c>
      <c r="AA240" s="1792">
        <v>0.1</v>
      </c>
      <c r="AB240" s="1792">
        <v>0.11</v>
      </c>
      <c r="AC240" s="29"/>
      <c r="AD240" s="1792">
        <v>0.09</v>
      </c>
      <c r="AE240" s="1792">
        <v>0.11</v>
      </c>
      <c r="AF240" s="1792">
        <v>0.13</v>
      </c>
      <c r="AG240" s="29"/>
      <c r="AH240" s="1792">
        <v>-0.35</v>
      </c>
      <c r="AI240" s="1792">
        <v>0.65</v>
      </c>
      <c r="AJ240" s="1792">
        <v>0.2</v>
      </c>
      <c r="AK240" s="29"/>
      <c r="AL240" s="1792">
        <v>-0.01</v>
      </c>
      <c r="AM240" s="1792">
        <v>0.16</v>
      </c>
      <c r="AN240" s="1792">
        <v>0.01</v>
      </c>
      <c r="AO240" s="29"/>
      <c r="AP240" s="14">
        <v>77</v>
      </c>
      <c r="AQ240" s="1802">
        <v>0.35</v>
      </c>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325">
        <v>43770</v>
      </c>
      <c r="BR240" s="415">
        <v>3.9165000000000005</v>
      </c>
      <c r="BS240" s="415">
        <v>3.9215000000000004</v>
      </c>
      <c r="BT240" s="415">
        <v>3.9265000000000003</v>
      </c>
      <c r="BU240" s="1722">
        <f t="shared" si="0"/>
        <v>0.14349999999999999</v>
      </c>
      <c r="BV240" s="1722">
        <f t="shared" si="1"/>
        <v>0.15</v>
      </c>
      <c r="BW240" s="1722">
        <f t="shared" si="2"/>
        <v>0.1585</v>
      </c>
      <c r="BX240" s="416">
        <v>-7.0000000000000007E-2</v>
      </c>
      <c r="BY240" s="416"/>
      <c r="BZ240" s="416">
        <v>7.0000000000000007E-2</v>
      </c>
      <c r="CA240" s="432">
        <v>0</v>
      </c>
      <c r="CB240" s="1618">
        <v>0</v>
      </c>
      <c r="CC240" s="445">
        <v>3.7990000000000004</v>
      </c>
      <c r="CD240" s="449">
        <v>0.1585</v>
      </c>
    </row>
    <row r="241" spans="1:82">
      <c r="A241" s="325">
        <v>43891</v>
      </c>
      <c r="B241" s="416">
        <v>7.2926681204546026E-2</v>
      </c>
      <c r="C241" s="11"/>
      <c r="D241" s="1786">
        <v>42767</v>
      </c>
      <c r="E241" s="1787">
        <v>24.755463492769689</v>
      </c>
      <c r="F241" s="1787">
        <v>29.755463492769689</v>
      </c>
      <c r="G241" s="1787">
        <v>34.755463492769692</v>
      </c>
      <c r="H241" s="1788"/>
      <c r="I241" s="1787">
        <v>24.30714285714286</v>
      </c>
      <c r="J241" s="1787">
        <v>29.30714285714286</v>
      </c>
      <c r="K241" s="1787">
        <v>34.307142857142864</v>
      </c>
      <c r="M241" s="1791">
        <v>43647</v>
      </c>
      <c r="N241" s="1792">
        <v>56.270811029537839</v>
      </c>
      <c r="O241" s="1792">
        <v>61.270811029537839</v>
      </c>
      <c r="P241" s="1792">
        <v>66.270811029537839</v>
      </c>
      <c r="Q241" s="29"/>
      <c r="R241" s="1792">
        <v>40.953108272153386</v>
      </c>
      <c r="S241" s="1792">
        <v>45.953108272153386</v>
      </c>
      <c r="T241" s="1792">
        <v>50.953108272153386</v>
      </c>
      <c r="V241" s="500">
        <v>0</v>
      </c>
      <c r="W241" s="500">
        <v>0</v>
      </c>
      <c r="X241" s="500">
        <v>0</v>
      </c>
      <c r="Y241" s="27"/>
      <c r="Z241" s="1792">
        <v>0.09</v>
      </c>
      <c r="AA241" s="1792">
        <v>0.1</v>
      </c>
      <c r="AB241" s="1792">
        <v>0.11</v>
      </c>
      <c r="AC241" s="29"/>
      <c r="AD241" s="1792">
        <v>0.09</v>
      </c>
      <c r="AE241" s="1792">
        <v>0.11</v>
      </c>
      <c r="AF241" s="1792">
        <v>0.13</v>
      </c>
      <c r="AG241" s="29"/>
      <c r="AH241" s="1792">
        <v>-0.35</v>
      </c>
      <c r="AI241" s="1792">
        <v>0.65</v>
      </c>
      <c r="AJ241" s="1792">
        <v>0.35</v>
      </c>
      <c r="AK241" s="29"/>
      <c r="AL241" s="1792">
        <v>-0.01</v>
      </c>
      <c r="AM241" s="1792">
        <v>0.16</v>
      </c>
      <c r="AN241" s="1792">
        <v>0.01</v>
      </c>
      <c r="AO241" s="29"/>
      <c r="AP241" s="14">
        <v>78</v>
      </c>
      <c r="AQ241" s="1802">
        <v>0.35</v>
      </c>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325">
        <v>43800</v>
      </c>
      <c r="BR241" s="415">
        <v>3.9915000000000003</v>
      </c>
      <c r="BS241" s="415">
        <v>3.9965000000000006</v>
      </c>
      <c r="BT241" s="415">
        <v>4.0015000000000001</v>
      </c>
      <c r="BU241" s="1722">
        <f t="shared" si="0"/>
        <v>0.14349999999999999</v>
      </c>
      <c r="BV241" s="1722">
        <f t="shared" si="1"/>
        <v>0.15</v>
      </c>
      <c r="BW241" s="1722">
        <f t="shared" si="2"/>
        <v>0.1585</v>
      </c>
      <c r="BX241" s="416">
        <v>-7.0000000000000007E-2</v>
      </c>
      <c r="BY241" s="416"/>
      <c r="BZ241" s="416">
        <v>7.0000000000000007E-2</v>
      </c>
      <c r="CA241" s="432">
        <v>0</v>
      </c>
      <c r="CB241" s="1618">
        <v>0</v>
      </c>
      <c r="CC241" s="445">
        <v>3.7749999999999999</v>
      </c>
      <c r="CD241" s="449">
        <v>0.1585</v>
      </c>
    </row>
    <row r="242" spans="1:82">
      <c r="A242" s="325">
        <v>43922</v>
      </c>
      <c r="B242" s="416">
        <v>7.2927695149867008E-2</v>
      </c>
      <c r="C242" s="11"/>
      <c r="D242" s="1786">
        <v>42795</v>
      </c>
      <c r="E242" s="1787">
        <v>24.505463492769689</v>
      </c>
      <c r="F242" s="1787">
        <v>29.505463492769689</v>
      </c>
      <c r="G242" s="1787">
        <v>34.505463492769692</v>
      </c>
      <c r="H242" s="1788"/>
      <c r="I242" s="1787">
        <v>24.587096774193554</v>
      </c>
      <c r="J242" s="1787">
        <v>29.587096774193554</v>
      </c>
      <c r="K242" s="1787">
        <v>34.587096774193554</v>
      </c>
      <c r="M242" s="1791">
        <v>43678</v>
      </c>
      <c r="N242" s="1792">
        <v>76.895811029537839</v>
      </c>
      <c r="O242" s="1792">
        <v>81.895811029537839</v>
      </c>
      <c r="P242" s="1792">
        <v>86.895811029537839</v>
      </c>
      <c r="Q242" s="29"/>
      <c r="R242" s="1792">
        <v>56.421858272153386</v>
      </c>
      <c r="S242" s="1792">
        <v>61.421858272153386</v>
      </c>
      <c r="T242" s="1792">
        <v>66.421858272153386</v>
      </c>
      <c r="V242" s="500">
        <v>0</v>
      </c>
      <c r="W242" s="500">
        <v>0</v>
      </c>
      <c r="X242" s="500">
        <v>0</v>
      </c>
      <c r="Y242" s="27"/>
      <c r="Z242" s="1792">
        <v>0.09</v>
      </c>
      <c r="AA242" s="1792">
        <v>0.1</v>
      </c>
      <c r="AB242" s="1792">
        <v>0.11</v>
      </c>
      <c r="AC242" s="29"/>
      <c r="AD242" s="1792">
        <v>0.09</v>
      </c>
      <c r="AE242" s="1792">
        <v>0.11</v>
      </c>
      <c r="AF242" s="1792">
        <v>0.13</v>
      </c>
      <c r="AG242" s="29"/>
      <c r="AH242" s="1792">
        <v>-0.35</v>
      </c>
      <c r="AI242" s="1792">
        <v>3</v>
      </c>
      <c r="AJ242" s="1792">
        <v>0.35</v>
      </c>
      <c r="AK242" s="29"/>
      <c r="AL242" s="1792">
        <v>-0.01</v>
      </c>
      <c r="AM242" s="1792">
        <v>0.16</v>
      </c>
      <c r="AN242" s="1792">
        <v>0.01</v>
      </c>
      <c r="AO242" s="29"/>
      <c r="AP242" s="14">
        <v>78</v>
      </c>
      <c r="AQ242" s="1802">
        <v>0.35</v>
      </c>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325">
        <v>43831</v>
      </c>
      <c r="BR242" s="415">
        <v>4.0315000000000003</v>
      </c>
      <c r="BS242" s="415">
        <v>4.0365000000000002</v>
      </c>
      <c r="BT242" s="415">
        <v>4.0415000000000001</v>
      </c>
      <c r="BU242" s="1722">
        <f t="shared" si="0"/>
        <v>0.14349999999999999</v>
      </c>
      <c r="BV242" s="1722">
        <f t="shared" si="1"/>
        <v>0.15</v>
      </c>
      <c r="BW242" s="1722">
        <f t="shared" si="2"/>
        <v>0.1585</v>
      </c>
      <c r="BX242" s="416">
        <v>-7.0000000000000007E-2</v>
      </c>
      <c r="BY242" s="416"/>
      <c r="BZ242" s="416">
        <v>7.0000000000000007E-2</v>
      </c>
      <c r="CA242" s="432">
        <v>0</v>
      </c>
      <c r="CB242" s="1618">
        <v>0</v>
      </c>
      <c r="CC242" s="445">
        <v>3.782</v>
      </c>
      <c r="CD242" s="449">
        <v>0.1585</v>
      </c>
    </row>
    <row r="243" spans="1:82">
      <c r="A243" s="325">
        <v>43952</v>
      </c>
      <c r="B243" s="416">
        <v>7.2925703754234017E-2</v>
      </c>
      <c r="C243" s="11"/>
      <c r="D243" s="1786">
        <v>42826</v>
      </c>
      <c r="E243" s="1787">
        <v>24.657105453202792</v>
      </c>
      <c r="F243" s="1787">
        <v>29.657105453202792</v>
      </c>
      <c r="G243" s="1787">
        <v>34.657105453202789</v>
      </c>
      <c r="H243" s="1788"/>
      <c r="I243" s="1787">
        <v>22.387499999999999</v>
      </c>
      <c r="J243" s="1787">
        <v>27.387499999999999</v>
      </c>
      <c r="K243" s="1787">
        <v>32.387500000000003</v>
      </c>
      <c r="M243" s="1791">
        <v>43709</v>
      </c>
      <c r="N243" s="1792">
        <v>60.895811029537839</v>
      </c>
      <c r="O243" s="1792">
        <v>65.895811029537839</v>
      </c>
      <c r="P243" s="1792">
        <v>70.895811029537839</v>
      </c>
      <c r="Q243" s="29"/>
      <c r="R243" s="1792">
        <v>44.421858272153386</v>
      </c>
      <c r="S243" s="1792">
        <v>49.421858272153386</v>
      </c>
      <c r="T243" s="1792">
        <v>54.421858272153386</v>
      </c>
      <c r="V243" s="500">
        <v>0</v>
      </c>
      <c r="W243" s="500">
        <v>0</v>
      </c>
      <c r="X243" s="500">
        <v>0</v>
      </c>
      <c r="Y243" s="27"/>
      <c r="Z243" s="1792">
        <v>0.09</v>
      </c>
      <c r="AA243" s="1792">
        <v>0.1</v>
      </c>
      <c r="AB243" s="1792">
        <v>0.11</v>
      </c>
      <c r="AC243" s="29"/>
      <c r="AD243" s="1792">
        <v>0.09</v>
      </c>
      <c r="AE243" s="1792">
        <v>0.11</v>
      </c>
      <c r="AF243" s="1792">
        <v>0.13</v>
      </c>
      <c r="AG243" s="29"/>
      <c r="AH243" s="1792">
        <v>-0.35</v>
      </c>
      <c r="AI243" s="1792">
        <v>3</v>
      </c>
      <c r="AJ243" s="1792">
        <v>0.2</v>
      </c>
      <c r="AK243" s="29"/>
      <c r="AL243" s="1792">
        <v>-0.01</v>
      </c>
      <c r="AM243" s="1792">
        <v>0.16</v>
      </c>
      <c r="AN243" s="1792">
        <v>0.01</v>
      </c>
      <c r="AO243" s="29"/>
      <c r="AP243" s="14">
        <v>78</v>
      </c>
      <c r="AQ243" s="1802">
        <v>0.35</v>
      </c>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325">
        <v>43862</v>
      </c>
      <c r="BR243" s="415">
        <v>3.9865000000000004</v>
      </c>
      <c r="BS243" s="415">
        <v>3.9915000000000003</v>
      </c>
      <c r="BT243" s="415">
        <v>3.9965000000000006</v>
      </c>
      <c r="BU243" s="1722">
        <f t="shared" si="0"/>
        <v>0.14349999999999999</v>
      </c>
      <c r="BV243" s="1722">
        <f t="shared" si="1"/>
        <v>0.15</v>
      </c>
      <c r="BW243" s="1722">
        <f t="shared" si="2"/>
        <v>0.1585</v>
      </c>
      <c r="BX243" s="416">
        <v>-7.0000000000000007E-2</v>
      </c>
      <c r="BY243" s="416"/>
      <c r="BZ243" s="416">
        <v>7.0000000000000007E-2</v>
      </c>
      <c r="CA243" s="432">
        <v>0</v>
      </c>
      <c r="CB243" s="1618">
        <v>0</v>
      </c>
      <c r="CC243" s="445">
        <v>3.7880000000000003</v>
      </c>
      <c r="CD243" s="449">
        <v>0.1585</v>
      </c>
    </row>
    <row r="244" spans="1:82">
      <c r="A244" s="325">
        <v>43983</v>
      </c>
      <c r="B244" s="416">
        <v>7.2921297015779013E-2</v>
      </c>
      <c r="C244" s="11"/>
      <c r="D244" s="1786">
        <v>42856</v>
      </c>
      <c r="E244" s="1787">
        <v>23.907105453202792</v>
      </c>
      <c r="F244" s="1787">
        <v>28.907105453202792</v>
      </c>
      <c r="G244" s="1787">
        <v>33.907105453202789</v>
      </c>
      <c r="H244" s="1788"/>
      <c r="I244" s="1787">
        <v>22.445967741935487</v>
      </c>
      <c r="J244" s="1787">
        <v>27.445967741935487</v>
      </c>
      <c r="K244" s="1787">
        <v>32.44596774193549</v>
      </c>
      <c r="M244" s="1791">
        <v>43739</v>
      </c>
      <c r="N244" s="1792">
        <v>32.499108841299787</v>
      </c>
      <c r="O244" s="1792">
        <v>37.499108841299787</v>
      </c>
      <c r="P244" s="1792">
        <v>42.499108841299787</v>
      </c>
      <c r="Q244" s="29"/>
      <c r="R244" s="1792">
        <v>23.124331630974829</v>
      </c>
      <c r="S244" s="1792">
        <v>28.124331630974829</v>
      </c>
      <c r="T244" s="1792">
        <v>33.124331630974829</v>
      </c>
      <c r="V244" s="500">
        <v>0</v>
      </c>
      <c r="W244" s="500">
        <v>0</v>
      </c>
      <c r="X244" s="500">
        <v>0</v>
      </c>
      <c r="Y244" s="27"/>
      <c r="Z244" s="1792">
        <v>0.09</v>
      </c>
      <c r="AA244" s="1792">
        <v>0.1</v>
      </c>
      <c r="AB244" s="1792">
        <v>0.11</v>
      </c>
      <c r="AC244" s="29"/>
      <c r="AD244" s="1792">
        <v>0.09</v>
      </c>
      <c r="AE244" s="1792">
        <v>0.11</v>
      </c>
      <c r="AF244" s="1792">
        <v>0.13</v>
      </c>
      <c r="AG244" s="29"/>
      <c r="AH244" s="1792">
        <v>-0.1</v>
      </c>
      <c r="AI244" s="1792">
        <v>3</v>
      </c>
      <c r="AJ244" s="1792">
        <v>0.1</v>
      </c>
      <c r="AK244" s="29"/>
      <c r="AL244" s="1792">
        <v>-0.01</v>
      </c>
      <c r="AM244" s="1792">
        <v>0.16</v>
      </c>
      <c r="AN244" s="1792">
        <v>0.01</v>
      </c>
      <c r="AO244" s="29"/>
      <c r="AP244" s="14">
        <v>79</v>
      </c>
      <c r="AQ244" s="1802">
        <v>0.35</v>
      </c>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325">
        <v>43891</v>
      </c>
      <c r="BR244" s="415">
        <v>3.9224999999999999</v>
      </c>
      <c r="BS244" s="415">
        <v>3.9275000000000002</v>
      </c>
      <c r="BT244" s="415">
        <v>3.9325000000000001</v>
      </c>
      <c r="BU244" s="1722">
        <f t="shared" si="0"/>
        <v>0.14349999999999999</v>
      </c>
      <c r="BV244" s="1722">
        <f t="shared" si="1"/>
        <v>0.15</v>
      </c>
      <c r="BW244" s="1722">
        <f t="shared" si="2"/>
        <v>0.1585</v>
      </c>
      <c r="BX244" s="416">
        <v>-7.0000000000000007E-2</v>
      </c>
      <c r="BY244" s="416"/>
      <c r="BZ244" s="416">
        <v>7.0000000000000007E-2</v>
      </c>
      <c r="CA244" s="432">
        <v>0</v>
      </c>
      <c r="CB244" s="1618">
        <v>0</v>
      </c>
      <c r="CC244" s="445">
        <v>3.7930000000000001</v>
      </c>
      <c r="CD244" s="449">
        <v>0.1585</v>
      </c>
    </row>
    <row r="245" spans="1:82">
      <c r="A245" s="325">
        <v>44013</v>
      </c>
      <c r="B245" s="416">
        <v>7.2917032430182008E-2</v>
      </c>
      <c r="C245" s="11"/>
      <c r="D245" s="1786">
        <v>42887</v>
      </c>
      <c r="E245" s="1787">
        <v>29.157105453202796</v>
      </c>
      <c r="F245" s="1787">
        <v>34.157105453202796</v>
      </c>
      <c r="G245" s="1787">
        <v>39.157105453202796</v>
      </c>
      <c r="H245" s="1788"/>
      <c r="I245" s="1787">
        <v>21.7</v>
      </c>
      <c r="J245" s="1787">
        <v>26.7</v>
      </c>
      <c r="K245" s="1787">
        <v>31.7</v>
      </c>
      <c r="M245" s="1791">
        <v>43770</v>
      </c>
      <c r="N245" s="1792">
        <v>24.749108841299797</v>
      </c>
      <c r="O245" s="1792">
        <v>29.749108841299797</v>
      </c>
      <c r="P245" s="1792">
        <v>34.749108841299801</v>
      </c>
      <c r="Q245" s="29"/>
      <c r="R245" s="1792">
        <v>17.311831630974829</v>
      </c>
      <c r="S245" s="1792">
        <v>22.311831630974829</v>
      </c>
      <c r="T245" s="1792">
        <v>27.311831630974829</v>
      </c>
      <c r="V245" s="500">
        <v>0</v>
      </c>
      <c r="W245" s="500">
        <v>0</v>
      </c>
      <c r="X245" s="500">
        <v>0</v>
      </c>
      <c r="Y245" s="27"/>
      <c r="Z245" s="1792">
        <v>0.09</v>
      </c>
      <c r="AA245" s="1792">
        <v>0.1</v>
      </c>
      <c r="AB245" s="1792">
        <v>0.11</v>
      </c>
      <c r="AC245" s="29"/>
      <c r="AD245" s="1792">
        <v>0.09</v>
      </c>
      <c r="AE245" s="1792">
        <v>0.11</v>
      </c>
      <c r="AF245" s="1792">
        <v>0.13</v>
      </c>
      <c r="AG245" s="29"/>
      <c r="AH245" s="1792">
        <v>-0.1</v>
      </c>
      <c r="AI245" s="1792">
        <v>0.6</v>
      </c>
      <c r="AJ245" s="1792">
        <v>0.1</v>
      </c>
      <c r="AK245" s="29"/>
      <c r="AL245" s="1792">
        <v>-0.01</v>
      </c>
      <c r="AM245" s="1792">
        <v>0.16</v>
      </c>
      <c r="AN245" s="1792">
        <v>0.01</v>
      </c>
      <c r="AO245" s="29"/>
      <c r="AP245" s="14">
        <v>79</v>
      </c>
      <c r="AQ245" s="1802">
        <v>0.35</v>
      </c>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325">
        <v>43922</v>
      </c>
      <c r="BR245" s="415">
        <v>3.8735000000000004</v>
      </c>
      <c r="BS245" s="415">
        <v>3.8785000000000003</v>
      </c>
      <c r="BT245" s="415">
        <v>3.8835000000000002</v>
      </c>
      <c r="BU245" s="1722">
        <f t="shared" si="0"/>
        <v>0.14349999999999999</v>
      </c>
      <c r="BV245" s="1722">
        <f t="shared" si="1"/>
        <v>0.15</v>
      </c>
      <c r="BW245" s="1722">
        <f t="shared" si="2"/>
        <v>0.1585</v>
      </c>
      <c r="BX245" s="416">
        <v>-7.0000000000000007E-2</v>
      </c>
      <c r="BY245" s="416"/>
      <c r="BZ245" s="416">
        <v>7.0000000000000007E-2</v>
      </c>
      <c r="CA245" s="432">
        <v>0</v>
      </c>
      <c r="CB245" s="1618">
        <v>0</v>
      </c>
      <c r="CC245" s="445">
        <v>3.7960000000000003</v>
      </c>
      <c r="CD245" s="449">
        <v>0.1585</v>
      </c>
    </row>
    <row r="246" spans="1:82">
      <c r="A246" s="325">
        <v>44044</v>
      </c>
      <c r="B246" s="416">
        <v>7.2912625691740021E-2</v>
      </c>
      <c r="C246" s="11"/>
      <c r="D246" s="1786">
        <v>42917</v>
      </c>
      <c r="E246" s="1787">
        <v>55.921419844316546</v>
      </c>
      <c r="F246" s="1787">
        <v>60.921419844316546</v>
      </c>
      <c r="G246" s="1787">
        <v>65.921419844316546</v>
      </c>
      <c r="H246" s="1788"/>
      <c r="I246" s="1787">
        <v>27.724193548387106</v>
      </c>
      <c r="J246" s="1787">
        <v>32.724193548387106</v>
      </c>
      <c r="K246" s="1787">
        <v>37.724193548387106</v>
      </c>
      <c r="M246" s="1791">
        <v>43800</v>
      </c>
      <c r="N246" s="1792">
        <v>26.749108841299794</v>
      </c>
      <c r="O246" s="1792">
        <v>31.749108841299794</v>
      </c>
      <c r="P246" s="1792">
        <v>36.749108841299794</v>
      </c>
      <c r="Q246" s="29"/>
      <c r="R246" s="1792">
        <v>18.811831630974829</v>
      </c>
      <c r="S246" s="1792">
        <v>23.811831630974829</v>
      </c>
      <c r="T246" s="1792">
        <v>28.811831630974829</v>
      </c>
      <c r="V246" s="500">
        <v>0</v>
      </c>
      <c r="W246" s="500">
        <v>0</v>
      </c>
      <c r="X246" s="500">
        <v>0</v>
      </c>
      <c r="Y246" s="27"/>
      <c r="Z246" s="1792">
        <v>0.09</v>
      </c>
      <c r="AA246" s="1792">
        <v>0.1</v>
      </c>
      <c r="AB246" s="1792">
        <v>0.11</v>
      </c>
      <c r="AC246" s="29"/>
      <c r="AD246" s="1792">
        <v>0.09</v>
      </c>
      <c r="AE246" s="1792">
        <v>0.11</v>
      </c>
      <c r="AF246" s="1792">
        <v>0.13</v>
      </c>
      <c r="AG246" s="29"/>
      <c r="AH246" s="1792">
        <v>-0.25</v>
      </c>
      <c r="AI246" s="1792">
        <v>0.6</v>
      </c>
      <c r="AJ246" s="1792">
        <v>0.25</v>
      </c>
      <c r="AK246" s="29"/>
      <c r="AL246" s="1792">
        <v>-0.01</v>
      </c>
      <c r="AM246" s="1792">
        <v>0.16</v>
      </c>
      <c r="AN246" s="1792">
        <v>0.01</v>
      </c>
      <c r="AO246" s="29"/>
      <c r="AP246" s="14">
        <v>79</v>
      </c>
      <c r="AQ246" s="1802">
        <v>0.35</v>
      </c>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325">
        <v>43952</v>
      </c>
      <c r="BR246" s="415">
        <v>3.9045000000000001</v>
      </c>
      <c r="BS246" s="415">
        <v>3.9095</v>
      </c>
      <c r="BT246" s="415">
        <v>3.9144999999999999</v>
      </c>
      <c r="BU246" s="1722">
        <f t="shared" si="0"/>
        <v>0.14349999999999999</v>
      </c>
      <c r="BV246" s="1722">
        <f t="shared" si="1"/>
        <v>0.15</v>
      </c>
      <c r="BW246" s="1722">
        <f t="shared" si="2"/>
        <v>0.1585</v>
      </c>
      <c r="BX246" s="416">
        <v>-7.0000000000000007E-2</v>
      </c>
      <c r="BY246" s="416"/>
      <c r="BZ246" s="416">
        <v>7.0000000000000007E-2</v>
      </c>
      <c r="CA246" s="432">
        <v>0</v>
      </c>
      <c r="CB246" s="1618">
        <v>0</v>
      </c>
      <c r="CC246" s="445">
        <v>3.8290000000000006</v>
      </c>
      <c r="CD246" s="449">
        <v>0.1585</v>
      </c>
    </row>
    <row r="247" spans="1:82">
      <c r="A247" s="325">
        <v>44075</v>
      </c>
      <c r="B247" s="416">
        <v>7.2908218953304002E-2</v>
      </c>
      <c r="C247" s="11"/>
      <c r="D247" s="1786">
        <v>42948</v>
      </c>
      <c r="E247" s="1787">
        <v>76.546419844316546</v>
      </c>
      <c r="F247" s="1787">
        <v>81.546419844316546</v>
      </c>
      <c r="G247" s="1787">
        <v>86.546419844316546</v>
      </c>
      <c r="H247" s="1788"/>
      <c r="I247" s="1787">
        <v>25.724193548387102</v>
      </c>
      <c r="J247" s="1787">
        <v>30.724193548387102</v>
      </c>
      <c r="K247" s="1787">
        <v>35.724193548387106</v>
      </c>
      <c r="M247" s="1791">
        <v>43831</v>
      </c>
      <c r="N247" s="1792">
        <v>25.471230322648513</v>
      </c>
      <c r="O247" s="1792">
        <v>30.471230322648513</v>
      </c>
      <c r="P247" s="1792">
        <v>35.471230322648509</v>
      </c>
      <c r="Q247" s="29"/>
      <c r="R247" s="1792">
        <v>17.853422741986378</v>
      </c>
      <c r="S247" s="1792">
        <v>22.853422741986378</v>
      </c>
      <c r="T247" s="1792">
        <v>27.853422741986378</v>
      </c>
      <c r="V247" s="500">
        <v>0</v>
      </c>
      <c r="W247" s="500">
        <v>0</v>
      </c>
      <c r="X247" s="500">
        <v>0</v>
      </c>
      <c r="Y247" s="27"/>
      <c r="Z247" s="1792">
        <v>0.09</v>
      </c>
      <c r="AA247" s="1792">
        <v>0.1</v>
      </c>
      <c r="AB247" s="1792">
        <v>0.11</v>
      </c>
      <c r="AC247" s="29"/>
      <c r="AD247" s="1792">
        <v>0.09</v>
      </c>
      <c r="AE247" s="1792">
        <v>0.11</v>
      </c>
      <c r="AF247" s="1792">
        <v>0.13</v>
      </c>
      <c r="AG247" s="29"/>
      <c r="AH247" s="1792">
        <v>-0.25</v>
      </c>
      <c r="AI247" s="1792">
        <v>0.6</v>
      </c>
      <c r="AJ247" s="1792">
        <v>0.25</v>
      </c>
      <c r="AK247" s="29"/>
      <c r="AL247" s="1792">
        <v>-0.01</v>
      </c>
      <c r="AM247" s="1792">
        <v>0.16</v>
      </c>
      <c r="AN247" s="1792">
        <v>0.01</v>
      </c>
      <c r="AO247" s="29"/>
      <c r="AP247" s="14">
        <v>80</v>
      </c>
      <c r="AQ247" s="1802">
        <v>0.35</v>
      </c>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325">
        <v>43983</v>
      </c>
      <c r="BR247" s="415">
        <v>3.9285000000000001</v>
      </c>
      <c r="BS247" s="415">
        <v>3.9335000000000004</v>
      </c>
      <c r="BT247" s="415">
        <v>3.9385000000000003</v>
      </c>
      <c r="BU247" s="1722">
        <f t="shared" si="0"/>
        <v>0.14349999999999999</v>
      </c>
      <c r="BV247" s="1722">
        <f t="shared" si="1"/>
        <v>0.15</v>
      </c>
      <c r="BW247" s="1722">
        <f t="shared" si="2"/>
        <v>0.1585</v>
      </c>
      <c r="BX247" s="416">
        <v>-7.0000000000000007E-2</v>
      </c>
      <c r="BY247" s="416"/>
      <c r="BZ247" s="416">
        <v>7.0000000000000007E-2</v>
      </c>
      <c r="CA247" s="432">
        <v>0</v>
      </c>
      <c r="CB247" s="1618">
        <v>0</v>
      </c>
      <c r="CC247" s="445">
        <v>3.97</v>
      </c>
      <c r="CD247" s="449">
        <v>0.1585</v>
      </c>
    </row>
    <row r="248" spans="1:82">
      <c r="A248" s="325">
        <v>44105</v>
      </c>
      <c r="B248" s="416">
        <v>7.2903954367727009E-2</v>
      </c>
      <c r="C248" s="11"/>
      <c r="D248" s="1786">
        <v>42979</v>
      </c>
      <c r="E248" s="1787">
        <v>60.546419844316546</v>
      </c>
      <c r="F248" s="1787">
        <v>65.546419844316546</v>
      </c>
      <c r="G248" s="1787">
        <v>70.546419844316546</v>
      </c>
      <c r="H248" s="1789"/>
      <c r="I248" s="1787">
        <v>26.137499999999999</v>
      </c>
      <c r="J248" s="1787">
        <v>31.137499999999999</v>
      </c>
      <c r="K248" s="1787">
        <v>36.137500000000003</v>
      </c>
      <c r="M248" s="1791">
        <v>43862</v>
      </c>
      <c r="N248" s="1792">
        <v>24.971230322648513</v>
      </c>
      <c r="O248" s="1792">
        <v>29.971230322648513</v>
      </c>
      <c r="P248" s="1792">
        <v>34.971230322648509</v>
      </c>
      <c r="Q248" s="29"/>
      <c r="R248" s="1792">
        <v>17.478422741986378</v>
      </c>
      <c r="S248" s="1792">
        <v>22.478422741986378</v>
      </c>
      <c r="T248" s="1792">
        <v>27.478422741986378</v>
      </c>
      <c r="V248" s="500">
        <v>0</v>
      </c>
      <c r="W248" s="500">
        <v>0</v>
      </c>
      <c r="X248" s="500">
        <v>0</v>
      </c>
      <c r="Y248" s="27"/>
      <c r="Z248" s="1792">
        <v>0.09</v>
      </c>
      <c r="AA248" s="1792">
        <v>0.1</v>
      </c>
      <c r="AB248" s="1792">
        <v>0.11</v>
      </c>
      <c r="AC248" s="29"/>
      <c r="AD248" s="1792">
        <v>0.09</v>
      </c>
      <c r="AE248" s="1792">
        <v>0.11</v>
      </c>
      <c r="AF248" s="1792">
        <v>0.13</v>
      </c>
      <c r="AG248" s="29"/>
      <c r="AH248" s="1792">
        <v>-0.25</v>
      </c>
      <c r="AI248" s="1792">
        <v>0.65</v>
      </c>
      <c r="AJ248" s="1792">
        <v>0.25</v>
      </c>
      <c r="AK248" s="29"/>
      <c r="AL248" s="1792">
        <v>-0.01</v>
      </c>
      <c r="AM248" s="1792">
        <v>0.16</v>
      </c>
      <c r="AN248" s="1792">
        <v>0.01</v>
      </c>
      <c r="AO248" s="29"/>
      <c r="AP248" s="14">
        <v>80</v>
      </c>
      <c r="AQ248" s="1802">
        <v>0.35</v>
      </c>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325">
        <v>44013</v>
      </c>
      <c r="BR248" s="415">
        <v>3.9365000000000006</v>
      </c>
      <c r="BS248" s="415">
        <v>3.9415000000000004</v>
      </c>
      <c r="BT248" s="415">
        <v>3.9465000000000003</v>
      </c>
      <c r="BU248" s="1722">
        <f t="shared" si="0"/>
        <v>0.14349999999999999</v>
      </c>
      <c r="BV248" s="1722">
        <f t="shared" si="1"/>
        <v>0.15</v>
      </c>
      <c r="BW248" s="1722">
        <f t="shared" si="2"/>
        <v>0.1585</v>
      </c>
      <c r="BX248" s="416">
        <v>-7.0000000000000007E-2</v>
      </c>
      <c r="BY248" s="416"/>
      <c r="BZ248" s="416">
        <v>7.0000000000000007E-2</v>
      </c>
      <c r="CA248" s="432">
        <v>0</v>
      </c>
      <c r="CB248" s="1618">
        <v>0</v>
      </c>
      <c r="CC248" s="445">
        <v>4.1150000000000002</v>
      </c>
      <c r="CD248" s="449">
        <v>0.1585</v>
      </c>
    </row>
    <row r="249" spans="1:82">
      <c r="A249" s="325">
        <v>44136</v>
      </c>
      <c r="B249" s="416">
        <v>7.2899547629302994E-2</v>
      </c>
      <c r="C249" s="11"/>
      <c r="D249" s="1786">
        <v>43009</v>
      </c>
      <c r="E249" s="1787">
        <v>32.34620089012958</v>
      </c>
      <c r="F249" s="1787">
        <v>37.34620089012958</v>
      </c>
      <c r="G249" s="1787">
        <v>42.34620089012958</v>
      </c>
      <c r="H249" s="1789"/>
      <c r="I249" s="1787">
        <v>25.651612903225811</v>
      </c>
      <c r="J249" s="1787">
        <v>30.651612903225811</v>
      </c>
      <c r="K249" s="1787">
        <v>35.651612903225811</v>
      </c>
      <c r="M249" s="1791">
        <v>43891</v>
      </c>
      <c r="N249" s="1792">
        <v>24.221230322648513</v>
      </c>
      <c r="O249" s="1792">
        <v>29.221230322648513</v>
      </c>
      <c r="P249" s="1792">
        <v>34.221230322648509</v>
      </c>
      <c r="Q249" s="29"/>
      <c r="R249" s="1792">
        <v>16.915922741986378</v>
      </c>
      <c r="S249" s="1792">
        <v>21.915922741986378</v>
      </c>
      <c r="T249" s="1792">
        <v>26.915922741986378</v>
      </c>
      <c r="V249" s="500">
        <v>0</v>
      </c>
      <c r="W249" s="500">
        <v>0</v>
      </c>
      <c r="X249" s="500">
        <v>0</v>
      </c>
      <c r="Y249" s="27"/>
      <c r="Z249" s="1792">
        <v>0.09</v>
      </c>
      <c r="AA249" s="1792">
        <v>0.1</v>
      </c>
      <c r="AB249" s="1792">
        <v>0.11</v>
      </c>
      <c r="AC249" s="29"/>
      <c r="AD249" s="1792">
        <v>0.09</v>
      </c>
      <c r="AE249" s="1792">
        <v>0.11</v>
      </c>
      <c r="AF249" s="1792">
        <v>0.13</v>
      </c>
      <c r="AG249" s="29"/>
      <c r="AH249" s="1792">
        <v>-0.1</v>
      </c>
      <c r="AI249" s="1792">
        <v>0.65</v>
      </c>
      <c r="AJ249" s="1792">
        <v>0.1</v>
      </c>
      <c r="AK249" s="29"/>
      <c r="AL249" s="1792">
        <v>-0.01</v>
      </c>
      <c r="AM249" s="1792">
        <v>0.16</v>
      </c>
      <c r="AN249" s="1792">
        <v>0.01</v>
      </c>
      <c r="AO249" s="29"/>
      <c r="AP249" s="14">
        <v>80</v>
      </c>
      <c r="AQ249" s="1802">
        <v>0.35</v>
      </c>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325">
        <v>44044</v>
      </c>
      <c r="BR249" s="415">
        <v>3.9455</v>
      </c>
      <c r="BS249" s="415">
        <v>3.9505000000000003</v>
      </c>
      <c r="BT249" s="415">
        <v>3.9555000000000002</v>
      </c>
      <c r="BU249" s="1722">
        <f t="shared" si="0"/>
        <v>0.14349999999999999</v>
      </c>
      <c r="BV249" s="1722">
        <f t="shared" si="1"/>
        <v>0.15</v>
      </c>
      <c r="BW249" s="1722">
        <f t="shared" si="2"/>
        <v>0.1585</v>
      </c>
      <c r="BX249" s="416">
        <v>-7.0000000000000007E-2</v>
      </c>
      <c r="BY249" s="416"/>
      <c r="BZ249" s="416">
        <v>7.0000000000000007E-2</v>
      </c>
      <c r="CA249" s="432">
        <v>0</v>
      </c>
      <c r="CB249" s="1618">
        <v>0</v>
      </c>
      <c r="CC249" s="445">
        <v>4.2590000000000003</v>
      </c>
      <c r="CD249" s="449">
        <v>0.1585</v>
      </c>
    </row>
    <row r="250" spans="1:82">
      <c r="A250" s="325">
        <v>44166</v>
      </c>
      <c r="B250" s="416">
        <v>7.2895283043738004E-2</v>
      </c>
      <c r="C250" s="11"/>
      <c r="D250" s="1786">
        <v>43040</v>
      </c>
      <c r="E250" s="1787">
        <v>24.596200890129591</v>
      </c>
      <c r="F250" s="1787">
        <v>29.596200890129591</v>
      </c>
      <c r="G250" s="1787">
        <v>34.596200890129595</v>
      </c>
      <c r="H250" s="1789"/>
      <c r="I250" s="1787">
        <v>26.991666666666671</v>
      </c>
      <c r="J250" s="1787">
        <v>31.991666666666671</v>
      </c>
      <c r="K250" s="1787">
        <v>36.991666666666674</v>
      </c>
      <c r="M250" s="1791">
        <v>43922</v>
      </c>
      <c r="N250" s="1792">
        <v>24.139741359247932</v>
      </c>
      <c r="O250" s="1792">
        <v>29.139741359247932</v>
      </c>
      <c r="P250" s="1792">
        <v>34.139741359247935</v>
      </c>
      <c r="Q250" s="29"/>
      <c r="R250" s="1792">
        <v>16.854806019435962</v>
      </c>
      <c r="S250" s="1792">
        <v>21.854806019435962</v>
      </c>
      <c r="T250" s="1792">
        <v>26.854806019435962</v>
      </c>
      <c r="V250" s="500">
        <v>0</v>
      </c>
      <c r="W250" s="500">
        <v>0</v>
      </c>
      <c r="X250" s="500">
        <v>0</v>
      </c>
      <c r="Y250" s="27"/>
      <c r="Z250" s="1792">
        <v>0.09</v>
      </c>
      <c r="AA250" s="1792">
        <v>0.1</v>
      </c>
      <c r="AB250" s="1792">
        <v>0.11</v>
      </c>
      <c r="AC250" s="29"/>
      <c r="AD250" s="1792">
        <v>0.09</v>
      </c>
      <c r="AE250" s="1792">
        <v>0.11</v>
      </c>
      <c r="AF250" s="1792">
        <v>0.13</v>
      </c>
      <c r="AG250" s="29"/>
      <c r="AH250" s="1792">
        <v>-0.1</v>
      </c>
      <c r="AI250" s="1792">
        <v>0.65</v>
      </c>
      <c r="AJ250" s="1792">
        <v>0.1</v>
      </c>
      <c r="AK250" s="29"/>
      <c r="AL250" s="1792">
        <v>-0.01</v>
      </c>
      <c r="AM250" s="1792">
        <v>0.16</v>
      </c>
      <c r="AN250" s="1792">
        <v>0.01</v>
      </c>
      <c r="AO250" s="29"/>
      <c r="AP250" s="14">
        <v>81</v>
      </c>
      <c r="AQ250" s="1802">
        <v>0.35</v>
      </c>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325">
        <v>44075</v>
      </c>
      <c r="BR250" s="415">
        <v>3.9355000000000002</v>
      </c>
      <c r="BS250" s="415">
        <v>3.9405000000000001</v>
      </c>
      <c r="BT250" s="415">
        <v>3.9455</v>
      </c>
      <c r="BU250" s="1722">
        <f t="shared" si="0"/>
        <v>0.14349999999999999</v>
      </c>
      <c r="BV250" s="1722">
        <f t="shared" si="1"/>
        <v>0.15</v>
      </c>
      <c r="BW250" s="1722">
        <f t="shared" si="2"/>
        <v>0.1585</v>
      </c>
      <c r="BX250" s="416">
        <v>-7.0000000000000007E-2</v>
      </c>
      <c r="BY250" s="416"/>
      <c r="BZ250" s="416">
        <v>7.0000000000000007E-2</v>
      </c>
      <c r="CA250" s="432">
        <v>0</v>
      </c>
      <c r="CB250" s="1618">
        <v>0</v>
      </c>
      <c r="CC250" s="445">
        <v>4.1340000000000003</v>
      </c>
      <c r="CD250" s="449">
        <v>0.1585</v>
      </c>
    </row>
    <row r="251" spans="1:82">
      <c r="A251" s="325">
        <v>44197</v>
      </c>
      <c r="B251" s="416">
        <v>7.2890876305326993E-2</v>
      </c>
      <c r="C251" s="11"/>
      <c r="D251" s="1786">
        <v>43070</v>
      </c>
      <c r="E251" s="1787">
        <v>26.596200890129587</v>
      </c>
      <c r="F251" s="1787">
        <v>31.596200890129587</v>
      </c>
      <c r="G251" s="1787">
        <v>36.596200890129587</v>
      </c>
      <c r="H251" s="1789"/>
      <c r="I251" s="1787">
        <v>26.296774193548398</v>
      </c>
      <c r="J251" s="1787">
        <v>31.296774193548398</v>
      </c>
      <c r="K251" s="1787">
        <v>36.296774193548401</v>
      </c>
      <c r="M251" s="1791">
        <v>43952</v>
      </c>
      <c r="N251" s="1792">
        <v>24.139741359247932</v>
      </c>
      <c r="O251" s="1792">
        <v>29.139741359247932</v>
      </c>
      <c r="P251" s="1792">
        <v>34.139741359247935</v>
      </c>
      <c r="Q251" s="29"/>
      <c r="R251" s="1792">
        <v>16.854806019435962</v>
      </c>
      <c r="S251" s="1792">
        <v>21.854806019435962</v>
      </c>
      <c r="T251" s="1792">
        <v>26.854806019435962</v>
      </c>
      <c r="V251" s="500">
        <v>0</v>
      </c>
      <c r="W251" s="500">
        <v>0</v>
      </c>
      <c r="X251" s="500">
        <v>0</v>
      </c>
      <c r="Y251" s="27"/>
      <c r="Z251" s="1792">
        <v>0.09</v>
      </c>
      <c r="AA251" s="1792">
        <v>0.1</v>
      </c>
      <c r="AB251" s="1792">
        <v>0.11</v>
      </c>
      <c r="AC251" s="29"/>
      <c r="AD251" s="1792">
        <v>0.09</v>
      </c>
      <c r="AE251" s="1792">
        <v>0.11</v>
      </c>
      <c r="AF251" s="1792">
        <v>0.13</v>
      </c>
      <c r="AG251" s="29"/>
      <c r="AH251" s="1792">
        <v>-0.1</v>
      </c>
      <c r="AI251" s="1792">
        <v>0.65</v>
      </c>
      <c r="AJ251" s="1792">
        <v>0.1</v>
      </c>
      <c r="AK251" s="29"/>
      <c r="AL251" s="1792">
        <v>-0.01</v>
      </c>
      <c r="AM251" s="1792">
        <v>0.16</v>
      </c>
      <c r="AN251" s="1792">
        <v>0.01</v>
      </c>
      <c r="AO251" s="29"/>
      <c r="AP251" s="14">
        <v>81</v>
      </c>
      <c r="AQ251" s="1802">
        <v>0.35</v>
      </c>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325">
        <v>44105</v>
      </c>
      <c r="BR251" s="415">
        <v>3.9455</v>
      </c>
      <c r="BS251" s="415">
        <v>3.9505000000000003</v>
      </c>
      <c r="BT251" s="415">
        <v>3.9555000000000002</v>
      </c>
      <c r="BU251" s="1722">
        <f t="shared" si="0"/>
        <v>0.14349999999999999</v>
      </c>
      <c r="BV251" s="1722">
        <f t="shared" si="1"/>
        <v>0.15</v>
      </c>
      <c r="BW251" s="1722">
        <f t="shared" si="2"/>
        <v>0.1585</v>
      </c>
      <c r="BX251" s="416">
        <v>-7.0000000000000007E-2</v>
      </c>
      <c r="BY251" s="416"/>
      <c r="BZ251" s="416">
        <v>7.0000000000000007E-2</v>
      </c>
      <c r="CA251" s="432">
        <v>0</v>
      </c>
      <c r="CB251" s="1618">
        <v>0</v>
      </c>
      <c r="CC251" s="445">
        <v>4.0270000000000001</v>
      </c>
      <c r="CD251" s="449">
        <v>0.1585</v>
      </c>
    </row>
    <row r="252" spans="1:82">
      <c r="A252" s="325">
        <v>44228</v>
      </c>
      <c r="B252" s="416">
        <v>7.2886469566923018E-2</v>
      </c>
      <c r="C252" s="11"/>
      <c r="D252" s="1786">
        <v>43101</v>
      </c>
      <c r="E252" s="1787">
        <v>25.327385769395963</v>
      </c>
      <c r="F252" s="1787">
        <v>30.327385769395963</v>
      </c>
      <c r="G252" s="1787">
        <v>35.32738576939596</v>
      </c>
      <c r="H252" s="1789"/>
      <c r="I252" s="1787">
        <v>23.838119151052211</v>
      </c>
      <c r="J252" s="1787">
        <v>28.838119151052211</v>
      </c>
      <c r="K252" s="1787">
        <v>33.838119151052211</v>
      </c>
      <c r="M252" s="1791">
        <v>43983</v>
      </c>
      <c r="N252" s="1792">
        <v>29.389741359247935</v>
      </c>
      <c r="O252" s="1792">
        <v>34.389741359247935</v>
      </c>
      <c r="P252" s="1792">
        <v>39.389741359247935</v>
      </c>
      <c r="Q252" s="29"/>
      <c r="R252" s="1792">
        <v>20.792306019435962</v>
      </c>
      <c r="S252" s="1792">
        <v>25.792306019435962</v>
      </c>
      <c r="T252" s="1792">
        <v>30.792306019435962</v>
      </c>
      <c r="V252" s="500">
        <v>0</v>
      </c>
      <c r="W252" s="500">
        <v>0</v>
      </c>
      <c r="X252" s="500">
        <v>0</v>
      </c>
      <c r="Y252" s="27"/>
      <c r="Z252" s="1792">
        <v>0.09</v>
      </c>
      <c r="AA252" s="1792">
        <v>0.1</v>
      </c>
      <c r="AB252" s="1792">
        <v>0.11</v>
      </c>
      <c r="AC252" s="29"/>
      <c r="AD252" s="1792">
        <v>0.09</v>
      </c>
      <c r="AE252" s="1792">
        <v>0.11</v>
      </c>
      <c r="AF252" s="1792">
        <v>0.13</v>
      </c>
      <c r="AG252" s="29"/>
      <c r="AH252" s="1792">
        <v>-0.35</v>
      </c>
      <c r="AI252" s="1792">
        <v>0.65</v>
      </c>
      <c r="AJ252" s="1792">
        <v>0.2</v>
      </c>
      <c r="AK252" s="29"/>
      <c r="AL252" s="1792">
        <v>-0.01</v>
      </c>
      <c r="AM252" s="1792">
        <v>0.16</v>
      </c>
      <c r="AN252" s="1792">
        <v>0.01</v>
      </c>
      <c r="AO252" s="29"/>
      <c r="AP252" s="14">
        <v>81</v>
      </c>
      <c r="AQ252" s="1802">
        <v>0.35</v>
      </c>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325">
        <v>44136</v>
      </c>
      <c r="BR252" s="415">
        <v>3.9935000000000005</v>
      </c>
      <c r="BS252" s="415">
        <v>3.9985000000000004</v>
      </c>
      <c r="BT252" s="415">
        <v>4.0035000000000007</v>
      </c>
      <c r="BU252" s="1722">
        <f t="shared" si="0"/>
        <v>0.14349999999999999</v>
      </c>
      <c r="BV252" s="1722">
        <f t="shared" si="1"/>
        <v>0.15</v>
      </c>
      <c r="BW252" s="1722">
        <f t="shared" si="2"/>
        <v>0.1585</v>
      </c>
      <c r="BX252" s="416">
        <v>-7.0000000000000007E-2</v>
      </c>
      <c r="BY252" s="416"/>
      <c r="BZ252" s="416">
        <v>7.0000000000000007E-2</v>
      </c>
      <c r="CA252" s="432">
        <v>0</v>
      </c>
      <c r="CB252" s="1618">
        <v>0</v>
      </c>
      <c r="CC252" s="445">
        <v>3.9240000000000004</v>
      </c>
      <c r="CD252" s="449">
        <v>0.1585</v>
      </c>
    </row>
    <row r="253" spans="1:82">
      <c r="A253" s="325">
        <v>44256</v>
      </c>
      <c r="B253" s="416">
        <v>7.2882489287079022E-2</v>
      </c>
      <c r="C253" s="11"/>
      <c r="D253" s="1786">
        <v>43132</v>
      </c>
      <c r="E253" s="1787">
        <v>24.827385769395963</v>
      </c>
      <c r="F253" s="1787">
        <v>29.827385769395963</v>
      </c>
      <c r="G253" s="1787">
        <v>34.82738576939596</v>
      </c>
      <c r="H253" s="1789"/>
      <c r="I253" s="1787">
        <v>24.80714285714286</v>
      </c>
      <c r="J253" s="1787">
        <v>29.80714285714286</v>
      </c>
      <c r="K253" s="1787">
        <v>34.807142857142864</v>
      </c>
      <c r="M253" s="1791">
        <v>44013</v>
      </c>
      <c r="N253" s="1792">
        <v>56.445506622148486</v>
      </c>
      <c r="O253" s="1792">
        <v>61.445506622148486</v>
      </c>
      <c r="P253" s="1792">
        <v>66.445506622148486</v>
      </c>
      <c r="Q253" s="29"/>
      <c r="R253" s="1792">
        <v>41.084129966611371</v>
      </c>
      <c r="S253" s="1792">
        <v>46.084129966611371</v>
      </c>
      <c r="T253" s="1792">
        <v>51.084129966611371</v>
      </c>
      <c r="V253" s="500">
        <v>0</v>
      </c>
      <c r="W253" s="500">
        <v>0</v>
      </c>
      <c r="X253" s="500">
        <v>0</v>
      </c>
      <c r="Y253" s="27"/>
      <c r="Z253" s="1792">
        <v>0.09</v>
      </c>
      <c r="AA253" s="1792">
        <v>0.1</v>
      </c>
      <c r="AB253" s="1792">
        <v>0.11</v>
      </c>
      <c r="AC253" s="29"/>
      <c r="AD253" s="1792">
        <v>0.09</v>
      </c>
      <c r="AE253" s="1792">
        <v>0.11</v>
      </c>
      <c r="AF253" s="1792">
        <v>0.13</v>
      </c>
      <c r="AG253" s="29"/>
      <c r="AH253" s="1792">
        <v>-0.35</v>
      </c>
      <c r="AI253" s="1792">
        <v>0.65</v>
      </c>
      <c r="AJ253" s="1792">
        <v>0.35</v>
      </c>
      <c r="AK253" s="29"/>
      <c r="AL253" s="1792">
        <v>-0.01</v>
      </c>
      <c r="AM253" s="1792">
        <v>0.16</v>
      </c>
      <c r="AN253" s="1792">
        <v>0.01</v>
      </c>
      <c r="AO253" s="29"/>
      <c r="AP253" s="14">
        <v>82</v>
      </c>
      <c r="AQ253" s="1802">
        <v>0.35</v>
      </c>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325">
        <v>44166</v>
      </c>
      <c r="BR253" s="415">
        <v>4.0655000000000001</v>
      </c>
      <c r="BS253" s="415">
        <v>4.0705</v>
      </c>
      <c r="BT253" s="415">
        <v>4.0754999999999999</v>
      </c>
      <c r="BU253" s="1722">
        <f t="shared" si="0"/>
        <v>0.14349999999999999</v>
      </c>
      <c r="BV253" s="1722">
        <f t="shared" si="1"/>
        <v>0.15</v>
      </c>
      <c r="BW253" s="1722">
        <f t="shared" si="2"/>
        <v>0.1585</v>
      </c>
      <c r="BX253" s="416">
        <v>-7.0000000000000007E-2</v>
      </c>
      <c r="BY253" s="416"/>
      <c r="BZ253" s="416">
        <v>7.0000000000000007E-2</v>
      </c>
      <c r="CA253" s="432">
        <v>0</v>
      </c>
      <c r="CB253" s="1618">
        <v>0</v>
      </c>
      <c r="CC253" s="445">
        <v>3.9</v>
      </c>
      <c r="CD253" s="449">
        <v>0.1585</v>
      </c>
    </row>
    <row r="254" spans="1:82">
      <c r="A254" s="325">
        <v>44287</v>
      </c>
      <c r="B254" s="416">
        <v>7.2878082548686024E-2</v>
      </c>
      <c r="C254" s="11"/>
      <c r="D254" s="1786">
        <v>43160</v>
      </c>
      <c r="E254" s="1787">
        <v>24.577385769395963</v>
      </c>
      <c r="F254" s="1787">
        <v>29.577385769395963</v>
      </c>
      <c r="G254" s="1787">
        <v>34.57738576939596</v>
      </c>
      <c r="H254" s="1789"/>
      <c r="I254" s="1787">
        <v>25.087096774193554</v>
      </c>
      <c r="J254" s="1787">
        <v>30.087096774193554</v>
      </c>
      <c r="K254" s="1787">
        <v>35.087096774193554</v>
      </c>
      <c r="M254" s="1791">
        <v>44044</v>
      </c>
      <c r="N254" s="1792">
        <v>77.070506622148486</v>
      </c>
      <c r="O254" s="1792">
        <v>82.070506622148486</v>
      </c>
      <c r="P254" s="1792">
        <v>87.070506622148486</v>
      </c>
      <c r="Q254" s="29"/>
      <c r="R254" s="1792">
        <v>56.552879966611371</v>
      </c>
      <c r="S254" s="1792">
        <v>61.552879966611371</v>
      </c>
      <c r="T254" s="1792">
        <v>66.552879966611371</v>
      </c>
      <c r="V254" s="500">
        <v>0</v>
      </c>
      <c r="W254" s="500">
        <v>0</v>
      </c>
      <c r="X254" s="500">
        <v>0</v>
      </c>
      <c r="Y254" s="27"/>
      <c r="Z254" s="1792">
        <v>0.09</v>
      </c>
      <c r="AA254" s="1792">
        <v>0.1</v>
      </c>
      <c r="AB254" s="1792">
        <v>0.11</v>
      </c>
      <c r="AC254" s="29"/>
      <c r="AD254" s="1792">
        <v>0.09</v>
      </c>
      <c r="AE254" s="1792">
        <v>0.11</v>
      </c>
      <c r="AF254" s="1792">
        <v>0.13</v>
      </c>
      <c r="AG254" s="29"/>
      <c r="AH254" s="1792">
        <v>-0.35</v>
      </c>
      <c r="AI254" s="1792">
        <v>3</v>
      </c>
      <c r="AJ254" s="1792">
        <v>0.35</v>
      </c>
      <c r="AK254" s="29"/>
      <c r="AL254" s="1792">
        <v>-0.01</v>
      </c>
      <c r="AM254" s="1792">
        <v>0.16</v>
      </c>
      <c r="AN254" s="1792">
        <v>0.01</v>
      </c>
      <c r="AO254" s="29"/>
      <c r="AP254" s="14">
        <v>82</v>
      </c>
      <c r="AQ254" s="1802">
        <v>0.35</v>
      </c>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325">
        <v>44197</v>
      </c>
      <c r="BR254" s="415">
        <v>4.1035000000000004</v>
      </c>
      <c r="BS254" s="415">
        <v>4.1085000000000003</v>
      </c>
      <c r="BT254" s="415">
        <v>-0.14499999999999999</v>
      </c>
      <c r="BU254" s="1722">
        <f t="shared" si="0"/>
        <v>0.14349999999999999</v>
      </c>
      <c r="BV254" s="1722">
        <f t="shared" si="1"/>
        <v>0.15</v>
      </c>
      <c r="BW254" s="1722">
        <f t="shared" si="2"/>
        <v>0.1585</v>
      </c>
      <c r="BX254" s="416">
        <v>-7.0000000000000007E-2</v>
      </c>
      <c r="BY254" s="416"/>
      <c r="BZ254" s="416">
        <v>7.0000000000000007E-2</v>
      </c>
      <c r="CA254" s="432">
        <v>0</v>
      </c>
      <c r="CB254" s="1618">
        <v>0</v>
      </c>
      <c r="CC254" s="445">
        <v>3.907</v>
      </c>
      <c r="CD254" s="449">
        <v>0.1585</v>
      </c>
    </row>
    <row r="255" spans="1:82">
      <c r="A255" s="325">
        <v>44317</v>
      </c>
      <c r="B255" s="416">
        <v>7.2873817963152024E-2</v>
      </c>
      <c r="C255" s="11"/>
      <c r="D255" s="1786">
        <v>43191</v>
      </c>
      <c r="E255" s="1787">
        <v>24.734650755217839</v>
      </c>
      <c r="F255" s="1787">
        <v>29.734650755217839</v>
      </c>
      <c r="G255" s="1787">
        <v>34.734650755217842</v>
      </c>
      <c r="H255" s="1789"/>
      <c r="I255" s="1787">
        <v>22.887499999999999</v>
      </c>
      <c r="J255" s="1787">
        <v>27.887499999999999</v>
      </c>
      <c r="K255" s="1787">
        <v>32.887500000000003</v>
      </c>
      <c r="M255" s="1791">
        <v>44075</v>
      </c>
      <c r="N255" s="1792">
        <v>61.070506622148486</v>
      </c>
      <c r="O255" s="1792">
        <v>66.070506622148486</v>
      </c>
      <c r="P255" s="1792">
        <v>71.070506622148486</v>
      </c>
      <c r="Q255" s="29"/>
      <c r="R255" s="1792">
        <v>44.552879966611371</v>
      </c>
      <c r="S255" s="1792">
        <v>49.552879966611371</v>
      </c>
      <c r="T255" s="1792">
        <v>54.552879966611371</v>
      </c>
      <c r="V255" s="500">
        <v>0</v>
      </c>
      <c r="W255" s="500">
        <v>0</v>
      </c>
      <c r="X255" s="500">
        <v>0</v>
      </c>
      <c r="Y255" s="27"/>
      <c r="Z255" s="1792">
        <v>0.09</v>
      </c>
      <c r="AA255" s="1792">
        <v>0.1</v>
      </c>
      <c r="AB255" s="1792">
        <v>0.11</v>
      </c>
      <c r="AC255" s="29"/>
      <c r="AD255" s="1792">
        <v>0.09</v>
      </c>
      <c r="AE255" s="1792">
        <v>0.11</v>
      </c>
      <c r="AF255" s="1792">
        <v>0.13</v>
      </c>
      <c r="AG255" s="29"/>
      <c r="AH255" s="1792">
        <v>-0.35</v>
      </c>
      <c r="AI255" s="1792">
        <v>3</v>
      </c>
      <c r="AJ255" s="1792">
        <v>0.2</v>
      </c>
      <c r="AK255" s="29"/>
      <c r="AL255" s="1792">
        <v>-0.01</v>
      </c>
      <c r="AM255" s="1792">
        <v>0.16</v>
      </c>
      <c r="AN255" s="1792">
        <v>0.01</v>
      </c>
      <c r="AO255" s="29"/>
      <c r="AP255" s="14">
        <v>82</v>
      </c>
      <c r="AQ255" s="1802">
        <v>0.35</v>
      </c>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325">
        <v>44228</v>
      </c>
      <c r="BR255" s="415">
        <v>4.0625</v>
      </c>
      <c r="BS255" s="415">
        <v>4.0674999999999999</v>
      </c>
      <c r="BT255" s="415">
        <v>-0.13900000000000001</v>
      </c>
      <c r="BU255" s="1722">
        <f t="shared" si="0"/>
        <v>0.14349999999999999</v>
      </c>
      <c r="BV255" s="1722">
        <f t="shared" si="1"/>
        <v>0.15</v>
      </c>
      <c r="BW255" s="1722">
        <f t="shared" si="2"/>
        <v>0.1585</v>
      </c>
      <c r="BX255" s="416">
        <v>-7.0000000000000007E-2</v>
      </c>
      <c r="BY255" s="416"/>
      <c r="BZ255" s="416">
        <v>7.0000000000000007E-2</v>
      </c>
      <c r="CA255" s="432">
        <v>0</v>
      </c>
      <c r="CB255" s="1618">
        <v>0</v>
      </c>
      <c r="CC255" s="445">
        <v>3.9130000000000003</v>
      </c>
      <c r="CD255" s="449">
        <v>0.1585</v>
      </c>
    </row>
    <row r="256" spans="1:82">
      <c r="A256" s="325">
        <v>44348</v>
      </c>
      <c r="B256" s="416">
        <v>7.2869411224772002E-2</v>
      </c>
      <c r="C256" s="11"/>
      <c r="D256" s="1786">
        <v>43221</v>
      </c>
      <c r="E256" s="1787">
        <v>23.984650755217839</v>
      </c>
      <c r="F256" s="1787">
        <v>28.984650755217839</v>
      </c>
      <c r="G256" s="1787">
        <v>33.984650755217842</v>
      </c>
      <c r="H256" s="1789"/>
      <c r="I256" s="1787">
        <v>22.945967741935487</v>
      </c>
      <c r="J256" s="1787">
        <v>27.945967741935487</v>
      </c>
      <c r="K256" s="1787">
        <v>32.94596774193549</v>
      </c>
      <c r="M256" s="1791">
        <v>44105</v>
      </c>
      <c r="N256" s="1792">
        <v>32.57556281688489</v>
      </c>
      <c r="O256" s="1792">
        <v>37.57556281688489</v>
      </c>
      <c r="P256" s="1792">
        <v>42.57556281688489</v>
      </c>
      <c r="Q256" s="29"/>
      <c r="R256" s="1792">
        <v>23.181672112663655</v>
      </c>
      <c r="S256" s="1792">
        <v>28.181672112663655</v>
      </c>
      <c r="T256" s="1792">
        <v>33.181672112663655</v>
      </c>
      <c r="V256" s="500">
        <v>0</v>
      </c>
      <c r="W256" s="500">
        <v>0</v>
      </c>
      <c r="X256" s="500">
        <v>0</v>
      </c>
      <c r="Y256" s="27"/>
      <c r="Z256" s="1792">
        <v>0.09</v>
      </c>
      <c r="AA256" s="1792">
        <v>0.1</v>
      </c>
      <c r="AB256" s="1792">
        <v>0.11</v>
      </c>
      <c r="AC256" s="29"/>
      <c r="AD256" s="1792">
        <v>0.09</v>
      </c>
      <c r="AE256" s="1792">
        <v>0.11</v>
      </c>
      <c r="AF256" s="1792">
        <v>0.13</v>
      </c>
      <c r="AG256" s="29"/>
      <c r="AH256" s="1792">
        <v>-0.1</v>
      </c>
      <c r="AI256" s="1792">
        <v>3</v>
      </c>
      <c r="AJ256" s="1792">
        <v>0.1</v>
      </c>
      <c r="AK256" s="29"/>
      <c r="AL256" s="1792">
        <v>-0.01</v>
      </c>
      <c r="AM256" s="1792">
        <v>0.16</v>
      </c>
      <c r="AN256" s="1792">
        <v>0.01</v>
      </c>
      <c r="AO256" s="29"/>
      <c r="AP256" s="14">
        <v>83</v>
      </c>
      <c r="AQ256" s="1802">
        <v>0.35</v>
      </c>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325">
        <v>44256</v>
      </c>
      <c r="BR256" s="415">
        <v>4.0015000000000001</v>
      </c>
      <c r="BS256" s="415">
        <v>4.0065000000000008</v>
      </c>
      <c r="BT256" s="415">
        <v>-0.13</v>
      </c>
      <c r="BU256" s="1722">
        <f t="shared" si="0"/>
        <v>0.14349999999999999</v>
      </c>
      <c r="BV256" s="1722">
        <f t="shared" si="1"/>
        <v>0.15</v>
      </c>
      <c r="BW256" s="1722">
        <f t="shared" si="2"/>
        <v>0.1585</v>
      </c>
      <c r="BX256" s="416">
        <v>-7.0000000000000007E-2</v>
      </c>
      <c r="BY256" s="416"/>
      <c r="BZ256" s="416">
        <v>7.0000000000000007E-2</v>
      </c>
      <c r="CA256" s="432">
        <v>0</v>
      </c>
      <c r="CB256" s="1618">
        <v>0</v>
      </c>
      <c r="CC256" s="445">
        <v>3.9180000000000001</v>
      </c>
      <c r="CD256" s="449">
        <v>0.1585</v>
      </c>
    </row>
    <row r="257" spans="1:82">
      <c r="A257" s="325">
        <v>44378</v>
      </c>
      <c r="B257" s="416">
        <v>7.2865146639250006E-2</v>
      </c>
      <c r="C257" s="11"/>
      <c r="D257" s="1786">
        <v>43252</v>
      </c>
      <c r="E257" s="1787">
        <v>29.234650755217842</v>
      </c>
      <c r="F257" s="1787">
        <v>34.234650755217842</v>
      </c>
      <c r="G257" s="1787">
        <v>39.234650755217842</v>
      </c>
      <c r="H257" s="1789"/>
      <c r="I257" s="1787">
        <v>22.2</v>
      </c>
      <c r="J257" s="1787">
        <v>27.2</v>
      </c>
      <c r="K257" s="1787">
        <v>32.200000000000003</v>
      </c>
      <c r="M257" s="1791">
        <v>44136</v>
      </c>
      <c r="N257" s="1792">
        <v>24.825562816884901</v>
      </c>
      <c r="O257" s="1792">
        <v>29.825562816884901</v>
      </c>
      <c r="P257" s="1792">
        <v>34.825562816884897</v>
      </c>
      <c r="Q257" s="29"/>
      <c r="R257" s="1792">
        <v>17.369172112663655</v>
      </c>
      <c r="S257" s="1792">
        <v>22.369172112663655</v>
      </c>
      <c r="T257" s="1792">
        <v>27.369172112663655</v>
      </c>
      <c r="V257" s="500">
        <v>0</v>
      </c>
      <c r="W257" s="500">
        <v>0</v>
      </c>
      <c r="X257" s="500">
        <v>0</v>
      </c>
      <c r="Y257" s="27"/>
      <c r="Z257" s="1792">
        <v>0.09</v>
      </c>
      <c r="AA257" s="1792">
        <v>0.1</v>
      </c>
      <c r="AB257" s="1792">
        <v>0.11</v>
      </c>
      <c r="AC257" s="29"/>
      <c r="AD257" s="1792">
        <v>0.09</v>
      </c>
      <c r="AE257" s="1792">
        <v>0.11</v>
      </c>
      <c r="AF257" s="1792">
        <v>0.13</v>
      </c>
      <c r="AG257" s="29"/>
      <c r="AH257" s="1792">
        <v>-0.1</v>
      </c>
      <c r="AI257" s="1792">
        <v>0.6</v>
      </c>
      <c r="AJ257" s="1792">
        <v>0.1</v>
      </c>
      <c r="AK257" s="29"/>
      <c r="AL257" s="1792">
        <v>-0.01</v>
      </c>
      <c r="AM257" s="1792">
        <v>0.16</v>
      </c>
      <c r="AN257" s="1792">
        <v>0.01</v>
      </c>
      <c r="AO257" s="29"/>
      <c r="AP257" s="14">
        <v>83</v>
      </c>
      <c r="AQ257" s="1802">
        <v>0.35</v>
      </c>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325">
        <v>44287</v>
      </c>
      <c r="BR257" s="415">
        <v>3.9555000000000002</v>
      </c>
      <c r="BS257" s="415">
        <v>3.9605000000000001</v>
      </c>
      <c r="BT257" s="415">
        <v>-0.126</v>
      </c>
      <c r="BU257" s="1722">
        <f t="shared" si="0"/>
        <v>0.14349999999999999</v>
      </c>
      <c r="BV257" s="1722">
        <f t="shared" si="1"/>
        <v>0.15</v>
      </c>
      <c r="BW257" s="1722">
        <f t="shared" si="2"/>
        <v>0.1585</v>
      </c>
      <c r="BX257" s="416">
        <v>-7.0000000000000007E-2</v>
      </c>
      <c r="BY257" s="416"/>
      <c r="BZ257" s="416">
        <v>7.0000000000000007E-2</v>
      </c>
      <c r="CA257" s="432">
        <v>0</v>
      </c>
      <c r="CB257" s="1618">
        <v>0</v>
      </c>
      <c r="CC257" s="445">
        <v>3.9210000000000003</v>
      </c>
      <c r="CD257" s="449">
        <v>0.1585</v>
      </c>
    </row>
    <row r="258" spans="1:82">
      <c r="A258" s="325">
        <v>44409</v>
      </c>
      <c r="B258" s="416">
        <v>7.2860739900882016E-2</v>
      </c>
      <c r="C258" s="11"/>
      <c r="D258" s="1786">
        <v>43282</v>
      </c>
      <c r="E258" s="1787">
        <v>56.096115436927192</v>
      </c>
      <c r="F258" s="1787">
        <v>61.096115436927192</v>
      </c>
      <c r="G258" s="1787">
        <v>66.096115436927192</v>
      </c>
      <c r="H258" s="1789"/>
      <c r="I258" s="1787">
        <v>28.224193548387106</v>
      </c>
      <c r="J258" s="1787">
        <v>33.224193548387106</v>
      </c>
      <c r="K258" s="1787">
        <v>38.224193548387106</v>
      </c>
      <c r="M258" s="1791">
        <v>44166</v>
      </c>
      <c r="N258" s="1792">
        <v>26.825562816884897</v>
      </c>
      <c r="O258" s="1792">
        <v>31.825562816884897</v>
      </c>
      <c r="P258" s="1792">
        <v>36.825562816884897</v>
      </c>
      <c r="Q258" s="29"/>
      <c r="R258" s="1792">
        <v>18.869172112663655</v>
      </c>
      <c r="S258" s="1792">
        <v>23.869172112663655</v>
      </c>
      <c r="T258" s="1792">
        <v>28.869172112663655</v>
      </c>
      <c r="V258" s="500">
        <v>0</v>
      </c>
      <c r="W258" s="500">
        <v>0</v>
      </c>
      <c r="X258" s="500">
        <v>0</v>
      </c>
      <c r="Y258" s="27"/>
      <c r="Z258" s="1792">
        <v>0.09</v>
      </c>
      <c r="AA258" s="1792">
        <v>0.1</v>
      </c>
      <c r="AB258" s="1792">
        <v>0.11</v>
      </c>
      <c r="AC258" s="29"/>
      <c r="AD258" s="1792">
        <v>0.09</v>
      </c>
      <c r="AE258" s="1792">
        <v>0.11</v>
      </c>
      <c r="AF258" s="1792">
        <v>0.13</v>
      </c>
      <c r="AG258" s="29"/>
      <c r="AH258" s="1792">
        <v>-0.25</v>
      </c>
      <c r="AI258" s="1792">
        <v>0.6</v>
      </c>
      <c r="AJ258" s="1792">
        <v>0.25</v>
      </c>
      <c r="AK258" s="29"/>
      <c r="AL258" s="1792">
        <v>-0.01</v>
      </c>
      <c r="AM258" s="1792">
        <v>0.16</v>
      </c>
      <c r="AN258" s="1792">
        <v>0.01</v>
      </c>
      <c r="AO258" s="29"/>
      <c r="AP258" s="14">
        <v>83</v>
      </c>
      <c r="AQ258" s="1802">
        <v>0.35</v>
      </c>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325">
        <v>44317</v>
      </c>
      <c r="BR258" s="415">
        <v>3.9874999999999998</v>
      </c>
      <c r="BS258" s="415">
        <v>3.9925000000000002</v>
      </c>
      <c r="BT258" s="415">
        <v>-0.11200000000000002</v>
      </c>
      <c r="BU258" s="1722">
        <f t="shared" si="0"/>
        <v>0.14349999999999999</v>
      </c>
      <c r="BV258" s="1722">
        <f t="shared" si="1"/>
        <v>0.15</v>
      </c>
      <c r="BW258" s="1722">
        <f t="shared" si="2"/>
        <v>0.1585</v>
      </c>
      <c r="BX258" s="416">
        <v>-7.0000000000000007E-2</v>
      </c>
      <c r="BY258" s="416"/>
      <c r="BZ258" s="416">
        <v>7.0000000000000007E-2</v>
      </c>
      <c r="CA258" s="432">
        <v>0</v>
      </c>
      <c r="CB258" s="1618">
        <v>0</v>
      </c>
      <c r="CC258" s="445">
        <v>3.9540000000000006</v>
      </c>
      <c r="CD258" s="449">
        <v>0.1585</v>
      </c>
    </row>
    <row r="259" spans="1:82">
      <c r="A259" s="325">
        <v>44440</v>
      </c>
      <c r="B259" s="416">
        <v>7.2856333162522019E-2</v>
      </c>
      <c r="C259" s="11"/>
      <c r="D259" s="1786">
        <v>43313</v>
      </c>
      <c r="E259" s="1787">
        <v>76.721115436927192</v>
      </c>
      <c r="F259" s="1787">
        <v>81.721115436927192</v>
      </c>
      <c r="G259" s="1787">
        <v>86.721115436927192</v>
      </c>
      <c r="H259" s="1789"/>
      <c r="I259" s="1787">
        <v>26.224193548387102</v>
      </c>
      <c r="J259" s="1787">
        <v>31.224193548387102</v>
      </c>
      <c r="K259" s="1787">
        <v>36.224193548387106</v>
      </c>
      <c r="M259" s="1791">
        <v>44197</v>
      </c>
      <c r="N259" s="1792">
        <v>25.543152599274787</v>
      </c>
      <c r="O259" s="1792">
        <v>30.543152599274787</v>
      </c>
      <c r="P259" s="1792">
        <v>35.543152599274791</v>
      </c>
      <c r="Q259" s="29"/>
      <c r="R259" s="1792">
        <v>17.907364449456082</v>
      </c>
      <c r="S259" s="1792">
        <v>22.907364449456082</v>
      </c>
      <c r="T259" s="1792">
        <v>27.907364449456082</v>
      </c>
      <c r="V259" s="500">
        <v>0</v>
      </c>
      <c r="W259" s="500">
        <v>0</v>
      </c>
      <c r="X259" s="500">
        <v>0</v>
      </c>
      <c r="Y259" s="27"/>
      <c r="Z259" s="1792">
        <v>0.09</v>
      </c>
      <c r="AA259" s="1792">
        <v>0.1</v>
      </c>
      <c r="AB259" s="1792">
        <v>0.11</v>
      </c>
      <c r="AC259" s="29"/>
      <c r="AD259" s="1792">
        <v>0.09</v>
      </c>
      <c r="AE259" s="1792">
        <v>0.11</v>
      </c>
      <c r="AF259" s="1792">
        <v>0.13</v>
      </c>
      <c r="AG259" s="29"/>
      <c r="AH259" s="1792">
        <v>-0.25</v>
      </c>
      <c r="AI259" s="1792">
        <v>0.6</v>
      </c>
      <c r="AJ259" s="1792">
        <v>0.25</v>
      </c>
      <c r="AK259" s="29"/>
      <c r="AL259" s="1792">
        <v>-0.01</v>
      </c>
      <c r="AM259" s="1792">
        <v>0.16</v>
      </c>
      <c r="AN259" s="1792">
        <v>0.01</v>
      </c>
      <c r="AO259" s="29"/>
      <c r="AP259" s="14">
        <v>84</v>
      </c>
      <c r="AQ259" s="1802">
        <v>0.35</v>
      </c>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325">
        <v>44348</v>
      </c>
      <c r="BR259" s="415">
        <v>4.0125000000000002</v>
      </c>
      <c r="BS259" s="415">
        <v>4.0175000000000001</v>
      </c>
      <c r="BT259" s="415">
        <v>-0.10099999999999999</v>
      </c>
      <c r="BU259" s="1722">
        <f t="shared" si="0"/>
        <v>0.14349999999999999</v>
      </c>
      <c r="BV259" s="1722">
        <f t="shared" si="1"/>
        <v>0.15</v>
      </c>
      <c r="BW259" s="1722">
        <f t="shared" si="2"/>
        <v>0.1585</v>
      </c>
      <c r="BX259" s="416">
        <v>-7.0000000000000007E-2</v>
      </c>
      <c r="BY259" s="416"/>
      <c r="BZ259" s="416">
        <v>7.0000000000000007E-2</v>
      </c>
      <c r="CA259" s="432">
        <v>0</v>
      </c>
      <c r="CB259" s="1618">
        <v>0</v>
      </c>
      <c r="CC259" s="445">
        <v>4.0949999999999998</v>
      </c>
      <c r="CD259" s="449">
        <v>0.1585</v>
      </c>
    </row>
    <row r="260" spans="1:82">
      <c r="A260" s="325">
        <v>44470</v>
      </c>
      <c r="B260" s="416">
        <v>7.285206857701701E-2</v>
      </c>
      <c r="C260" s="11"/>
      <c r="D260" s="1786">
        <v>43344</v>
      </c>
      <c r="E260" s="1787">
        <v>60.721115436927192</v>
      </c>
      <c r="F260" s="1787">
        <v>65.721115436927192</v>
      </c>
      <c r="G260" s="1787">
        <v>70.721115436927192</v>
      </c>
      <c r="H260" s="1789"/>
      <c r="I260" s="1787">
        <v>26.637499999999999</v>
      </c>
      <c r="J260" s="1787">
        <v>31.637499999999999</v>
      </c>
      <c r="K260" s="1787">
        <v>36.637500000000003</v>
      </c>
      <c r="M260" s="1791">
        <v>44228</v>
      </c>
      <c r="N260" s="1792">
        <v>25.043152599274787</v>
      </c>
      <c r="O260" s="1792">
        <v>30.043152599274787</v>
      </c>
      <c r="P260" s="1792">
        <v>35.043152599274791</v>
      </c>
      <c r="Q260" s="29"/>
      <c r="R260" s="1792">
        <v>17.532364449456082</v>
      </c>
      <c r="S260" s="1792">
        <v>22.532364449456082</v>
      </c>
      <c r="T260" s="1792">
        <v>27.532364449456082</v>
      </c>
      <c r="V260" s="500">
        <v>0</v>
      </c>
      <c r="W260" s="500">
        <v>0</v>
      </c>
      <c r="X260" s="500">
        <v>0</v>
      </c>
      <c r="Y260" s="27"/>
      <c r="Z260" s="1792">
        <v>0.09</v>
      </c>
      <c r="AA260" s="1792">
        <v>0.1</v>
      </c>
      <c r="AB260" s="1792">
        <v>0.11</v>
      </c>
      <c r="AC260" s="29"/>
      <c r="AD260" s="1792">
        <v>0.09</v>
      </c>
      <c r="AE260" s="1792">
        <v>0.11</v>
      </c>
      <c r="AF260" s="1792">
        <v>0.13</v>
      </c>
      <c r="AG260" s="29"/>
      <c r="AH260" s="1792">
        <v>-0.25</v>
      </c>
      <c r="AI260" s="1792">
        <v>0.65</v>
      </c>
      <c r="AJ260" s="1792">
        <v>0.25</v>
      </c>
      <c r="AK260" s="29"/>
      <c r="AL260" s="1792">
        <v>-0.01</v>
      </c>
      <c r="AM260" s="1792">
        <v>0.16</v>
      </c>
      <c r="AN260" s="1792">
        <v>0.01</v>
      </c>
      <c r="AO260" s="29"/>
      <c r="AP260" s="14">
        <v>84</v>
      </c>
      <c r="AQ260" s="1802">
        <v>0.35</v>
      </c>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325">
        <v>44378</v>
      </c>
      <c r="BR260" s="415">
        <v>4.0205000000000002</v>
      </c>
      <c r="BS260" s="415">
        <v>4.0255000000000001</v>
      </c>
      <c r="BT260" s="415">
        <v>-0.13700000000000001</v>
      </c>
      <c r="BU260" s="1722">
        <f t="shared" si="0"/>
        <v>0.14349999999999999</v>
      </c>
      <c r="BV260" s="1722">
        <f t="shared" si="1"/>
        <v>0.15</v>
      </c>
      <c r="BW260" s="1722">
        <f t="shared" si="2"/>
        <v>0.1585</v>
      </c>
      <c r="BX260" s="416">
        <v>-7.0000000000000007E-2</v>
      </c>
      <c r="BY260" s="416"/>
      <c r="BZ260" s="416">
        <v>7.0000000000000007E-2</v>
      </c>
      <c r="CA260" s="432">
        <v>0</v>
      </c>
      <c r="CB260" s="1618">
        <v>0</v>
      </c>
      <c r="CC260" s="445">
        <v>4.24</v>
      </c>
      <c r="CD260" s="449">
        <v>0.1585</v>
      </c>
    </row>
    <row r="261" spans="1:82">
      <c r="A261" s="325">
        <v>44501</v>
      </c>
      <c r="B261" s="416">
        <v>7.2847661838670003E-2</v>
      </c>
      <c r="C261" s="11"/>
      <c r="D261" s="1786">
        <v>43374</v>
      </c>
      <c r="E261" s="1787">
        <v>32.422654865714684</v>
      </c>
      <c r="F261" s="1787">
        <v>37.422654865714684</v>
      </c>
      <c r="G261" s="1787">
        <v>42.422654865714684</v>
      </c>
      <c r="H261" s="1789"/>
      <c r="I261" s="1787">
        <v>26.151612903225811</v>
      </c>
      <c r="J261" s="1787">
        <v>31.151612903225811</v>
      </c>
      <c r="K261" s="1787">
        <v>36.151612903225811</v>
      </c>
      <c r="M261" s="1791">
        <v>44256</v>
      </c>
      <c r="N261" s="1792">
        <v>24.293152599274787</v>
      </c>
      <c r="O261" s="1792">
        <v>29.293152599274787</v>
      </c>
      <c r="P261" s="1792">
        <v>34.293152599274791</v>
      </c>
      <c r="Q261" s="29"/>
      <c r="R261" s="1792">
        <v>16.969864449456082</v>
      </c>
      <c r="S261" s="1792">
        <v>21.969864449456082</v>
      </c>
      <c r="T261" s="1792">
        <v>26.969864449456082</v>
      </c>
      <c r="V261" s="500">
        <v>0</v>
      </c>
      <c r="W261" s="500">
        <v>0</v>
      </c>
      <c r="X261" s="500">
        <v>0</v>
      </c>
      <c r="Y261" s="27"/>
      <c r="Z261" s="1792">
        <v>0.09</v>
      </c>
      <c r="AA261" s="1792">
        <v>0.1</v>
      </c>
      <c r="AB261" s="1792">
        <v>0.11</v>
      </c>
      <c r="AC261" s="29"/>
      <c r="AD261" s="1792">
        <v>0.09</v>
      </c>
      <c r="AE261" s="1792">
        <v>0.11</v>
      </c>
      <c r="AF261" s="1792">
        <v>0.13</v>
      </c>
      <c r="AG261" s="29"/>
      <c r="AH261" s="1792">
        <v>-0.1</v>
      </c>
      <c r="AI261" s="1792">
        <v>0.65</v>
      </c>
      <c r="AJ261" s="1792">
        <v>0.1</v>
      </c>
      <c r="AK261" s="29"/>
      <c r="AL261" s="1792">
        <v>-0.01</v>
      </c>
      <c r="AM261" s="1792">
        <v>0.16</v>
      </c>
      <c r="AN261" s="1792">
        <v>0.01</v>
      </c>
      <c r="AO261" s="29"/>
      <c r="AP261" s="14">
        <v>84</v>
      </c>
      <c r="AQ261" s="1802">
        <v>0.35</v>
      </c>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325">
        <v>44409</v>
      </c>
      <c r="BR261" s="415">
        <v>4.0294999999999996</v>
      </c>
      <c r="BS261" s="415">
        <v>4.0344999999999995</v>
      </c>
      <c r="BT261" s="415">
        <v>-0.14099999999999999</v>
      </c>
      <c r="BU261" s="1722">
        <f t="shared" si="0"/>
        <v>0.14349999999999999</v>
      </c>
      <c r="BV261" s="1722">
        <f t="shared" si="1"/>
        <v>0.15</v>
      </c>
      <c r="BW261" s="1722">
        <f t="shared" si="2"/>
        <v>0.1585</v>
      </c>
      <c r="BX261" s="416">
        <v>-7.0000000000000007E-2</v>
      </c>
      <c r="BY261" s="416"/>
      <c r="BZ261" s="416">
        <v>7.0000000000000007E-2</v>
      </c>
      <c r="CA261" s="432">
        <v>0</v>
      </c>
      <c r="CB261" s="1618">
        <v>0</v>
      </c>
      <c r="CC261" s="445">
        <v>5.2720000000000002</v>
      </c>
      <c r="CD261" s="449">
        <v>0.1585</v>
      </c>
    </row>
    <row r="262" spans="1:82">
      <c r="A262" s="325">
        <v>44531</v>
      </c>
      <c r="B262" s="416">
        <v>7.2843397253176997E-2</v>
      </c>
      <c r="C262" s="11"/>
      <c r="D262" s="1786">
        <v>43405</v>
      </c>
      <c r="E262" s="1787">
        <v>24.672654865714694</v>
      </c>
      <c r="F262" s="1787">
        <v>29.672654865714694</v>
      </c>
      <c r="G262" s="1787">
        <v>34.672654865714691</v>
      </c>
      <c r="H262" s="1789"/>
      <c r="I262" s="1787">
        <v>27.491666666666674</v>
      </c>
      <c r="J262" s="1787">
        <v>32.491666666666674</v>
      </c>
      <c r="K262" s="1787">
        <v>37.491666666666674</v>
      </c>
      <c r="M262" s="1791">
        <v>44287</v>
      </c>
      <c r="N262" s="1792">
        <v>24.217286661262978</v>
      </c>
      <c r="O262" s="1792">
        <v>29.217286661262978</v>
      </c>
      <c r="P262" s="1792">
        <v>34.217286661262975</v>
      </c>
      <c r="Q262" s="29"/>
      <c r="R262" s="1792">
        <v>16.912964995947249</v>
      </c>
      <c r="S262" s="1792">
        <v>21.912964995947249</v>
      </c>
      <c r="T262" s="1792">
        <v>26.912964995947249</v>
      </c>
      <c r="V262" s="500">
        <v>0</v>
      </c>
      <c r="W262" s="500">
        <v>0</v>
      </c>
      <c r="X262" s="500">
        <v>0</v>
      </c>
      <c r="Z262" s="1792">
        <v>0.09</v>
      </c>
      <c r="AA262" s="1792">
        <v>0.1</v>
      </c>
      <c r="AB262" s="1792">
        <v>0.11</v>
      </c>
      <c r="AC262" s="29"/>
      <c r="AD262" s="1792">
        <v>0.09</v>
      </c>
      <c r="AE262" s="1792">
        <v>0.11</v>
      </c>
      <c r="AF262" s="1792">
        <v>0.13</v>
      </c>
      <c r="AG262" s="29"/>
      <c r="AH262" s="1792">
        <v>-0.1</v>
      </c>
      <c r="AI262" s="1792">
        <v>0.65</v>
      </c>
      <c r="AJ262" s="1792">
        <v>0.1</v>
      </c>
      <c r="AK262" s="29"/>
      <c r="AL262" s="1792">
        <v>-0.01</v>
      </c>
      <c r="AM262" s="1792">
        <v>0.16</v>
      </c>
      <c r="AN262" s="1792">
        <v>0.01</v>
      </c>
      <c r="AO262" s="29"/>
      <c r="AP262" s="14">
        <v>85</v>
      </c>
      <c r="AQ262" s="1802">
        <v>0.35</v>
      </c>
      <c r="BQ262" s="325">
        <v>44440</v>
      </c>
      <c r="BR262" s="415">
        <v>4.0185000000000004</v>
      </c>
      <c r="BS262" s="415">
        <v>4.0235000000000003</v>
      </c>
      <c r="BT262" s="415">
        <v>-0.15</v>
      </c>
      <c r="BU262" s="1722">
        <f t="shared" si="0"/>
        <v>0.14349999999999999</v>
      </c>
      <c r="BV262" s="1722">
        <f t="shared" si="1"/>
        <v>0.15</v>
      </c>
      <c r="BW262" s="1722">
        <f t="shared" si="2"/>
        <v>0.1585</v>
      </c>
      <c r="BX262" s="416">
        <v>-7.0000000000000007E-2</v>
      </c>
      <c r="BY262" s="416"/>
      <c r="BZ262" s="416">
        <v>7.0000000000000007E-2</v>
      </c>
      <c r="CA262" s="432">
        <v>0</v>
      </c>
      <c r="CB262" s="1618">
        <v>0</v>
      </c>
      <c r="CC262" s="445">
        <v>5.2079999999999993</v>
      </c>
      <c r="CD262" s="449">
        <v>0.1585</v>
      </c>
    </row>
    <row r="263" spans="1:82">
      <c r="A263" s="325">
        <v>44562</v>
      </c>
      <c r="B263" s="416">
        <v>7.2838990514842009E-2</v>
      </c>
      <c r="C263" s="11"/>
      <c r="D263" s="1786">
        <v>43435</v>
      </c>
      <c r="E263" s="1787">
        <v>26.672654865714691</v>
      </c>
      <c r="F263" s="1787">
        <v>31.672654865714691</v>
      </c>
      <c r="G263" s="1787">
        <v>36.672654865714691</v>
      </c>
      <c r="H263" s="1789"/>
      <c r="I263" s="1787">
        <v>26.796774193548398</v>
      </c>
      <c r="J263" s="1787">
        <v>31.796774193548398</v>
      </c>
      <c r="K263" s="1787">
        <v>36.796774193548401</v>
      </c>
      <c r="M263" s="1791">
        <v>44317</v>
      </c>
      <c r="N263" s="1792">
        <v>24.217286661262978</v>
      </c>
      <c r="O263" s="1792">
        <v>29.217286661262978</v>
      </c>
      <c r="P263" s="1792">
        <v>34.217286661262975</v>
      </c>
      <c r="Q263" s="29"/>
      <c r="R263" s="1792">
        <v>16.912964995947249</v>
      </c>
      <c r="S263" s="1792">
        <v>21.912964995947249</v>
      </c>
      <c r="T263" s="1792">
        <v>26.912964995947249</v>
      </c>
      <c r="V263" s="500">
        <v>0</v>
      </c>
      <c r="W263" s="500">
        <v>0</v>
      </c>
      <c r="X263" s="500">
        <v>0</v>
      </c>
      <c r="Z263" s="1792">
        <v>0.09</v>
      </c>
      <c r="AA263" s="1792">
        <v>0.1</v>
      </c>
      <c r="AB263" s="1792">
        <v>0.11</v>
      </c>
      <c r="AC263" s="29"/>
      <c r="AD263" s="1792">
        <v>0.09</v>
      </c>
      <c r="AE263" s="1792">
        <v>0.11</v>
      </c>
      <c r="AF263" s="1792">
        <v>0.13</v>
      </c>
      <c r="AG263" s="29"/>
      <c r="AH263" s="1792">
        <v>-0.1</v>
      </c>
      <c r="AI263" s="1792">
        <v>0.65</v>
      </c>
      <c r="AJ263" s="1792">
        <v>0.1</v>
      </c>
      <c r="AK263" s="29"/>
      <c r="AL263" s="1792">
        <v>-0.01</v>
      </c>
      <c r="AM263" s="1792">
        <v>0.16</v>
      </c>
      <c r="AN263" s="1792">
        <v>0.01</v>
      </c>
      <c r="AO263" s="29"/>
      <c r="AP263" s="14">
        <v>85</v>
      </c>
      <c r="AQ263" s="1802">
        <v>0.35</v>
      </c>
      <c r="BQ263" s="325">
        <v>44470</v>
      </c>
      <c r="BR263" s="415">
        <v>4.0274999999999999</v>
      </c>
      <c r="BS263" s="415">
        <v>4.0324999999999998</v>
      </c>
      <c r="BT263" s="415">
        <v>-0.155</v>
      </c>
      <c r="BU263" s="1722">
        <f t="shared" si="0"/>
        <v>0.14349999999999999</v>
      </c>
      <c r="BV263" s="1722">
        <f t="shared" si="1"/>
        <v>0.15</v>
      </c>
      <c r="BW263" s="1722">
        <f t="shared" si="2"/>
        <v>0.1585</v>
      </c>
      <c r="BX263" s="416">
        <v>-7.0000000000000007E-2</v>
      </c>
      <c r="BY263" s="416"/>
      <c r="BZ263" s="416">
        <v>7.0000000000000007E-2</v>
      </c>
      <c r="CA263" s="432">
        <v>0</v>
      </c>
      <c r="CB263" s="1618">
        <v>0</v>
      </c>
      <c r="CC263" s="445">
        <v>5.0940000000000003</v>
      </c>
      <c r="CD263" s="449">
        <v>0.1585</v>
      </c>
    </row>
    <row r="264" spans="1:82">
      <c r="A264" s="325">
        <v>44593</v>
      </c>
      <c r="B264" s="416">
        <v>7.2834583776513001E-2</v>
      </c>
      <c r="C264" s="11"/>
      <c r="D264" s="1786">
        <v>43466</v>
      </c>
      <c r="E264" s="1787">
        <v>25.399308046022238</v>
      </c>
      <c r="F264" s="1787">
        <v>30.399308046022238</v>
      </c>
      <c r="G264" s="1787">
        <v>35.399308046022242</v>
      </c>
      <c r="H264" s="1789"/>
      <c r="I264" s="1787">
        <v>24.338119151052211</v>
      </c>
      <c r="J264" s="1787">
        <v>29.338119151052211</v>
      </c>
      <c r="K264" s="1787">
        <v>34.338119151052211</v>
      </c>
      <c r="M264" s="1791">
        <v>44348</v>
      </c>
      <c r="N264" s="1792">
        <v>29.467286661262982</v>
      </c>
      <c r="O264" s="1792">
        <v>34.467286661262982</v>
      </c>
      <c r="P264" s="1792">
        <v>39.467286661262982</v>
      </c>
      <c r="Q264" s="29"/>
      <c r="R264" s="1792">
        <v>20.850464995947249</v>
      </c>
      <c r="S264" s="1792">
        <v>25.850464995947249</v>
      </c>
      <c r="T264" s="1792">
        <v>30.850464995947249</v>
      </c>
      <c r="V264" s="500">
        <v>0</v>
      </c>
      <c r="W264" s="500">
        <v>0</v>
      </c>
      <c r="X264" s="500">
        <v>0</v>
      </c>
      <c r="Z264" s="1792">
        <v>0.09</v>
      </c>
      <c r="AA264" s="1792">
        <v>0.1</v>
      </c>
      <c r="AB264" s="1792">
        <v>0.11</v>
      </c>
      <c r="AC264" s="29"/>
      <c r="AD264" s="1792">
        <v>0.09</v>
      </c>
      <c r="AE264" s="1792">
        <v>0.11</v>
      </c>
      <c r="AF264" s="1792">
        <v>0.13</v>
      </c>
      <c r="AG264" s="29"/>
      <c r="AH264" s="1792">
        <v>-0.35</v>
      </c>
      <c r="AI264" s="1792">
        <v>0.65</v>
      </c>
      <c r="AJ264" s="1792">
        <v>0.2</v>
      </c>
      <c r="AK264" s="29"/>
      <c r="AL264" s="1792">
        <v>-0.01</v>
      </c>
      <c r="AM264" s="1792">
        <v>0.16</v>
      </c>
      <c r="AN264" s="1792">
        <v>0.01</v>
      </c>
      <c r="AO264" s="29"/>
      <c r="AP264" s="14">
        <v>85</v>
      </c>
      <c r="AQ264" s="1802">
        <v>0.35</v>
      </c>
      <c r="BQ264" s="325">
        <v>44501</v>
      </c>
      <c r="BR264" s="415">
        <v>4.0705</v>
      </c>
      <c r="BS264" s="415">
        <v>4.0754999999999999</v>
      </c>
      <c r="BT264" s="415">
        <v>-0.16300000000000001</v>
      </c>
      <c r="BU264" s="1722">
        <f t="shared" si="0"/>
        <v>0.14349999999999999</v>
      </c>
      <c r="BV264" s="1722">
        <f t="shared" si="1"/>
        <v>0.15</v>
      </c>
      <c r="BW264" s="1722">
        <f t="shared" si="2"/>
        <v>0.1585</v>
      </c>
      <c r="BX264" s="416">
        <v>-7.0000000000000007E-2</v>
      </c>
      <c r="BY264" s="416"/>
      <c r="BZ264" s="416">
        <v>7.0000000000000007E-2</v>
      </c>
      <c r="CA264" s="432">
        <v>0</v>
      </c>
      <c r="CB264" s="1618">
        <v>0</v>
      </c>
      <c r="CC264" s="445">
        <v>4.9800000000000004</v>
      </c>
      <c r="CD264" s="449">
        <v>0.1585</v>
      </c>
    </row>
    <row r="265" spans="1:82">
      <c r="A265" s="325">
        <v>44621</v>
      </c>
      <c r="B265" s="416">
        <v>7.283060349673702E-2</v>
      </c>
      <c r="C265" s="11"/>
      <c r="D265" s="1786">
        <v>43497</v>
      </c>
      <c r="E265" s="1787">
        <v>24.899308046022238</v>
      </c>
      <c r="F265" s="1787">
        <v>29.899308046022238</v>
      </c>
      <c r="G265" s="1787">
        <v>34.899308046022242</v>
      </c>
      <c r="H265" s="1789"/>
      <c r="I265" s="1787">
        <v>25.30714285714286</v>
      </c>
      <c r="J265" s="1787">
        <v>30.30714285714286</v>
      </c>
      <c r="K265" s="1787">
        <v>35.307142857142864</v>
      </c>
      <c r="M265" s="1791">
        <v>44378</v>
      </c>
      <c r="N265" s="1792">
        <v>56.620202214759132</v>
      </c>
      <c r="O265" s="1792">
        <v>61.620202214759132</v>
      </c>
      <c r="P265" s="1792">
        <v>66.620202214759132</v>
      </c>
      <c r="Q265" s="29"/>
      <c r="R265" s="1792">
        <v>41.215151661069356</v>
      </c>
      <c r="S265" s="1792">
        <v>46.215151661069356</v>
      </c>
      <c r="T265" s="1792">
        <v>51.215151661069356</v>
      </c>
      <c r="V265" s="500">
        <v>0</v>
      </c>
      <c r="W265" s="500">
        <v>0</v>
      </c>
      <c r="X265" s="500">
        <v>0</v>
      </c>
      <c r="Z265" s="1792">
        <v>0.09</v>
      </c>
      <c r="AA265" s="1792">
        <v>0.1</v>
      </c>
      <c r="AB265" s="1792">
        <v>0.11</v>
      </c>
      <c r="AC265" s="29"/>
      <c r="AD265" s="1792">
        <v>0.09</v>
      </c>
      <c r="AE265" s="1792">
        <v>0.11</v>
      </c>
      <c r="AF265" s="1792">
        <v>0.13</v>
      </c>
      <c r="AG265" s="29"/>
      <c r="AH265" s="1792">
        <v>-0.35</v>
      </c>
      <c r="AI265" s="1792">
        <v>0.65</v>
      </c>
      <c r="AJ265" s="1792">
        <v>0.35</v>
      </c>
      <c r="AK265" s="29"/>
      <c r="AL265" s="1792">
        <v>-0.01</v>
      </c>
      <c r="AM265" s="1792">
        <v>0.16</v>
      </c>
      <c r="AN265" s="1792">
        <v>0.01</v>
      </c>
      <c r="AO265" s="29"/>
      <c r="AP265" s="14">
        <v>86</v>
      </c>
      <c r="AQ265" s="1802">
        <v>0.35</v>
      </c>
      <c r="BQ265" s="325">
        <v>44531</v>
      </c>
      <c r="BR265" s="415">
        <v>4.1395</v>
      </c>
      <c r="BS265" s="415">
        <v>4.1444999999999999</v>
      </c>
      <c r="BT265" s="415">
        <v>-0.158</v>
      </c>
      <c r="BU265" s="1722">
        <f t="shared" si="0"/>
        <v>0.14349999999999999</v>
      </c>
      <c r="BV265" s="1722">
        <f t="shared" si="1"/>
        <v>0.15</v>
      </c>
      <c r="BW265" s="1722">
        <f t="shared" si="2"/>
        <v>0.1585</v>
      </c>
      <c r="BX265" s="416">
        <v>-7.0000000000000007E-2</v>
      </c>
      <c r="BY265" s="416"/>
      <c r="BZ265" s="416">
        <v>7.0000000000000007E-2</v>
      </c>
      <c r="CA265" s="432">
        <v>0</v>
      </c>
      <c r="CB265" s="1618">
        <v>0</v>
      </c>
      <c r="CC265" s="445">
        <v>4.9460000000000006</v>
      </c>
      <c r="CD265" s="449">
        <v>0.1585</v>
      </c>
    </row>
    <row r="266" spans="1:82">
      <c r="A266" s="325">
        <v>44652</v>
      </c>
      <c r="B266" s="416">
        <v>7.2826196758421016E-2</v>
      </c>
      <c r="C266" s="11"/>
      <c r="D266" s="1786">
        <v>43525</v>
      </c>
      <c r="E266" s="1787">
        <v>24.649308046022238</v>
      </c>
      <c r="F266" s="1787">
        <v>29.649308046022238</v>
      </c>
      <c r="G266" s="1787">
        <v>34.649308046022242</v>
      </c>
      <c r="H266" s="1789"/>
      <c r="I266" s="1787">
        <v>25.587096774193554</v>
      </c>
      <c r="J266" s="1787">
        <v>30.587096774193554</v>
      </c>
      <c r="K266" s="1787">
        <v>35.587096774193554</v>
      </c>
      <c r="M266" s="1791">
        <v>44409</v>
      </c>
      <c r="N266" s="1792">
        <v>77.245202214759132</v>
      </c>
      <c r="O266" s="1792">
        <v>82.245202214759132</v>
      </c>
      <c r="P266" s="1792">
        <v>87.245202214759132</v>
      </c>
      <c r="Q266" s="29"/>
      <c r="R266" s="1792">
        <v>56.683901661069356</v>
      </c>
      <c r="S266" s="1792">
        <v>61.683901661069356</v>
      </c>
      <c r="T266" s="1792">
        <v>66.683901661069356</v>
      </c>
      <c r="V266" s="500">
        <v>0</v>
      </c>
      <c r="W266" s="500">
        <v>0</v>
      </c>
      <c r="X266" s="500">
        <v>0</v>
      </c>
      <c r="Z266" s="1792">
        <v>0.09</v>
      </c>
      <c r="AA266" s="1792">
        <v>0.1</v>
      </c>
      <c r="AB266" s="1792">
        <v>0.11</v>
      </c>
      <c r="AC266" s="29"/>
      <c r="AD266" s="1792">
        <v>0.09</v>
      </c>
      <c r="AE266" s="1792">
        <v>0.11</v>
      </c>
      <c r="AF266" s="1792">
        <v>0.13</v>
      </c>
      <c r="AG266" s="29"/>
      <c r="AH266" s="1792">
        <v>-0.35</v>
      </c>
      <c r="AI266" s="1792">
        <v>3</v>
      </c>
      <c r="AJ266" s="1792">
        <v>0.35</v>
      </c>
      <c r="AK266" s="29"/>
      <c r="AL266" s="1792">
        <v>-0.01</v>
      </c>
      <c r="AM266" s="1792">
        <v>0.16</v>
      </c>
      <c r="AN266" s="1792">
        <v>0.01</v>
      </c>
      <c r="AO266" s="29"/>
      <c r="AP266" s="14">
        <v>86</v>
      </c>
      <c r="AQ266" s="1802">
        <v>0.35</v>
      </c>
      <c r="BQ266" s="325">
        <v>44562</v>
      </c>
      <c r="BR266" s="415">
        <v>4.1755000000000004</v>
      </c>
      <c r="BS266" s="415">
        <v>4.1805000000000003</v>
      </c>
      <c r="BT266" s="415">
        <v>-0.16500000000000001</v>
      </c>
      <c r="BU266" s="1722">
        <f t="shared" si="0"/>
        <v>0.14349999999999999</v>
      </c>
      <c r="BV266" s="1722">
        <f t="shared" si="1"/>
        <v>0.15</v>
      </c>
      <c r="BW266" s="1722">
        <f t="shared" si="2"/>
        <v>0.1585</v>
      </c>
      <c r="BX266" s="416">
        <v>-7.0000000000000007E-2</v>
      </c>
      <c r="BY266" s="416"/>
      <c r="BZ266" s="416">
        <v>7.0000000000000007E-2</v>
      </c>
      <c r="CA266" s="432">
        <v>0</v>
      </c>
      <c r="CB266" s="1618">
        <v>0</v>
      </c>
      <c r="CC266" s="445">
        <v>4.931</v>
      </c>
      <c r="CD266" s="449">
        <v>0.1585</v>
      </c>
    </row>
    <row r="267" spans="1:82">
      <c r="A267" s="325">
        <v>44682</v>
      </c>
      <c r="B267" s="416">
        <v>7.2821932172959028E-2</v>
      </c>
      <c r="C267" s="11"/>
      <c r="D267" s="1786">
        <v>43556</v>
      </c>
      <c r="E267" s="1787">
        <v>24.812196057232885</v>
      </c>
      <c r="F267" s="1787">
        <v>29.812196057232885</v>
      </c>
      <c r="G267" s="1787">
        <v>34.812196057232882</v>
      </c>
      <c r="H267" s="1789"/>
      <c r="I267" s="1787">
        <v>23.387499999999999</v>
      </c>
      <c r="J267" s="1787">
        <v>28.387499999999999</v>
      </c>
      <c r="K267" s="1787">
        <v>33.387500000000003</v>
      </c>
      <c r="M267" s="1791">
        <v>44440</v>
      </c>
      <c r="N267" s="1792">
        <v>61.245202214759132</v>
      </c>
      <c r="O267" s="1792">
        <v>66.245202214759132</v>
      </c>
      <c r="P267" s="1792">
        <v>71.245202214759132</v>
      </c>
      <c r="Q267" s="29"/>
      <c r="R267" s="1792">
        <v>44.683901661069356</v>
      </c>
      <c r="S267" s="1792">
        <v>49.683901661069356</v>
      </c>
      <c r="T267" s="1792">
        <v>54.683901661069356</v>
      </c>
      <c r="V267" s="500">
        <v>0</v>
      </c>
      <c r="W267" s="500">
        <v>0</v>
      </c>
      <c r="X267" s="500">
        <v>0</v>
      </c>
      <c r="Z267" s="1792">
        <v>0.09</v>
      </c>
      <c r="AA267" s="1792">
        <v>0.1</v>
      </c>
      <c r="AB267" s="1792">
        <v>0.11</v>
      </c>
      <c r="AC267" s="29"/>
      <c r="AD267" s="1792">
        <v>0.09</v>
      </c>
      <c r="AE267" s="1792">
        <v>0.11</v>
      </c>
      <c r="AF267" s="1792">
        <v>0.13</v>
      </c>
      <c r="AG267" s="29"/>
      <c r="AH267" s="1792">
        <v>-0.35</v>
      </c>
      <c r="AI267" s="1792">
        <v>3</v>
      </c>
      <c r="AJ267" s="1792">
        <v>0.2</v>
      </c>
      <c r="AK267" s="29"/>
      <c r="AL267" s="1792">
        <v>-0.01</v>
      </c>
      <c r="AM267" s="1792">
        <v>0.16</v>
      </c>
      <c r="AN267" s="1792">
        <v>0.01</v>
      </c>
      <c r="AO267" s="29"/>
      <c r="AP267" s="14">
        <v>86</v>
      </c>
      <c r="AQ267" s="1802">
        <v>0.35</v>
      </c>
      <c r="BQ267" s="325">
        <v>44593</v>
      </c>
      <c r="BR267" s="415">
        <v>4.1385000000000005</v>
      </c>
      <c r="BS267" s="415">
        <v>4.1435000000000004</v>
      </c>
      <c r="BT267" s="415">
        <v>-0.159</v>
      </c>
      <c r="BU267" s="1722">
        <f t="shared" si="0"/>
        <v>0.14349999999999999</v>
      </c>
      <c r="BV267" s="1722">
        <f t="shared" si="1"/>
        <v>0.15</v>
      </c>
      <c r="BW267" s="1722">
        <f t="shared" si="2"/>
        <v>0.1585</v>
      </c>
      <c r="BX267" s="416">
        <v>-7.0000000000000007E-2</v>
      </c>
      <c r="BY267" s="416"/>
      <c r="BZ267" s="416">
        <v>7.0000000000000007E-2</v>
      </c>
      <c r="CA267" s="432">
        <v>0</v>
      </c>
      <c r="CB267" s="1618">
        <v>0</v>
      </c>
      <c r="CC267" s="445">
        <v>4.9530000000000003</v>
      </c>
      <c r="CD267" s="449">
        <v>0.1585</v>
      </c>
    </row>
    <row r="268" spans="1:82">
      <c r="A268" s="325">
        <v>44713</v>
      </c>
      <c r="B268" s="416">
        <v>7.2817525434655014E-2</v>
      </c>
      <c r="C268" s="11"/>
      <c r="D268" s="1786">
        <v>43586</v>
      </c>
      <c r="E268" s="1787">
        <v>24.062196057232885</v>
      </c>
      <c r="F268" s="1787">
        <v>29.062196057232885</v>
      </c>
      <c r="G268" s="1787">
        <v>34.062196057232882</v>
      </c>
      <c r="H268" s="1789"/>
      <c r="I268" s="1787">
        <v>23.445967741935487</v>
      </c>
      <c r="J268" s="1787">
        <v>28.445967741935487</v>
      </c>
      <c r="K268" s="1787">
        <v>33.44596774193549</v>
      </c>
      <c r="M268" s="1791">
        <v>44470</v>
      </c>
      <c r="N268" s="1792">
        <v>32.652016792469993</v>
      </c>
      <c r="O268" s="1792">
        <v>37.652016792469993</v>
      </c>
      <c r="P268" s="1792">
        <v>42.652016792469993</v>
      </c>
      <c r="Q268" s="29"/>
      <c r="R268" s="1792">
        <v>23.239012594352481</v>
      </c>
      <c r="S268" s="1792">
        <v>28.239012594352481</v>
      </c>
      <c r="T268" s="1792">
        <v>33.239012594352481</v>
      </c>
      <c r="V268" s="500">
        <v>0</v>
      </c>
      <c r="W268" s="500">
        <v>0</v>
      </c>
      <c r="X268" s="500">
        <v>0</v>
      </c>
      <c r="Z268" s="1792">
        <v>0.09</v>
      </c>
      <c r="AA268" s="1792">
        <v>0.1</v>
      </c>
      <c r="AB268" s="1792">
        <v>0.11</v>
      </c>
      <c r="AC268" s="29"/>
      <c r="AD268" s="1792">
        <v>0.09</v>
      </c>
      <c r="AE268" s="1792">
        <v>0.11</v>
      </c>
      <c r="AF268" s="1792">
        <v>0.13</v>
      </c>
      <c r="AG268" s="29"/>
      <c r="AH268" s="1792">
        <v>-0.1</v>
      </c>
      <c r="AI268" s="1792">
        <v>3</v>
      </c>
      <c r="AJ268" s="1792">
        <v>0.1</v>
      </c>
      <c r="AK268" s="29"/>
      <c r="AL268" s="1792">
        <v>-0.01</v>
      </c>
      <c r="AM268" s="1792">
        <v>0.16</v>
      </c>
      <c r="AN268" s="1792">
        <v>0.01</v>
      </c>
      <c r="AO268" s="29"/>
      <c r="AP268" s="14">
        <v>87</v>
      </c>
      <c r="AQ268" s="1802">
        <v>0.35</v>
      </c>
      <c r="BQ268" s="325">
        <v>44621</v>
      </c>
      <c r="BR268" s="415">
        <v>4.0804999999999998</v>
      </c>
      <c r="BS268" s="415">
        <v>4.0855000000000006</v>
      </c>
      <c r="BT268" s="415">
        <v>-0.15</v>
      </c>
      <c r="BU268" s="1722">
        <f t="shared" si="0"/>
        <v>0.14349999999999999</v>
      </c>
      <c r="BV268" s="1722">
        <f t="shared" si="1"/>
        <v>0.15</v>
      </c>
      <c r="BW268" s="1722">
        <f t="shared" si="2"/>
        <v>0.1585</v>
      </c>
      <c r="BX268" s="416">
        <v>-7.0000000000000007E-2</v>
      </c>
      <c r="BY268" s="416"/>
      <c r="BZ268" s="416">
        <v>7.0000000000000007E-2</v>
      </c>
      <c r="CA268" s="432">
        <v>0</v>
      </c>
      <c r="CB268" s="1618">
        <v>0</v>
      </c>
      <c r="CC268" s="445">
        <v>4.9569999999999999</v>
      </c>
      <c r="CD268" s="449">
        <v>0.1585</v>
      </c>
    </row>
    <row r="269" spans="1:82">
      <c r="A269" s="325">
        <v>44743</v>
      </c>
      <c r="B269" s="416">
        <v>7.2813260849205017E-2</v>
      </c>
      <c r="C269" s="11"/>
      <c r="D269" s="1786">
        <v>43617</v>
      </c>
      <c r="E269" s="1787">
        <v>29.312196057232889</v>
      </c>
      <c r="F269" s="1787">
        <v>34.312196057232889</v>
      </c>
      <c r="G269" s="1787">
        <v>39.312196057232889</v>
      </c>
      <c r="H269" s="1789"/>
      <c r="I269" s="1787">
        <v>22.7</v>
      </c>
      <c r="J269" s="1787">
        <v>27.7</v>
      </c>
      <c r="K269" s="1787">
        <v>32.700000000000003</v>
      </c>
      <c r="M269" s="1791">
        <v>44501</v>
      </c>
      <c r="N269" s="1792">
        <v>24.902016792470004</v>
      </c>
      <c r="O269" s="1792">
        <v>29.902016792470004</v>
      </c>
      <c r="P269" s="1792">
        <v>34.902016792470008</v>
      </c>
      <c r="Q269" s="29"/>
      <c r="R269" s="1792">
        <v>17.426512594352481</v>
      </c>
      <c r="S269" s="1792">
        <v>22.426512594352481</v>
      </c>
      <c r="T269" s="1792">
        <v>27.426512594352481</v>
      </c>
      <c r="V269" s="500">
        <v>0</v>
      </c>
      <c r="W269" s="500">
        <v>0</v>
      </c>
      <c r="X269" s="500">
        <v>0</v>
      </c>
      <c r="Z269" s="1792">
        <v>0.09</v>
      </c>
      <c r="AA269" s="1792">
        <v>0.1</v>
      </c>
      <c r="AB269" s="1792">
        <v>0.11</v>
      </c>
      <c r="AC269" s="29"/>
      <c r="AD269" s="1792">
        <v>0.09</v>
      </c>
      <c r="AE269" s="1792">
        <v>0.11</v>
      </c>
      <c r="AF269" s="1792">
        <v>0.13</v>
      </c>
      <c r="AG269" s="29"/>
      <c r="AH269" s="1792">
        <v>-0.1</v>
      </c>
      <c r="AI269" s="1792">
        <v>0.6</v>
      </c>
      <c r="AJ269" s="1792">
        <v>0.1</v>
      </c>
      <c r="AK269" s="29"/>
      <c r="AL269" s="1792">
        <v>-0.01</v>
      </c>
      <c r="AM269" s="1792">
        <v>0.16</v>
      </c>
      <c r="AN269" s="1792">
        <v>0.01</v>
      </c>
      <c r="AO269" s="29"/>
      <c r="AP269" s="14">
        <v>87</v>
      </c>
      <c r="AQ269" s="1802">
        <v>0.35</v>
      </c>
      <c r="BQ269" s="325">
        <v>44652</v>
      </c>
      <c r="BR269" s="415">
        <v>4.0374999999999996</v>
      </c>
      <c r="BS269" s="415">
        <v>4.0425000000000004</v>
      </c>
      <c r="BT269" s="415">
        <v>-0.14599999999999999</v>
      </c>
      <c r="BU269" s="1722">
        <f t="shared" si="0"/>
        <v>0.14349999999999999</v>
      </c>
      <c r="BV269" s="1722">
        <f t="shared" si="1"/>
        <v>0.15</v>
      </c>
      <c r="BW269" s="1722">
        <f t="shared" si="2"/>
        <v>0.1585</v>
      </c>
      <c r="BX269" s="416">
        <v>-7.0000000000000007E-2</v>
      </c>
      <c r="BY269" s="416"/>
      <c r="BZ269" s="416">
        <v>7.0000000000000007E-2</v>
      </c>
      <c r="CA269" s="432">
        <v>0</v>
      </c>
      <c r="CB269" s="1618">
        <v>0</v>
      </c>
      <c r="CC269" s="445">
        <v>4.968</v>
      </c>
      <c r="CD269" s="449">
        <v>0.1585</v>
      </c>
    </row>
    <row r="270" spans="1:82">
      <c r="A270" s="325">
        <v>44774</v>
      </c>
      <c r="B270" s="416">
        <v>7.280885411091402E-2</v>
      </c>
      <c r="C270" s="11"/>
      <c r="D270" s="1786">
        <v>43647</v>
      </c>
      <c r="E270" s="1787">
        <v>56.270811029537839</v>
      </c>
      <c r="F270" s="1787">
        <v>61.270811029537839</v>
      </c>
      <c r="G270" s="1787">
        <v>66.270811029537839</v>
      </c>
      <c r="H270" s="1789"/>
      <c r="I270" s="1787">
        <v>28.724193548387106</v>
      </c>
      <c r="J270" s="1787">
        <v>33.724193548387106</v>
      </c>
      <c r="K270" s="1787">
        <v>38.724193548387106</v>
      </c>
      <c r="M270" s="1791">
        <v>44531</v>
      </c>
      <c r="N270" s="1792">
        <v>26.90201679247</v>
      </c>
      <c r="O270" s="1792">
        <v>31.90201679247</v>
      </c>
      <c r="P270" s="1792">
        <v>36.90201679247</v>
      </c>
      <c r="Q270" s="29"/>
      <c r="R270" s="1792">
        <v>18.926512594352481</v>
      </c>
      <c r="S270" s="1792">
        <v>23.926512594352481</v>
      </c>
      <c r="T270" s="1792">
        <v>28.926512594352481</v>
      </c>
      <c r="V270" s="500">
        <v>0</v>
      </c>
      <c r="W270" s="500">
        <v>0</v>
      </c>
      <c r="X270" s="500">
        <v>0</v>
      </c>
      <c r="Z270" s="1792">
        <v>0.09</v>
      </c>
      <c r="AA270" s="1792">
        <v>0.1</v>
      </c>
      <c r="AB270" s="1792">
        <v>0.11</v>
      </c>
      <c r="AC270" s="29"/>
      <c r="AD270" s="1792">
        <v>0.09</v>
      </c>
      <c r="AE270" s="1792">
        <v>0.11</v>
      </c>
      <c r="AF270" s="1792">
        <v>0.13</v>
      </c>
      <c r="AG270" s="29"/>
      <c r="AH270" s="1792">
        <v>-0.25</v>
      </c>
      <c r="AI270" s="1792">
        <v>0.6</v>
      </c>
      <c r="AJ270" s="1792">
        <v>0.25</v>
      </c>
      <c r="AK270" s="29"/>
      <c r="AL270" s="1792">
        <v>-0.01</v>
      </c>
      <c r="AM270" s="1792">
        <v>0.16</v>
      </c>
      <c r="AN270" s="1792">
        <v>0.01</v>
      </c>
      <c r="AO270" s="29"/>
      <c r="AP270" s="14">
        <v>87</v>
      </c>
      <c r="AQ270" s="1802">
        <v>0.35</v>
      </c>
      <c r="BQ270" s="325">
        <v>44682</v>
      </c>
      <c r="BR270" s="415">
        <v>4.0705</v>
      </c>
      <c r="BS270" s="415">
        <v>4.0754999999999999</v>
      </c>
      <c r="BT270" s="415">
        <v>-0.13200000000000001</v>
      </c>
      <c r="BU270" s="1722">
        <f t="shared" si="0"/>
        <v>0.14349999999999999</v>
      </c>
      <c r="BV270" s="1722">
        <f t="shared" si="1"/>
        <v>0.15</v>
      </c>
      <c r="BW270" s="1722">
        <f t="shared" si="2"/>
        <v>0.1585</v>
      </c>
      <c r="BX270" s="416">
        <v>-7.0000000000000007E-2</v>
      </c>
      <c r="BY270" s="416"/>
      <c r="BZ270" s="416">
        <v>7.0000000000000007E-2</v>
      </c>
      <c r="CA270" s="432">
        <v>0</v>
      </c>
      <c r="CB270" s="1618">
        <v>0</v>
      </c>
      <c r="CC270" s="445">
        <v>4.9980000000000002</v>
      </c>
      <c r="CD270" s="449">
        <v>0.1585</v>
      </c>
    </row>
    <row r="271" spans="1:82">
      <c r="A271" s="325">
        <v>44805</v>
      </c>
      <c r="B271" s="416">
        <v>7.280444737262802E-2</v>
      </c>
      <c r="C271" s="11"/>
      <c r="D271" s="1786">
        <v>43678</v>
      </c>
      <c r="E271" s="1787">
        <v>76.895811029537839</v>
      </c>
      <c r="F271" s="1787">
        <v>81.895811029537839</v>
      </c>
      <c r="G271" s="1787">
        <v>86.895811029537839</v>
      </c>
      <c r="H271" s="1789"/>
      <c r="I271" s="1787">
        <v>26.724193548387102</v>
      </c>
      <c r="J271" s="1787">
        <v>31.724193548387102</v>
      </c>
      <c r="K271" s="1787">
        <v>36.724193548387106</v>
      </c>
      <c r="M271" s="1791">
        <v>44562</v>
      </c>
      <c r="N271" s="1792">
        <v>25.615074875901062</v>
      </c>
      <c r="O271" s="1792">
        <v>30.615074875901062</v>
      </c>
      <c r="P271" s="1792">
        <v>35.615074875901058</v>
      </c>
      <c r="Q271" s="29"/>
      <c r="R271" s="1792">
        <v>17.961306156925787</v>
      </c>
      <c r="S271" s="1792">
        <v>22.961306156925787</v>
      </c>
      <c r="T271" s="1792">
        <v>27.961306156925787</v>
      </c>
      <c r="V271" s="500">
        <v>0</v>
      </c>
      <c r="W271" s="500">
        <v>0</v>
      </c>
      <c r="X271" s="500">
        <v>0</v>
      </c>
      <c r="Z271" s="1853">
        <f>Z270</f>
        <v>0.09</v>
      </c>
      <c r="AA271" s="1853">
        <f>AA270</f>
        <v>0.1</v>
      </c>
      <c r="AB271" s="1853">
        <f>AB270</f>
        <v>0.11</v>
      </c>
      <c r="AC271" s="29"/>
      <c r="AD271" s="1853">
        <f>AD270</f>
        <v>0.09</v>
      </c>
      <c r="AE271" s="1853">
        <f t="shared" ref="AE271:AE288" si="3">AE270</f>
        <v>0.11</v>
      </c>
      <c r="AF271" s="1853">
        <f t="shared" ref="AF271:AF288" si="4">AF270</f>
        <v>0.13</v>
      </c>
      <c r="AG271" s="29"/>
      <c r="AH271" s="1792">
        <v>-0.25</v>
      </c>
      <c r="AI271" s="1792">
        <v>0.6</v>
      </c>
      <c r="AJ271" s="1792">
        <v>0.25</v>
      </c>
      <c r="AK271" s="29"/>
      <c r="AL271" s="1792">
        <v>-0.01</v>
      </c>
      <c r="AM271" s="1792">
        <v>0.16</v>
      </c>
      <c r="AN271" s="1792">
        <v>0.01</v>
      </c>
      <c r="AO271" s="29"/>
      <c r="AP271" s="14">
        <v>88</v>
      </c>
      <c r="AQ271" s="1802">
        <v>0.35</v>
      </c>
      <c r="BQ271" s="325">
        <v>44713</v>
      </c>
      <c r="BR271" s="415">
        <v>4.0965000000000007</v>
      </c>
      <c r="BS271" s="415">
        <v>4.1015000000000006</v>
      </c>
      <c r="BT271" s="415">
        <v>-0.121</v>
      </c>
      <c r="BU271" s="1722">
        <f t="shared" si="0"/>
        <v>0.14349999999999999</v>
      </c>
      <c r="BV271" s="1722">
        <f t="shared" si="1"/>
        <v>0.15</v>
      </c>
      <c r="BW271" s="1722">
        <f t="shared" si="2"/>
        <v>0.1585</v>
      </c>
      <c r="BX271" s="416">
        <v>-7.0000000000000007E-2</v>
      </c>
      <c r="BY271" s="416"/>
      <c r="BZ271" s="416">
        <v>7.0000000000000007E-2</v>
      </c>
      <c r="CA271" s="432">
        <v>0</v>
      </c>
      <c r="CB271" s="1618">
        <v>0</v>
      </c>
      <c r="CC271" s="445">
        <v>5.1160000000000005</v>
      </c>
      <c r="CD271" s="449">
        <v>0.1585</v>
      </c>
    </row>
    <row r="272" spans="1:82">
      <c r="A272" s="325">
        <v>44835</v>
      </c>
      <c r="B272" s="416">
        <v>7.2800182787197021E-2</v>
      </c>
      <c r="C272" s="11"/>
      <c r="D272" s="1786">
        <v>43709</v>
      </c>
      <c r="E272" s="1787">
        <v>60.895811029537839</v>
      </c>
      <c r="F272" s="1787">
        <v>65.895811029537839</v>
      </c>
      <c r="G272" s="1787">
        <v>70.895811029537839</v>
      </c>
      <c r="H272" s="1789"/>
      <c r="I272" s="1787">
        <v>27.137499999999999</v>
      </c>
      <c r="J272" s="1787">
        <v>32.137500000000003</v>
      </c>
      <c r="K272" s="1787">
        <v>37.137500000000003</v>
      </c>
      <c r="M272" s="1791">
        <v>44593</v>
      </c>
      <c r="N272" s="1792">
        <v>25.115074875901062</v>
      </c>
      <c r="O272" s="1792">
        <v>30.115074875901062</v>
      </c>
      <c r="P272" s="1792">
        <v>35.115074875901058</v>
      </c>
      <c r="Q272" s="29"/>
      <c r="R272" s="1792">
        <v>17.586306156925787</v>
      </c>
      <c r="S272" s="1792">
        <v>22.586306156925787</v>
      </c>
      <c r="T272" s="1792">
        <v>27.586306156925787</v>
      </c>
      <c r="V272" s="500">
        <v>0</v>
      </c>
      <c r="W272" s="500">
        <v>0</v>
      </c>
      <c r="X272" s="500">
        <v>0</v>
      </c>
      <c r="Z272" s="1853">
        <f t="shared" ref="Z272:Z287" si="5">Z271</f>
        <v>0.09</v>
      </c>
      <c r="AA272" s="1853">
        <f t="shared" ref="AA272:AA288" si="6">AA271</f>
        <v>0.1</v>
      </c>
      <c r="AB272" s="1853">
        <f t="shared" ref="AB272:AB288" si="7">AB271</f>
        <v>0.11</v>
      </c>
      <c r="AC272" s="29"/>
      <c r="AD272" s="1853">
        <f t="shared" ref="AD272:AD287" si="8">AD271</f>
        <v>0.09</v>
      </c>
      <c r="AE272" s="1853">
        <f t="shared" si="3"/>
        <v>0.11</v>
      </c>
      <c r="AF272" s="1853">
        <f t="shared" si="4"/>
        <v>0.13</v>
      </c>
      <c r="AG272" s="29"/>
      <c r="AH272" s="1792">
        <v>-0.25</v>
      </c>
      <c r="AI272" s="1792">
        <v>0.65</v>
      </c>
      <c r="AJ272" s="1792">
        <v>0.25</v>
      </c>
      <c r="AK272" s="29"/>
      <c r="AL272" s="1792">
        <v>-0.01</v>
      </c>
      <c r="AM272" s="1792">
        <v>0.16</v>
      </c>
      <c r="AN272" s="1792">
        <v>0.01</v>
      </c>
      <c r="AO272" s="29"/>
      <c r="AP272" s="14">
        <v>88</v>
      </c>
      <c r="AQ272" s="1802">
        <v>0.35</v>
      </c>
      <c r="BQ272" s="325">
        <v>44743</v>
      </c>
      <c r="BR272" s="415">
        <v>4.1044999999999998</v>
      </c>
      <c r="BS272" s="415">
        <v>4.1094999999999997</v>
      </c>
      <c r="BT272" s="415">
        <v>-0.157</v>
      </c>
      <c r="BU272" s="1722">
        <f t="shared" si="0"/>
        <v>0.14349999999999999</v>
      </c>
      <c r="BV272" s="1722">
        <f t="shared" si="1"/>
        <v>0.15</v>
      </c>
      <c r="BW272" s="1722">
        <f t="shared" si="2"/>
        <v>0.1585</v>
      </c>
      <c r="BX272" s="416">
        <v>-7.0000000000000007E-2</v>
      </c>
      <c r="BY272" s="416"/>
      <c r="BZ272" s="416">
        <v>7.0000000000000007E-2</v>
      </c>
      <c r="CA272" s="432">
        <v>0</v>
      </c>
      <c r="CB272" s="1618">
        <v>0</v>
      </c>
      <c r="CC272" s="445">
        <v>5.2460000000000004</v>
      </c>
      <c r="CD272" s="449">
        <v>0.1585</v>
      </c>
    </row>
    <row r="273" spans="1:82">
      <c r="A273" s="325">
        <v>44866</v>
      </c>
      <c r="B273" s="416">
        <v>7.2795776048925009E-2</v>
      </c>
      <c r="C273" s="11"/>
      <c r="D273" s="1786">
        <v>43739</v>
      </c>
      <c r="E273" s="1787">
        <v>32.499108841299787</v>
      </c>
      <c r="F273" s="1787">
        <v>37.499108841299787</v>
      </c>
      <c r="G273" s="1787">
        <v>42.499108841299787</v>
      </c>
      <c r="H273" s="1789"/>
      <c r="I273" s="1787">
        <v>26.651612903225811</v>
      </c>
      <c r="J273" s="1787">
        <v>31.651612903225811</v>
      </c>
      <c r="K273" s="1787">
        <v>36.651612903225811</v>
      </c>
      <c r="M273" s="1791">
        <v>44621</v>
      </c>
      <c r="N273" s="1792">
        <v>24.365074875901062</v>
      </c>
      <c r="O273" s="1792">
        <v>29.365074875901062</v>
      </c>
      <c r="P273" s="1792">
        <v>34.365074875901058</v>
      </c>
      <c r="Q273" s="29"/>
      <c r="R273" s="1792">
        <v>17.023806156925787</v>
      </c>
      <c r="S273" s="1792">
        <v>22.023806156925787</v>
      </c>
      <c r="T273" s="1792">
        <v>27.023806156925787</v>
      </c>
      <c r="V273" s="500">
        <v>0</v>
      </c>
      <c r="W273" s="500">
        <v>0</v>
      </c>
      <c r="X273" s="500">
        <v>0</v>
      </c>
      <c r="Z273" s="1853">
        <f t="shared" si="5"/>
        <v>0.09</v>
      </c>
      <c r="AA273" s="1853">
        <f t="shared" si="6"/>
        <v>0.1</v>
      </c>
      <c r="AB273" s="1853">
        <f t="shared" si="7"/>
        <v>0.11</v>
      </c>
      <c r="AC273" s="29"/>
      <c r="AD273" s="1853">
        <f t="shared" si="8"/>
        <v>0.09</v>
      </c>
      <c r="AE273" s="1853">
        <f t="shared" si="3"/>
        <v>0.11</v>
      </c>
      <c r="AF273" s="1853">
        <f t="shared" si="4"/>
        <v>0.13</v>
      </c>
      <c r="AG273" s="29"/>
      <c r="AH273" s="1792">
        <v>-0.1</v>
      </c>
      <c r="AI273" s="1792">
        <v>0.65</v>
      </c>
      <c r="AJ273" s="1792">
        <v>0.1</v>
      </c>
      <c r="AK273" s="29"/>
      <c r="AL273" s="1792">
        <v>-0.01</v>
      </c>
      <c r="AM273" s="1792">
        <v>0.16</v>
      </c>
      <c r="AN273" s="1792">
        <v>0.01</v>
      </c>
      <c r="AO273" s="29"/>
      <c r="AP273" s="14">
        <v>88</v>
      </c>
      <c r="AQ273" s="1802">
        <v>0.35</v>
      </c>
      <c r="BQ273" s="325">
        <v>44774</v>
      </c>
      <c r="BR273" s="415">
        <v>4.1135000000000002</v>
      </c>
      <c r="BS273" s="415">
        <v>4.1185</v>
      </c>
      <c r="BT273" s="415">
        <v>-0.161</v>
      </c>
      <c r="BU273" s="1722">
        <f t="shared" si="0"/>
        <v>0.14349999999999999</v>
      </c>
      <c r="BV273" s="1722">
        <f t="shared" si="1"/>
        <v>0.15</v>
      </c>
      <c r="BW273" s="1722">
        <f t="shared" si="2"/>
        <v>0.1585</v>
      </c>
      <c r="BX273" s="416">
        <v>-7.0000000000000007E-2</v>
      </c>
      <c r="BY273" s="416"/>
      <c r="BZ273" s="416">
        <v>7.0000000000000007E-2</v>
      </c>
      <c r="CA273" s="432">
        <v>0</v>
      </c>
      <c r="CB273" s="1618">
        <v>0</v>
      </c>
      <c r="CC273" s="445">
        <v>5.5020000000000007</v>
      </c>
      <c r="CD273" s="449">
        <v>0.1585</v>
      </c>
    </row>
    <row r="274" spans="1:82">
      <c r="A274" s="325">
        <v>44896</v>
      </c>
      <c r="B274" s="416">
        <v>7.2791511463506015E-2</v>
      </c>
      <c r="C274" s="11"/>
      <c r="D274" s="1786">
        <v>43770</v>
      </c>
      <c r="E274" s="1787">
        <v>24.749108841299797</v>
      </c>
      <c r="F274" s="1787">
        <v>29.749108841299797</v>
      </c>
      <c r="G274" s="1787">
        <v>34.749108841299801</v>
      </c>
      <c r="H274" s="1789"/>
      <c r="I274" s="1787">
        <v>27.991666666666674</v>
      </c>
      <c r="J274" s="1787">
        <v>32.991666666666674</v>
      </c>
      <c r="K274" s="1787">
        <v>37.991666666666674</v>
      </c>
      <c r="M274" s="1791">
        <v>44652</v>
      </c>
      <c r="N274" s="1792">
        <v>24.294831963278025</v>
      </c>
      <c r="O274" s="1792">
        <v>29.294831963278025</v>
      </c>
      <c r="P274" s="1792">
        <v>34.294831963278028</v>
      </c>
      <c r="Q274" s="29"/>
      <c r="R274" s="1792">
        <v>16.971123972458535</v>
      </c>
      <c r="S274" s="1792">
        <v>21.971123972458535</v>
      </c>
      <c r="T274" s="1792">
        <v>26.971123972458535</v>
      </c>
      <c r="V274" s="500">
        <v>0</v>
      </c>
      <c r="W274" s="500">
        <v>0</v>
      </c>
      <c r="X274" s="500">
        <v>0</v>
      </c>
      <c r="Z274" s="1853">
        <f t="shared" si="5"/>
        <v>0.09</v>
      </c>
      <c r="AA274" s="1853">
        <f t="shared" si="6"/>
        <v>0.1</v>
      </c>
      <c r="AB274" s="1853">
        <f t="shared" si="7"/>
        <v>0.11</v>
      </c>
      <c r="AC274" s="29"/>
      <c r="AD274" s="1853">
        <f t="shared" si="8"/>
        <v>0.09</v>
      </c>
      <c r="AE274" s="1853">
        <f t="shared" si="3"/>
        <v>0.11</v>
      </c>
      <c r="AF274" s="1853">
        <f t="shared" si="4"/>
        <v>0.13</v>
      </c>
      <c r="AG274" s="29"/>
      <c r="AH274" s="1792">
        <v>-0.1</v>
      </c>
      <c r="AI274" s="1792">
        <v>0.65</v>
      </c>
      <c r="AJ274" s="1792">
        <v>0.1</v>
      </c>
      <c r="AK274" s="29"/>
      <c r="AL274" s="1792">
        <v>-0.01</v>
      </c>
      <c r="AM274" s="1792">
        <v>0.16</v>
      </c>
      <c r="AN274" s="1792">
        <v>0.01</v>
      </c>
      <c r="AO274" s="29"/>
      <c r="AP274" s="14">
        <v>89</v>
      </c>
      <c r="AQ274" s="1802">
        <v>0.35</v>
      </c>
      <c r="BQ274" s="325">
        <v>44805</v>
      </c>
      <c r="BR274" s="415">
        <v>4.1015000000000006</v>
      </c>
      <c r="BS274" s="415">
        <v>4.1065000000000005</v>
      </c>
      <c r="BT274" s="415">
        <v>-0.17</v>
      </c>
      <c r="BU274" s="1722">
        <f t="shared" si="0"/>
        <v>0.14349999999999999</v>
      </c>
      <c r="BV274" s="1722">
        <f t="shared" si="1"/>
        <v>0.15</v>
      </c>
      <c r="BW274" s="1722">
        <f t="shared" si="2"/>
        <v>0.1585</v>
      </c>
      <c r="BX274" s="416">
        <v>-7.0000000000000007E-2</v>
      </c>
      <c r="BY274" s="416"/>
      <c r="BZ274" s="416">
        <v>7.0000000000000007E-2</v>
      </c>
      <c r="CA274" s="432">
        <v>0</v>
      </c>
      <c r="CB274" s="1618">
        <v>0</v>
      </c>
      <c r="CC274" s="445">
        <v>5.4379999999999997</v>
      </c>
      <c r="CD274" s="449">
        <v>0.1585</v>
      </c>
    </row>
    <row r="275" spans="1:82">
      <c r="A275" s="325">
        <v>44927</v>
      </c>
      <c r="B275" s="416">
        <v>7.2787104725246007E-2</v>
      </c>
      <c r="C275" s="11"/>
      <c r="D275" s="1786">
        <v>43800</v>
      </c>
      <c r="E275" s="1787">
        <v>26.749108841299794</v>
      </c>
      <c r="F275" s="1787">
        <v>31.749108841299794</v>
      </c>
      <c r="G275" s="1787">
        <v>36.749108841299794</v>
      </c>
      <c r="H275" s="1789"/>
      <c r="I275" s="1787">
        <v>27.296774193548401</v>
      </c>
      <c r="J275" s="1787">
        <v>32.296774193548401</v>
      </c>
      <c r="K275" s="1787">
        <v>37.296774193548401</v>
      </c>
      <c r="M275" s="1791">
        <v>44682</v>
      </c>
      <c r="N275" s="1792">
        <v>24.294831963278025</v>
      </c>
      <c r="O275" s="1792">
        <v>29.294831963278025</v>
      </c>
      <c r="P275" s="1792">
        <v>34.294831963278028</v>
      </c>
      <c r="Q275" s="29"/>
      <c r="R275" s="1792">
        <v>16.971123972458535</v>
      </c>
      <c r="S275" s="1792">
        <v>21.971123972458535</v>
      </c>
      <c r="T275" s="1792">
        <v>26.971123972458535</v>
      </c>
      <c r="V275" s="500">
        <v>0</v>
      </c>
      <c r="W275" s="500">
        <v>0</v>
      </c>
      <c r="X275" s="500">
        <v>0</v>
      </c>
      <c r="Z275" s="1853">
        <f t="shared" si="5"/>
        <v>0.09</v>
      </c>
      <c r="AA275" s="1853">
        <f t="shared" si="6"/>
        <v>0.1</v>
      </c>
      <c r="AB275" s="1853">
        <f t="shared" si="7"/>
        <v>0.11</v>
      </c>
      <c r="AC275" s="29"/>
      <c r="AD275" s="1853">
        <f t="shared" si="8"/>
        <v>0.09</v>
      </c>
      <c r="AE275" s="1853">
        <f t="shared" si="3"/>
        <v>0.11</v>
      </c>
      <c r="AF275" s="1853">
        <f t="shared" si="4"/>
        <v>0.13</v>
      </c>
      <c r="AG275" s="29"/>
      <c r="AH275" s="1792">
        <v>-0.1</v>
      </c>
      <c r="AI275" s="1792">
        <v>0.65</v>
      </c>
      <c r="AJ275" s="1792">
        <v>0.1</v>
      </c>
      <c r="AK275" s="29"/>
      <c r="AL275" s="1792">
        <v>-0.01</v>
      </c>
      <c r="AM275" s="1792">
        <v>0.16</v>
      </c>
      <c r="AN275" s="1792">
        <v>0.01</v>
      </c>
      <c r="AO275" s="29"/>
      <c r="AP275" s="14">
        <v>89</v>
      </c>
      <c r="AQ275" s="1802">
        <v>0.35</v>
      </c>
      <c r="BQ275" s="325">
        <v>44835</v>
      </c>
      <c r="BR275" s="415">
        <v>4.1094999999999997</v>
      </c>
      <c r="BS275" s="415">
        <v>4.1144999999999996</v>
      </c>
      <c r="BT275" s="415">
        <v>-0.17499999999999999</v>
      </c>
      <c r="BU275" s="1722">
        <f t="shared" si="0"/>
        <v>0.14349999999999999</v>
      </c>
      <c r="BV275" s="1722">
        <f t="shared" si="1"/>
        <v>0.15</v>
      </c>
      <c r="BW275" s="1722">
        <f t="shared" si="2"/>
        <v>0.1585</v>
      </c>
      <c r="BX275" s="416">
        <v>-7.0000000000000007E-2</v>
      </c>
      <c r="BY275" s="416"/>
      <c r="BZ275" s="416">
        <v>7.0000000000000007E-2</v>
      </c>
      <c r="CA275" s="432">
        <v>0</v>
      </c>
      <c r="CB275" s="1618">
        <v>0</v>
      </c>
      <c r="CC275" s="445">
        <v>5.3239999999999998</v>
      </c>
      <c r="CD275" s="449">
        <v>0.1585</v>
      </c>
    </row>
    <row r="276" spans="1:82">
      <c r="A276" s="325">
        <v>44958</v>
      </c>
      <c r="B276" s="416">
        <v>7.2782697987000017E-2</v>
      </c>
      <c r="C276" s="11"/>
      <c r="D276" s="1786">
        <v>43831</v>
      </c>
      <c r="E276" s="1787">
        <v>25.471230322648513</v>
      </c>
      <c r="F276" s="1787">
        <v>30.471230322648513</v>
      </c>
      <c r="G276" s="1787">
        <v>35.471230322648509</v>
      </c>
      <c r="H276" s="1789"/>
      <c r="I276" s="1787">
        <v>24.838119151052211</v>
      </c>
      <c r="J276" s="1787">
        <v>29.838119151052211</v>
      </c>
      <c r="K276" s="1787">
        <v>34.838119151052211</v>
      </c>
      <c r="M276" s="1791">
        <v>44713</v>
      </c>
      <c r="N276" s="1792">
        <v>29.544831963278028</v>
      </c>
      <c r="O276" s="1792">
        <v>34.544831963278028</v>
      </c>
      <c r="P276" s="1792">
        <v>39.544831963278028</v>
      </c>
      <c r="Q276" s="29"/>
      <c r="R276" s="1792">
        <v>20.908623972458535</v>
      </c>
      <c r="S276" s="1792">
        <v>25.908623972458535</v>
      </c>
      <c r="T276" s="1792">
        <v>30.908623972458535</v>
      </c>
      <c r="V276" s="500">
        <v>0</v>
      </c>
      <c r="W276" s="500">
        <v>0</v>
      </c>
      <c r="X276" s="500">
        <v>0</v>
      </c>
      <c r="Z276" s="1853">
        <f t="shared" si="5"/>
        <v>0.09</v>
      </c>
      <c r="AA276" s="1853">
        <f t="shared" si="6"/>
        <v>0.1</v>
      </c>
      <c r="AB276" s="1853">
        <f t="shared" si="7"/>
        <v>0.11</v>
      </c>
      <c r="AC276" s="29"/>
      <c r="AD276" s="1853">
        <f t="shared" si="8"/>
        <v>0.09</v>
      </c>
      <c r="AE276" s="1853">
        <f t="shared" si="3"/>
        <v>0.11</v>
      </c>
      <c r="AF276" s="1853">
        <f t="shared" si="4"/>
        <v>0.13</v>
      </c>
      <c r="AG276" s="29"/>
      <c r="AH276" s="1792">
        <v>-0.35</v>
      </c>
      <c r="AI276" s="1792">
        <v>0.65</v>
      </c>
      <c r="AJ276" s="1792">
        <v>0.2</v>
      </c>
      <c r="AK276" s="29"/>
      <c r="AL276" s="1792">
        <v>-0.01</v>
      </c>
      <c r="AM276" s="1792">
        <v>0.16</v>
      </c>
      <c r="AN276" s="1792">
        <v>0.01</v>
      </c>
      <c r="AO276" s="29"/>
      <c r="AP276" s="14">
        <v>89</v>
      </c>
      <c r="AQ276" s="1802">
        <v>0.35</v>
      </c>
      <c r="BQ276" s="325">
        <v>44866</v>
      </c>
      <c r="BR276" s="415">
        <v>4.1475</v>
      </c>
      <c r="BS276" s="415">
        <v>4.1524999999999999</v>
      </c>
      <c r="BT276" s="415">
        <v>-0.18300000000000002</v>
      </c>
      <c r="BU276" s="1722">
        <f t="shared" si="0"/>
        <v>0.14349999999999999</v>
      </c>
      <c r="BV276" s="1722">
        <f t="shared" si="1"/>
        <v>0.15</v>
      </c>
      <c r="BW276" s="1722">
        <f t="shared" si="2"/>
        <v>0.1585</v>
      </c>
      <c r="BX276" s="416">
        <v>-7.0000000000000007E-2</v>
      </c>
      <c r="BY276" s="416"/>
      <c r="BZ276" s="416">
        <v>7.0000000000000007E-2</v>
      </c>
      <c r="CA276" s="432">
        <v>0</v>
      </c>
      <c r="CB276" s="1618">
        <v>0</v>
      </c>
      <c r="CC276" s="445">
        <v>5.21</v>
      </c>
      <c r="CD276" s="449">
        <v>0.1585</v>
      </c>
    </row>
    <row r="277" spans="1:82">
      <c r="A277" s="325">
        <v>44986</v>
      </c>
      <c r="B277" s="416">
        <v>7.2778717707285029E-2</v>
      </c>
      <c r="C277" s="11"/>
      <c r="D277" s="1786">
        <v>43862</v>
      </c>
      <c r="E277" s="1787">
        <v>24.971230322648513</v>
      </c>
      <c r="F277" s="1787">
        <v>29.971230322648513</v>
      </c>
      <c r="G277" s="1787">
        <v>34.971230322648509</v>
      </c>
      <c r="H277" s="1789"/>
      <c r="I277" s="1787">
        <v>25.80714285714286</v>
      </c>
      <c r="J277" s="1787">
        <v>30.80714285714286</v>
      </c>
      <c r="K277" s="1787">
        <v>35.807142857142864</v>
      </c>
      <c r="M277" s="1791">
        <v>44743</v>
      </c>
      <c r="N277" s="1792">
        <v>56.794897807369779</v>
      </c>
      <c r="O277" s="1792">
        <v>61.794897807369779</v>
      </c>
      <c r="P277" s="1792">
        <v>66.794897807369779</v>
      </c>
      <c r="Q277" s="29"/>
      <c r="R277" s="1792">
        <v>41.346173355527341</v>
      </c>
      <c r="S277" s="1792">
        <v>46.346173355527341</v>
      </c>
      <c r="T277" s="1792">
        <v>51.346173355527341</v>
      </c>
      <c r="V277" s="500">
        <v>0</v>
      </c>
      <c r="W277" s="500">
        <v>0</v>
      </c>
      <c r="X277" s="500">
        <v>0</v>
      </c>
      <c r="Z277" s="1853">
        <f t="shared" si="5"/>
        <v>0.09</v>
      </c>
      <c r="AA277" s="1853">
        <f t="shared" si="6"/>
        <v>0.1</v>
      </c>
      <c r="AB277" s="1853">
        <f t="shared" si="7"/>
        <v>0.11</v>
      </c>
      <c r="AC277" s="29"/>
      <c r="AD277" s="1853">
        <f t="shared" si="8"/>
        <v>0.09</v>
      </c>
      <c r="AE277" s="1853">
        <f t="shared" si="3"/>
        <v>0.11</v>
      </c>
      <c r="AF277" s="1853">
        <f t="shared" si="4"/>
        <v>0.13</v>
      </c>
      <c r="AG277" s="29"/>
      <c r="AH277" s="1792">
        <v>-0.35</v>
      </c>
      <c r="AI277" s="1792">
        <v>0.65</v>
      </c>
      <c r="AJ277" s="1792">
        <v>0.35</v>
      </c>
      <c r="AK277" s="29"/>
      <c r="AL277" s="1792">
        <v>-0.01</v>
      </c>
      <c r="AM277" s="1792">
        <v>0.16</v>
      </c>
      <c r="AN277" s="1792">
        <v>0.01</v>
      </c>
      <c r="AO277" s="29"/>
      <c r="AP277" s="14">
        <v>90</v>
      </c>
      <c r="AQ277" s="1802">
        <v>0.35</v>
      </c>
      <c r="BQ277" s="325">
        <v>44896</v>
      </c>
      <c r="BR277" s="415">
        <v>4.2135000000000007</v>
      </c>
      <c r="BS277" s="415">
        <v>4.2185000000000006</v>
      </c>
      <c r="BT277" s="415">
        <v>-0.17800000000000002</v>
      </c>
      <c r="BU277" s="1722">
        <f t="shared" si="0"/>
        <v>0.14349999999999999</v>
      </c>
      <c r="BV277" s="1722">
        <f t="shared" si="1"/>
        <v>0.15</v>
      </c>
      <c r="BW277" s="1722">
        <f t="shared" si="2"/>
        <v>0.1585</v>
      </c>
      <c r="BX277" s="416">
        <v>-7.0000000000000007E-2</v>
      </c>
      <c r="BY277" s="416"/>
      <c r="BZ277" s="416">
        <v>7.0000000000000007E-2</v>
      </c>
      <c r="CA277" s="432">
        <v>0</v>
      </c>
      <c r="CB277" s="1618">
        <v>0</v>
      </c>
      <c r="CC277" s="445">
        <v>5.1760000000000002</v>
      </c>
      <c r="CD277" s="449">
        <v>0.1585</v>
      </c>
    </row>
    <row r="278" spans="1:82">
      <c r="A278" s="325">
        <v>45017</v>
      </c>
      <c r="B278" s="416">
        <v>7.2774310969043007E-2</v>
      </c>
      <c r="C278" s="11"/>
      <c r="D278" s="1786">
        <v>43891</v>
      </c>
      <c r="E278" s="1787">
        <v>24.721230322648513</v>
      </c>
      <c r="F278" s="1787">
        <v>29.721230322648513</v>
      </c>
      <c r="G278" s="1787">
        <v>34.721230322648509</v>
      </c>
      <c r="H278" s="1789"/>
      <c r="I278" s="1787">
        <v>26.087096774193554</v>
      </c>
      <c r="J278" s="1787">
        <v>31.087096774193554</v>
      </c>
      <c r="K278" s="1787">
        <v>36.087096774193554</v>
      </c>
      <c r="M278" s="1791">
        <v>44774</v>
      </c>
      <c r="N278" s="1792">
        <v>77.419897807369779</v>
      </c>
      <c r="O278" s="1792">
        <v>82.419897807369779</v>
      </c>
      <c r="P278" s="1792">
        <v>87.419897807369779</v>
      </c>
      <c r="Q278" s="29"/>
      <c r="R278" s="1792">
        <v>56.814923355527341</v>
      </c>
      <c r="S278" s="1792">
        <v>61.814923355527341</v>
      </c>
      <c r="T278" s="1792">
        <v>66.814923355527341</v>
      </c>
      <c r="V278" s="500">
        <v>0</v>
      </c>
      <c r="W278" s="500">
        <v>0</v>
      </c>
      <c r="X278" s="500">
        <v>0</v>
      </c>
      <c r="Z278" s="1853">
        <f t="shared" si="5"/>
        <v>0.09</v>
      </c>
      <c r="AA278" s="1853">
        <f t="shared" si="6"/>
        <v>0.1</v>
      </c>
      <c r="AB278" s="1853">
        <f t="shared" si="7"/>
        <v>0.11</v>
      </c>
      <c r="AC278" s="29"/>
      <c r="AD278" s="1853">
        <f t="shared" si="8"/>
        <v>0.09</v>
      </c>
      <c r="AE278" s="1853">
        <f t="shared" si="3"/>
        <v>0.11</v>
      </c>
      <c r="AF278" s="1853">
        <f t="shared" si="4"/>
        <v>0.13</v>
      </c>
      <c r="AG278" s="29"/>
      <c r="AH278" s="1792">
        <v>-0.35</v>
      </c>
      <c r="AI278" s="1792">
        <v>0.65</v>
      </c>
      <c r="AJ278" s="1792">
        <v>0.35</v>
      </c>
      <c r="AK278" s="29"/>
      <c r="AL278" s="1792">
        <v>-0.01</v>
      </c>
      <c r="AM278" s="1792">
        <v>0.16</v>
      </c>
      <c r="AN278" s="1792">
        <v>0.01</v>
      </c>
      <c r="AO278" s="29"/>
      <c r="AP278" s="14">
        <v>90</v>
      </c>
      <c r="AQ278" s="1802">
        <v>0.35</v>
      </c>
      <c r="BQ278" s="325">
        <v>44927</v>
      </c>
      <c r="BR278" s="415">
        <v>4.2474999999999996</v>
      </c>
      <c r="BS278" s="415">
        <v>4.2525000000000004</v>
      </c>
      <c r="BT278" s="415">
        <v>-0.185</v>
      </c>
      <c r="BU278" s="1722">
        <f t="shared" si="0"/>
        <v>0.14349999999999999</v>
      </c>
      <c r="BV278" s="1722">
        <f t="shared" si="1"/>
        <v>0.15</v>
      </c>
      <c r="BW278" s="1722">
        <f t="shared" si="2"/>
        <v>0.1585</v>
      </c>
      <c r="BX278" s="416">
        <v>-7.0000000000000007E-2</v>
      </c>
      <c r="BY278" s="416"/>
      <c r="BZ278" s="416">
        <v>7.0000000000000007E-2</v>
      </c>
      <c r="CA278" s="432">
        <v>0</v>
      </c>
      <c r="CB278" s="1618">
        <v>0</v>
      </c>
      <c r="CC278" s="445">
        <v>5.1610000000000005</v>
      </c>
      <c r="CD278" s="449">
        <v>0.1585</v>
      </c>
    </row>
    <row r="279" spans="1:82">
      <c r="A279" s="325">
        <v>45047</v>
      </c>
      <c r="B279" s="416">
        <v>7.2770046383654016E-2</v>
      </c>
      <c r="C279" s="11"/>
      <c r="D279" s="1786">
        <v>43922</v>
      </c>
      <c r="E279" s="1787">
        <v>24.889741359247932</v>
      </c>
      <c r="F279" s="1787">
        <v>29.889741359247932</v>
      </c>
      <c r="G279" s="1787">
        <v>34.889741359247935</v>
      </c>
      <c r="H279" s="1789"/>
      <c r="I279" s="1787">
        <v>23.887499999999999</v>
      </c>
      <c r="J279" s="1787">
        <v>28.887499999999999</v>
      </c>
      <c r="K279" s="1787">
        <v>33.887500000000003</v>
      </c>
      <c r="M279" s="1791">
        <v>44805</v>
      </c>
      <c r="N279" s="1792">
        <v>61.419897807369779</v>
      </c>
      <c r="O279" s="1792">
        <v>66.419897807369779</v>
      </c>
      <c r="P279" s="1792">
        <v>71.419897807369779</v>
      </c>
      <c r="Q279" s="29"/>
      <c r="R279" s="1792">
        <v>44.814923355527341</v>
      </c>
      <c r="S279" s="1792">
        <v>49.814923355527341</v>
      </c>
      <c r="T279" s="1792">
        <v>54.814923355527341</v>
      </c>
      <c r="V279" s="500">
        <v>0</v>
      </c>
      <c r="W279" s="500">
        <v>0</v>
      </c>
      <c r="X279" s="500">
        <v>0</v>
      </c>
      <c r="Z279" s="1853">
        <f t="shared" si="5"/>
        <v>0.09</v>
      </c>
      <c r="AA279" s="1853">
        <f t="shared" si="6"/>
        <v>0.1</v>
      </c>
      <c r="AB279" s="1853">
        <f t="shared" si="7"/>
        <v>0.11</v>
      </c>
      <c r="AC279" s="29"/>
      <c r="AD279" s="1853">
        <f t="shared" si="8"/>
        <v>0.09</v>
      </c>
      <c r="AE279" s="1853">
        <f t="shared" si="3"/>
        <v>0.11</v>
      </c>
      <c r="AF279" s="1853">
        <f t="shared" si="4"/>
        <v>0.13</v>
      </c>
      <c r="AG279" s="29"/>
      <c r="AH279" s="1792">
        <v>-0.35</v>
      </c>
      <c r="AI279" s="1792">
        <v>3</v>
      </c>
      <c r="AJ279" s="1792">
        <v>0.2</v>
      </c>
      <c r="AK279" s="29"/>
      <c r="AL279" s="1792">
        <v>-0.01</v>
      </c>
      <c r="AM279" s="1792">
        <v>0.16</v>
      </c>
      <c r="AN279" s="1792">
        <v>0.01</v>
      </c>
      <c r="AO279" s="29"/>
      <c r="AP279" s="14">
        <v>90</v>
      </c>
      <c r="AQ279" s="1802">
        <v>0.35</v>
      </c>
      <c r="BQ279" s="325">
        <v>44958</v>
      </c>
      <c r="BR279" s="415">
        <v>4.2145000000000001</v>
      </c>
      <c r="BS279" s="415">
        <v>4.2195</v>
      </c>
      <c r="BT279" s="415">
        <v>-0.17900000000000002</v>
      </c>
      <c r="BU279" s="1722">
        <f t="shared" si="0"/>
        <v>0.14349999999999999</v>
      </c>
      <c r="BV279" s="1722">
        <f t="shared" si="1"/>
        <v>0.15</v>
      </c>
      <c r="BW279" s="1722">
        <f t="shared" si="2"/>
        <v>0.1585</v>
      </c>
      <c r="BX279" s="416">
        <v>-7.0000000000000007E-2</v>
      </c>
      <c r="BY279" s="416"/>
      <c r="BZ279" s="416">
        <v>7.0000000000000007E-2</v>
      </c>
      <c r="CA279" s="432">
        <v>0</v>
      </c>
      <c r="CB279" s="1618">
        <v>0</v>
      </c>
      <c r="CC279" s="445">
        <v>5.1829999999999998</v>
      </c>
      <c r="CD279" s="449">
        <v>0.1585</v>
      </c>
    </row>
    <row r="280" spans="1:82">
      <c r="A280" s="325">
        <v>45078</v>
      </c>
      <c r="B280" s="416">
        <v>7.2765639645426011E-2</v>
      </c>
      <c r="C280" s="11"/>
      <c r="D280" s="1786">
        <v>43952</v>
      </c>
      <c r="E280" s="1787">
        <v>24.139741359247932</v>
      </c>
      <c r="F280" s="1787">
        <v>29.139741359247932</v>
      </c>
      <c r="G280" s="1787">
        <v>34.139741359247935</v>
      </c>
      <c r="H280" s="1789"/>
      <c r="I280" s="1787">
        <v>23.945967741935487</v>
      </c>
      <c r="J280" s="1787">
        <v>28.945967741935487</v>
      </c>
      <c r="K280" s="1787">
        <v>33.94596774193549</v>
      </c>
      <c r="M280" s="1791">
        <v>44835</v>
      </c>
      <c r="N280" s="1792">
        <v>32.728470768055097</v>
      </c>
      <c r="O280" s="1792">
        <v>37.728470768055097</v>
      </c>
      <c r="P280" s="1792">
        <v>42.728470768055097</v>
      </c>
      <c r="Q280" s="29"/>
      <c r="R280" s="1792">
        <v>23.296353076041306</v>
      </c>
      <c r="S280" s="1792">
        <v>28.296353076041306</v>
      </c>
      <c r="T280" s="1792">
        <v>33.296353076041306</v>
      </c>
      <c r="V280" s="500">
        <v>0</v>
      </c>
      <c r="W280" s="500">
        <v>0</v>
      </c>
      <c r="X280" s="500">
        <v>0</v>
      </c>
      <c r="Z280" s="1853">
        <f t="shared" si="5"/>
        <v>0.09</v>
      </c>
      <c r="AA280" s="1853">
        <f t="shared" si="6"/>
        <v>0.1</v>
      </c>
      <c r="AB280" s="1853">
        <f t="shared" si="7"/>
        <v>0.11</v>
      </c>
      <c r="AC280" s="29"/>
      <c r="AD280" s="1853">
        <f t="shared" si="8"/>
        <v>0.09</v>
      </c>
      <c r="AE280" s="1853">
        <f t="shared" si="3"/>
        <v>0.11</v>
      </c>
      <c r="AF280" s="1853">
        <f t="shared" si="4"/>
        <v>0.13</v>
      </c>
      <c r="AG280" s="29"/>
      <c r="AH280" s="1792">
        <v>-0.1</v>
      </c>
      <c r="AI280" s="1792">
        <v>3</v>
      </c>
      <c r="AJ280" s="1792">
        <v>0.1</v>
      </c>
      <c r="AK280" s="29"/>
      <c r="AL280" s="1792">
        <v>-0.01</v>
      </c>
      <c r="AM280" s="1792">
        <v>0.16</v>
      </c>
      <c r="AN280" s="1792">
        <v>0.01</v>
      </c>
      <c r="AO280" s="29"/>
      <c r="AP280" s="14">
        <v>91</v>
      </c>
      <c r="AQ280" s="1802">
        <v>0.35</v>
      </c>
      <c r="BQ280" s="325">
        <v>44986</v>
      </c>
      <c r="BR280" s="415">
        <v>4.1594999999999995</v>
      </c>
      <c r="BS280" s="415">
        <v>4.1645000000000003</v>
      </c>
      <c r="BT280" s="415">
        <v>-0.17</v>
      </c>
      <c r="BU280" s="1722">
        <f t="shared" si="0"/>
        <v>0.14349999999999999</v>
      </c>
      <c r="BV280" s="1722">
        <f t="shared" si="1"/>
        <v>0.15</v>
      </c>
      <c r="BW280" s="1722">
        <f t="shared" si="2"/>
        <v>0.1585</v>
      </c>
      <c r="BX280" s="416">
        <v>-7.0000000000000007E-2</v>
      </c>
      <c r="BY280" s="416"/>
      <c r="BZ280" s="416">
        <v>7.0000000000000007E-2</v>
      </c>
      <c r="CA280" s="432">
        <v>0</v>
      </c>
      <c r="CB280" s="1618">
        <v>0</v>
      </c>
      <c r="CC280" s="445">
        <v>5.1870000000000003</v>
      </c>
      <c r="CD280" s="449">
        <v>0.1585</v>
      </c>
    </row>
    <row r="281" spans="1:82">
      <c r="A281" s="325">
        <v>45108</v>
      </c>
      <c r="B281" s="416">
        <v>7.276137506005001E-2</v>
      </c>
      <c r="C281" s="11"/>
      <c r="D281" s="1786">
        <v>43983</v>
      </c>
      <c r="E281" s="1787">
        <v>29.389741359247935</v>
      </c>
      <c r="F281" s="1787">
        <v>34.389741359247935</v>
      </c>
      <c r="G281" s="1787">
        <v>39.389741359247935</v>
      </c>
      <c r="H281" s="1789"/>
      <c r="I281" s="1787">
        <v>23.2</v>
      </c>
      <c r="J281" s="1787">
        <v>28.2</v>
      </c>
      <c r="K281" s="1787">
        <v>33.200000000000003</v>
      </c>
      <c r="M281" s="1791">
        <v>44866</v>
      </c>
      <c r="N281" s="1792">
        <v>24.978470768055107</v>
      </c>
      <c r="O281" s="1792">
        <v>29.978470768055107</v>
      </c>
      <c r="P281" s="1792">
        <v>34.978470768055104</v>
      </c>
      <c r="Q281" s="29"/>
      <c r="R281" s="1792">
        <v>17.483853076041306</v>
      </c>
      <c r="S281" s="1792">
        <v>22.483853076041306</v>
      </c>
      <c r="T281" s="1792">
        <v>27.483853076041306</v>
      </c>
      <c r="V281" s="500">
        <v>0</v>
      </c>
      <c r="W281" s="500">
        <v>0</v>
      </c>
      <c r="X281" s="500">
        <v>0</v>
      </c>
      <c r="Z281" s="1853">
        <f t="shared" si="5"/>
        <v>0.09</v>
      </c>
      <c r="AA281" s="1853">
        <f t="shared" si="6"/>
        <v>0.1</v>
      </c>
      <c r="AB281" s="1853">
        <f t="shared" si="7"/>
        <v>0.11</v>
      </c>
      <c r="AC281" s="29"/>
      <c r="AD281" s="1853">
        <f t="shared" si="8"/>
        <v>0.09</v>
      </c>
      <c r="AE281" s="1853">
        <f t="shared" si="3"/>
        <v>0.11</v>
      </c>
      <c r="AF281" s="1853">
        <f t="shared" si="4"/>
        <v>0.13</v>
      </c>
      <c r="AG281" s="29"/>
      <c r="AH281" s="1792">
        <v>-0.1</v>
      </c>
      <c r="AI281" s="1792">
        <v>3</v>
      </c>
      <c r="AJ281" s="1792">
        <v>0.1</v>
      </c>
      <c r="AK281" s="29"/>
      <c r="AL281" s="1792">
        <v>-0.01</v>
      </c>
      <c r="AM281" s="1792">
        <v>0.16</v>
      </c>
      <c r="AN281" s="1792">
        <v>0.01</v>
      </c>
      <c r="AO281" s="29"/>
      <c r="AP281" s="14">
        <v>91</v>
      </c>
      <c r="AQ281" s="1802">
        <v>0.35</v>
      </c>
      <c r="BQ281" s="325">
        <v>45017</v>
      </c>
      <c r="BR281" s="415">
        <v>4.1195000000000004</v>
      </c>
      <c r="BS281" s="415">
        <v>4.1245000000000003</v>
      </c>
      <c r="BT281" s="415">
        <v>-0.16600000000000001</v>
      </c>
      <c r="BU281" s="1722">
        <f t="shared" si="0"/>
        <v>0.14349999999999999</v>
      </c>
      <c r="BV281" s="1722">
        <f t="shared" si="1"/>
        <v>0.15</v>
      </c>
      <c r="BW281" s="1722">
        <f t="shared" si="2"/>
        <v>0.1585</v>
      </c>
      <c r="BX281" s="416">
        <v>-7.0000000000000007E-2</v>
      </c>
      <c r="BY281" s="416"/>
      <c r="BZ281" s="416">
        <v>7.0000000000000007E-2</v>
      </c>
      <c r="CA281" s="432">
        <v>0</v>
      </c>
      <c r="CB281" s="1618">
        <v>0</v>
      </c>
      <c r="CC281" s="445">
        <v>5.1979999999999995</v>
      </c>
      <c r="CD281" s="449">
        <v>0.1585</v>
      </c>
    </row>
    <row r="282" spans="1:82">
      <c r="A282" s="325">
        <v>45139</v>
      </c>
      <c r="B282" s="416">
        <v>7.275696832183301E-2</v>
      </c>
      <c r="C282" s="11"/>
      <c r="D282" s="1786">
        <v>44013</v>
      </c>
      <c r="E282" s="1787">
        <v>56.445506622148486</v>
      </c>
      <c r="F282" s="1787">
        <v>61.445506622148486</v>
      </c>
      <c r="G282" s="1787">
        <v>66.445506622148486</v>
      </c>
      <c r="H282" s="1789"/>
      <c r="I282" s="1787">
        <v>29.224193548387106</v>
      </c>
      <c r="J282" s="1787">
        <v>34.224193548387106</v>
      </c>
      <c r="K282" s="1787">
        <v>39.224193548387106</v>
      </c>
      <c r="M282" s="1791">
        <v>44896</v>
      </c>
      <c r="N282" s="1792">
        <v>26.978470768055104</v>
      </c>
      <c r="O282" s="1792">
        <v>31.978470768055104</v>
      </c>
      <c r="P282" s="1792">
        <v>36.978470768055104</v>
      </c>
      <c r="Q282" s="29"/>
      <c r="R282" s="1792">
        <v>18.983853076041306</v>
      </c>
      <c r="S282" s="1792">
        <v>23.983853076041306</v>
      </c>
      <c r="T282" s="1792">
        <v>28.983853076041306</v>
      </c>
      <c r="V282" s="500">
        <v>0</v>
      </c>
      <c r="W282" s="500">
        <v>0</v>
      </c>
      <c r="X282" s="500">
        <v>0</v>
      </c>
      <c r="Z282" s="1853">
        <f t="shared" si="5"/>
        <v>0.09</v>
      </c>
      <c r="AA282" s="1853">
        <f t="shared" si="6"/>
        <v>0.1</v>
      </c>
      <c r="AB282" s="1853">
        <f t="shared" si="7"/>
        <v>0.11</v>
      </c>
      <c r="AC282" s="29"/>
      <c r="AD282" s="1853">
        <f t="shared" si="8"/>
        <v>0.09</v>
      </c>
      <c r="AE282" s="1853">
        <f t="shared" si="3"/>
        <v>0.11</v>
      </c>
      <c r="AF282" s="1853">
        <f t="shared" si="4"/>
        <v>0.13</v>
      </c>
      <c r="AG282" s="29"/>
      <c r="AH282" s="1792">
        <v>-0.25</v>
      </c>
      <c r="AI282" s="1792">
        <v>0.6</v>
      </c>
      <c r="AJ282" s="1792">
        <v>0.25</v>
      </c>
      <c r="AK282" s="29"/>
      <c r="AL282" s="1792">
        <v>-0.01</v>
      </c>
      <c r="AM282" s="1792">
        <v>0.16</v>
      </c>
      <c r="AN282" s="1792">
        <v>0.01</v>
      </c>
      <c r="AO282" s="29"/>
      <c r="AP282" s="14">
        <v>91</v>
      </c>
      <c r="AQ282" s="1802">
        <v>0.35</v>
      </c>
      <c r="BQ282" s="1856">
        <v>45047</v>
      </c>
      <c r="BR282" s="415">
        <v>4.1535000000000002</v>
      </c>
      <c r="BS282" s="415">
        <v>4.1585000000000001</v>
      </c>
      <c r="BT282" s="415">
        <v>-0.15200000000000002</v>
      </c>
      <c r="BU282" s="1722">
        <f t="shared" si="0"/>
        <v>0.14349999999999999</v>
      </c>
      <c r="BV282" s="1722">
        <f t="shared" si="1"/>
        <v>0.15</v>
      </c>
      <c r="BW282" s="1722">
        <f t="shared" si="2"/>
        <v>0.1585</v>
      </c>
      <c r="BX282" s="416">
        <v>-7.0000000000000007E-2</v>
      </c>
      <c r="BY282" s="416"/>
      <c r="BZ282" s="416">
        <v>7.0000000000000007E-2</v>
      </c>
      <c r="CA282" s="432">
        <v>0</v>
      </c>
      <c r="CB282" s="1618">
        <v>0</v>
      </c>
      <c r="CC282" s="445">
        <v>5.2279999999999998</v>
      </c>
      <c r="CD282" s="449">
        <v>0.1585</v>
      </c>
    </row>
    <row r="283" spans="1:82">
      <c r="A283" s="325">
        <v>45170</v>
      </c>
      <c r="B283" s="416">
        <v>7.2752561583624004E-2</v>
      </c>
      <c r="C283" s="11"/>
      <c r="D283" s="1786">
        <v>44044</v>
      </c>
      <c r="E283" s="1787">
        <v>77.070506622148486</v>
      </c>
      <c r="F283" s="1787">
        <v>82.070506622148486</v>
      </c>
      <c r="G283" s="1787">
        <v>87.070506622148486</v>
      </c>
      <c r="H283" s="1789"/>
      <c r="I283" s="1787">
        <v>27.224193548387106</v>
      </c>
      <c r="J283" s="1787">
        <v>32.224193548387106</v>
      </c>
      <c r="K283" s="1787">
        <v>37.224193548387106</v>
      </c>
      <c r="M283" s="1791">
        <v>44927</v>
      </c>
      <c r="N283" s="1792">
        <v>25.686997152527336</v>
      </c>
      <c r="O283" s="1792">
        <v>30.686997152527336</v>
      </c>
      <c r="P283" s="1792">
        <v>35.68699715252734</v>
      </c>
      <c r="Q283" s="29"/>
      <c r="R283" s="1792">
        <v>18.015247864395491</v>
      </c>
      <c r="S283" s="1792">
        <v>23.015247864395491</v>
      </c>
      <c r="T283" s="1792">
        <v>28.015247864395491</v>
      </c>
      <c r="V283" s="500">
        <v>0</v>
      </c>
      <c r="W283" s="500">
        <v>0</v>
      </c>
      <c r="X283" s="500">
        <v>0</v>
      </c>
      <c r="Z283" s="1853">
        <f t="shared" si="5"/>
        <v>0.09</v>
      </c>
      <c r="AA283" s="1853">
        <f t="shared" si="6"/>
        <v>0.1</v>
      </c>
      <c r="AB283" s="1853">
        <f t="shared" si="7"/>
        <v>0.11</v>
      </c>
      <c r="AC283" s="29"/>
      <c r="AD283" s="1853">
        <f t="shared" si="8"/>
        <v>0.09</v>
      </c>
      <c r="AE283" s="1853">
        <f t="shared" si="3"/>
        <v>0.11</v>
      </c>
      <c r="AF283" s="1853">
        <f t="shared" si="4"/>
        <v>0.13</v>
      </c>
      <c r="AG283" s="29"/>
      <c r="AH283" s="1792">
        <v>-0.25</v>
      </c>
      <c r="AI283" s="1792">
        <v>0.6</v>
      </c>
      <c r="AJ283" s="1792">
        <v>0.25</v>
      </c>
      <c r="AK283" s="29"/>
      <c r="AL283" s="1792">
        <v>-0.01</v>
      </c>
      <c r="AM283" s="1792">
        <v>0.16</v>
      </c>
      <c r="AN283" s="1792">
        <v>0.01</v>
      </c>
      <c r="AO283" s="29"/>
      <c r="AP283" s="14">
        <v>92</v>
      </c>
      <c r="AQ283" s="1802">
        <v>0.35</v>
      </c>
      <c r="BQ283" s="1856">
        <v>45078</v>
      </c>
      <c r="BR283" s="415">
        <v>4.1805000000000003</v>
      </c>
      <c r="BS283" s="415">
        <v>4.1855000000000002</v>
      </c>
      <c r="BT283" s="415">
        <v>-0.14099999999999999</v>
      </c>
      <c r="BU283" s="1722">
        <f t="shared" ref="BU283:BU294" si="9">BU282</f>
        <v>0.14349999999999999</v>
      </c>
      <c r="BV283" s="1722">
        <f t="shared" ref="BV283:BV294" si="10">BV282</f>
        <v>0.15</v>
      </c>
      <c r="BW283" s="1722">
        <f t="shared" ref="BW283:BW294" si="11">BW282</f>
        <v>0.1585</v>
      </c>
      <c r="BX283" s="416">
        <v>-7.0000000000000007E-2</v>
      </c>
      <c r="BY283" s="416"/>
      <c r="BZ283" s="416">
        <v>7.0000000000000007E-2</v>
      </c>
      <c r="CA283" s="432">
        <v>0</v>
      </c>
      <c r="CB283" s="1618">
        <v>0</v>
      </c>
      <c r="CC283" s="445">
        <v>5.3460000000000001</v>
      </c>
      <c r="CD283" s="449">
        <v>0.1585</v>
      </c>
    </row>
    <row r="284" spans="1:82">
      <c r="A284" s="325">
        <v>45200</v>
      </c>
      <c r="B284" s="416">
        <v>7.2748296998266015E-2</v>
      </c>
      <c r="C284" s="11"/>
      <c r="D284" s="1786">
        <v>44075</v>
      </c>
      <c r="E284" s="1787">
        <v>61.070506622148486</v>
      </c>
      <c r="F284" s="1787">
        <v>66.070506622148486</v>
      </c>
      <c r="G284" s="1787">
        <v>71.070506622148486</v>
      </c>
      <c r="H284" s="1789"/>
      <c r="I284" s="1787">
        <v>27.637499999999999</v>
      </c>
      <c r="J284" s="1787">
        <v>32.637500000000003</v>
      </c>
      <c r="K284" s="1787">
        <v>37.637500000000003</v>
      </c>
      <c r="M284" s="1791">
        <v>44958</v>
      </c>
      <c r="N284" s="1792">
        <v>25.186997152527336</v>
      </c>
      <c r="O284" s="1792">
        <v>30.186997152527336</v>
      </c>
      <c r="P284" s="1792">
        <v>35.18699715252734</v>
      </c>
      <c r="Q284" s="29"/>
      <c r="R284" s="1792">
        <v>17.640247864395491</v>
      </c>
      <c r="S284" s="1792">
        <v>22.640247864395491</v>
      </c>
      <c r="T284" s="1792">
        <v>27.640247864395491</v>
      </c>
      <c r="V284" s="500">
        <v>0</v>
      </c>
      <c r="W284" s="500">
        <v>0</v>
      </c>
      <c r="X284" s="500">
        <v>0</v>
      </c>
      <c r="Z284" s="1853">
        <f t="shared" si="5"/>
        <v>0.09</v>
      </c>
      <c r="AA284" s="1853">
        <f t="shared" si="6"/>
        <v>0.1</v>
      </c>
      <c r="AB284" s="1853">
        <f t="shared" si="7"/>
        <v>0.11</v>
      </c>
      <c r="AC284" s="29"/>
      <c r="AD284" s="1853">
        <f t="shared" si="8"/>
        <v>0.09</v>
      </c>
      <c r="AE284" s="1853">
        <f t="shared" si="3"/>
        <v>0.11</v>
      </c>
      <c r="AF284" s="1853">
        <f t="shared" si="4"/>
        <v>0.13</v>
      </c>
      <c r="AG284" s="29"/>
      <c r="AH284" s="1792">
        <v>-0.25</v>
      </c>
      <c r="AI284" s="1792">
        <v>0.65</v>
      </c>
      <c r="AJ284" s="1792">
        <v>0.25</v>
      </c>
      <c r="AK284" s="29"/>
      <c r="AL284" s="1792">
        <v>-0.01</v>
      </c>
      <c r="AM284" s="1792">
        <v>0.16</v>
      </c>
      <c r="AN284" s="1792">
        <v>0.01</v>
      </c>
      <c r="AO284" s="29"/>
      <c r="AP284" s="14">
        <v>92</v>
      </c>
      <c r="AQ284" s="1802">
        <v>0.35</v>
      </c>
      <c r="BQ284" s="1856">
        <v>45108</v>
      </c>
      <c r="BR284" s="415">
        <v>4.1885000000000003</v>
      </c>
      <c r="BS284" s="415">
        <v>4.1935000000000002</v>
      </c>
      <c r="BT284" s="415">
        <v>-0.17699999999999999</v>
      </c>
      <c r="BU284" s="1722">
        <f t="shared" si="9"/>
        <v>0.14349999999999999</v>
      </c>
      <c r="BV284" s="1722">
        <f t="shared" si="10"/>
        <v>0.15</v>
      </c>
      <c r="BW284" s="1722">
        <f t="shared" si="11"/>
        <v>0.1585</v>
      </c>
      <c r="BX284" s="1722">
        <f>BX283</f>
        <v>-7.0000000000000007E-2</v>
      </c>
      <c r="BY284" s="1722"/>
      <c r="BZ284" s="1722">
        <f>BZ283</f>
        <v>7.0000000000000007E-2</v>
      </c>
      <c r="CA284" s="432"/>
      <c r="CB284" s="1618">
        <v>0</v>
      </c>
      <c r="CC284" s="445"/>
      <c r="CD284" s="449"/>
    </row>
    <row r="285" spans="1:82">
      <c r="A285" s="325">
        <v>45231</v>
      </c>
      <c r="B285" s="416">
        <v>7.2743890260069013E-2</v>
      </c>
      <c r="C285" s="11"/>
      <c r="D285" s="1786">
        <v>44105</v>
      </c>
      <c r="E285" s="1787">
        <v>32.57556281688489</v>
      </c>
      <c r="F285" s="1787">
        <v>37.57556281688489</v>
      </c>
      <c r="G285" s="1787">
        <v>42.57556281688489</v>
      </c>
      <c r="H285" s="1789"/>
      <c r="I285" s="1787">
        <v>27.151612903225811</v>
      </c>
      <c r="J285" s="1787">
        <v>32.151612903225811</v>
      </c>
      <c r="K285" s="1787">
        <v>37.151612903225811</v>
      </c>
      <c r="M285" s="1791">
        <v>44986</v>
      </c>
      <c r="N285" s="1792">
        <v>24.436997152527336</v>
      </c>
      <c r="O285" s="1792">
        <v>29.436997152527336</v>
      </c>
      <c r="P285" s="1792">
        <v>34.43699715252734</v>
      </c>
      <c r="Q285" s="29"/>
      <c r="R285" s="1792">
        <v>17.077747864395491</v>
      </c>
      <c r="S285" s="1792">
        <v>22.077747864395491</v>
      </c>
      <c r="T285" s="1792">
        <v>27.077747864395491</v>
      </c>
      <c r="V285" s="500">
        <v>0</v>
      </c>
      <c r="W285" s="500">
        <v>0</v>
      </c>
      <c r="X285" s="500">
        <v>0</v>
      </c>
      <c r="Z285" s="1853">
        <f t="shared" si="5"/>
        <v>0.09</v>
      </c>
      <c r="AA285" s="1853">
        <f t="shared" si="6"/>
        <v>0.1</v>
      </c>
      <c r="AB285" s="1853">
        <f t="shared" si="7"/>
        <v>0.11</v>
      </c>
      <c r="AC285" s="29"/>
      <c r="AD285" s="1853">
        <f t="shared" si="8"/>
        <v>0.09</v>
      </c>
      <c r="AE285" s="1853">
        <f t="shared" si="3"/>
        <v>0.11</v>
      </c>
      <c r="AF285" s="1853">
        <f t="shared" si="4"/>
        <v>0.13</v>
      </c>
      <c r="AG285" s="29"/>
      <c r="AH285" s="1792">
        <v>-0.1</v>
      </c>
      <c r="AI285" s="1792">
        <v>0.65</v>
      </c>
      <c r="AJ285" s="1792">
        <v>0.1</v>
      </c>
      <c r="AK285" s="29"/>
      <c r="AL285" s="1792">
        <v>-0.01</v>
      </c>
      <c r="AM285" s="1792">
        <v>0.16</v>
      </c>
      <c r="AN285" s="1792">
        <v>0.01</v>
      </c>
      <c r="AO285" s="29"/>
      <c r="AP285" s="14">
        <v>92</v>
      </c>
      <c r="AQ285" s="1802">
        <v>0.35</v>
      </c>
      <c r="BQ285" s="1856">
        <v>45139</v>
      </c>
      <c r="BR285" s="415">
        <v>4.1974999999999998</v>
      </c>
      <c r="BS285" s="415">
        <v>4.2024999999999997</v>
      </c>
      <c r="BT285" s="415">
        <v>-0.18100000000000002</v>
      </c>
      <c r="BU285" s="1722">
        <f t="shared" si="9"/>
        <v>0.14349999999999999</v>
      </c>
      <c r="BV285" s="1722">
        <f t="shared" si="10"/>
        <v>0.15</v>
      </c>
      <c r="BW285" s="1722">
        <f t="shared" si="11"/>
        <v>0.1585</v>
      </c>
      <c r="BX285" s="1722">
        <f t="shared" ref="BX285:BX294" si="12">BX284</f>
        <v>-7.0000000000000007E-2</v>
      </c>
      <c r="BY285" s="1722"/>
      <c r="BZ285" s="1722">
        <f t="shared" ref="BZ285:BZ294" si="13">BZ284</f>
        <v>7.0000000000000007E-2</v>
      </c>
      <c r="CA285" s="432"/>
      <c r="CB285" s="1618">
        <v>0</v>
      </c>
      <c r="CC285" s="445"/>
      <c r="CD285" s="449"/>
    </row>
    <row r="286" spans="1:82">
      <c r="A286" s="325">
        <v>45261</v>
      </c>
      <c r="B286" s="416">
        <v>7.2739625674723002E-2</v>
      </c>
      <c r="C286" s="11"/>
      <c r="D286" s="1786">
        <v>44136</v>
      </c>
      <c r="E286" s="1787">
        <v>24.825562816884901</v>
      </c>
      <c r="F286" s="1787">
        <v>29.825562816884901</v>
      </c>
      <c r="G286" s="1787">
        <v>34.825562816884897</v>
      </c>
      <c r="H286" s="1789"/>
      <c r="I286" s="1787">
        <v>28.491666666666674</v>
      </c>
      <c r="J286" s="1787">
        <v>33.491666666666674</v>
      </c>
      <c r="K286" s="1787">
        <v>38.491666666666674</v>
      </c>
      <c r="M286" s="1791">
        <v>45017</v>
      </c>
      <c r="N286" s="1792">
        <v>24.372377265293071</v>
      </c>
      <c r="O286" s="1792">
        <v>29.372377265293071</v>
      </c>
      <c r="P286" s="1792">
        <v>34.372377265293068</v>
      </c>
      <c r="Q286" s="29"/>
      <c r="R286" s="1792">
        <v>17.029282948969822</v>
      </c>
      <c r="S286" s="1792">
        <v>22.029282948969822</v>
      </c>
      <c r="T286" s="1792">
        <v>27.029282948969822</v>
      </c>
      <c r="V286" s="500">
        <v>0</v>
      </c>
      <c r="W286" s="500">
        <v>0</v>
      </c>
      <c r="X286" s="500">
        <v>0</v>
      </c>
      <c r="Z286" s="1853">
        <f t="shared" si="5"/>
        <v>0.09</v>
      </c>
      <c r="AA286" s="1853">
        <f t="shared" si="6"/>
        <v>0.1</v>
      </c>
      <c r="AB286" s="1853">
        <f t="shared" si="7"/>
        <v>0.11</v>
      </c>
      <c r="AC286" s="29"/>
      <c r="AD286" s="1853">
        <f t="shared" si="8"/>
        <v>0.09</v>
      </c>
      <c r="AE286" s="1853">
        <f t="shared" si="3"/>
        <v>0.11</v>
      </c>
      <c r="AF286" s="1853">
        <f t="shared" si="4"/>
        <v>0.13</v>
      </c>
      <c r="AG286" s="29"/>
      <c r="AH286" s="1792">
        <v>-0.1</v>
      </c>
      <c r="AI286" s="1792">
        <v>0.65</v>
      </c>
      <c r="AJ286" s="1792">
        <v>0.1</v>
      </c>
      <c r="AK286" s="29"/>
      <c r="AL286" s="1792">
        <v>-0.01</v>
      </c>
      <c r="AM286" s="1792">
        <v>0.16</v>
      </c>
      <c r="AN286" s="1792">
        <v>0.01</v>
      </c>
      <c r="AO286" s="29"/>
      <c r="AP286" s="14">
        <v>93</v>
      </c>
      <c r="AQ286" s="1802">
        <v>0.35</v>
      </c>
      <c r="BQ286" s="1856">
        <v>45170</v>
      </c>
      <c r="BR286" s="415">
        <v>4.1844999999999999</v>
      </c>
      <c r="BS286" s="415">
        <v>4.1894999999999998</v>
      </c>
      <c r="BT286" s="415">
        <v>-0.19</v>
      </c>
      <c r="BU286" s="1722">
        <f t="shared" si="9"/>
        <v>0.14349999999999999</v>
      </c>
      <c r="BV286" s="1722">
        <f t="shared" si="10"/>
        <v>0.15</v>
      </c>
      <c r="BW286" s="1722">
        <f t="shared" si="11"/>
        <v>0.1585</v>
      </c>
      <c r="BX286" s="1722">
        <f t="shared" si="12"/>
        <v>-7.0000000000000007E-2</v>
      </c>
      <c r="BY286" s="1722"/>
      <c r="BZ286" s="1722">
        <f t="shared" si="13"/>
        <v>7.0000000000000007E-2</v>
      </c>
      <c r="CA286" s="432"/>
      <c r="CB286" s="1618">
        <v>0</v>
      </c>
      <c r="CC286" s="445"/>
      <c r="CD286" s="449"/>
    </row>
    <row r="287" spans="1:82">
      <c r="A287" s="325">
        <v>45292</v>
      </c>
      <c r="B287" s="416">
        <v>7.2735218936538004E-2</v>
      </c>
      <c r="C287" s="11"/>
      <c r="D287" s="1786">
        <v>44166</v>
      </c>
      <c r="E287" s="1787">
        <v>26.825562816884897</v>
      </c>
      <c r="F287" s="1787">
        <v>31.825562816884897</v>
      </c>
      <c r="G287" s="1787">
        <v>36.825562816884897</v>
      </c>
      <c r="H287" s="1789"/>
      <c r="I287" s="1787">
        <v>27.796774193548401</v>
      </c>
      <c r="J287" s="1787">
        <v>32.796774193548401</v>
      </c>
      <c r="K287" s="1787">
        <v>37.796774193548401</v>
      </c>
      <c r="M287" s="1791">
        <v>45047</v>
      </c>
      <c r="N287" s="1792">
        <v>24.372377265293071</v>
      </c>
      <c r="O287" s="1792">
        <v>29.372377265293071</v>
      </c>
      <c r="P287" s="1792">
        <v>34.372377265293068</v>
      </c>
      <c r="Q287" s="29"/>
      <c r="R287" s="1792">
        <v>17.029282948969822</v>
      </c>
      <c r="S287" s="1792">
        <v>22.029282948969822</v>
      </c>
      <c r="T287" s="1792">
        <v>27.029282948969822</v>
      </c>
      <c r="V287" s="500">
        <v>0</v>
      </c>
      <c r="W287" s="500">
        <v>0</v>
      </c>
      <c r="X287" s="500">
        <v>0</v>
      </c>
      <c r="Z287" s="1853">
        <f t="shared" si="5"/>
        <v>0.09</v>
      </c>
      <c r="AA287" s="1853">
        <f t="shared" si="6"/>
        <v>0.1</v>
      </c>
      <c r="AB287" s="1853">
        <f t="shared" si="7"/>
        <v>0.11</v>
      </c>
      <c r="AC287" s="29"/>
      <c r="AD287" s="1853">
        <f t="shared" si="8"/>
        <v>0.09</v>
      </c>
      <c r="AE287" s="1853">
        <f t="shared" si="3"/>
        <v>0.11</v>
      </c>
      <c r="AF287" s="1853">
        <f t="shared" si="4"/>
        <v>0.13</v>
      </c>
      <c r="AG287" s="29"/>
      <c r="AH287" s="1792">
        <v>-0.1</v>
      </c>
      <c r="AI287" s="1792">
        <v>0.65</v>
      </c>
      <c r="AJ287" s="1792">
        <v>0.1</v>
      </c>
      <c r="AK287" s="29"/>
      <c r="AL287" s="1792">
        <v>-0.01</v>
      </c>
      <c r="AM287" s="1792">
        <v>0.16</v>
      </c>
      <c r="AN287" s="1792">
        <v>0.01</v>
      </c>
      <c r="AO287" s="29"/>
      <c r="AP287" s="14">
        <v>93</v>
      </c>
      <c r="AQ287" s="1802">
        <v>0.35</v>
      </c>
      <c r="BQ287" s="1856">
        <v>45200</v>
      </c>
      <c r="BR287" s="415">
        <v>4.1915000000000004</v>
      </c>
      <c r="BS287" s="415">
        <v>4.1965000000000003</v>
      </c>
      <c r="BT287" s="415">
        <v>-0.19500000000000001</v>
      </c>
      <c r="BU287" s="1722">
        <f t="shared" si="9"/>
        <v>0.14349999999999999</v>
      </c>
      <c r="BV287" s="1722">
        <f t="shared" si="10"/>
        <v>0.15</v>
      </c>
      <c r="BW287" s="1722">
        <f t="shared" si="11"/>
        <v>0.1585</v>
      </c>
      <c r="BX287" s="1722">
        <f t="shared" si="12"/>
        <v>-7.0000000000000007E-2</v>
      </c>
      <c r="BY287" s="1722"/>
      <c r="BZ287" s="1722">
        <f t="shared" si="13"/>
        <v>7.0000000000000007E-2</v>
      </c>
      <c r="CA287" s="432"/>
      <c r="CB287" s="1618">
        <v>0</v>
      </c>
      <c r="CC287" s="445"/>
      <c r="CD287" s="449"/>
    </row>
    <row r="288" spans="1:82">
      <c r="A288" s="325">
        <v>45323</v>
      </c>
      <c r="B288" s="416">
        <v>7.2730812198360001E-2</v>
      </c>
      <c r="C288" s="11"/>
      <c r="D288" s="1786">
        <v>44197</v>
      </c>
      <c r="E288" s="1787">
        <v>25.543152599274787</v>
      </c>
      <c r="F288" s="1787">
        <v>30.543152599274787</v>
      </c>
      <c r="G288" s="1787">
        <v>35.543152599274791</v>
      </c>
      <c r="H288" s="1789"/>
      <c r="I288" s="1787">
        <v>25.338119151052211</v>
      </c>
      <c r="J288" s="1787">
        <v>30.338119151052211</v>
      </c>
      <c r="K288" s="1787">
        <v>35.338119151052211</v>
      </c>
      <c r="M288" s="1791">
        <v>45078</v>
      </c>
      <c r="N288" s="1852">
        <f t="shared" ref="N288:P292" si="14">N276+N276-N264</f>
        <v>29.622377265293075</v>
      </c>
      <c r="O288" s="1852">
        <f t="shared" si="14"/>
        <v>34.622377265293075</v>
      </c>
      <c r="P288" s="1852">
        <f t="shared" si="14"/>
        <v>39.622377265293075</v>
      </c>
      <c r="R288" s="1852">
        <f t="shared" ref="R288:T292" si="15">R276+R276-R264</f>
        <v>20.966782948969822</v>
      </c>
      <c r="S288" s="1852">
        <f t="shared" si="15"/>
        <v>25.966782948969822</v>
      </c>
      <c r="T288" s="1852">
        <f t="shared" si="15"/>
        <v>30.966782948969822</v>
      </c>
      <c r="V288" s="1852">
        <f t="shared" ref="V288:X294" si="16">V276+V276-V264</f>
        <v>0</v>
      </c>
      <c r="W288" s="1852">
        <f t="shared" si="16"/>
        <v>0</v>
      </c>
      <c r="X288" s="1852">
        <f t="shared" si="16"/>
        <v>0</v>
      </c>
      <c r="Z288" s="1853">
        <f>Z287</f>
        <v>0.09</v>
      </c>
      <c r="AA288" s="1853">
        <f t="shared" si="6"/>
        <v>0.1</v>
      </c>
      <c r="AB288" s="1853">
        <f t="shared" si="7"/>
        <v>0.11</v>
      </c>
      <c r="AC288" s="29"/>
      <c r="AD288" s="1853">
        <f>AD287</f>
        <v>0.09</v>
      </c>
      <c r="AE288" s="1853">
        <f t="shared" si="3"/>
        <v>0.11</v>
      </c>
      <c r="AF288" s="1853">
        <f t="shared" si="4"/>
        <v>0.13</v>
      </c>
      <c r="AG288" s="29"/>
      <c r="AH288" s="1853">
        <f t="shared" ref="AH288:AJ292" si="17">AH276</f>
        <v>-0.35</v>
      </c>
      <c r="AI288" s="1853">
        <f t="shared" si="17"/>
        <v>0.65</v>
      </c>
      <c r="AJ288" s="1853">
        <f t="shared" si="17"/>
        <v>0.2</v>
      </c>
      <c r="AK288" s="1854"/>
      <c r="AL288" s="1853">
        <f t="shared" ref="AL288:AN294" si="18">AL276</f>
        <v>-0.01</v>
      </c>
      <c r="AM288" s="1853">
        <f t="shared" si="18"/>
        <v>0.16</v>
      </c>
      <c r="AN288" s="1853">
        <f t="shared" si="18"/>
        <v>0.01</v>
      </c>
      <c r="AO288" s="29"/>
      <c r="AP288" s="1854">
        <f>AP287</f>
        <v>93</v>
      </c>
      <c r="AQ288" s="1855">
        <f>AQ287</f>
        <v>0.35</v>
      </c>
      <c r="BQ288" s="1856">
        <v>45231</v>
      </c>
      <c r="BR288" s="415">
        <v>4.2244999999999999</v>
      </c>
      <c r="BS288" s="415">
        <v>4.2294999999999998</v>
      </c>
      <c r="BT288" s="415">
        <v>-0.20300000000000001</v>
      </c>
      <c r="BU288" s="1722">
        <f t="shared" si="9"/>
        <v>0.14349999999999999</v>
      </c>
      <c r="BV288" s="1722">
        <f t="shared" si="10"/>
        <v>0.15</v>
      </c>
      <c r="BW288" s="1722">
        <f t="shared" si="11"/>
        <v>0.1585</v>
      </c>
      <c r="BX288" s="1722">
        <f t="shared" si="12"/>
        <v>-7.0000000000000007E-2</v>
      </c>
      <c r="BY288" s="1722"/>
      <c r="BZ288" s="1722">
        <f t="shared" si="13"/>
        <v>7.0000000000000007E-2</v>
      </c>
      <c r="CA288" s="432"/>
      <c r="CB288" s="1618">
        <v>0</v>
      </c>
      <c r="CC288" s="445"/>
      <c r="CD288" s="449"/>
    </row>
    <row r="289" spans="1:82">
      <c r="A289" s="325"/>
      <c r="B289" s="416">
        <v>7.2726689765877012E-2</v>
      </c>
      <c r="C289" s="11"/>
      <c r="D289" s="1786">
        <v>44228</v>
      </c>
      <c r="E289" s="1787">
        <v>25.043152599274787</v>
      </c>
      <c r="F289" s="1787">
        <v>30.043152599274787</v>
      </c>
      <c r="G289" s="1787">
        <v>35.043152599274791</v>
      </c>
      <c r="H289" s="1789"/>
      <c r="I289" s="1787">
        <v>26.30714285714286</v>
      </c>
      <c r="J289" s="1787">
        <v>31.30714285714286</v>
      </c>
      <c r="K289" s="1787">
        <v>36.307142857142864</v>
      </c>
      <c r="M289" s="1791">
        <v>45108</v>
      </c>
      <c r="N289" s="1852">
        <f t="shared" si="14"/>
        <v>56.969593399980425</v>
      </c>
      <c r="O289" s="1852">
        <f t="shared" si="14"/>
        <v>61.969593399980425</v>
      </c>
      <c r="P289" s="1852">
        <f t="shared" si="14"/>
        <v>66.969593399980425</v>
      </c>
      <c r="R289" s="1852">
        <f t="shared" si="15"/>
        <v>41.477195049985326</v>
      </c>
      <c r="S289" s="1852">
        <f t="shared" si="15"/>
        <v>46.477195049985326</v>
      </c>
      <c r="T289" s="1852">
        <f t="shared" si="15"/>
        <v>51.477195049985326</v>
      </c>
      <c r="V289" s="1852">
        <f t="shared" si="16"/>
        <v>0</v>
      </c>
      <c r="W289" s="1852">
        <f t="shared" si="16"/>
        <v>0</v>
      </c>
      <c r="X289" s="1852">
        <f t="shared" si="16"/>
        <v>0</v>
      </c>
      <c r="Z289" s="1853">
        <f t="shared" ref="Z289:Z294" si="19">Z288</f>
        <v>0.09</v>
      </c>
      <c r="AA289" s="1853">
        <f t="shared" ref="AA289:AA294" si="20">AA288</f>
        <v>0.1</v>
      </c>
      <c r="AB289" s="1853">
        <f t="shared" ref="AB289:AB294" si="21">AB288</f>
        <v>0.11</v>
      </c>
      <c r="AC289" s="29"/>
      <c r="AD289" s="1853">
        <f t="shared" ref="AD289:AD294" si="22">AD288</f>
        <v>0.09</v>
      </c>
      <c r="AE289" s="1853">
        <f t="shared" ref="AE289:AE294" si="23">AE288</f>
        <v>0.11</v>
      </c>
      <c r="AF289" s="1853">
        <f t="shared" ref="AF289:AF294" si="24">AF288</f>
        <v>0.13</v>
      </c>
      <c r="AG289" s="29"/>
      <c r="AH289" s="1853">
        <f t="shared" si="17"/>
        <v>-0.35</v>
      </c>
      <c r="AI289" s="1853">
        <f t="shared" si="17"/>
        <v>0.65</v>
      </c>
      <c r="AJ289" s="1853">
        <f t="shared" si="17"/>
        <v>0.35</v>
      </c>
      <c r="AK289" s="1854"/>
      <c r="AL289" s="1853">
        <f t="shared" si="18"/>
        <v>-0.01</v>
      </c>
      <c r="AM289" s="1853">
        <f t="shared" si="18"/>
        <v>0.16</v>
      </c>
      <c r="AN289" s="1853">
        <f t="shared" si="18"/>
        <v>0.01</v>
      </c>
      <c r="AO289" s="29"/>
      <c r="AP289" s="1854">
        <f t="shared" ref="AP289:AP294" si="25">AP288</f>
        <v>93</v>
      </c>
      <c r="AQ289" s="1855">
        <f t="shared" ref="AQ289:AQ294" si="26">AQ288</f>
        <v>0.35</v>
      </c>
      <c r="BQ289" s="1856">
        <v>45261</v>
      </c>
      <c r="BR289" s="415">
        <v>4.2874999999999996</v>
      </c>
      <c r="BS289" s="415">
        <v>4.2925000000000004</v>
      </c>
      <c r="BT289" s="415">
        <v>-0.19800000000000001</v>
      </c>
      <c r="BU289" s="1722">
        <f t="shared" si="9"/>
        <v>0.14349999999999999</v>
      </c>
      <c r="BV289" s="1722">
        <f t="shared" si="10"/>
        <v>0.15</v>
      </c>
      <c r="BW289" s="1722">
        <f t="shared" si="11"/>
        <v>0.1585</v>
      </c>
      <c r="BX289" s="1722">
        <f t="shared" si="12"/>
        <v>-7.0000000000000007E-2</v>
      </c>
      <c r="BY289" s="1722"/>
      <c r="BZ289" s="1722">
        <f t="shared" si="13"/>
        <v>7.0000000000000007E-2</v>
      </c>
      <c r="CA289" s="432"/>
      <c r="CB289" s="1618">
        <v>0</v>
      </c>
      <c r="CC289" s="445"/>
      <c r="CD289" s="449"/>
    </row>
    <row r="290" spans="1:82">
      <c r="A290" s="325"/>
      <c r="B290" s="416">
        <v>7.2722283027712012E-2</v>
      </c>
      <c r="C290" s="11"/>
      <c r="D290" s="1786">
        <v>44256</v>
      </c>
      <c r="E290" s="1787">
        <v>24.793152599274787</v>
      </c>
      <c r="F290" s="1787">
        <v>29.793152599274787</v>
      </c>
      <c r="G290" s="1787">
        <v>34.793152599274791</v>
      </c>
      <c r="H290" s="1789"/>
      <c r="I290" s="1787">
        <v>26.587096774193554</v>
      </c>
      <c r="J290" s="1787">
        <v>31.587096774193554</v>
      </c>
      <c r="K290" s="1787">
        <v>36.587096774193554</v>
      </c>
      <c r="M290" s="1791">
        <v>45139</v>
      </c>
      <c r="N290" s="1852">
        <f t="shared" si="14"/>
        <v>77.594593399980425</v>
      </c>
      <c r="O290" s="1852">
        <f t="shared" si="14"/>
        <v>82.594593399980425</v>
      </c>
      <c r="P290" s="1852">
        <f t="shared" si="14"/>
        <v>87.594593399980425</v>
      </c>
      <c r="R290" s="1852">
        <f t="shared" si="15"/>
        <v>56.945945049985326</v>
      </c>
      <c r="S290" s="1852">
        <f t="shared" si="15"/>
        <v>61.945945049985326</v>
      </c>
      <c r="T290" s="1852">
        <f t="shared" si="15"/>
        <v>66.945945049985326</v>
      </c>
      <c r="V290" s="1852">
        <f t="shared" si="16"/>
        <v>0</v>
      </c>
      <c r="W290" s="1852">
        <f t="shared" si="16"/>
        <v>0</v>
      </c>
      <c r="X290" s="1852">
        <f t="shared" si="16"/>
        <v>0</v>
      </c>
      <c r="Z290" s="1853">
        <f t="shared" si="19"/>
        <v>0.09</v>
      </c>
      <c r="AA290" s="1853">
        <f t="shared" si="20"/>
        <v>0.1</v>
      </c>
      <c r="AB290" s="1853">
        <f t="shared" si="21"/>
        <v>0.11</v>
      </c>
      <c r="AC290" s="29"/>
      <c r="AD290" s="1853">
        <f t="shared" si="22"/>
        <v>0.09</v>
      </c>
      <c r="AE290" s="1853">
        <f t="shared" si="23"/>
        <v>0.11</v>
      </c>
      <c r="AF290" s="1853">
        <f t="shared" si="24"/>
        <v>0.13</v>
      </c>
      <c r="AG290" s="29"/>
      <c r="AH290" s="1853">
        <f t="shared" si="17"/>
        <v>-0.35</v>
      </c>
      <c r="AI290" s="1853">
        <f t="shared" si="17"/>
        <v>0.65</v>
      </c>
      <c r="AJ290" s="1853">
        <f t="shared" si="17"/>
        <v>0.35</v>
      </c>
      <c r="AK290" s="1854"/>
      <c r="AL290" s="1853">
        <f t="shared" si="18"/>
        <v>-0.01</v>
      </c>
      <c r="AM290" s="1853">
        <f t="shared" si="18"/>
        <v>0.16</v>
      </c>
      <c r="AN290" s="1853">
        <f t="shared" si="18"/>
        <v>0.01</v>
      </c>
      <c r="AO290" s="29"/>
      <c r="AP290" s="1854">
        <f t="shared" si="25"/>
        <v>93</v>
      </c>
      <c r="AQ290" s="1855">
        <f t="shared" si="26"/>
        <v>0.35</v>
      </c>
      <c r="BQ290" s="1856">
        <v>45292</v>
      </c>
      <c r="BR290" s="415">
        <v>4.3194999999999997</v>
      </c>
      <c r="BS290" s="415">
        <v>4.3244999999999996</v>
      </c>
      <c r="BT290" s="415">
        <v>-0.20499999999999999</v>
      </c>
      <c r="BU290" s="1722">
        <f t="shared" si="9"/>
        <v>0.14349999999999999</v>
      </c>
      <c r="BV290" s="1722">
        <f t="shared" si="10"/>
        <v>0.15</v>
      </c>
      <c r="BW290" s="1722">
        <f t="shared" si="11"/>
        <v>0.1585</v>
      </c>
      <c r="BX290" s="1722">
        <f t="shared" si="12"/>
        <v>-7.0000000000000007E-2</v>
      </c>
      <c r="BY290" s="1722"/>
      <c r="BZ290" s="1722">
        <f t="shared" si="13"/>
        <v>7.0000000000000007E-2</v>
      </c>
      <c r="CA290" s="432"/>
      <c r="CB290" s="1618">
        <v>0</v>
      </c>
      <c r="CC290" s="445"/>
      <c r="CD290" s="449"/>
    </row>
    <row r="291" spans="1:82">
      <c r="A291" s="325"/>
      <c r="B291" s="416">
        <v>7.2718018442396032E-2</v>
      </c>
      <c r="C291" s="11"/>
      <c r="D291" s="1786">
        <v>44287</v>
      </c>
      <c r="E291" s="1787">
        <v>24.967286661262978</v>
      </c>
      <c r="F291" s="1787">
        <v>29.967286661262978</v>
      </c>
      <c r="G291" s="1787">
        <v>34.967286661262975</v>
      </c>
      <c r="H291" s="1789"/>
      <c r="I291" s="1787">
        <v>24.387499999999999</v>
      </c>
      <c r="J291" s="1787">
        <v>29.387499999999999</v>
      </c>
      <c r="K291" s="1787">
        <v>34.387500000000003</v>
      </c>
      <c r="M291" s="1791">
        <v>45170</v>
      </c>
      <c r="N291" s="1852">
        <f t="shared" si="14"/>
        <v>61.594593399980425</v>
      </c>
      <c r="O291" s="1852">
        <f t="shared" si="14"/>
        <v>66.594593399980425</v>
      </c>
      <c r="P291" s="1852">
        <f t="shared" si="14"/>
        <v>71.594593399980425</v>
      </c>
      <c r="R291" s="1852">
        <f t="shared" si="15"/>
        <v>44.945945049985326</v>
      </c>
      <c r="S291" s="1852">
        <f t="shared" si="15"/>
        <v>49.945945049985326</v>
      </c>
      <c r="T291" s="1852">
        <f t="shared" si="15"/>
        <v>54.945945049985326</v>
      </c>
      <c r="V291" s="1852">
        <f t="shared" si="16"/>
        <v>0</v>
      </c>
      <c r="W291" s="1852">
        <f t="shared" si="16"/>
        <v>0</v>
      </c>
      <c r="X291" s="1852">
        <f t="shared" si="16"/>
        <v>0</v>
      </c>
      <c r="Z291" s="1853">
        <f t="shared" si="19"/>
        <v>0.09</v>
      </c>
      <c r="AA291" s="1853">
        <f t="shared" si="20"/>
        <v>0.1</v>
      </c>
      <c r="AB291" s="1853">
        <f t="shared" si="21"/>
        <v>0.11</v>
      </c>
      <c r="AC291" s="29"/>
      <c r="AD291" s="1853">
        <f t="shared" si="22"/>
        <v>0.09</v>
      </c>
      <c r="AE291" s="1853">
        <f t="shared" si="23"/>
        <v>0.11</v>
      </c>
      <c r="AF291" s="1853">
        <f t="shared" si="24"/>
        <v>0.13</v>
      </c>
      <c r="AG291" s="29"/>
      <c r="AH291" s="1853">
        <f t="shared" si="17"/>
        <v>-0.35</v>
      </c>
      <c r="AI291" s="1853">
        <f t="shared" si="17"/>
        <v>3</v>
      </c>
      <c r="AJ291" s="1853">
        <f t="shared" si="17"/>
        <v>0.2</v>
      </c>
      <c r="AK291" s="1854"/>
      <c r="AL291" s="1853">
        <f t="shared" si="18"/>
        <v>-0.01</v>
      </c>
      <c r="AM291" s="1853">
        <f t="shared" si="18"/>
        <v>0.16</v>
      </c>
      <c r="AN291" s="1853">
        <f t="shared" si="18"/>
        <v>0.01</v>
      </c>
      <c r="AO291" s="29"/>
      <c r="AP291" s="1854">
        <f t="shared" si="25"/>
        <v>93</v>
      </c>
      <c r="AQ291" s="1855">
        <f t="shared" si="26"/>
        <v>0.35</v>
      </c>
      <c r="BQ291" s="1856">
        <v>45323</v>
      </c>
      <c r="BR291" s="415">
        <v>4.2905000000000006</v>
      </c>
      <c r="BS291" s="415">
        <v>4.2955000000000005</v>
      </c>
      <c r="BT291" s="415">
        <v>-0.19900000000000004</v>
      </c>
      <c r="BU291" s="1722">
        <f t="shared" si="9"/>
        <v>0.14349999999999999</v>
      </c>
      <c r="BV291" s="1722">
        <f t="shared" si="10"/>
        <v>0.15</v>
      </c>
      <c r="BW291" s="1722">
        <f t="shared" si="11"/>
        <v>0.1585</v>
      </c>
      <c r="BX291" s="1722">
        <f t="shared" si="12"/>
        <v>-7.0000000000000007E-2</v>
      </c>
      <c r="BY291" s="1722"/>
      <c r="BZ291" s="1722">
        <f t="shared" si="13"/>
        <v>7.0000000000000007E-2</v>
      </c>
      <c r="CA291" s="432"/>
      <c r="CB291" s="1618">
        <v>0</v>
      </c>
      <c r="CC291" s="445"/>
      <c r="CD291" s="449"/>
    </row>
    <row r="292" spans="1:82">
      <c r="A292" s="325"/>
      <c r="B292" s="416">
        <v>7.2713611704243009E-2</v>
      </c>
      <c r="C292" s="11"/>
      <c r="D292" s="1786">
        <v>44317</v>
      </c>
      <c r="E292" s="1787">
        <v>24.217286661262978</v>
      </c>
      <c r="F292" s="1787">
        <v>29.217286661262978</v>
      </c>
      <c r="G292" s="1787">
        <v>34.217286661262975</v>
      </c>
      <c r="H292" s="1789"/>
      <c r="I292" s="1787">
        <v>24.445967741935487</v>
      </c>
      <c r="J292" s="1787">
        <v>29.445967741935487</v>
      </c>
      <c r="K292" s="1787">
        <v>34.44596774193549</v>
      </c>
      <c r="M292" s="1791">
        <v>45200</v>
      </c>
      <c r="N292" s="1852">
        <f t="shared" si="14"/>
        <v>32.8049247436402</v>
      </c>
      <c r="O292" s="1852">
        <f t="shared" si="14"/>
        <v>37.8049247436402</v>
      </c>
      <c r="P292" s="1852">
        <f t="shared" si="14"/>
        <v>42.8049247436402</v>
      </c>
      <c r="R292" s="1852">
        <f t="shared" si="15"/>
        <v>23.353693557730132</v>
      </c>
      <c r="S292" s="1852">
        <f t="shared" si="15"/>
        <v>28.353693557730132</v>
      </c>
      <c r="T292" s="1852">
        <f t="shared" si="15"/>
        <v>33.353693557730132</v>
      </c>
      <c r="V292" s="1852">
        <f t="shared" si="16"/>
        <v>0</v>
      </c>
      <c r="W292" s="1852">
        <f t="shared" si="16"/>
        <v>0</v>
      </c>
      <c r="X292" s="1852">
        <f t="shared" si="16"/>
        <v>0</v>
      </c>
      <c r="Z292" s="1853">
        <f t="shared" si="19"/>
        <v>0.09</v>
      </c>
      <c r="AA292" s="1853">
        <f t="shared" si="20"/>
        <v>0.1</v>
      </c>
      <c r="AB292" s="1853">
        <f t="shared" si="21"/>
        <v>0.11</v>
      </c>
      <c r="AC292" s="29"/>
      <c r="AD292" s="1853">
        <f t="shared" si="22"/>
        <v>0.09</v>
      </c>
      <c r="AE292" s="1853">
        <f t="shared" si="23"/>
        <v>0.11</v>
      </c>
      <c r="AF292" s="1853">
        <f t="shared" si="24"/>
        <v>0.13</v>
      </c>
      <c r="AG292" s="29"/>
      <c r="AH292" s="1853">
        <f t="shared" si="17"/>
        <v>-0.1</v>
      </c>
      <c r="AI292" s="1853">
        <f t="shared" si="17"/>
        <v>3</v>
      </c>
      <c r="AJ292" s="1853">
        <f t="shared" si="17"/>
        <v>0.1</v>
      </c>
      <c r="AK292" s="1854"/>
      <c r="AL292" s="1853">
        <f t="shared" si="18"/>
        <v>-0.01</v>
      </c>
      <c r="AM292" s="1853">
        <f t="shared" si="18"/>
        <v>0.16</v>
      </c>
      <c r="AN292" s="1853">
        <f t="shared" si="18"/>
        <v>0.01</v>
      </c>
      <c r="AO292" s="29"/>
      <c r="AP292" s="1854">
        <f t="shared" si="25"/>
        <v>93</v>
      </c>
      <c r="AQ292" s="1855">
        <f t="shared" si="26"/>
        <v>0.35</v>
      </c>
      <c r="BQ292" s="1856">
        <v>45352</v>
      </c>
      <c r="BR292" s="415">
        <v>4.2385000000000002</v>
      </c>
      <c r="BS292" s="415">
        <v>4.2435</v>
      </c>
      <c r="BT292" s="415">
        <v>-0.19</v>
      </c>
      <c r="BU292" s="1722">
        <f t="shared" si="9"/>
        <v>0.14349999999999999</v>
      </c>
      <c r="BV292" s="1722">
        <f t="shared" si="10"/>
        <v>0.15</v>
      </c>
      <c r="BW292" s="1722">
        <f t="shared" si="11"/>
        <v>0.1585</v>
      </c>
      <c r="BX292" s="1722">
        <f t="shared" si="12"/>
        <v>-7.0000000000000007E-2</v>
      </c>
      <c r="BY292" s="1722"/>
      <c r="BZ292" s="1722">
        <f t="shared" si="13"/>
        <v>7.0000000000000007E-2</v>
      </c>
      <c r="CA292" s="432"/>
      <c r="CB292" s="1618">
        <v>0</v>
      </c>
      <c r="CC292" s="445"/>
      <c r="CD292" s="449"/>
    </row>
    <row r="293" spans="1:82">
      <c r="A293" s="325"/>
      <c r="B293" s="416">
        <v>7.2709347118940018E-2</v>
      </c>
      <c r="C293" s="11"/>
      <c r="D293" s="1786">
        <v>44348</v>
      </c>
      <c r="E293" s="1787">
        <v>29.467286661262982</v>
      </c>
      <c r="F293" s="1787">
        <v>34.467286661262982</v>
      </c>
      <c r="G293" s="1787">
        <v>39.467286661262982</v>
      </c>
      <c r="H293" s="1789"/>
      <c r="I293" s="1787">
        <v>23.7</v>
      </c>
      <c r="J293" s="1787">
        <v>28.7</v>
      </c>
      <c r="K293" s="1787">
        <v>33.700000000000003</v>
      </c>
      <c r="M293" s="1791">
        <v>45231</v>
      </c>
      <c r="N293" s="1852">
        <f t="shared" ref="N293:P294" si="27">N281+N281-N269</f>
        <v>25.05492474364021</v>
      </c>
      <c r="O293" s="1852">
        <f t="shared" si="27"/>
        <v>30.05492474364021</v>
      </c>
      <c r="P293" s="1852">
        <f t="shared" si="27"/>
        <v>35.0549247436402</v>
      </c>
      <c r="R293" s="1852">
        <f t="shared" ref="R293:T294" si="28">R281+R281-R269</f>
        <v>17.541193557730132</v>
      </c>
      <c r="S293" s="1852">
        <f t="shared" si="28"/>
        <v>22.541193557730132</v>
      </c>
      <c r="T293" s="1852">
        <f t="shared" si="28"/>
        <v>27.541193557730132</v>
      </c>
      <c r="V293" s="1852">
        <f t="shared" si="16"/>
        <v>0</v>
      </c>
      <c r="W293" s="1852">
        <f t="shared" si="16"/>
        <v>0</v>
      </c>
      <c r="X293" s="1852">
        <f t="shared" si="16"/>
        <v>0</v>
      </c>
      <c r="Z293" s="1853">
        <f t="shared" si="19"/>
        <v>0.09</v>
      </c>
      <c r="AA293" s="1853">
        <f t="shared" si="20"/>
        <v>0.1</v>
      </c>
      <c r="AB293" s="1853">
        <f t="shared" si="21"/>
        <v>0.11</v>
      </c>
      <c r="AC293" s="29"/>
      <c r="AD293" s="1853">
        <f t="shared" si="22"/>
        <v>0.09</v>
      </c>
      <c r="AE293" s="1853">
        <f t="shared" si="23"/>
        <v>0.11</v>
      </c>
      <c r="AF293" s="1853">
        <f t="shared" si="24"/>
        <v>0.13</v>
      </c>
      <c r="AG293" s="29"/>
      <c r="AH293" s="1853">
        <f t="shared" ref="AH293:AJ294" si="29">AH281</f>
        <v>-0.1</v>
      </c>
      <c r="AI293" s="1853">
        <f t="shared" si="29"/>
        <v>3</v>
      </c>
      <c r="AJ293" s="1853">
        <f t="shared" si="29"/>
        <v>0.1</v>
      </c>
      <c r="AK293" s="1854"/>
      <c r="AL293" s="1853">
        <f t="shared" si="18"/>
        <v>-0.01</v>
      </c>
      <c r="AM293" s="1853">
        <f t="shared" si="18"/>
        <v>0.16</v>
      </c>
      <c r="AN293" s="1853">
        <f t="shared" si="18"/>
        <v>0.01</v>
      </c>
      <c r="AO293" s="29"/>
      <c r="AP293" s="1854">
        <f t="shared" si="25"/>
        <v>93</v>
      </c>
      <c r="AQ293" s="1855">
        <f t="shared" si="26"/>
        <v>0.35</v>
      </c>
      <c r="BQ293" s="1856">
        <v>45383</v>
      </c>
      <c r="BR293" s="415">
        <v>4.2015000000000002</v>
      </c>
      <c r="BS293" s="415">
        <v>4.2065000000000001</v>
      </c>
      <c r="BT293" s="415">
        <v>-0.18600000000000003</v>
      </c>
      <c r="BU293" s="1722">
        <f t="shared" si="9"/>
        <v>0.14349999999999999</v>
      </c>
      <c r="BV293" s="1722">
        <f t="shared" si="10"/>
        <v>0.15</v>
      </c>
      <c r="BW293" s="1722">
        <f t="shared" si="11"/>
        <v>0.1585</v>
      </c>
      <c r="BX293" s="1722">
        <f t="shared" si="12"/>
        <v>-7.0000000000000007E-2</v>
      </c>
      <c r="BY293" s="1722"/>
      <c r="BZ293" s="1722">
        <f t="shared" si="13"/>
        <v>7.0000000000000007E-2</v>
      </c>
      <c r="CA293" s="432"/>
      <c r="CB293" s="1618">
        <v>0</v>
      </c>
      <c r="CC293" s="445"/>
      <c r="CD293" s="449"/>
    </row>
    <row r="294" spans="1:82">
      <c r="A294" s="325"/>
      <c r="B294" s="416">
        <v>7.2704940380799013E-2</v>
      </c>
      <c r="C294" s="11"/>
      <c r="D294" s="1786">
        <v>44378</v>
      </c>
      <c r="E294" s="1787">
        <v>56.620202214759132</v>
      </c>
      <c r="F294" s="1787">
        <v>61.620202214759132</v>
      </c>
      <c r="G294" s="1787">
        <v>66.620202214759132</v>
      </c>
      <c r="H294" s="1789"/>
      <c r="I294" s="1787">
        <v>29.724193548387106</v>
      </c>
      <c r="J294" s="1787">
        <v>34.724193548387106</v>
      </c>
      <c r="K294" s="1787">
        <v>39.724193548387106</v>
      </c>
      <c r="M294" s="1791">
        <v>45261</v>
      </c>
      <c r="N294" s="1852">
        <f t="shared" si="27"/>
        <v>27.054924743640207</v>
      </c>
      <c r="O294" s="1852">
        <f t="shared" si="27"/>
        <v>32.054924743640207</v>
      </c>
      <c r="P294" s="1852">
        <f t="shared" si="27"/>
        <v>37.054924743640207</v>
      </c>
      <c r="R294" s="1852">
        <f t="shared" si="28"/>
        <v>19.041193557730132</v>
      </c>
      <c r="S294" s="1852">
        <f t="shared" si="28"/>
        <v>24.041193557730132</v>
      </c>
      <c r="T294" s="1852">
        <f t="shared" si="28"/>
        <v>29.041193557730132</v>
      </c>
      <c r="V294" s="1852">
        <f t="shared" si="16"/>
        <v>0</v>
      </c>
      <c r="W294" s="1852">
        <f t="shared" si="16"/>
        <v>0</v>
      </c>
      <c r="X294" s="1852">
        <f t="shared" si="16"/>
        <v>0</v>
      </c>
      <c r="Z294" s="1853">
        <f t="shared" si="19"/>
        <v>0.09</v>
      </c>
      <c r="AA294" s="1853">
        <f t="shared" si="20"/>
        <v>0.1</v>
      </c>
      <c r="AB294" s="1853">
        <f t="shared" si="21"/>
        <v>0.11</v>
      </c>
      <c r="AC294" s="29"/>
      <c r="AD294" s="1853">
        <f t="shared" si="22"/>
        <v>0.09</v>
      </c>
      <c r="AE294" s="1853">
        <f t="shared" si="23"/>
        <v>0.11</v>
      </c>
      <c r="AF294" s="1853">
        <f t="shared" si="24"/>
        <v>0.13</v>
      </c>
      <c r="AG294" s="29"/>
      <c r="AH294" s="1853">
        <f t="shared" si="29"/>
        <v>-0.25</v>
      </c>
      <c r="AI294" s="1853">
        <f t="shared" si="29"/>
        <v>0.6</v>
      </c>
      <c r="AJ294" s="1853">
        <f t="shared" si="29"/>
        <v>0.25</v>
      </c>
      <c r="AK294" s="1854"/>
      <c r="AL294" s="1853">
        <f t="shared" si="18"/>
        <v>-0.01</v>
      </c>
      <c r="AM294" s="1853">
        <f t="shared" si="18"/>
        <v>0.16</v>
      </c>
      <c r="AN294" s="1853">
        <f t="shared" si="18"/>
        <v>0.01</v>
      </c>
      <c r="AO294" s="29"/>
      <c r="AP294" s="1854">
        <f t="shared" si="25"/>
        <v>93</v>
      </c>
      <c r="AQ294" s="1855">
        <f t="shared" si="26"/>
        <v>0.35</v>
      </c>
      <c r="BQ294" s="1856">
        <v>45413</v>
      </c>
      <c r="BR294" s="415">
        <v>4.2365000000000004</v>
      </c>
      <c r="BS294" s="415">
        <v>4.2415000000000003</v>
      </c>
      <c r="BT294" s="415">
        <v>-0.17199999999999999</v>
      </c>
      <c r="BU294" s="1722">
        <f t="shared" si="9"/>
        <v>0.14349999999999999</v>
      </c>
      <c r="BV294" s="1722">
        <f t="shared" si="10"/>
        <v>0.15</v>
      </c>
      <c r="BW294" s="1722">
        <f t="shared" si="11"/>
        <v>0.1585</v>
      </c>
      <c r="BX294" s="1722">
        <f t="shared" si="12"/>
        <v>-7.0000000000000007E-2</v>
      </c>
      <c r="BY294" s="1722"/>
      <c r="BZ294" s="1722">
        <f t="shared" si="13"/>
        <v>7.0000000000000007E-2</v>
      </c>
      <c r="CA294" s="432"/>
      <c r="CB294" s="1618">
        <v>0</v>
      </c>
      <c r="CC294" s="445"/>
      <c r="CD294" s="449"/>
    </row>
    <row r="295" spans="1:82">
      <c r="A295" s="325"/>
      <c r="B295" s="416">
        <v>7.2700533642665002E-2</v>
      </c>
      <c r="C295" s="11"/>
      <c r="D295" s="1786">
        <v>44409</v>
      </c>
      <c r="E295" s="1787">
        <v>77.245202214759132</v>
      </c>
      <c r="F295" s="1787">
        <v>82.245202214759132</v>
      </c>
      <c r="G295" s="1787">
        <v>87.245202214759132</v>
      </c>
      <c r="H295" s="1789"/>
      <c r="I295" s="1787">
        <v>27.724193548387106</v>
      </c>
      <c r="J295" s="1787">
        <v>32.724193548387106</v>
      </c>
      <c r="K295" s="1787">
        <v>37.724193548387106</v>
      </c>
      <c r="M295" s="1791">
        <v>45292</v>
      </c>
      <c r="N295" s="1852">
        <f t="shared" ref="N295:P304" si="30">N283+N283-N271</f>
        <v>25.758919429153611</v>
      </c>
      <c r="O295" s="1852">
        <f t="shared" si="30"/>
        <v>30.758919429153611</v>
      </c>
      <c r="P295" s="1852">
        <f t="shared" si="30"/>
        <v>35.758919429153622</v>
      </c>
      <c r="R295" s="1852">
        <f t="shared" ref="R295:T304" si="31">R283+R283-R271</f>
        <v>18.069189571865195</v>
      </c>
      <c r="S295" s="1852">
        <f t="shared" si="31"/>
        <v>23.069189571865195</v>
      </c>
      <c r="T295" s="1852">
        <f t="shared" si="31"/>
        <v>28.069189571865195</v>
      </c>
      <c r="V295" s="1852">
        <f t="shared" ref="V295:X304" si="32">V283+V283-V271</f>
        <v>0</v>
      </c>
      <c r="W295" s="1852">
        <f t="shared" si="32"/>
        <v>0</v>
      </c>
      <c r="X295" s="1852">
        <f t="shared" si="32"/>
        <v>0</v>
      </c>
      <c r="Z295" s="1853">
        <f t="shared" ref="Z295:Z305" si="33">Z294</f>
        <v>0.09</v>
      </c>
      <c r="AA295" s="1853">
        <f t="shared" ref="AA295:AA305" si="34">AA294</f>
        <v>0.1</v>
      </c>
      <c r="AB295" s="1853">
        <f t="shared" ref="AB295:AB305" si="35">AB294</f>
        <v>0.11</v>
      </c>
      <c r="AC295" s="29"/>
      <c r="AD295" s="1853">
        <f t="shared" ref="AD295:AD305" si="36">AD294</f>
        <v>0.09</v>
      </c>
      <c r="AE295" s="1853">
        <f t="shared" ref="AE295:AE305" si="37">AE294</f>
        <v>0.11</v>
      </c>
      <c r="AF295" s="1853">
        <f t="shared" ref="AF295:AF305" si="38">AF294</f>
        <v>0.13</v>
      </c>
      <c r="AG295" s="29"/>
      <c r="AH295" s="1853">
        <f t="shared" ref="AH295:AJ304" si="39">AH283</f>
        <v>-0.25</v>
      </c>
      <c r="AI295" s="1853">
        <f t="shared" si="39"/>
        <v>0.6</v>
      </c>
      <c r="AJ295" s="1853">
        <f t="shared" si="39"/>
        <v>0.25</v>
      </c>
      <c r="AK295" s="1854"/>
      <c r="AL295" s="1853">
        <f t="shared" ref="AL295:AN304" si="40">AL283</f>
        <v>-0.01</v>
      </c>
      <c r="AM295" s="1853">
        <f t="shared" si="40"/>
        <v>0.16</v>
      </c>
      <c r="AN295" s="1853">
        <f t="shared" si="40"/>
        <v>0.01</v>
      </c>
      <c r="AO295" s="29"/>
      <c r="AP295" s="1854">
        <f t="shared" ref="AP295:AP305" si="41">AP294</f>
        <v>93</v>
      </c>
      <c r="AQ295" s="1855">
        <f t="shared" ref="AQ295:AQ305" si="42">AQ294</f>
        <v>0.35</v>
      </c>
      <c r="BQ295" s="1856">
        <v>45444</v>
      </c>
      <c r="BR295" s="415">
        <f>BR283+BR283-BR271</f>
        <v>4.2645</v>
      </c>
      <c r="BS295" s="415"/>
      <c r="BT295" s="415"/>
      <c r="BU295" s="1722">
        <f t="shared" ref="BU295:BU301" si="43">BU294</f>
        <v>0.14349999999999999</v>
      </c>
      <c r="BV295" s="1722">
        <f t="shared" ref="BV295:BV301" si="44">BV294</f>
        <v>0.15</v>
      </c>
      <c r="BW295" s="1722">
        <f t="shared" ref="BW295:BW301" si="45">BW294</f>
        <v>0.1585</v>
      </c>
      <c r="BX295" s="1722">
        <f t="shared" ref="BX295:BX301" si="46">BX294</f>
        <v>-7.0000000000000007E-2</v>
      </c>
      <c r="BY295" s="1722"/>
      <c r="BZ295" s="1722">
        <f t="shared" ref="BZ295:BZ301" si="47">BZ294</f>
        <v>7.0000000000000007E-2</v>
      </c>
      <c r="CA295" s="432"/>
      <c r="CB295" s="415"/>
      <c r="CC295" s="445"/>
      <c r="CD295" s="449"/>
    </row>
    <row r="296" spans="1:82">
      <c r="A296" s="325"/>
      <c r="B296" s="416">
        <v>7.2696269057380011E-2</v>
      </c>
      <c r="C296" s="11"/>
      <c r="D296" s="1786">
        <v>44440</v>
      </c>
      <c r="E296" s="1787">
        <v>61.245202214759132</v>
      </c>
      <c r="F296" s="1787">
        <v>66.245202214759132</v>
      </c>
      <c r="G296" s="1787">
        <v>71.245202214759132</v>
      </c>
      <c r="H296" s="1789"/>
      <c r="I296" s="1787">
        <v>28.137499999999999</v>
      </c>
      <c r="J296" s="1787">
        <v>33.137500000000003</v>
      </c>
      <c r="K296" s="1787">
        <v>38.137500000000003</v>
      </c>
      <c r="M296" s="1791">
        <v>45323</v>
      </c>
      <c r="N296" s="1852">
        <f t="shared" si="30"/>
        <v>25.258919429153611</v>
      </c>
      <c r="O296" s="1852">
        <f t="shared" si="30"/>
        <v>30.258919429153611</v>
      </c>
      <c r="P296" s="1852">
        <f t="shared" si="30"/>
        <v>35.258919429153622</v>
      </c>
      <c r="R296" s="1852">
        <f t="shared" si="31"/>
        <v>17.694189571865195</v>
      </c>
      <c r="S296" s="1852">
        <f t="shared" si="31"/>
        <v>22.694189571865195</v>
      </c>
      <c r="T296" s="1852">
        <f t="shared" si="31"/>
        <v>27.694189571865195</v>
      </c>
      <c r="V296" s="1852">
        <f t="shared" si="32"/>
        <v>0</v>
      </c>
      <c r="W296" s="1852">
        <f t="shared" si="32"/>
        <v>0</v>
      </c>
      <c r="X296" s="1852">
        <f t="shared" si="32"/>
        <v>0</v>
      </c>
      <c r="Z296" s="1853">
        <f t="shared" si="33"/>
        <v>0.09</v>
      </c>
      <c r="AA296" s="1853">
        <f t="shared" si="34"/>
        <v>0.1</v>
      </c>
      <c r="AB296" s="1853">
        <f t="shared" si="35"/>
        <v>0.11</v>
      </c>
      <c r="AC296" s="29"/>
      <c r="AD296" s="1853">
        <f t="shared" si="36"/>
        <v>0.09</v>
      </c>
      <c r="AE296" s="1853">
        <f t="shared" si="37"/>
        <v>0.11</v>
      </c>
      <c r="AF296" s="1853">
        <f t="shared" si="38"/>
        <v>0.13</v>
      </c>
      <c r="AG296" s="29"/>
      <c r="AH296" s="1853">
        <f t="shared" si="39"/>
        <v>-0.25</v>
      </c>
      <c r="AI296" s="1853">
        <f t="shared" si="39"/>
        <v>0.65</v>
      </c>
      <c r="AJ296" s="1853">
        <f t="shared" si="39"/>
        <v>0.25</v>
      </c>
      <c r="AK296" s="1854"/>
      <c r="AL296" s="1853">
        <f t="shared" si="40"/>
        <v>-0.01</v>
      </c>
      <c r="AM296" s="1853">
        <f t="shared" si="40"/>
        <v>0.16</v>
      </c>
      <c r="AN296" s="1853">
        <f t="shared" si="40"/>
        <v>0.01</v>
      </c>
      <c r="AO296" s="29"/>
      <c r="AP296" s="1854">
        <f t="shared" si="41"/>
        <v>93</v>
      </c>
      <c r="AQ296" s="1855">
        <f t="shared" si="42"/>
        <v>0.35</v>
      </c>
      <c r="BQ296" s="1856">
        <v>45474</v>
      </c>
      <c r="BR296" s="415"/>
      <c r="BS296" s="415"/>
      <c r="BT296" s="415"/>
      <c r="BU296" s="1722">
        <f t="shared" si="43"/>
        <v>0.14349999999999999</v>
      </c>
      <c r="BV296" s="1722">
        <f t="shared" si="44"/>
        <v>0.15</v>
      </c>
      <c r="BW296" s="1722">
        <f t="shared" si="45"/>
        <v>0.1585</v>
      </c>
      <c r="BX296" s="1722">
        <f t="shared" si="46"/>
        <v>-7.0000000000000007E-2</v>
      </c>
      <c r="BY296" s="1722"/>
      <c r="BZ296" s="1722">
        <f t="shared" si="47"/>
        <v>7.0000000000000007E-2</v>
      </c>
      <c r="CA296" s="432"/>
      <c r="CB296" s="415"/>
      <c r="CC296" s="445"/>
      <c r="CD296" s="449"/>
    </row>
    <row r="297" spans="1:82">
      <c r="A297" s="325"/>
      <c r="B297" s="416">
        <v>7.2691862319259018E-2</v>
      </c>
      <c r="C297" s="11"/>
      <c r="D297" s="1786">
        <v>44470</v>
      </c>
      <c r="E297" s="1787">
        <v>32.652016792469993</v>
      </c>
      <c r="F297" s="1787">
        <v>37.652016792469993</v>
      </c>
      <c r="G297" s="1787">
        <v>42.652016792469993</v>
      </c>
      <c r="H297" s="1789"/>
      <c r="I297" s="1787">
        <v>27.651612903225811</v>
      </c>
      <c r="J297" s="1787">
        <v>32.651612903225811</v>
      </c>
      <c r="K297" s="1787">
        <v>37.651612903225811</v>
      </c>
      <c r="M297" s="1791">
        <v>45352</v>
      </c>
      <c r="N297" s="1852">
        <f t="shared" si="30"/>
        <v>24.508919429153611</v>
      </c>
      <c r="O297" s="1852">
        <f t="shared" si="30"/>
        <v>29.508919429153611</v>
      </c>
      <c r="P297" s="1852">
        <f t="shared" si="30"/>
        <v>34.508919429153622</v>
      </c>
      <c r="R297" s="1852">
        <f t="shared" si="31"/>
        <v>17.131689571865195</v>
      </c>
      <c r="S297" s="1852">
        <f t="shared" si="31"/>
        <v>22.131689571865195</v>
      </c>
      <c r="T297" s="1852">
        <f t="shared" si="31"/>
        <v>27.131689571865195</v>
      </c>
      <c r="V297" s="1852">
        <f t="shared" si="32"/>
        <v>0</v>
      </c>
      <c r="W297" s="1852">
        <f t="shared" si="32"/>
        <v>0</v>
      </c>
      <c r="X297" s="1852">
        <f t="shared" si="32"/>
        <v>0</v>
      </c>
      <c r="Z297" s="1853">
        <f t="shared" si="33"/>
        <v>0.09</v>
      </c>
      <c r="AA297" s="1853">
        <f t="shared" si="34"/>
        <v>0.1</v>
      </c>
      <c r="AB297" s="1853">
        <f t="shared" si="35"/>
        <v>0.11</v>
      </c>
      <c r="AC297" s="29"/>
      <c r="AD297" s="1853">
        <f t="shared" si="36"/>
        <v>0.09</v>
      </c>
      <c r="AE297" s="1853">
        <f t="shared" si="37"/>
        <v>0.11</v>
      </c>
      <c r="AF297" s="1853">
        <f t="shared" si="38"/>
        <v>0.13</v>
      </c>
      <c r="AG297" s="29"/>
      <c r="AH297" s="1853">
        <f t="shared" si="39"/>
        <v>-0.1</v>
      </c>
      <c r="AI297" s="1853">
        <f t="shared" si="39"/>
        <v>0.65</v>
      </c>
      <c r="AJ297" s="1853">
        <f t="shared" si="39"/>
        <v>0.1</v>
      </c>
      <c r="AK297" s="1854"/>
      <c r="AL297" s="1853">
        <f t="shared" si="40"/>
        <v>-0.01</v>
      </c>
      <c r="AM297" s="1853">
        <f t="shared" si="40"/>
        <v>0.16</v>
      </c>
      <c r="AN297" s="1853">
        <f t="shared" si="40"/>
        <v>0.01</v>
      </c>
      <c r="AO297" s="29"/>
      <c r="AP297" s="1854">
        <f t="shared" si="41"/>
        <v>93</v>
      </c>
      <c r="AQ297" s="1855">
        <f t="shared" si="42"/>
        <v>0.35</v>
      </c>
      <c r="BQ297" s="1856">
        <v>45505</v>
      </c>
      <c r="BR297" s="415"/>
      <c r="BS297" s="415"/>
      <c r="BT297" s="415"/>
      <c r="BU297" s="1722">
        <f t="shared" si="43"/>
        <v>0.14349999999999999</v>
      </c>
      <c r="BV297" s="1722">
        <f t="shared" si="44"/>
        <v>0.15</v>
      </c>
      <c r="BW297" s="1722">
        <f t="shared" si="45"/>
        <v>0.1585</v>
      </c>
      <c r="BX297" s="1722">
        <f t="shared" si="46"/>
        <v>-7.0000000000000007E-2</v>
      </c>
      <c r="BY297" s="1722"/>
      <c r="BZ297" s="1722">
        <f t="shared" si="47"/>
        <v>7.0000000000000007E-2</v>
      </c>
      <c r="CA297" s="432"/>
      <c r="CB297" s="415"/>
      <c r="CC297" s="445"/>
      <c r="CD297" s="449"/>
    </row>
    <row r="298" spans="1:82">
      <c r="A298" s="325"/>
      <c r="B298" s="416">
        <v>7.2687597733987003E-2</v>
      </c>
      <c r="C298" s="11"/>
      <c r="D298" s="1786">
        <v>44501</v>
      </c>
      <c r="E298" s="1787">
        <v>24.902016792470004</v>
      </c>
      <c r="F298" s="1787">
        <v>29.902016792470004</v>
      </c>
      <c r="G298" s="1787">
        <v>34.902016792470008</v>
      </c>
      <c r="H298" s="1789"/>
      <c r="I298" s="1787">
        <v>28.991666666666674</v>
      </c>
      <c r="J298" s="1787">
        <v>33.991666666666674</v>
      </c>
      <c r="K298" s="1787">
        <v>38.991666666666674</v>
      </c>
      <c r="M298" s="1791">
        <v>45383</v>
      </c>
      <c r="N298" s="1852">
        <f t="shared" si="30"/>
        <v>24.449922567308118</v>
      </c>
      <c r="O298" s="1852">
        <f t="shared" si="30"/>
        <v>29.449922567308118</v>
      </c>
      <c r="P298" s="1852">
        <f t="shared" si="30"/>
        <v>34.449922567308107</v>
      </c>
      <c r="R298" s="1852">
        <f t="shared" si="31"/>
        <v>17.087441925481109</v>
      </c>
      <c r="S298" s="1852">
        <f t="shared" si="31"/>
        <v>22.087441925481109</v>
      </c>
      <c r="T298" s="1852">
        <f t="shared" si="31"/>
        <v>27.087441925481109</v>
      </c>
      <c r="V298" s="1852">
        <f t="shared" si="32"/>
        <v>0</v>
      </c>
      <c r="W298" s="1852">
        <f t="shared" si="32"/>
        <v>0</v>
      </c>
      <c r="X298" s="1852">
        <f t="shared" si="32"/>
        <v>0</v>
      </c>
      <c r="Z298" s="1853">
        <f t="shared" si="33"/>
        <v>0.09</v>
      </c>
      <c r="AA298" s="1853">
        <f t="shared" si="34"/>
        <v>0.1</v>
      </c>
      <c r="AB298" s="1853">
        <f t="shared" si="35"/>
        <v>0.11</v>
      </c>
      <c r="AC298" s="29"/>
      <c r="AD298" s="1853">
        <f t="shared" si="36"/>
        <v>0.09</v>
      </c>
      <c r="AE298" s="1853">
        <f t="shared" si="37"/>
        <v>0.11</v>
      </c>
      <c r="AF298" s="1853">
        <f t="shared" si="38"/>
        <v>0.13</v>
      </c>
      <c r="AG298" s="29"/>
      <c r="AH298" s="1853">
        <f t="shared" si="39"/>
        <v>-0.1</v>
      </c>
      <c r="AI298" s="1853">
        <f t="shared" si="39"/>
        <v>0.65</v>
      </c>
      <c r="AJ298" s="1853">
        <f t="shared" si="39"/>
        <v>0.1</v>
      </c>
      <c r="AK298" s="1854"/>
      <c r="AL298" s="1853">
        <f t="shared" si="40"/>
        <v>-0.01</v>
      </c>
      <c r="AM298" s="1853">
        <f t="shared" si="40"/>
        <v>0.16</v>
      </c>
      <c r="AN298" s="1853">
        <f t="shared" si="40"/>
        <v>0.01</v>
      </c>
      <c r="AO298" s="29"/>
      <c r="AP298" s="1854">
        <f t="shared" si="41"/>
        <v>93</v>
      </c>
      <c r="AQ298" s="1855">
        <f t="shared" si="42"/>
        <v>0.35</v>
      </c>
      <c r="BQ298" s="1856">
        <v>45536</v>
      </c>
      <c r="BR298" s="415"/>
      <c r="BS298" s="415"/>
      <c r="BT298" s="415"/>
      <c r="BU298" s="1722">
        <f t="shared" si="43"/>
        <v>0.14349999999999999</v>
      </c>
      <c r="BV298" s="1722">
        <f t="shared" si="44"/>
        <v>0.15</v>
      </c>
      <c r="BW298" s="1722">
        <f t="shared" si="45"/>
        <v>0.1585</v>
      </c>
      <c r="BX298" s="1722">
        <f t="shared" si="46"/>
        <v>-7.0000000000000007E-2</v>
      </c>
      <c r="BY298" s="1722"/>
      <c r="BZ298" s="1722">
        <f t="shared" si="47"/>
        <v>7.0000000000000007E-2</v>
      </c>
      <c r="CA298" s="432"/>
      <c r="CB298" s="415"/>
      <c r="CC298" s="445"/>
      <c r="CD298" s="449"/>
    </row>
    <row r="299" spans="1:82">
      <c r="A299" s="325"/>
      <c r="B299" s="416">
        <v>7.2683190995878028E-2</v>
      </c>
      <c r="C299" s="11"/>
      <c r="D299" s="1786">
        <v>44531</v>
      </c>
      <c r="E299" s="1787">
        <v>26.90201679247</v>
      </c>
      <c r="F299" s="1787">
        <v>31.90201679247</v>
      </c>
      <c r="G299" s="1787">
        <v>36.90201679247</v>
      </c>
      <c r="H299" s="1789"/>
      <c r="I299" s="1787">
        <v>28.296774193548401</v>
      </c>
      <c r="J299" s="1787">
        <v>33.296774193548401</v>
      </c>
      <c r="K299" s="1787">
        <v>38.296774193548401</v>
      </c>
      <c r="M299" s="1791">
        <v>45413</v>
      </c>
      <c r="N299" s="1852">
        <f t="shared" si="30"/>
        <v>24.449922567308118</v>
      </c>
      <c r="O299" s="1852">
        <f t="shared" si="30"/>
        <v>29.449922567308118</v>
      </c>
      <c r="P299" s="1852">
        <f t="shared" si="30"/>
        <v>34.449922567308107</v>
      </c>
      <c r="R299" s="1852">
        <f t="shared" si="31"/>
        <v>17.087441925481109</v>
      </c>
      <c r="S299" s="1852">
        <f t="shared" si="31"/>
        <v>22.087441925481109</v>
      </c>
      <c r="T299" s="1852">
        <f t="shared" si="31"/>
        <v>27.087441925481109</v>
      </c>
      <c r="V299" s="1852">
        <f t="shared" si="32"/>
        <v>0</v>
      </c>
      <c r="W299" s="1852">
        <f t="shared" si="32"/>
        <v>0</v>
      </c>
      <c r="X299" s="1852">
        <f t="shared" si="32"/>
        <v>0</v>
      </c>
      <c r="Z299" s="1853">
        <f t="shared" si="33"/>
        <v>0.09</v>
      </c>
      <c r="AA299" s="1853">
        <f t="shared" si="34"/>
        <v>0.1</v>
      </c>
      <c r="AB299" s="1853">
        <f t="shared" si="35"/>
        <v>0.11</v>
      </c>
      <c r="AC299" s="29"/>
      <c r="AD299" s="1853">
        <f t="shared" si="36"/>
        <v>0.09</v>
      </c>
      <c r="AE299" s="1853">
        <f t="shared" si="37"/>
        <v>0.11</v>
      </c>
      <c r="AF299" s="1853">
        <f t="shared" si="38"/>
        <v>0.13</v>
      </c>
      <c r="AG299" s="29"/>
      <c r="AH299" s="1853">
        <f t="shared" si="39"/>
        <v>-0.1</v>
      </c>
      <c r="AI299" s="1853">
        <f t="shared" si="39"/>
        <v>0.65</v>
      </c>
      <c r="AJ299" s="1853">
        <f t="shared" si="39"/>
        <v>0.1</v>
      </c>
      <c r="AK299" s="1854"/>
      <c r="AL299" s="1853">
        <f t="shared" si="40"/>
        <v>-0.01</v>
      </c>
      <c r="AM299" s="1853">
        <f t="shared" si="40"/>
        <v>0.16</v>
      </c>
      <c r="AN299" s="1853">
        <f t="shared" si="40"/>
        <v>0.01</v>
      </c>
      <c r="AO299" s="29"/>
      <c r="AP299" s="1854">
        <f t="shared" si="41"/>
        <v>93</v>
      </c>
      <c r="AQ299" s="1855">
        <f t="shared" si="42"/>
        <v>0.35</v>
      </c>
      <c r="BQ299" s="1856">
        <v>45566</v>
      </c>
      <c r="BR299" s="415"/>
      <c r="BS299" s="415"/>
      <c r="BT299" s="415"/>
      <c r="BU299" s="1722">
        <f t="shared" si="43"/>
        <v>0.14349999999999999</v>
      </c>
      <c r="BV299" s="1722">
        <f t="shared" si="44"/>
        <v>0.15</v>
      </c>
      <c r="BW299" s="1722">
        <f t="shared" si="45"/>
        <v>0.1585</v>
      </c>
      <c r="BX299" s="1722">
        <f t="shared" si="46"/>
        <v>-7.0000000000000007E-2</v>
      </c>
      <c r="BY299" s="1722"/>
      <c r="BZ299" s="1722">
        <f t="shared" si="47"/>
        <v>7.0000000000000007E-2</v>
      </c>
      <c r="CA299" s="432"/>
      <c r="CB299" s="415"/>
      <c r="CC299" s="445"/>
      <c r="CD299" s="449"/>
    </row>
    <row r="300" spans="1:82">
      <c r="A300" s="325"/>
      <c r="B300" s="416">
        <v>7.2678784257776005E-2</v>
      </c>
      <c r="C300" s="11"/>
      <c r="D300" s="1786">
        <v>44562</v>
      </c>
      <c r="E300" s="1787">
        <v>25.615074875901062</v>
      </c>
      <c r="F300" s="1787">
        <v>30.615074875901062</v>
      </c>
      <c r="G300" s="1787">
        <v>35.615074875901058</v>
      </c>
      <c r="H300" s="1789"/>
      <c r="I300" s="1787">
        <v>25.838119151052211</v>
      </c>
      <c r="J300" s="1787">
        <v>30.838119151052211</v>
      </c>
      <c r="K300" s="1787">
        <v>35.838119151052211</v>
      </c>
      <c r="M300" s="1791">
        <v>45444</v>
      </c>
      <c r="N300" s="1852">
        <f t="shared" si="30"/>
        <v>29.699922567308121</v>
      </c>
      <c r="O300" s="1852">
        <f t="shared" si="30"/>
        <v>34.699922567308121</v>
      </c>
      <c r="P300" s="1852">
        <f t="shared" si="30"/>
        <v>39.699922567308121</v>
      </c>
      <c r="R300" s="1852">
        <f t="shared" si="31"/>
        <v>21.024941925481109</v>
      </c>
      <c r="S300" s="1852">
        <f t="shared" si="31"/>
        <v>26.024941925481109</v>
      </c>
      <c r="T300" s="1852">
        <f t="shared" si="31"/>
        <v>31.024941925481109</v>
      </c>
      <c r="V300" s="1852">
        <f t="shared" si="32"/>
        <v>0</v>
      </c>
      <c r="W300" s="1852">
        <f t="shared" si="32"/>
        <v>0</v>
      </c>
      <c r="X300" s="1852">
        <f t="shared" si="32"/>
        <v>0</v>
      </c>
      <c r="Z300" s="1853">
        <f t="shared" si="33"/>
        <v>0.09</v>
      </c>
      <c r="AA300" s="1853">
        <f t="shared" si="34"/>
        <v>0.1</v>
      </c>
      <c r="AB300" s="1853">
        <f t="shared" si="35"/>
        <v>0.11</v>
      </c>
      <c r="AC300" s="29"/>
      <c r="AD300" s="1853">
        <f t="shared" si="36"/>
        <v>0.09</v>
      </c>
      <c r="AE300" s="1853">
        <f t="shared" si="37"/>
        <v>0.11</v>
      </c>
      <c r="AF300" s="1853">
        <f t="shared" si="38"/>
        <v>0.13</v>
      </c>
      <c r="AG300" s="29"/>
      <c r="AH300" s="1853">
        <f t="shared" si="39"/>
        <v>-0.35</v>
      </c>
      <c r="AI300" s="1853">
        <f t="shared" si="39"/>
        <v>0.65</v>
      </c>
      <c r="AJ300" s="1853">
        <f t="shared" si="39"/>
        <v>0.2</v>
      </c>
      <c r="AK300" s="1854"/>
      <c r="AL300" s="1853">
        <f t="shared" si="40"/>
        <v>-0.01</v>
      </c>
      <c r="AM300" s="1853">
        <f t="shared" si="40"/>
        <v>0.16</v>
      </c>
      <c r="AN300" s="1853">
        <f t="shared" si="40"/>
        <v>0.01</v>
      </c>
      <c r="AO300" s="29"/>
      <c r="AP300" s="1854">
        <f t="shared" si="41"/>
        <v>93</v>
      </c>
      <c r="AQ300" s="1855">
        <f t="shared" si="42"/>
        <v>0.35</v>
      </c>
      <c r="BQ300" s="1856">
        <v>45597</v>
      </c>
      <c r="BR300" s="415"/>
      <c r="BS300" s="415"/>
      <c r="BT300" s="415"/>
      <c r="BU300" s="1722">
        <f t="shared" si="43"/>
        <v>0.14349999999999999</v>
      </c>
      <c r="BV300" s="1722">
        <f t="shared" si="44"/>
        <v>0.15</v>
      </c>
      <c r="BW300" s="1722">
        <f t="shared" si="45"/>
        <v>0.1585</v>
      </c>
      <c r="BX300" s="1722">
        <f t="shared" si="46"/>
        <v>-7.0000000000000007E-2</v>
      </c>
      <c r="BY300" s="1722"/>
      <c r="BZ300" s="1722">
        <f t="shared" si="47"/>
        <v>7.0000000000000007E-2</v>
      </c>
      <c r="CA300" s="432"/>
      <c r="CB300" s="415"/>
      <c r="CC300" s="445"/>
      <c r="CD300" s="449"/>
    </row>
    <row r="301" spans="1:82">
      <c r="A301" s="325"/>
      <c r="B301" s="416">
        <v>7.2674803978204999E-2</v>
      </c>
      <c r="C301" s="11"/>
      <c r="D301" s="1786">
        <v>44593</v>
      </c>
      <c r="E301" s="1787">
        <v>25.115074875901062</v>
      </c>
      <c r="F301" s="1787">
        <v>30.115074875901062</v>
      </c>
      <c r="G301" s="1787">
        <v>35.115074875901058</v>
      </c>
      <c r="H301" s="1789"/>
      <c r="I301" s="1787">
        <v>26.80714285714286</v>
      </c>
      <c r="J301" s="1787">
        <v>31.80714285714286</v>
      </c>
      <c r="K301" s="1787">
        <v>36.807142857142864</v>
      </c>
      <c r="M301" s="1791">
        <v>45474</v>
      </c>
      <c r="N301" s="1852">
        <f t="shared" si="30"/>
        <v>57.144288992591072</v>
      </c>
      <c r="O301" s="1852">
        <f t="shared" si="30"/>
        <v>62.144288992591072</v>
      </c>
      <c r="P301" s="1852">
        <f t="shared" si="30"/>
        <v>67.144288992591072</v>
      </c>
      <c r="R301" s="1852">
        <f t="shared" si="31"/>
        <v>41.608216744443311</v>
      </c>
      <c r="S301" s="1852">
        <f t="shared" si="31"/>
        <v>46.608216744443311</v>
      </c>
      <c r="T301" s="1852">
        <f t="shared" si="31"/>
        <v>51.608216744443311</v>
      </c>
      <c r="V301" s="1852">
        <f t="shared" si="32"/>
        <v>0</v>
      </c>
      <c r="W301" s="1852">
        <f t="shared" si="32"/>
        <v>0</v>
      </c>
      <c r="X301" s="1852">
        <f t="shared" si="32"/>
        <v>0</v>
      </c>
      <c r="Z301" s="1853">
        <f t="shared" si="33"/>
        <v>0.09</v>
      </c>
      <c r="AA301" s="1853">
        <f t="shared" si="34"/>
        <v>0.1</v>
      </c>
      <c r="AB301" s="1853">
        <f t="shared" si="35"/>
        <v>0.11</v>
      </c>
      <c r="AC301" s="29"/>
      <c r="AD301" s="1853">
        <f t="shared" si="36"/>
        <v>0.09</v>
      </c>
      <c r="AE301" s="1853">
        <f t="shared" si="37"/>
        <v>0.11</v>
      </c>
      <c r="AF301" s="1853">
        <f t="shared" si="38"/>
        <v>0.13</v>
      </c>
      <c r="AG301" s="29"/>
      <c r="AH301" s="1853">
        <f t="shared" si="39"/>
        <v>-0.35</v>
      </c>
      <c r="AI301" s="1853">
        <f t="shared" si="39"/>
        <v>0.65</v>
      </c>
      <c r="AJ301" s="1853">
        <f t="shared" si="39"/>
        <v>0.35</v>
      </c>
      <c r="AK301" s="1854"/>
      <c r="AL301" s="1853">
        <f t="shared" si="40"/>
        <v>-0.01</v>
      </c>
      <c r="AM301" s="1853">
        <f t="shared" si="40"/>
        <v>0.16</v>
      </c>
      <c r="AN301" s="1853">
        <f t="shared" si="40"/>
        <v>0.01</v>
      </c>
      <c r="AO301" s="29"/>
      <c r="AP301" s="1854">
        <f t="shared" si="41"/>
        <v>93</v>
      </c>
      <c r="AQ301" s="1855">
        <f t="shared" si="42"/>
        <v>0.35</v>
      </c>
      <c r="BQ301" s="1856">
        <v>45627</v>
      </c>
      <c r="BR301" s="415"/>
      <c r="BS301" s="415"/>
      <c r="BT301" s="415"/>
      <c r="BU301" s="1722">
        <f t="shared" si="43"/>
        <v>0.14349999999999999</v>
      </c>
      <c r="BV301" s="1722">
        <f t="shared" si="44"/>
        <v>0.15</v>
      </c>
      <c r="BW301" s="1722">
        <f t="shared" si="45"/>
        <v>0.1585</v>
      </c>
      <c r="BX301" s="1722">
        <f t="shared" si="46"/>
        <v>-7.0000000000000007E-2</v>
      </c>
      <c r="BY301" s="1722"/>
      <c r="BZ301" s="1722">
        <f t="shared" si="47"/>
        <v>7.0000000000000007E-2</v>
      </c>
      <c r="CA301" s="432"/>
      <c r="CB301" s="415"/>
      <c r="CC301" s="445"/>
      <c r="CD301" s="449"/>
    </row>
    <row r="302" spans="1:82">
      <c r="A302" s="325"/>
      <c r="B302" s="416">
        <v>7.2670397240115009E-2</v>
      </c>
      <c r="C302" s="11"/>
      <c r="D302" s="1786">
        <v>44621</v>
      </c>
      <c r="E302" s="1787">
        <v>24.865074875901062</v>
      </c>
      <c r="F302" s="1787">
        <v>29.865074875901062</v>
      </c>
      <c r="G302" s="1787">
        <v>34.865074875901058</v>
      </c>
      <c r="H302" s="1789"/>
      <c r="I302" s="1787">
        <v>27.087096774193554</v>
      </c>
      <c r="J302" s="1787">
        <v>32.087096774193554</v>
      </c>
      <c r="K302" s="1787">
        <v>37.087096774193554</v>
      </c>
      <c r="M302" s="1791">
        <v>45505</v>
      </c>
      <c r="N302" s="1852">
        <f t="shared" si="30"/>
        <v>77.769288992591072</v>
      </c>
      <c r="O302" s="1852">
        <f t="shared" si="30"/>
        <v>82.769288992591072</v>
      </c>
      <c r="P302" s="1852">
        <f t="shared" si="30"/>
        <v>87.769288992591072</v>
      </c>
      <c r="R302" s="1852">
        <f t="shared" si="31"/>
        <v>57.076966744443311</v>
      </c>
      <c r="S302" s="1852">
        <f t="shared" si="31"/>
        <v>62.076966744443311</v>
      </c>
      <c r="T302" s="1852">
        <f t="shared" si="31"/>
        <v>67.076966744443311</v>
      </c>
      <c r="V302" s="1852">
        <f t="shared" si="32"/>
        <v>0</v>
      </c>
      <c r="W302" s="1852">
        <f t="shared" si="32"/>
        <v>0</v>
      </c>
      <c r="X302" s="1852">
        <f t="shared" si="32"/>
        <v>0</v>
      </c>
      <c r="Z302" s="1853">
        <f t="shared" si="33"/>
        <v>0.09</v>
      </c>
      <c r="AA302" s="1853">
        <f t="shared" si="34"/>
        <v>0.1</v>
      </c>
      <c r="AB302" s="1853">
        <f t="shared" si="35"/>
        <v>0.11</v>
      </c>
      <c r="AC302" s="29"/>
      <c r="AD302" s="1853">
        <f t="shared" si="36"/>
        <v>0.09</v>
      </c>
      <c r="AE302" s="1853">
        <f t="shared" si="37"/>
        <v>0.11</v>
      </c>
      <c r="AF302" s="1853">
        <f t="shared" si="38"/>
        <v>0.13</v>
      </c>
      <c r="AG302" s="29"/>
      <c r="AH302" s="1853">
        <f t="shared" si="39"/>
        <v>-0.35</v>
      </c>
      <c r="AI302" s="1853">
        <f t="shared" si="39"/>
        <v>0.65</v>
      </c>
      <c r="AJ302" s="1853">
        <f t="shared" si="39"/>
        <v>0.35</v>
      </c>
      <c r="AK302" s="1854"/>
      <c r="AL302" s="1853">
        <f t="shared" si="40"/>
        <v>-0.01</v>
      </c>
      <c r="AM302" s="1853">
        <f t="shared" si="40"/>
        <v>0.16</v>
      </c>
      <c r="AN302" s="1853">
        <f t="shared" si="40"/>
        <v>0.01</v>
      </c>
      <c r="AO302" s="29"/>
      <c r="AP302" s="1854">
        <f t="shared" si="41"/>
        <v>93</v>
      </c>
      <c r="AQ302" s="1855">
        <f t="shared" si="42"/>
        <v>0.35</v>
      </c>
      <c r="BQ302" s="325"/>
      <c r="BR302" s="415"/>
      <c r="BS302" s="415"/>
      <c r="BT302" s="415"/>
      <c r="BU302" s="416"/>
      <c r="BV302" s="416"/>
      <c r="BW302" s="416"/>
      <c r="BY302" s="416"/>
      <c r="CA302" s="432"/>
      <c r="CB302" s="415"/>
      <c r="CC302" s="445"/>
      <c r="CD302" s="449"/>
    </row>
    <row r="303" spans="1:82">
      <c r="A303" s="325"/>
      <c r="B303" s="416">
        <v>7.2666132654872997E-2</v>
      </c>
      <c r="C303" s="11"/>
      <c r="D303" s="1786">
        <v>44652</v>
      </c>
      <c r="E303" s="1787">
        <v>25.044831963278025</v>
      </c>
      <c r="F303" s="1787">
        <v>30.044831963278025</v>
      </c>
      <c r="G303" s="1787">
        <v>35.044831963278028</v>
      </c>
      <c r="H303" s="1789"/>
      <c r="I303" s="1787">
        <v>24.887499999999999</v>
      </c>
      <c r="J303" s="1787">
        <v>29.887499999999999</v>
      </c>
      <c r="K303" s="1787">
        <v>34.887500000000003</v>
      </c>
      <c r="M303" s="1791">
        <v>45536</v>
      </c>
      <c r="N303" s="1852">
        <f t="shared" si="30"/>
        <v>61.769288992591072</v>
      </c>
      <c r="O303" s="1852">
        <f t="shared" si="30"/>
        <v>66.769288992591072</v>
      </c>
      <c r="P303" s="1852">
        <f t="shared" si="30"/>
        <v>71.769288992591072</v>
      </c>
      <c r="R303" s="1852">
        <f t="shared" si="31"/>
        <v>45.076966744443311</v>
      </c>
      <c r="S303" s="1852">
        <f t="shared" si="31"/>
        <v>50.076966744443311</v>
      </c>
      <c r="T303" s="1852">
        <f t="shared" si="31"/>
        <v>55.076966744443311</v>
      </c>
      <c r="V303" s="1852">
        <f t="shared" si="32"/>
        <v>0</v>
      </c>
      <c r="W303" s="1852">
        <f t="shared" si="32"/>
        <v>0</v>
      </c>
      <c r="X303" s="1852">
        <f t="shared" si="32"/>
        <v>0</v>
      </c>
      <c r="Z303" s="1853">
        <f t="shared" si="33"/>
        <v>0.09</v>
      </c>
      <c r="AA303" s="1853">
        <f t="shared" si="34"/>
        <v>0.1</v>
      </c>
      <c r="AB303" s="1853">
        <f t="shared" si="35"/>
        <v>0.11</v>
      </c>
      <c r="AC303" s="29"/>
      <c r="AD303" s="1853">
        <f t="shared" si="36"/>
        <v>0.09</v>
      </c>
      <c r="AE303" s="1853">
        <f t="shared" si="37"/>
        <v>0.11</v>
      </c>
      <c r="AF303" s="1853">
        <f t="shared" si="38"/>
        <v>0.13</v>
      </c>
      <c r="AG303" s="29"/>
      <c r="AH303" s="1853">
        <f t="shared" si="39"/>
        <v>-0.35</v>
      </c>
      <c r="AI303" s="1853">
        <f t="shared" si="39"/>
        <v>3</v>
      </c>
      <c r="AJ303" s="1853">
        <f t="shared" si="39"/>
        <v>0.2</v>
      </c>
      <c r="AK303" s="1854"/>
      <c r="AL303" s="1853">
        <f t="shared" si="40"/>
        <v>-0.01</v>
      </c>
      <c r="AM303" s="1853">
        <f t="shared" si="40"/>
        <v>0.16</v>
      </c>
      <c r="AN303" s="1853">
        <f t="shared" si="40"/>
        <v>0.01</v>
      </c>
      <c r="AO303" s="29"/>
      <c r="AP303" s="1854">
        <f t="shared" si="41"/>
        <v>93</v>
      </c>
      <c r="AQ303" s="1855">
        <f t="shared" si="42"/>
        <v>0.35</v>
      </c>
      <c r="BQ303" s="325"/>
      <c r="BR303" s="415"/>
      <c r="BS303" s="415"/>
      <c r="BT303" s="415"/>
      <c r="BU303" s="416"/>
      <c r="BV303" s="416"/>
      <c r="BW303" s="416"/>
      <c r="BY303" s="416"/>
      <c r="CA303" s="432"/>
      <c r="CB303" s="415"/>
      <c r="CC303" s="445"/>
      <c r="CD303" s="449"/>
    </row>
    <row r="304" spans="1:82">
      <c r="A304" s="325"/>
      <c r="B304" s="416">
        <v>7.2661725916795011E-2</v>
      </c>
      <c r="C304" s="11"/>
      <c r="D304" s="1786">
        <v>44682</v>
      </c>
      <c r="E304" s="1787">
        <v>24.294831963278025</v>
      </c>
      <c r="F304" s="1787">
        <v>29.294831963278025</v>
      </c>
      <c r="G304" s="1787">
        <v>34.294831963278028</v>
      </c>
      <c r="H304" s="1789"/>
      <c r="I304" s="1787">
        <v>24.945967741935487</v>
      </c>
      <c r="J304" s="1787">
        <v>29.945967741935487</v>
      </c>
      <c r="K304" s="1787">
        <v>34.94596774193549</v>
      </c>
      <c r="M304" s="1791">
        <v>45566</v>
      </c>
      <c r="N304" s="1852">
        <f t="shared" si="30"/>
        <v>32.881378719225303</v>
      </c>
      <c r="O304" s="1852">
        <f t="shared" si="30"/>
        <v>37.881378719225303</v>
      </c>
      <c r="P304" s="1852">
        <f t="shared" si="30"/>
        <v>42.881378719225303</v>
      </c>
      <c r="R304" s="1852">
        <f t="shared" si="31"/>
        <v>23.411034039418958</v>
      </c>
      <c r="S304" s="1852">
        <f t="shared" si="31"/>
        <v>28.411034039418958</v>
      </c>
      <c r="T304" s="1852">
        <f t="shared" si="31"/>
        <v>33.411034039418958</v>
      </c>
      <c r="V304" s="1852">
        <f t="shared" si="32"/>
        <v>0</v>
      </c>
      <c r="W304" s="1852">
        <f t="shared" si="32"/>
        <v>0</v>
      </c>
      <c r="X304" s="1852">
        <f t="shared" si="32"/>
        <v>0</v>
      </c>
      <c r="Z304" s="1853">
        <f t="shared" si="33"/>
        <v>0.09</v>
      </c>
      <c r="AA304" s="1853">
        <f t="shared" si="34"/>
        <v>0.1</v>
      </c>
      <c r="AB304" s="1853">
        <f t="shared" si="35"/>
        <v>0.11</v>
      </c>
      <c r="AC304" s="29"/>
      <c r="AD304" s="1853">
        <f t="shared" si="36"/>
        <v>0.09</v>
      </c>
      <c r="AE304" s="1853">
        <f t="shared" si="37"/>
        <v>0.11</v>
      </c>
      <c r="AF304" s="1853">
        <f t="shared" si="38"/>
        <v>0.13</v>
      </c>
      <c r="AG304" s="29"/>
      <c r="AH304" s="1853">
        <f t="shared" si="39"/>
        <v>-0.1</v>
      </c>
      <c r="AI304" s="1853">
        <f t="shared" si="39"/>
        <v>3</v>
      </c>
      <c r="AJ304" s="1853">
        <f t="shared" si="39"/>
        <v>0.1</v>
      </c>
      <c r="AK304" s="1854"/>
      <c r="AL304" s="1853">
        <f t="shared" si="40"/>
        <v>-0.01</v>
      </c>
      <c r="AM304" s="1853">
        <f t="shared" si="40"/>
        <v>0.16</v>
      </c>
      <c r="AN304" s="1853">
        <f t="shared" si="40"/>
        <v>0.01</v>
      </c>
      <c r="AO304" s="29"/>
      <c r="AP304" s="1854">
        <f t="shared" si="41"/>
        <v>93</v>
      </c>
      <c r="AQ304" s="1855">
        <f t="shared" si="42"/>
        <v>0.35</v>
      </c>
      <c r="BQ304" s="325"/>
      <c r="BR304" s="415"/>
      <c r="BS304" s="415"/>
      <c r="BT304" s="415"/>
      <c r="BU304" s="416"/>
      <c r="BV304" s="416"/>
      <c r="BW304" s="416"/>
      <c r="BY304" s="416"/>
      <c r="CA304" s="432"/>
      <c r="CB304" s="415"/>
      <c r="CC304" s="445"/>
      <c r="CD304" s="449"/>
    </row>
    <row r="305" spans="1:82">
      <c r="A305" s="325"/>
      <c r="B305" s="416">
        <v>7.2657461331565004E-2</v>
      </c>
      <c r="C305" s="11"/>
      <c r="D305" s="1786">
        <v>44713</v>
      </c>
      <c r="E305" s="1787">
        <v>29.544831963278028</v>
      </c>
      <c r="F305" s="1787">
        <v>34.544831963278028</v>
      </c>
      <c r="G305" s="1787">
        <v>39.544831963278028</v>
      </c>
      <c r="H305" s="1789"/>
      <c r="I305" s="1787">
        <v>24.2</v>
      </c>
      <c r="J305" s="1787">
        <v>29.2</v>
      </c>
      <c r="K305" s="1787">
        <v>34.200000000000003</v>
      </c>
      <c r="M305" s="1791">
        <v>45597</v>
      </c>
      <c r="N305" s="1852">
        <f t="shared" ref="N305:P306" si="48">N293+N293-N281</f>
        <v>25.131378719225314</v>
      </c>
      <c r="O305" s="1852">
        <f t="shared" si="48"/>
        <v>30.131378719225314</v>
      </c>
      <c r="P305" s="1852">
        <f t="shared" si="48"/>
        <v>35.131378719225296</v>
      </c>
      <c r="R305" s="1852">
        <f t="shared" ref="R305:T306" si="49">R293+R293-R281</f>
        <v>17.598534039418958</v>
      </c>
      <c r="S305" s="1852">
        <f t="shared" si="49"/>
        <v>22.598534039418958</v>
      </c>
      <c r="T305" s="1852">
        <f t="shared" si="49"/>
        <v>27.598534039418958</v>
      </c>
      <c r="V305" s="1852">
        <f t="shared" ref="V305:X306" si="50">V293+V293-V281</f>
        <v>0</v>
      </c>
      <c r="W305" s="1852">
        <f t="shared" si="50"/>
        <v>0</v>
      </c>
      <c r="X305" s="1852">
        <f t="shared" si="50"/>
        <v>0</v>
      </c>
      <c r="Z305" s="1853">
        <f t="shared" si="33"/>
        <v>0.09</v>
      </c>
      <c r="AA305" s="1853">
        <f t="shared" si="34"/>
        <v>0.1</v>
      </c>
      <c r="AB305" s="1853">
        <f t="shared" si="35"/>
        <v>0.11</v>
      </c>
      <c r="AC305" s="29"/>
      <c r="AD305" s="1853">
        <f t="shared" si="36"/>
        <v>0.09</v>
      </c>
      <c r="AE305" s="1853">
        <f t="shared" si="37"/>
        <v>0.11</v>
      </c>
      <c r="AF305" s="1853">
        <f t="shared" si="38"/>
        <v>0.13</v>
      </c>
      <c r="AG305" s="29"/>
      <c r="AH305" s="1853">
        <f t="shared" ref="AH305:AJ306" si="51">AH293</f>
        <v>-0.1</v>
      </c>
      <c r="AI305" s="1853">
        <f t="shared" si="51"/>
        <v>3</v>
      </c>
      <c r="AJ305" s="1853">
        <f t="shared" si="51"/>
        <v>0.1</v>
      </c>
      <c r="AK305" s="1854"/>
      <c r="AL305" s="1853">
        <f t="shared" ref="AL305:AN306" si="52">AL293</f>
        <v>-0.01</v>
      </c>
      <c r="AM305" s="1853">
        <f t="shared" si="52"/>
        <v>0.16</v>
      </c>
      <c r="AN305" s="1853">
        <f t="shared" si="52"/>
        <v>0.01</v>
      </c>
      <c r="AO305" s="29"/>
      <c r="AP305" s="1854">
        <f t="shared" si="41"/>
        <v>93</v>
      </c>
      <c r="AQ305" s="1855">
        <f t="shared" si="42"/>
        <v>0.35</v>
      </c>
      <c r="BQ305" s="325"/>
      <c r="BR305" s="415"/>
      <c r="BS305" s="415"/>
      <c r="BT305" s="415"/>
      <c r="BU305" s="416"/>
      <c r="BV305" s="416"/>
      <c r="BW305" s="416"/>
      <c r="BY305" s="416"/>
      <c r="CA305" s="432"/>
      <c r="CB305" s="415"/>
      <c r="CC305" s="445"/>
      <c r="CD305" s="449"/>
    </row>
    <row r="306" spans="1:82">
      <c r="A306" s="325"/>
      <c r="B306" s="416">
        <v>7.2653054593500008E-2</v>
      </c>
      <c r="C306" s="11"/>
      <c r="D306" s="1786">
        <v>44743</v>
      </c>
      <c r="E306" s="1787">
        <v>56.794897807369779</v>
      </c>
      <c r="F306" s="1787">
        <v>61.794897807369779</v>
      </c>
      <c r="G306" s="1787">
        <v>66.794897807369779</v>
      </c>
      <c r="H306" s="1789"/>
      <c r="I306" s="1787">
        <v>30.224193548387106</v>
      </c>
      <c r="J306" s="1787">
        <v>35.224193548387106</v>
      </c>
      <c r="K306" s="1787">
        <v>40.224193548387106</v>
      </c>
      <c r="M306" s="1791">
        <v>45627</v>
      </c>
      <c r="N306" s="1852">
        <f t="shared" si="48"/>
        <v>27.13137871922531</v>
      </c>
      <c r="O306" s="1852">
        <f t="shared" si="48"/>
        <v>32.13137871922531</v>
      </c>
      <c r="P306" s="1852">
        <f t="shared" si="48"/>
        <v>37.13137871922531</v>
      </c>
      <c r="R306" s="1852">
        <f t="shared" si="49"/>
        <v>19.098534039418958</v>
      </c>
      <c r="S306" s="1852">
        <f t="shared" si="49"/>
        <v>24.098534039418958</v>
      </c>
      <c r="T306" s="1852">
        <f t="shared" si="49"/>
        <v>29.098534039418958</v>
      </c>
      <c r="V306" s="1852">
        <f t="shared" si="50"/>
        <v>0</v>
      </c>
      <c r="W306" s="1852">
        <f t="shared" si="50"/>
        <v>0</v>
      </c>
      <c r="X306" s="1852">
        <f t="shared" si="50"/>
        <v>0</v>
      </c>
      <c r="Z306" s="1853">
        <f>Z305</f>
        <v>0.09</v>
      </c>
      <c r="AA306" s="1853">
        <f>AA305</f>
        <v>0.1</v>
      </c>
      <c r="AB306" s="1853">
        <f>AB305</f>
        <v>0.11</v>
      </c>
      <c r="AC306" s="29"/>
      <c r="AD306" s="1853">
        <f>AD305</f>
        <v>0.09</v>
      </c>
      <c r="AE306" s="1853">
        <f>AE305</f>
        <v>0.11</v>
      </c>
      <c r="AF306" s="1853">
        <f>AF305</f>
        <v>0.13</v>
      </c>
      <c r="AG306" s="29"/>
      <c r="AH306" s="1853">
        <f t="shared" si="51"/>
        <v>-0.25</v>
      </c>
      <c r="AI306" s="1853">
        <f t="shared" si="51"/>
        <v>0.6</v>
      </c>
      <c r="AJ306" s="1853">
        <f t="shared" si="51"/>
        <v>0.25</v>
      </c>
      <c r="AK306" s="1854"/>
      <c r="AL306" s="1853">
        <f t="shared" si="52"/>
        <v>-0.01</v>
      </c>
      <c r="AM306" s="1853">
        <f t="shared" si="52"/>
        <v>0.16</v>
      </c>
      <c r="AN306" s="1853">
        <f t="shared" si="52"/>
        <v>0.01</v>
      </c>
      <c r="AO306" s="29"/>
      <c r="AP306" s="1854">
        <f>AP305</f>
        <v>93</v>
      </c>
      <c r="AQ306" s="1855">
        <f>AQ305</f>
        <v>0.35</v>
      </c>
      <c r="BQ306" s="325"/>
      <c r="BR306" s="415"/>
      <c r="BS306" s="415"/>
      <c r="BT306" s="415"/>
      <c r="BU306" s="416"/>
      <c r="BV306" s="416"/>
      <c r="BW306" s="416"/>
      <c r="BY306" s="416"/>
      <c r="CA306" s="432"/>
      <c r="CB306" s="415"/>
      <c r="CC306" s="445"/>
      <c r="CD306" s="449"/>
    </row>
    <row r="307" spans="1:82">
      <c r="A307" s="325"/>
      <c r="B307" s="416">
        <v>7.264864785544102E-2</v>
      </c>
      <c r="C307" s="11"/>
      <c r="D307" s="1786">
        <v>44774</v>
      </c>
      <c r="E307" s="1787">
        <v>77.419897807369779</v>
      </c>
      <c r="F307" s="1787">
        <v>82.419897807369779</v>
      </c>
      <c r="G307" s="1787">
        <v>87.419897807369779</v>
      </c>
      <c r="H307" s="1789"/>
      <c r="I307" s="1787">
        <v>28.224193548387106</v>
      </c>
      <c r="J307" s="1787">
        <v>33.224193548387106</v>
      </c>
      <c r="K307" s="1787">
        <v>38.224193548387106</v>
      </c>
      <c r="M307" s="4"/>
      <c r="N307" s="500"/>
      <c r="O307" s="500"/>
      <c r="P307" s="500"/>
      <c r="R307" s="500"/>
      <c r="S307" s="500"/>
      <c r="T307" s="500"/>
      <c r="V307" s="500"/>
      <c r="W307" s="500"/>
      <c r="X307" s="500"/>
      <c r="Z307" s="29"/>
      <c r="AA307" s="29"/>
      <c r="AB307" s="29"/>
      <c r="AC307" s="29"/>
      <c r="AD307" s="29"/>
      <c r="AE307" s="29"/>
      <c r="AF307" s="29"/>
      <c r="AG307" s="29"/>
      <c r="AH307" s="29"/>
      <c r="AI307" s="29"/>
      <c r="AJ307" s="29"/>
      <c r="AK307" s="29"/>
      <c r="AL307" s="29"/>
      <c r="AM307" s="29"/>
      <c r="AN307" s="29"/>
      <c r="AO307" s="29"/>
      <c r="AP307" s="29"/>
      <c r="AQ307" s="29"/>
      <c r="BQ307" s="325"/>
      <c r="BR307" s="415"/>
      <c r="BS307" s="415"/>
      <c r="BT307" s="415"/>
      <c r="BU307" s="416"/>
      <c r="BV307" s="416"/>
      <c r="BW307" s="416"/>
      <c r="BY307" s="416"/>
      <c r="CA307" s="432"/>
      <c r="CB307" s="415"/>
      <c r="CC307" s="445"/>
      <c r="CD307" s="449"/>
    </row>
    <row r="308" spans="1:82">
      <c r="A308" s="325"/>
      <c r="B308" s="416">
        <v>7.2644383270230012E-2</v>
      </c>
      <c r="C308" s="11"/>
      <c r="D308" s="1786">
        <v>44805</v>
      </c>
      <c r="E308" s="1787">
        <v>61.419897807369779</v>
      </c>
      <c r="F308" s="1787">
        <v>66.419897807369779</v>
      </c>
      <c r="G308" s="1787">
        <v>71.419897807369779</v>
      </c>
      <c r="H308" s="1789"/>
      <c r="I308" s="1787">
        <v>28.637499999999999</v>
      </c>
      <c r="J308" s="1787">
        <v>33.637500000000003</v>
      </c>
      <c r="K308" s="1787">
        <v>38.637500000000003</v>
      </c>
      <c r="M308" s="4"/>
      <c r="N308" s="500"/>
      <c r="O308" s="500"/>
      <c r="P308" s="500"/>
      <c r="R308" s="500"/>
      <c r="S308" s="500"/>
      <c r="T308" s="500"/>
      <c r="V308" s="500"/>
      <c r="W308" s="500"/>
      <c r="X308" s="500"/>
      <c r="Z308" s="29"/>
      <c r="AA308" s="29"/>
      <c r="AB308" s="29"/>
      <c r="AC308" s="29"/>
      <c r="AD308" s="29"/>
      <c r="AE308" s="29"/>
      <c r="AF308" s="29"/>
      <c r="AG308" s="29"/>
      <c r="AH308" s="29"/>
      <c r="AI308" s="29"/>
      <c r="AJ308" s="29"/>
      <c r="AK308" s="29"/>
      <c r="AL308" s="29"/>
      <c r="AM308" s="29"/>
      <c r="AN308" s="29"/>
      <c r="AO308" s="29"/>
      <c r="AP308" s="29"/>
      <c r="AQ308" s="29"/>
      <c r="BQ308" s="325"/>
      <c r="BR308" s="415"/>
      <c r="BS308" s="415"/>
      <c r="BT308" s="415"/>
      <c r="BU308" s="416"/>
      <c r="BV308" s="416"/>
      <c r="BW308" s="416"/>
      <c r="BY308" s="416"/>
      <c r="CA308" s="432"/>
      <c r="CB308" s="415"/>
      <c r="CC308" s="445"/>
      <c r="CD308" s="449"/>
    </row>
    <row r="309" spans="1:82">
      <c r="A309" s="325"/>
      <c r="B309" s="416">
        <v>7.2639976532184014E-2</v>
      </c>
      <c r="C309" s="11"/>
      <c r="D309" s="1786">
        <v>44835</v>
      </c>
      <c r="E309" s="1787">
        <v>32.728470768055097</v>
      </c>
      <c r="F309" s="1787">
        <v>37.728470768055097</v>
      </c>
      <c r="G309" s="1787">
        <v>42.728470768055097</v>
      </c>
      <c r="H309" s="1789"/>
      <c r="I309" s="1787">
        <v>28.151612903225811</v>
      </c>
      <c r="J309" s="1787">
        <v>33.151612903225811</v>
      </c>
      <c r="K309" s="1787">
        <v>38.151612903225811</v>
      </c>
      <c r="M309" s="4"/>
      <c r="N309" s="500"/>
      <c r="O309" s="500"/>
      <c r="P309" s="500"/>
      <c r="R309" s="500"/>
      <c r="S309" s="500"/>
      <c r="T309" s="500"/>
      <c r="V309" s="500"/>
      <c r="W309" s="500"/>
      <c r="X309" s="500"/>
      <c r="Z309" s="29"/>
      <c r="AA309" s="29"/>
      <c r="AB309" s="29"/>
      <c r="AC309" s="29"/>
      <c r="AD309" s="29"/>
      <c r="AE309" s="29"/>
      <c r="AF309" s="29"/>
      <c r="AG309" s="29"/>
      <c r="AH309" s="29"/>
      <c r="AI309" s="29"/>
      <c r="AJ309" s="29"/>
      <c r="AK309" s="29"/>
      <c r="AL309" s="29"/>
      <c r="AM309" s="29"/>
      <c r="AN309" s="29"/>
      <c r="AO309" s="29"/>
      <c r="AP309" s="29"/>
      <c r="AQ309" s="29"/>
      <c r="BQ309" s="325"/>
      <c r="BR309" s="415"/>
      <c r="BS309" s="415"/>
      <c r="BT309" s="415"/>
      <c r="BU309" s="416"/>
      <c r="BV309" s="416"/>
      <c r="BW309" s="416"/>
      <c r="BY309" s="416"/>
      <c r="CA309" s="432"/>
      <c r="CB309" s="415"/>
      <c r="CC309" s="445"/>
      <c r="CD309" s="449"/>
    </row>
    <row r="310" spans="1:82">
      <c r="A310" s="325"/>
      <c r="B310" s="416">
        <v>7.2635711946984011E-2</v>
      </c>
      <c r="C310" s="11"/>
      <c r="D310" s="1786">
        <v>44866</v>
      </c>
      <c r="E310" s="1787">
        <v>24.978470768055107</v>
      </c>
      <c r="F310" s="1787">
        <v>29.978470768055107</v>
      </c>
      <c r="G310" s="1787">
        <v>34.978470768055104</v>
      </c>
      <c r="H310" s="1789"/>
      <c r="I310" s="1787">
        <v>29.491666666666674</v>
      </c>
      <c r="J310" s="1787">
        <v>34.491666666666674</v>
      </c>
      <c r="K310" s="1787">
        <v>39.491666666666674</v>
      </c>
      <c r="M310" s="4"/>
      <c r="N310" s="500"/>
      <c r="O310" s="500"/>
      <c r="P310" s="500"/>
      <c r="R310" s="500"/>
      <c r="S310" s="500"/>
      <c r="T310" s="500"/>
      <c r="V310" s="500"/>
      <c r="W310" s="500"/>
      <c r="X310" s="500"/>
      <c r="Z310" s="29"/>
      <c r="AA310" s="29"/>
      <c r="AB310" s="29"/>
      <c r="AC310" s="29"/>
      <c r="AD310" s="29"/>
      <c r="AE310" s="29"/>
      <c r="AF310" s="29"/>
      <c r="AG310" s="29"/>
      <c r="AH310" s="29"/>
      <c r="AI310" s="29"/>
      <c r="AJ310" s="29"/>
      <c r="AK310" s="29"/>
      <c r="AL310" s="29"/>
      <c r="AM310" s="29"/>
      <c r="AN310" s="29"/>
      <c r="AO310" s="29"/>
      <c r="AP310" s="29"/>
      <c r="AQ310" s="29"/>
      <c r="BQ310" s="325"/>
      <c r="BR310" s="415"/>
      <c r="BS310" s="415"/>
      <c r="BT310" s="415"/>
      <c r="BU310" s="416"/>
      <c r="BV310" s="416"/>
      <c r="BW310" s="416"/>
      <c r="BY310" s="416"/>
      <c r="CA310" s="432"/>
      <c r="CB310" s="415"/>
      <c r="CC310" s="445"/>
      <c r="CD310" s="449"/>
    </row>
    <row r="311" spans="1:82">
      <c r="A311" s="325"/>
      <c r="B311" s="416">
        <v>7.2631305208951016E-2</v>
      </c>
      <c r="C311" s="11"/>
      <c r="D311" s="1786">
        <v>44896</v>
      </c>
      <c r="E311" s="1787">
        <v>26.978470768055104</v>
      </c>
      <c r="F311" s="1787">
        <v>31.978470768055104</v>
      </c>
      <c r="G311" s="1787">
        <v>36.978470768055104</v>
      </c>
      <c r="H311" s="1789"/>
      <c r="I311" s="1787">
        <v>28.796774193548401</v>
      </c>
      <c r="J311" s="1787">
        <v>33.796774193548401</v>
      </c>
      <c r="K311" s="1787">
        <v>38.796774193548401</v>
      </c>
      <c r="M311" s="4"/>
      <c r="N311" s="500"/>
      <c r="O311" s="500"/>
      <c r="P311" s="500"/>
      <c r="R311" s="500"/>
      <c r="S311" s="500"/>
      <c r="T311" s="500"/>
      <c r="V311" s="500"/>
      <c r="W311" s="500"/>
      <c r="X311" s="500"/>
      <c r="Z311" s="29"/>
      <c r="AA311" s="29"/>
      <c r="AB311" s="29"/>
      <c r="AC311" s="29"/>
      <c r="AD311" s="29"/>
      <c r="AE311" s="29"/>
      <c r="AF311" s="29"/>
      <c r="AG311" s="29"/>
      <c r="AH311" s="29"/>
      <c r="AI311" s="29"/>
      <c r="AJ311" s="29"/>
      <c r="AK311" s="29"/>
      <c r="AL311" s="29"/>
      <c r="AM311" s="29"/>
      <c r="AN311" s="29"/>
      <c r="AO311" s="29"/>
      <c r="AP311" s="29"/>
      <c r="AQ311" s="29"/>
      <c r="BQ311" s="325"/>
      <c r="BR311" s="415"/>
      <c r="BS311" s="415"/>
      <c r="BT311" s="415"/>
      <c r="BU311" s="416"/>
      <c r="BV311" s="416"/>
      <c r="BW311" s="416"/>
      <c r="BY311" s="416"/>
      <c r="CA311" s="432"/>
      <c r="CB311" s="415"/>
      <c r="CC311" s="445"/>
      <c r="CD311" s="449"/>
    </row>
    <row r="312" spans="1:82">
      <c r="A312" s="325"/>
      <c r="B312" s="416">
        <v>7.2626898470924017E-2</v>
      </c>
      <c r="C312" s="11"/>
      <c r="D312" s="1786">
        <v>44927</v>
      </c>
      <c r="E312" s="1787">
        <v>25.686997152527336</v>
      </c>
      <c r="F312" s="1787">
        <v>30.686997152527336</v>
      </c>
      <c r="G312" s="1787">
        <v>35.68699715252734</v>
      </c>
      <c r="H312" s="1789"/>
      <c r="I312" s="1787">
        <v>26.338119151052211</v>
      </c>
      <c r="J312" s="1787">
        <v>31.338119151052211</v>
      </c>
      <c r="K312" s="1787">
        <v>36.338119151052211</v>
      </c>
      <c r="M312" s="4"/>
      <c r="N312" s="500"/>
      <c r="O312" s="500"/>
      <c r="P312" s="500"/>
      <c r="R312" s="500"/>
      <c r="S312" s="500"/>
      <c r="T312" s="500"/>
      <c r="V312" s="500"/>
      <c r="W312" s="500"/>
      <c r="X312" s="500"/>
      <c r="Z312" s="29"/>
      <c r="AA312" s="29"/>
      <c r="AB312" s="29"/>
      <c r="AC312" s="29"/>
      <c r="AD312" s="29"/>
      <c r="AE312" s="29"/>
      <c r="AF312" s="29"/>
      <c r="AG312" s="29"/>
      <c r="AH312" s="29"/>
      <c r="AI312" s="29"/>
      <c r="AJ312" s="29"/>
      <c r="AK312" s="29"/>
      <c r="AL312" s="29"/>
      <c r="AM312" s="29"/>
      <c r="AN312" s="29"/>
      <c r="AO312" s="29"/>
      <c r="AP312" s="29"/>
      <c r="AQ312" s="29"/>
      <c r="BQ312" s="325"/>
      <c r="BR312" s="415"/>
      <c r="BS312" s="415"/>
      <c r="BT312" s="415"/>
      <c r="BU312" s="416"/>
      <c r="BV312" s="416"/>
      <c r="BW312" s="416"/>
      <c r="BY312" s="416"/>
      <c r="CA312" s="432"/>
      <c r="CB312" s="415"/>
      <c r="CC312" s="445"/>
      <c r="CD312" s="449"/>
    </row>
    <row r="313" spans="1:82">
      <c r="A313" s="325"/>
      <c r="B313" s="416">
        <v>7.2622918191422012E-2</v>
      </c>
      <c r="C313" s="11"/>
      <c r="D313" s="1786">
        <v>44958</v>
      </c>
      <c r="E313" s="1787">
        <v>25.186997152527336</v>
      </c>
      <c r="F313" s="1787">
        <v>30.186997152527336</v>
      </c>
      <c r="G313" s="1787">
        <v>35.18699715252734</v>
      </c>
      <c r="H313" s="1789"/>
      <c r="I313" s="1787">
        <v>27.307142857142864</v>
      </c>
      <c r="J313" s="1787">
        <v>32.307142857142864</v>
      </c>
      <c r="K313" s="1787">
        <v>37.307142857142864</v>
      </c>
      <c r="M313" s="4"/>
      <c r="N313" s="500"/>
      <c r="O313" s="500"/>
      <c r="P313" s="500"/>
      <c r="R313" s="500"/>
      <c r="S313" s="500"/>
      <c r="T313" s="500"/>
      <c r="V313" s="500"/>
      <c r="W313" s="500"/>
      <c r="X313" s="500"/>
      <c r="Z313" s="29"/>
      <c r="AA313" s="29"/>
      <c r="AB313" s="29"/>
      <c r="AC313" s="29"/>
      <c r="AD313" s="29"/>
      <c r="AE313" s="29"/>
      <c r="AF313" s="29"/>
      <c r="AG313" s="29"/>
      <c r="AH313" s="29"/>
      <c r="AI313" s="29"/>
      <c r="AJ313" s="29"/>
      <c r="AK313" s="29"/>
      <c r="AL313" s="29"/>
      <c r="AM313" s="29"/>
      <c r="AN313" s="29"/>
      <c r="AO313" s="29"/>
      <c r="AP313" s="29"/>
      <c r="AQ313" s="29"/>
      <c r="BQ313" s="325"/>
      <c r="BR313" s="415"/>
      <c r="BS313" s="415"/>
      <c r="BT313" s="415"/>
      <c r="BU313" s="416"/>
      <c r="BV313" s="416"/>
      <c r="BW313" s="416"/>
      <c r="BY313" s="416"/>
      <c r="CA313" s="432"/>
      <c r="CB313" s="415"/>
      <c r="CC313" s="445"/>
      <c r="CD313" s="449"/>
    </row>
    <row r="314" spans="1:82">
      <c r="A314" s="325"/>
      <c r="B314" s="416">
        <v>7.2618511453407003E-2</v>
      </c>
      <c r="C314" s="11"/>
      <c r="D314" s="1786">
        <v>44986</v>
      </c>
      <c r="E314" s="1787">
        <v>24.936997152527336</v>
      </c>
      <c r="F314" s="1787">
        <v>29.936997152527336</v>
      </c>
      <c r="G314" s="1787">
        <v>34.93699715252734</v>
      </c>
      <c r="H314" s="1789"/>
      <c r="I314" s="1787">
        <v>27.587096774193554</v>
      </c>
      <c r="J314" s="1787">
        <v>32.587096774193554</v>
      </c>
      <c r="K314" s="1787">
        <v>37.587096774193554</v>
      </c>
      <c r="M314" s="4"/>
      <c r="N314" s="500"/>
      <c r="O314" s="500"/>
      <c r="P314" s="500"/>
      <c r="R314" s="500"/>
      <c r="S314" s="500"/>
      <c r="T314" s="500"/>
      <c r="V314" s="500"/>
      <c r="W314" s="500"/>
      <c r="X314" s="500"/>
      <c r="Z314" s="29"/>
      <c r="AA314" s="29"/>
      <c r="AB314" s="29"/>
      <c r="AC314" s="29"/>
      <c r="AD314" s="29"/>
      <c r="AE314" s="29"/>
      <c r="AF314" s="29"/>
      <c r="AG314" s="29"/>
      <c r="AH314" s="29"/>
      <c r="AI314" s="29"/>
      <c r="AJ314" s="29"/>
      <c r="AK314" s="29"/>
      <c r="AL314" s="29"/>
      <c r="AM314" s="29"/>
      <c r="AN314" s="29"/>
      <c r="AO314" s="29"/>
      <c r="AP314" s="29"/>
      <c r="AQ314" s="29"/>
      <c r="BQ314" s="325"/>
      <c r="BR314" s="415"/>
      <c r="BS314" s="415"/>
      <c r="BT314" s="415"/>
      <c r="BU314" s="416"/>
      <c r="BV314" s="416"/>
      <c r="BW314" s="416"/>
      <c r="BY314" s="416"/>
      <c r="CA314" s="432"/>
      <c r="CB314" s="415"/>
      <c r="CC314" s="445"/>
      <c r="CD314" s="449"/>
    </row>
    <row r="315" spans="1:82">
      <c r="A315" s="325"/>
      <c r="B315" s="416">
        <v>7.2614246868238017E-2</v>
      </c>
      <c r="C315" s="11"/>
      <c r="D315" s="1786">
        <v>45017</v>
      </c>
      <c r="E315" s="1787">
        <v>25.122377265293071</v>
      </c>
      <c r="F315" s="1787">
        <v>30.122377265293071</v>
      </c>
      <c r="G315" s="1787">
        <v>35.122377265293068</v>
      </c>
      <c r="H315" s="1789"/>
      <c r="I315" s="1787">
        <v>25.387499999999999</v>
      </c>
      <c r="J315" s="1787">
        <v>30.387499999999999</v>
      </c>
      <c r="K315" s="1787">
        <v>35.387500000000003</v>
      </c>
      <c r="M315" s="4"/>
      <c r="N315" s="500"/>
      <c r="O315" s="500"/>
      <c r="P315" s="500"/>
      <c r="R315" s="500"/>
      <c r="S315" s="500"/>
      <c r="T315" s="500"/>
      <c r="V315" s="500"/>
      <c r="W315" s="500"/>
      <c r="X315" s="500"/>
      <c r="Z315" s="29"/>
      <c r="AA315" s="29"/>
      <c r="AB315" s="29"/>
      <c r="AC315" s="29"/>
      <c r="AD315" s="29"/>
      <c r="AE315" s="29"/>
      <c r="AF315" s="29"/>
      <c r="AG315" s="29"/>
      <c r="AH315" s="29"/>
      <c r="AI315" s="29"/>
      <c r="AJ315" s="29"/>
      <c r="AK315" s="29"/>
      <c r="AL315" s="29"/>
      <c r="AM315" s="29"/>
      <c r="AN315" s="29"/>
      <c r="AO315" s="29"/>
      <c r="AP315" s="29"/>
      <c r="AQ315" s="29"/>
      <c r="BQ315" s="325"/>
      <c r="BR315" s="415"/>
      <c r="BS315" s="415"/>
      <c r="BT315" s="415"/>
      <c r="BU315" s="416"/>
      <c r="BV315" s="416"/>
      <c r="BW315" s="416"/>
      <c r="BY315" s="416"/>
      <c r="CA315" s="432"/>
      <c r="CB315" s="415"/>
      <c r="CC315" s="445"/>
      <c r="CD315" s="449"/>
    </row>
    <row r="316" spans="1:82">
      <c r="A316" s="325"/>
      <c r="B316" s="416">
        <v>7.2609840130236011E-2</v>
      </c>
      <c r="C316" s="11"/>
      <c r="D316" s="1786">
        <v>45047</v>
      </c>
      <c r="E316" s="1787">
        <v>24.372377265293071</v>
      </c>
      <c r="F316" s="1787">
        <v>29.372377265293071</v>
      </c>
      <c r="G316" s="1787">
        <v>34.372377265293068</v>
      </c>
      <c r="H316" s="1789"/>
      <c r="I316" s="1787">
        <v>25.445967741935487</v>
      </c>
      <c r="J316" s="1787">
        <v>30.445967741935487</v>
      </c>
      <c r="K316" s="1787">
        <v>35.44596774193549</v>
      </c>
      <c r="M316" s="4"/>
      <c r="N316" s="500"/>
      <c r="O316" s="500"/>
      <c r="P316" s="500"/>
      <c r="R316" s="500"/>
      <c r="S316" s="500"/>
      <c r="T316" s="500"/>
      <c r="V316" s="500"/>
      <c r="W316" s="500"/>
      <c r="X316" s="500"/>
      <c r="Z316" s="29"/>
      <c r="AA316" s="29"/>
      <c r="AB316" s="29"/>
      <c r="AC316" s="29"/>
      <c r="AD316" s="29"/>
      <c r="AE316" s="29"/>
      <c r="AF316" s="29"/>
      <c r="AG316" s="29"/>
      <c r="AH316" s="29"/>
      <c r="AI316" s="29"/>
      <c r="AJ316" s="29"/>
      <c r="AK316" s="29"/>
      <c r="AL316" s="29"/>
      <c r="AM316" s="29"/>
      <c r="AN316" s="29"/>
      <c r="AO316" s="29"/>
      <c r="AP316" s="29"/>
      <c r="AQ316" s="29"/>
      <c r="BQ316" s="325"/>
      <c r="BR316" s="415"/>
      <c r="BS316" s="415"/>
      <c r="BT316" s="415"/>
      <c r="BU316" s="416"/>
      <c r="BV316" s="416"/>
      <c r="BW316" s="416"/>
      <c r="BY316" s="416"/>
      <c r="CA316" s="432"/>
      <c r="CB316" s="415"/>
      <c r="CC316" s="445"/>
      <c r="CD316" s="449"/>
    </row>
    <row r="317" spans="1:82">
      <c r="A317" s="325"/>
      <c r="B317" s="416">
        <v>7.2605575545079029E-2</v>
      </c>
      <c r="C317" s="11"/>
      <c r="D317" s="1850">
        <v>45078</v>
      </c>
      <c r="E317" s="1852">
        <f t="shared" ref="E317:G321" si="53">E305+E305-E293</f>
        <v>29.622377265293075</v>
      </c>
      <c r="F317" s="1852">
        <f t="shared" si="53"/>
        <v>34.622377265293075</v>
      </c>
      <c r="G317" s="1852">
        <f t="shared" si="53"/>
        <v>39.622377265293075</v>
      </c>
      <c r="H317" s="1851"/>
      <c r="I317" s="1852">
        <f t="shared" ref="I317:K323" si="54">I305+I305-I293</f>
        <v>24.7</v>
      </c>
      <c r="J317" s="1852">
        <f t="shared" si="54"/>
        <v>29.7</v>
      </c>
      <c r="K317" s="1852">
        <f t="shared" si="54"/>
        <v>34.700000000000003</v>
      </c>
      <c r="Z317" s="29"/>
      <c r="AA317" s="29"/>
      <c r="AB317" s="29"/>
      <c r="AC317" s="29"/>
      <c r="AD317" s="29"/>
      <c r="AE317" s="29"/>
      <c r="AF317" s="29"/>
      <c r="AG317" s="29"/>
      <c r="AH317" s="29"/>
      <c r="AI317" s="29"/>
      <c r="AJ317" s="29"/>
      <c r="AK317" s="29"/>
      <c r="AL317" s="29"/>
      <c r="AM317" s="29"/>
      <c r="AN317" s="29"/>
      <c r="AO317" s="29"/>
      <c r="AP317" s="29"/>
      <c r="AQ317" s="29"/>
      <c r="BQ317" s="325"/>
      <c r="BR317" s="415"/>
      <c r="BS317" s="415"/>
      <c r="BT317" s="415"/>
      <c r="BU317" s="416"/>
      <c r="BV317" s="416"/>
      <c r="BW317" s="416"/>
      <c r="BY317" s="416"/>
      <c r="CA317" s="432"/>
      <c r="CB317" s="415"/>
      <c r="CC317" s="445"/>
      <c r="CD317" s="449"/>
    </row>
    <row r="318" spans="1:82">
      <c r="A318" s="325"/>
      <c r="B318" s="416">
        <v>7.2601168807090014E-2</v>
      </c>
      <c r="C318" s="11"/>
      <c r="D318" s="1850">
        <v>45108</v>
      </c>
      <c r="E318" s="1852">
        <f t="shared" si="53"/>
        <v>56.969593399980425</v>
      </c>
      <c r="F318" s="1852">
        <f t="shared" si="53"/>
        <v>61.969593399980425</v>
      </c>
      <c r="G318" s="1852">
        <f t="shared" si="53"/>
        <v>66.969593399980425</v>
      </c>
      <c r="H318" s="1851"/>
      <c r="I318" s="1852">
        <f t="shared" si="54"/>
        <v>30.724193548387106</v>
      </c>
      <c r="J318" s="1852">
        <f t="shared" si="54"/>
        <v>35.724193548387106</v>
      </c>
      <c r="K318" s="1852">
        <f t="shared" si="54"/>
        <v>40.724193548387106</v>
      </c>
      <c r="Z318" s="29"/>
      <c r="AA318" s="29"/>
      <c r="AB318" s="29"/>
      <c r="AC318" s="29"/>
      <c r="AD318" s="29"/>
      <c r="AE318" s="29"/>
      <c r="AF318" s="29"/>
      <c r="AG318" s="29"/>
      <c r="AH318" s="29"/>
      <c r="AI318" s="29"/>
      <c r="AJ318" s="29"/>
      <c r="AK318" s="29"/>
      <c r="AL318" s="29"/>
      <c r="AM318" s="29"/>
      <c r="AN318" s="29"/>
      <c r="AO318" s="29"/>
      <c r="AP318" s="29"/>
      <c r="AQ318" s="29"/>
      <c r="BQ318" s="325"/>
      <c r="BR318" s="415"/>
      <c r="BS318" s="415"/>
      <c r="BT318" s="415"/>
      <c r="BU318" s="416"/>
      <c r="BV318" s="416"/>
      <c r="BW318" s="416"/>
      <c r="BY318" s="416"/>
      <c r="CA318" s="432"/>
      <c r="CB318" s="415"/>
      <c r="CC318" s="445"/>
      <c r="CD318" s="449"/>
    </row>
    <row r="319" spans="1:82">
      <c r="A319" s="325"/>
      <c r="B319" s="416">
        <v>7.2596762069107007E-2</v>
      </c>
      <c r="C319" s="11"/>
      <c r="D319" s="1850">
        <v>45139</v>
      </c>
      <c r="E319" s="1852">
        <f t="shared" si="53"/>
        <v>77.594593399980425</v>
      </c>
      <c r="F319" s="1852">
        <f t="shared" si="53"/>
        <v>82.594593399980425</v>
      </c>
      <c r="G319" s="1852">
        <f t="shared" si="53"/>
        <v>87.594593399980425</v>
      </c>
      <c r="H319" s="1851"/>
      <c r="I319" s="1852">
        <f t="shared" si="54"/>
        <v>28.724193548387106</v>
      </c>
      <c r="J319" s="1852">
        <f t="shared" si="54"/>
        <v>33.724193548387106</v>
      </c>
      <c r="K319" s="1852">
        <f t="shared" si="54"/>
        <v>38.724193548387106</v>
      </c>
      <c r="Z319" s="29"/>
      <c r="AA319" s="29"/>
      <c r="AB319" s="29"/>
      <c r="AC319" s="29"/>
      <c r="AD319" s="29"/>
      <c r="AE319" s="29"/>
      <c r="AF319" s="29"/>
      <c r="AG319" s="29"/>
      <c r="AH319" s="29"/>
      <c r="AI319" s="29"/>
      <c r="AJ319" s="29"/>
      <c r="AK319" s="29"/>
      <c r="AL319" s="29"/>
      <c r="AM319" s="29"/>
      <c r="AN319" s="29"/>
      <c r="AO319" s="29"/>
      <c r="AP319" s="29"/>
      <c r="AQ319" s="29"/>
      <c r="BQ319" s="325"/>
      <c r="BR319" s="415"/>
      <c r="BS319" s="415"/>
      <c r="BT319" s="415"/>
      <c r="BU319" s="416"/>
      <c r="BV319" s="416"/>
      <c r="BW319" s="416"/>
      <c r="BY319" s="416"/>
      <c r="CA319" s="432"/>
      <c r="CB319" s="415"/>
      <c r="CC319" s="445"/>
      <c r="CD319" s="449"/>
    </row>
    <row r="320" spans="1:82">
      <c r="A320" s="325"/>
      <c r="B320" s="416">
        <v>7.259249748396801E-2</v>
      </c>
      <c r="C320" s="11"/>
      <c r="D320" s="1850">
        <v>45170</v>
      </c>
      <c r="E320" s="1852">
        <f t="shared" si="53"/>
        <v>61.594593399980425</v>
      </c>
      <c r="F320" s="1852">
        <f t="shared" si="53"/>
        <v>66.594593399980425</v>
      </c>
      <c r="G320" s="1852">
        <f t="shared" si="53"/>
        <v>71.594593399980425</v>
      </c>
      <c r="H320" s="1851"/>
      <c r="I320" s="1852">
        <f t="shared" si="54"/>
        <v>29.137499999999999</v>
      </c>
      <c r="J320" s="1852">
        <f t="shared" si="54"/>
        <v>34.137500000000003</v>
      </c>
      <c r="K320" s="1852">
        <f t="shared" si="54"/>
        <v>39.137500000000003</v>
      </c>
      <c r="Z320" s="29"/>
      <c r="AA320" s="29"/>
      <c r="AB320" s="29"/>
      <c r="AC320" s="29"/>
      <c r="AD320" s="29"/>
      <c r="AE320" s="29"/>
      <c r="AF320" s="29"/>
      <c r="AG320" s="29"/>
      <c r="AH320" s="29"/>
      <c r="AI320" s="29"/>
      <c r="AJ320" s="29"/>
      <c r="AK320" s="29"/>
      <c r="AL320" s="29"/>
      <c r="AM320" s="29"/>
      <c r="AN320" s="29"/>
      <c r="AO320" s="29"/>
      <c r="AP320" s="29"/>
      <c r="AQ320" s="29"/>
      <c r="BQ320" s="325"/>
      <c r="BR320" s="415"/>
      <c r="BS320" s="415"/>
      <c r="BT320" s="415"/>
      <c r="BU320" s="416"/>
      <c r="BV320" s="416"/>
      <c r="BW320" s="416"/>
      <c r="BY320" s="416"/>
      <c r="CA320" s="432"/>
      <c r="CB320" s="415"/>
      <c r="CC320" s="445"/>
      <c r="CD320" s="449"/>
    </row>
    <row r="321" spans="1:82">
      <c r="A321" s="325"/>
      <c r="B321" s="416">
        <v>7.258809074600002E-2</v>
      </c>
      <c r="C321" s="11"/>
      <c r="D321" s="1850">
        <v>45200</v>
      </c>
      <c r="E321" s="1852">
        <f t="shared" si="53"/>
        <v>32.8049247436402</v>
      </c>
      <c r="F321" s="1852">
        <f t="shared" si="53"/>
        <v>37.8049247436402</v>
      </c>
      <c r="G321" s="1852">
        <f t="shared" si="53"/>
        <v>42.8049247436402</v>
      </c>
      <c r="H321" s="1851"/>
      <c r="I321" s="1852">
        <f t="shared" si="54"/>
        <v>28.651612903225811</v>
      </c>
      <c r="J321" s="1852">
        <f t="shared" si="54"/>
        <v>33.651612903225811</v>
      </c>
      <c r="K321" s="1852">
        <f t="shared" si="54"/>
        <v>38.651612903225811</v>
      </c>
      <c r="Z321" s="29"/>
      <c r="AA321" s="29"/>
      <c r="AB321" s="29"/>
      <c r="AC321" s="29"/>
      <c r="AD321" s="29"/>
      <c r="AE321" s="29"/>
      <c r="AF321" s="29"/>
      <c r="AG321" s="29"/>
      <c r="AH321" s="29"/>
      <c r="AI321" s="29"/>
      <c r="AJ321" s="29"/>
      <c r="AK321" s="29"/>
      <c r="AL321" s="29"/>
      <c r="AM321" s="29"/>
      <c r="AN321" s="29"/>
      <c r="AO321" s="29"/>
      <c r="AP321" s="29"/>
      <c r="AQ321" s="29"/>
      <c r="BQ321" s="325"/>
      <c r="BR321" s="415"/>
      <c r="BS321" s="415"/>
      <c r="BT321" s="415"/>
      <c r="BU321" s="416"/>
      <c r="BV321" s="416"/>
      <c r="BW321" s="416"/>
      <c r="BY321" s="416"/>
      <c r="CA321" s="432"/>
      <c r="CB321" s="415"/>
      <c r="CC321" s="445"/>
      <c r="CD321" s="449"/>
    </row>
    <row r="322" spans="1:82">
      <c r="A322" s="325"/>
      <c r="B322" s="416">
        <v>7.2583826160871001E-2</v>
      </c>
      <c r="C322" s="11"/>
      <c r="D322" s="1850">
        <v>45231</v>
      </c>
      <c r="E322" s="1852">
        <f t="shared" ref="E322:G323" si="55">E310+E310-E298</f>
        <v>25.05492474364021</v>
      </c>
      <c r="F322" s="1852">
        <f t="shared" si="55"/>
        <v>30.05492474364021</v>
      </c>
      <c r="G322" s="1852">
        <f t="shared" si="55"/>
        <v>35.0549247436402</v>
      </c>
      <c r="H322" s="1851"/>
      <c r="I322" s="1852">
        <f t="shared" si="54"/>
        <v>29.991666666666674</v>
      </c>
      <c r="J322" s="1852">
        <f t="shared" si="54"/>
        <v>34.991666666666674</v>
      </c>
      <c r="K322" s="1852">
        <f t="shared" si="54"/>
        <v>39.991666666666674</v>
      </c>
      <c r="Z322" s="29"/>
      <c r="AA322" s="29"/>
      <c r="AB322" s="29"/>
      <c r="AC322" s="29"/>
      <c r="AD322" s="29"/>
      <c r="AE322" s="29"/>
      <c r="AF322" s="29"/>
      <c r="AG322" s="29"/>
      <c r="AH322" s="29"/>
      <c r="AI322" s="29"/>
      <c r="AJ322" s="29"/>
      <c r="AK322" s="29"/>
      <c r="AL322" s="29"/>
      <c r="AM322" s="29"/>
      <c r="AN322" s="29"/>
      <c r="AO322" s="29"/>
      <c r="AP322" s="29"/>
      <c r="AQ322" s="29"/>
      <c r="BQ322" s="325"/>
      <c r="BR322" s="415"/>
      <c r="BS322" s="415"/>
      <c r="BT322" s="415"/>
      <c r="BU322" s="416"/>
      <c r="BV322" s="416"/>
      <c r="BW322" s="416"/>
      <c r="BY322" s="416"/>
      <c r="CA322" s="432"/>
      <c r="CB322" s="415"/>
      <c r="CC322" s="445"/>
      <c r="CD322" s="449"/>
    </row>
    <row r="323" spans="1:82">
      <c r="A323" s="325"/>
      <c r="B323" s="416">
        <v>7.2579419422913002E-2</v>
      </c>
      <c r="C323" s="11"/>
      <c r="D323" s="1850">
        <v>45261</v>
      </c>
      <c r="E323" s="1852">
        <f t="shared" si="55"/>
        <v>27.054924743640207</v>
      </c>
      <c r="F323" s="1852">
        <f t="shared" si="55"/>
        <v>32.054924743640207</v>
      </c>
      <c r="G323" s="1852">
        <f t="shared" si="55"/>
        <v>37.054924743640207</v>
      </c>
      <c r="H323" s="1851"/>
      <c r="I323" s="1852">
        <f t="shared" si="54"/>
        <v>29.296774193548401</v>
      </c>
      <c r="J323" s="1852">
        <f t="shared" si="54"/>
        <v>34.296774193548401</v>
      </c>
      <c r="K323" s="1852">
        <f t="shared" si="54"/>
        <v>39.296774193548401</v>
      </c>
      <c r="L323"/>
      <c r="M323"/>
      <c r="N323"/>
      <c r="O323"/>
      <c r="P323"/>
      <c r="Q323"/>
      <c r="R323"/>
      <c r="S323"/>
      <c r="T323"/>
      <c r="U323"/>
      <c r="V323"/>
      <c r="W323"/>
      <c r="X323"/>
      <c r="Y323"/>
      <c r="Z323" s="29"/>
      <c r="AA323" s="29"/>
      <c r="AB323" s="29"/>
      <c r="AC323" s="29"/>
      <c r="AD323" s="29"/>
      <c r="AE323" s="29"/>
      <c r="AF323" s="29"/>
      <c r="AG323" s="29"/>
      <c r="AH323" s="29"/>
      <c r="AI323" s="29"/>
      <c r="AJ323" s="29"/>
      <c r="AK323" s="29"/>
      <c r="AL323" s="29"/>
      <c r="AM323" s="29"/>
      <c r="AN323" s="29"/>
      <c r="AO323" s="29"/>
      <c r="AP323" s="29"/>
      <c r="AQ323" s="29"/>
      <c r="AR323"/>
      <c r="AS323"/>
      <c r="AT323"/>
      <c r="AU323"/>
      <c r="AV323"/>
      <c r="AW323"/>
      <c r="AX323"/>
      <c r="AY323"/>
      <c r="AZ323"/>
      <c r="BA323"/>
      <c r="BB323"/>
      <c r="BC323"/>
      <c r="BD323"/>
      <c r="BE323"/>
      <c r="BF323"/>
      <c r="BG323"/>
      <c r="BH323"/>
      <c r="BI323"/>
      <c r="BJ323"/>
      <c r="BK323"/>
      <c r="BL323"/>
      <c r="BM323"/>
      <c r="BN323"/>
      <c r="BO323"/>
      <c r="BP323"/>
      <c r="BQ323" s="325"/>
      <c r="BR323" s="415"/>
      <c r="BS323" s="415"/>
      <c r="BT323" s="415"/>
      <c r="BU323" s="416"/>
      <c r="BV323" s="416"/>
      <c r="BW323" s="416"/>
      <c r="BY323" s="416"/>
      <c r="CA323" s="432"/>
      <c r="CB323" s="415"/>
      <c r="CC323" s="445"/>
      <c r="CD323" s="449"/>
    </row>
    <row r="324" spans="1:82">
      <c r="A324" s="325"/>
      <c r="B324" s="416">
        <v>7.2575012684962012E-2</v>
      </c>
      <c r="C324" s="11"/>
      <c r="D324" s="1850">
        <v>45292</v>
      </c>
      <c r="E324" s="1852">
        <f t="shared" ref="E324:G335" si="56">E312+E312-E300</f>
        <v>25.758919429153611</v>
      </c>
      <c r="F324" s="1852">
        <f t="shared" si="56"/>
        <v>30.758919429153611</v>
      </c>
      <c r="G324" s="1852">
        <f t="shared" si="56"/>
        <v>35.758919429153622</v>
      </c>
      <c r="H324" s="1851"/>
      <c r="I324" s="1852">
        <f t="shared" ref="I324:K335" si="57">I312+I312-I300</f>
        <v>26.838119151052211</v>
      </c>
      <c r="J324" s="1852">
        <f t="shared" si="57"/>
        <v>31.838119151052211</v>
      </c>
      <c r="K324" s="1852">
        <f t="shared" si="57"/>
        <v>36.838119151052211</v>
      </c>
      <c r="L324"/>
      <c r="M324"/>
      <c r="N324"/>
      <c r="O324"/>
      <c r="P324"/>
      <c r="Q324"/>
      <c r="R324"/>
      <c r="S324"/>
      <c r="T324"/>
      <c r="U324"/>
      <c r="V324"/>
      <c r="W324"/>
      <c r="X324"/>
      <c r="Y324"/>
      <c r="Z324" s="29"/>
      <c r="AA324" s="29"/>
      <c r="AB324" s="29"/>
      <c r="AC324" s="29"/>
      <c r="AD324" s="29"/>
      <c r="AE324" s="29"/>
      <c r="AF324" s="29"/>
      <c r="AG324" s="29"/>
      <c r="AH324" s="29"/>
      <c r="AI324" s="29"/>
      <c r="AJ324" s="29"/>
      <c r="AK324" s="29"/>
      <c r="AL324" s="29"/>
      <c r="AM324" s="29"/>
      <c r="AN324" s="29"/>
      <c r="AO324" s="29"/>
      <c r="AP324" s="29"/>
      <c r="AQ324" s="29"/>
      <c r="AR324"/>
      <c r="AS324"/>
      <c r="AT324"/>
      <c r="AU324"/>
      <c r="AV324"/>
      <c r="AW324"/>
      <c r="AX324"/>
      <c r="AY324"/>
      <c r="AZ324"/>
      <c r="BA324"/>
      <c r="BB324"/>
      <c r="BC324"/>
      <c r="BD324"/>
      <c r="BE324"/>
      <c r="BF324"/>
      <c r="BG324"/>
      <c r="BH324"/>
      <c r="BI324"/>
      <c r="BJ324"/>
      <c r="BK324"/>
      <c r="BL324"/>
      <c r="BM324"/>
      <c r="BN324"/>
      <c r="BO324"/>
      <c r="BP324"/>
      <c r="BQ324" s="325"/>
      <c r="BR324" s="415"/>
      <c r="BS324" s="415"/>
      <c r="BT324" s="415"/>
      <c r="BU324" s="416"/>
      <c r="BV324" s="416"/>
      <c r="BW324" s="416"/>
      <c r="BY324" s="416"/>
      <c r="CA324" s="432"/>
      <c r="CB324" s="415"/>
      <c r="CC324" s="445"/>
      <c r="CD324" s="449"/>
    </row>
    <row r="325" spans="1:82">
      <c r="A325" s="325"/>
      <c r="B325" s="416">
        <v>7.2571032405527994E-2</v>
      </c>
      <c r="C325" s="11"/>
      <c r="D325" s="1850">
        <v>45323</v>
      </c>
      <c r="E325" s="1852">
        <f t="shared" si="56"/>
        <v>25.258919429153611</v>
      </c>
      <c r="F325" s="1852">
        <f t="shared" si="56"/>
        <v>30.258919429153611</v>
      </c>
      <c r="G325" s="1852">
        <f t="shared" si="56"/>
        <v>35.258919429153622</v>
      </c>
      <c r="H325" s="1851"/>
      <c r="I325" s="1852">
        <f t="shared" si="57"/>
        <v>27.807142857142868</v>
      </c>
      <c r="J325" s="1852">
        <f t="shared" si="57"/>
        <v>32.807142857142864</v>
      </c>
      <c r="K325" s="1852">
        <f t="shared" si="57"/>
        <v>37.807142857142864</v>
      </c>
      <c r="L325"/>
      <c r="M325"/>
      <c r="N325"/>
      <c r="O325"/>
      <c r="P325"/>
      <c r="Q325"/>
      <c r="R325"/>
      <c r="S325"/>
      <c r="T325"/>
      <c r="U325"/>
      <c r="V325"/>
      <c r="W325"/>
      <c r="X325"/>
      <c r="Y325"/>
      <c r="Z325" s="29"/>
      <c r="AA325" s="29"/>
      <c r="AB325" s="29"/>
      <c r="AC325" s="29"/>
      <c r="AD325" s="29"/>
      <c r="AE325" s="29"/>
      <c r="AF325" s="29"/>
      <c r="AG325" s="29"/>
      <c r="AH325" s="29"/>
      <c r="AI325" s="29"/>
      <c r="AJ325" s="29"/>
      <c r="AK325" s="29"/>
      <c r="AL325" s="29"/>
      <c r="AM325" s="29"/>
      <c r="AN325" s="29"/>
      <c r="AO325" s="29"/>
      <c r="AP325" s="29"/>
      <c r="AQ325" s="29"/>
      <c r="AR325"/>
      <c r="AS325"/>
      <c r="AT325"/>
      <c r="AU325"/>
      <c r="AV325"/>
      <c r="AW325"/>
      <c r="AX325"/>
      <c r="AY325"/>
      <c r="AZ325"/>
      <c r="BA325"/>
      <c r="BB325"/>
      <c r="BC325"/>
      <c r="BD325"/>
      <c r="BE325"/>
      <c r="BF325"/>
      <c r="BG325"/>
      <c r="BH325"/>
      <c r="BI325"/>
      <c r="BJ325"/>
      <c r="BK325"/>
      <c r="BL325"/>
      <c r="BM325"/>
      <c r="BN325"/>
      <c r="BO325"/>
      <c r="BP325"/>
      <c r="BQ325" s="325"/>
      <c r="BR325" s="415"/>
      <c r="BS325" s="415"/>
      <c r="BT325" s="415"/>
      <c r="BU325" s="416"/>
      <c r="BV325" s="416"/>
      <c r="BW325" s="416"/>
      <c r="BY325" s="416"/>
      <c r="CA325" s="432"/>
      <c r="CB325" s="415"/>
      <c r="CC325" s="445"/>
      <c r="CD325" s="449"/>
    </row>
    <row r="326" spans="1:82">
      <c r="A326" s="325"/>
      <c r="B326" s="416">
        <v>7.2566625667589008E-2</v>
      </c>
      <c r="C326" s="11"/>
      <c r="D326" s="1850">
        <v>45352</v>
      </c>
      <c r="E326" s="1852">
        <f t="shared" si="56"/>
        <v>25.008919429153611</v>
      </c>
      <c r="F326" s="1852">
        <f t="shared" si="56"/>
        <v>30.008919429153611</v>
      </c>
      <c r="G326" s="1852">
        <f t="shared" si="56"/>
        <v>35.008919429153622</v>
      </c>
      <c r="H326" s="1851"/>
      <c r="I326" s="1852">
        <f t="shared" si="57"/>
        <v>28.087096774193554</v>
      </c>
      <c r="J326" s="1852">
        <f t="shared" si="57"/>
        <v>33.087096774193554</v>
      </c>
      <c r="K326" s="1852">
        <f t="shared" si="57"/>
        <v>38.087096774193554</v>
      </c>
      <c r="L326"/>
      <c r="M326"/>
      <c r="N326"/>
      <c r="O326"/>
      <c r="P326"/>
      <c r="Q326"/>
      <c r="R326"/>
      <c r="S326"/>
      <c r="T326"/>
      <c r="U326"/>
      <c r="V326"/>
      <c r="W326"/>
      <c r="X326"/>
      <c r="Y326"/>
      <c r="Z326" s="29"/>
      <c r="AA326" s="29"/>
      <c r="AB326" s="29"/>
      <c r="AC326" s="29"/>
      <c r="AD326" s="29"/>
      <c r="AE326" s="29"/>
      <c r="AF326" s="29"/>
      <c r="AG326" s="29"/>
      <c r="AH326" s="29"/>
      <c r="AI326" s="29"/>
      <c r="AJ326" s="29"/>
      <c r="AK326" s="29"/>
      <c r="AL326" s="29"/>
      <c r="AM326" s="29"/>
      <c r="AN326" s="29"/>
      <c r="AO326" s="29"/>
      <c r="AP326" s="29"/>
      <c r="AQ326" s="29"/>
      <c r="AR326"/>
      <c r="AS326"/>
      <c r="AT326"/>
      <c r="AU326"/>
      <c r="AV326"/>
      <c r="AW326"/>
      <c r="AX326"/>
      <c r="AY326"/>
      <c r="AZ326"/>
      <c r="BA326"/>
      <c r="BB326"/>
      <c r="BC326"/>
      <c r="BD326"/>
      <c r="BE326"/>
      <c r="BF326"/>
      <c r="BG326"/>
      <c r="BH326"/>
      <c r="BI326"/>
      <c r="BJ326"/>
      <c r="BK326"/>
      <c r="BL326"/>
      <c r="BM326"/>
      <c r="BN326"/>
      <c r="BO326"/>
      <c r="BP326"/>
      <c r="BQ326" s="325"/>
      <c r="BR326" s="415"/>
      <c r="BS326" s="415"/>
      <c r="BT326" s="415"/>
      <c r="BU326" s="416"/>
      <c r="BV326" s="416"/>
      <c r="BW326" s="416"/>
      <c r="BY326" s="416"/>
      <c r="CA326" s="432"/>
      <c r="CB326" s="415"/>
      <c r="CC326" s="445"/>
      <c r="CD326" s="449"/>
    </row>
    <row r="327" spans="1:82">
      <c r="A327" s="325"/>
      <c r="B327" s="416">
        <v>7.2562361082493004E-2</v>
      </c>
      <c r="C327" s="11"/>
      <c r="D327" s="1850">
        <v>45383</v>
      </c>
      <c r="E327" s="1852">
        <f t="shared" si="56"/>
        <v>25.199922567308118</v>
      </c>
      <c r="F327" s="1852">
        <f t="shared" si="56"/>
        <v>30.199922567308118</v>
      </c>
      <c r="G327" s="1852">
        <f t="shared" si="56"/>
        <v>35.199922567308107</v>
      </c>
      <c r="H327" s="1851"/>
      <c r="I327" s="1852">
        <f t="shared" si="57"/>
        <v>25.887499999999999</v>
      </c>
      <c r="J327" s="1852">
        <f t="shared" si="57"/>
        <v>30.887499999999999</v>
      </c>
      <c r="K327" s="1852">
        <f t="shared" si="57"/>
        <v>35.887500000000003</v>
      </c>
      <c r="L327"/>
      <c r="M327"/>
      <c r="N327"/>
      <c r="O327"/>
      <c r="P327"/>
      <c r="Q327"/>
      <c r="R327"/>
      <c r="S327"/>
      <c r="T327"/>
      <c r="U327"/>
      <c r="V327"/>
      <c r="W327"/>
      <c r="X327"/>
      <c r="Y327"/>
      <c r="Z327" s="29"/>
      <c r="AA327" s="29"/>
      <c r="AB327" s="29"/>
      <c r="AC327" s="29"/>
      <c r="AD327" s="29"/>
      <c r="AE327" s="29"/>
      <c r="AF327" s="29"/>
      <c r="AG327" s="29"/>
      <c r="AH327" s="29"/>
      <c r="AI327" s="29"/>
      <c r="AJ327" s="29"/>
      <c r="AK327" s="29"/>
      <c r="AL327" s="29"/>
      <c r="AM327" s="29"/>
      <c r="AN327" s="29"/>
      <c r="AO327" s="29"/>
      <c r="AP327" s="29"/>
      <c r="AQ327" s="29"/>
      <c r="AR327"/>
      <c r="AS327"/>
      <c r="AT327"/>
      <c r="AU327"/>
      <c r="AV327"/>
      <c r="AW327"/>
      <c r="AX327"/>
      <c r="AY327"/>
      <c r="AZ327"/>
      <c r="BA327"/>
      <c r="BB327"/>
      <c r="BC327"/>
      <c r="BD327"/>
      <c r="BE327"/>
      <c r="BF327"/>
      <c r="BG327"/>
      <c r="BH327"/>
      <c r="BI327"/>
      <c r="BJ327"/>
      <c r="BK327"/>
      <c r="BL327"/>
      <c r="BM327"/>
      <c r="BN327"/>
      <c r="BO327"/>
      <c r="BP327"/>
      <c r="BQ327" s="325"/>
      <c r="BR327" s="415"/>
      <c r="BS327" s="415"/>
      <c r="BT327" s="415"/>
      <c r="BU327" s="416"/>
      <c r="BV327" s="416"/>
      <c r="BW327" s="416"/>
      <c r="BY327" s="416"/>
      <c r="CA327" s="432"/>
      <c r="CB327" s="415"/>
      <c r="CC327" s="445"/>
      <c r="CD327" s="449"/>
    </row>
    <row r="328" spans="1:82">
      <c r="A328" s="325"/>
      <c r="B328" s="416">
        <v>7.2557954344566036E-2</v>
      </c>
      <c r="C328" s="11"/>
      <c r="D328" s="1850">
        <v>45413</v>
      </c>
      <c r="E328" s="1852">
        <f t="shared" si="56"/>
        <v>24.449922567308118</v>
      </c>
      <c r="F328" s="1852">
        <f t="shared" si="56"/>
        <v>29.449922567308118</v>
      </c>
      <c r="G328" s="1852">
        <f t="shared" si="56"/>
        <v>34.449922567308107</v>
      </c>
      <c r="H328" s="1851"/>
      <c r="I328" s="1852">
        <f t="shared" si="57"/>
        <v>25.945967741935487</v>
      </c>
      <c r="J328" s="1852">
        <f t="shared" si="57"/>
        <v>30.945967741935487</v>
      </c>
      <c r="K328" s="1852">
        <f t="shared" si="57"/>
        <v>35.94596774193549</v>
      </c>
      <c r="L328"/>
      <c r="M328"/>
      <c r="N328"/>
      <c r="O328"/>
      <c r="P328"/>
      <c r="Q328"/>
      <c r="R328"/>
      <c r="S328"/>
      <c r="T328"/>
      <c r="U328"/>
      <c r="V328"/>
      <c r="W328"/>
      <c r="X328"/>
      <c r="Y328"/>
      <c r="Z328" s="29"/>
      <c r="AA328" s="29"/>
      <c r="AB328" s="29"/>
      <c r="AC328" s="29"/>
      <c r="AD328" s="29"/>
      <c r="AE328" s="29"/>
      <c r="AF328" s="29"/>
      <c r="AG328" s="29"/>
      <c r="AH328" s="29"/>
      <c r="AI328" s="29"/>
      <c r="AJ328" s="29"/>
      <c r="AK328" s="29"/>
      <c r="AL328" s="29"/>
      <c r="AM328" s="29"/>
      <c r="AN328" s="29"/>
      <c r="AO328" s="29"/>
      <c r="AP328" s="29"/>
      <c r="AQ328" s="29"/>
      <c r="AR328"/>
      <c r="AS328"/>
      <c r="AT328"/>
      <c r="AU328"/>
      <c r="AV328"/>
      <c r="AW328"/>
      <c r="AX328"/>
      <c r="AY328"/>
      <c r="AZ328"/>
      <c r="BA328"/>
      <c r="BB328"/>
      <c r="BC328"/>
      <c r="BD328"/>
      <c r="BE328"/>
      <c r="BF328"/>
      <c r="BG328"/>
      <c r="BH328"/>
      <c r="BI328"/>
      <c r="BJ328"/>
      <c r="BK328"/>
      <c r="BL328"/>
      <c r="BM328"/>
      <c r="BN328"/>
      <c r="BO328"/>
      <c r="BP328"/>
      <c r="BQ328" s="325"/>
      <c r="BR328" s="415"/>
      <c r="BS328" s="415"/>
      <c r="BT328" s="415"/>
      <c r="BU328" s="416"/>
      <c r="BV328" s="416"/>
      <c r="BW328" s="416"/>
      <c r="BY328" s="416"/>
      <c r="CA328" s="432"/>
      <c r="CB328" s="415"/>
      <c r="CC328" s="445"/>
      <c r="CD328" s="449"/>
    </row>
    <row r="329" spans="1:82">
      <c r="A329" s="325"/>
      <c r="B329" s="416">
        <v>7.2553689759482023E-2</v>
      </c>
      <c r="C329" s="11"/>
      <c r="D329" s="1850">
        <v>45444</v>
      </c>
      <c r="E329" s="1852">
        <f t="shared" si="56"/>
        <v>29.699922567308121</v>
      </c>
      <c r="F329" s="1852">
        <f t="shared" si="56"/>
        <v>34.699922567308121</v>
      </c>
      <c r="G329" s="1852">
        <f t="shared" si="56"/>
        <v>39.699922567308121</v>
      </c>
      <c r="H329" s="1851"/>
      <c r="I329" s="1852">
        <f t="shared" si="57"/>
        <v>25.2</v>
      </c>
      <c r="J329" s="1852">
        <f t="shared" si="57"/>
        <v>30.2</v>
      </c>
      <c r="K329" s="1852">
        <f t="shared" si="57"/>
        <v>35.200000000000003</v>
      </c>
      <c r="L329"/>
      <c r="M329"/>
      <c r="N329"/>
      <c r="O329"/>
      <c r="P329"/>
      <c r="Q329"/>
      <c r="R329"/>
      <c r="S329"/>
      <c r="T329"/>
      <c r="U329"/>
      <c r="V329"/>
      <c r="W329"/>
      <c r="X329"/>
      <c r="Y329"/>
      <c r="Z329" s="29"/>
      <c r="AA329" s="29"/>
      <c r="AB329" s="29"/>
      <c r="AC329" s="29"/>
      <c r="AD329" s="29"/>
      <c r="AE329" s="29"/>
      <c r="AF329" s="29"/>
      <c r="AG329" s="29"/>
      <c r="AH329" s="29"/>
      <c r="AI329" s="29"/>
      <c r="AJ329" s="29"/>
      <c r="AK329" s="29"/>
      <c r="AL329" s="29"/>
      <c r="AM329" s="29"/>
      <c r="AN329" s="29"/>
      <c r="AO329" s="29"/>
      <c r="AP329" s="29"/>
      <c r="AQ329" s="29"/>
      <c r="AR329"/>
      <c r="AS329"/>
      <c r="AT329"/>
      <c r="AU329"/>
      <c r="AV329"/>
      <c r="AW329"/>
      <c r="AX329"/>
      <c r="AY329"/>
      <c r="AZ329"/>
      <c r="BA329"/>
      <c r="BB329"/>
      <c r="BC329"/>
      <c r="BD329"/>
      <c r="BE329"/>
      <c r="BF329"/>
      <c r="BG329"/>
      <c r="BH329"/>
      <c r="BI329"/>
      <c r="BJ329"/>
      <c r="BK329"/>
      <c r="BL329"/>
      <c r="BM329"/>
      <c r="BN329"/>
      <c r="BO329"/>
      <c r="BP329"/>
      <c r="BQ329" s="325"/>
      <c r="BR329" s="415"/>
      <c r="BS329" s="415"/>
      <c r="BT329" s="415"/>
      <c r="BU329" s="416"/>
      <c r="BV329" s="416"/>
      <c r="BW329" s="416"/>
      <c r="BY329" s="416"/>
      <c r="CA329" s="432"/>
      <c r="CB329" s="415"/>
      <c r="CC329" s="445"/>
      <c r="CD329" s="449"/>
    </row>
    <row r="330" spans="1:82">
      <c r="A330" s="325"/>
      <c r="B330" s="416">
        <v>7.2549283021568003E-2</v>
      </c>
      <c r="C330" s="11"/>
      <c r="D330" s="1850">
        <v>45474</v>
      </c>
      <c r="E330" s="1852">
        <f t="shared" si="56"/>
        <v>57.144288992591072</v>
      </c>
      <c r="F330" s="1852">
        <f t="shared" si="56"/>
        <v>62.144288992591072</v>
      </c>
      <c r="G330" s="1852">
        <f t="shared" si="56"/>
        <v>67.144288992591072</v>
      </c>
      <c r="H330" s="1851"/>
      <c r="I330" s="1852">
        <f t="shared" si="57"/>
        <v>31.224193548387106</v>
      </c>
      <c r="J330" s="1852">
        <f t="shared" si="57"/>
        <v>36.224193548387106</v>
      </c>
      <c r="K330" s="1852">
        <f t="shared" si="57"/>
        <v>41.224193548387106</v>
      </c>
      <c r="L330"/>
      <c r="M330"/>
      <c r="N330"/>
      <c r="O330"/>
      <c r="P330"/>
      <c r="Q330"/>
      <c r="R330"/>
      <c r="S330"/>
      <c r="T330"/>
      <c r="U330"/>
      <c r="V330"/>
      <c r="W330"/>
      <c r="X330"/>
      <c r="Y330"/>
      <c r="Z330" s="29"/>
      <c r="AA330" s="29"/>
      <c r="AB330" s="29"/>
      <c r="AC330" s="29"/>
      <c r="AD330" s="29"/>
      <c r="AE330" s="29"/>
      <c r="AF330" s="29"/>
      <c r="AG330" s="29"/>
      <c r="AH330" s="29"/>
      <c r="AI330" s="29"/>
      <c r="AJ330" s="29"/>
      <c r="AK330" s="29"/>
      <c r="AL330" s="29"/>
      <c r="AM330" s="29"/>
      <c r="AN330" s="29"/>
      <c r="AO330" s="29"/>
      <c r="AP330" s="29"/>
      <c r="AQ330" s="29"/>
      <c r="AR330"/>
      <c r="AS330"/>
      <c r="AT330"/>
      <c r="AU330"/>
      <c r="AV330"/>
      <c r="AW330"/>
      <c r="AX330"/>
      <c r="AY330"/>
      <c r="AZ330"/>
      <c r="BA330"/>
      <c r="BB330"/>
      <c r="BC330"/>
      <c r="BD330"/>
      <c r="BE330"/>
      <c r="BF330"/>
      <c r="BG330"/>
      <c r="BH330"/>
      <c r="BI330"/>
      <c r="BJ330"/>
      <c r="BK330"/>
      <c r="BL330"/>
      <c r="BM330"/>
      <c r="BN330"/>
      <c r="BO330"/>
      <c r="BP330"/>
      <c r="BQ330" s="325"/>
      <c r="BR330" s="415"/>
      <c r="BS330" s="415"/>
      <c r="BT330" s="415"/>
      <c r="BU330" s="416"/>
      <c r="BV330" s="416"/>
      <c r="BW330" s="416"/>
      <c r="BY330" s="416"/>
      <c r="CA330" s="432"/>
      <c r="CB330" s="415"/>
      <c r="CC330" s="445"/>
      <c r="CD330" s="449"/>
    </row>
    <row r="331" spans="1:82">
      <c r="A331" s="325"/>
      <c r="B331" s="416">
        <v>7.2544876283661019E-2</v>
      </c>
      <c r="C331" s="11"/>
      <c r="D331" s="1850">
        <v>45505</v>
      </c>
      <c r="E331" s="1852">
        <f t="shared" si="56"/>
        <v>77.769288992591072</v>
      </c>
      <c r="F331" s="1852">
        <f t="shared" si="56"/>
        <v>82.769288992591072</v>
      </c>
      <c r="G331" s="1852">
        <f t="shared" si="56"/>
        <v>87.769288992591072</v>
      </c>
      <c r="H331" s="1851"/>
      <c r="I331" s="1852">
        <f t="shared" si="57"/>
        <v>29.224193548387106</v>
      </c>
      <c r="J331" s="1852">
        <f t="shared" si="57"/>
        <v>34.224193548387106</v>
      </c>
      <c r="K331" s="1852">
        <f t="shared" si="57"/>
        <v>39.224193548387106</v>
      </c>
      <c r="L331"/>
      <c r="M331"/>
      <c r="N331"/>
      <c r="O331"/>
      <c r="P331"/>
      <c r="Q331"/>
      <c r="R331"/>
      <c r="S331"/>
      <c r="T331"/>
      <c r="U331"/>
      <c r="V331"/>
      <c r="W331"/>
      <c r="X331"/>
      <c r="Y331"/>
      <c r="Z331" s="29"/>
      <c r="AA331" s="29"/>
      <c r="AB331" s="29"/>
      <c r="AC331" s="29"/>
      <c r="AD331" s="29"/>
      <c r="AE331" s="29"/>
      <c r="AF331" s="29"/>
      <c r="AG331" s="29"/>
      <c r="AH331" s="29"/>
      <c r="AI331" s="29"/>
      <c r="AJ331" s="29"/>
      <c r="AK331" s="29"/>
      <c r="AL331" s="29"/>
      <c r="AM331" s="29"/>
      <c r="AN331" s="29"/>
      <c r="AO331" s="29"/>
      <c r="AP331" s="29"/>
      <c r="AQ331" s="29"/>
      <c r="AR331"/>
      <c r="AS331"/>
      <c r="AT331"/>
      <c r="AU331"/>
      <c r="AV331"/>
      <c r="AW331"/>
      <c r="AX331"/>
      <c r="AY331"/>
      <c r="AZ331"/>
      <c r="BA331"/>
      <c r="BB331"/>
      <c r="BC331"/>
      <c r="BD331"/>
      <c r="BE331"/>
      <c r="BF331"/>
      <c r="BG331"/>
      <c r="BH331"/>
      <c r="BI331"/>
      <c r="BJ331"/>
      <c r="BK331"/>
      <c r="BL331"/>
      <c r="BM331"/>
      <c r="BN331"/>
      <c r="BO331"/>
      <c r="BP331"/>
      <c r="BQ331" s="325"/>
      <c r="BR331" s="415"/>
      <c r="BS331" s="415"/>
      <c r="BT331" s="415"/>
      <c r="BU331" s="416"/>
      <c r="BV331" s="416"/>
      <c r="BW331" s="416"/>
      <c r="BY331" s="416"/>
      <c r="CA331" s="432"/>
      <c r="CB331" s="415"/>
      <c r="CC331" s="445"/>
      <c r="CD331" s="449"/>
    </row>
    <row r="332" spans="1:82">
      <c r="A332" s="325"/>
      <c r="B332" s="416">
        <v>7.2540611698594992E-2</v>
      </c>
      <c r="C332" s="11"/>
      <c r="D332" s="1850">
        <v>45536</v>
      </c>
      <c r="E332" s="1852">
        <f t="shared" si="56"/>
        <v>61.769288992591072</v>
      </c>
      <c r="F332" s="1852">
        <f t="shared" si="56"/>
        <v>66.769288992591072</v>
      </c>
      <c r="G332" s="1852">
        <f t="shared" si="56"/>
        <v>71.769288992591072</v>
      </c>
      <c r="H332" s="1851"/>
      <c r="I332" s="1852">
        <f t="shared" si="57"/>
        <v>29.637499999999999</v>
      </c>
      <c r="J332" s="1852">
        <f t="shared" si="57"/>
        <v>34.637500000000003</v>
      </c>
      <c r="K332" s="1852">
        <f t="shared" si="57"/>
        <v>39.637500000000003</v>
      </c>
      <c r="L332"/>
      <c r="M332"/>
      <c r="N332"/>
      <c r="O332"/>
      <c r="P332"/>
      <c r="Q332"/>
      <c r="R332"/>
      <c r="S332"/>
      <c r="T332"/>
      <c r="U332"/>
      <c r="V332"/>
      <c r="W332"/>
      <c r="X332"/>
      <c r="Y332"/>
      <c r="Z332" s="29"/>
      <c r="AA332" s="29"/>
      <c r="AB332" s="29"/>
      <c r="AC332" s="29"/>
      <c r="AD332" s="29"/>
      <c r="AE332" s="29"/>
      <c r="AF332" s="29"/>
      <c r="AG332" s="29"/>
      <c r="AH332" s="29"/>
      <c r="AI332" s="29"/>
      <c r="AJ332" s="29"/>
      <c r="AK332" s="29"/>
      <c r="AL332" s="29"/>
      <c r="AM332" s="29"/>
      <c r="AN332" s="29"/>
      <c r="AO332" s="29"/>
      <c r="AP332" s="29"/>
      <c r="AQ332" s="29"/>
      <c r="AR332"/>
      <c r="AS332"/>
      <c r="AT332"/>
      <c r="AU332"/>
      <c r="AV332"/>
      <c r="AW332"/>
      <c r="AX332"/>
      <c r="AY332"/>
      <c r="AZ332"/>
      <c r="BA332"/>
      <c r="BB332"/>
      <c r="BC332"/>
      <c r="BD332"/>
      <c r="BE332"/>
      <c r="BF332"/>
      <c r="BG332"/>
      <c r="BH332"/>
      <c r="BI332"/>
      <c r="BJ332"/>
      <c r="BK332"/>
      <c r="BL332"/>
      <c r="BM332"/>
      <c r="BN332"/>
      <c r="BO332"/>
      <c r="BP332"/>
      <c r="BQ332" s="325"/>
      <c r="BR332" s="415"/>
      <c r="BS332" s="415"/>
      <c r="BT332" s="415"/>
      <c r="BU332" s="416"/>
      <c r="BV332" s="416"/>
      <c r="BW332" s="416"/>
      <c r="BY332" s="416"/>
      <c r="CA332" s="432"/>
      <c r="CB332" s="415"/>
      <c r="CC332" s="445"/>
      <c r="CD332" s="449"/>
    </row>
    <row r="333" spans="1:82">
      <c r="A333" s="325"/>
      <c r="B333" s="416">
        <v>7.2536204960700013E-2</v>
      </c>
      <c r="C333" s="11"/>
      <c r="D333" s="1850">
        <v>45566</v>
      </c>
      <c r="E333" s="1852">
        <f t="shared" si="56"/>
        <v>32.881378719225303</v>
      </c>
      <c r="F333" s="1852">
        <f t="shared" si="56"/>
        <v>37.881378719225303</v>
      </c>
      <c r="G333" s="1852">
        <f t="shared" si="56"/>
        <v>42.881378719225303</v>
      </c>
      <c r="H333" s="1851"/>
      <c r="I333" s="1852">
        <f t="shared" si="57"/>
        <v>29.151612903225811</v>
      </c>
      <c r="J333" s="1852">
        <f t="shared" si="57"/>
        <v>34.151612903225811</v>
      </c>
      <c r="K333" s="1852">
        <f t="shared" si="57"/>
        <v>39.151612903225811</v>
      </c>
      <c r="L333"/>
      <c r="M333"/>
      <c r="N333"/>
      <c r="O333"/>
      <c r="P333"/>
      <c r="Q333"/>
      <c r="R333"/>
      <c r="S333"/>
      <c r="T333"/>
      <c r="U333"/>
      <c r="V333"/>
      <c r="W333"/>
      <c r="X333"/>
      <c r="Y333"/>
      <c r="Z333" s="29"/>
      <c r="AA333" s="29"/>
      <c r="AB333" s="29"/>
      <c r="AC333" s="29"/>
      <c r="AD333" s="29"/>
      <c r="AE333" s="29"/>
      <c r="AF333" s="29"/>
      <c r="AG333" s="29"/>
      <c r="AH333" s="29"/>
      <c r="AI333" s="29"/>
      <c r="AJ333" s="29"/>
      <c r="AK333" s="29"/>
      <c r="AL333" s="29"/>
      <c r="AM333" s="29"/>
      <c r="AN333" s="29"/>
      <c r="AO333" s="29"/>
      <c r="AP333" s="29"/>
      <c r="AQ333" s="29"/>
      <c r="AR333"/>
      <c r="AS333"/>
      <c r="AT333"/>
      <c r="AU333"/>
      <c r="AV333"/>
      <c r="AW333"/>
      <c r="AX333"/>
      <c r="AY333"/>
      <c r="AZ333"/>
      <c r="BA333"/>
      <c r="BB333"/>
      <c r="BC333"/>
      <c r="BD333"/>
      <c r="BE333"/>
      <c r="BF333"/>
      <c r="BG333"/>
      <c r="BH333"/>
      <c r="BI333"/>
      <c r="BJ333"/>
      <c r="BK333"/>
      <c r="BL333"/>
      <c r="BM333"/>
      <c r="BN333"/>
      <c r="BO333"/>
      <c r="BP333"/>
      <c r="BQ333" s="325"/>
      <c r="BR333" s="415"/>
      <c r="BS333" s="415"/>
      <c r="BT333" s="415"/>
      <c r="BU333" s="416"/>
      <c r="BV333" s="416"/>
      <c r="BW333" s="416"/>
      <c r="BY333" s="416"/>
      <c r="CA333" s="432"/>
      <c r="CB333" s="415"/>
      <c r="CC333" s="445"/>
      <c r="CD333" s="449"/>
    </row>
    <row r="334" spans="1:82">
      <c r="A334" s="325"/>
      <c r="B334" s="416">
        <v>7.2531940375647017E-2</v>
      </c>
      <c r="C334" s="11"/>
      <c r="D334" s="1850">
        <v>45597</v>
      </c>
      <c r="E334" s="1852">
        <f t="shared" si="56"/>
        <v>25.131378719225314</v>
      </c>
      <c r="F334" s="1852">
        <f t="shared" si="56"/>
        <v>30.131378719225314</v>
      </c>
      <c r="G334" s="1852">
        <f t="shared" si="56"/>
        <v>35.131378719225296</v>
      </c>
      <c r="H334" s="1851"/>
      <c r="I334" s="1852">
        <f t="shared" si="57"/>
        <v>30.491666666666674</v>
      </c>
      <c r="J334" s="1852">
        <f t="shared" si="57"/>
        <v>35.491666666666674</v>
      </c>
      <c r="K334" s="1852">
        <f t="shared" si="57"/>
        <v>40.491666666666674</v>
      </c>
      <c r="L334"/>
      <c r="M334"/>
      <c r="N334"/>
      <c r="O334"/>
      <c r="P334"/>
      <c r="Q334"/>
      <c r="R334"/>
      <c r="S334"/>
      <c r="T334"/>
      <c r="U334"/>
      <c r="V334"/>
      <c r="W334"/>
      <c r="X334"/>
      <c r="Y334"/>
      <c r="Z334" s="29"/>
      <c r="AA334" s="29"/>
      <c r="AB334" s="29"/>
      <c r="AC334" s="29"/>
      <c r="AD334" s="29"/>
      <c r="AE334" s="29"/>
      <c r="AF334" s="29"/>
      <c r="AG334" s="29"/>
      <c r="AH334" s="29"/>
      <c r="AI334" s="29"/>
      <c r="AJ334" s="29"/>
      <c r="AK334" s="29"/>
      <c r="AL334" s="29"/>
      <c r="AM334" s="29"/>
      <c r="AN334" s="29"/>
      <c r="AO334" s="29"/>
      <c r="AP334" s="29"/>
      <c r="AQ334" s="29"/>
      <c r="AR334"/>
      <c r="AS334"/>
      <c r="AT334"/>
      <c r="AU334"/>
      <c r="AV334"/>
      <c r="AW334"/>
      <c r="AX334"/>
      <c r="AY334"/>
      <c r="AZ334"/>
      <c r="BA334"/>
      <c r="BB334"/>
      <c r="BC334"/>
      <c r="BD334"/>
      <c r="BE334"/>
      <c r="BF334"/>
      <c r="BG334"/>
      <c r="BH334"/>
      <c r="BI334"/>
      <c r="BJ334"/>
      <c r="BK334"/>
      <c r="BL334"/>
      <c r="BM334"/>
      <c r="BN334"/>
      <c r="BO334"/>
      <c r="BP334"/>
      <c r="BQ334" s="325"/>
      <c r="BR334" s="415"/>
      <c r="BS334" s="415"/>
      <c r="BT334" s="415"/>
      <c r="BU334" s="416"/>
      <c r="BV334" s="416"/>
      <c r="BW334" s="416"/>
      <c r="BY334" s="416"/>
      <c r="CA334" s="432"/>
      <c r="CB334" s="415"/>
      <c r="CC334" s="445"/>
      <c r="CD334" s="449"/>
    </row>
    <row r="335" spans="1:82">
      <c r="A335" s="325"/>
      <c r="B335" s="416">
        <v>7.2527533637765013E-2</v>
      </c>
      <c r="C335" s="11"/>
      <c r="D335" s="1850">
        <v>45627</v>
      </c>
      <c r="E335" s="1852">
        <f t="shared" si="56"/>
        <v>27.13137871922531</v>
      </c>
      <c r="F335" s="1852">
        <f t="shared" si="56"/>
        <v>32.13137871922531</v>
      </c>
      <c r="G335" s="1852">
        <f t="shared" si="56"/>
        <v>37.13137871922531</v>
      </c>
      <c r="H335" s="1851"/>
      <c r="I335" s="1852">
        <f t="shared" si="57"/>
        <v>29.796774193548401</v>
      </c>
      <c r="J335" s="1852">
        <f t="shared" si="57"/>
        <v>34.796774193548401</v>
      </c>
      <c r="K335" s="1852">
        <f t="shared" si="57"/>
        <v>39.796774193548401</v>
      </c>
      <c r="L335"/>
      <c r="M335"/>
      <c r="N335"/>
      <c r="O335"/>
      <c r="P335"/>
      <c r="Q335"/>
      <c r="R335"/>
      <c r="S335"/>
      <c r="T335"/>
      <c r="U335"/>
      <c r="V335"/>
      <c r="W335"/>
      <c r="X335"/>
      <c r="Y335"/>
      <c r="Z335" s="29"/>
      <c r="AA335" s="29"/>
      <c r="AB335" s="29"/>
      <c r="AC335" s="29"/>
      <c r="AD335" s="29"/>
      <c r="AE335" s="29"/>
      <c r="AF335" s="29"/>
      <c r="AG335" s="29"/>
      <c r="AH335" s="29"/>
      <c r="AI335" s="29"/>
      <c r="AJ335" s="29"/>
      <c r="AK335" s="29"/>
      <c r="AL335" s="29"/>
      <c r="AM335" s="29"/>
      <c r="AN335" s="29"/>
      <c r="AO335" s="29"/>
      <c r="AP335" s="29"/>
      <c r="AQ335" s="29"/>
      <c r="AR335"/>
      <c r="AS335"/>
      <c r="AT335"/>
      <c r="AU335"/>
      <c r="AV335"/>
      <c r="AW335"/>
      <c r="AX335"/>
      <c r="AY335"/>
      <c r="AZ335"/>
      <c r="BA335"/>
      <c r="BB335"/>
      <c r="BC335"/>
      <c r="BD335"/>
      <c r="BE335"/>
      <c r="BF335"/>
      <c r="BG335"/>
      <c r="BH335"/>
      <c r="BI335"/>
      <c r="BJ335"/>
      <c r="BK335"/>
      <c r="BL335"/>
      <c r="BM335"/>
      <c r="BN335"/>
      <c r="BO335"/>
      <c r="BP335"/>
      <c r="BQ335" s="325"/>
      <c r="BR335" s="415"/>
      <c r="BS335" s="415"/>
      <c r="BT335" s="415"/>
      <c r="BU335" s="416"/>
      <c r="BV335" s="416"/>
      <c r="BW335" s="416"/>
      <c r="BY335" s="416"/>
      <c r="CA335" s="432"/>
      <c r="CB335" s="415"/>
      <c r="CC335" s="445"/>
      <c r="CD335" s="449"/>
    </row>
    <row r="336" spans="1:82">
      <c r="A336" s="325"/>
      <c r="B336" s="416">
        <v>7.2523126899889032E-2</v>
      </c>
      <c r="C336" s="11"/>
      <c r="D336"/>
      <c r="E336"/>
      <c r="F336"/>
      <c r="G336"/>
      <c r="H336"/>
      <c r="I336"/>
      <c r="J336"/>
      <c r="K336"/>
      <c r="L336"/>
      <c r="M336"/>
      <c r="N336"/>
      <c r="O336"/>
      <c r="P336"/>
      <c r="Q336"/>
      <c r="R336"/>
      <c r="S336"/>
      <c r="T336"/>
      <c r="U336"/>
      <c r="V336"/>
      <c r="W336"/>
      <c r="X336"/>
      <c r="Y336"/>
      <c r="Z336" s="29"/>
      <c r="AA336" s="29"/>
      <c r="AB336" s="29"/>
      <c r="AC336" s="29"/>
      <c r="AD336" s="29"/>
      <c r="AE336" s="29"/>
      <c r="AF336" s="29"/>
      <c r="AG336" s="29"/>
      <c r="AH336" s="29"/>
      <c r="AI336" s="29"/>
      <c r="AJ336" s="29"/>
      <c r="AK336" s="29"/>
      <c r="AL336" s="29"/>
      <c r="AM336" s="29"/>
      <c r="AN336" s="29"/>
      <c r="AO336" s="29"/>
      <c r="AP336" s="29"/>
      <c r="AQ336" s="29"/>
      <c r="AR336"/>
      <c r="AS336"/>
      <c r="AT336"/>
      <c r="AU336"/>
      <c r="AV336"/>
      <c r="AW336"/>
      <c r="AX336"/>
      <c r="AY336"/>
      <c r="AZ336"/>
      <c r="BA336"/>
      <c r="BB336"/>
      <c r="BC336"/>
      <c r="BD336"/>
      <c r="BE336"/>
      <c r="BF336"/>
      <c r="BG336"/>
      <c r="BH336"/>
      <c r="BI336"/>
      <c r="BJ336"/>
      <c r="BK336"/>
      <c r="BL336"/>
      <c r="BM336"/>
      <c r="BN336"/>
      <c r="BO336"/>
      <c r="BP336"/>
      <c r="BQ336" s="325"/>
      <c r="BR336" s="415"/>
      <c r="BS336" s="415"/>
      <c r="BT336" s="415"/>
      <c r="BU336" s="416"/>
      <c r="BV336" s="416"/>
      <c r="BW336" s="416"/>
      <c r="BY336" s="416"/>
      <c r="CA336" s="432"/>
      <c r="CB336" s="415"/>
      <c r="CC336" s="445"/>
      <c r="CD336" s="449"/>
    </row>
    <row r="337" spans="1:82">
      <c r="A337" s="325"/>
      <c r="B337" s="416">
        <v>7.2519004467689011E-2</v>
      </c>
      <c r="C337" s="11"/>
      <c r="D337"/>
      <c r="E337"/>
      <c r="F337"/>
      <c r="G337"/>
      <c r="H337"/>
      <c r="I337"/>
      <c r="J337"/>
      <c r="K337"/>
      <c r="L337"/>
      <c r="M337"/>
      <c r="N337"/>
      <c r="O337"/>
      <c r="P337"/>
      <c r="Q337"/>
      <c r="R337"/>
      <c r="S337"/>
      <c r="T337"/>
      <c r="U337"/>
      <c r="V337"/>
      <c r="W337"/>
      <c r="X337"/>
      <c r="Y337"/>
      <c r="Z337" s="29"/>
      <c r="AA337" s="29"/>
      <c r="AB337" s="29"/>
      <c r="AC337" s="29"/>
      <c r="AD337" s="29"/>
      <c r="AE337" s="29"/>
      <c r="AF337" s="29"/>
      <c r="AG337" s="29"/>
      <c r="AH337" s="29"/>
      <c r="AI337" s="29"/>
      <c r="AJ337" s="29"/>
      <c r="AK337" s="29"/>
      <c r="AL337" s="29"/>
      <c r="AM337" s="29"/>
      <c r="AN337" s="29"/>
      <c r="AO337" s="29"/>
      <c r="AP337" s="29"/>
      <c r="AQ337" s="29"/>
      <c r="AR337"/>
      <c r="AS337"/>
      <c r="AT337"/>
      <c r="AU337"/>
      <c r="AV337"/>
      <c r="AW337"/>
      <c r="AX337"/>
      <c r="AY337"/>
      <c r="AZ337"/>
      <c r="BA337"/>
      <c r="BB337"/>
      <c r="BC337"/>
      <c r="BD337"/>
      <c r="BE337"/>
      <c r="BF337"/>
      <c r="BG337"/>
      <c r="BH337"/>
      <c r="BI337"/>
      <c r="BJ337"/>
      <c r="BK337"/>
      <c r="BL337"/>
      <c r="BM337"/>
      <c r="BN337"/>
      <c r="BO337"/>
      <c r="BP337"/>
      <c r="BQ337" s="325"/>
      <c r="BR337" s="415"/>
      <c r="BS337" s="415"/>
      <c r="BT337" s="415"/>
      <c r="BU337" s="416"/>
      <c r="BV337" s="416"/>
      <c r="BW337" s="416"/>
      <c r="BY337" s="416"/>
      <c r="CA337" s="432"/>
      <c r="CB337" s="415"/>
      <c r="CC337" s="445"/>
      <c r="CD337" s="449"/>
    </row>
    <row r="338" spans="1:82">
      <c r="A338" s="325"/>
      <c r="B338" s="416">
        <v>7.2514597729826019E-2</v>
      </c>
      <c r="C338" s="11"/>
      <c r="D338"/>
      <c r="E338"/>
      <c r="F338"/>
      <c r="G338"/>
      <c r="H338"/>
      <c r="I338"/>
      <c r="J338"/>
      <c r="K338"/>
      <c r="L338"/>
      <c r="M338"/>
      <c r="N338"/>
      <c r="O338"/>
      <c r="P338"/>
      <c r="Q338"/>
      <c r="R338"/>
      <c r="S338"/>
      <c r="T338"/>
      <c r="U338"/>
      <c r="V338"/>
      <c r="W338"/>
      <c r="X338"/>
      <c r="Y338"/>
      <c r="Z338" s="29"/>
      <c r="AA338" s="29"/>
      <c r="AB338" s="29"/>
      <c r="AC338" s="29"/>
      <c r="AD338" s="29"/>
      <c r="AE338" s="29"/>
      <c r="AF338" s="29"/>
      <c r="AG338" s="29"/>
      <c r="AH338" s="29"/>
      <c r="AI338" s="29"/>
      <c r="AJ338" s="29"/>
      <c r="AK338" s="29"/>
      <c r="AL338" s="29"/>
      <c r="AM338" s="29"/>
      <c r="AN338" s="29"/>
      <c r="AO338" s="29"/>
      <c r="AP338" s="29"/>
      <c r="AQ338" s="29"/>
      <c r="AR338"/>
      <c r="AS338"/>
      <c r="AT338"/>
      <c r="AU338"/>
      <c r="AV338"/>
      <c r="AW338"/>
      <c r="AX338"/>
      <c r="AY338"/>
      <c r="AZ338"/>
      <c r="BA338"/>
      <c r="BB338"/>
      <c r="BC338"/>
      <c r="BD338"/>
      <c r="BE338"/>
      <c r="BF338"/>
      <c r="BG338"/>
      <c r="BH338"/>
      <c r="BI338"/>
      <c r="BJ338"/>
      <c r="BK338"/>
      <c r="BL338"/>
      <c r="BM338"/>
      <c r="BN338"/>
      <c r="BO338"/>
      <c r="BP338"/>
      <c r="BQ338" s="325"/>
      <c r="BR338" s="415"/>
      <c r="BS338" s="415"/>
      <c r="BT338" s="415"/>
      <c r="BU338" s="416"/>
      <c r="BV338" s="416"/>
      <c r="BW338" s="416"/>
      <c r="BY338" s="416"/>
      <c r="CA338" s="432"/>
      <c r="CB338" s="415"/>
      <c r="CC338" s="445"/>
      <c r="CD338" s="449"/>
    </row>
    <row r="339" spans="1:82">
      <c r="A339" s="325"/>
      <c r="B339" s="416">
        <v>7.2510333144802014E-2</v>
      </c>
      <c r="C339" s="11"/>
      <c r="D339"/>
      <c r="E339"/>
      <c r="F339"/>
      <c r="G339"/>
      <c r="H339"/>
      <c r="I339"/>
      <c r="J339"/>
      <c r="K339"/>
      <c r="L339"/>
      <c r="M339"/>
      <c r="N339"/>
      <c r="O339"/>
      <c r="P339"/>
      <c r="Q339"/>
      <c r="R339"/>
      <c r="S339"/>
      <c r="T339"/>
      <c r="U339"/>
      <c r="V339"/>
      <c r="W339"/>
      <c r="X339"/>
      <c r="Y339"/>
      <c r="Z339" s="29"/>
      <c r="AA339" s="29"/>
      <c r="AB339" s="29"/>
      <c r="AC339" s="29"/>
      <c r="AD339" s="29"/>
      <c r="AE339" s="29"/>
      <c r="AF339" s="29"/>
      <c r="AG339" s="29"/>
      <c r="AH339" s="29"/>
      <c r="AI339" s="29"/>
      <c r="AJ339" s="29"/>
      <c r="AK339" s="29"/>
      <c r="AL339" s="29"/>
      <c r="AM339" s="29"/>
      <c r="AN339" s="29"/>
      <c r="AO339" s="29"/>
      <c r="AP339" s="29"/>
      <c r="AQ339" s="29"/>
      <c r="AR339"/>
      <c r="AS339"/>
      <c r="AT339"/>
      <c r="AU339"/>
      <c r="AV339"/>
      <c r="AW339"/>
      <c r="AX339"/>
      <c r="AY339"/>
      <c r="AZ339"/>
      <c r="BA339"/>
      <c r="BB339"/>
      <c r="BC339"/>
      <c r="BD339"/>
      <c r="BE339"/>
      <c r="BF339"/>
      <c r="BG339"/>
      <c r="BH339"/>
      <c r="BI339"/>
      <c r="BJ339"/>
      <c r="BK339"/>
      <c r="BL339"/>
      <c r="BM339"/>
      <c r="BN339"/>
      <c r="BO339"/>
      <c r="BP339"/>
      <c r="BQ339" s="325"/>
      <c r="BR339" s="415"/>
      <c r="BS339" s="415"/>
      <c r="BT339" s="415"/>
      <c r="BU339" s="416"/>
      <c r="BV339" s="416"/>
      <c r="BW339" s="416"/>
      <c r="BY339" s="416"/>
      <c r="CA339" s="432"/>
      <c r="CB339" s="415"/>
      <c r="CC339" s="445"/>
      <c r="CD339" s="449"/>
    </row>
    <row r="340" spans="1:82">
      <c r="A340" s="325"/>
      <c r="B340" s="416">
        <v>7.2505926406952012E-2</v>
      </c>
      <c r="C340" s="11"/>
      <c r="D340"/>
      <c r="E340"/>
      <c r="F340"/>
      <c r="G340"/>
      <c r="H340"/>
      <c r="I340"/>
      <c r="J340"/>
      <c r="K340"/>
      <c r="L340"/>
      <c r="M340"/>
      <c r="N340"/>
      <c r="O340"/>
      <c r="P340"/>
      <c r="Q340"/>
      <c r="R340"/>
      <c r="S340"/>
      <c r="T340"/>
      <c r="U340"/>
      <c r="V340"/>
      <c r="W340"/>
      <c r="X340"/>
      <c r="Y340"/>
      <c r="Z340" s="29"/>
      <c r="AA340" s="29"/>
      <c r="AB340" s="29"/>
      <c r="AC340" s="29"/>
      <c r="AD340" s="29"/>
      <c r="AE340" s="29"/>
      <c r="AF340" s="29"/>
      <c r="AG340" s="29"/>
      <c r="AH340" s="29"/>
      <c r="AI340" s="29"/>
      <c r="AJ340" s="29"/>
      <c r="AK340" s="29"/>
      <c r="AL340" s="29"/>
      <c r="AM340" s="29"/>
      <c r="AN340" s="29"/>
      <c r="AO340" s="29"/>
      <c r="AP340" s="29"/>
      <c r="AQ340" s="29"/>
      <c r="AR340"/>
      <c r="AS340"/>
      <c r="AT340"/>
      <c r="AU340"/>
      <c r="AV340"/>
      <c r="AW340"/>
      <c r="AX340"/>
      <c r="AY340"/>
      <c r="AZ340"/>
      <c r="BA340"/>
      <c r="BB340"/>
      <c r="BC340"/>
      <c r="BD340"/>
      <c r="BE340"/>
      <c r="BF340"/>
      <c r="BG340"/>
      <c r="BH340"/>
      <c r="BI340"/>
      <c r="BJ340"/>
      <c r="BK340"/>
      <c r="BL340"/>
      <c r="BM340"/>
      <c r="BN340"/>
      <c r="BO340"/>
      <c r="BP340"/>
      <c r="BQ340" s="325"/>
      <c r="BR340" s="415"/>
      <c r="BS340" s="415"/>
      <c r="BT340" s="415"/>
      <c r="BU340" s="416"/>
      <c r="BV340" s="416"/>
      <c r="BW340" s="416"/>
      <c r="BY340" s="416"/>
      <c r="CA340" s="432"/>
      <c r="CB340" s="415"/>
      <c r="CC340" s="445"/>
      <c r="CD340" s="449"/>
    </row>
    <row r="341" spans="1:82">
      <c r="A341" s="325"/>
      <c r="B341" s="416">
        <v>7.2501661821941024E-2</v>
      </c>
      <c r="C341" s="11"/>
      <c r="D341"/>
      <c r="E341"/>
      <c r="F341"/>
      <c r="G341"/>
      <c r="H341"/>
      <c r="I341"/>
      <c r="J341"/>
      <c r="K341"/>
      <c r="L341"/>
      <c r="M341"/>
      <c r="N341"/>
      <c r="O341"/>
      <c r="P341"/>
      <c r="Q341"/>
      <c r="R341"/>
      <c r="S341"/>
      <c r="T341"/>
      <c r="U341"/>
      <c r="V341"/>
      <c r="W341"/>
      <c r="X341"/>
      <c r="Y341"/>
      <c r="Z341" s="29"/>
      <c r="AA341" s="29"/>
      <c r="AB341" s="29"/>
      <c r="AC341" s="29"/>
      <c r="AD341" s="29"/>
      <c r="AE341" s="29"/>
      <c r="AF341" s="29"/>
      <c r="AG341" s="29"/>
      <c r="AH341" s="29"/>
      <c r="AI341" s="29"/>
      <c r="AJ341" s="29"/>
      <c r="AK341" s="29"/>
      <c r="AL341" s="29"/>
      <c r="AM341" s="29"/>
      <c r="AN341" s="29"/>
      <c r="AO341" s="29"/>
      <c r="AP341" s="29"/>
      <c r="AQ341" s="29"/>
      <c r="AR341"/>
      <c r="AS341"/>
      <c r="AT341"/>
      <c r="AU341"/>
      <c r="AV341"/>
      <c r="AW341"/>
      <c r="AX341"/>
      <c r="AY341"/>
      <c r="AZ341"/>
      <c r="BA341"/>
      <c r="BB341"/>
      <c r="BC341"/>
      <c r="BD341"/>
      <c r="BE341"/>
      <c r="BF341"/>
      <c r="BG341"/>
      <c r="BH341"/>
      <c r="BI341"/>
      <c r="BJ341"/>
      <c r="BK341"/>
      <c r="BL341"/>
      <c r="BM341"/>
      <c r="BN341"/>
      <c r="BO341"/>
      <c r="BP341"/>
      <c r="BQ341" s="325"/>
      <c r="BR341" s="415"/>
      <c r="BS341" s="415"/>
      <c r="BT341" s="415"/>
      <c r="BU341" s="416"/>
      <c r="BV341" s="416"/>
      <c r="BW341" s="416"/>
      <c r="BY341" s="416"/>
      <c r="CA341" s="432"/>
      <c r="CB341" s="415"/>
      <c r="CC341" s="445"/>
      <c r="CD341" s="449"/>
    </row>
    <row r="342" spans="1:82">
      <c r="A342" s="325"/>
      <c r="B342" s="416">
        <v>7.2497255084102999E-2</v>
      </c>
      <c r="C342" s="11"/>
      <c r="D342"/>
      <c r="E342"/>
      <c r="F342"/>
      <c r="G342"/>
      <c r="H342"/>
      <c r="I342"/>
      <c r="J342"/>
      <c r="K342"/>
      <c r="L342"/>
      <c r="M342"/>
      <c r="N342"/>
      <c r="O342"/>
      <c r="P342"/>
      <c r="Q342"/>
      <c r="R342"/>
      <c r="S342"/>
      <c r="T342"/>
      <c r="U342"/>
      <c r="V342"/>
      <c r="W342"/>
      <c r="X342"/>
      <c r="Y342"/>
      <c r="Z342" s="29"/>
      <c r="AA342" s="29"/>
      <c r="AB342" s="29"/>
      <c r="AC342" s="29"/>
      <c r="AD342" s="29"/>
      <c r="AE342" s="29"/>
      <c r="AF342" s="29"/>
      <c r="AG342" s="29"/>
      <c r="AH342" s="29"/>
      <c r="AI342" s="29"/>
      <c r="AJ342" s="29"/>
      <c r="AK342" s="29"/>
      <c r="AL342" s="29"/>
      <c r="AM342" s="29"/>
      <c r="AN342" s="29"/>
      <c r="AO342" s="29"/>
      <c r="AP342" s="29"/>
      <c r="AQ342" s="29"/>
      <c r="AR342"/>
      <c r="AS342"/>
      <c r="AT342"/>
      <c r="AU342"/>
      <c r="AV342"/>
      <c r="AW342"/>
      <c r="AX342"/>
      <c r="AY342"/>
      <c r="AZ342"/>
      <c r="BA342"/>
      <c r="BB342"/>
      <c r="BC342"/>
      <c r="BD342"/>
      <c r="BE342"/>
      <c r="BF342"/>
      <c r="BG342"/>
      <c r="BH342"/>
      <c r="BI342"/>
      <c r="BJ342"/>
      <c r="BK342"/>
      <c r="BL342"/>
      <c r="BM342"/>
      <c r="BN342"/>
      <c r="BO342"/>
      <c r="BP342"/>
      <c r="BQ342" s="325"/>
      <c r="BR342" s="415"/>
      <c r="BS342" s="415"/>
      <c r="BT342" s="415"/>
      <c r="BU342" s="416"/>
      <c r="BV342" s="416"/>
      <c r="BW342" s="416"/>
      <c r="BY342" s="416"/>
      <c r="CA342" s="432"/>
      <c r="CB342" s="415"/>
      <c r="CC342" s="445"/>
      <c r="CD342" s="449"/>
    </row>
    <row r="343" spans="1:82">
      <c r="A343" s="325"/>
      <c r="B343" s="416">
        <v>7.249284834627101E-2</v>
      </c>
      <c r="C343" s="11"/>
      <c r="D343"/>
      <c r="E343"/>
      <c r="F343"/>
      <c r="G343"/>
      <c r="H343"/>
      <c r="I343"/>
      <c r="J343"/>
      <c r="K343"/>
      <c r="L343"/>
      <c r="M343"/>
      <c r="N343"/>
      <c r="O343"/>
      <c r="P343"/>
      <c r="Q343"/>
      <c r="R343"/>
      <c r="S343"/>
      <c r="T343"/>
      <c r="U343"/>
      <c r="V343"/>
      <c r="W343"/>
      <c r="X343"/>
      <c r="Y343"/>
      <c r="Z343" s="29"/>
      <c r="AA343" s="29"/>
      <c r="AB343" s="29"/>
      <c r="AC343" s="29"/>
      <c r="AD343" s="29"/>
      <c r="AE343" s="29"/>
      <c r="AF343" s="29"/>
      <c r="AG343" s="29"/>
      <c r="AH343" s="29"/>
      <c r="AI343" s="29"/>
      <c r="AJ343" s="29"/>
      <c r="AK343" s="29"/>
      <c r="AL343" s="29"/>
      <c r="AM343" s="29"/>
      <c r="AN343" s="29"/>
      <c r="AO343" s="29"/>
      <c r="AP343" s="29"/>
      <c r="AQ343" s="29"/>
      <c r="AR343"/>
      <c r="AS343"/>
      <c r="AT343"/>
      <c r="AU343"/>
      <c r="AV343"/>
      <c r="AW343"/>
      <c r="AX343"/>
      <c r="AY343"/>
      <c r="AZ343"/>
      <c r="BA343"/>
      <c r="BB343"/>
      <c r="BC343"/>
      <c r="BD343"/>
      <c r="BE343"/>
      <c r="BF343"/>
      <c r="BG343"/>
      <c r="BH343"/>
      <c r="BI343"/>
      <c r="BJ343"/>
      <c r="BK343"/>
      <c r="BL343"/>
      <c r="BM343"/>
      <c r="BN343"/>
      <c r="BO343"/>
      <c r="BP343"/>
      <c r="BQ343" s="325"/>
      <c r="BR343" s="415"/>
      <c r="BS343" s="415"/>
      <c r="BT343" s="415"/>
      <c r="BU343" s="416"/>
      <c r="BV343" s="416"/>
      <c r="BW343" s="416"/>
      <c r="BY343" s="416"/>
      <c r="CA343" s="432"/>
      <c r="CB343" s="415"/>
      <c r="CC343" s="445"/>
      <c r="CD343" s="449"/>
    </row>
    <row r="344" spans="1:82">
      <c r="A344" s="325"/>
      <c r="B344" s="416">
        <v>7.2488583761279021E-2</v>
      </c>
      <c r="C344" s="11"/>
      <c r="D344"/>
      <c r="E344"/>
      <c r="F344"/>
      <c r="G344"/>
      <c r="H344"/>
      <c r="I344"/>
      <c r="J344"/>
      <c r="K344"/>
      <c r="L344"/>
      <c r="M344"/>
      <c r="N344"/>
      <c r="O344"/>
      <c r="P344"/>
      <c r="Q344"/>
      <c r="R344"/>
      <c r="S344"/>
      <c r="T344"/>
      <c r="U344"/>
      <c r="V344"/>
      <c r="W344"/>
      <c r="X344"/>
      <c r="Y344"/>
      <c r="Z344" s="29"/>
      <c r="AA344" s="29"/>
      <c r="AB344" s="29"/>
      <c r="AC344" s="29"/>
      <c r="AD344" s="29"/>
      <c r="AE344" s="29"/>
      <c r="AF344" s="29"/>
      <c r="AG344" s="29"/>
      <c r="AH344" s="29"/>
      <c r="AI344" s="29"/>
      <c r="AJ344" s="29"/>
      <c r="AK344" s="29"/>
      <c r="AL344" s="29"/>
      <c r="AM344" s="29"/>
      <c r="AN344" s="29"/>
      <c r="AO344" s="29"/>
      <c r="AP344" s="29"/>
      <c r="AQ344" s="29"/>
      <c r="AR344"/>
      <c r="AS344"/>
      <c r="AT344"/>
      <c r="AU344"/>
      <c r="AV344"/>
      <c r="AW344"/>
      <c r="AX344"/>
      <c r="AY344"/>
      <c r="AZ344"/>
      <c r="BA344"/>
      <c r="BB344"/>
      <c r="BC344"/>
      <c r="BD344"/>
      <c r="BE344"/>
      <c r="BF344"/>
      <c r="BG344"/>
      <c r="BH344"/>
      <c r="BI344"/>
      <c r="BJ344"/>
      <c r="BK344"/>
      <c r="BL344"/>
      <c r="BM344"/>
      <c r="BN344"/>
      <c r="BO344"/>
      <c r="BP344"/>
      <c r="BQ344" s="325"/>
      <c r="BR344" s="415"/>
      <c r="BS344" s="415"/>
      <c r="BT344" s="415"/>
      <c r="BU344" s="416"/>
      <c r="BV344" s="416"/>
      <c r="BW344" s="416"/>
      <c r="BY344" s="416"/>
      <c r="CA344" s="432"/>
      <c r="CB344" s="415"/>
      <c r="CC344" s="445"/>
      <c r="CD344" s="449"/>
    </row>
    <row r="345" spans="1:82">
      <c r="A345" s="325"/>
      <c r="B345" s="416">
        <v>7.2484177023459009E-2</v>
      </c>
      <c r="C345" s="11"/>
      <c r="D345"/>
      <c r="E345"/>
      <c r="F345"/>
      <c r="G345"/>
      <c r="H345"/>
      <c r="I345"/>
      <c r="J345"/>
      <c r="K345"/>
      <c r="L345"/>
      <c r="M345"/>
      <c r="N345"/>
      <c r="O345"/>
      <c r="P345"/>
      <c r="Q345"/>
      <c r="R345"/>
      <c r="S345"/>
      <c r="T345"/>
      <c r="U345"/>
      <c r="V345"/>
      <c r="W345"/>
      <c r="X345"/>
      <c r="Y345"/>
      <c r="Z345" s="29"/>
      <c r="AA345" s="29"/>
      <c r="AB345" s="29"/>
      <c r="AC345" s="29"/>
      <c r="AD345" s="29"/>
      <c r="AE345" s="29"/>
      <c r="AF345" s="29"/>
      <c r="AG345" s="29"/>
      <c r="AH345" s="29"/>
      <c r="AI345" s="29"/>
      <c r="AJ345" s="29"/>
      <c r="AK345" s="29"/>
      <c r="AL345" s="29"/>
      <c r="AM345" s="29"/>
      <c r="AN345" s="29"/>
      <c r="AO345" s="29"/>
      <c r="AP345" s="29"/>
      <c r="AQ345" s="29"/>
      <c r="AR345"/>
      <c r="AS345"/>
      <c r="AT345"/>
      <c r="AU345"/>
      <c r="AV345"/>
      <c r="AW345"/>
      <c r="AX345"/>
      <c r="AY345"/>
      <c r="AZ345"/>
      <c r="BA345"/>
      <c r="BB345"/>
      <c r="BC345"/>
      <c r="BD345"/>
      <c r="BE345"/>
      <c r="BF345"/>
      <c r="BG345"/>
      <c r="BH345"/>
      <c r="BI345"/>
      <c r="BJ345"/>
      <c r="BK345"/>
      <c r="BL345"/>
      <c r="BM345"/>
      <c r="BN345"/>
      <c r="BO345"/>
      <c r="BP345"/>
      <c r="BQ345" s="325"/>
      <c r="BR345" s="415"/>
      <c r="BS345" s="415"/>
      <c r="BT345" s="415"/>
      <c r="BU345" s="416"/>
      <c r="BV345" s="416"/>
      <c r="BW345" s="416"/>
      <c r="BY345" s="416"/>
      <c r="CA345" s="432"/>
      <c r="CB345" s="415"/>
      <c r="CC345" s="445"/>
      <c r="CD345" s="449"/>
    </row>
    <row r="346" spans="1:82">
      <c r="A346" s="325"/>
      <c r="B346" s="416">
        <v>7.2479912438479996E-2</v>
      </c>
      <c r="C346" s="11"/>
      <c r="D346"/>
      <c r="E346"/>
      <c r="F346"/>
      <c r="G346"/>
      <c r="H346"/>
      <c r="I346"/>
      <c r="J346"/>
      <c r="K346"/>
      <c r="L346"/>
      <c r="M346"/>
      <c r="N346"/>
      <c r="O346"/>
      <c r="P346"/>
      <c r="Q346"/>
      <c r="R346"/>
      <c r="S346"/>
      <c r="T346"/>
      <c r="U346"/>
      <c r="V346"/>
      <c r="W346"/>
      <c r="X346"/>
      <c r="Y346"/>
      <c r="Z346" s="29"/>
      <c r="AA346" s="29"/>
      <c r="AB346" s="29"/>
      <c r="AC346" s="29"/>
      <c r="AD346" s="29"/>
      <c r="AE346" s="29"/>
      <c r="AF346" s="29"/>
      <c r="AG346" s="29"/>
      <c r="AH346" s="29"/>
      <c r="AI346" s="29"/>
      <c r="AJ346" s="29"/>
      <c r="AK346" s="29"/>
      <c r="AL346" s="29"/>
      <c r="AM346" s="29"/>
      <c r="AN346" s="29"/>
      <c r="AO346" s="29"/>
      <c r="AP346" s="29"/>
      <c r="AQ346" s="29"/>
      <c r="AR346"/>
      <c r="AS346"/>
      <c r="AT346"/>
      <c r="AU346"/>
      <c r="AV346"/>
      <c r="AW346"/>
      <c r="AX346"/>
      <c r="AY346"/>
      <c r="AZ346"/>
      <c r="BA346"/>
      <c r="BB346"/>
      <c r="BC346"/>
      <c r="BD346"/>
      <c r="BE346"/>
      <c r="BF346"/>
      <c r="BG346"/>
      <c r="BH346"/>
      <c r="BI346"/>
      <c r="BJ346"/>
      <c r="BK346"/>
      <c r="BL346"/>
      <c r="BM346"/>
      <c r="BN346"/>
      <c r="BO346"/>
      <c r="BP346"/>
      <c r="BQ346" s="325"/>
      <c r="BR346" s="415"/>
      <c r="BS346" s="415"/>
      <c r="BT346" s="415"/>
      <c r="BU346" s="416"/>
      <c r="BV346" s="416"/>
      <c r="BW346" s="416"/>
      <c r="BY346" s="416"/>
      <c r="CA346" s="432"/>
      <c r="CB346" s="415"/>
      <c r="CC346" s="445"/>
      <c r="CD346" s="449"/>
    </row>
    <row r="347" spans="1:82">
      <c r="A347" s="325"/>
      <c r="B347" s="416">
        <v>7.2475505700673029E-2</v>
      </c>
      <c r="C347" s="11"/>
      <c r="D347"/>
      <c r="E347"/>
      <c r="F347"/>
      <c r="G347"/>
      <c r="H347"/>
      <c r="I347"/>
      <c r="J347"/>
      <c r="K347"/>
      <c r="L347"/>
      <c r="M347"/>
      <c r="N347"/>
      <c r="O347"/>
      <c r="P347"/>
      <c r="Q347"/>
      <c r="R347"/>
      <c r="S347"/>
      <c r="T347"/>
      <c r="U347"/>
      <c r="V347"/>
      <c r="W347"/>
      <c r="X347"/>
      <c r="Y347"/>
      <c r="Z347" s="29"/>
      <c r="AA347" s="29"/>
      <c r="AB347" s="29"/>
      <c r="AC347" s="29"/>
      <c r="AD347" s="29"/>
      <c r="AE347" s="29"/>
      <c r="AF347" s="29"/>
      <c r="AG347" s="29"/>
      <c r="AH347" s="29"/>
      <c r="AI347" s="29"/>
      <c r="AJ347" s="29"/>
      <c r="AK347" s="29"/>
      <c r="AL347" s="29"/>
      <c r="AM347" s="29"/>
      <c r="AN347" s="29"/>
      <c r="AO347" s="29"/>
      <c r="AP347" s="29"/>
      <c r="AQ347" s="29"/>
      <c r="AR347"/>
      <c r="AS347"/>
      <c r="AT347"/>
      <c r="AU347"/>
      <c r="AV347"/>
      <c r="AW347"/>
      <c r="AX347"/>
      <c r="AY347"/>
      <c r="AZ347"/>
      <c r="BA347"/>
      <c r="BB347"/>
      <c r="BC347"/>
      <c r="BD347"/>
      <c r="BE347"/>
      <c r="BF347"/>
      <c r="BG347"/>
      <c r="BH347"/>
      <c r="BI347"/>
      <c r="BJ347"/>
      <c r="BK347"/>
      <c r="BL347"/>
      <c r="BM347"/>
      <c r="BN347"/>
      <c r="BO347"/>
      <c r="BP347"/>
      <c r="BQ347" s="325"/>
      <c r="BR347" s="415"/>
      <c r="BS347" s="415"/>
      <c r="BT347" s="415"/>
      <c r="BU347" s="416"/>
      <c r="BV347" s="416"/>
      <c r="BW347" s="416"/>
      <c r="BY347" s="416"/>
      <c r="CA347" s="432"/>
      <c r="CB347" s="415"/>
      <c r="CC347" s="445"/>
      <c r="CD347" s="449"/>
    </row>
    <row r="348" spans="1:82">
      <c r="A348" s="325"/>
      <c r="B348" s="416">
        <v>7.2471098962873015E-2</v>
      </c>
      <c r="C348" s="11"/>
      <c r="D348"/>
      <c r="E348"/>
      <c r="F348"/>
      <c r="G348"/>
      <c r="H348"/>
      <c r="I348"/>
      <c r="J348"/>
      <c r="K348"/>
      <c r="L348"/>
      <c r="M348"/>
      <c r="N348"/>
      <c r="O348"/>
      <c r="P348"/>
      <c r="Q348"/>
      <c r="R348"/>
      <c r="S348"/>
      <c r="T348"/>
      <c r="U348"/>
      <c r="V348"/>
      <c r="W348"/>
      <c r="X348"/>
      <c r="Y348"/>
      <c r="Z348" s="29"/>
      <c r="AA348" s="29"/>
      <c r="AB348" s="29"/>
      <c r="AC348" s="29"/>
      <c r="AD348" s="29"/>
      <c r="AE348" s="29"/>
      <c r="AF348" s="29"/>
      <c r="AG348" s="29"/>
      <c r="AH348" s="29"/>
      <c r="AI348" s="29"/>
      <c r="AJ348" s="29"/>
      <c r="AK348" s="29"/>
      <c r="AL348" s="29"/>
      <c r="AM348" s="29"/>
      <c r="AN348" s="29"/>
      <c r="AO348" s="29"/>
      <c r="AP348" s="29"/>
      <c r="AQ348" s="29"/>
      <c r="AR348"/>
      <c r="AS348"/>
      <c r="AT348"/>
      <c r="AU348"/>
      <c r="AV348"/>
      <c r="AW348"/>
      <c r="AX348"/>
      <c r="AY348"/>
      <c r="AZ348"/>
      <c r="BA348"/>
      <c r="BB348"/>
      <c r="BC348"/>
      <c r="BD348"/>
      <c r="BE348"/>
      <c r="BF348"/>
      <c r="BG348"/>
      <c r="BH348"/>
      <c r="BI348"/>
      <c r="BJ348"/>
      <c r="BK348"/>
      <c r="BL348"/>
      <c r="BM348"/>
      <c r="BN348"/>
      <c r="BO348"/>
      <c r="BP348"/>
      <c r="BQ348" s="325"/>
      <c r="BR348" s="415"/>
      <c r="BS348" s="415"/>
      <c r="BT348" s="415"/>
      <c r="BU348" s="416"/>
      <c r="BV348" s="416"/>
      <c r="BW348" s="416"/>
      <c r="BY348" s="416"/>
      <c r="CA348" s="432"/>
      <c r="CB348" s="415"/>
      <c r="CC348" s="445"/>
      <c r="CD348" s="449"/>
    </row>
    <row r="349" spans="1:82">
      <c r="A349" s="325"/>
      <c r="B349" s="416">
        <v>7.2467118683574999E-2</v>
      </c>
      <c r="C349" s="11"/>
      <c r="D349"/>
      <c r="E349"/>
      <c r="F349"/>
      <c r="G349"/>
      <c r="H349"/>
      <c r="I349"/>
      <c r="J349"/>
      <c r="K349"/>
      <c r="L349"/>
      <c r="M349"/>
      <c r="N349"/>
      <c r="O349"/>
      <c r="P349"/>
      <c r="Q349"/>
      <c r="R349"/>
      <c r="S349"/>
      <c r="T349"/>
      <c r="U349"/>
      <c r="V349"/>
      <c r="W349"/>
      <c r="X349"/>
      <c r="Y349"/>
      <c r="Z349" s="29"/>
      <c r="AA349" s="29"/>
      <c r="AB349" s="29"/>
      <c r="AC349" s="29"/>
      <c r="AD349" s="29"/>
      <c r="AE349" s="29"/>
      <c r="AF349" s="29"/>
      <c r="AG349" s="29"/>
      <c r="AH349" s="29"/>
      <c r="AI349" s="29"/>
      <c r="AJ349" s="29"/>
      <c r="AK349" s="29"/>
      <c r="AL349" s="29"/>
      <c r="AM349" s="29"/>
      <c r="AN349" s="29"/>
      <c r="AO349" s="29"/>
      <c r="AP349" s="29"/>
      <c r="AQ349" s="29"/>
      <c r="AR349"/>
      <c r="AS349"/>
      <c r="AT349"/>
      <c r="AU349"/>
      <c r="AV349"/>
      <c r="AW349"/>
      <c r="AX349"/>
      <c r="AY349"/>
      <c r="AZ349"/>
      <c r="BA349"/>
      <c r="BB349"/>
      <c r="BC349"/>
      <c r="BD349"/>
      <c r="BE349"/>
      <c r="BF349"/>
      <c r="BG349"/>
      <c r="BH349"/>
      <c r="BI349"/>
      <c r="BJ349"/>
      <c r="BK349"/>
      <c r="BL349"/>
      <c r="BM349"/>
      <c r="BN349"/>
      <c r="BO349"/>
      <c r="BP349"/>
      <c r="BQ349" s="325"/>
      <c r="BR349" s="415"/>
      <c r="BS349" s="415"/>
      <c r="BT349" s="415"/>
      <c r="BU349" s="416"/>
      <c r="BV349" s="416"/>
      <c r="BW349" s="416"/>
      <c r="BY349" s="416"/>
      <c r="CA349" s="432"/>
      <c r="CB349" s="415"/>
      <c r="CC349" s="445"/>
      <c r="CD349" s="449"/>
    </row>
    <row r="350" spans="1:82">
      <c r="A350" s="325"/>
      <c r="B350" s="416">
        <v>7.2462711945787003E-2</v>
      </c>
      <c r="C350" s="11"/>
      <c r="D350"/>
      <c r="E350"/>
      <c r="F350"/>
      <c r="G350"/>
      <c r="H350"/>
      <c r="I350"/>
      <c r="J350"/>
      <c r="K350"/>
      <c r="L350"/>
      <c r="M350"/>
      <c r="N350"/>
      <c r="O350"/>
      <c r="P350"/>
      <c r="Q350"/>
      <c r="R350"/>
      <c r="S350"/>
      <c r="T350"/>
      <c r="U350"/>
      <c r="V350"/>
      <c r="W350"/>
      <c r="X350"/>
      <c r="Y350"/>
      <c r="Z350" s="29"/>
      <c r="AA350" s="29"/>
      <c r="AB350" s="29"/>
      <c r="AC350" s="29"/>
      <c r="AD350" s="29"/>
      <c r="AE350" s="29"/>
      <c r="AF350" s="29"/>
      <c r="AG350" s="29"/>
      <c r="AH350" s="29"/>
      <c r="AI350" s="29"/>
      <c r="AJ350" s="29"/>
      <c r="AK350" s="29"/>
      <c r="AL350" s="29"/>
      <c r="AM350" s="29"/>
      <c r="AN350" s="29"/>
      <c r="AO350" s="29"/>
      <c r="AP350" s="29"/>
      <c r="AQ350" s="29"/>
      <c r="AR350"/>
      <c r="AS350"/>
      <c r="AT350"/>
      <c r="AU350"/>
      <c r="AV350"/>
      <c r="AW350"/>
      <c r="AX350"/>
      <c r="AY350"/>
      <c r="AZ350"/>
      <c r="BA350"/>
      <c r="BB350"/>
      <c r="BC350"/>
      <c r="BD350"/>
      <c r="BE350"/>
      <c r="BF350"/>
      <c r="BG350"/>
      <c r="BH350"/>
      <c r="BI350"/>
      <c r="BJ350"/>
      <c r="BK350"/>
      <c r="BL350"/>
      <c r="BM350"/>
      <c r="BN350"/>
      <c r="BO350"/>
      <c r="BP350"/>
      <c r="BQ350" s="325"/>
      <c r="BR350" s="415"/>
      <c r="BS350" s="415"/>
      <c r="BT350" s="415"/>
      <c r="BU350" s="416"/>
      <c r="BV350" s="416"/>
      <c r="BW350" s="416"/>
      <c r="BY350" s="416"/>
      <c r="CA350" s="432"/>
      <c r="CB350" s="415"/>
      <c r="CC350" s="445"/>
      <c r="CD350" s="449"/>
    </row>
    <row r="351" spans="1:82">
      <c r="A351" s="325"/>
      <c r="B351" s="416">
        <v>7.2458447360837022E-2</v>
      </c>
      <c r="C351" s="11"/>
      <c r="D351"/>
      <c r="E351"/>
      <c r="F351"/>
      <c r="G351"/>
      <c r="H351"/>
      <c r="I351"/>
      <c r="J351"/>
      <c r="K351"/>
      <c r="L351"/>
      <c r="M351"/>
      <c r="N351"/>
      <c r="O351"/>
      <c r="P351"/>
      <c r="Q351"/>
      <c r="R351"/>
      <c r="S351"/>
      <c r="T351"/>
      <c r="U351"/>
      <c r="V351"/>
      <c r="W351"/>
      <c r="X351"/>
      <c r="Y351"/>
      <c r="Z351" s="29"/>
      <c r="AA351" s="29"/>
      <c r="AB351" s="29"/>
      <c r="AC351" s="29"/>
      <c r="AD351" s="29"/>
      <c r="AE351" s="29"/>
      <c r="AF351" s="29"/>
      <c r="AG351" s="29"/>
      <c r="AH351" s="29"/>
      <c r="AI351" s="29"/>
      <c r="AJ351" s="29"/>
      <c r="AK351" s="29"/>
      <c r="AL351" s="29"/>
      <c r="AM351" s="29"/>
      <c r="AN351" s="29"/>
      <c r="AO351" s="29"/>
      <c r="AP351" s="29"/>
      <c r="AQ351" s="29"/>
      <c r="AR351"/>
      <c r="AS351"/>
      <c r="AT351"/>
      <c r="AU351"/>
      <c r="AV351"/>
      <c r="AW351"/>
      <c r="AX351"/>
      <c r="AY351"/>
      <c r="AZ351"/>
      <c r="BA351"/>
      <c r="BB351"/>
      <c r="BC351"/>
      <c r="BD351"/>
      <c r="BE351"/>
      <c r="BF351"/>
      <c r="BG351"/>
      <c r="BH351"/>
      <c r="BI351"/>
      <c r="BJ351"/>
      <c r="BK351"/>
      <c r="BL351"/>
      <c r="BM351"/>
      <c r="BN351"/>
      <c r="BO351"/>
      <c r="BP351"/>
      <c r="BQ351" s="325"/>
      <c r="BR351" s="415"/>
      <c r="BS351" s="415"/>
      <c r="BT351" s="415"/>
      <c r="BU351" s="416"/>
      <c r="BV351" s="416"/>
      <c r="BW351" s="416"/>
      <c r="BY351" s="416"/>
      <c r="CA351" s="432"/>
      <c r="CB351" s="415"/>
      <c r="CC351" s="445"/>
      <c r="CD351" s="449"/>
    </row>
    <row r="352" spans="1:82">
      <c r="A352" s="325"/>
      <c r="B352" s="416">
        <v>7.2454040623062002E-2</v>
      </c>
      <c r="C352" s="11"/>
      <c r="D352"/>
      <c r="E352"/>
      <c r="F352"/>
      <c r="G352"/>
      <c r="H352"/>
      <c r="I352"/>
      <c r="J352"/>
      <c r="K352"/>
      <c r="L352"/>
      <c r="M352"/>
      <c r="N352"/>
      <c r="O352"/>
      <c r="P352"/>
      <c r="Q352"/>
      <c r="R352"/>
      <c r="S352"/>
      <c r="T352"/>
      <c r="U352"/>
      <c r="V352"/>
      <c r="W352"/>
      <c r="X352"/>
      <c r="Y352"/>
      <c r="Z352" s="29"/>
      <c r="AA352" s="29"/>
      <c r="AB352" s="29"/>
      <c r="AC352" s="29"/>
      <c r="AD352" s="29"/>
      <c r="AE352" s="29"/>
      <c r="AF352" s="29"/>
      <c r="AG352" s="29"/>
      <c r="AH352" s="29"/>
      <c r="AI352" s="29"/>
      <c r="AJ352" s="29"/>
      <c r="AK352" s="29"/>
      <c r="AL352" s="29"/>
      <c r="AM352" s="29"/>
      <c r="AN352" s="29"/>
      <c r="AO352" s="29"/>
      <c r="AP352" s="29"/>
      <c r="AQ352" s="29"/>
      <c r="AR352"/>
      <c r="AS352"/>
      <c r="AT352"/>
      <c r="AU352"/>
      <c r="AV352"/>
      <c r="AW352"/>
      <c r="AX352"/>
      <c r="AY352"/>
      <c r="AZ352"/>
      <c r="BA352"/>
      <c r="BB352"/>
      <c r="BC352"/>
      <c r="BD352"/>
      <c r="BE352"/>
      <c r="BF352"/>
      <c r="BG352"/>
      <c r="BH352"/>
      <c r="BI352"/>
      <c r="BJ352"/>
      <c r="BK352"/>
      <c r="BL352"/>
      <c r="BM352"/>
      <c r="BN352"/>
      <c r="BO352"/>
      <c r="BP352"/>
      <c r="BQ352" s="325"/>
      <c r="BR352" s="415"/>
      <c r="BS352" s="415"/>
      <c r="BT352" s="415"/>
      <c r="BU352" s="416"/>
      <c r="BV352" s="416"/>
      <c r="BW352" s="416"/>
      <c r="BY352" s="416"/>
      <c r="CA352" s="432"/>
      <c r="CB352" s="415"/>
      <c r="CC352" s="445"/>
      <c r="CD352" s="449"/>
    </row>
    <row r="353" spans="1:82">
      <c r="A353" s="325"/>
      <c r="B353" s="416">
        <v>7.2449776038125024E-2</v>
      </c>
      <c r="C353" s="11"/>
      <c r="D353"/>
      <c r="E353"/>
      <c r="F353"/>
      <c r="G353"/>
      <c r="H353"/>
      <c r="I353"/>
      <c r="J353"/>
      <c r="K353"/>
      <c r="L353"/>
      <c r="M353"/>
      <c r="N353"/>
      <c r="O353"/>
      <c r="P353"/>
      <c r="Q353"/>
      <c r="R353"/>
      <c r="S353"/>
      <c r="T353"/>
      <c r="U353"/>
      <c r="V353"/>
      <c r="W353"/>
      <c r="X353"/>
      <c r="Y353"/>
      <c r="Z353" s="29"/>
      <c r="AA353" s="29"/>
      <c r="AB353" s="29"/>
      <c r="AC353" s="29"/>
      <c r="AD353" s="29"/>
      <c r="AE353" s="29"/>
      <c r="AF353" s="29"/>
      <c r="AG353" s="29"/>
      <c r="AH353" s="29"/>
      <c r="AI353" s="29"/>
      <c r="AJ353" s="29"/>
      <c r="AK353" s="29"/>
      <c r="AL353" s="29"/>
      <c r="AM353" s="29"/>
      <c r="AN353" s="29"/>
      <c r="AO353" s="29"/>
      <c r="AP353" s="29"/>
      <c r="AQ353" s="29"/>
      <c r="AR353"/>
      <c r="AS353"/>
      <c r="AT353"/>
      <c r="AU353"/>
      <c r="AV353"/>
      <c r="AW353"/>
      <c r="AX353"/>
      <c r="AY353"/>
      <c r="AZ353"/>
      <c r="BA353"/>
      <c r="BB353"/>
      <c r="BC353"/>
      <c r="BD353"/>
      <c r="BE353"/>
      <c r="BF353"/>
      <c r="BG353"/>
      <c r="BH353"/>
      <c r="BI353"/>
      <c r="BJ353"/>
      <c r="BK353"/>
      <c r="BL353"/>
      <c r="BM353"/>
      <c r="BN353"/>
      <c r="BO353"/>
      <c r="BP353"/>
      <c r="BQ353" s="325"/>
      <c r="BR353" s="415"/>
      <c r="BS353" s="415"/>
      <c r="BT353" s="415"/>
      <c r="BU353" s="416"/>
      <c r="BV353" s="416"/>
      <c r="BW353" s="416"/>
      <c r="BY353" s="416"/>
      <c r="CA353" s="432"/>
      <c r="CB353" s="415"/>
      <c r="CC353" s="445"/>
      <c r="CD353" s="449"/>
    </row>
    <row r="354" spans="1:82">
      <c r="A354" s="325"/>
      <c r="B354" s="416">
        <v>7.2445369300362009E-2</v>
      </c>
      <c r="C354" s="11"/>
      <c r="D354"/>
      <c r="E354"/>
      <c r="F354"/>
      <c r="G354"/>
      <c r="H354"/>
      <c r="I354"/>
      <c r="J354"/>
      <c r="K354"/>
      <c r="L354"/>
      <c r="M354"/>
      <c r="N354"/>
      <c r="O354"/>
      <c r="P354"/>
      <c r="Q354"/>
      <c r="R354"/>
      <c r="S354"/>
      <c r="T354"/>
      <c r="U354"/>
      <c r="V354"/>
      <c r="W354"/>
      <c r="X354"/>
      <c r="Y354"/>
      <c r="Z354" s="29"/>
      <c r="AA354" s="29"/>
      <c r="AB354" s="29"/>
      <c r="AC354" s="29"/>
      <c r="AD354" s="29"/>
      <c r="AE354" s="29"/>
      <c r="AF354" s="29"/>
      <c r="AG354" s="29"/>
      <c r="AH354" s="29"/>
      <c r="AI354" s="29"/>
      <c r="AJ354" s="29"/>
      <c r="AK354" s="29"/>
      <c r="AL354" s="29"/>
      <c r="AM354" s="29"/>
      <c r="AN354" s="29"/>
      <c r="AO354" s="29"/>
      <c r="AP354" s="29"/>
      <c r="AQ354" s="29"/>
      <c r="AR354"/>
      <c r="AS354"/>
      <c r="AT354"/>
      <c r="AU354"/>
      <c r="AV354"/>
      <c r="AW354"/>
      <c r="AX354"/>
      <c r="AY354"/>
      <c r="AZ354"/>
      <c r="BA354"/>
      <c r="BB354"/>
      <c r="BC354"/>
      <c r="BD354"/>
      <c r="BE354"/>
      <c r="BF354"/>
      <c r="BG354"/>
      <c r="BH354"/>
      <c r="BI354"/>
      <c r="BJ354"/>
      <c r="BK354"/>
      <c r="BL354"/>
      <c r="BM354"/>
      <c r="BN354"/>
      <c r="BO354"/>
      <c r="BP354"/>
      <c r="BQ354" s="325"/>
      <c r="BR354" s="415"/>
      <c r="BS354" s="415"/>
      <c r="BT354" s="415"/>
      <c r="BU354" s="416"/>
      <c r="BV354" s="416"/>
      <c r="BW354" s="416"/>
      <c r="BY354" s="416"/>
      <c r="CA354" s="432"/>
      <c r="CB354" s="415"/>
      <c r="CC354" s="445"/>
      <c r="CD354" s="449"/>
    </row>
    <row r="355" spans="1:82">
      <c r="A355" s="325"/>
      <c r="B355" s="416">
        <v>7.2440962562606001E-2</v>
      </c>
      <c r="C355" s="11"/>
      <c r="D355"/>
      <c r="E355"/>
      <c r="F355"/>
      <c r="G355"/>
      <c r="H355"/>
      <c r="I355"/>
      <c r="J355"/>
      <c r="K355"/>
      <c r="L355"/>
      <c r="M355"/>
      <c r="N355"/>
      <c r="O355"/>
      <c r="P355"/>
      <c r="Q355"/>
      <c r="R355"/>
      <c r="S355"/>
      <c r="T355"/>
      <c r="U355"/>
      <c r="V355"/>
      <c r="W355"/>
      <c r="X355"/>
      <c r="Y355"/>
      <c r="Z355" s="29"/>
      <c r="AA355" s="29"/>
      <c r="AB355" s="29"/>
      <c r="AC355" s="29"/>
      <c r="AD355" s="29"/>
      <c r="AE355" s="29"/>
      <c r="AF355" s="29"/>
      <c r="AG355" s="29"/>
      <c r="AH355" s="29"/>
      <c r="AI355" s="29"/>
      <c r="AJ355" s="29"/>
      <c r="AK355" s="29"/>
      <c r="AL355" s="29"/>
      <c r="AM355" s="29"/>
      <c r="AN355" s="29"/>
      <c r="AO355" s="29"/>
      <c r="AP355" s="29"/>
      <c r="AQ355" s="29"/>
      <c r="AR355"/>
      <c r="AS355"/>
      <c r="AT355"/>
      <c r="AU355"/>
      <c r="AV355"/>
      <c r="AW355"/>
      <c r="AX355"/>
      <c r="AY355"/>
      <c r="AZ355"/>
      <c r="BA355"/>
      <c r="BB355"/>
      <c r="BC355"/>
      <c r="BD355"/>
      <c r="BE355"/>
      <c r="BF355"/>
      <c r="BG355"/>
      <c r="BH355"/>
      <c r="BI355"/>
      <c r="BJ355"/>
      <c r="BK355"/>
      <c r="BL355"/>
      <c r="BM355"/>
      <c r="BN355"/>
      <c r="BO355"/>
      <c r="BP355"/>
      <c r="BQ355" s="325"/>
      <c r="BR355" s="415"/>
      <c r="BS355" s="415"/>
      <c r="BT355" s="415"/>
      <c r="BU355" s="416"/>
      <c r="BV355" s="416"/>
      <c r="BW355" s="416"/>
      <c r="BY355" s="416"/>
      <c r="CA355" s="432"/>
      <c r="CB355" s="415"/>
      <c r="CC355" s="445"/>
      <c r="CD355" s="449"/>
    </row>
    <row r="356" spans="1:82">
      <c r="A356" s="325"/>
      <c r="B356" s="416">
        <v>7.2436697977686024E-2</v>
      </c>
      <c r="C356" s="11"/>
      <c r="D356"/>
      <c r="E356"/>
      <c r="F356"/>
      <c r="G356"/>
      <c r="H356"/>
      <c r="I356"/>
      <c r="J356"/>
      <c r="K356"/>
      <c r="L356"/>
      <c r="M356"/>
      <c r="N356"/>
      <c r="O356"/>
      <c r="P356"/>
      <c r="Q356"/>
      <c r="R356"/>
      <c r="S356"/>
      <c r="T356"/>
      <c r="U356"/>
      <c r="V356"/>
      <c r="W356"/>
      <c r="X356"/>
      <c r="Y356"/>
      <c r="Z356" s="29"/>
      <c r="AA356" s="29"/>
      <c r="AB356" s="29"/>
      <c r="AC356" s="29"/>
      <c r="AD356" s="29"/>
      <c r="AE356" s="29"/>
      <c r="AF356" s="29"/>
      <c r="AG356" s="29"/>
      <c r="AH356" s="29"/>
      <c r="AI356" s="29"/>
      <c r="AJ356" s="29"/>
      <c r="AK356" s="29"/>
      <c r="AL356" s="29"/>
      <c r="AM356" s="29"/>
      <c r="AN356" s="29"/>
      <c r="AO356" s="29"/>
      <c r="AP356" s="29"/>
      <c r="AQ356" s="29"/>
      <c r="AR356"/>
      <c r="AS356"/>
      <c r="AT356"/>
      <c r="AU356"/>
      <c r="AV356"/>
      <c r="AW356"/>
      <c r="AX356"/>
      <c r="AY356"/>
      <c r="AZ356"/>
      <c r="BA356"/>
      <c r="BB356"/>
      <c r="BC356"/>
      <c r="BD356"/>
      <c r="BE356"/>
      <c r="BF356"/>
      <c r="BG356"/>
      <c r="BH356"/>
      <c r="BI356"/>
      <c r="BJ356"/>
      <c r="BK356"/>
      <c r="BL356"/>
      <c r="BM356"/>
      <c r="BN356"/>
      <c r="BO356"/>
      <c r="BP356"/>
      <c r="BQ356" s="325"/>
      <c r="BR356" s="415"/>
      <c r="BS356" s="415"/>
      <c r="BT356" s="415"/>
      <c r="BU356" s="416"/>
      <c r="BV356" s="416"/>
      <c r="BW356" s="416"/>
      <c r="BY356" s="416"/>
      <c r="CA356" s="432"/>
      <c r="CB356" s="415"/>
      <c r="CC356" s="445"/>
      <c r="CD356" s="449"/>
    </row>
    <row r="357" spans="1:82">
      <c r="A357" s="325"/>
      <c r="B357" s="416">
        <v>7.2432291239942992E-2</v>
      </c>
      <c r="C357" s="11"/>
      <c r="D357"/>
      <c r="E357"/>
      <c r="F357"/>
      <c r="G357"/>
      <c r="H357"/>
      <c r="I357"/>
      <c r="J357"/>
      <c r="K357"/>
      <c r="L357"/>
      <c r="M357"/>
      <c r="N357"/>
      <c r="O357"/>
      <c r="P357"/>
      <c r="Q357"/>
      <c r="R357"/>
      <c r="S357"/>
      <c r="T357"/>
      <c r="U357"/>
      <c r="V357"/>
      <c r="W357"/>
      <c r="X357"/>
      <c r="Y357"/>
      <c r="Z357" s="29"/>
      <c r="AA357" s="29"/>
      <c r="AB357" s="29"/>
      <c r="AC357" s="29"/>
      <c r="AD357" s="29"/>
      <c r="AE357" s="29"/>
      <c r="AF357" s="29"/>
      <c r="AG357" s="29"/>
      <c r="AH357" s="29"/>
      <c r="AI357" s="29"/>
      <c r="AJ357" s="29"/>
      <c r="AK357" s="29"/>
      <c r="AL357" s="29"/>
      <c r="AM357" s="29"/>
      <c r="AN357" s="29"/>
      <c r="AO357" s="29"/>
      <c r="AP357" s="29"/>
      <c r="AQ357" s="29"/>
      <c r="AR357"/>
      <c r="AS357"/>
      <c r="AT357"/>
      <c r="AU357"/>
      <c r="AV357"/>
      <c r="AW357"/>
      <c r="AX357"/>
      <c r="AY357"/>
      <c r="AZ357"/>
      <c r="BA357"/>
      <c r="BB357"/>
      <c r="BC357"/>
      <c r="BD357"/>
      <c r="BE357"/>
      <c r="BF357"/>
      <c r="BG357"/>
      <c r="BH357"/>
      <c r="BI357"/>
      <c r="BJ357"/>
      <c r="BK357"/>
      <c r="BL357"/>
      <c r="BM357"/>
      <c r="BN357"/>
      <c r="BO357"/>
      <c r="BP357"/>
      <c r="BQ357" s="325"/>
      <c r="BR357" s="415"/>
      <c r="BS357" s="415"/>
      <c r="BT357" s="415"/>
      <c r="BU357" s="416"/>
      <c r="BV357" s="416"/>
      <c r="BW357" s="416"/>
      <c r="BY357" s="416"/>
      <c r="CA357" s="432"/>
      <c r="CB357" s="415"/>
      <c r="CC357" s="445"/>
      <c r="CD357" s="449"/>
    </row>
    <row r="358" spans="1:82">
      <c r="A358" s="325"/>
      <c r="B358" s="416">
        <v>7.2428026655036018E-2</v>
      </c>
      <c r="C358" s="11"/>
      <c r="D358"/>
      <c r="E358"/>
      <c r="F358"/>
      <c r="G358"/>
      <c r="H358"/>
      <c r="I358"/>
      <c r="J358"/>
      <c r="K358"/>
      <c r="L358"/>
      <c r="M358"/>
      <c r="N358"/>
      <c r="O358"/>
      <c r="P358"/>
      <c r="Q358"/>
      <c r="R358"/>
      <c r="S358"/>
      <c r="T358"/>
      <c r="U358"/>
      <c r="V358"/>
      <c r="W358"/>
      <c r="X358"/>
      <c r="Y358"/>
      <c r="Z358" s="29"/>
      <c r="AA358" s="29"/>
      <c r="AB358" s="29"/>
      <c r="AC358" s="29"/>
      <c r="AD358" s="29"/>
      <c r="AE358" s="29"/>
      <c r="AF358" s="29"/>
      <c r="AG358" s="29"/>
      <c r="AH358" s="29"/>
      <c r="AI358" s="29"/>
      <c r="AJ358" s="29"/>
      <c r="AK358" s="29"/>
      <c r="AL358" s="29"/>
      <c r="AM358" s="29"/>
      <c r="AN358" s="29"/>
      <c r="AO358" s="29"/>
      <c r="AP358" s="29"/>
      <c r="AQ358" s="29"/>
      <c r="AR358"/>
      <c r="AS358"/>
      <c r="AT358"/>
      <c r="AU358"/>
      <c r="AV358"/>
      <c r="AW358"/>
      <c r="AX358"/>
      <c r="AY358"/>
      <c r="AZ358"/>
      <c r="BA358"/>
      <c r="BB358"/>
      <c r="BC358"/>
      <c r="BD358"/>
      <c r="BE358"/>
      <c r="BF358"/>
      <c r="BG358"/>
      <c r="BH358"/>
      <c r="BI358"/>
      <c r="BJ358"/>
      <c r="BK358"/>
      <c r="BL358"/>
      <c r="BM358"/>
      <c r="BN358"/>
      <c r="BO358"/>
      <c r="BP358"/>
      <c r="BQ358" s="325"/>
      <c r="BR358" s="415"/>
      <c r="BS358" s="415"/>
      <c r="BT358" s="415"/>
      <c r="BU358" s="416"/>
      <c r="BV358" s="416"/>
      <c r="BW358" s="416"/>
      <c r="BY358" s="416"/>
      <c r="CA358" s="432"/>
      <c r="CB358" s="415"/>
      <c r="CC358" s="445"/>
      <c r="CD358" s="449"/>
    </row>
    <row r="359" spans="1:82">
      <c r="A359" s="325"/>
      <c r="B359" s="416">
        <v>7.2423619917305018E-2</v>
      </c>
      <c r="C359" s="11"/>
      <c r="D359"/>
      <c r="E359"/>
      <c r="F359"/>
      <c r="G359"/>
      <c r="H359"/>
      <c r="I359"/>
      <c r="J359"/>
      <c r="K359"/>
      <c r="L359"/>
      <c r="M359"/>
      <c r="N359"/>
      <c r="O359"/>
      <c r="P359"/>
      <c r="Q359"/>
      <c r="R359"/>
      <c r="S359"/>
      <c r="T359"/>
      <c r="U359"/>
      <c r="V359"/>
      <c r="W359"/>
      <c r="X359"/>
      <c r="Y359"/>
      <c r="Z359" s="29"/>
      <c r="AA359" s="29"/>
      <c r="AB359" s="29"/>
      <c r="AC359" s="29"/>
      <c r="AD359" s="29"/>
      <c r="AE359" s="29"/>
      <c r="AF359" s="29"/>
      <c r="AG359" s="29"/>
      <c r="AH359" s="29"/>
      <c r="AI359" s="29"/>
      <c r="AJ359" s="29"/>
      <c r="AK359" s="29"/>
      <c r="AL359" s="29"/>
      <c r="AM359" s="29"/>
      <c r="AN359" s="29"/>
      <c r="AO359" s="29"/>
      <c r="AP359" s="29"/>
      <c r="AQ359" s="29"/>
      <c r="AR359"/>
      <c r="AS359"/>
      <c r="AT359"/>
      <c r="AU359"/>
      <c r="AV359"/>
      <c r="AW359"/>
      <c r="AX359"/>
      <c r="AY359"/>
      <c r="AZ359"/>
      <c r="BA359"/>
      <c r="BB359"/>
      <c r="BC359"/>
      <c r="BD359"/>
      <c r="BE359"/>
      <c r="BF359"/>
      <c r="BG359"/>
      <c r="BH359"/>
      <c r="BI359"/>
      <c r="BJ359"/>
      <c r="BK359"/>
      <c r="BL359"/>
      <c r="BM359"/>
      <c r="BN359"/>
      <c r="BO359"/>
      <c r="BP359"/>
      <c r="BQ359" s="325"/>
      <c r="BR359" s="415"/>
      <c r="BS359" s="415"/>
      <c r="BT359" s="415"/>
      <c r="BU359" s="416"/>
      <c r="BV359" s="416"/>
      <c r="BW359" s="416"/>
      <c r="BY359" s="416"/>
      <c r="CA359" s="432"/>
      <c r="CB359" s="415"/>
      <c r="CC359" s="445"/>
      <c r="CD359" s="449"/>
    </row>
    <row r="360" spans="1:82">
      <c r="A360" s="325"/>
      <c r="B360" s="416">
        <v>7.2419213179581027E-2</v>
      </c>
      <c r="C360" s="11"/>
      <c r="D360"/>
      <c r="E360"/>
      <c r="F360"/>
      <c r="G360"/>
      <c r="H360"/>
      <c r="I360"/>
      <c r="J360"/>
      <c r="K360"/>
      <c r="L360"/>
      <c r="M360"/>
      <c r="N360"/>
      <c r="O360"/>
      <c r="P360"/>
      <c r="Q360"/>
      <c r="R360"/>
      <c r="S360"/>
      <c r="T360"/>
      <c r="U360"/>
      <c r="V360"/>
      <c r="W360"/>
      <c r="X360"/>
      <c r="Y360"/>
      <c r="Z360" s="29"/>
      <c r="AA360" s="29"/>
      <c r="AB360" s="29"/>
      <c r="AC360" s="29"/>
      <c r="AD360" s="29"/>
      <c r="AE360" s="29"/>
      <c r="AF360" s="29"/>
      <c r="AG360" s="29"/>
      <c r="AH360" s="29"/>
      <c r="AI360" s="29"/>
      <c r="AJ360" s="29"/>
      <c r="AK360" s="29"/>
      <c r="AL360" s="29"/>
      <c r="AM360" s="29"/>
      <c r="AN360" s="29"/>
      <c r="AO360" s="29"/>
      <c r="AP360" s="29"/>
      <c r="AQ360" s="29"/>
      <c r="AR360"/>
      <c r="AS360"/>
      <c r="AT360"/>
      <c r="AU360"/>
      <c r="AV360"/>
      <c r="AW360"/>
      <c r="AX360"/>
      <c r="AY360"/>
      <c r="AZ360"/>
      <c r="BA360"/>
      <c r="BB360"/>
      <c r="BC360"/>
      <c r="BD360"/>
      <c r="BE360"/>
      <c r="BF360"/>
      <c r="BG360"/>
      <c r="BH360"/>
      <c r="BI360"/>
      <c r="BJ360"/>
      <c r="BK360"/>
      <c r="BL360"/>
      <c r="BM360"/>
      <c r="BN360"/>
      <c r="BO360"/>
      <c r="BP360"/>
      <c r="BQ360" s="325"/>
      <c r="BR360" s="415"/>
      <c r="BS360" s="415"/>
      <c r="BT360" s="415"/>
      <c r="BU360" s="416"/>
      <c r="BV360" s="416"/>
      <c r="BW360" s="416"/>
      <c r="BY360" s="416"/>
      <c r="CA360" s="432"/>
      <c r="CB360" s="415"/>
      <c r="CC360" s="445"/>
      <c r="CD360" s="449"/>
    </row>
    <row r="361" spans="1:82">
      <c r="A361" s="325"/>
      <c r="B361" s="416">
        <v>7.2415232900351026E-2</v>
      </c>
      <c r="C361" s="11"/>
      <c r="D361"/>
      <c r="E361"/>
      <c r="F361"/>
      <c r="G361"/>
      <c r="H361"/>
      <c r="I361"/>
      <c r="J361"/>
      <c r="K361"/>
      <c r="L361"/>
      <c r="M361"/>
      <c r="N361"/>
      <c r="O361"/>
      <c r="P361"/>
      <c r="Q361"/>
      <c r="R361"/>
      <c r="S361"/>
      <c r="T361"/>
      <c r="U361"/>
      <c r="V361"/>
      <c r="W361"/>
      <c r="X361"/>
      <c r="Y361"/>
      <c r="Z361" s="29"/>
      <c r="AA361" s="29"/>
      <c r="AB361" s="29"/>
      <c r="AC361" s="29"/>
      <c r="AD361" s="29"/>
      <c r="AE361" s="29"/>
      <c r="AF361" s="29"/>
      <c r="AG361" s="29"/>
      <c r="AH361" s="29"/>
      <c r="AI361" s="29"/>
      <c r="AJ361" s="29"/>
      <c r="AK361" s="29"/>
      <c r="AL361" s="29"/>
      <c r="AM361" s="29"/>
      <c r="AN361" s="29"/>
      <c r="AO361" s="29"/>
      <c r="AP361" s="29"/>
      <c r="AQ361" s="29"/>
      <c r="AR361"/>
      <c r="AS361"/>
      <c r="AT361"/>
      <c r="AU361"/>
      <c r="AV361"/>
      <c r="AW361"/>
      <c r="AX361"/>
      <c r="AY361"/>
      <c r="AZ361"/>
      <c r="BA361"/>
      <c r="BB361"/>
      <c r="BC361"/>
      <c r="BD361"/>
      <c r="BE361"/>
      <c r="BF361"/>
      <c r="BG361"/>
      <c r="BH361"/>
      <c r="BI361"/>
      <c r="BJ361"/>
      <c r="BK361"/>
      <c r="BL361"/>
      <c r="BM361"/>
      <c r="BN361"/>
      <c r="BO361"/>
      <c r="BP361"/>
      <c r="BQ361" s="325"/>
      <c r="BR361" s="415"/>
      <c r="BS361" s="415"/>
      <c r="BT361" s="415"/>
      <c r="BU361" s="416"/>
      <c r="BV361" s="416"/>
      <c r="BW361" s="416"/>
      <c r="BY361" s="416"/>
      <c r="CA361" s="432"/>
      <c r="CB361" s="415"/>
      <c r="CC361" s="445"/>
      <c r="CD361" s="449"/>
    </row>
    <row r="362" spans="1:82">
      <c r="A362" s="325"/>
      <c r="B362" s="416">
        <v>7.2410826162638012E-2</v>
      </c>
      <c r="C362" s="11"/>
      <c r="D362"/>
      <c r="E362"/>
      <c r="F362"/>
      <c r="G362"/>
      <c r="H362"/>
      <c r="I362"/>
      <c r="J362"/>
      <c r="K362"/>
      <c r="L362"/>
      <c r="M362"/>
      <c r="N362"/>
      <c r="O362"/>
      <c r="P362"/>
      <c r="Q362"/>
      <c r="R362"/>
      <c r="S362"/>
      <c r="T362"/>
      <c r="U362"/>
      <c r="V362"/>
      <c r="W362"/>
      <c r="X362"/>
      <c r="Y362"/>
      <c r="Z362" s="29"/>
      <c r="AA362" s="29"/>
      <c r="AB362" s="29"/>
      <c r="AC362" s="29"/>
      <c r="AD362" s="29"/>
      <c r="AE362" s="29"/>
      <c r="AF362" s="29"/>
      <c r="AG362" s="29"/>
      <c r="AH362" s="29"/>
      <c r="AI362" s="29"/>
      <c r="AJ362" s="29"/>
      <c r="AK362" s="29"/>
      <c r="AL362" s="29"/>
      <c r="AM362" s="29"/>
      <c r="AN362" s="29"/>
      <c r="AO362" s="29"/>
      <c r="AP362" s="29"/>
      <c r="AQ362" s="29"/>
      <c r="AR362"/>
      <c r="AS362"/>
      <c r="AT362"/>
      <c r="AU362"/>
      <c r="AV362"/>
      <c r="AW362"/>
      <c r="AX362"/>
      <c r="AY362"/>
      <c r="AZ362"/>
      <c r="BA362"/>
      <c r="BB362"/>
      <c r="BC362"/>
      <c r="BD362"/>
      <c r="BE362"/>
      <c r="BF362"/>
      <c r="BG362"/>
      <c r="BH362"/>
      <c r="BI362"/>
      <c r="BJ362"/>
      <c r="BK362"/>
      <c r="BL362"/>
      <c r="BM362"/>
      <c r="BN362"/>
      <c r="BO362"/>
      <c r="BP362"/>
      <c r="BQ362" s="325"/>
      <c r="BR362" s="415"/>
      <c r="BS362" s="415"/>
      <c r="BT362" s="415"/>
      <c r="BU362" s="416"/>
      <c r="BV362" s="416"/>
      <c r="BW362" s="416"/>
      <c r="BY362" s="416"/>
      <c r="CA362" s="432"/>
      <c r="CB362" s="415"/>
      <c r="CC362" s="445"/>
      <c r="CD362" s="449"/>
    </row>
    <row r="363" spans="1:82">
      <c r="B363" s="416"/>
      <c r="C363" s="11"/>
      <c r="D363"/>
      <c r="E363"/>
      <c r="F363"/>
      <c r="G363"/>
      <c r="H363"/>
      <c r="I363"/>
      <c r="J363"/>
      <c r="K363"/>
      <c r="L363"/>
      <c r="M363"/>
      <c r="N363"/>
      <c r="O363"/>
      <c r="P363"/>
      <c r="Q363"/>
      <c r="R363"/>
      <c r="S363"/>
      <c r="T363"/>
      <c r="U363"/>
      <c r="V363"/>
      <c r="W363"/>
      <c r="X363"/>
      <c r="Y363"/>
      <c r="Z363" s="29"/>
      <c r="AA363" s="29"/>
      <c r="AB363" s="29"/>
      <c r="AC363" s="29"/>
      <c r="AD363" s="29"/>
      <c r="AE363" s="29"/>
      <c r="AF363" s="29"/>
      <c r="AG363" s="29"/>
      <c r="AH363" s="29"/>
      <c r="AI363" s="29"/>
      <c r="AJ363" s="29"/>
      <c r="AK363" s="29"/>
      <c r="AL363" s="29"/>
      <c r="AM363" s="29"/>
      <c r="AN363" s="29"/>
      <c r="AO363" s="29"/>
      <c r="AP363" s="29"/>
      <c r="AQ363" s="29"/>
      <c r="AR363"/>
      <c r="AS363"/>
      <c r="AT363"/>
      <c r="AU363"/>
      <c r="AV363"/>
      <c r="AW363"/>
      <c r="AX363"/>
      <c r="AY363"/>
      <c r="AZ363"/>
      <c r="BA363"/>
      <c r="BB363"/>
      <c r="BC363"/>
      <c r="BD363"/>
      <c r="BE363"/>
      <c r="BF363"/>
      <c r="BG363"/>
      <c r="BH363"/>
      <c r="BI363"/>
      <c r="BJ363"/>
      <c r="BK363"/>
      <c r="BL363"/>
      <c r="BM363"/>
      <c r="BN363"/>
      <c r="BO363"/>
      <c r="BP363"/>
      <c r="BQ363" s="325"/>
      <c r="BR363" s="415"/>
      <c r="BS363" s="415"/>
      <c r="BT363" s="415"/>
      <c r="BU363" s="416"/>
      <c r="BV363" s="416"/>
      <c r="BW363" s="416"/>
      <c r="BY363" s="416"/>
      <c r="CA363" s="432"/>
      <c r="CB363" s="415"/>
      <c r="CC363" s="445"/>
      <c r="CD363" s="449"/>
    </row>
    <row r="364" spans="1:82">
      <c r="B364" s="416"/>
      <c r="C364" s="11"/>
      <c r="D364"/>
      <c r="E364"/>
      <c r="F364"/>
      <c r="G364"/>
      <c r="H364"/>
      <c r="I364"/>
      <c r="J364"/>
      <c r="K364"/>
      <c r="L364"/>
      <c r="M364"/>
      <c r="N364"/>
      <c r="O364"/>
      <c r="P364"/>
      <c r="Q364"/>
      <c r="R364"/>
      <c r="S364"/>
      <c r="T364"/>
      <c r="U364"/>
      <c r="V364"/>
      <c r="W364"/>
      <c r="X364"/>
      <c r="Y364"/>
      <c r="Z364" s="29"/>
      <c r="AA364" s="29"/>
      <c r="AB364" s="29"/>
      <c r="AC364" s="29"/>
      <c r="AD364" s="29"/>
      <c r="AE364" s="29"/>
      <c r="AF364" s="29"/>
      <c r="AG364" s="29"/>
      <c r="AH364" s="29"/>
      <c r="AI364" s="29"/>
      <c r="AJ364" s="29"/>
      <c r="AK364" s="29"/>
      <c r="AL364" s="29"/>
      <c r="AM364" s="29"/>
      <c r="AN364" s="29"/>
      <c r="AO364" s="29"/>
      <c r="AP364" s="29"/>
      <c r="AQ364" s="29"/>
      <c r="AR364"/>
      <c r="AS364"/>
      <c r="AT364"/>
      <c r="AU364"/>
      <c r="AV364"/>
      <c r="AW364"/>
      <c r="AX364"/>
      <c r="AY364"/>
      <c r="AZ364"/>
      <c r="BA364"/>
      <c r="BB364"/>
      <c r="BC364"/>
      <c r="BD364"/>
      <c r="BE364"/>
      <c r="BF364"/>
      <c r="BG364"/>
      <c r="BH364"/>
      <c r="BI364"/>
      <c r="BJ364"/>
      <c r="BK364"/>
      <c r="BL364"/>
      <c r="BM364"/>
      <c r="BN364"/>
      <c r="BO364"/>
      <c r="BP364"/>
      <c r="BQ364" s="325"/>
      <c r="BR364" s="415"/>
      <c r="BS364" s="415"/>
      <c r="BT364" s="415"/>
      <c r="BU364" s="416"/>
      <c r="BV364" s="416"/>
      <c r="BW364" s="416"/>
      <c r="BY364" s="416"/>
      <c r="CA364" s="432"/>
      <c r="CB364" s="415"/>
      <c r="CC364" s="445"/>
      <c r="CD364" s="449"/>
    </row>
    <row r="365" spans="1:82">
      <c r="B365" s="416"/>
      <c r="C365" s="11"/>
      <c r="D365"/>
      <c r="E365"/>
      <c r="F365"/>
      <c r="G365"/>
      <c r="H365"/>
      <c r="I365"/>
      <c r="J365"/>
      <c r="K365"/>
      <c r="L365"/>
      <c r="M365"/>
      <c r="N365"/>
      <c r="O365"/>
      <c r="P365"/>
      <c r="Q365"/>
      <c r="R365"/>
      <c r="S365"/>
      <c r="T365"/>
      <c r="U365"/>
      <c r="V365"/>
      <c r="W365"/>
      <c r="X365"/>
      <c r="Y365"/>
      <c r="Z365" s="29"/>
      <c r="AA365" s="29"/>
      <c r="AB365" s="29"/>
      <c r="AC365" s="29"/>
      <c r="AD365" s="29"/>
      <c r="AE365" s="29"/>
      <c r="AF365" s="29"/>
      <c r="AG365" s="29"/>
      <c r="AH365" s="29"/>
      <c r="AI365" s="29"/>
      <c r="AJ365" s="29"/>
      <c r="AK365" s="29"/>
      <c r="AL365" s="29"/>
      <c r="AM365" s="29"/>
      <c r="AN365" s="29"/>
      <c r="AO365" s="29"/>
      <c r="AP365" s="29"/>
      <c r="AQ365" s="29"/>
      <c r="AR365"/>
      <c r="AS365"/>
      <c r="AT365"/>
      <c r="AU365"/>
      <c r="AV365"/>
      <c r="AW365"/>
      <c r="AX365"/>
      <c r="AY365"/>
      <c r="AZ365"/>
      <c r="BA365"/>
      <c r="BB365"/>
      <c r="BC365"/>
      <c r="BD365"/>
      <c r="BE365"/>
      <c r="BF365"/>
      <c r="BG365"/>
      <c r="BH365"/>
      <c r="BI365"/>
      <c r="BJ365"/>
      <c r="BK365"/>
      <c r="BL365"/>
      <c r="BM365"/>
      <c r="BN365"/>
      <c r="BO365"/>
      <c r="BP365"/>
      <c r="BQ365" s="325"/>
      <c r="BR365" s="415"/>
      <c r="BS365" s="415"/>
      <c r="BT365" s="415"/>
      <c r="BU365" s="416"/>
      <c r="BV365" s="416"/>
      <c r="BW365" s="416"/>
      <c r="BY365" s="416"/>
      <c r="CA365" s="432"/>
      <c r="CB365" s="415"/>
      <c r="CC365" s="445"/>
      <c r="CD365" s="449"/>
    </row>
    <row r="366" spans="1:82">
      <c r="B366" s="416"/>
      <c r="C366" s="11"/>
      <c r="D366"/>
      <c r="E366"/>
      <c r="F366"/>
      <c r="G366"/>
      <c r="H366"/>
      <c r="I366"/>
      <c r="J366"/>
      <c r="K366"/>
      <c r="L366"/>
      <c r="M366"/>
      <c r="N366"/>
      <c r="O366"/>
      <c r="P366"/>
      <c r="Q366"/>
      <c r="R366"/>
      <c r="S366"/>
      <c r="T366"/>
      <c r="U366"/>
      <c r="V366"/>
      <c r="W366"/>
      <c r="X366"/>
      <c r="Y366"/>
      <c r="Z366" s="29"/>
      <c r="AA366" s="29"/>
      <c r="AB366" s="29"/>
      <c r="AC366" s="29"/>
      <c r="AD366" s="29"/>
      <c r="AE366" s="29"/>
      <c r="AF366" s="29"/>
      <c r="AG366" s="29"/>
      <c r="AH366" s="29"/>
      <c r="AI366" s="29"/>
      <c r="AJ366" s="29"/>
      <c r="AK366" s="29"/>
      <c r="AL366" s="29"/>
      <c r="AM366" s="29"/>
      <c r="AN366" s="29"/>
      <c r="AO366" s="29"/>
      <c r="AP366" s="29"/>
      <c r="AQ366" s="29"/>
      <c r="AR366"/>
      <c r="AS366"/>
      <c r="AT366"/>
      <c r="AU366"/>
      <c r="AV366"/>
      <c r="AW366"/>
      <c r="AX366"/>
      <c r="AY366"/>
      <c r="AZ366"/>
      <c r="BA366"/>
      <c r="BB366"/>
      <c r="BC366"/>
      <c r="BD366"/>
      <c r="BE366"/>
      <c r="BF366"/>
      <c r="BG366"/>
      <c r="BH366"/>
      <c r="BI366"/>
      <c r="BJ366"/>
      <c r="BK366"/>
      <c r="BL366"/>
      <c r="BM366"/>
      <c r="BN366"/>
      <c r="BO366"/>
      <c r="BP366"/>
      <c r="BQ366" s="325"/>
      <c r="BR366" s="415"/>
      <c r="BS366" s="415"/>
      <c r="BT366" s="415"/>
      <c r="BU366" s="416"/>
      <c r="BV366" s="416"/>
      <c r="BW366" s="416"/>
      <c r="BY366" s="416"/>
      <c r="CA366" s="432"/>
      <c r="CB366" s="415"/>
      <c r="CC366" s="445"/>
      <c r="CD366" s="449"/>
    </row>
    <row r="367" spans="1:82">
      <c r="B367" s="416"/>
      <c r="C367" s="11"/>
      <c r="D367"/>
      <c r="E367"/>
      <c r="F367"/>
      <c r="G367"/>
      <c r="H367"/>
      <c r="I367"/>
      <c r="J367"/>
      <c r="K367"/>
      <c r="L367"/>
      <c r="M367"/>
      <c r="N367"/>
      <c r="O367"/>
      <c r="P367"/>
      <c r="Q367"/>
      <c r="R367"/>
      <c r="S367"/>
      <c r="T367"/>
      <c r="U367"/>
      <c r="V367"/>
      <c r="W367"/>
      <c r="X367"/>
      <c r="Y367"/>
      <c r="Z367" s="29"/>
      <c r="AA367" s="29"/>
      <c r="AB367" s="29"/>
      <c r="AC367" s="29"/>
      <c r="AD367" s="29"/>
      <c r="AE367" s="29"/>
      <c r="AF367" s="29"/>
      <c r="AG367" s="29"/>
      <c r="AH367" s="29"/>
      <c r="AI367" s="29"/>
      <c r="AJ367" s="29"/>
      <c r="AK367" s="29"/>
      <c r="AL367" s="29"/>
      <c r="AM367" s="29"/>
      <c r="AN367" s="29"/>
      <c r="AO367" s="29"/>
      <c r="AP367" s="29"/>
      <c r="AQ367" s="29"/>
      <c r="AR367"/>
      <c r="AS367"/>
      <c r="AT367"/>
      <c r="AU367"/>
      <c r="AV367"/>
      <c r="AW367"/>
      <c r="AX367"/>
      <c r="AY367"/>
      <c r="AZ367"/>
      <c r="BA367"/>
      <c r="BB367"/>
      <c r="BC367"/>
      <c r="BD367"/>
      <c r="BE367"/>
      <c r="BF367"/>
      <c r="BG367"/>
      <c r="BH367"/>
      <c r="BI367"/>
      <c r="BJ367"/>
      <c r="BK367"/>
      <c r="BL367"/>
      <c r="BM367"/>
      <c r="BN367"/>
      <c r="BO367"/>
      <c r="BP367"/>
      <c r="BQ367" s="325"/>
      <c r="BR367" s="415"/>
      <c r="BS367" s="415"/>
      <c r="BT367" s="415"/>
      <c r="BU367" s="416"/>
      <c r="BV367" s="416"/>
      <c r="BW367" s="416"/>
      <c r="BY367" s="416"/>
      <c r="CA367" s="432"/>
      <c r="CB367" s="415"/>
      <c r="CC367" s="445"/>
      <c r="CD367" s="449"/>
    </row>
    <row r="368" spans="1:82">
      <c r="B368" s="416"/>
      <c r="C368" s="11"/>
      <c r="D368"/>
      <c r="E368"/>
      <c r="F368"/>
      <c r="G368"/>
      <c r="H368"/>
      <c r="I368"/>
      <c r="J368"/>
      <c r="K368"/>
      <c r="L368"/>
      <c r="M368"/>
      <c r="N368"/>
      <c r="O368"/>
      <c r="P368"/>
      <c r="Q368"/>
      <c r="R368"/>
      <c r="S368"/>
      <c r="T368"/>
      <c r="U368"/>
      <c r="V368"/>
      <c r="W368"/>
      <c r="X368"/>
      <c r="Y368"/>
      <c r="Z368" s="29"/>
      <c r="AA368" s="29"/>
      <c r="AB368" s="29"/>
      <c r="AC368" s="29"/>
      <c r="AD368" s="29"/>
      <c r="AE368" s="29"/>
      <c r="AF368" s="29"/>
      <c r="AG368" s="29"/>
      <c r="AH368" s="29"/>
      <c r="AI368" s="29"/>
      <c r="AJ368" s="29"/>
      <c r="AK368" s="29"/>
      <c r="AL368" s="29"/>
      <c r="AM368" s="29"/>
      <c r="AN368" s="29"/>
      <c r="AO368" s="29"/>
      <c r="AP368" s="29"/>
      <c r="AQ368" s="29"/>
      <c r="AR368"/>
      <c r="AS368"/>
      <c r="AT368"/>
      <c r="AU368"/>
      <c r="AV368"/>
      <c r="AW368"/>
      <c r="AX368"/>
      <c r="AY368"/>
      <c r="AZ368"/>
      <c r="BA368"/>
      <c r="BB368"/>
      <c r="BC368"/>
      <c r="BD368"/>
      <c r="BE368"/>
      <c r="BF368"/>
      <c r="BG368"/>
      <c r="BH368"/>
      <c r="BI368"/>
      <c r="BJ368"/>
      <c r="BK368"/>
      <c r="BL368"/>
      <c r="BM368"/>
      <c r="BN368"/>
      <c r="BO368"/>
      <c r="BP368"/>
      <c r="BQ368" s="325"/>
      <c r="BR368" s="415"/>
      <c r="BS368" s="415"/>
      <c r="BT368" s="415"/>
      <c r="BU368" s="416"/>
      <c r="BV368" s="416"/>
      <c r="BW368" s="416"/>
      <c r="BY368" s="416"/>
      <c r="CA368" s="432"/>
      <c r="CB368" s="415"/>
      <c r="CC368" s="445"/>
      <c r="CD368" s="449"/>
    </row>
    <row r="369" spans="2:82">
      <c r="B369" s="416"/>
      <c r="C369" s="11"/>
      <c r="D369"/>
      <c r="E369"/>
      <c r="F369"/>
      <c r="G369"/>
      <c r="H369"/>
      <c r="I369"/>
      <c r="J369"/>
      <c r="K369"/>
      <c r="L369"/>
      <c r="M369"/>
      <c r="N369"/>
      <c r="O369"/>
      <c r="P369"/>
      <c r="Q369"/>
      <c r="R369"/>
      <c r="S369"/>
      <c r="T369"/>
      <c r="U369"/>
      <c r="V369"/>
      <c r="W369"/>
      <c r="X369"/>
      <c r="Y369"/>
      <c r="Z369" s="29"/>
      <c r="AA369" s="29"/>
      <c r="AB369" s="29"/>
      <c r="AC369" s="29"/>
      <c r="AD369" s="29"/>
      <c r="AE369" s="29"/>
      <c r="AF369" s="29"/>
      <c r="AG369" s="29"/>
      <c r="AH369" s="29"/>
      <c r="AI369" s="29"/>
      <c r="AJ369" s="29"/>
      <c r="AK369" s="29"/>
      <c r="AL369" s="29"/>
      <c r="AM369" s="29"/>
      <c r="AN369" s="29"/>
      <c r="AO369" s="29"/>
      <c r="AP369" s="29"/>
      <c r="AQ369" s="29"/>
      <c r="AR369"/>
      <c r="AS369"/>
      <c r="AT369"/>
      <c r="AU369"/>
      <c r="AV369"/>
      <c r="AW369"/>
      <c r="AX369"/>
      <c r="AY369"/>
      <c r="AZ369"/>
      <c r="BA369"/>
      <c r="BB369"/>
      <c r="BC369"/>
      <c r="BD369"/>
      <c r="BE369"/>
      <c r="BF369"/>
      <c r="BG369"/>
      <c r="BH369"/>
      <c r="BI369"/>
      <c r="BJ369"/>
      <c r="BK369"/>
      <c r="BL369"/>
      <c r="BM369"/>
      <c r="BN369"/>
      <c r="BO369"/>
      <c r="BP369"/>
      <c r="BQ369" s="325"/>
      <c r="BR369" s="415"/>
      <c r="BS369" s="415"/>
      <c r="BT369" s="415"/>
      <c r="BU369" s="416"/>
      <c r="BV369" s="416"/>
      <c r="BW369" s="416"/>
      <c r="BY369" s="416"/>
      <c r="CA369" s="432"/>
      <c r="CB369" s="415"/>
      <c r="CC369" s="445"/>
      <c r="CD369" s="449"/>
    </row>
    <row r="370" spans="2:82">
      <c r="B370" s="416"/>
      <c r="C370" s="11"/>
      <c r="D370"/>
      <c r="E370"/>
      <c r="F370"/>
      <c r="G370"/>
      <c r="H370"/>
      <c r="I370"/>
      <c r="J370"/>
      <c r="K370"/>
      <c r="L370"/>
      <c r="M370"/>
      <c r="N370"/>
      <c r="O370"/>
      <c r="P370"/>
      <c r="Q370"/>
      <c r="R370"/>
      <c r="S370"/>
      <c r="T370"/>
      <c r="U370"/>
      <c r="V370"/>
      <c r="W370"/>
      <c r="X370"/>
      <c r="Y370"/>
      <c r="Z370" s="29"/>
      <c r="AA370" s="29"/>
      <c r="AB370" s="29"/>
      <c r="AC370" s="29"/>
      <c r="AD370" s="29"/>
      <c r="AE370" s="29"/>
      <c r="AF370" s="29"/>
      <c r="AG370" s="29"/>
      <c r="AH370" s="29"/>
      <c r="AI370" s="29"/>
      <c r="AJ370" s="29"/>
      <c r="AK370" s="29"/>
      <c r="AL370" s="29"/>
      <c r="AM370" s="29"/>
      <c r="AN370" s="29"/>
      <c r="AO370" s="29"/>
      <c r="AP370" s="29"/>
      <c r="AQ370" s="29"/>
      <c r="AR370"/>
      <c r="AS370"/>
      <c r="AT370"/>
      <c r="AU370"/>
      <c r="AV370"/>
      <c r="AW370"/>
      <c r="AX370"/>
      <c r="AY370"/>
      <c r="AZ370"/>
      <c r="BA370"/>
      <c r="BB370"/>
      <c r="BC370"/>
      <c r="BD370"/>
      <c r="BE370"/>
      <c r="BF370"/>
      <c r="BG370"/>
      <c r="BH370"/>
      <c r="BI370"/>
      <c r="BJ370"/>
      <c r="BK370"/>
      <c r="BL370"/>
      <c r="BM370"/>
      <c r="BN370"/>
      <c r="BO370"/>
      <c r="BP370"/>
      <c r="BQ370" s="325"/>
      <c r="BR370" s="415"/>
      <c r="BS370" s="415"/>
      <c r="BT370" s="415"/>
      <c r="BU370" s="416"/>
      <c r="BV370" s="416"/>
      <c r="BW370" s="416"/>
      <c r="BY370" s="416"/>
      <c r="CA370" s="432"/>
      <c r="CB370" s="415"/>
      <c r="CC370" s="445"/>
      <c r="CD370" s="449"/>
    </row>
    <row r="371" spans="2:82">
      <c r="B371" s="416"/>
      <c r="C371" s="11"/>
      <c r="D371"/>
      <c r="E371"/>
      <c r="F371"/>
      <c r="G371"/>
      <c r="H371"/>
      <c r="I371"/>
      <c r="J371"/>
      <c r="K371"/>
      <c r="L371"/>
      <c r="M371"/>
      <c r="N371"/>
      <c r="O371"/>
      <c r="P371"/>
      <c r="Q371"/>
      <c r="R371"/>
      <c r="S371"/>
      <c r="T371"/>
      <c r="U371"/>
      <c r="V371"/>
      <c r="W371"/>
      <c r="X371"/>
      <c r="Y371"/>
      <c r="Z371" s="29"/>
      <c r="AA371" s="29"/>
      <c r="AB371" s="29"/>
      <c r="AC371" s="29"/>
      <c r="AD371" s="29"/>
      <c r="AE371" s="29"/>
      <c r="AF371" s="29"/>
      <c r="AG371" s="29"/>
      <c r="AH371" s="29"/>
      <c r="AI371" s="29"/>
      <c r="AJ371" s="29"/>
      <c r="AK371" s="29"/>
      <c r="AL371" s="29"/>
      <c r="AM371" s="29"/>
      <c r="AN371" s="29"/>
      <c r="AO371" s="29"/>
      <c r="AP371" s="29"/>
      <c r="AQ371" s="29"/>
      <c r="AR371"/>
      <c r="AS371"/>
      <c r="AT371"/>
      <c r="AU371"/>
      <c r="AV371"/>
      <c r="AW371"/>
      <c r="AX371"/>
      <c r="AY371"/>
      <c r="AZ371"/>
      <c r="BA371"/>
      <c r="BB371"/>
      <c r="BC371"/>
      <c r="BD371"/>
      <c r="BE371"/>
      <c r="BF371"/>
      <c r="BG371"/>
      <c r="BH371"/>
      <c r="BI371"/>
      <c r="BJ371"/>
      <c r="BK371"/>
      <c r="BL371"/>
      <c r="BM371"/>
      <c r="BN371"/>
      <c r="BO371"/>
      <c r="BP371"/>
      <c r="BQ371" s="325"/>
      <c r="BR371" s="415"/>
      <c r="BS371" s="415"/>
      <c r="BT371" s="415"/>
      <c r="BU371" s="416"/>
      <c r="BV371" s="416"/>
      <c r="BW371" s="416"/>
      <c r="BY371" s="416"/>
      <c r="CA371" s="432"/>
      <c r="CB371" s="415"/>
      <c r="CC371" s="445"/>
      <c r="CD371" s="449"/>
    </row>
    <row r="372" spans="2:82">
      <c r="B372" s="416"/>
      <c r="C372" s="11"/>
      <c r="D372"/>
      <c r="E372"/>
      <c r="F372"/>
      <c r="G372"/>
      <c r="H372"/>
      <c r="I372"/>
      <c r="J372"/>
      <c r="K372"/>
      <c r="L372"/>
      <c r="M372"/>
      <c r="N372"/>
      <c r="O372"/>
      <c r="P372"/>
      <c r="Q372"/>
      <c r="R372"/>
      <c r="S372"/>
      <c r="T372"/>
      <c r="U372"/>
      <c r="V372"/>
      <c r="W372"/>
      <c r="X372"/>
      <c r="Y372"/>
      <c r="Z372" s="29"/>
      <c r="AA372" s="29"/>
      <c r="AB372" s="29"/>
      <c r="AC372" s="29"/>
      <c r="AD372" s="29"/>
      <c r="AE372" s="29"/>
      <c r="AF372" s="29"/>
      <c r="AG372" s="29"/>
      <c r="AH372" s="29"/>
      <c r="AI372" s="29"/>
      <c r="AJ372" s="29"/>
      <c r="AK372" s="29"/>
      <c r="AL372" s="29"/>
      <c r="AM372" s="29"/>
      <c r="AN372" s="29"/>
      <c r="AO372" s="29"/>
      <c r="AP372" s="29"/>
      <c r="AQ372" s="29"/>
      <c r="AR372"/>
      <c r="AS372"/>
      <c r="AT372"/>
      <c r="AU372"/>
      <c r="AV372"/>
      <c r="AW372"/>
      <c r="AX372"/>
      <c r="AY372"/>
      <c r="AZ372"/>
      <c r="BA372"/>
      <c r="BB372"/>
      <c r="BC372"/>
      <c r="BD372"/>
      <c r="BE372"/>
      <c r="BF372"/>
      <c r="BG372"/>
      <c r="BH372"/>
      <c r="BI372"/>
      <c r="BJ372"/>
      <c r="BK372"/>
      <c r="BL372"/>
      <c r="BM372"/>
      <c r="BN372"/>
      <c r="BO372"/>
      <c r="BP372"/>
      <c r="BQ372" s="325"/>
      <c r="BR372" s="415"/>
      <c r="BS372" s="415"/>
      <c r="BT372" s="415"/>
      <c r="BU372" s="416"/>
      <c r="BV372" s="416"/>
      <c r="BW372" s="416"/>
      <c r="BY372" s="416"/>
      <c r="CA372" s="432"/>
      <c r="CB372" s="415"/>
      <c r="CC372" s="445"/>
      <c r="CD372" s="449"/>
    </row>
    <row r="373" spans="2:82">
      <c r="B373" s="416"/>
      <c r="C373" s="11"/>
      <c r="D373"/>
      <c r="E373"/>
      <c r="F373"/>
      <c r="G373"/>
      <c r="H373"/>
      <c r="I373"/>
      <c r="J373"/>
      <c r="K373"/>
      <c r="L373"/>
      <c r="M373"/>
      <c r="N373"/>
      <c r="O373"/>
      <c r="P373"/>
      <c r="Q373"/>
      <c r="R373"/>
      <c r="S373"/>
      <c r="T373"/>
      <c r="U373"/>
      <c r="V373"/>
      <c r="W373"/>
      <c r="X373"/>
      <c r="Y373"/>
      <c r="Z373" s="29"/>
      <c r="AA373" s="29"/>
      <c r="AB373" s="29"/>
      <c r="AC373" s="29"/>
      <c r="AD373" s="29"/>
      <c r="AE373" s="29"/>
      <c r="AF373" s="29"/>
      <c r="AG373" s="29"/>
      <c r="AH373" s="29"/>
      <c r="AI373" s="29"/>
      <c r="AJ373" s="29"/>
      <c r="AK373" s="29"/>
      <c r="AL373" s="29"/>
      <c r="AM373" s="29"/>
      <c r="AN373" s="29"/>
      <c r="AO373" s="29"/>
      <c r="AP373" s="29"/>
      <c r="AQ373" s="29"/>
      <c r="AR373"/>
      <c r="AS373"/>
      <c r="AT373"/>
      <c r="AU373"/>
      <c r="AV373"/>
      <c r="AW373"/>
      <c r="AX373"/>
      <c r="AY373"/>
      <c r="AZ373"/>
      <c r="BA373"/>
      <c r="BB373"/>
      <c r="BC373"/>
      <c r="BD373"/>
      <c r="BE373"/>
      <c r="BF373"/>
      <c r="BG373"/>
      <c r="BH373"/>
      <c r="BI373"/>
      <c r="BJ373"/>
      <c r="BK373"/>
      <c r="BL373"/>
      <c r="BM373"/>
      <c r="BN373"/>
      <c r="BO373"/>
      <c r="BP373"/>
      <c r="BQ373" s="325"/>
      <c r="BR373" s="415"/>
      <c r="BS373" s="415"/>
      <c r="BT373" s="415"/>
      <c r="BU373" s="416"/>
      <c r="BV373" s="416"/>
      <c r="BW373" s="416"/>
      <c r="BY373" s="416"/>
      <c r="CA373" s="432"/>
      <c r="CB373" s="415"/>
      <c r="CC373" s="445"/>
      <c r="CD373" s="449"/>
    </row>
    <row r="374" spans="2:82">
      <c r="B374" s="416"/>
      <c r="C374" s="11"/>
      <c r="D374"/>
      <c r="E374"/>
      <c r="F374"/>
      <c r="G374"/>
      <c r="H374"/>
      <c r="I374"/>
      <c r="J374"/>
      <c r="K374"/>
      <c r="L374"/>
      <c r="M374"/>
      <c r="N374"/>
      <c r="O374"/>
      <c r="P374"/>
      <c r="Q374"/>
      <c r="R374"/>
      <c r="S374"/>
      <c r="T374"/>
      <c r="U374"/>
      <c r="V374"/>
      <c r="W374"/>
      <c r="X374"/>
      <c r="Y374"/>
      <c r="Z374" s="29"/>
      <c r="AA374" s="29"/>
      <c r="AB374" s="29"/>
      <c r="AC374" s="29"/>
      <c r="AD374" s="29"/>
      <c r="AE374" s="29"/>
      <c r="AF374" s="29"/>
      <c r="AG374" s="29"/>
      <c r="AH374" s="29"/>
      <c r="AI374" s="29"/>
      <c r="AJ374" s="29"/>
      <c r="AK374" s="29"/>
      <c r="AL374" s="29"/>
      <c r="AM374" s="29"/>
      <c r="AN374" s="29"/>
      <c r="AO374" s="29"/>
      <c r="AP374" s="29"/>
      <c r="AQ374" s="29"/>
      <c r="AR374"/>
      <c r="AS374"/>
      <c r="AT374"/>
      <c r="AU374"/>
      <c r="AV374"/>
      <c r="AW374"/>
      <c r="AX374"/>
      <c r="AY374"/>
      <c r="AZ374"/>
      <c r="BA374"/>
      <c r="BB374"/>
      <c r="BC374"/>
      <c r="BD374"/>
      <c r="BE374"/>
      <c r="BF374"/>
      <c r="BG374"/>
      <c r="BH374"/>
      <c r="BI374"/>
      <c r="BJ374"/>
      <c r="BK374"/>
      <c r="BL374"/>
      <c r="BM374"/>
      <c r="BN374"/>
      <c r="BO374"/>
      <c r="BP374"/>
      <c r="BQ374" s="325"/>
      <c r="BR374" s="415"/>
      <c r="BS374" s="415"/>
      <c r="BT374" s="415"/>
      <c r="BU374" s="416"/>
      <c r="BV374" s="416"/>
      <c r="BW374" s="416"/>
      <c r="BY374" s="416"/>
      <c r="CA374" s="432"/>
      <c r="CB374" s="415"/>
      <c r="CC374" s="445"/>
      <c r="CD374" s="449"/>
    </row>
    <row r="375" spans="2:82">
      <c r="B375" s="416"/>
      <c r="C375" s="11"/>
      <c r="D375"/>
      <c r="E375"/>
      <c r="F375"/>
      <c r="G375"/>
      <c r="H375"/>
      <c r="I375"/>
      <c r="J375"/>
      <c r="K375"/>
      <c r="L375"/>
      <c r="M375"/>
      <c r="N375"/>
      <c r="O375"/>
      <c r="P375"/>
      <c r="Q375"/>
      <c r="R375"/>
      <c r="S375"/>
      <c r="T375"/>
      <c r="U375"/>
      <c r="V375"/>
      <c r="W375"/>
      <c r="X375"/>
      <c r="Y375"/>
      <c r="Z375" s="29"/>
      <c r="AA375" s="29"/>
      <c r="AB375" s="29"/>
      <c r="AC375" s="29"/>
      <c r="AD375" s="29"/>
      <c r="AE375" s="29"/>
      <c r="AF375" s="29"/>
      <c r="AG375" s="29"/>
      <c r="AH375" s="29"/>
      <c r="AI375" s="29"/>
      <c r="AJ375" s="29"/>
      <c r="AK375" s="29"/>
      <c r="AL375" s="29"/>
      <c r="AM375" s="29"/>
      <c r="AN375" s="29"/>
      <c r="AO375" s="29"/>
      <c r="AP375" s="29"/>
      <c r="AQ375" s="29"/>
      <c r="AR375"/>
      <c r="AS375"/>
      <c r="AT375"/>
      <c r="AU375"/>
      <c r="AV375"/>
      <c r="AW375"/>
      <c r="AX375"/>
      <c r="AY375"/>
      <c r="AZ375"/>
      <c r="BA375"/>
      <c r="BB375"/>
      <c r="BC375"/>
      <c r="BD375"/>
      <c r="BE375"/>
      <c r="BF375"/>
      <c r="BG375"/>
      <c r="BH375"/>
      <c r="BI375"/>
      <c r="BJ375"/>
      <c r="BK375"/>
      <c r="BL375"/>
      <c r="BM375"/>
      <c r="BN375"/>
      <c r="BO375"/>
      <c r="BP375"/>
      <c r="BQ375" s="325"/>
      <c r="BR375" s="415"/>
      <c r="BS375" s="415"/>
      <c r="BT375" s="415"/>
      <c r="BU375" s="416"/>
      <c r="BV375" s="416"/>
      <c r="BW375" s="416"/>
      <c r="BY375" s="416"/>
      <c r="CA375" s="432"/>
      <c r="CB375" s="415"/>
      <c r="CC375" s="445"/>
      <c r="CD375" s="449"/>
    </row>
    <row r="376" spans="2:82">
      <c r="B376" s="416"/>
      <c r="C376" s="11"/>
      <c r="D376"/>
      <c r="E376"/>
      <c r="F376"/>
      <c r="G376"/>
      <c r="H376"/>
      <c r="I376"/>
      <c r="J376"/>
      <c r="K376"/>
      <c r="L376"/>
      <c r="M376"/>
      <c r="N376"/>
      <c r="O376"/>
      <c r="P376"/>
      <c r="Q376"/>
      <c r="R376"/>
      <c r="S376"/>
      <c r="T376"/>
      <c r="U376"/>
      <c r="V376"/>
      <c r="W376"/>
      <c r="X376"/>
      <c r="Y376"/>
      <c r="Z376" s="29"/>
      <c r="AA376" s="29"/>
      <c r="AB376" s="29"/>
      <c r="AC376" s="29"/>
      <c r="AD376" s="29"/>
      <c r="AE376" s="29"/>
      <c r="AF376" s="29"/>
      <c r="AG376" s="29"/>
      <c r="AH376" s="29"/>
      <c r="AI376" s="29"/>
      <c r="AJ376" s="29"/>
      <c r="AK376" s="29"/>
      <c r="AL376" s="29"/>
      <c r="AM376" s="29"/>
      <c r="AN376" s="29"/>
      <c r="AO376" s="29"/>
      <c r="AP376" s="29"/>
      <c r="AQ376" s="29"/>
      <c r="AR376"/>
      <c r="AS376"/>
      <c r="AT376"/>
      <c r="AU376"/>
      <c r="AV376"/>
      <c r="AW376"/>
      <c r="AX376"/>
      <c r="AY376"/>
      <c r="AZ376"/>
      <c r="BA376"/>
      <c r="BB376"/>
      <c r="BC376"/>
      <c r="BD376"/>
      <c r="BE376"/>
      <c r="BF376"/>
      <c r="BG376"/>
      <c r="BH376"/>
      <c r="BI376"/>
      <c r="BJ376"/>
      <c r="BK376"/>
      <c r="BL376"/>
      <c r="BM376"/>
      <c r="BN376"/>
      <c r="BO376"/>
      <c r="BP376"/>
      <c r="BQ376" s="325"/>
      <c r="BR376" s="415"/>
      <c r="BS376" s="415"/>
      <c r="BT376" s="415"/>
      <c r="BU376" s="416"/>
      <c r="BV376" s="416"/>
      <c r="BW376" s="416"/>
      <c r="BY376" s="416"/>
      <c r="CA376" s="432"/>
      <c r="CB376" s="415"/>
      <c r="CC376" s="445"/>
      <c r="CD376" s="449"/>
    </row>
    <row r="377" spans="2:82">
      <c r="B377" s="416"/>
      <c r="C377" s="11"/>
      <c r="D377"/>
      <c r="E377"/>
      <c r="F377"/>
      <c r="G377"/>
      <c r="H377"/>
      <c r="I377"/>
      <c r="J377"/>
      <c r="K377"/>
      <c r="L377"/>
      <c r="M377"/>
      <c r="N377"/>
      <c r="O377"/>
      <c r="P377"/>
      <c r="Q377"/>
      <c r="R377"/>
      <c r="S377"/>
      <c r="T377"/>
      <c r="U377"/>
      <c r="V377"/>
      <c r="W377"/>
      <c r="X377"/>
      <c r="Y377"/>
      <c r="Z377" s="29"/>
      <c r="AA377" s="29"/>
      <c r="AB377" s="29"/>
      <c r="AC377" s="29"/>
      <c r="AD377" s="29"/>
      <c r="AE377" s="29"/>
      <c r="AF377" s="29"/>
      <c r="AG377" s="29"/>
      <c r="AH377" s="29"/>
      <c r="AI377" s="29"/>
      <c r="AJ377" s="29"/>
      <c r="AK377" s="29"/>
      <c r="AL377" s="29"/>
      <c r="AM377" s="29"/>
      <c r="AN377" s="29"/>
      <c r="AO377" s="29"/>
      <c r="AP377" s="29"/>
      <c r="AQ377" s="29"/>
      <c r="AR377"/>
      <c r="AS377"/>
      <c r="AT377"/>
      <c r="AU377"/>
      <c r="AV377"/>
      <c r="AW377"/>
      <c r="AX377"/>
      <c r="AY377"/>
      <c r="AZ377"/>
      <c r="BA377"/>
      <c r="BB377"/>
      <c r="BC377"/>
      <c r="BD377"/>
      <c r="BE377"/>
      <c r="BF377"/>
      <c r="BG377"/>
      <c r="BH377"/>
      <c r="BI377"/>
      <c r="BJ377"/>
      <c r="BK377"/>
      <c r="BL377"/>
      <c r="BM377"/>
      <c r="BN377"/>
      <c r="BO377"/>
      <c r="BP377"/>
      <c r="BQ377" s="325"/>
      <c r="BR377" s="415"/>
      <c r="BS377" s="415"/>
      <c r="BT377" s="415"/>
      <c r="BU377" s="416"/>
      <c r="BV377" s="416"/>
      <c r="BW377" s="416"/>
      <c r="BY377" s="416"/>
      <c r="CA377" s="432"/>
      <c r="CB377" s="415"/>
      <c r="CC377" s="445"/>
      <c r="CD377" s="449"/>
    </row>
    <row r="378" spans="2:82">
      <c r="B378" s="416"/>
      <c r="C378" s="11"/>
      <c r="D378"/>
      <c r="E378"/>
      <c r="F378"/>
      <c r="G378"/>
      <c r="H378"/>
      <c r="I378"/>
      <c r="J378"/>
      <c r="K378"/>
      <c r="L378"/>
      <c r="M378"/>
      <c r="N378"/>
      <c r="O378"/>
      <c r="P378"/>
      <c r="Q378"/>
      <c r="R378"/>
      <c r="S378"/>
      <c r="T378"/>
      <c r="U378"/>
      <c r="V378"/>
      <c r="W378"/>
      <c r="X378"/>
      <c r="Y378"/>
      <c r="Z378" s="29"/>
      <c r="AA378" s="29"/>
      <c r="AB378" s="29"/>
      <c r="AC378" s="29"/>
      <c r="AD378" s="29"/>
      <c r="AE378" s="29"/>
      <c r="AF378" s="29"/>
      <c r="AG378" s="29"/>
      <c r="AH378" s="29"/>
      <c r="AI378" s="29"/>
      <c r="AJ378" s="29"/>
      <c r="AK378" s="29"/>
      <c r="AL378" s="29"/>
      <c r="AM378" s="29"/>
      <c r="AN378" s="29"/>
      <c r="AO378" s="29"/>
      <c r="AP378" s="29"/>
      <c r="AQ378" s="29"/>
      <c r="AR378"/>
      <c r="AS378"/>
      <c r="AT378"/>
      <c r="AU378"/>
      <c r="AV378"/>
      <c r="AW378"/>
      <c r="AX378"/>
      <c r="AY378"/>
      <c r="AZ378"/>
      <c r="BA378"/>
      <c r="BB378"/>
      <c r="BC378"/>
      <c r="BD378"/>
      <c r="BE378"/>
      <c r="BF378"/>
      <c r="BG378"/>
      <c r="BH378"/>
      <c r="BI378"/>
      <c r="BJ378"/>
      <c r="BK378"/>
      <c r="BL378"/>
      <c r="BM378"/>
      <c r="BN378"/>
      <c r="BO378"/>
      <c r="BP378"/>
      <c r="BQ378" s="325"/>
      <c r="BR378" s="415"/>
      <c r="BS378" s="415"/>
      <c r="BT378" s="415"/>
      <c r="BU378" s="416"/>
      <c r="BV378" s="416"/>
      <c r="BW378" s="416"/>
      <c r="BY378" s="416"/>
      <c r="CA378" s="432"/>
      <c r="CB378" s="415"/>
      <c r="CC378" s="445"/>
      <c r="CD378" s="449"/>
    </row>
    <row r="379" spans="2:82">
      <c r="B379" s="416"/>
      <c r="C379" s="11"/>
      <c r="D379"/>
      <c r="E379"/>
      <c r="F379"/>
      <c r="G379"/>
      <c r="H379"/>
      <c r="I379"/>
      <c r="J379"/>
      <c r="K379"/>
      <c r="L379"/>
      <c r="M379"/>
      <c r="N379"/>
      <c r="O379"/>
      <c r="P379"/>
      <c r="Q379"/>
      <c r="R379"/>
      <c r="S379"/>
      <c r="T379"/>
      <c r="U379"/>
      <c r="V379"/>
      <c r="W379"/>
      <c r="X379"/>
      <c r="Y379"/>
      <c r="Z379" s="29"/>
      <c r="AA379" s="29"/>
      <c r="AB379" s="29"/>
      <c r="AC379" s="29"/>
      <c r="AD379" s="29"/>
      <c r="AE379" s="29"/>
      <c r="AF379" s="29"/>
      <c r="AG379" s="29"/>
      <c r="AH379" s="29"/>
      <c r="AI379" s="29"/>
      <c r="AJ379" s="29"/>
      <c r="AK379" s="29"/>
      <c r="AL379" s="29"/>
      <c r="AM379" s="29"/>
      <c r="AN379" s="29"/>
      <c r="AO379" s="29"/>
      <c r="AP379" s="29"/>
      <c r="AQ379" s="29"/>
      <c r="AR379"/>
      <c r="AS379"/>
      <c r="AT379"/>
      <c r="AU379"/>
      <c r="AV379"/>
      <c r="AW379"/>
      <c r="AX379"/>
      <c r="AY379"/>
      <c r="AZ379"/>
      <c r="BA379"/>
      <c r="BB379"/>
      <c r="BC379"/>
      <c r="BD379"/>
      <c r="BE379"/>
      <c r="BF379"/>
      <c r="BG379"/>
      <c r="BH379"/>
      <c r="BI379"/>
      <c r="BJ379"/>
      <c r="BK379"/>
      <c r="BL379"/>
      <c r="BM379"/>
      <c r="BN379"/>
      <c r="BO379"/>
      <c r="BP379"/>
      <c r="BQ379" s="325"/>
      <c r="BR379" s="415"/>
      <c r="BS379" s="415"/>
      <c r="BT379" s="415"/>
      <c r="BU379" s="416"/>
      <c r="BV379" s="416"/>
      <c r="BW379" s="416"/>
      <c r="BY379" s="416"/>
      <c r="CA379" s="432"/>
      <c r="CB379" s="415"/>
      <c r="CC379" s="445"/>
      <c r="CD379" s="449"/>
    </row>
    <row r="380" spans="2:82">
      <c r="B380" s="416"/>
      <c r="C380" s="11"/>
      <c r="D380"/>
      <c r="E380"/>
      <c r="F380"/>
      <c r="G380"/>
      <c r="H380"/>
      <c r="I380"/>
      <c r="J380"/>
      <c r="K380"/>
      <c r="L380"/>
      <c r="M380"/>
      <c r="N380"/>
      <c r="O380"/>
      <c r="P380"/>
      <c r="Q380"/>
      <c r="R380"/>
      <c r="S380"/>
      <c r="T380"/>
      <c r="U380"/>
      <c r="V380"/>
      <c r="W380"/>
      <c r="X380"/>
      <c r="Y380"/>
      <c r="Z380" s="29"/>
      <c r="AA380" s="29"/>
      <c r="AB380" s="29"/>
      <c r="AC380" s="29"/>
      <c r="AD380" s="29"/>
      <c r="AE380" s="29"/>
      <c r="AF380" s="29"/>
      <c r="AG380" s="29"/>
      <c r="AH380" s="29"/>
      <c r="AI380" s="29"/>
      <c r="AJ380" s="29"/>
      <c r="AK380" s="29"/>
      <c r="AL380" s="29"/>
      <c r="AM380" s="29"/>
      <c r="AN380" s="29"/>
      <c r="AO380" s="29"/>
      <c r="AP380" s="29"/>
      <c r="AQ380" s="29"/>
      <c r="AR380"/>
      <c r="AS380"/>
      <c r="AT380"/>
      <c r="AU380"/>
      <c r="AV380"/>
      <c r="AW380"/>
      <c r="AX380"/>
      <c r="AY380"/>
      <c r="AZ380"/>
      <c r="BA380"/>
      <c r="BB380"/>
      <c r="BC380"/>
      <c r="BD380"/>
      <c r="BE380"/>
      <c r="BF380"/>
      <c r="BG380"/>
      <c r="BH380"/>
      <c r="BI380"/>
      <c r="BJ380"/>
      <c r="BK380"/>
      <c r="BL380"/>
      <c r="BM380"/>
      <c r="BN380"/>
      <c r="BO380"/>
      <c r="BP380"/>
      <c r="BQ380" s="325"/>
      <c r="BR380" s="415"/>
      <c r="BS380" s="415"/>
      <c r="BT380" s="415"/>
      <c r="BU380" s="416"/>
      <c r="BV380" s="416"/>
      <c r="BW380" s="416"/>
      <c r="BY380" s="416"/>
      <c r="CA380" s="432"/>
      <c r="CB380" s="415"/>
      <c r="CC380" s="445"/>
      <c r="CD380" s="449"/>
    </row>
    <row r="381" spans="2:82">
      <c r="B381" s="416"/>
      <c r="C381" s="11"/>
      <c r="D381"/>
      <c r="E381"/>
      <c r="F381"/>
      <c r="G381"/>
      <c r="H381"/>
      <c r="I381"/>
      <c r="J381"/>
      <c r="K381"/>
      <c r="L381"/>
      <c r="M381"/>
      <c r="N381"/>
      <c r="O381"/>
      <c r="P381"/>
      <c r="Q381"/>
      <c r="R381"/>
      <c r="S381"/>
      <c r="T381"/>
      <c r="U381"/>
      <c r="V381"/>
      <c r="W381"/>
      <c r="X381"/>
      <c r="Y381"/>
      <c r="Z381" s="29"/>
      <c r="AA381" s="29"/>
      <c r="AB381" s="29"/>
      <c r="AC381" s="29"/>
      <c r="AD381" s="29"/>
      <c r="AE381" s="29"/>
      <c r="AF381" s="29"/>
      <c r="AG381" s="29"/>
      <c r="AH381" s="29"/>
      <c r="AI381" s="29"/>
      <c r="AJ381" s="29"/>
      <c r="AK381" s="29"/>
      <c r="AL381" s="29"/>
      <c r="AM381" s="29"/>
      <c r="AN381" s="29"/>
      <c r="AO381" s="29"/>
      <c r="AP381" s="29"/>
      <c r="AQ381" s="29"/>
      <c r="AR381"/>
      <c r="AS381"/>
      <c r="AT381"/>
      <c r="AU381"/>
      <c r="AV381"/>
      <c r="AW381"/>
      <c r="AX381"/>
      <c r="AY381"/>
      <c r="AZ381"/>
      <c r="BA381"/>
      <c r="BB381"/>
      <c r="BC381"/>
      <c r="BD381"/>
      <c r="BE381"/>
      <c r="BF381"/>
      <c r="BG381"/>
      <c r="BH381"/>
      <c r="BI381"/>
      <c r="BJ381"/>
      <c r="BK381"/>
      <c r="BL381"/>
      <c r="BM381"/>
      <c r="BN381"/>
      <c r="BO381"/>
      <c r="BP381"/>
      <c r="BQ381" s="325"/>
      <c r="BR381" s="415"/>
      <c r="BS381" s="415"/>
      <c r="BT381" s="415"/>
      <c r="BU381" s="416"/>
      <c r="BV381" s="416"/>
      <c r="BW381" s="416"/>
      <c r="BY381" s="416"/>
      <c r="CA381" s="432"/>
      <c r="CB381" s="415"/>
      <c r="CC381" s="445"/>
      <c r="CD381" s="449"/>
    </row>
    <row r="382" spans="2:82">
      <c r="B382" s="416"/>
      <c r="C382" s="11"/>
      <c r="D382"/>
      <c r="E382"/>
      <c r="F382"/>
      <c r="G382"/>
      <c r="H382"/>
      <c r="I382"/>
      <c r="J382"/>
      <c r="K382"/>
      <c r="L382"/>
      <c r="M382"/>
      <c r="N382"/>
      <c r="O382"/>
      <c r="P382"/>
      <c r="Q382"/>
      <c r="R382"/>
      <c r="S382"/>
      <c r="T382"/>
      <c r="U382"/>
      <c r="V382"/>
      <c r="W382"/>
      <c r="X382"/>
      <c r="Y382"/>
      <c r="Z382" s="29"/>
      <c r="AA382" s="29"/>
      <c r="AB382" s="29"/>
      <c r="AC382" s="29"/>
      <c r="AD382" s="29"/>
      <c r="AE382" s="29"/>
      <c r="AF382" s="29"/>
      <c r="AG382" s="29"/>
      <c r="AH382" s="29"/>
      <c r="AI382" s="29"/>
      <c r="AJ382" s="29"/>
      <c r="AK382" s="29"/>
      <c r="AL382" s="29"/>
      <c r="AM382" s="29"/>
      <c r="AN382" s="29"/>
      <c r="AO382" s="29"/>
      <c r="AP382" s="29"/>
      <c r="AQ382" s="29"/>
      <c r="AR382"/>
      <c r="AS382"/>
      <c r="AT382"/>
      <c r="AU382"/>
      <c r="AV382"/>
      <c r="AW382"/>
      <c r="AX382"/>
      <c r="AY382"/>
      <c r="AZ382"/>
      <c r="BA382"/>
      <c r="BB382"/>
      <c r="BC382"/>
      <c r="BD382"/>
      <c r="BE382"/>
      <c r="BF382"/>
      <c r="BG382"/>
      <c r="BH382"/>
      <c r="BI382"/>
      <c r="BJ382"/>
      <c r="BK382"/>
      <c r="BL382"/>
      <c r="BM382"/>
      <c r="BN382"/>
      <c r="BO382"/>
      <c r="BP382"/>
      <c r="BQ382" s="325"/>
      <c r="BR382" s="415"/>
      <c r="BS382" s="415"/>
      <c r="BT382" s="415"/>
      <c r="BU382" s="416"/>
      <c r="BV382" s="416"/>
      <c r="BW382" s="416"/>
      <c r="BY382" s="416"/>
      <c r="CA382" s="432"/>
      <c r="CB382" s="415"/>
      <c r="CC382" s="445"/>
      <c r="CD382" s="449"/>
    </row>
    <row r="383" spans="2:82">
      <c r="B383" s="416"/>
      <c r="C383" s="11"/>
      <c r="D383"/>
      <c r="E383"/>
      <c r="F383"/>
      <c r="G383"/>
      <c r="H383"/>
      <c r="I383"/>
      <c r="J383"/>
      <c r="K383"/>
      <c r="L383"/>
      <c r="M383"/>
      <c r="N383"/>
      <c r="O383"/>
      <c r="P383"/>
      <c r="Q383"/>
      <c r="R383"/>
      <c r="S383"/>
      <c r="T383"/>
      <c r="U383"/>
      <c r="V383"/>
      <c r="W383"/>
      <c r="X383"/>
      <c r="Y383"/>
      <c r="Z383" s="29"/>
      <c r="AA383" s="29"/>
      <c r="AB383" s="29"/>
      <c r="AC383" s="29"/>
      <c r="AD383" s="29"/>
      <c r="AE383" s="29"/>
      <c r="AF383" s="29"/>
      <c r="AG383" s="29"/>
      <c r="AH383" s="29"/>
      <c r="AI383" s="29"/>
      <c r="AJ383" s="29"/>
      <c r="AK383" s="29"/>
      <c r="AL383" s="29"/>
      <c r="AM383" s="29"/>
      <c r="AN383" s="29"/>
      <c r="AO383" s="29"/>
      <c r="AP383" s="29"/>
      <c r="AQ383" s="29"/>
      <c r="AR383"/>
      <c r="AS383"/>
      <c r="AT383"/>
      <c r="AU383"/>
      <c r="AV383"/>
      <c r="AW383"/>
      <c r="AX383"/>
      <c r="AY383"/>
      <c r="AZ383"/>
      <c r="BA383"/>
      <c r="BB383"/>
      <c r="BC383"/>
      <c r="BD383"/>
      <c r="BE383"/>
      <c r="BF383"/>
      <c r="BG383"/>
      <c r="BH383"/>
      <c r="BI383"/>
      <c r="BJ383"/>
      <c r="BK383"/>
      <c r="BL383"/>
      <c r="BM383"/>
      <c r="BN383"/>
      <c r="BO383"/>
      <c r="BP383"/>
      <c r="BQ383" s="325"/>
      <c r="BR383" s="415"/>
      <c r="BS383" s="415"/>
      <c r="BT383" s="415"/>
      <c r="BU383" s="416"/>
      <c r="BV383" s="416"/>
      <c r="BW383" s="416"/>
      <c r="BY383" s="416"/>
      <c r="CA383" s="432"/>
      <c r="CB383" s="415"/>
      <c r="CC383" s="445"/>
      <c r="CD383" s="449"/>
    </row>
    <row r="384" spans="2:82">
      <c r="B384" s="416"/>
      <c r="C384" s="11"/>
      <c r="D384"/>
      <c r="E384"/>
      <c r="F384"/>
      <c r="G384"/>
      <c r="H384"/>
      <c r="I384"/>
      <c r="J384"/>
      <c r="K384"/>
      <c r="L384"/>
      <c r="M384"/>
      <c r="N384"/>
      <c r="O384"/>
      <c r="P384"/>
      <c r="Q384"/>
      <c r="R384"/>
      <c r="S384"/>
      <c r="T384"/>
      <c r="U384"/>
      <c r="V384"/>
      <c r="W384"/>
      <c r="X384"/>
      <c r="Y384"/>
      <c r="Z384" s="29"/>
      <c r="AA384" s="29"/>
      <c r="AB384" s="29"/>
      <c r="AC384" s="29"/>
      <c r="AD384" s="29"/>
      <c r="AE384" s="29"/>
      <c r="AF384" s="29"/>
      <c r="AG384" s="29"/>
      <c r="AH384" s="29"/>
      <c r="AI384" s="29"/>
      <c r="AJ384" s="29"/>
      <c r="AK384" s="29"/>
      <c r="AL384" s="29"/>
      <c r="AM384" s="29"/>
      <c r="AN384" s="29"/>
      <c r="AO384" s="29"/>
      <c r="AP384" s="29"/>
      <c r="AQ384" s="29"/>
      <c r="AR384"/>
      <c r="AS384"/>
      <c r="AT384"/>
      <c r="AU384"/>
      <c r="AV384"/>
      <c r="AW384"/>
      <c r="AX384"/>
      <c r="AY384"/>
      <c r="AZ384"/>
      <c r="BA384"/>
      <c r="BB384"/>
      <c r="BC384"/>
      <c r="BD384"/>
      <c r="BE384"/>
      <c r="BF384"/>
      <c r="BG384"/>
      <c r="BH384"/>
      <c r="BI384"/>
      <c r="BJ384"/>
      <c r="BK384"/>
      <c r="BL384"/>
      <c r="BM384"/>
      <c r="BN384"/>
      <c r="BO384"/>
      <c r="BP384"/>
      <c r="BQ384" s="325"/>
      <c r="BR384" s="415"/>
      <c r="BS384" s="415"/>
      <c r="BT384" s="415"/>
      <c r="BU384" s="416"/>
      <c r="BV384" s="416"/>
      <c r="BW384" s="416"/>
      <c r="BY384" s="416"/>
      <c r="CA384" s="432"/>
      <c r="CB384" s="415"/>
      <c r="CC384" s="445"/>
      <c r="CD384" s="449"/>
    </row>
    <row r="385" spans="2:82">
      <c r="B385" s="416"/>
      <c r="C385" s="11"/>
      <c r="D385"/>
      <c r="E385"/>
      <c r="F385"/>
      <c r="G385"/>
      <c r="H385"/>
      <c r="I385"/>
      <c r="J385"/>
      <c r="K385"/>
      <c r="L385"/>
      <c r="M385"/>
      <c r="N385"/>
      <c r="O385"/>
      <c r="P385"/>
      <c r="Q385"/>
      <c r="R385"/>
      <c r="S385"/>
      <c r="T385"/>
      <c r="U385"/>
      <c r="V385"/>
      <c r="W385"/>
      <c r="X385"/>
      <c r="Y385"/>
      <c r="Z385" s="29"/>
      <c r="AA385" s="29"/>
      <c r="AB385" s="29"/>
      <c r="AC385" s="29"/>
      <c r="AD385" s="29"/>
      <c r="AE385" s="29"/>
      <c r="AF385" s="29"/>
      <c r="AG385" s="29"/>
      <c r="AH385" s="29"/>
      <c r="AI385" s="29"/>
      <c r="AJ385" s="29"/>
      <c r="AK385" s="29"/>
      <c r="AL385" s="29"/>
      <c r="AM385" s="29"/>
      <c r="AN385" s="29"/>
      <c r="AO385" s="29"/>
      <c r="AP385" s="29"/>
      <c r="AQ385" s="29"/>
      <c r="AR385"/>
      <c r="AS385"/>
      <c r="AT385"/>
      <c r="AU385"/>
      <c r="AV385"/>
      <c r="AW385"/>
      <c r="AX385"/>
      <c r="AY385"/>
      <c r="AZ385"/>
      <c r="BA385"/>
      <c r="BB385"/>
      <c r="BC385"/>
      <c r="BD385"/>
      <c r="BE385"/>
      <c r="BF385"/>
      <c r="BG385"/>
      <c r="BH385"/>
      <c r="BI385"/>
      <c r="BJ385"/>
      <c r="BK385"/>
      <c r="BL385"/>
      <c r="BM385"/>
      <c r="BN385"/>
      <c r="BO385"/>
      <c r="BP385"/>
      <c r="BQ385" s="325"/>
      <c r="BR385" s="415"/>
      <c r="BS385" s="415"/>
      <c r="BT385" s="415"/>
      <c r="BU385" s="416"/>
      <c r="BV385" s="416"/>
      <c r="BW385" s="416"/>
      <c r="BY385" s="416"/>
      <c r="CA385" s="432"/>
      <c r="CB385" s="415"/>
      <c r="CC385" s="445"/>
      <c r="CD385" s="449"/>
    </row>
    <row r="386" spans="2:82">
      <c r="B386" s="416"/>
      <c r="C386" s="11"/>
      <c r="D386"/>
      <c r="E386"/>
      <c r="F386"/>
      <c r="G386"/>
      <c r="H386"/>
      <c r="I386"/>
      <c r="J386"/>
      <c r="K386"/>
      <c r="L386"/>
      <c r="M386"/>
      <c r="N386"/>
      <c r="O386"/>
      <c r="P386"/>
      <c r="Q386"/>
      <c r="R386"/>
      <c r="S386"/>
      <c r="T386"/>
      <c r="U386"/>
      <c r="V386"/>
      <c r="W386"/>
      <c r="X386"/>
      <c r="Y386"/>
      <c r="Z386" s="29"/>
      <c r="AA386" s="29"/>
      <c r="AB386" s="29"/>
      <c r="AC386" s="29"/>
      <c r="AD386" s="29"/>
      <c r="AE386" s="29"/>
      <c r="AF386" s="29"/>
      <c r="AG386" s="29"/>
      <c r="AH386" s="29"/>
      <c r="AI386" s="29"/>
      <c r="AJ386" s="29"/>
      <c r="AK386" s="29"/>
      <c r="AL386" s="29"/>
      <c r="AM386" s="29"/>
      <c r="AN386" s="29"/>
      <c r="AO386" s="29"/>
      <c r="AP386" s="29"/>
      <c r="AQ386" s="29"/>
      <c r="AR386"/>
      <c r="AS386"/>
      <c r="AT386"/>
      <c r="AU386"/>
      <c r="AV386"/>
      <c r="AW386"/>
      <c r="AX386"/>
      <c r="AY386"/>
      <c r="AZ386"/>
      <c r="BA386"/>
      <c r="BB386"/>
      <c r="BC386"/>
      <c r="BD386"/>
      <c r="BE386"/>
      <c r="BF386"/>
      <c r="BG386"/>
      <c r="BH386"/>
      <c r="BI386"/>
      <c r="BJ386"/>
      <c r="BK386"/>
      <c r="BL386"/>
      <c r="BM386"/>
      <c r="BN386"/>
      <c r="BO386"/>
      <c r="BP386"/>
      <c r="BQ386" s="325"/>
      <c r="BR386" s="415"/>
      <c r="BS386" s="415"/>
      <c r="BT386" s="415"/>
      <c r="BU386" s="416"/>
      <c r="BV386" s="416"/>
      <c r="BW386" s="416"/>
      <c r="BY386" s="416"/>
      <c r="CA386" s="432"/>
      <c r="CB386" s="415"/>
      <c r="CC386" s="445"/>
      <c r="CD386" s="449"/>
    </row>
    <row r="387" spans="2:82">
      <c r="B387" s="416"/>
      <c r="C387" s="11"/>
      <c r="D387"/>
      <c r="E387"/>
      <c r="F387"/>
      <c r="G387"/>
      <c r="H387"/>
      <c r="I387"/>
      <c r="J387"/>
      <c r="K387"/>
      <c r="L387"/>
      <c r="M387"/>
      <c r="N387"/>
      <c r="O387"/>
      <c r="P387"/>
      <c r="Q387"/>
      <c r="R387"/>
      <c r="S387"/>
      <c r="T387"/>
      <c r="U387"/>
      <c r="V387"/>
      <c r="W387"/>
      <c r="X387"/>
      <c r="Y387"/>
      <c r="Z387" s="29"/>
      <c r="AA387" s="29"/>
      <c r="AB387" s="29"/>
      <c r="AC387" s="29"/>
      <c r="AD387" s="29"/>
      <c r="AE387" s="29"/>
      <c r="AF387" s="29"/>
      <c r="AG387" s="29"/>
      <c r="AH387" s="29"/>
      <c r="AI387" s="29"/>
      <c r="AJ387" s="29"/>
      <c r="AK387" s="29"/>
      <c r="AL387" s="29"/>
      <c r="AM387" s="29"/>
      <c r="AN387" s="29"/>
      <c r="AO387" s="29"/>
      <c r="AP387" s="29"/>
      <c r="AQ387" s="29"/>
      <c r="AR387"/>
      <c r="AS387"/>
      <c r="AT387"/>
      <c r="AU387"/>
      <c r="AV387"/>
      <c r="AW387"/>
      <c r="AX387"/>
      <c r="AY387"/>
      <c r="AZ387"/>
      <c r="BA387"/>
      <c r="BB387"/>
      <c r="BC387"/>
      <c r="BD387"/>
      <c r="BE387"/>
      <c r="BF387"/>
      <c r="BG387"/>
      <c r="BH387"/>
      <c r="BI387"/>
      <c r="BJ387"/>
      <c r="BK387"/>
      <c r="BL387"/>
      <c r="BM387"/>
      <c r="BN387"/>
      <c r="BO387"/>
      <c r="BP387"/>
      <c r="BQ387" s="325"/>
      <c r="BR387" s="415"/>
      <c r="BS387" s="415"/>
      <c r="BT387" s="415"/>
      <c r="BU387" s="416"/>
      <c r="BV387" s="416"/>
      <c r="BW387" s="416"/>
      <c r="BY387" s="416"/>
      <c r="CA387" s="432"/>
      <c r="CB387" s="415"/>
      <c r="CC387" s="445"/>
      <c r="CD387" s="449"/>
    </row>
    <row r="388" spans="2:82">
      <c r="B388" s="416"/>
      <c r="C388" s="11"/>
      <c r="D388"/>
      <c r="E388"/>
      <c r="F388"/>
      <c r="G388"/>
      <c r="H388"/>
      <c r="I388"/>
      <c r="J388"/>
      <c r="K388"/>
      <c r="L388"/>
      <c r="M388"/>
      <c r="N388"/>
      <c r="O388"/>
      <c r="P388"/>
      <c r="Q388"/>
      <c r="R388"/>
      <c r="S388"/>
      <c r="T388"/>
      <c r="U388"/>
      <c r="V388"/>
      <c r="W388"/>
      <c r="X388"/>
      <c r="Y388"/>
      <c r="Z388" s="29"/>
      <c r="AA388" s="29"/>
      <c r="AB388" s="29"/>
      <c r="AC388" s="29"/>
      <c r="AD388" s="29"/>
      <c r="AE388" s="29"/>
      <c r="AF388" s="29"/>
      <c r="AG388" s="29"/>
      <c r="AH388" s="29"/>
      <c r="AI388" s="29"/>
      <c r="AJ388" s="29"/>
      <c r="AK388" s="29"/>
      <c r="AL388" s="29"/>
      <c r="AM388" s="29"/>
      <c r="AN388" s="29"/>
      <c r="AO388" s="29"/>
      <c r="AP388" s="29"/>
      <c r="AQ388" s="29"/>
      <c r="AR388"/>
      <c r="AS388"/>
      <c r="AT388"/>
      <c r="AU388"/>
      <c r="AV388"/>
      <c r="AW388"/>
      <c r="AX388"/>
      <c r="AY388"/>
      <c r="AZ388"/>
      <c r="BA388"/>
      <c r="BB388"/>
      <c r="BC388"/>
      <c r="BD388"/>
      <c r="BE388"/>
      <c r="BF388"/>
      <c r="BG388"/>
      <c r="BH388"/>
      <c r="BI388"/>
      <c r="BJ388"/>
      <c r="BK388"/>
      <c r="BL388"/>
      <c r="BM388"/>
      <c r="BN388"/>
      <c r="BO388"/>
      <c r="BP388"/>
      <c r="BQ388" s="325"/>
      <c r="BR388" s="415"/>
      <c r="BS388" s="415"/>
      <c r="BT388" s="415"/>
      <c r="BU388" s="416"/>
      <c r="BV388" s="416"/>
      <c r="BW388" s="416"/>
      <c r="BY388" s="416"/>
      <c r="CA388" s="432"/>
      <c r="CB388" s="415"/>
      <c r="CC388" s="445"/>
      <c r="CD388" s="449"/>
    </row>
    <row r="389" spans="2:82">
      <c r="B389" s="416"/>
      <c r="C389" s="11"/>
      <c r="D389"/>
      <c r="E389"/>
      <c r="F389"/>
      <c r="G389"/>
      <c r="H389"/>
      <c r="I389"/>
      <c r="J389"/>
      <c r="K389"/>
      <c r="L389"/>
      <c r="M389"/>
      <c r="N389"/>
      <c r="O389"/>
      <c r="P389"/>
      <c r="Q389"/>
      <c r="R389"/>
      <c r="S389"/>
      <c r="T389"/>
      <c r="U389"/>
      <c r="V389"/>
      <c r="W389"/>
      <c r="X389"/>
      <c r="Y389"/>
      <c r="Z389" s="29"/>
      <c r="AA389" s="29"/>
      <c r="AB389" s="29"/>
      <c r="AC389" s="29"/>
      <c r="AD389" s="29"/>
      <c r="AE389" s="29"/>
      <c r="AF389" s="29"/>
      <c r="AG389" s="29"/>
      <c r="AH389" s="29"/>
      <c r="AI389" s="29"/>
      <c r="AJ389" s="29"/>
      <c r="AK389" s="29"/>
      <c r="AL389" s="29"/>
      <c r="AM389" s="29"/>
      <c r="AN389" s="29"/>
      <c r="AO389" s="29"/>
      <c r="AP389" s="29"/>
      <c r="AQ389" s="29"/>
      <c r="AR389"/>
      <c r="AS389"/>
      <c r="AT389"/>
      <c r="AU389"/>
      <c r="AV389"/>
      <c r="AW389"/>
      <c r="AX389"/>
      <c r="AY389"/>
      <c r="AZ389"/>
      <c r="BA389"/>
      <c r="BB389"/>
      <c r="BC389"/>
      <c r="BD389"/>
      <c r="BE389"/>
      <c r="BF389"/>
      <c r="BG389"/>
      <c r="BH389"/>
      <c r="BI389"/>
      <c r="BJ389"/>
      <c r="BK389"/>
      <c r="BL389"/>
      <c r="BM389"/>
      <c r="BN389"/>
      <c r="BO389"/>
      <c r="BP389"/>
      <c r="BQ389" s="325"/>
      <c r="BR389" s="415"/>
      <c r="BS389" s="415"/>
      <c r="BT389" s="415"/>
      <c r="BU389" s="416"/>
      <c r="BV389" s="416"/>
      <c r="BW389" s="416"/>
      <c r="BY389" s="416"/>
      <c r="CA389" s="432"/>
      <c r="CB389" s="415"/>
      <c r="CC389" s="445"/>
      <c r="CD389" s="449"/>
    </row>
    <row r="390" spans="2:82">
      <c r="B390" s="416"/>
      <c r="C390" s="11"/>
      <c r="D390"/>
      <c r="E390"/>
      <c r="F390"/>
      <c r="G390"/>
      <c r="H390"/>
      <c r="I390"/>
      <c r="J390"/>
      <c r="K390"/>
      <c r="L390"/>
      <c r="M390"/>
      <c r="N390"/>
      <c r="O390"/>
      <c r="P390"/>
      <c r="Q390"/>
      <c r="R390"/>
      <c r="S390"/>
      <c r="T390"/>
      <c r="U390"/>
      <c r="V390"/>
      <c r="W390"/>
      <c r="X390"/>
      <c r="Y390"/>
      <c r="Z390" s="29"/>
      <c r="AA390" s="29"/>
      <c r="AB390" s="29"/>
      <c r="AC390" s="29"/>
      <c r="AD390" s="29"/>
      <c r="AE390" s="29"/>
      <c r="AF390" s="29"/>
      <c r="AG390" s="29"/>
      <c r="AH390" s="29"/>
      <c r="AI390" s="29"/>
      <c r="AJ390" s="29"/>
      <c r="AK390" s="29"/>
      <c r="AL390" s="29"/>
      <c r="AM390" s="29"/>
      <c r="AN390" s="29"/>
      <c r="AO390" s="29"/>
      <c r="AP390" s="29"/>
      <c r="AQ390" s="29"/>
      <c r="AR390"/>
      <c r="AS390"/>
      <c r="AT390"/>
      <c r="AU390"/>
      <c r="AV390"/>
      <c r="AW390"/>
      <c r="AX390"/>
      <c r="AY390"/>
      <c r="AZ390"/>
      <c r="BA390"/>
      <c r="BB390"/>
      <c r="BC390"/>
      <c r="BD390"/>
      <c r="BE390"/>
      <c r="BF390"/>
      <c r="BG390"/>
      <c r="BH390"/>
      <c r="BI390"/>
      <c r="BJ390"/>
      <c r="BK390"/>
      <c r="BL390"/>
      <c r="BM390"/>
      <c r="BN390"/>
      <c r="BO390"/>
      <c r="BP390"/>
      <c r="BQ390" s="325"/>
      <c r="BR390" s="415"/>
      <c r="BS390" s="415"/>
      <c r="BT390" s="415"/>
      <c r="BU390" s="416"/>
      <c r="BV390" s="416"/>
      <c r="BW390" s="416"/>
      <c r="BY390" s="416"/>
      <c r="CA390" s="432"/>
      <c r="CB390" s="415"/>
      <c r="CC390" s="445"/>
      <c r="CD390" s="449"/>
    </row>
    <row r="391" spans="2:82">
      <c r="B391" s="416"/>
      <c r="C391" s="11"/>
      <c r="D391"/>
      <c r="E391"/>
      <c r="F391"/>
      <c r="G391"/>
      <c r="H391"/>
      <c r="I391"/>
      <c r="J391"/>
      <c r="K391"/>
      <c r="L391"/>
      <c r="M391"/>
      <c r="N391"/>
      <c r="O391"/>
      <c r="P391"/>
      <c r="Q391"/>
      <c r="R391"/>
      <c r="S391"/>
      <c r="T391"/>
      <c r="U391"/>
      <c r="V391"/>
      <c r="W391"/>
      <c r="X391"/>
      <c r="Y391"/>
      <c r="Z391" s="29"/>
      <c r="AA391" s="29"/>
      <c r="AB391" s="29"/>
      <c r="AC391" s="29"/>
      <c r="AD391" s="29"/>
      <c r="AE391" s="29"/>
      <c r="AF391" s="29"/>
      <c r="AG391" s="29"/>
      <c r="AH391" s="29"/>
      <c r="AI391" s="29"/>
      <c r="AJ391" s="29"/>
      <c r="AK391" s="29"/>
      <c r="AL391" s="29"/>
      <c r="AM391" s="29"/>
      <c r="AN391" s="29"/>
      <c r="AO391" s="29"/>
      <c r="AP391" s="29"/>
      <c r="AQ391" s="29"/>
      <c r="AR391"/>
      <c r="AS391"/>
      <c r="AT391"/>
      <c r="AU391"/>
      <c r="AV391"/>
      <c r="AW391"/>
      <c r="AX391"/>
      <c r="AY391"/>
      <c r="AZ391"/>
      <c r="BA391"/>
      <c r="BB391"/>
      <c r="BC391"/>
      <c r="BD391"/>
      <c r="BE391"/>
      <c r="BF391"/>
      <c r="BG391"/>
      <c r="BH391"/>
      <c r="BI391"/>
      <c r="BJ391"/>
      <c r="BK391"/>
      <c r="BL391"/>
      <c r="BM391"/>
      <c r="BN391"/>
      <c r="BO391"/>
      <c r="BP391"/>
      <c r="BQ391" s="325"/>
      <c r="BR391" s="415"/>
      <c r="BS391" s="415"/>
      <c r="BT391" s="415"/>
      <c r="BU391" s="416"/>
      <c r="BV391" s="416"/>
      <c r="BW391" s="416"/>
      <c r="BY391" s="416"/>
      <c r="CA391" s="432"/>
      <c r="CB391" s="415"/>
      <c r="CC391" s="445"/>
      <c r="CD391" s="449"/>
    </row>
    <row r="392" spans="2:82">
      <c r="B392" s="416"/>
      <c r="C392" s="11"/>
      <c r="D392"/>
      <c r="E392"/>
      <c r="F392"/>
      <c r="G392"/>
      <c r="H392"/>
      <c r="I392"/>
      <c r="J392"/>
      <c r="K392"/>
      <c r="L392"/>
      <c r="M392"/>
      <c r="N392"/>
      <c r="O392"/>
      <c r="P392"/>
      <c r="Q392"/>
      <c r="R392"/>
      <c r="S392"/>
      <c r="T392"/>
      <c r="U392"/>
      <c r="V392"/>
      <c r="W392"/>
      <c r="X392"/>
      <c r="Y392"/>
      <c r="Z392" s="29"/>
      <c r="AA392" s="29"/>
      <c r="AB392" s="29"/>
      <c r="AC392" s="29"/>
      <c r="AD392" s="29"/>
      <c r="AE392" s="29"/>
      <c r="AF392" s="29"/>
      <c r="AG392" s="29"/>
      <c r="AH392" s="29"/>
      <c r="AI392" s="29"/>
      <c r="AJ392" s="29"/>
      <c r="AK392" s="29"/>
      <c r="AL392" s="29"/>
      <c r="AM392" s="29"/>
      <c r="AN392" s="29"/>
      <c r="AO392" s="29"/>
      <c r="AP392" s="29"/>
      <c r="AQ392" s="29"/>
      <c r="AR392"/>
      <c r="AS392"/>
      <c r="AT392"/>
      <c r="AU392"/>
      <c r="AV392"/>
      <c r="AW392"/>
      <c r="AX392"/>
      <c r="AY392"/>
      <c r="AZ392"/>
      <c r="BA392"/>
      <c r="BB392"/>
      <c r="BC392"/>
      <c r="BD392"/>
      <c r="BE392"/>
      <c r="BF392"/>
      <c r="BG392"/>
      <c r="BH392"/>
      <c r="BI392"/>
      <c r="BJ392"/>
      <c r="BK392"/>
      <c r="BL392"/>
      <c r="BM392"/>
      <c r="BN392"/>
      <c r="BO392"/>
      <c r="BP392"/>
      <c r="BQ392" s="325"/>
      <c r="BR392" s="415"/>
      <c r="BS392" s="415"/>
      <c r="BT392" s="415"/>
      <c r="BU392" s="416"/>
      <c r="BV392" s="416"/>
      <c r="BW392" s="416"/>
      <c r="BY392" s="416"/>
      <c r="CA392" s="432"/>
      <c r="CB392" s="415"/>
      <c r="CC392" s="445"/>
      <c r="CD392" s="449"/>
    </row>
    <row r="393" spans="2:82">
      <c r="B393" s="416"/>
      <c r="C393" s="11"/>
      <c r="D393"/>
      <c r="E393"/>
      <c r="F393"/>
      <c r="G393"/>
      <c r="H393"/>
      <c r="I393"/>
      <c r="J393"/>
      <c r="K393"/>
      <c r="L393"/>
      <c r="M393"/>
      <c r="N393"/>
      <c r="O393"/>
      <c r="P393"/>
      <c r="Q393"/>
      <c r="R393"/>
      <c r="S393"/>
      <c r="T393"/>
      <c r="U393"/>
      <c r="V393"/>
      <c r="W393"/>
      <c r="X393"/>
      <c r="Y393"/>
      <c r="Z393" s="29"/>
      <c r="AA393" s="29"/>
      <c r="AB393" s="29"/>
      <c r="AC393" s="29"/>
      <c r="AD393" s="29"/>
      <c r="AE393" s="29"/>
      <c r="AF393" s="29"/>
      <c r="AG393" s="29"/>
      <c r="AH393" s="29"/>
      <c r="AI393" s="29"/>
      <c r="AJ393" s="29"/>
      <c r="AK393" s="29"/>
      <c r="AL393" s="29"/>
      <c r="AM393" s="29"/>
      <c r="AN393" s="29"/>
      <c r="AO393" s="29"/>
      <c r="AP393" s="29"/>
      <c r="AQ393" s="29"/>
      <c r="AR393"/>
      <c r="AS393"/>
      <c r="AT393"/>
      <c r="AU393"/>
      <c r="AV393"/>
      <c r="AW393"/>
      <c r="AX393"/>
      <c r="AY393"/>
      <c r="AZ393"/>
      <c r="BA393"/>
      <c r="BB393"/>
      <c r="BC393"/>
      <c r="BD393"/>
      <c r="BE393"/>
      <c r="BF393"/>
      <c r="BG393"/>
      <c r="BH393"/>
      <c r="BI393"/>
      <c r="BJ393"/>
      <c r="BK393"/>
      <c r="BL393"/>
      <c r="BM393"/>
      <c r="BN393"/>
      <c r="BO393"/>
      <c r="BP393"/>
      <c r="BQ393" s="325"/>
      <c r="BR393" s="415"/>
      <c r="BS393" s="415"/>
      <c r="BT393" s="415"/>
      <c r="BU393" s="416"/>
      <c r="BV393" s="416"/>
      <c r="BW393" s="416"/>
      <c r="BY393" s="416"/>
      <c r="CA393" s="432"/>
      <c r="CB393" s="415"/>
      <c r="CC393" s="445"/>
      <c r="CD393" s="449"/>
    </row>
    <row r="394" spans="2:82">
      <c r="B394" s="416"/>
      <c r="C394" s="11"/>
      <c r="D394"/>
      <c r="E394"/>
      <c r="F394"/>
      <c r="G394"/>
      <c r="H394"/>
      <c r="I394"/>
      <c r="J394"/>
      <c r="K394"/>
      <c r="L394"/>
      <c r="M394"/>
      <c r="N394"/>
      <c r="O394"/>
      <c r="P394"/>
      <c r="Q394"/>
      <c r="R394"/>
      <c r="S394"/>
      <c r="T394"/>
      <c r="U394"/>
      <c r="V394"/>
      <c r="W394"/>
      <c r="X394"/>
      <c r="Y394"/>
      <c r="Z394" s="29"/>
      <c r="AA394" s="29"/>
      <c r="AB394" s="29"/>
      <c r="AC394" s="29"/>
      <c r="AD394" s="29"/>
      <c r="AE394" s="29"/>
      <c r="AF394" s="29"/>
      <c r="AG394" s="29"/>
      <c r="AH394" s="29"/>
      <c r="AI394" s="29"/>
      <c r="AJ394" s="29"/>
      <c r="AK394" s="29"/>
      <c r="AL394" s="29"/>
      <c r="AM394" s="29"/>
      <c r="AN394" s="29"/>
      <c r="AO394" s="29"/>
      <c r="AP394" s="29"/>
      <c r="AQ394" s="29"/>
      <c r="AR394"/>
      <c r="AS394"/>
      <c r="AT394"/>
      <c r="AU394"/>
      <c r="AV394"/>
      <c r="AW394"/>
      <c r="AX394"/>
      <c r="AY394"/>
      <c r="AZ394"/>
      <c r="BA394"/>
      <c r="BB394"/>
      <c r="BC394"/>
      <c r="BD394"/>
      <c r="BE394"/>
      <c r="BF394"/>
      <c r="BG394"/>
      <c r="BH394"/>
      <c r="BI394"/>
      <c r="BJ394"/>
      <c r="BK394"/>
      <c r="BL394"/>
      <c r="BM394"/>
      <c r="BN394"/>
      <c r="BO394"/>
      <c r="BP394"/>
      <c r="BQ394" s="325"/>
      <c r="BR394" s="415"/>
      <c r="BS394" s="415"/>
      <c r="BT394" s="415"/>
      <c r="BU394" s="416"/>
      <c r="BV394" s="416"/>
      <c r="BW394" s="416"/>
      <c r="BY394" s="416"/>
      <c r="CA394" s="432"/>
      <c r="CB394" s="415"/>
      <c r="CC394" s="445"/>
      <c r="CD394" s="449"/>
    </row>
    <row r="395" spans="2:82">
      <c r="B395" s="416"/>
      <c r="C395" s="11"/>
      <c r="D395"/>
      <c r="E395"/>
      <c r="F395"/>
      <c r="G395"/>
      <c r="H395"/>
      <c r="I395"/>
      <c r="J395"/>
      <c r="K395"/>
      <c r="L395"/>
      <c r="M395"/>
      <c r="N395"/>
      <c r="O395"/>
      <c r="P395"/>
      <c r="Q395"/>
      <c r="R395"/>
      <c r="S395"/>
      <c r="T395"/>
      <c r="U395"/>
      <c r="V395"/>
      <c r="W395"/>
      <c r="X395"/>
      <c r="Y395"/>
      <c r="Z395" s="29"/>
      <c r="AA395" s="29"/>
      <c r="AB395" s="29"/>
      <c r="AC395" s="29"/>
      <c r="AD395" s="29"/>
      <c r="AE395" s="29"/>
      <c r="AF395" s="29"/>
      <c r="AG395" s="29"/>
      <c r="AH395" s="29"/>
      <c r="AI395" s="29"/>
      <c r="AJ395" s="29"/>
      <c r="AK395" s="29"/>
      <c r="AL395" s="29"/>
      <c r="AM395" s="29"/>
      <c r="AN395" s="29"/>
      <c r="AO395" s="29"/>
      <c r="AP395" s="29"/>
      <c r="AQ395" s="29"/>
      <c r="AR395"/>
      <c r="AS395"/>
      <c r="AT395"/>
      <c r="AU395"/>
      <c r="AV395"/>
      <c r="AW395"/>
      <c r="AX395"/>
      <c r="AY395"/>
      <c r="AZ395"/>
      <c r="BA395"/>
      <c r="BB395"/>
      <c r="BC395"/>
      <c r="BD395"/>
      <c r="BE395"/>
      <c r="BF395"/>
      <c r="BG395"/>
      <c r="BH395"/>
      <c r="BI395"/>
      <c r="BJ395"/>
      <c r="BK395"/>
      <c r="BL395"/>
      <c r="BM395"/>
      <c r="BN395"/>
      <c r="BO395"/>
      <c r="BP395"/>
      <c r="BQ395" s="325"/>
      <c r="BR395" s="415"/>
      <c r="BS395" s="415"/>
      <c r="BT395" s="415"/>
      <c r="BU395" s="416"/>
      <c r="BV395" s="416"/>
      <c r="BW395" s="416"/>
      <c r="BY395" s="416"/>
      <c r="CA395" s="432"/>
      <c r="CB395" s="415"/>
      <c r="CC395" s="445"/>
      <c r="CD395" s="449"/>
    </row>
    <row r="396" spans="2:82">
      <c r="B396" s="416"/>
      <c r="C396" s="11"/>
      <c r="D396"/>
      <c r="E396"/>
      <c r="F396"/>
      <c r="G396"/>
      <c r="H396"/>
      <c r="I396"/>
      <c r="J396"/>
      <c r="K396"/>
      <c r="L396"/>
      <c r="M396"/>
      <c r="N396"/>
      <c r="O396"/>
      <c r="P396"/>
      <c r="Q396"/>
      <c r="R396"/>
      <c r="S396"/>
      <c r="T396"/>
      <c r="U396"/>
      <c r="V396"/>
      <c r="W396"/>
      <c r="X396"/>
      <c r="Y396"/>
      <c r="Z396" s="29"/>
      <c r="AA396" s="29"/>
      <c r="AB396" s="29"/>
      <c r="AC396" s="29"/>
      <c r="AD396" s="29"/>
      <c r="AE396" s="29"/>
      <c r="AF396" s="29"/>
      <c r="AG396" s="29"/>
      <c r="AH396" s="29"/>
      <c r="AI396" s="29"/>
      <c r="AJ396" s="29"/>
      <c r="AK396" s="29"/>
      <c r="AL396" s="29"/>
      <c r="AM396" s="29"/>
      <c r="AN396" s="29"/>
      <c r="AO396" s="29"/>
      <c r="AP396" s="29"/>
      <c r="AQ396" s="29"/>
      <c r="AR396"/>
      <c r="AS396"/>
      <c r="AT396"/>
      <c r="AU396"/>
      <c r="AV396"/>
      <c r="AW396"/>
      <c r="AX396"/>
      <c r="AY396"/>
      <c r="AZ396"/>
      <c r="BA396"/>
      <c r="BB396"/>
      <c r="BC396"/>
      <c r="BD396"/>
      <c r="BE396"/>
      <c r="BF396"/>
      <c r="BG396"/>
      <c r="BH396"/>
      <c r="BI396"/>
      <c r="BJ396"/>
      <c r="BK396"/>
      <c r="BL396"/>
      <c r="BM396"/>
      <c r="BN396"/>
      <c r="BO396"/>
      <c r="BP396"/>
      <c r="BQ396" s="325"/>
      <c r="BR396" s="415"/>
      <c r="BS396" s="415"/>
      <c r="BT396" s="415"/>
      <c r="BU396" s="416"/>
      <c r="BV396" s="416"/>
      <c r="BW396" s="416"/>
      <c r="BY396" s="416"/>
      <c r="CA396" s="432"/>
      <c r="CB396" s="415"/>
      <c r="CC396" s="445"/>
      <c r="CD396" s="449"/>
    </row>
    <row r="397" spans="2:82">
      <c r="B397" s="416"/>
      <c r="C397" s="11"/>
      <c r="D397"/>
      <c r="E397"/>
      <c r="F397"/>
      <c r="G397"/>
      <c r="H397"/>
      <c r="I397"/>
      <c r="J397"/>
      <c r="K397"/>
      <c r="L397"/>
      <c r="M397"/>
      <c r="N397"/>
      <c r="O397"/>
      <c r="P397"/>
      <c r="Q397"/>
      <c r="R397"/>
      <c r="S397"/>
      <c r="T397"/>
      <c r="U397"/>
      <c r="V397"/>
      <c r="W397"/>
      <c r="X397"/>
      <c r="Y397"/>
      <c r="Z397" s="29"/>
      <c r="AA397" s="29"/>
      <c r="AB397" s="29"/>
      <c r="AC397" s="29"/>
      <c r="AD397" s="29"/>
      <c r="AE397" s="29"/>
      <c r="AF397" s="29"/>
      <c r="AG397" s="29"/>
      <c r="AH397" s="29"/>
      <c r="AI397" s="29"/>
      <c r="AJ397" s="29"/>
      <c r="AK397" s="29"/>
      <c r="AL397" s="29"/>
      <c r="AM397" s="29"/>
      <c r="AN397" s="29"/>
      <c r="AO397" s="29"/>
      <c r="AP397" s="29"/>
      <c r="AQ397" s="29"/>
      <c r="AR397"/>
      <c r="AS397"/>
      <c r="AT397"/>
      <c r="AU397"/>
      <c r="AV397"/>
      <c r="AW397"/>
      <c r="AX397"/>
      <c r="AY397"/>
      <c r="AZ397"/>
      <c r="BA397"/>
      <c r="BB397"/>
      <c r="BC397"/>
      <c r="BD397"/>
      <c r="BE397"/>
      <c r="BF397"/>
      <c r="BG397"/>
      <c r="BH397"/>
      <c r="BI397"/>
      <c r="BJ397"/>
      <c r="BK397"/>
      <c r="BL397"/>
      <c r="BM397"/>
      <c r="BN397"/>
      <c r="BO397"/>
      <c r="BP397"/>
      <c r="BQ397" s="325"/>
      <c r="BR397" s="415"/>
      <c r="BS397" s="415"/>
      <c r="BT397" s="415"/>
      <c r="BU397" s="416"/>
      <c r="BV397" s="416"/>
      <c r="BW397" s="416"/>
      <c r="BY397" s="416"/>
      <c r="CA397" s="432"/>
      <c r="CB397" s="415"/>
      <c r="CC397" s="445"/>
      <c r="CD397" s="449"/>
    </row>
    <row r="398" spans="2:82">
      <c r="B398" s="416"/>
      <c r="C398" s="11"/>
      <c r="D398"/>
      <c r="E398"/>
      <c r="F398"/>
      <c r="G398"/>
      <c r="H398"/>
      <c r="I398"/>
      <c r="J398"/>
      <c r="K398"/>
      <c r="L398"/>
      <c r="M398"/>
      <c r="N398"/>
      <c r="O398"/>
      <c r="P398"/>
      <c r="Q398"/>
      <c r="R398"/>
      <c r="S398"/>
      <c r="T398"/>
      <c r="U398"/>
      <c r="V398"/>
      <c r="W398"/>
      <c r="X398"/>
      <c r="Y398"/>
      <c r="Z398" s="29"/>
      <c r="AA398" s="29"/>
      <c r="AB398" s="29"/>
      <c r="AC398" s="29"/>
      <c r="AD398" s="29"/>
      <c r="AE398" s="29"/>
      <c r="AF398" s="29"/>
      <c r="AG398" s="29"/>
      <c r="AH398" s="29"/>
      <c r="AI398" s="29"/>
      <c r="AJ398" s="29"/>
      <c r="AK398" s="29"/>
      <c r="AL398" s="29"/>
      <c r="AM398" s="29"/>
      <c r="AN398" s="29"/>
      <c r="AO398" s="29"/>
      <c r="AP398" s="29"/>
      <c r="AQ398" s="29"/>
      <c r="AR398"/>
      <c r="AS398"/>
      <c r="AT398"/>
      <c r="AU398"/>
      <c r="AV398"/>
      <c r="AW398"/>
      <c r="AX398"/>
      <c r="AY398"/>
      <c r="AZ398"/>
      <c r="BA398"/>
      <c r="BB398"/>
      <c r="BC398"/>
      <c r="BD398"/>
      <c r="BE398"/>
      <c r="BF398"/>
      <c r="BG398"/>
      <c r="BH398"/>
      <c r="BI398"/>
      <c r="BJ398"/>
      <c r="BK398"/>
      <c r="BL398"/>
      <c r="BM398"/>
      <c r="BN398"/>
      <c r="BO398"/>
      <c r="BP398"/>
      <c r="BQ398" s="325"/>
      <c r="BR398" s="415"/>
      <c r="BS398" s="415"/>
      <c r="BT398" s="415"/>
      <c r="BU398" s="416"/>
      <c r="BV398" s="416"/>
      <c r="BW398" s="416"/>
      <c r="BY398" s="416"/>
      <c r="CA398" s="432"/>
      <c r="CB398" s="415"/>
      <c r="CC398" s="445"/>
      <c r="CD398" s="449"/>
    </row>
    <row r="399" spans="2:82">
      <c r="B399" s="416"/>
      <c r="C399" s="11"/>
      <c r="D399"/>
      <c r="E399"/>
      <c r="F399"/>
      <c r="G399"/>
      <c r="H399"/>
      <c r="I399"/>
      <c r="J399"/>
      <c r="K399"/>
      <c r="L399"/>
      <c r="M399"/>
      <c r="N399"/>
      <c r="O399"/>
      <c r="P399"/>
      <c r="Q399"/>
      <c r="R399"/>
      <c r="S399"/>
      <c r="T399"/>
      <c r="U399"/>
      <c r="V399"/>
      <c r="W399"/>
      <c r="X399"/>
      <c r="Y399"/>
      <c r="Z399" s="29"/>
      <c r="AA399" s="29"/>
      <c r="AB399" s="29"/>
      <c r="AC399" s="29"/>
      <c r="AD399" s="29"/>
      <c r="AE399" s="29"/>
      <c r="AF399" s="29"/>
      <c r="AG399" s="29"/>
      <c r="AH399" s="29"/>
      <c r="AI399" s="29"/>
      <c r="AJ399" s="29"/>
      <c r="AK399" s="29"/>
      <c r="AL399" s="29"/>
      <c r="AM399" s="29"/>
      <c r="AN399" s="29"/>
      <c r="AO399" s="29"/>
      <c r="AP399" s="29"/>
      <c r="AQ399" s="29"/>
      <c r="AR399"/>
      <c r="AS399"/>
      <c r="AT399"/>
      <c r="AU399"/>
      <c r="AV399"/>
      <c r="AW399"/>
      <c r="AX399"/>
      <c r="AY399"/>
      <c r="AZ399"/>
      <c r="BA399"/>
      <c r="BB399"/>
      <c r="BC399"/>
      <c r="BD399"/>
      <c r="BE399"/>
      <c r="BF399"/>
      <c r="BG399"/>
      <c r="BH399"/>
      <c r="BI399"/>
      <c r="BJ399"/>
      <c r="BK399"/>
      <c r="BL399"/>
      <c r="BM399"/>
      <c r="BN399"/>
      <c r="BO399"/>
      <c r="BP399"/>
      <c r="BQ399" s="325"/>
      <c r="BR399" s="415"/>
      <c r="BS399" s="415"/>
      <c r="BT399" s="415"/>
      <c r="BU399" s="416"/>
      <c r="BV399" s="416"/>
      <c r="BW399" s="416"/>
      <c r="BY399" s="416"/>
      <c r="CA399" s="432"/>
      <c r="CB399" s="415"/>
      <c r="CC399" s="445"/>
      <c r="CD399" s="449"/>
    </row>
    <row r="400" spans="2:82">
      <c r="B400" s="416"/>
      <c r="C400" s="11"/>
      <c r="D400"/>
      <c r="E400"/>
      <c r="F400"/>
      <c r="G400"/>
      <c r="H400"/>
      <c r="I400"/>
      <c r="J400"/>
      <c r="K400"/>
      <c r="L400"/>
      <c r="M400"/>
      <c r="N400"/>
      <c r="O400"/>
      <c r="P400"/>
      <c r="Q400"/>
      <c r="R400"/>
      <c r="S400"/>
      <c r="T400"/>
      <c r="U400"/>
      <c r="V400"/>
      <c r="W400"/>
      <c r="X400"/>
      <c r="Y400"/>
      <c r="Z400" s="29"/>
      <c r="AA400" s="29"/>
      <c r="AB400" s="29"/>
      <c r="AC400" s="29"/>
      <c r="AD400" s="29"/>
      <c r="AE400" s="29"/>
      <c r="AF400" s="29"/>
      <c r="AG400" s="29"/>
      <c r="AH400" s="29"/>
      <c r="AI400" s="29"/>
      <c r="AJ400" s="29"/>
      <c r="AK400" s="29"/>
      <c r="AL400" s="29"/>
      <c r="AM400" s="29"/>
      <c r="AN400" s="29"/>
      <c r="AO400" s="29"/>
      <c r="AP400" s="29"/>
      <c r="AQ400" s="29"/>
      <c r="AR400"/>
      <c r="AS400"/>
      <c r="AT400"/>
      <c r="AU400"/>
      <c r="AV400"/>
      <c r="AW400"/>
      <c r="AX400"/>
      <c r="AY400"/>
      <c r="AZ400"/>
      <c r="BA400"/>
      <c r="BB400"/>
      <c r="BC400"/>
      <c r="BD400"/>
      <c r="BE400"/>
      <c r="BF400"/>
      <c r="BG400"/>
      <c r="BH400"/>
      <c r="BI400"/>
      <c r="BJ400"/>
      <c r="BK400"/>
      <c r="BL400"/>
      <c r="BM400"/>
      <c r="BN400"/>
      <c r="BO400"/>
      <c r="BP400"/>
      <c r="BQ400" s="325"/>
      <c r="BR400" s="415"/>
      <c r="BS400" s="415"/>
      <c r="BT400" s="415"/>
      <c r="BU400" s="416"/>
      <c r="BV400" s="416"/>
      <c r="BW400" s="416"/>
      <c r="BY400" s="416"/>
      <c r="CA400" s="432"/>
      <c r="CB400" s="415"/>
      <c r="CC400" s="445"/>
      <c r="CD400" s="449"/>
    </row>
    <row r="401" spans="1:82">
      <c r="B401" s="416"/>
      <c r="D401"/>
      <c r="E401"/>
      <c r="F401"/>
      <c r="G401"/>
      <c r="H401"/>
      <c r="I401"/>
      <c r="J401"/>
      <c r="K401"/>
      <c r="L401"/>
      <c r="M401"/>
      <c r="N401"/>
      <c r="O401"/>
      <c r="P401"/>
      <c r="Q401"/>
      <c r="R401"/>
      <c r="S401"/>
      <c r="T401"/>
      <c r="U401"/>
      <c r="V401"/>
      <c r="W401"/>
      <c r="X401"/>
      <c r="Y401"/>
      <c r="Z401" s="29"/>
      <c r="AA401" s="29"/>
      <c r="AB401" s="29"/>
      <c r="AC401" s="29"/>
      <c r="AD401" s="29"/>
      <c r="AE401" s="29"/>
      <c r="AF401" s="29"/>
      <c r="AG401" s="29"/>
      <c r="AH401" s="29"/>
      <c r="AI401" s="29"/>
      <c r="AJ401" s="29"/>
      <c r="AK401" s="29"/>
      <c r="AL401" s="29"/>
      <c r="AM401" s="29"/>
      <c r="AN401" s="29"/>
      <c r="AO401" s="29"/>
      <c r="AP401" s="29"/>
      <c r="AQ401" s="29"/>
      <c r="AR401"/>
      <c r="AS401"/>
      <c r="AT401"/>
      <c r="AU401"/>
      <c r="AV401"/>
      <c r="AW401"/>
      <c r="AX401"/>
      <c r="AY401"/>
      <c r="AZ401"/>
      <c r="BA401"/>
      <c r="BB401"/>
      <c r="BC401"/>
      <c r="BD401"/>
      <c r="BE401"/>
      <c r="BF401"/>
      <c r="BG401"/>
      <c r="BH401"/>
      <c r="BI401"/>
      <c r="BJ401"/>
      <c r="BK401"/>
      <c r="BL401"/>
      <c r="BM401"/>
      <c r="BN401"/>
      <c r="BO401"/>
      <c r="BP401"/>
      <c r="BQ401" s="325"/>
      <c r="BR401" s="415"/>
      <c r="BS401" s="415"/>
      <c r="BT401" s="415"/>
      <c r="BU401" s="416"/>
      <c r="BV401" s="416"/>
      <c r="BW401" s="416"/>
      <c r="BY401" s="416"/>
      <c r="CA401" s="432"/>
      <c r="CB401" s="415"/>
      <c r="CC401" s="445"/>
      <c r="CD401" s="449"/>
    </row>
    <row r="402" spans="1:82">
      <c r="B402" s="416"/>
      <c r="D402"/>
      <c r="E402"/>
      <c r="F402"/>
      <c r="G402"/>
      <c r="H402"/>
      <c r="I402"/>
      <c r="J402"/>
      <c r="K402"/>
      <c r="L402"/>
      <c r="M402"/>
      <c r="N402"/>
      <c r="O402"/>
      <c r="P402"/>
      <c r="Q402"/>
      <c r="R402"/>
      <c r="S402"/>
      <c r="T402"/>
      <c r="U402"/>
      <c r="V402"/>
      <c r="W402"/>
      <c r="X402"/>
      <c r="Y402"/>
      <c r="Z402" s="29"/>
      <c r="AA402" s="29"/>
      <c r="AB402" s="29"/>
      <c r="AC402" s="29"/>
      <c r="AD402" s="29"/>
      <c r="AE402" s="29"/>
      <c r="AF402" s="29"/>
      <c r="AG402" s="29"/>
      <c r="AH402" s="29"/>
      <c r="AI402" s="29"/>
      <c r="AJ402" s="29"/>
      <c r="AK402" s="29"/>
      <c r="AL402" s="29"/>
      <c r="AM402" s="29"/>
      <c r="AN402" s="29"/>
      <c r="AO402" s="29"/>
      <c r="AP402" s="29"/>
      <c r="AQ402" s="29"/>
      <c r="AR402"/>
      <c r="AS402"/>
      <c r="AT402"/>
      <c r="AU402"/>
      <c r="AV402"/>
      <c r="AW402"/>
      <c r="AX402"/>
      <c r="AY402"/>
      <c r="AZ402"/>
      <c r="BA402"/>
      <c r="BB402"/>
      <c r="BC402"/>
      <c r="BD402"/>
      <c r="BE402"/>
      <c r="BF402"/>
      <c r="BG402"/>
      <c r="BH402"/>
      <c r="BI402"/>
      <c r="BJ402"/>
      <c r="BK402"/>
      <c r="BL402"/>
      <c r="BM402"/>
      <c r="BN402"/>
      <c r="BO402"/>
      <c r="BP402"/>
      <c r="BQ402" s="325"/>
      <c r="BR402" s="415"/>
      <c r="BS402" s="415"/>
      <c r="BT402" s="415"/>
      <c r="BU402" s="416"/>
      <c r="BV402" s="416"/>
      <c r="BW402" s="416"/>
      <c r="BY402" s="416"/>
      <c r="CA402" s="432"/>
      <c r="CB402" s="415"/>
      <c r="CC402" s="445"/>
      <c r="CD402" s="449"/>
    </row>
    <row r="403" spans="1:82">
      <c r="B403" s="416"/>
      <c r="Z403" s="29"/>
      <c r="AA403" s="29"/>
      <c r="AB403" s="29"/>
      <c r="AC403" s="29"/>
      <c r="AD403" s="29"/>
      <c r="AE403" s="29"/>
      <c r="AF403" s="29"/>
      <c r="AG403" s="29"/>
      <c r="AH403" s="29"/>
      <c r="AI403" s="29"/>
      <c r="AJ403" s="29"/>
      <c r="AK403" s="29"/>
      <c r="AL403" s="29"/>
      <c r="AM403" s="29"/>
      <c r="AN403" s="29"/>
      <c r="AO403" s="29"/>
      <c r="AP403" s="29"/>
      <c r="AQ403" s="29"/>
      <c r="BQ403" s="325"/>
      <c r="BR403" s="415"/>
      <c r="BS403" s="415"/>
      <c r="BT403" s="415"/>
      <c r="BU403" s="416"/>
      <c r="BV403" s="416"/>
      <c r="BW403" s="416"/>
      <c r="BY403" s="416"/>
      <c r="CA403" s="432"/>
      <c r="CB403" s="415"/>
      <c r="CC403" s="445"/>
      <c r="CD403" s="449"/>
    </row>
    <row r="404" spans="1:82">
      <c r="B404" s="416"/>
      <c r="Z404" s="29"/>
      <c r="AA404" s="29"/>
      <c r="AB404" s="29"/>
      <c r="AC404" s="29"/>
      <c r="AD404" s="29"/>
      <c r="AE404" s="29"/>
      <c r="AF404" s="29"/>
      <c r="AG404" s="29"/>
      <c r="AH404" s="29"/>
      <c r="AI404" s="29"/>
      <c r="AJ404" s="29"/>
      <c r="AK404" s="29"/>
      <c r="AL404" s="29"/>
      <c r="AM404" s="29"/>
      <c r="AN404" s="29"/>
      <c r="AO404" s="29"/>
      <c r="AP404" s="29"/>
      <c r="AQ404" s="29"/>
      <c r="BQ404" s="325"/>
      <c r="BR404" s="415"/>
      <c r="BS404" s="415"/>
      <c r="BT404" s="415"/>
      <c r="BU404" s="416"/>
      <c r="BV404" s="416"/>
      <c r="BW404" s="416"/>
      <c r="BY404" s="416"/>
      <c r="CA404" s="432"/>
      <c r="CB404" s="415"/>
      <c r="CC404" s="445"/>
      <c r="CD404" s="449"/>
    </row>
    <row r="405" spans="1:82">
      <c r="B405" s="416"/>
      <c r="Z405" s="29"/>
      <c r="AA405" s="29"/>
      <c r="AB405" s="29"/>
      <c r="AC405" s="29"/>
      <c r="AD405" s="29"/>
      <c r="AE405" s="29"/>
      <c r="AF405" s="29"/>
      <c r="AG405" s="29"/>
      <c r="AH405" s="29"/>
      <c r="AI405" s="29"/>
      <c r="AJ405" s="29"/>
      <c r="AK405" s="29"/>
      <c r="AL405" s="29"/>
      <c r="AM405" s="29"/>
      <c r="AN405" s="29"/>
      <c r="AO405" s="29"/>
      <c r="AP405" s="29"/>
      <c r="AQ405" s="29"/>
      <c r="BQ405" s="325"/>
      <c r="BR405" s="415"/>
      <c r="BS405" s="415"/>
      <c r="BT405" s="415"/>
      <c r="BU405" s="416"/>
      <c r="BV405" s="416"/>
      <c r="BW405" s="416"/>
      <c r="BY405" s="416"/>
      <c r="CA405" s="432"/>
      <c r="CB405" s="415"/>
      <c r="CC405" s="445"/>
      <c r="CD405" s="449"/>
    </row>
    <row r="406" spans="1:82">
      <c r="B406" s="416"/>
      <c r="Z406" s="29"/>
      <c r="AA406" s="29"/>
      <c r="AB406" s="29"/>
      <c r="AC406" s="29"/>
      <c r="AD406" s="29"/>
      <c r="AE406" s="29"/>
      <c r="AF406" s="29"/>
      <c r="AG406" s="29"/>
      <c r="AH406" s="29"/>
      <c r="AI406" s="29"/>
      <c r="AJ406" s="29"/>
      <c r="AK406" s="29"/>
      <c r="AL406" s="29"/>
      <c r="AM406" s="29"/>
      <c r="AN406" s="29"/>
      <c r="AO406" s="29"/>
      <c r="AP406" s="29"/>
      <c r="AQ406" s="29"/>
      <c r="BQ406" s="325"/>
      <c r="BR406" s="415"/>
      <c r="BS406" s="415"/>
      <c r="BT406" s="415"/>
      <c r="BU406" s="416"/>
      <c r="BV406" s="416"/>
      <c r="BW406" s="416"/>
      <c r="BY406" s="416"/>
      <c r="CA406" s="432"/>
      <c r="CB406" s="415"/>
      <c r="CC406" s="445"/>
      <c r="CD406" s="449"/>
    </row>
    <row r="407" spans="1:82">
      <c r="B407" s="416"/>
      <c r="Z407" s="29"/>
      <c r="AA407" s="29"/>
      <c r="AB407" s="29"/>
      <c r="AC407" s="29"/>
      <c r="AD407" s="29"/>
      <c r="AE407" s="29"/>
      <c r="AF407" s="29"/>
      <c r="AG407" s="29"/>
      <c r="AH407" s="29"/>
      <c r="AI407" s="29"/>
      <c r="AJ407" s="29"/>
      <c r="AK407" s="29"/>
      <c r="AL407" s="29"/>
      <c r="AM407" s="29"/>
      <c r="AN407" s="29"/>
      <c r="AO407" s="29"/>
      <c r="AP407" s="29"/>
      <c r="AQ407" s="29"/>
      <c r="BQ407" s="325"/>
      <c r="BR407" s="415"/>
      <c r="BS407" s="415"/>
      <c r="BT407" s="415"/>
      <c r="BU407" s="416"/>
      <c r="BV407" s="416"/>
      <c r="BW407" s="416"/>
      <c r="BY407" s="416"/>
      <c r="CA407" s="432"/>
      <c r="CB407" s="415"/>
      <c r="CC407" s="445"/>
      <c r="CD407" s="449"/>
    </row>
    <row r="408" spans="1:82">
      <c r="B408" s="416"/>
      <c r="Z408" s="29"/>
      <c r="AA408" s="29"/>
      <c r="AB408" s="29"/>
      <c r="AC408" s="29"/>
      <c r="AD408" s="29"/>
      <c r="AE408" s="29"/>
      <c r="AF408" s="29"/>
      <c r="AG408" s="29"/>
      <c r="AH408" s="29"/>
      <c r="AI408" s="29"/>
      <c r="AJ408" s="29"/>
      <c r="AK408" s="29"/>
      <c r="AL408" s="29"/>
      <c r="AM408" s="29"/>
      <c r="AN408" s="29"/>
      <c r="AO408" s="29"/>
      <c r="AP408" s="29"/>
      <c r="AQ408" s="29"/>
      <c r="BQ408" s="325"/>
      <c r="BR408" s="415"/>
      <c r="BS408" s="415"/>
      <c r="BT408" s="415"/>
      <c r="BU408" s="416"/>
      <c r="BV408" s="416"/>
      <c r="BW408" s="416"/>
      <c r="BY408" s="416"/>
      <c r="CA408" s="432"/>
      <c r="CB408" s="415"/>
      <c r="CC408" s="445"/>
      <c r="CD408" s="449"/>
    </row>
    <row r="409" spans="1:82">
      <c r="A409"/>
      <c r="B409" s="416"/>
      <c r="Z409" s="29"/>
      <c r="AA409" s="29"/>
      <c r="AB409" s="29"/>
      <c r="AC409" s="29"/>
      <c r="AD409" s="29"/>
      <c r="AE409" s="29"/>
      <c r="AF409" s="29"/>
      <c r="AG409" s="29"/>
      <c r="AH409" s="29"/>
      <c r="AI409" s="29"/>
      <c r="AJ409" s="29"/>
      <c r="AK409" s="29"/>
      <c r="AL409" s="29"/>
      <c r="AM409" s="29"/>
      <c r="AN409" s="29"/>
      <c r="AO409" s="29"/>
      <c r="AP409" s="29"/>
      <c r="AQ409" s="29"/>
      <c r="BQ409" s="325"/>
      <c r="BR409" s="415"/>
      <c r="BS409" s="415"/>
      <c r="BT409" s="415"/>
      <c r="BU409" s="416"/>
      <c r="BV409" s="416"/>
      <c r="BW409" s="416"/>
      <c r="BY409" s="416"/>
      <c r="CA409" s="432"/>
      <c r="CB409" s="415"/>
      <c r="CC409" s="445"/>
      <c r="CD409" s="449"/>
    </row>
    <row r="410" spans="1:82">
      <c r="A410"/>
      <c r="B410" s="416"/>
      <c r="Z410" s="29"/>
      <c r="AA410" s="29"/>
      <c r="AB410" s="29"/>
      <c r="AC410" s="29"/>
      <c r="AD410" s="29"/>
      <c r="AE410" s="29"/>
      <c r="AF410" s="29"/>
      <c r="AG410" s="29"/>
      <c r="AH410" s="29"/>
      <c r="AI410" s="29"/>
      <c r="AJ410" s="29"/>
      <c r="AK410" s="29"/>
      <c r="AL410" s="29"/>
      <c r="AM410" s="29"/>
      <c r="AN410" s="29"/>
      <c r="AO410" s="29"/>
      <c r="AP410" s="29"/>
      <c r="AQ410" s="29"/>
      <c r="BQ410" s="325"/>
      <c r="BR410" s="415"/>
      <c r="BS410" s="415"/>
      <c r="BT410" s="415"/>
      <c r="BU410" s="416"/>
      <c r="BV410" s="416"/>
      <c r="BW410" s="416"/>
      <c r="BY410" s="416"/>
      <c r="CA410" s="432"/>
      <c r="CB410" s="415"/>
      <c r="CC410" s="445"/>
      <c r="CD410" s="449"/>
    </row>
    <row r="411" spans="1:82">
      <c r="A411"/>
      <c r="B411" s="416"/>
      <c r="Z411" s="29"/>
      <c r="AA411" s="29"/>
      <c r="AB411" s="29"/>
      <c r="AC411" s="29"/>
      <c r="AD411" s="29"/>
      <c r="AE411" s="29"/>
      <c r="AF411" s="29"/>
      <c r="AG411" s="29"/>
      <c r="AH411" s="29"/>
      <c r="AI411" s="29"/>
      <c r="AJ411" s="29"/>
      <c r="AK411" s="29"/>
      <c r="AL411" s="29"/>
      <c r="AM411" s="29"/>
      <c r="AN411" s="29"/>
      <c r="AO411" s="29"/>
      <c r="AP411" s="29"/>
      <c r="AQ411" s="29"/>
      <c r="BQ411" s="325"/>
      <c r="BR411" s="415"/>
      <c r="BS411" s="415"/>
      <c r="BT411" s="415"/>
      <c r="BU411" s="416"/>
      <c r="BV411" s="416"/>
      <c r="BW411" s="416"/>
      <c r="BY411" s="416"/>
      <c r="CA411" s="432"/>
      <c r="CB411" s="415"/>
      <c r="CC411" s="445"/>
      <c r="CD411" s="449"/>
    </row>
    <row r="412" spans="1:82">
      <c r="A412"/>
      <c r="B412" s="416"/>
      <c r="Z412" s="29"/>
      <c r="AA412" s="29"/>
      <c r="AB412" s="29"/>
      <c r="AC412" s="29"/>
      <c r="AD412" s="29"/>
      <c r="AE412" s="29"/>
      <c r="AF412" s="29"/>
      <c r="AG412" s="29"/>
      <c r="AH412" s="29"/>
      <c r="AI412" s="29"/>
      <c r="AJ412" s="29"/>
      <c r="AK412" s="29"/>
      <c r="AL412" s="29"/>
      <c r="AM412" s="29"/>
      <c r="AN412" s="29"/>
      <c r="AO412" s="29"/>
      <c r="AP412" s="29"/>
      <c r="AQ412" s="29"/>
      <c r="BQ412" s="325"/>
      <c r="BR412" s="415"/>
      <c r="BS412" s="415"/>
      <c r="BT412" s="415"/>
      <c r="BU412" s="416"/>
      <c r="BV412" s="416"/>
      <c r="BW412" s="416"/>
      <c r="BY412" s="416"/>
      <c r="CA412" s="432"/>
      <c r="CB412" s="415"/>
      <c r="CC412" s="445"/>
      <c r="CD412" s="449"/>
    </row>
    <row r="413" spans="1:82">
      <c r="A413"/>
      <c r="B413" s="416"/>
      <c r="Z413" s="29"/>
      <c r="AA413" s="29"/>
      <c r="AB413" s="29"/>
      <c r="AC413" s="29"/>
      <c r="AD413" s="29"/>
      <c r="AE413" s="29"/>
      <c r="AF413" s="29"/>
      <c r="AG413" s="29"/>
      <c r="AH413" s="29"/>
      <c r="AI413" s="29"/>
      <c r="AJ413" s="29"/>
      <c r="AK413" s="29"/>
      <c r="AL413" s="29"/>
      <c r="AM413" s="29"/>
      <c r="AN413" s="29"/>
      <c r="AO413" s="29"/>
      <c r="AP413" s="29"/>
      <c r="AQ413" s="29"/>
      <c r="BQ413" s="325"/>
      <c r="BR413" s="415"/>
      <c r="BS413" s="415"/>
      <c r="BT413" s="415"/>
      <c r="BU413" s="416"/>
      <c r="BV413" s="416"/>
      <c r="BW413" s="416"/>
      <c r="BY413" s="416"/>
      <c r="CA413" s="432"/>
      <c r="CB413" s="415"/>
      <c r="CC413" s="445"/>
      <c r="CD413" s="449"/>
    </row>
    <row r="414" spans="1:82">
      <c r="A414"/>
      <c r="B414" s="416"/>
      <c r="Z414" s="29"/>
      <c r="AA414" s="29"/>
      <c r="AB414" s="29"/>
      <c r="AC414" s="29"/>
      <c r="AD414" s="29"/>
      <c r="AE414" s="29"/>
      <c r="AF414" s="29"/>
      <c r="AG414" s="29"/>
      <c r="AH414" s="29"/>
      <c r="AI414" s="29"/>
      <c r="AJ414" s="29"/>
      <c r="AK414" s="29"/>
      <c r="AL414" s="29"/>
      <c r="AM414" s="29"/>
      <c r="AN414" s="29"/>
      <c r="AO414" s="29"/>
      <c r="AP414" s="29"/>
      <c r="AQ414" s="29"/>
      <c r="BQ414" s="325"/>
      <c r="BR414" s="415"/>
      <c r="BS414" s="415"/>
      <c r="BT414" s="415"/>
      <c r="BU414" s="416"/>
      <c r="BV414" s="416"/>
      <c r="BW414" s="416"/>
      <c r="BY414" s="416"/>
      <c r="CA414" s="432"/>
      <c r="CB414" s="415"/>
      <c r="CC414" s="445"/>
      <c r="CD414" s="449"/>
    </row>
    <row r="415" spans="1:82">
      <c r="A415"/>
      <c r="B415" s="416"/>
      <c r="Z415" s="29"/>
      <c r="AA415" s="29"/>
      <c r="AB415" s="29"/>
      <c r="AC415" s="29"/>
      <c r="AD415" s="29"/>
      <c r="AE415" s="29"/>
      <c r="AF415" s="29"/>
      <c r="AG415" s="29"/>
      <c r="AH415" s="29"/>
      <c r="AI415" s="29"/>
      <c r="AJ415" s="29"/>
      <c r="AK415" s="29"/>
      <c r="AL415" s="29"/>
      <c r="AM415" s="29"/>
      <c r="AN415" s="29"/>
      <c r="AO415" s="29"/>
      <c r="AP415" s="29"/>
      <c r="AQ415" s="29"/>
      <c r="BQ415" s="325"/>
      <c r="BR415" s="415"/>
      <c r="BS415" s="415"/>
      <c r="BT415" s="415"/>
      <c r="BU415" s="416"/>
      <c r="BV415" s="416"/>
      <c r="BW415" s="416"/>
      <c r="BY415" s="416"/>
      <c r="CA415" s="432"/>
      <c r="CB415" s="415"/>
      <c r="CC415" s="445"/>
      <c r="CD415" s="449"/>
    </row>
    <row r="416" spans="1:82">
      <c r="B416" s="416"/>
      <c r="Z416" s="29"/>
      <c r="AA416" s="29"/>
      <c r="AB416" s="29"/>
      <c r="AC416" s="29"/>
      <c r="AD416" s="29"/>
      <c r="AE416" s="29"/>
      <c r="AF416" s="29"/>
      <c r="AG416" s="29"/>
      <c r="AH416" s="29"/>
      <c r="AI416" s="29"/>
      <c r="AJ416" s="29"/>
      <c r="AK416" s="29"/>
      <c r="AL416" s="29"/>
      <c r="AM416" s="29"/>
      <c r="AN416" s="29"/>
      <c r="AO416" s="29"/>
      <c r="AP416" s="29"/>
      <c r="AQ416" s="29"/>
      <c r="BQ416" s="325"/>
      <c r="BR416" s="415"/>
      <c r="BS416" s="415"/>
      <c r="BT416" s="415"/>
      <c r="BU416" s="416"/>
      <c r="BV416" s="416"/>
      <c r="BW416" s="416"/>
      <c r="BY416" s="416"/>
      <c r="CA416" s="432"/>
      <c r="CB416" s="415"/>
      <c r="CC416" s="445"/>
      <c r="CD416" s="449"/>
    </row>
    <row r="417" spans="2:82">
      <c r="B417" s="416"/>
      <c r="Z417" s="29"/>
      <c r="AA417" s="29"/>
      <c r="AB417" s="29"/>
      <c r="AC417" s="29"/>
      <c r="AD417" s="29"/>
      <c r="AE417" s="29"/>
      <c r="AF417" s="29"/>
      <c r="AG417" s="29"/>
      <c r="AH417" s="29"/>
      <c r="AI417" s="29"/>
      <c r="AJ417" s="29"/>
      <c r="AK417" s="29"/>
      <c r="AL417" s="29"/>
      <c r="AM417" s="29"/>
      <c r="AN417" s="29"/>
      <c r="AO417" s="29"/>
      <c r="AP417" s="29"/>
      <c r="AQ417" s="29"/>
      <c r="BQ417" s="325"/>
      <c r="BR417" s="415"/>
      <c r="BS417" s="415"/>
      <c r="BT417" s="415"/>
      <c r="BU417" s="416"/>
      <c r="BV417" s="416"/>
      <c r="BW417" s="416"/>
      <c r="BY417" s="416"/>
      <c r="CA417" s="432"/>
      <c r="CB417" s="415"/>
      <c r="CC417" s="445"/>
      <c r="CD417" s="449"/>
    </row>
    <row r="418" spans="2:82">
      <c r="B418" s="416"/>
      <c r="Z418" s="29"/>
      <c r="AA418" s="29"/>
      <c r="AB418" s="29"/>
      <c r="AC418" s="29"/>
      <c r="AD418" s="29"/>
      <c r="AE418" s="29"/>
      <c r="AF418" s="29"/>
      <c r="AG418" s="29"/>
      <c r="AH418" s="29"/>
      <c r="AI418" s="29"/>
      <c r="AJ418" s="29"/>
      <c r="AK418" s="29"/>
      <c r="AL418" s="29"/>
      <c r="AM418" s="29"/>
      <c r="AN418" s="29"/>
      <c r="AO418" s="29"/>
      <c r="AP418" s="29"/>
      <c r="AQ418" s="29"/>
      <c r="BQ418" s="325"/>
      <c r="BR418" s="415"/>
      <c r="BS418" s="415"/>
      <c r="BT418" s="415"/>
      <c r="BU418" s="416"/>
      <c r="BV418" s="416"/>
      <c r="BW418" s="416"/>
      <c r="BY418" s="416"/>
      <c r="CA418" s="432"/>
      <c r="CB418" s="415"/>
      <c r="CC418" s="445"/>
      <c r="CD418" s="449"/>
    </row>
    <row r="419" spans="2:82">
      <c r="B419" s="416"/>
      <c r="Z419" s="29"/>
      <c r="AA419" s="29"/>
      <c r="AB419" s="29"/>
      <c r="AC419" s="29"/>
      <c r="AD419" s="29"/>
      <c r="AE419" s="29"/>
      <c r="AF419" s="29"/>
      <c r="AG419" s="29"/>
      <c r="AH419" s="29"/>
      <c r="AI419" s="29"/>
      <c r="AJ419" s="29"/>
      <c r="AK419" s="29"/>
      <c r="AL419" s="29"/>
      <c r="AM419" s="29"/>
      <c r="AN419" s="29"/>
      <c r="AO419" s="29"/>
      <c r="AP419" s="29"/>
      <c r="AQ419" s="29"/>
      <c r="BQ419" s="325"/>
      <c r="BR419" s="415"/>
      <c r="BS419" s="415"/>
      <c r="BT419" s="415"/>
      <c r="BU419" s="416"/>
      <c r="BV419" s="416"/>
      <c r="BW419" s="416"/>
      <c r="BY419" s="416"/>
      <c r="CA419" s="432"/>
      <c r="CB419" s="415"/>
      <c r="CC419" s="445"/>
      <c r="CD419" s="449"/>
    </row>
    <row r="420" spans="2:82">
      <c r="B420" s="416"/>
      <c r="Z420" s="29"/>
      <c r="AA420" s="29"/>
      <c r="AB420" s="29"/>
      <c r="AC420" s="29"/>
      <c r="AD420" s="29"/>
      <c r="AE420" s="29"/>
      <c r="AF420" s="29"/>
      <c r="AG420" s="29"/>
      <c r="AH420" s="29"/>
      <c r="AI420" s="29"/>
      <c r="AJ420" s="29"/>
      <c r="AK420" s="29"/>
      <c r="AL420" s="29"/>
      <c r="AM420" s="29"/>
      <c r="AN420" s="29"/>
      <c r="AO420" s="29"/>
      <c r="AP420" s="29"/>
      <c r="AQ420" s="29"/>
      <c r="BQ420" s="325"/>
      <c r="BR420" s="415"/>
      <c r="BS420" s="415"/>
      <c r="BT420" s="415"/>
      <c r="BU420" s="416"/>
      <c r="BV420" s="416"/>
      <c r="BW420" s="416"/>
      <c r="BY420" s="416"/>
      <c r="CA420" s="432"/>
      <c r="CB420" s="415"/>
      <c r="CC420" s="445"/>
      <c r="CD420" s="449"/>
    </row>
    <row r="421" spans="2:82">
      <c r="B421" s="416"/>
      <c r="Z421" s="29"/>
      <c r="AA421" s="29"/>
      <c r="AB421" s="29"/>
      <c r="AC421" s="29"/>
      <c r="AD421" s="29"/>
      <c r="AE421" s="29"/>
      <c r="AF421" s="29"/>
      <c r="AG421" s="29"/>
      <c r="AH421" s="29"/>
      <c r="AI421" s="29"/>
      <c r="AJ421" s="29"/>
      <c r="AK421" s="29"/>
      <c r="AL421" s="29"/>
      <c r="AM421" s="29"/>
      <c r="AN421" s="29"/>
      <c r="AO421" s="29"/>
      <c r="AP421" s="29"/>
      <c r="AQ421" s="29"/>
      <c r="BQ421" s="325"/>
      <c r="BR421" s="415"/>
      <c r="BS421" s="415"/>
      <c r="BT421" s="415"/>
      <c r="BU421" s="416"/>
      <c r="BV421" s="416"/>
      <c r="BW421" s="416"/>
      <c r="BY421" s="416"/>
      <c r="CA421" s="432"/>
      <c r="CB421" s="415"/>
      <c r="CC421" s="445"/>
      <c r="CD421" s="449"/>
    </row>
    <row r="422" spans="2:82">
      <c r="B422" s="416"/>
      <c r="Z422" s="29"/>
      <c r="AA422" s="29"/>
      <c r="AB422" s="29"/>
      <c r="AC422" s="29"/>
      <c r="AD422" s="29"/>
      <c r="AE422" s="29"/>
      <c r="AF422" s="29"/>
      <c r="AG422" s="29"/>
      <c r="AH422" s="29"/>
      <c r="AI422" s="29"/>
      <c r="AJ422" s="29"/>
      <c r="AK422" s="29"/>
      <c r="AL422" s="29"/>
      <c r="AM422" s="29"/>
      <c r="AN422" s="29"/>
      <c r="AO422" s="29"/>
      <c r="AP422" s="29"/>
      <c r="AQ422" s="29"/>
      <c r="BQ422" s="325"/>
      <c r="BR422" s="415"/>
      <c r="BS422" s="415"/>
      <c r="BT422" s="415"/>
      <c r="BU422" s="416"/>
      <c r="BV422" s="416"/>
      <c r="BW422" s="416"/>
      <c r="BY422" s="416"/>
      <c r="CA422" s="432"/>
      <c r="CB422" s="415"/>
      <c r="CC422" s="445"/>
      <c r="CD422" s="449"/>
    </row>
    <row r="423" spans="2:82">
      <c r="B423" s="416"/>
      <c r="Z423" s="29"/>
      <c r="AA423" s="29"/>
      <c r="AB423" s="29"/>
      <c r="AC423" s="29"/>
      <c r="AD423" s="29"/>
      <c r="AE423" s="29"/>
      <c r="AF423" s="29"/>
      <c r="AG423" s="29"/>
      <c r="AH423" s="29"/>
      <c r="AI423" s="29"/>
      <c r="AJ423" s="29"/>
      <c r="AK423" s="29"/>
      <c r="AL423" s="29"/>
      <c r="AM423" s="29"/>
      <c r="AN423" s="29"/>
      <c r="AO423" s="29"/>
      <c r="AP423" s="29"/>
      <c r="AQ423" s="29"/>
      <c r="BQ423" s="325"/>
      <c r="BR423" s="415"/>
      <c r="BS423" s="415"/>
      <c r="BT423" s="415"/>
      <c r="BU423" s="416"/>
      <c r="BV423" s="416"/>
      <c r="BW423" s="416"/>
      <c r="BY423" s="416"/>
      <c r="CA423" s="432"/>
      <c r="CB423" s="415"/>
      <c r="CC423" s="445"/>
      <c r="CD423" s="449"/>
    </row>
    <row r="424" spans="2:82">
      <c r="B424" s="416"/>
      <c r="Z424" s="29"/>
      <c r="AA424" s="29"/>
      <c r="AB424" s="29"/>
      <c r="AC424" s="29"/>
      <c r="AD424" s="29"/>
      <c r="AE424" s="29"/>
      <c r="AF424" s="29"/>
      <c r="AG424" s="29"/>
      <c r="AH424" s="29"/>
      <c r="AI424" s="29"/>
      <c r="AJ424" s="29"/>
      <c r="AK424" s="29"/>
      <c r="AL424" s="29"/>
      <c r="AM424" s="29"/>
      <c r="AN424" s="29"/>
      <c r="AO424" s="29"/>
      <c r="AP424" s="29"/>
      <c r="AQ424" s="29"/>
      <c r="BQ424" s="325"/>
      <c r="BR424" s="415"/>
      <c r="BS424" s="415"/>
      <c r="BT424" s="415"/>
      <c r="BU424" s="416"/>
      <c r="BV424" s="416"/>
      <c r="BW424" s="416"/>
      <c r="BY424" s="416"/>
      <c r="CA424" s="432"/>
      <c r="CB424" s="415"/>
      <c r="CC424" s="445"/>
      <c r="CD424" s="449"/>
    </row>
    <row r="425" spans="2:82">
      <c r="B425" s="416"/>
      <c r="Z425" s="29"/>
      <c r="AA425" s="29"/>
      <c r="AB425" s="29"/>
      <c r="AC425" s="29"/>
      <c r="AD425" s="29"/>
      <c r="AE425" s="29"/>
      <c r="AF425" s="29"/>
      <c r="AG425" s="29"/>
      <c r="AH425" s="29"/>
      <c r="AI425" s="29"/>
      <c r="AJ425" s="29"/>
      <c r="AK425" s="29"/>
      <c r="AL425" s="29"/>
      <c r="AM425" s="29"/>
      <c r="AN425" s="29"/>
      <c r="AO425" s="29"/>
      <c r="AP425" s="29"/>
      <c r="AQ425" s="29"/>
      <c r="BQ425" s="325"/>
      <c r="BR425" s="415"/>
      <c r="BS425" s="415"/>
      <c r="BT425" s="415"/>
      <c r="BU425" s="416"/>
      <c r="BV425" s="416"/>
      <c r="BW425" s="416"/>
      <c r="BY425" s="416"/>
      <c r="CA425" s="432"/>
      <c r="CB425" s="415"/>
      <c r="CC425" s="445"/>
      <c r="CD425" s="449"/>
    </row>
    <row r="426" spans="2:82">
      <c r="B426" s="416"/>
      <c r="Z426" s="29"/>
      <c r="AA426" s="29"/>
      <c r="AB426" s="29"/>
      <c r="AC426" s="29"/>
      <c r="AD426" s="29"/>
      <c r="AE426" s="29"/>
      <c r="AF426" s="29"/>
      <c r="AG426" s="29"/>
      <c r="AH426" s="29"/>
      <c r="AI426" s="29"/>
      <c r="AJ426" s="29"/>
      <c r="AK426" s="29"/>
      <c r="AL426" s="29"/>
      <c r="AM426" s="29"/>
      <c r="AN426" s="29"/>
      <c r="AO426" s="29"/>
      <c r="AP426" s="29"/>
      <c r="AQ426" s="29"/>
      <c r="BQ426" s="325"/>
      <c r="BR426" s="415"/>
      <c r="BS426" s="415"/>
      <c r="BT426" s="415"/>
      <c r="BU426" s="416"/>
      <c r="BV426" s="416"/>
      <c r="BW426" s="416"/>
      <c r="BY426" s="416"/>
      <c r="CA426" s="432"/>
      <c r="CB426" s="415"/>
      <c r="CC426" s="445"/>
      <c r="CD426" s="449"/>
    </row>
    <row r="427" spans="2:82">
      <c r="B427" s="416"/>
      <c r="Z427" s="29"/>
      <c r="AA427" s="29"/>
      <c r="AB427" s="29"/>
      <c r="AC427" s="29"/>
      <c r="AD427" s="29"/>
      <c r="AE427" s="29"/>
      <c r="AF427" s="29"/>
      <c r="AG427" s="29"/>
      <c r="AH427" s="29"/>
      <c r="AI427" s="29"/>
      <c r="AJ427" s="29"/>
      <c r="AK427" s="29"/>
      <c r="AL427" s="29"/>
      <c r="AM427" s="29"/>
      <c r="AN427" s="29"/>
      <c r="AO427" s="29"/>
      <c r="AP427" s="29"/>
      <c r="AQ427" s="29"/>
      <c r="BQ427" s="325"/>
      <c r="BR427" s="415"/>
      <c r="BS427" s="415"/>
      <c r="BT427" s="415"/>
      <c r="BU427" s="416"/>
      <c r="BV427" s="416"/>
      <c r="BW427" s="416"/>
      <c r="BY427" s="416"/>
      <c r="CA427" s="432"/>
      <c r="CB427" s="415"/>
      <c r="CC427" s="445"/>
      <c r="CD427" s="449"/>
    </row>
    <row r="428" spans="2:82">
      <c r="B428" s="416"/>
      <c r="Z428" s="29"/>
      <c r="AA428" s="29"/>
      <c r="AB428" s="29"/>
      <c r="AC428" s="29"/>
      <c r="AD428" s="29"/>
      <c r="AE428" s="29"/>
      <c r="AF428" s="29"/>
      <c r="AG428" s="29"/>
      <c r="AH428" s="29"/>
      <c r="AI428" s="29"/>
      <c r="AJ428" s="29"/>
      <c r="AK428" s="29"/>
      <c r="AL428" s="29"/>
      <c r="AM428" s="29"/>
      <c r="AN428" s="29"/>
      <c r="AO428" s="29"/>
      <c r="AP428" s="29"/>
      <c r="AQ428" s="29"/>
      <c r="BQ428" s="325"/>
      <c r="BR428" s="415"/>
      <c r="BS428" s="415"/>
      <c r="BT428" s="415"/>
      <c r="BU428" s="416"/>
      <c r="BV428" s="416"/>
      <c r="BW428" s="416"/>
      <c r="BY428" s="416"/>
      <c r="CA428" s="432"/>
      <c r="CB428" s="415"/>
      <c r="CC428" s="445"/>
      <c r="CD428" s="449"/>
    </row>
    <row r="429" spans="2:82">
      <c r="B429" s="416"/>
      <c r="Z429" s="29"/>
      <c r="AA429" s="29"/>
      <c r="AB429" s="29"/>
      <c r="AC429" s="29"/>
      <c r="AD429" s="29"/>
      <c r="AE429" s="29"/>
      <c r="AF429" s="29"/>
      <c r="AG429" s="29"/>
      <c r="AH429" s="29"/>
      <c r="AI429" s="29"/>
      <c r="AJ429" s="29"/>
      <c r="AK429" s="29"/>
      <c r="AL429" s="29"/>
      <c r="AM429" s="29"/>
      <c r="AN429" s="29"/>
      <c r="AO429" s="29"/>
      <c r="AP429" s="29"/>
      <c r="AQ429" s="29"/>
      <c r="BQ429" s="325"/>
      <c r="BR429" s="415"/>
      <c r="BS429" s="415"/>
      <c r="BT429" s="415"/>
      <c r="BU429" s="416"/>
      <c r="BV429" s="416"/>
      <c r="BW429" s="416"/>
      <c r="BY429" s="416"/>
      <c r="CA429" s="432"/>
      <c r="CB429" s="415"/>
      <c r="CC429" s="445"/>
      <c r="CD429" s="449"/>
    </row>
    <row r="430" spans="2:82">
      <c r="B430" s="416"/>
      <c r="Z430" s="29"/>
      <c r="AA430" s="29"/>
      <c r="AB430" s="29"/>
      <c r="AC430" s="29"/>
      <c r="AD430" s="29"/>
      <c r="AE430" s="29"/>
      <c r="AF430" s="29"/>
      <c r="AG430" s="29"/>
      <c r="AH430" s="29"/>
      <c r="AI430" s="29"/>
      <c r="AJ430" s="29"/>
      <c r="AK430" s="29"/>
      <c r="AL430" s="29"/>
      <c r="AM430" s="29"/>
      <c r="AN430" s="29"/>
      <c r="AO430" s="29"/>
      <c r="AP430" s="29"/>
      <c r="AQ430" s="29"/>
      <c r="BQ430" s="325"/>
      <c r="BR430" s="415"/>
      <c r="BS430" s="415"/>
      <c r="BT430" s="415"/>
      <c r="BU430" s="416"/>
      <c r="BV430" s="416"/>
      <c r="BW430" s="416"/>
      <c r="BY430" s="416"/>
      <c r="CA430" s="432"/>
      <c r="CB430" s="415"/>
      <c r="CC430" s="445"/>
      <c r="CD430" s="449"/>
    </row>
    <row r="431" spans="2:82">
      <c r="B431" s="416"/>
      <c r="Z431" s="29"/>
      <c r="AA431" s="29"/>
      <c r="AB431" s="29"/>
      <c r="AC431" s="29"/>
      <c r="AD431" s="29"/>
      <c r="AE431" s="29"/>
      <c r="AF431" s="29"/>
      <c r="AG431" s="29"/>
      <c r="AH431" s="29"/>
      <c r="AI431" s="29"/>
      <c r="AJ431" s="29"/>
      <c r="AK431" s="29"/>
      <c r="AL431" s="29"/>
      <c r="AM431" s="29"/>
      <c r="AN431" s="29"/>
      <c r="AO431" s="29"/>
      <c r="AP431" s="29"/>
      <c r="AQ431" s="29"/>
      <c r="BQ431" s="325"/>
      <c r="BR431" s="415"/>
      <c r="BS431" s="415"/>
      <c r="BT431" s="415"/>
      <c r="BU431" s="416"/>
      <c r="BV431" s="416"/>
      <c r="BW431" s="416"/>
      <c r="BY431" s="416"/>
      <c r="CA431" s="432"/>
      <c r="CB431" s="415"/>
      <c r="CC431" s="445"/>
      <c r="CD431" s="449"/>
    </row>
    <row r="432" spans="2:82">
      <c r="B432" s="416"/>
      <c r="Z432" s="29"/>
      <c r="AA432" s="29"/>
      <c r="AB432" s="29"/>
      <c r="AC432" s="29"/>
      <c r="AD432" s="29"/>
      <c r="AE432" s="29"/>
      <c r="AF432" s="29"/>
      <c r="AG432" s="29"/>
      <c r="AH432" s="29"/>
      <c r="AI432" s="29"/>
      <c r="AJ432" s="29"/>
      <c r="AK432" s="29"/>
      <c r="AL432" s="29"/>
      <c r="AM432" s="29"/>
      <c r="AN432" s="29"/>
      <c r="AO432" s="29"/>
      <c r="AP432" s="29"/>
      <c r="AQ432" s="29"/>
      <c r="BQ432" s="325"/>
      <c r="BR432" s="415"/>
      <c r="BS432" s="415"/>
      <c r="BT432" s="415"/>
      <c r="BU432" s="416"/>
      <c r="BV432" s="416"/>
      <c r="BW432" s="416"/>
      <c r="BY432" s="416"/>
      <c r="CA432" s="432"/>
      <c r="CB432" s="415"/>
      <c r="CC432" s="445"/>
      <c r="CD432" s="449"/>
    </row>
    <row r="433" spans="2:82">
      <c r="B433" s="416"/>
      <c r="Z433" s="29"/>
      <c r="AA433" s="29"/>
      <c r="AB433" s="29"/>
      <c r="AC433" s="29"/>
      <c r="AD433" s="29"/>
      <c r="AE433" s="29"/>
      <c r="AF433" s="29"/>
      <c r="AG433" s="29"/>
      <c r="AH433" s="29"/>
      <c r="AI433" s="29"/>
      <c r="AJ433" s="29"/>
      <c r="AK433" s="29"/>
      <c r="AL433" s="29"/>
      <c r="AM433" s="29"/>
      <c r="AN433" s="29"/>
      <c r="AO433" s="29"/>
      <c r="AP433" s="29"/>
      <c r="AQ433" s="29"/>
      <c r="BQ433" s="325"/>
      <c r="BR433" s="415"/>
      <c r="BS433" s="415"/>
      <c r="BT433" s="415"/>
      <c r="BU433" s="416"/>
      <c r="BV433" s="416"/>
      <c r="BW433" s="416"/>
      <c r="BY433" s="416"/>
      <c r="CA433" s="432"/>
      <c r="CB433" s="415"/>
      <c r="CC433" s="445"/>
      <c r="CD433" s="449"/>
    </row>
    <row r="434" spans="2:82">
      <c r="B434" s="416"/>
      <c r="Z434" s="29"/>
      <c r="AA434" s="29"/>
      <c r="AB434" s="29"/>
      <c r="AC434" s="29"/>
      <c r="AD434" s="29"/>
      <c r="AE434" s="29"/>
      <c r="AF434" s="29"/>
      <c r="AG434" s="29"/>
      <c r="AH434" s="29"/>
      <c r="AI434" s="29"/>
      <c r="AJ434" s="29"/>
      <c r="AK434" s="29"/>
      <c r="AL434" s="29"/>
      <c r="AM434" s="29"/>
      <c r="AN434" s="29"/>
      <c r="AO434" s="29"/>
      <c r="AP434" s="29"/>
      <c r="AQ434" s="29"/>
      <c r="BQ434" s="325"/>
      <c r="BR434" s="415"/>
      <c r="BS434" s="415"/>
      <c r="BT434" s="415"/>
      <c r="BU434" s="416"/>
      <c r="BV434" s="416"/>
      <c r="BW434" s="416"/>
      <c r="BY434" s="416"/>
      <c r="CA434" s="432"/>
      <c r="CB434" s="415"/>
      <c r="CC434" s="445"/>
      <c r="CD434" s="449"/>
    </row>
    <row r="435" spans="2:82">
      <c r="B435" s="416"/>
      <c r="Z435" s="29"/>
      <c r="AA435" s="29"/>
      <c r="AB435" s="29"/>
      <c r="AC435" s="29"/>
      <c r="AD435" s="29"/>
      <c r="AE435" s="29"/>
      <c r="AF435" s="29"/>
      <c r="AG435" s="29"/>
      <c r="AH435" s="29"/>
      <c r="AI435" s="29"/>
      <c r="AJ435" s="29"/>
      <c r="AK435" s="29"/>
      <c r="AL435" s="29"/>
      <c r="AM435" s="29"/>
      <c r="AN435" s="29"/>
      <c r="AO435" s="29"/>
      <c r="AP435" s="29"/>
      <c r="AQ435" s="29"/>
      <c r="BQ435" s="325"/>
      <c r="BR435" s="415"/>
      <c r="BS435" s="415"/>
      <c r="BT435" s="415"/>
      <c r="BU435" s="416"/>
      <c r="BV435" s="416"/>
      <c r="BW435" s="416"/>
      <c r="BY435" s="416"/>
      <c r="CA435" s="432"/>
      <c r="CB435" s="415"/>
      <c r="CC435" s="445"/>
      <c r="CD435" s="449"/>
    </row>
    <row r="436" spans="2:82">
      <c r="B436" s="416"/>
      <c r="Z436" s="29"/>
      <c r="AA436" s="29"/>
      <c r="AB436" s="29"/>
      <c r="AC436" s="29"/>
      <c r="AD436" s="29"/>
      <c r="AE436" s="29"/>
      <c r="AF436" s="29"/>
      <c r="AG436" s="29"/>
      <c r="AH436" s="29"/>
      <c r="AI436" s="29"/>
      <c r="AJ436" s="29"/>
      <c r="AK436" s="29"/>
      <c r="AL436" s="29"/>
      <c r="AM436" s="29"/>
      <c r="AN436" s="29"/>
      <c r="AO436" s="29"/>
      <c r="AP436" s="29"/>
      <c r="AQ436" s="29"/>
      <c r="BQ436" s="325"/>
      <c r="BR436" s="415"/>
      <c r="BS436" s="415"/>
      <c r="BT436" s="415"/>
      <c r="BU436" s="416"/>
      <c r="BV436" s="416"/>
      <c r="BW436" s="416"/>
      <c r="BY436" s="416"/>
      <c r="CA436" s="432"/>
      <c r="CB436" s="415"/>
      <c r="CC436" s="445"/>
      <c r="CD436" s="449"/>
    </row>
    <row r="437" spans="2:82">
      <c r="B437" s="416"/>
      <c r="Z437" s="29"/>
      <c r="AA437" s="29"/>
      <c r="AB437" s="29"/>
      <c r="AC437" s="29"/>
      <c r="AD437" s="29"/>
      <c r="AE437" s="29"/>
      <c r="AF437" s="29"/>
      <c r="AG437" s="29"/>
      <c r="AH437" s="29"/>
      <c r="AI437" s="29"/>
      <c r="AJ437" s="29"/>
      <c r="AK437" s="29"/>
      <c r="AL437" s="29"/>
      <c r="AM437" s="29"/>
      <c r="AN437" s="29"/>
      <c r="AO437" s="29"/>
      <c r="AP437" s="29"/>
      <c r="AQ437" s="29"/>
      <c r="BQ437" s="325"/>
      <c r="BR437" s="415"/>
      <c r="BS437" s="415"/>
      <c r="BT437" s="415"/>
      <c r="BU437" s="416"/>
      <c r="BV437" s="416"/>
      <c r="BW437" s="416"/>
      <c r="BY437" s="416"/>
      <c r="CA437" s="432"/>
      <c r="CB437" s="415"/>
      <c r="CC437" s="445"/>
      <c r="CD437" s="449"/>
    </row>
    <row r="438" spans="2:82">
      <c r="B438" s="416"/>
      <c r="Z438" s="29"/>
      <c r="AA438" s="29"/>
      <c r="AB438" s="29"/>
      <c r="AC438" s="29"/>
      <c r="AD438" s="29"/>
      <c r="AE438" s="29"/>
      <c r="AF438" s="29"/>
      <c r="AG438" s="29"/>
      <c r="AH438" s="29"/>
      <c r="AI438" s="29"/>
      <c r="AJ438" s="29"/>
      <c r="AK438" s="29"/>
      <c r="AL438" s="29"/>
      <c r="AM438" s="29"/>
      <c r="AN438" s="29"/>
      <c r="AO438" s="29"/>
      <c r="AP438" s="29"/>
      <c r="AQ438" s="29"/>
      <c r="BQ438" s="325"/>
      <c r="BR438" s="415"/>
      <c r="BS438" s="415"/>
      <c r="BT438" s="415"/>
      <c r="BU438" s="416"/>
      <c r="BV438" s="416"/>
      <c r="BW438" s="416"/>
      <c r="BY438" s="416"/>
      <c r="CA438" s="432"/>
      <c r="CB438" s="415"/>
      <c r="CC438" s="445"/>
      <c r="CD438" s="449"/>
    </row>
    <row r="439" spans="2:82">
      <c r="B439" s="416"/>
      <c r="Z439" s="29"/>
      <c r="AA439" s="29"/>
      <c r="AB439" s="29"/>
      <c r="AC439" s="29"/>
      <c r="AD439" s="29"/>
      <c r="AE439" s="29"/>
      <c r="AF439" s="29"/>
      <c r="AG439" s="29"/>
      <c r="AH439" s="29"/>
      <c r="AI439" s="29"/>
      <c r="AJ439" s="29"/>
      <c r="AK439" s="29"/>
      <c r="AL439" s="29"/>
      <c r="AM439" s="29"/>
      <c r="AN439" s="29"/>
      <c r="AO439" s="29"/>
      <c r="AP439" s="29"/>
      <c r="AQ439" s="29"/>
      <c r="BQ439" s="325"/>
      <c r="BR439" s="415"/>
      <c r="BS439" s="415"/>
      <c r="BT439" s="415"/>
      <c r="BU439" s="416"/>
      <c r="BV439" s="416"/>
      <c r="BW439" s="416"/>
      <c r="BY439" s="416"/>
      <c r="CA439" s="432"/>
      <c r="CB439" s="415"/>
      <c r="CC439" s="445"/>
      <c r="CD439" s="449"/>
    </row>
    <row r="440" spans="2:82">
      <c r="B440" s="416"/>
      <c r="Z440" s="29"/>
      <c r="AA440" s="29"/>
      <c r="AB440" s="29"/>
      <c r="AC440" s="29"/>
      <c r="AD440" s="29"/>
      <c r="AE440" s="29"/>
      <c r="AF440" s="29"/>
      <c r="AG440" s="29"/>
      <c r="AH440" s="29"/>
      <c r="AI440" s="29"/>
      <c r="AJ440" s="29"/>
      <c r="AK440" s="29"/>
      <c r="AL440" s="29"/>
      <c r="AM440" s="29"/>
      <c r="AN440" s="29"/>
      <c r="AO440" s="29"/>
      <c r="AP440" s="29"/>
      <c r="AQ440" s="29"/>
      <c r="BQ440" s="325"/>
      <c r="BR440" s="415"/>
      <c r="BS440" s="415"/>
      <c r="BT440" s="415"/>
      <c r="BU440" s="416"/>
      <c r="BV440" s="416"/>
      <c r="BW440" s="416"/>
      <c r="BY440" s="416"/>
      <c r="CA440" s="432"/>
      <c r="CB440" s="415"/>
      <c r="CC440" s="445"/>
      <c r="CD440" s="449"/>
    </row>
    <row r="441" spans="2:82">
      <c r="B441" s="416"/>
      <c r="Z441" s="29"/>
      <c r="AA441" s="29"/>
      <c r="AB441" s="29"/>
      <c r="AC441" s="29"/>
      <c r="AD441" s="29"/>
      <c r="AE441" s="29"/>
      <c r="AF441" s="29"/>
      <c r="AG441" s="29"/>
      <c r="AH441" s="29"/>
      <c r="AI441" s="29"/>
      <c r="AJ441" s="29"/>
      <c r="AK441" s="29"/>
      <c r="AL441" s="29"/>
      <c r="AM441" s="29"/>
      <c r="AN441" s="29"/>
      <c r="AO441" s="29"/>
      <c r="AP441" s="29"/>
      <c r="AQ441" s="29"/>
      <c r="BQ441" s="325"/>
      <c r="BR441" s="415"/>
      <c r="BS441" s="415"/>
      <c r="BT441" s="415"/>
      <c r="BU441" s="416"/>
      <c r="BV441" s="416"/>
      <c r="BW441" s="416"/>
      <c r="BY441" s="416"/>
      <c r="CA441" s="432"/>
      <c r="CB441" s="415"/>
      <c r="CC441" s="445"/>
      <c r="CD441" s="449"/>
    </row>
    <row r="442" spans="2:82">
      <c r="B442" s="416"/>
      <c r="Z442" s="29"/>
      <c r="AA442" s="29"/>
      <c r="AB442" s="29"/>
      <c r="AC442" s="29"/>
      <c r="AD442" s="29"/>
      <c r="AE442" s="29"/>
      <c r="AF442" s="29"/>
      <c r="AG442" s="29"/>
      <c r="AH442" s="29"/>
      <c r="AI442" s="29"/>
      <c r="AJ442" s="29"/>
      <c r="AK442" s="29"/>
      <c r="AL442" s="29"/>
      <c r="AM442" s="29"/>
      <c r="AN442" s="29"/>
      <c r="AO442" s="29"/>
      <c r="AP442" s="29"/>
      <c r="AQ442" s="29"/>
      <c r="BQ442" s="325"/>
      <c r="BR442" s="415"/>
      <c r="BS442" s="415"/>
      <c r="BT442" s="415"/>
      <c r="BU442" s="416"/>
      <c r="BV442" s="416"/>
      <c r="BW442" s="416"/>
      <c r="BY442" s="416"/>
      <c r="CA442" s="432"/>
      <c r="CB442" s="415"/>
      <c r="CC442" s="445"/>
      <c r="CD442" s="449"/>
    </row>
    <row r="443" spans="2:82">
      <c r="B443" s="416"/>
      <c r="Z443" s="29"/>
      <c r="AA443" s="29"/>
      <c r="AB443" s="29"/>
      <c r="AC443" s="29"/>
      <c r="AD443" s="29"/>
      <c r="AE443" s="29"/>
      <c r="AF443" s="29"/>
      <c r="AG443" s="29"/>
      <c r="AH443" s="29"/>
      <c r="AI443" s="29"/>
      <c r="AJ443" s="29"/>
      <c r="AK443" s="29"/>
      <c r="AL443" s="29"/>
      <c r="AM443" s="29"/>
      <c r="AN443" s="29"/>
      <c r="AO443" s="29"/>
      <c r="AP443" s="29"/>
      <c r="AQ443" s="29"/>
      <c r="BQ443" s="325"/>
      <c r="BR443" s="415"/>
      <c r="BS443" s="415"/>
      <c r="BT443" s="415"/>
      <c r="BU443" s="416"/>
      <c r="BV443" s="416"/>
      <c r="BW443" s="416"/>
      <c r="BY443" s="416"/>
      <c r="CA443" s="432"/>
      <c r="CB443" s="415"/>
      <c r="CC443" s="445"/>
      <c r="CD443" s="449"/>
    </row>
    <row r="444" spans="2:82">
      <c r="B444" s="416"/>
      <c r="Z444" s="29"/>
      <c r="AA444" s="29"/>
      <c r="AB444" s="29"/>
      <c r="AC444" s="29"/>
      <c r="AD444" s="29"/>
      <c r="AE444" s="29"/>
      <c r="AF444" s="29"/>
      <c r="AG444" s="29"/>
      <c r="AH444" s="29"/>
      <c r="AI444" s="29"/>
      <c r="AJ444" s="29"/>
      <c r="AK444" s="29"/>
      <c r="AL444" s="29"/>
      <c r="AM444" s="29"/>
      <c r="AN444" s="29"/>
      <c r="AO444" s="29"/>
      <c r="AP444" s="29"/>
      <c r="AQ444" s="29"/>
      <c r="BQ444" s="325"/>
      <c r="BR444" s="415"/>
      <c r="BS444" s="415"/>
      <c r="BT444" s="415"/>
      <c r="BU444" s="416"/>
      <c r="BV444" s="416"/>
      <c r="BW444" s="416"/>
      <c r="BY444" s="416"/>
      <c r="CA444" s="432"/>
      <c r="CB444" s="415"/>
      <c r="CC444" s="445"/>
      <c r="CD444" s="449"/>
    </row>
    <row r="445" spans="2:82">
      <c r="B445" s="416"/>
      <c r="Z445" s="29"/>
      <c r="AA445" s="29"/>
      <c r="AB445" s="29"/>
      <c r="AC445" s="29"/>
      <c r="AD445" s="29"/>
      <c r="AE445" s="29"/>
      <c r="AF445" s="29"/>
      <c r="AG445" s="29"/>
      <c r="AH445" s="29"/>
      <c r="AI445" s="29"/>
      <c r="AJ445" s="29"/>
      <c r="AK445" s="29"/>
      <c r="AL445" s="29"/>
      <c r="AM445" s="29"/>
      <c r="AN445" s="29"/>
      <c r="AO445" s="29"/>
      <c r="AP445" s="29"/>
      <c r="AQ445" s="29"/>
      <c r="BQ445" s="325"/>
      <c r="BR445" s="415"/>
      <c r="BS445" s="415"/>
      <c r="BT445" s="415"/>
      <c r="BU445" s="416"/>
      <c r="BV445" s="416"/>
      <c r="BW445" s="416"/>
      <c r="BY445" s="416"/>
      <c r="CA445" s="432"/>
      <c r="CB445" s="415"/>
      <c r="CC445" s="445"/>
      <c r="CD445" s="449"/>
    </row>
    <row r="446" spans="2:82">
      <c r="B446" s="416"/>
      <c r="Z446" s="29"/>
      <c r="AA446" s="29"/>
      <c r="AB446" s="29"/>
      <c r="AC446" s="29"/>
      <c r="AD446" s="29"/>
      <c r="AE446" s="29"/>
      <c r="AF446" s="29"/>
      <c r="AG446" s="29"/>
      <c r="AH446" s="29"/>
      <c r="AI446" s="29"/>
      <c r="AJ446" s="29"/>
      <c r="AK446" s="29"/>
      <c r="AL446" s="29"/>
      <c r="AM446" s="29"/>
      <c r="AN446" s="29"/>
      <c r="AO446" s="29"/>
      <c r="AP446" s="29"/>
      <c r="AQ446" s="29"/>
      <c r="BQ446" s="325"/>
      <c r="BR446" s="415"/>
      <c r="BS446" s="415"/>
      <c r="BT446" s="415"/>
      <c r="BU446" s="416"/>
      <c r="BV446" s="416"/>
      <c r="BW446" s="416"/>
      <c r="BY446" s="416"/>
      <c r="CA446" s="432"/>
      <c r="CB446" s="415"/>
      <c r="CC446" s="445"/>
      <c r="CD446" s="449"/>
    </row>
    <row r="447" spans="2:82">
      <c r="B447" s="416"/>
      <c r="Z447" s="29"/>
      <c r="AA447" s="29"/>
      <c r="AB447" s="29"/>
      <c r="AC447" s="29"/>
      <c r="AD447" s="29"/>
      <c r="AE447" s="29"/>
      <c r="AF447" s="29"/>
      <c r="AG447" s="29"/>
      <c r="AH447" s="29"/>
      <c r="AI447" s="29"/>
      <c r="AJ447" s="29"/>
      <c r="AK447" s="29"/>
      <c r="AL447" s="29"/>
      <c r="AM447" s="29"/>
      <c r="AN447" s="29"/>
      <c r="AO447" s="29"/>
      <c r="AP447" s="29"/>
      <c r="AQ447" s="29"/>
      <c r="BQ447" s="325"/>
      <c r="BR447" s="415"/>
      <c r="BS447" s="415"/>
      <c r="BT447" s="415"/>
      <c r="BU447" s="416"/>
      <c r="BV447" s="416"/>
      <c r="BW447" s="416"/>
      <c r="BY447" s="416"/>
      <c r="CA447" s="432"/>
      <c r="CB447" s="415"/>
      <c r="CC447" s="445"/>
      <c r="CD447" s="449"/>
    </row>
    <row r="448" spans="2:82">
      <c r="B448" s="416"/>
      <c r="Z448" s="29"/>
      <c r="AA448" s="29"/>
      <c r="AB448" s="29"/>
      <c r="AC448" s="29"/>
      <c r="AD448" s="29"/>
      <c r="AE448" s="29"/>
      <c r="AF448" s="29"/>
      <c r="AG448" s="29"/>
      <c r="AH448" s="29"/>
      <c r="AI448" s="29"/>
      <c r="AJ448" s="29"/>
      <c r="AK448" s="29"/>
      <c r="AL448" s="29"/>
      <c r="AM448" s="29"/>
      <c r="AN448" s="29"/>
      <c r="AO448" s="29"/>
      <c r="AP448" s="29"/>
      <c r="AQ448" s="29"/>
      <c r="BQ448" s="325"/>
      <c r="BR448" s="415"/>
      <c r="BS448" s="415"/>
      <c r="BT448" s="415"/>
      <c r="BU448" s="416"/>
      <c r="BV448" s="416"/>
      <c r="BW448" s="416"/>
      <c r="BY448" s="416"/>
      <c r="CA448" s="432"/>
      <c r="CB448" s="415"/>
      <c r="CC448" s="445"/>
      <c r="CD448" s="449"/>
    </row>
    <row r="449" spans="2:82">
      <c r="B449" s="416"/>
      <c r="Z449" s="29"/>
      <c r="AA449" s="29"/>
      <c r="AB449" s="29"/>
      <c r="AC449" s="29"/>
      <c r="AD449" s="29"/>
      <c r="AE449" s="29"/>
      <c r="AF449" s="29"/>
      <c r="AG449" s="29"/>
      <c r="AH449" s="29"/>
      <c r="AI449" s="29"/>
      <c r="AJ449" s="29"/>
      <c r="AK449" s="29"/>
      <c r="AL449" s="29"/>
      <c r="AM449" s="29"/>
      <c r="AN449" s="29"/>
      <c r="AO449" s="29"/>
      <c r="AP449" s="29"/>
      <c r="AQ449" s="29"/>
      <c r="BQ449" s="325"/>
      <c r="BR449" s="415"/>
      <c r="BS449" s="415"/>
      <c r="BT449" s="415"/>
      <c r="BU449" s="416"/>
      <c r="BV449" s="416"/>
      <c r="BW449" s="416"/>
      <c r="BY449" s="416"/>
      <c r="CA449" s="432"/>
      <c r="CB449" s="415"/>
      <c r="CC449" s="445"/>
      <c r="CD449" s="449"/>
    </row>
    <row r="450" spans="2:82">
      <c r="B450" s="416"/>
      <c r="Z450" s="29"/>
      <c r="AA450" s="29"/>
      <c r="AB450" s="29"/>
      <c r="AC450" s="29"/>
      <c r="AD450" s="29"/>
      <c r="AE450" s="29"/>
      <c r="AF450" s="29"/>
      <c r="AG450" s="29"/>
      <c r="AH450" s="29"/>
      <c r="AI450" s="29"/>
      <c r="AJ450" s="29"/>
      <c r="AK450" s="29"/>
      <c r="AL450" s="29"/>
      <c r="AM450" s="29"/>
      <c r="AN450" s="29"/>
      <c r="AO450" s="29"/>
      <c r="AP450" s="29"/>
      <c r="AQ450" s="29"/>
      <c r="BQ450" s="325"/>
      <c r="BR450" s="415"/>
      <c r="BS450" s="415"/>
      <c r="BT450" s="415"/>
      <c r="BU450" s="416"/>
      <c r="BV450" s="416"/>
      <c r="BW450" s="416"/>
      <c r="BY450" s="416"/>
      <c r="CA450" s="432"/>
      <c r="CB450" s="415"/>
      <c r="CC450" s="445"/>
      <c r="CD450" s="449"/>
    </row>
    <row r="451" spans="2:82">
      <c r="B451" s="416"/>
      <c r="Z451" s="29"/>
      <c r="AA451" s="29"/>
      <c r="AB451" s="29"/>
      <c r="AC451" s="29"/>
      <c r="AD451" s="29"/>
      <c r="AE451" s="29"/>
      <c r="AF451" s="29"/>
      <c r="AG451" s="29"/>
      <c r="AH451" s="29"/>
      <c r="AI451" s="29"/>
      <c r="AJ451" s="29"/>
      <c r="AK451" s="29"/>
      <c r="AL451" s="29"/>
      <c r="AM451" s="29"/>
      <c r="AN451" s="29"/>
      <c r="AO451" s="29"/>
      <c r="AP451" s="29"/>
      <c r="AQ451" s="29"/>
      <c r="BQ451" s="325"/>
      <c r="BR451" s="415"/>
      <c r="BS451" s="415"/>
      <c r="BT451" s="415"/>
      <c r="BU451" s="416"/>
      <c r="BV451" s="416"/>
      <c r="BW451" s="416"/>
      <c r="BY451" s="416"/>
      <c r="CA451" s="432"/>
      <c r="CB451" s="415"/>
      <c r="CC451" s="445"/>
      <c r="CD451" s="449"/>
    </row>
    <row r="452" spans="2:82">
      <c r="B452" s="416"/>
      <c r="Z452" s="29"/>
      <c r="AA452" s="29"/>
      <c r="AB452" s="29"/>
      <c r="AC452" s="29"/>
      <c r="AD452" s="29"/>
      <c r="AE452" s="29"/>
      <c r="AF452" s="29"/>
      <c r="AG452" s="29"/>
      <c r="AH452" s="29"/>
      <c r="AI452" s="29"/>
      <c r="AJ452" s="29"/>
      <c r="AK452" s="29"/>
      <c r="AL452" s="29"/>
      <c r="AM452" s="29"/>
      <c r="AN452" s="29"/>
      <c r="AO452" s="29"/>
      <c r="AP452" s="29"/>
      <c r="AQ452" s="29"/>
      <c r="BQ452" s="325"/>
      <c r="BR452" s="415"/>
      <c r="BS452" s="415"/>
      <c r="BT452" s="415"/>
      <c r="BU452" s="416"/>
      <c r="BV452" s="416"/>
      <c r="BW452" s="416"/>
      <c r="BY452" s="416"/>
      <c r="CA452" s="432"/>
      <c r="CB452" s="415"/>
      <c r="CC452" s="445"/>
      <c r="CD452" s="449"/>
    </row>
    <row r="453" spans="2:82">
      <c r="B453" s="416"/>
      <c r="Z453" s="29"/>
      <c r="AA453" s="29"/>
      <c r="AB453" s="29"/>
      <c r="AC453" s="29"/>
      <c r="AD453" s="29"/>
      <c r="AE453" s="29"/>
      <c r="AF453" s="29"/>
      <c r="AG453" s="29"/>
      <c r="AH453" s="29"/>
      <c r="AI453" s="29"/>
      <c r="AJ453" s="29"/>
      <c r="AK453" s="29"/>
      <c r="AL453" s="29"/>
      <c r="AM453" s="29"/>
      <c r="AN453" s="29"/>
      <c r="AO453" s="29"/>
      <c r="AP453" s="29"/>
      <c r="AQ453" s="29"/>
      <c r="BQ453" s="325"/>
      <c r="BR453" s="415"/>
      <c r="BS453" s="415"/>
      <c r="BT453" s="415"/>
      <c r="BU453" s="416"/>
      <c r="BV453" s="416"/>
      <c r="BW453" s="416"/>
      <c r="BY453" s="416"/>
      <c r="CA453" s="432"/>
      <c r="CB453" s="415"/>
      <c r="CC453" s="445"/>
      <c r="CD453" s="449"/>
    </row>
    <row r="454" spans="2:82">
      <c r="B454" s="416"/>
      <c r="Z454" s="29"/>
      <c r="AA454" s="29"/>
      <c r="AB454" s="29"/>
      <c r="AC454" s="29"/>
      <c r="AD454" s="29"/>
      <c r="AE454" s="29"/>
      <c r="AF454" s="29"/>
      <c r="AG454" s="29"/>
      <c r="AH454" s="29"/>
      <c r="AI454" s="29"/>
      <c r="AJ454" s="29"/>
      <c r="AK454" s="29"/>
      <c r="AL454" s="29"/>
      <c r="AM454" s="29"/>
      <c r="AN454" s="29"/>
      <c r="AO454" s="29"/>
      <c r="AP454" s="29"/>
      <c r="AQ454" s="29"/>
      <c r="BQ454" s="325"/>
      <c r="BR454" s="415"/>
      <c r="BS454" s="415"/>
      <c r="BT454" s="415"/>
      <c r="BU454" s="416"/>
      <c r="BV454" s="416"/>
      <c r="BW454" s="416"/>
      <c r="BY454" s="416"/>
      <c r="CA454" s="432"/>
      <c r="CB454" s="415"/>
      <c r="CC454" s="445"/>
      <c r="CD454" s="449"/>
    </row>
    <row r="455" spans="2:82">
      <c r="B455" s="416"/>
      <c r="Z455" s="29"/>
      <c r="AA455" s="29"/>
      <c r="AB455" s="29"/>
      <c r="AC455" s="29"/>
      <c r="AD455" s="29"/>
      <c r="AE455" s="29"/>
      <c r="AF455" s="29"/>
      <c r="AG455" s="29"/>
      <c r="AH455" s="29"/>
      <c r="AI455" s="29"/>
      <c r="AJ455" s="29"/>
      <c r="AK455" s="29"/>
      <c r="AL455" s="29"/>
      <c r="AM455" s="29"/>
      <c r="AN455" s="29"/>
      <c r="AO455" s="29"/>
      <c r="AP455" s="29"/>
      <c r="AQ455" s="29"/>
      <c r="BQ455" s="325"/>
      <c r="BR455" s="415"/>
      <c r="BS455" s="415"/>
      <c r="BT455" s="415"/>
      <c r="BU455" s="416"/>
      <c r="BV455" s="416"/>
      <c r="BW455" s="416"/>
      <c r="BY455" s="416"/>
      <c r="CA455" s="432"/>
      <c r="CB455" s="415"/>
      <c r="CC455" s="445"/>
      <c r="CD455" s="449"/>
    </row>
    <row r="456" spans="2:82">
      <c r="B456" s="416"/>
      <c r="Z456" s="29"/>
      <c r="AA456" s="29"/>
      <c r="AB456" s="29"/>
      <c r="AC456" s="29"/>
      <c r="AD456" s="29"/>
      <c r="AE456" s="29"/>
      <c r="AF456" s="29"/>
      <c r="AG456" s="29"/>
      <c r="AH456" s="29"/>
      <c r="AI456" s="29"/>
      <c r="AJ456" s="29"/>
      <c r="AK456" s="29"/>
      <c r="AL456" s="29"/>
      <c r="AM456" s="29"/>
      <c r="AN456" s="29"/>
      <c r="AO456" s="29"/>
      <c r="AP456" s="29"/>
      <c r="AQ456" s="29"/>
      <c r="BQ456" s="325"/>
      <c r="BR456" s="415"/>
      <c r="BS456" s="415"/>
      <c r="BT456" s="415"/>
      <c r="BU456" s="416"/>
      <c r="BV456" s="416"/>
      <c r="BW456" s="416"/>
      <c r="BY456" s="416"/>
      <c r="CA456" s="432"/>
      <c r="CB456" s="415"/>
      <c r="CC456" s="445"/>
      <c r="CD456" s="449"/>
    </row>
    <row r="457" spans="2:82">
      <c r="B457" s="416"/>
      <c r="Z457" s="29"/>
      <c r="AA457" s="29"/>
      <c r="AB457" s="29"/>
      <c r="AC457" s="29"/>
      <c r="AD457" s="29"/>
      <c r="AE457" s="29"/>
      <c r="AF457" s="29"/>
      <c r="AG457" s="29"/>
      <c r="AH457" s="29"/>
      <c r="AI457" s="29"/>
      <c r="AJ457" s="29"/>
      <c r="AK457" s="29"/>
      <c r="AL457" s="29"/>
      <c r="AM457" s="29"/>
      <c r="AN457" s="29"/>
      <c r="AO457" s="29"/>
      <c r="AP457" s="29"/>
      <c r="AQ457" s="29"/>
      <c r="BQ457" s="325"/>
      <c r="BR457" s="415"/>
      <c r="BS457" s="415"/>
      <c r="BT457" s="415"/>
      <c r="BU457" s="416"/>
      <c r="BV457" s="416"/>
      <c r="BW457" s="416"/>
      <c r="BY457" s="416"/>
      <c r="CA457" s="432"/>
      <c r="CB457" s="415"/>
      <c r="CC457" s="445"/>
      <c r="CD457" s="449"/>
    </row>
    <row r="458" spans="2:82">
      <c r="B458" s="416"/>
      <c r="Z458" s="29"/>
      <c r="AA458" s="29"/>
      <c r="AB458" s="29"/>
      <c r="AC458" s="29"/>
      <c r="AD458" s="29"/>
      <c r="AE458" s="29"/>
      <c r="AF458" s="29"/>
      <c r="AG458" s="29"/>
      <c r="AH458" s="29"/>
      <c r="AI458" s="29"/>
      <c r="AJ458" s="29"/>
      <c r="AK458" s="29"/>
      <c r="AL458" s="29"/>
      <c r="AM458" s="29"/>
      <c r="AN458" s="29"/>
      <c r="AO458" s="29"/>
      <c r="AP458" s="29"/>
      <c r="AQ458" s="29"/>
      <c r="BQ458" s="325"/>
      <c r="BR458" s="415"/>
      <c r="BS458" s="415"/>
      <c r="BT458" s="415"/>
      <c r="BU458" s="416"/>
      <c r="BV458" s="416"/>
      <c r="BW458" s="416"/>
      <c r="BY458" s="416"/>
      <c r="CA458" s="432"/>
      <c r="CB458" s="415"/>
      <c r="CC458" s="445"/>
      <c r="CD458" s="449"/>
    </row>
    <row r="459" spans="2:82">
      <c r="B459" s="416"/>
      <c r="Z459" s="29"/>
      <c r="AA459" s="29"/>
      <c r="AB459" s="29"/>
      <c r="AC459" s="29"/>
      <c r="AD459" s="29"/>
      <c r="AE459" s="29"/>
      <c r="AF459" s="29"/>
      <c r="AG459" s="29"/>
      <c r="AH459" s="29"/>
      <c r="AI459" s="29"/>
      <c r="AJ459" s="29"/>
      <c r="AK459" s="29"/>
      <c r="AL459" s="29"/>
      <c r="AM459" s="29"/>
      <c r="AN459" s="29"/>
      <c r="AO459" s="29"/>
      <c r="AP459" s="29"/>
      <c r="AQ459" s="29"/>
      <c r="BQ459" s="325"/>
      <c r="BR459" s="415"/>
      <c r="BS459" s="415"/>
      <c r="BT459" s="415"/>
      <c r="BU459" s="416"/>
      <c r="BV459" s="416"/>
      <c r="BW459" s="416"/>
      <c r="BY459" s="416"/>
      <c r="CA459" s="432"/>
      <c r="CB459" s="415"/>
      <c r="CC459" s="445"/>
      <c r="CD459" s="449"/>
    </row>
    <row r="460" spans="2:82">
      <c r="B460" s="416"/>
      <c r="Z460" s="29"/>
      <c r="AA460" s="29"/>
      <c r="AB460" s="29"/>
      <c r="AC460" s="29"/>
      <c r="AD460" s="29"/>
      <c r="AE460" s="29"/>
      <c r="AF460" s="29"/>
      <c r="AG460" s="29"/>
      <c r="AH460" s="29"/>
      <c r="AI460" s="29"/>
      <c r="AJ460" s="29"/>
      <c r="AK460" s="29"/>
      <c r="AL460" s="29"/>
      <c r="AM460" s="29"/>
      <c r="AN460" s="29"/>
      <c r="AO460" s="29"/>
      <c r="AP460" s="29"/>
      <c r="AQ460" s="29"/>
      <c r="BQ460" s="325"/>
      <c r="BR460" s="415"/>
      <c r="BS460" s="415"/>
      <c r="BT460" s="415"/>
      <c r="BU460" s="416"/>
      <c r="BV460" s="416"/>
      <c r="BW460" s="416"/>
      <c r="BY460" s="416"/>
      <c r="CA460" s="432"/>
      <c r="CB460" s="415"/>
      <c r="CC460" s="445"/>
      <c r="CD460" s="449"/>
    </row>
    <row r="461" spans="2:82">
      <c r="B461" s="416"/>
      <c r="Z461" s="29"/>
      <c r="AA461" s="29"/>
      <c r="AB461" s="29"/>
      <c r="AC461" s="29"/>
      <c r="AD461" s="29"/>
      <c r="AE461" s="29"/>
      <c r="AF461" s="29"/>
      <c r="AG461" s="29"/>
      <c r="AH461" s="29"/>
      <c r="AI461" s="29"/>
      <c r="AJ461" s="29"/>
      <c r="AK461" s="29"/>
      <c r="AL461" s="29"/>
      <c r="AM461" s="29"/>
      <c r="AN461" s="29"/>
      <c r="AO461" s="29"/>
      <c r="AP461" s="29"/>
      <c r="AQ461" s="29"/>
      <c r="BQ461" s="325"/>
      <c r="BR461" s="415"/>
      <c r="BS461" s="415"/>
      <c r="BT461" s="415"/>
      <c r="BU461" s="416"/>
      <c r="BV461" s="416"/>
      <c r="BW461" s="416"/>
      <c r="BY461" s="416"/>
      <c r="CA461" s="432"/>
      <c r="CB461" s="415"/>
      <c r="CC461" s="445"/>
      <c r="CD461" s="449"/>
    </row>
    <row r="462" spans="2:82">
      <c r="B462" s="416"/>
      <c r="Z462" s="29"/>
      <c r="AA462" s="29"/>
      <c r="AB462" s="29"/>
      <c r="AC462" s="29"/>
      <c r="AD462" s="29"/>
      <c r="AE462" s="29"/>
      <c r="AF462" s="29"/>
      <c r="AG462" s="29"/>
      <c r="AH462" s="29"/>
      <c r="AI462" s="29"/>
      <c r="AJ462" s="29"/>
      <c r="AK462" s="29"/>
      <c r="AL462" s="29"/>
      <c r="AM462" s="29"/>
      <c r="AN462" s="29"/>
      <c r="AO462" s="29"/>
      <c r="AP462" s="29"/>
      <c r="AQ462" s="29"/>
      <c r="BQ462" s="325"/>
      <c r="BR462" s="415"/>
      <c r="BS462" s="415"/>
      <c r="BT462" s="415"/>
      <c r="BU462" s="416"/>
      <c r="BV462" s="416"/>
      <c r="BW462" s="416"/>
      <c r="BY462" s="416"/>
      <c r="CA462" s="432"/>
      <c r="CB462" s="415"/>
      <c r="CC462" s="445"/>
      <c r="CD462" s="449"/>
    </row>
    <row r="463" spans="2:82">
      <c r="B463" s="416"/>
      <c r="Z463" s="29"/>
      <c r="AA463" s="29"/>
      <c r="AB463" s="29"/>
      <c r="AC463" s="29"/>
      <c r="AD463" s="29"/>
      <c r="AE463" s="29"/>
      <c r="AF463" s="29"/>
      <c r="AG463" s="29"/>
      <c r="AH463" s="29"/>
      <c r="AI463" s="29"/>
      <c r="AJ463" s="29"/>
      <c r="AK463" s="29"/>
      <c r="AL463" s="29"/>
      <c r="AM463" s="29"/>
      <c r="AN463" s="29"/>
      <c r="AO463" s="29"/>
      <c r="AP463" s="29"/>
      <c r="AQ463" s="29"/>
      <c r="BQ463" s="325"/>
      <c r="BR463" s="415"/>
      <c r="BS463" s="415"/>
      <c r="BT463" s="415"/>
      <c r="BU463" s="416"/>
      <c r="BV463" s="416"/>
      <c r="BW463" s="416"/>
      <c r="BY463" s="416"/>
      <c r="CA463" s="432"/>
      <c r="CB463" s="415"/>
      <c r="CC463" s="445"/>
      <c r="CD463" s="449"/>
    </row>
    <row r="464" spans="2:82">
      <c r="B464" s="416"/>
      <c r="Z464" s="29"/>
      <c r="AA464" s="29"/>
      <c r="AB464" s="29"/>
      <c r="AC464" s="29"/>
      <c r="AD464" s="29"/>
      <c r="AE464" s="29"/>
      <c r="AF464" s="29"/>
      <c r="AG464" s="29"/>
      <c r="AH464" s="29"/>
      <c r="AI464" s="29"/>
      <c r="AJ464" s="29"/>
      <c r="AK464" s="29"/>
      <c r="AL464" s="29"/>
      <c r="AM464" s="29"/>
      <c r="AN464" s="29"/>
      <c r="AO464" s="29"/>
      <c r="AP464" s="29"/>
      <c r="AQ464" s="29"/>
      <c r="BQ464" s="325"/>
      <c r="BR464" s="415"/>
      <c r="BS464" s="415"/>
      <c r="BT464" s="415"/>
      <c r="BU464" s="416"/>
      <c r="BV464" s="416"/>
      <c r="BW464" s="416"/>
      <c r="BY464" s="416"/>
      <c r="CA464" s="432"/>
      <c r="CB464" s="415"/>
      <c r="CC464" s="445"/>
      <c r="CD464" s="449"/>
    </row>
    <row r="465" spans="2:82">
      <c r="B465" s="416"/>
      <c r="Z465" s="29"/>
      <c r="AA465" s="29"/>
      <c r="AB465" s="29"/>
      <c r="AC465" s="29"/>
      <c r="AD465" s="29"/>
      <c r="AE465" s="29"/>
      <c r="AF465" s="29"/>
      <c r="AG465" s="29"/>
      <c r="AH465" s="29"/>
      <c r="AI465" s="29"/>
      <c r="AJ465" s="29"/>
      <c r="AK465" s="29"/>
      <c r="AL465" s="29"/>
      <c r="AM465" s="29"/>
      <c r="AN465" s="29"/>
      <c r="AO465" s="29"/>
      <c r="AP465" s="29"/>
      <c r="AQ465" s="29"/>
      <c r="BQ465" s="325"/>
      <c r="BR465" s="415"/>
      <c r="BS465" s="415"/>
      <c r="BT465" s="415"/>
      <c r="BU465" s="416"/>
      <c r="BV465" s="416"/>
      <c r="BW465" s="416"/>
      <c r="BY465" s="416"/>
      <c r="CA465" s="432"/>
      <c r="CB465" s="415"/>
      <c r="CC465" s="445"/>
      <c r="CD465" s="449"/>
    </row>
    <row r="466" spans="2:82">
      <c r="B466" s="416"/>
      <c r="Z466" s="29"/>
      <c r="AA466" s="29"/>
      <c r="AB466" s="29"/>
      <c r="AC466" s="29"/>
      <c r="AD466" s="29"/>
      <c r="AE466" s="29"/>
      <c r="AF466" s="29"/>
      <c r="AG466" s="29"/>
      <c r="AH466" s="29"/>
      <c r="AI466" s="29"/>
      <c r="AJ466" s="29"/>
      <c r="AK466" s="29"/>
      <c r="AL466" s="29"/>
      <c r="AM466" s="29"/>
      <c r="AN466" s="29"/>
      <c r="AO466" s="29"/>
      <c r="AP466" s="29"/>
      <c r="AQ466" s="29"/>
      <c r="BQ466" s="325"/>
      <c r="BR466" s="415"/>
      <c r="BS466" s="415"/>
      <c r="BT466" s="415"/>
      <c r="BU466" s="416"/>
      <c r="BV466" s="416"/>
      <c r="BW466" s="416"/>
      <c r="BY466" s="416"/>
      <c r="CA466" s="432"/>
      <c r="CB466" s="415"/>
      <c r="CC466" s="445"/>
      <c r="CD466" s="449"/>
    </row>
    <row r="467" spans="2:82">
      <c r="B467" s="416"/>
      <c r="Z467" s="29"/>
      <c r="AA467" s="29"/>
      <c r="AB467" s="29"/>
      <c r="AC467" s="29"/>
      <c r="AD467" s="29"/>
      <c r="AE467" s="29"/>
      <c r="AF467" s="29"/>
      <c r="AG467" s="29"/>
      <c r="AH467" s="29"/>
      <c r="AI467" s="29"/>
      <c r="AJ467" s="29"/>
      <c r="AK467" s="29"/>
      <c r="AL467" s="29"/>
      <c r="AM467" s="29"/>
      <c r="AN467" s="29"/>
      <c r="AO467" s="29"/>
      <c r="AP467" s="29"/>
      <c r="AQ467" s="29"/>
      <c r="BQ467" s="325"/>
      <c r="BR467" s="415"/>
      <c r="BS467" s="415"/>
      <c r="BT467" s="415"/>
      <c r="BU467" s="416"/>
      <c r="BV467" s="416"/>
      <c r="BW467" s="416"/>
      <c r="BY467" s="416"/>
      <c r="CA467" s="432"/>
      <c r="CB467" s="415"/>
      <c r="CC467" s="445"/>
      <c r="CD467" s="449"/>
    </row>
    <row r="468" spans="2:82">
      <c r="B468" s="416"/>
      <c r="Z468" s="29"/>
      <c r="AA468" s="29"/>
      <c r="AB468" s="29"/>
      <c r="AC468" s="29"/>
      <c r="AD468" s="29"/>
      <c r="AE468" s="29"/>
      <c r="AF468" s="29"/>
      <c r="AG468" s="29"/>
      <c r="AH468" s="29"/>
      <c r="AI468" s="29"/>
      <c r="AJ468" s="29"/>
      <c r="AK468" s="29"/>
      <c r="AL468" s="29"/>
      <c r="AM468" s="29"/>
      <c r="AN468" s="29"/>
      <c r="AO468" s="29"/>
      <c r="AP468" s="29"/>
      <c r="AQ468" s="29"/>
      <c r="BQ468" s="325"/>
      <c r="BR468" s="415"/>
      <c r="BS468" s="415"/>
      <c r="BT468" s="415"/>
      <c r="BU468" s="416"/>
      <c r="BV468" s="416"/>
      <c r="BW468" s="416"/>
      <c r="BY468" s="416"/>
      <c r="CA468" s="432"/>
      <c r="CB468" s="415"/>
      <c r="CC468" s="445"/>
      <c r="CD468" s="449"/>
    </row>
    <row r="469" spans="2:82">
      <c r="B469" s="416"/>
      <c r="Z469" s="29"/>
      <c r="AA469" s="29"/>
      <c r="AB469" s="29"/>
      <c r="AC469" s="29"/>
      <c r="AD469" s="29"/>
      <c r="AE469" s="29"/>
      <c r="AF469" s="29"/>
      <c r="AG469" s="29"/>
      <c r="AH469" s="29"/>
      <c r="AI469" s="29"/>
      <c r="AJ469" s="29"/>
      <c r="AK469" s="29"/>
      <c r="AL469" s="29"/>
      <c r="AM469" s="29"/>
      <c r="AN469" s="29"/>
      <c r="AO469" s="29"/>
      <c r="AP469" s="29"/>
      <c r="AQ469" s="29"/>
      <c r="BQ469" s="325"/>
      <c r="BR469" s="415"/>
      <c r="BS469" s="415"/>
      <c r="BT469" s="415"/>
      <c r="BU469" s="416"/>
      <c r="BV469" s="416"/>
      <c r="BW469" s="416"/>
      <c r="BY469" s="416"/>
      <c r="CA469" s="432"/>
      <c r="CB469" s="415"/>
      <c r="CC469" s="445"/>
      <c r="CD469" s="449"/>
    </row>
    <row r="470" spans="2:82">
      <c r="B470" s="416"/>
      <c r="Z470" s="29"/>
      <c r="AA470" s="29"/>
      <c r="AB470" s="29"/>
      <c r="AC470" s="29"/>
      <c r="AD470" s="29"/>
      <c r="AE470" s="29"/>
      <c r="AF470" s="29"/>
      <c r="AG470" s="29"/>
      <c r="AH470" s="29"/>
      <c r="AI470" s="29"/>
      <c r="AJ470" s="29"/>
      <c r="AK470" s="29"/>
      <c r="AL470" s="29"/>
      <c r="AM470" s="29"/>
      <c r="AN470" s="29"/>
      <c r="AO470" s="29"/>
      <c r="AP470" s="29"/>
      <c r="AQ470" s="29"/>
      <c r="BQ470" s="325"/>
      <c r="BR470" s="415"/>
      <c r="BS470" s="415"/>
      <c r="BT470" s="415"/>
      <c r="BU470" s="416"/>
      <c r="BV470" s="416"/>
      <c r="BW470" s="416"/>
      <c r="BY470" s="416"/>
      <c r="CA470" s="432"/>
      <c r="CB470" s="415"/>
      <c r="CC470" s="445"/>
      <c r="CD470" s="449"/>
    </row>
    <row r="471" spans="2:82">
      <c r="B471" s="416"/>
      <c r="Z471" s="29"/>
      <c r="AA471" s="29"/>
      <c r="AB471" s="29"/>
      <c r="AC471" s="29"/>
      <c r="AD471" s="29"/>
      <c r="AE471" s="29"/>
      <c r="AF471" s="29"/>
      <c r="AG471" s="29"/>
      <c r="AH471" s="29"/>
      <c r="AI471" s="29"/>
      <c r="AJ471" s="29"/>
      <c r="AK471" s="29"/>
      <c r="AL471" s="29"/>
      <c r="AM471" s="29"/>
      <c r="AN471" s="29"/>
      <c r="AO471" s="29"/>
      <c r="AP471" s="29"/>
      <c r="AQ471" s="29"/>
      <c r="BQ471" s="325"/>
      <c r="BR471" s="415"/>
      <c r="BS471" s="415"/>
      <c r="BT471" s="415"/>
      <c r="BU471" s="416"/>
      <c r="BV471" s="416"/>
      <c r="BW471" s="416"/>
      <c r="BY471" s="416"/>
      <c r="CA471" s="432"/>
      <c r="CB471" s="415"/>
      <c r="CC471" s="445"/>
      <c r="CD471" s="449"/>
    </row>
    <row r="472" spans="2:82">
      <c r="B472" s="416"/>
      <c r="Z472" s="29"/>
      <c r="AA472" s="29"/>
      <c r="AB472" s="29"/>
      <c r="AC472" s="29"/>
      <c r="AD472" s="29"/>
      <c r="AE472" s="29"/>
      <c r="AF472" s="29"/>
      <c r="AG472" s="29"/>
      <c r="AH472" s="29"/>
      <c r="AI472" s="29"/>
      <c r="AJ472" s="29"/>
      <c r="AK472" s="29"/>
      <c r="AL472" s="29"/>
      <c r="AM472" s="29"/>
      <c r="AN472" s="29"/>
      <c r="AO472" s="29"/>
      <c r="AP472" s="29"/>
      <c r="AQ472" s="29"/>
      <c r="BQ472" s="325"/>
      <c r="BR472" s="415"/>
      <c r="BS472" s="415"/>
      <c r="BT472" s="415"/>
      <c r="BU472" s="416"/>
      <c r="BV472" s="416"/>
      <c r="BW472" s="416"/>
      <c r="BY472" s="416"/>
      <c r="CA472" s="432"/>
      <c r="CB472" s="415"/>
      <c r="CC472" s="445"/>
      <c r="CD472" s="449"/>
    </row>
    <row r="473" spans="2:82">
      <c r="B473" s="416"/>
      <c r="Z473" s="29"/>
      <c r="AA473" s="29"/>
      <c r="AB473" s="29"/>
      <c r="AC473" s="29"/>
      <c r="AD473" s="29"/>
      <c r="AE473" s="29"/>
      <c r="AF473" s="29"/>
      <c r="AG473" s="29"/>
      <c r="AH473" s="29"/>
      <c r="AI473" s="29"/>
      <c r="AJ473" s="29"/>
      <c r="AK473" s="29"/>
      <c r="AL473" s="29"/>
      <c r="AM473" s="29"/>
      <c r="AN473" s="29"/>
      <c r="AO473" s="29"/>
      <c r="AP473" s="29"/>
      <c r="AQ473" s="29"/>
      <c r="BQ473" s="325"/>
      <c r="BR473" s="415"/>
      <c r="BS473" s="415"/>
      <c r="BT473" s="415"/>
      <c r="BU473" s="416"/>
      <c r="BV473" s="416"/>
      <c r="BW473" s="416"/>
      <c r="BY473" s="416"/>
      <c r="CA473" s="432"/>
      <c r="CB473" s="415"/>
      <c r="CC473" s="445"/>
      <c r="CD473" s="449"/>
    </row>
    <row r="474" spans="2:82">
      <c r="B474" s="416"/>
      <c r="Z474" s="29"/>
      <c r="AA474" s="29"/>
      <c r="AB474" s="29"/>
      <c r="AC474" s="29"/>
      <c r="AD474" s="29"/>
      <c r="AE474" s="29"/>
      <c r="AF474" s="29"/>
      <c r="AG474" s="29"/>
      <c r="AH474" s="29"/>
      <c r="AI474" s="29"/>
      <c r="AJ474" s="29"/>
      <c r="AK474" s="29"/>
      <c r="AL474" s="29"/>
      <c r="AM474" s="29"/>
      <c r="AN474" s="29"/>
      <c r="AO474" s="29"/>
      <c r="AP474" s="29"/>
      <c r="AQ474" s="29"/>
      <c r="BQ474" s="325"/>
      <c r="BR474" s="415"/>
      <c r="BS474" s="415"/>
      <c r="BT474" s="415"/>
      <c r="BU474" s="416"/>
      <c r="BV474" s="416"/>
      <c r="BW474" s="416"/>
      <c r="BY474" s="416"/>
      <c r="CA474" s="432"/>
      <c r="CB474" s="415"/>
      <c r="CC474" s="445"/>
      <c r="CD474" s="449"/>
    </row>
    <row r="475" spans="2:82">
      <c r="B475" s="416"/>
      <c r="Z475" s="29"/>
      <c r="AA475" s="29"/>
      <c r="AB475" s="29"/>
      <c r="AC475" s="29"/>
      <c r="AD475" s="29"/>
      <c r="AE475" s="29"/>
      <c r="AF475" s="29"/>
      <c r="AG475" s="29"/>
      <c r="AH475" s="29"/>
      <c r="AI475" s="29"/>
      <c r="AJ475" s="29"/>
      <c r="AK475" s="29"/>
      <c r="AL475" s="29"/>
      <c r="AM475" s="29"/>
      <c r="AN475" s="29"/>
      <c r="AO475" s="29"/>
      <c r="AP475" s="29"/>
      <c r="AQ475" s="29"/>
      <c r="BQ475" s="325"/>
      <c r="BR475" s="415"/>
      <c r="BS475" s="415"/>
      <c r="BT475" s="415"/>
      <c r="BU475" s="416"/>
      <c r="BV475" s="416"/>
      <c r="BW475" s="416"/>
      <c r="BY475" s="416"/>
      <c r="CA475" s="432"/>
      <c r="CB475" s="415"/>
      <c r="CC475" s="445"/>
      <c r="CD475" s="449"/>
    </row>
    <row r="476" spans="2:82">
      <c r="B476" s="416"/>
      <c r="Z476" s="29"/>
      <c r="AA476" s="29"/>
      <c r="AB476" s="29"/>
      <c r="AC476" s="29"/>
      <c r="AD476" s="29"/>
      <c r="AE476" s="29"/>
      <c r="AF476" s="29"/>
      <c r="AG476" s="29"/>
      <c r="AH476" s="29"/>
      <c r="AI476" s="29"/>
      <c r="AJ476" s="29"/>
      <c r="AK476" s="29"/>
      <c r="AL476" s="29"/>
      <c r="AM476" s="29"/>
      <c r="AN476" s="29"/>
      <c r="AO476" s="29"/>
      <c r="AP476" s="29"/>
      <c r="AQ476" s="29"/>
      <c r="BQ476" s="325"/>
      <c r="BR476" s="415"/>
      <c r="BS476" s="415"/>
      <c r="BT476" s="415"/>
      <c r="BU476" s="416"/>
      <c r="BV476" s="416"/>
      <c r="BW476" s="416"/>
      <c r="BY476" s="416"/>
      <c r="CA476" s="432"/>
      <c r="CB476" s="415"/>
      <c r="CC476" s="445"/>
      <c r="CD476" s="449"/>
    </row>
    <row r="477" spans="2:82">
      <c r="B477" s="416"/>
      <c r="Z477" s="29"/>
      <c r="AA477" s="29"/>
      <c r="AB477" s="29"/>
      <c r="AC477" s="29"/>
      <c r="AD477" s="29"/>
      <c r="AE477" s="29"/>
      <c r="AF477" s="29"/>
      <c r="AG477" s="29"/>
      <c r="AH477" s="29"/>
      <c r="AI477" s="29"/>
      <c r="AJ477" s="29"/>
      <c r="AK477" s="29"/>
      <c r="AL477" s="29"/>
      <c r="AM477" s="29"/>
      <c r="AN477" s="29"/>
      <c r="AO477" s="29"/>
      <c r="AP477" s="29"/>
      <c r="AQ477" s="29"/>
      <c r="BQ477" s="325"/>
      <c r="BR477" s="415"/>
      <c r="BS477" s="415"/>
      <c r="BT477" s="415"/>
      <c r="BU477" s="416"/>
      <c r="BV477" s="416"/>
      <c r="BW477" s="416"/>
      <c r="BY477" s="416"/>
      <c r="CA477" s="432"/>
      <c r="CB477" s="415"/>
      <c r="CC477" s="445"/>
      <c r="CD477" s="449"/>
    </row>
    <row r="478" spans="2:82">
      <c r="B478" s="416"/>
      <c r="Z478" s="29"/>
      <c r="AA478" s="29"/>
      <c r="AB478" s="29"/>
      <c r="AC478" s="29"/>
      <c r="AD478" s="29"/>
      <c r="AE478" s="29"/>
      <c r="AF478" s="29"/>
      <c r="AG478" s="29"/>
      <c r="AH478" s="29"/>
      <c r="AI478" s="29"/>
      <c r="AJ478" s="29"/>
      <c r="AK478" s="29"/>
      <c r="AL478" s="29"/>
      <c r="AM478" s="29"/>
      <c r="AN478" s="29"/>
      <c r="AO478" s="29"/>
      <c r="AP478" s="29"/>
      <c r="AQ478" s="29"/>
      <c r="BQ478" s="325"/>
      <c r="BR478" s="415"/>
      <c r="BS478" s="415"/>
      <c r="BT478" s="415"/>
      <c r="BU478" s="416"/>
      <c r="BV478" s="416"/>
      <c r="BW478" s="416"/>
      <c r="BY478" s="416"/>
      <c r="CA478" s="432"/>
      <c r="CB478" s="415"/>
      <c r="CC478" s="445"/>
      <c r="CD478" s="449"/>
    </row>
    <row r="479" spans="2:82">
      <c r="B479" s="416"/>
      <c r="Z479" s="29"/>
      <c r="AA479" s="29"/>
      <c r="AB479" s="29"/>
      <c r="AC479" s="29"/>
      <c r="AD479" s="29"/>
      <c r="AE479" s="29"/>
      <c r="AF479" s="29"/>
      <c r="AG479" s="29"/>
      <c r="AH479" s="29"/>
      <c r="AI479" s="29"/>
      <c r="AJ479" s="29"/>
      <c r="AK479" s="29"/>
      <c r="AL479" s="29"/>
      <c r="AM479" s="29"/>
      <c r="AN479" s="29"/>
      <c r="AO479" s="29"/>
      <c r="AP479" s="29"/>
      <c r="AQ479" s="29"/>
      <c r="BQ479" s="325"/>
      <c r="BR479" s="415"/>
      <c r="BS479" s="415"/>
      <c r="BT479" s="415"/>
      <c r="BU479" s="416"/>
      <c r="BV479" s="416"/>
      <c r="BW479" s="416"/>
      <c r="BY479" s="416"/>
      <c r="CA479" s="432"/>
      <c r="CB479" s="415"/>
      <c r="CC479" s="445"/>
      <c r="CD479" s="449"/>
    </row>
    <row r="480" spans="2:82">
      <c r="B480" s="416"/>
      <c r="Z480" s="29"/>
      <c r="AA480" s="29"/>
      <c r="AB480" s="29"/>
      <c r="AC480" s="29"/>
      <c r="AD480" s="29"/>
      <c r="AE480" s="29"/>
      <c r="AF480" s="29"/>
      <c r="AG480" s="29"/>
      <c r="AH480" s="29"/>
      <c r="AI480" s="29"/>
      <c r="AJ480" s="29"/>
      <c r="AK480" s="29"/>
      <c r="AL480" s="29"/>
      <c r="AM480" s="29"/>
      <c r="AN480" s="29"/>
      <c r="AO480" s="29"/>
      <c r="AP480" s="29"/>
      <c r="AQ480" s="29"/>
      <c r="BQ480" s="325"/>
      <c r="BR480" s="415"/>
      <c r="BS480" s="415"/>
      <c r="BT480" s="415"/>
      <c r="BU480" s="416"/>
      <c r="BV480" s="416"/>
      <c r="BW480" s="416"/>
      <c r="BY480" s="416"/>
      <c r="CA480" s="432"/>
      <c r="CB480" s="415"/>
      <c r="CC480" s="445"/>
      <c r="CD480" s="449"/>
    </row>
    <row r="481" spans="2:82">
      <c r="B481" s="416"/>
      <c r="Z481" s="29"/>
      <c r="AA481" s="29"/>
      <c r="AB481" s="29"/>
      <c r="AC481" s="29"/>
      <c r="AD481" s="29"/>
      <c r="AE481" s="29"/>
      <c r="AF481" s="29"/>
      <c r="AG481" s="29"/>
      <c r="AH481" s="29"/>
      <c r="AI481" s="29"/>
      <c r="AJ481" s="29"/>
      <c r="AK481" s="29"/>
      <c r="AL481" s="29"/>
      <c r="AM481" s="29"/>
      <c r="AN481" s="29"/>
      <c r="AO481" s="29"/>
      <c r="AP481" s="29"/>
      <c r="AQ481" s="29"/>
      <c r="BQ481" s="325"/>
      <c r="BR481" s="415"/>
      <c r="BS481" s="415"/>
      <c r="BT481" s="415"/>
      <c r="BU481" s="416"/>
      <c r="BV481" s="416"/>
      <c r="BW481" s="416"/>
      <c r="BY481" s="416"/>
      <c r="CA481" s="432"/>
      <c r="CB481" s="415"/>
      <c r="CC481" s="445"/>
      <c r="CD481" s="449"/>
    </row>
    <row r="482" spans="2:82">
      <c r="B482" s="416"/>
      <c r="Z482" s="29"/>
      <c r="AA482" s="29"/>
      <c r="AB482" s="29"/>
      <c r="AC482" s="29"/>
      <c r="AD482" s="29"/>
      <c r="AE482" s="29"/>
      <c r="AF482" s="29"/>
      <c r="AG482" s="29"/>
      <c r="AH482" s="29"/>
      <c r="AI482" s="29"/>
      <c r="AJ482" s="29"/>
      <c r="AK482" s="29"/>
      <c r="AL482" s="29"/>
      <c r="AM482" s="29"/>
      <c r="AN482" s="29"/>
      <c r="AO482" s="29"/>
      <c r="AP482" s="29"/>
      <c r="AQ482" s="29"/>
      <c r="BQ482" s="325"/>
      <c r="BR482" s="415"/>
      <c r="BS482" s="415"/>
      <c r="BT482" s="415"/>
      <c r="BU482" s="416"/>
      <c r="BV482" s="416"/>
      <c r="BW482" s="416"/>
      <c r="BY482" s="416"/>
      <c r="CA482" s="432"/>
      <c r="CB482" s="415"/>
      <c r="CC482" s="445"/>
      <c r="CD482" s="449"/>
    </row>
    <row r="483" spans="2:82">
      <c r="B483" s="416"/>
      <c r="Z483" s="29"/>
      <c r="AA483" s="29"/>
      <c r="AB483" s="29"/>
      <c r="AC483" s="29"/>
      <c r="AD483" s="29"/>
      <c r="AE483" s="29"/>
      <c r="AF483" s="29"/>
      <c r="AG483" s="29"/>
      <c r="AH483" s="29"/>
      <c r="AI483" s="29"/>
      <c r="AJ483" s="29"/>
      <c r="AK483" s="29"/>
      <c r="AL483" s="29"/>
      <c r="AM483" s="29"/>
      <c r="AN483" s="29"/>
      <c r="AO483" s="29"/>
      <c r="AP483" s="29"/>
      <c r="AQ483" s="29"/>
      <c r="BQ483" s="325"/>
      <c r="BR483" s="415"/>
      <c r="BS483" s="415"/>
      <c r="BT483" s="415"/>
      <c r="BU483" s="416"/>
      <c r="BV483" s="416"/>
      <c r="BW483" s="416"/>
      <c r="BY483" s="416"/>
      <c r="CA483" s="432"/>
      <c r="CB483" s="415"/>
      <c r="CC483" s="445"/>
      <c r="CD483" s="449"/>
    </row>
    <row r="484" spans="2:82">
      <c r="B484" s="416"/>
      <c r="Z484" s="29"/>
      <c r="AA484" s="29"/>
      <c r="AB484" s="29"/>
      <c r="AC484" s="29"/>
      <c r="AD484" s="29"/>
      <c r="AE484" s="29"/>
      <c r="AF484" s="29"/>
      <c r="AG484" s="29"/>
      <c r="AH484" s="29"/>
      <c r="AI484" s="29"/>
      <c r="AJ484" s="29"/>
      <c r="AK484" s="29"/>
      <c r="AL484" s="29"/>
      <c r="AM484" s="29"/>
      <c r="AN484" s="29"/>
      <c r="AO484" s="29"/>
      <c r="AP484" s="29"/>
      <c r="AQ484" s="29"/>
      <c r="BQ484" s="325"/>
      <c r="BR484" s="415"/>
      <c r="BS484" s="415"/>
      <c r="BT484" s="415"/>
      <c r="BU484" s="416"/>
      <c r="BV484" s="416"/>
      <c r="BW484" s="416"/>
      <c r="BY484" s="416"/>
      <c r="CA484" s="432"/>
      <c r="CB484" s="415"/>
      <c r="CC484" s="445"/>
      <c r="CD484" s="449"/>
    </row>
    <row r="485" spans="2:82">
      <c r="B485" s="416"/>
      <c r="Z485" s="29"/>
      <c r="AA485" s="29"/>
      <c r="AB485" s="29"/>
      <c r="AC485" s="29"/>
      <c r="AD485" s="29"/>
      <c r="AE485" s="29"/>
      <c r="AF485" s="29"/>
      <c r="AG485" s="29"/>
      <c r="AH485" s="29"/>
      <c r="AI485" s="29"/>
      <c r="AJ485" s="29"/>
      <c r="AK485" s="29"/>
      <c r="AL485" s="29"/>
      <c r="AM485" s="29"/>
      <c r="AN485" s="29"/>
      <c r="AO485" s="29"/>
      <c r="AP485" s="29"/>
      <c r="AQ485" s="29"/>
      <c r="BQ485" s="325"/>
      <c r="BR485" s="415"/>
      <c r="BS485" s="415"/>
      <c r="BT485" s="415"/>
      <c r="BU485" s="416"/>
      <c r="BV485" s="416"/>
      <c r="BW485" s="416"/>
      <c r="BY485" s="416"/>
      <c r="CA485" s="432"/>
      <c r="CB485" s="415"/>
      <c r="CC485" s="445"/>
      <c r="CD485" s="449"/>
    </row>
    <row r="486" spans="2:82">
      <c r="B486" s="416"/>
      <c r="Z486" s="29"/>
      <c r="AA486" s="29"/>
      <c r="AB486" s="29"/>
      <c r="AC486" s="29"/>
      <c r="AD486" s="29"/>
      <c r="AE486" s="29"/>
      <c r="AF486" s="29"/>
      <c r="AG486" s="29"/>
      <c r="AH486" s="29"/>
      <c r="AI486" s="29"/>
      <c r="AJ486" s="29"/>
      <c r="AK486" s="29"/>
      <c r="AL486" s="29"/>
      <c r="AM486" s="29"/>
      <c r="AN486" s="29"/>
      <c r="AO486" s="29"/>
      <c r="AP486" s="29"/>
      <c r="AQ486" s="29"/>
      <c r="BQ486" s="325"/>
      <c r="BR486" s="415"/>
      <c r="BS486" s="415"/>
      <c r="BT486" s="415"/>
      <c r="BU486" s="416"/>
      <c r="BV486" s="416"/>
      <c r="BW486" s="416"/>
      <c r="BY486" s="416"/>
      <c r="CA486" s="432"/>
      <c r="CB486" s="415"/>
      <c r="CC486" s="445"/>
      <c r="CD486" s="449"/>
    </row>
    <row r="487" spans="2:82">
      <c r="B487" s="416"/>
      <c r="Z487" s="29"/>
      <c r="AA487" s="29"/>
      <c r="AB487" s="29"/>
      <c r="AC487" s="29"/>
      <c r="AD487" s="29"/>
      <c r="AE487" s="29"/>
      <c r="AF487" s="29"/>
      <c r="AG487" s="29"/>
      <c r="AH487" s="29"/>
      <c r="AI487" s="29"/>
      <c r="AJ487" s="29"/>
      <c r="AK487" s="29"/>
      <c r="AL487" s="29"/>
      <c r="AM487" s="29"/>
      <c r="AN487" s="29"/>
      <c r="AO487" s="29"/>
      <c r="AP487" s="29"/>
      <c r="AQ487" s="29"/>
      <c r="BQ487" s="325"/>
      <c r="BR487" s="415"/>
      <c r="BS487" s="415"/>
      <c r="BT487" s="415"/>
      <c r="BU487" s="416"/>
      <c r="BV487" s="416"/>
      <c r="BW487" s="416"/>
      <c r="BY487" s="416"/>
      <c r="CA487" s="432"/>
      <c r="CB487" s="415"/>
      <c r="CC487" s="445"/>
      <c r="CD487" s="449"/>
    </row>
    <row r="488" spans="2:82">
      <c r="B488" s="416"/>
      <c r="Z488" s="29"/>
      <c r="AA488" s="29"/>
      <c r="AB488" s="29"/>
      <c r="AC488" s="29"/>
      <c r="AD488" s="29"/>
      <c r="AE488" s="29"/>
      <c r="AF488" s="29"/>
      <c r="AG488" s="29"/>
      <c r="AH488" s="29"/>
      <c r="AI488" s="29"/>
      <c r="AJ488" s="29"/>
      <c r="AK488" s="29"/>
      <c r="AL488" s="29"/>
      <c r="AM488" s="29"/>
      <c r="AN488" s="29"/>
      <c r="AO488" s="29"/>
      <c r="AP488" s="29"/>
      <c r="AQ488" s="29"/>
      <c r="BQ488" s="325"/>
      <c r="BR488" s="415"/>
      <c r="BS488" s="415"/>
      <c r="BT488" s="415"/>
      <c r="BU488" s="416"/>
      <c r="BV488" s="416"/>
      <c r="BW488" s="416"/>
      <c r="BY488" s="416"/>
      <c r="CA488" s="432"/>
      <c r="CB488" s="415"/>
      <c r="CC488" s="445"/>
      <c r="CD488" s="449"/>
    </row>
    <row r="489" spans="2:82">
      <c r="B489" s="416"/>
      <c r="Z489" s="29"/>
      <c r="AA489" s="29"/>
      <c r="AB489" s="29"/>
      <c r="AC489" s="29"/>
      <c r="AD489" s="29"/>
      <c r="AE489" s="29"/>
      <c r="AF489" s="29"/>
      <c r="AG489" s="29"/>
      <c r="AH489" s="29"/>
      <c r="AI489" s="29"/>
      <c r="AJ489" s="29"/>
      <c r="AK489" s="29"/>
      <c r="AL489" s="29"/>
      <c r="AM489" s="29"/>
      <c r="AN489" s="29"/>
      <c r="AO489" s="29"/>
      <c r="AP489" s="29"/>
      <c r="AQ489" s="29"/>
      <c r="BQ489" s="325"/>
      <c r="BR489" s="415"/>
      <c r="BS489" s="415"/>
      <c r="BT489" s="415"/>
      <c r="BU489" s="416"/>
      <c r="BV489" s="416"/>
      <c r="BW489" s="416"/>
      <c r="BY489" s="416"/>
      <c r="CA489" s="432"/>
      <c r="CB489" s="415"/>
      <c r="CC489" s="445"/>
      <c r="CD489" s="449"/>
    </row>
    <row r="490" spans="2:82">
      <c r="B490" s="416"/>
      <c r="Z490" s="29"/>
      <c r="AA490" s="29"/>
      <c r="AB490" s="29"/>
      <c r="AC490" s="29"/>
      <c r="AD490" s="29"/>
      <c r="AE490" s="29"/>
      <c r="AF490" s="29"/>
      <c r="AG490" s="29"/>
      <c r="AH490" s="29"/>
      <c r="AI490" s="29"/>
      <c r="AJ490" s="29"/>
      <c r="AK490" s="29"/>
      <c r="AL490" s="29"/>
      <c r="AM490" s="29"/>
      <c r="AN490" s="29"/>
      <c r="AO490" s="29"/>
      <c r="AP490" s="29"/>
      <c r="AQ490" s="29"/>
      <c r="BQ490" s="325"/>
      <c r="BR490" s="415"/>
      <c r="BS490" s="415"/>
      <c r="BT490" s="415"/>
      <c r="BU490" s="416"/>
      <c r="BV490" s="416"/>
      <c r="BW490" s="416"/>
      <c r="BY490" s="416"/>
      <c r="CA490" s="432"/>
      <c r="CB490" s="415"/>
      <c r="CC490" s="445"/>
      <c r="CD490" s="449"/>
    </row>
    <row r="491" spans="2:82">
      <c r="B491" s="416"/>
      <c r="Z491" s="29"/>
      <c r="AA491" s="29"/>
      <c r="AB491" s="29"/>
      <c r="AC491" s="29"/>
      <c r="AD491" s="29"/>
      <c r="AE491" s="29"/>
      <c r="AF491" s="29"/>
      <c r="AG491" s="29"/>
      <c r="AH491" s="29"/>
      <c r="AI491" s="29"/>
      <c r="AJ491" s="29"/>
      <c r="AK491" s="29"/>
      <c r="AL491" s="29"/>
      <c r="AM491" s="29"/>
      <c r="AN491" s="29"/>
      <c r="AO491" s="29"/>
      <c r="AP491" s="29"/>
      <c r="AQ491" s="29"/>
      <c r="BQ491" s="325"/>
      <c r="BR491" s="415"/>
      <c r="BS491" s="415"/>
      <c r="BT491" s="415"/>
      <c r="BU491" s="416"/>
      <c r="BV491" s="416"/>
      <c r="BW491" s="416"/>
      <c r="BY491" s="416"/>
      <c r="CA491" s="432"/>
      <c r="CB491" s="415"/>
      <c r="CC491" s="445"/>
      <c r="CD491" s="449"/>
    </row>
    <row r="492" spans="2:82">
      <c r="B492" s="416"/>
      <c r="Z492" s="29"/>
      <c r="AA492" s="29"/>
      <c r="AB492" s="29"/>
      <c r="AC492" s="29"/>
      <c r="AD492" s="29"/>
      <c r="AE492" s="29"/>
      <c r="AF492" s="29"/>
      <c r="AG492" s="29"/>
      <c r="AH492" s="29"/>
      <c r="AI492" s="29"/>
      <c r="AJ492" s="29"/>
      <c r="AK492" s="29"/>
      <c r="AL492" s="29"/>
      <c r="AM492" s="29"/>
      <c r="AN492" s="29"/>
      <c r="AO492" s="29"/>
      <c r="AP492" s="29"/>
      <c r="AQ492" s="29"/>
      <c r="BQ492" s="325"/>
      <c r="BR492" s="415"/>
      <c r="BS492" s="415"/>
      <c r="BT492" s="415"/>
      <c r="BU492" s="416"/>
      <c r="BV492" s="416"/>
      <c r="BW492" s="416"/>
      <c r="BY492" s="416"/>
      <c r="CA492" s="432"/>
      <c r="CB492" s="415"/>
      <c r="CC492" s="445"/>
      <c r="CD492" s="449"/>
    </row>
    <row r="493" spans="2:82">
      <c r="B493" s="416"/>
      <c r="Z493" s="29"/>
      <c r="AA493" s="29"/>
      <c r="AB493" s="29"/>
      <c r="AC493" s="29"/>
      <c r="AD493" s="29"/>
      <c r="AE493" s="29"/>
      <c r="AF493" s="29"/>
      <c r="AG493" s="29"/>
      <c r="AH493" s="29"/>
      <c r="AI493" s="29"/>
      <c r="AJ493" s="29"/>
      <c r="AK493" s="29"/>
      <c r="AL493" s="29"/>
      <c r="AM493" s="29"/>
      <c r="AN493" s="29"/>
      <c r="AO493" s="29"/>
      <c r="AP493" s="29"/>
      <c r="AQ493" s="29"/>
      <c r="BQ493" s="325"/>
      <c r="BR493" s="415"/>
      <c r="BS493" s="415"/>
      <c r="BT493" s="415"/>
      <c r="BU493" s="416"/>
      <c r="BV493" s="416"/>
      <c r="BW493" s="416"/>
      <c r="BY493" s="416"/>
      <c r="CA493" s="432"/>
      <c r="CB493" s="415"/>
      <c r="CC493" s="445"/>
      <c r="CD493" s="449"/>
    </row>
    <row r="494" spans="2:82">
      <c r="B494" s="416"/>
      <c r="Z494" s="29"/>
      <c r="AA494" s="29"/>
      <c r="AB494" s="29"/>
      <c r="AC494" s="29"/>
      <c r="AD494" s="29"/>
      <c r="AE494" s="29"/>
      <c r="AF494" s="29"/>
      <c r="AG494" s="29"/>
      <c r="AH494" s="29"/>
      <c r="AI494" s="29"/>
      <c r="AJ494" s="29"/>
      <c r="AK494" s="29"/>
      <c r="AL494" s="29"/>
      <c r="AM494" s="29"/>
      <c r="AN494" s="29"/>
      <c r="AO494" s="29"/>
      <c r="AP494" s="29"/>
      <c r="AQ494" s="29"/>
      <c r="BQ494" s="325"/>
      <c r="BR494" s="415"/>
      <c r="BS494" s="415"/>
      <c r="BT494" s="415"/>
      <c r="BU494" s="416"/>
      <c r="BV494" s="416"/>
      <c r="BW494" s="416"/>
      <c r="BY494" s="416"/>
      <c r="CA494" s="432"/>
      <c r="CB494" s="415"/>
      <c r="CC494" s="445"/>
      <c r="CD494" s="449"/>
    </row>
    <row r="495" spans="2:82">
      <c r="B495" s="416"/>
      <c r="Z495" s="29"/>
      <c r="AA495" s="29"/>
      <c r="AB495" s="29"/>
      <c r="AC495" s="29"/>
      <c r="AD495" s="29"/>
      <c r="AE495" s="29"/>
      <c r="AF495" s="29"/>
      <c r="AG495" s="29"/>
      <c r="AH495" s="29"/>
      <c r="AI495" s="29"/>
      <c r="AJ495" s="29"/>
      <c r="AK495" s="29"/>
      <c r="AL495" s="29"/>
      <c r="AM495" s="29"/>
      <c r="AN495" s="29"/>
      <c r="AO495" s="29"/>
      <c r="AP495" s="29"/>
      <c r="AQ495" s="29"/>
      <c r="BQ495" s="325"/>
      <c r="BR495" s="415"/>
      <c r="BS495" s="415"/>
      <c r="BT495" s="415"/>
      <c r="BU495" s="416"/>
      <c r="BV495" s="416"/>
      <c r="BW495" s="416"/>
      <c r="BY495" s="416"/>
      <c r="CA495" s="432"/>
      <c r="CB495" s="415"/>
      <c r="CC495" s="445"/>
      <c r="CD495" s="449"/>
    </row>
    <row r="496" spans="2:82">
      <c r="B496" s="416"/>
      <c r="Z496" s="29"/>
      <c r="AA496" s="29"/>
      <c r="AB496" s="29"/>
      <c r="AC496" s="29"/>
      <c r="AD496" s="29"/>
      <c r="AE496" s="29"/>
      <c r="AF496" s="29"/>
      <c r="AG496" s="29"/>
      <c r="AH496" s="29"/>
      <c r="AI496" s="29"/>
      <c r="AJ496" s="29"/>
      <c r="AK496" s="29"/>
      <c r="AL496" s="29"/>
      <c r="AM496" s="29"/>
      <c r="AN496" s="29"/>
      <c r="AO496" s="29"/>
      <c r="AP496" s="29"/>
      <c r="AQ496" s="29"/>
      <c r="BQ496" s="325"/>
      <c r="BR496" s="415"/>
      <c r="BS496" s="415"/>
      <c r="BT496" s="415"/>
      <c r="BU496" s="416"/>
      <c r="BV496" s="416"/>
      <c r="BW496" s="416"/>
      <c r="BY496" s="416"/>
      <c r="CA496" s="432"/>
      <c r="CB496" s="415"/>
      <c r="CC496" s="445"/>
      <c r="CD496" s="449"/>
    </row>
    <row r="497" spans="2:82">
      <c r="B497" s="416"/>
      <c r="Z497" s="29"/>
      <c r="AA497" s="29"/>
      <c r="AB497" s="29"/>
      <c r="AC497" s="29"/>
      <c r="AD497" s="29"/>
      <c r="AE497" s="29"/>
      <c r="AF497" s="29"/>
      <c r="AG497" s="29"/>
      <c r="AH497" s="29"/>
      <c r="AI497" s="29"/>
      <c r="AJ497" s="29"/>
      <c r="AK497" s="29"/>
      <c r="AL497" s="29"/>
      <c r="AM497" s="29"/>
      <c r="AN497" s="29"/>
      <c r="AO497" s="29"/>
      <c r="AP497" s="29"/>
      <c r="AQ497" s="29"/>
      <c r="BQ497" s="325"/>
      <c r="BR497" s="415"/>
      <c r="BS497" s="415"/>
      <c r="BT497" s="415"/>
      <c r="BU497" s="416"/>
      <c r="BV497" s="416"/>
      <c r="BW497" s="416"/>
      <c r="BY497" s="416"/>
      <c r="CA497" s="432"/>
      <c r="CB497" s="415"/>
      <c r="CC497" s="445"/>
      <c r="CD497" s="449"/>
    </row>
    <row r="498" spans="2:82">
      <c r="B498" s="416"/>
      <c r="Z498" s="29"/>
      <c r="AA498" s="29"/>
      <c r="AB498" s="29"/>
      <c r="AC498" s="29"/>
      <c r="AD498" s="29"/>
      <c r="AE498" s="29"/>
      <c r="AF498" s="29"/>
      <c r="AG498" s="29"/>
      <c r="AH498" s="29"/>
      <c r="AI498" s="29"/>
      <c r="AJ498" s="29"/>
      <c r="AK498" s="29"/>
      <c r="AL498" s="29"/>
      <c r="AM498" s="29"/>
      <c r="AN498" s="29"/>
      <c r="AO498" s="29"/>
      <c r="AP498" s="29"/>
      <c r="AQ498" s="29"/>
      <c r="BQ498" s="325"/>
      <c r="BR498" s="415"/>
      <c r="BS498" s="415"/>
      <c r="BT498" s="415"/>
      <c r="BU498" s="416"/>
      <c r="BV498" s="416"/>
      <c r="BW498" s="416"/>
      <c r="BY498" s="416"/>
      <c r="CA498" s="432"/>
      <c r="CB498" s="415"/>
      <c r="CC498" s="445"/>
      <c r="CD498" s="449"/>
    </row>
    <row r="499" spans="2:82">
      <c r="B499" s="416"/>
      <c r="Z499" s="29"/>
      <c r="AA499" s="29"/>
      <c r="AB499" s="29"/>
      <c r="AC499" s="29"/>
      <c r="AD499" s="29"/>
      <c r="AE499" s="29"/>
      <c r="AF499" s="29"/>
      <c r="AG499" s="29"/>
      <c r="AH499" s="29"/>
      <c r="AI499" s="29"/>
      <c r="AJ499" s="29"/>
      <c r="AK499" s="29"/>
      <c r="AL499" s="29"/>
      <c r="AM499" s="29"/>
      <c r="AN499" s="29"/>
      <c r="AO499" s="29"/>
      <c r="AP499" s="29"/>
      <c r="AQ499" s="29"/>
      <c r="BQ499" s="325"/>
      <c r="BR499" s="415"/>
      <c r="BS499" s="415"/>
      <c r="BT499" s="415"/>
      <c r="BU499" s="416"/>
      <c r="BV499" s="416"/>
      <c r="BW499" s="416"/>
      <c r="BY499" s="416"/>
      <c r="CA499" s="432"/>
      <c r="CB499" s="415"/>
      <c r="CC499" s="445"/>
      <c r="CD499" s="449"/>
    </row>
    <row r="500" spans="2:82">
      <c r="B500" s="416"/>
      <c r="Z500" s="29"/>
      <c r="AA500" s="29"/>
      <c r="AB500" s="29"/>
      <c r="AC500" s="29"/>
      <c r="AD500" s="29"/>
      <c r="AE500" s="29"/>
      <c r="AF500" s="29"/>
      <c r="AG500" s="29"/>
      <c r="AH500" s="29"/>
      <c r="AI500" s="29"/>
      <c r="AJ500" s="29"/>
      <c r="AK500" s="29"/>
      <c r="AL500" s="29"/>
      <c r="AM500" s="29"/>
      <c r="AN500" s="29"/>
      <c r="AO500" s="29"/>
      <c r="AP500" s="29"/>
      <c r="AQ500" s="29"/>
      <c r="BQ500" s="325"/>
      <c r="BR500" s="415"/>
      <c r="BS500" s="415"/>
      <c r="BT500" s="415"/>
      <c r="BU500" s="416"/>
      <c r="BV500" s="416"/>
      <c r="BW500" s="416"/>
      <c r="BY500" s="416"/>
      <c r="CA500" s="432"/>
      <c r="CB500" s="415"/>
      <c r="CC500" s="445"/>
      <c r="CD500" s="449"/>
    </row>
    <row r="501" spans="2:82">
      <c r="B501" s="416"/>
      <c r="Z501" s="29"/>
      <c r="AA501" s="29"/>
      <c r="AB501" s="29"/>
      <c r="AC501" s="29"/>
      <c r="AD501" s="29"/>
      <c r="AE501" s="29"/>
      <c r="AF501" s="29"/>
      <c r="AG501" s="29"/>
      <c r="AH501" s="29"/>
      <c r="AI501" s="29"/>
      <c r="AJ501" s="29"/>
      <c r="AK501" s="29"/>
      <c r="AL501" s="29"/>
      <c r="AM501" s="29"/>
      <c r="AN501" s="29"/>
      <c r="AO501" s="29"/>
      <c r="AP501" s="29"/>
      <c r="AQ501" s="29"/>
      <c r="BQ501" s="325"/>
      <c r="BR501" s="415"/>
      <c r="BS501" s="415"/>
      <c r="BT501" s="415"/>
      <c r="BU501" s="416"/>
      <c r="BV501" s="416"/>
      <c r="BW501" s="416"/>
      <c r="BY501" s="416"/>
      <c r="CA501" s="432"/>
      <c r="CB501" s="415"/>
      <c r="CC501" s="445"/>
      <c r="CD501" s="449"/>
    </row>
    <row r="502" spans="2:82">
      <c r="B502" s="416"/>
      <c r="Z502" s="29"/>
      <c r="AA502" s="29"/>
      <c r="AB502" s="29"/>
      <c r="AC502" s="29"/>
      <c r="AD502" s="29"/>
      <c r="AE502" s="29"/>
      <c r="AF502" s="29"/>
      <c r="AG502" s="29"/>
      <c r="AH502" s="29"/>
      <c r="AI502" s="29"/>
      <c r="AJ502" s="29"/>
      <c r="AK502" s="29"/>
      <c r="AL502" s="29"/>
      <c r="AM502" s="29"/>
      <c r="AN502" s="29"/>
      <c r="AO502" s="29"/>
      <c r="AP502" s="29"/>
      <c r="AQ502" s="29"/>
      <c r="BQ502" s="325"/>
      <c r="BR502" s="415"/>
      <c r="BS502" s="415"/>
      <c r="BT502" s="415"/>
      <c r="BU502" s="416"/>
      <c r="BV502" s="416"/>
      <c r="BW502" s="416"/>
      <c r="BY502" s="416"/>
      <c r="CA502" s="432"/>
      <c r="CB502" s="415"/>
      <c r="CC502" s="445"/>
      <c r="CD502" s="449"/>
    </row>
    <row r="503" spans="2:82">
      <c r="B503" s="416"/>
      <c r="BQ503" s="325"/>
      <c r="BR503" s="415"/>
      <c r="BS503" s="415"/>
      <c r="BT503" s="415"/>
      <c r="BU503" s="416"/>
      <c r="BV503" s="416"/>
      <c r="BW503" s="416"/>
      <c r="BY503" s="416"/>
      <c r="CA503" s="432"/>
      <c r="CB503" s="415"/>
      <c r="CC503" s="445"/>
      <c r="CD503" s="449"/>
    </row>
    <row r="504" spans="2:82">
      <c r="B504" s="416"/>
      <c r="BQ504" s="325"/>
      <c r="BR504" s="415"/>
      <c r="BS504" s="415"/>
      <c r="BT504" s="415"/>
      <c r="BU504" s="416"/>
      <c r="BV504" s="416"/>
      <c r="BW504" s="416"/>
      <c r="BY504" s="416"/>
      <c r="CA504" s="432"/>
      <c r="CB504" s="415"/>
      <c r="CC504" s="445"/>
      <c r="CD504" s="449"/>
    </row>
    <row r="505" spans="2:82">
      <c r="B505" s="416"/>
      <c r="BQ505" s="325"/>
      <c r="BR505" s="415"/>
      <c r="BS505" s="415"/>
      <c r="BT505" s="415"/>
      <c r="BU505" s="416"/>
      <c r="BV505" s="416"/>
      <c r="BW505" s="416"/>
      <c r="BY505" s="416"/>
      <c r="CA505" s="432"/>
      <c r="CB505" s="415"/>
      <c r="CC505" s="445"/>
      <c r="CD505" s="449"/>
    </row>
    <row r="506" spans="2:82">
      <c r="B506" s="416"/>
    </row>
    <row r="507" spans="2:82">
      <c r="B507" s="416"/>
    </row>
    <row r="508" spans="2:82">
      <c r="B508" s="416"/>
    </row>
    <row r="509" spans="2:82">
      <c r="B509" s="416"/>
    </row>
  </sheetData>
  <pageMargins left="0.75" right="0.75" top="1" bottom="1" header="0.5" footer="0.5"/>
  <pageSetup scale="13" orientation="portrait" r:id="rId1"/>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IR994"/>
  <sheetViews>
    <sheetView zoomScale="75" workbookViewId="0">
      <pane xSplit="1" ySplit="16" topLeftCell="B17" activePane="bottomRight" state="frozen"/>
      <selection pane="topRight" activeCell="B1" sqref="B1"/>
      <selection pane="bottomLeft" activeCell="A17" sqref="A17"/>
      <selection pane="bottomRight"/>
    </sheetView>
  </sheetViews>
  <sheetFormatPr defaultRowHeight="12.75"/>
  <cols>
    <col min="1" max="1" width="7.5703125" customWidth="1"/>
    <col min="2" max="2" width="5.140625" customWidth="1"/>
    <col min="3" max="3" width="3.140625" customWidth="1"/>
    <col min="4" max="6" width="9.7109375" customWidth="1"/>
    <col min="7" max="7" width="7.140625" style="96" customWidth="1"/>
    <col min="8" max="8" width="8.5703125" style="96" customWidth="1"/>
    <col min="9" max="9" width="7.7109375" customWidth="1"/>
    <col min="10" max="14" width="6.7109375" customWidth="1"/>
    <col min="15" max="15" width="7.140625" customWidth="1"/>
    <col min="16" max="17" width="6.7109375" customWidth="1"/>
    <col min="18" max="18" width="7" customWidth="1"/>
    <col min="19" max="20" width="6.7109375" customWidth="1"/>
    <col min="21" max="21" width="6.42578125" style="172" customWidth="1"/>
    <col min="22" max="22" width="4.7109375" style="172" customWidth="1"/>
    <col min="23" max="23" width="5.28515625" style="172" customWidth="1"/>
    <col min="24" max="25" width="4.7109375" style="172" customWidth="1"/>
    <col min="26" max="26" width="5.28515625" style="172" customWidth="1"/>
    <col min="27" max="28" width="4.7109375" style="172" customWidth="1"/>
    <col min="29" max="29" width="5.28515625" style="172" customWidth="1"/>
    <col min="30" max="31" width="4.7109375" style="172" customWidth="1"/>
    <col min="32" max="32" width="5.28515625" style="172" customWidth="1"/>
    <col min="33" max="41" width="5.7109375" style="172" customWidth="1"/>
    <col min="42" max="43" width="4.7109375" style="172" customWidth="1"/>
    <col min="44" max="44" width="5.28515625" style="172" customWidth="1"/>
    <col min="45" max="45" width="8.5703125" style="172" customWidth="1"/>
    <col min="46" max="46" width="4.85546875" customWidth="1"/>
    <col min="47" max="47" width="4.7109375" customWidth="1"/>
    <col min="48" max="49" width="4.85546875" customWidth="1"/>
    <col min="50" max="50" width="5.42578125" customWidth="1"/>
    <col min="51" max="51" width="8.28515625" customWidth="1"/>
    <col min="52" max="52" width="10.7109375" style="161" bestFit="1" customWidth="1"/>
    <col min="53" max="53" width="9.7109375" style="161" customWidth="1"/>
    <col min="54" max="54" width="9.140625" style="161"/>
    <col min="55" max="55" width="9.7109375" style="161" customWidth="1"/>
    <col min="56" max="56" width="10.7109375" style="161" bestFit="1" customWidth="1"/>
    <col min="57" max="57" width="8.7109375" style="161" customWidth="1"/>
    <col min="58" max="58" width="9.140625" style="161"/>
    <col min="59" max="59" width="8.5703125" style="161" bestFit="1" customWidth="1"/>
    <col min="60" max="60" width="10.7109375" style="161" bestFit="1" customWidth="1"/>
    <col min="61" max="61" width="8.7109375" style="161" customWidth="1"/>
    <col min="62" max="62" width="9.140625" style="161"/>
    <col min="63" max="63" width="10" style="161" customWidth="1"/>
    <col min="64" max="64" width="10.7109375" style="161" bestFit="1" customWidth="1"/>
    <col min="65" max="65" width="8.7109375" style="161" customWidth="1"/>
    <col min="66" max="66" width="9.140625" style="161"/>
    <col min="67" max="67" width="8.5703125" style="161" bestFit="1" customWidth="1"/>
    <col min="68" max="68" width="10.28515625" style="15" customWidth="1"/>
    <col min="69" max="69" width="7.42578125" style="15" bestFit="1" customWidth="1"/>
    <col min="70" max="70" width="13.140625" style="15" customWidth="1"/>
    <col min="71" max="71" width="7.42578125" style="15" bestFit="1" customWidth="1"/>
    <col min="72" max="72" width="6.7109375" style="15" customWidth="1"/>
    <col min="73" max="73" width="8.7109375" style="15" customWidth="1"/>
    <col min="74" max="75" width="8.140625" style="15" customWidth="1"/>
    <col min="76" max="76" width="9.28515625" style="15" customWidth="1"/>
    <col min="77" max="78" width="8.140625" style="15" customWidth="1"/>
    <col min="79" max="79" width="8.7109375" style="15" customWidth="1"/>
    <col min="80" max="81" width="8.140625" style="15" customWidth="1"/>
    <col min="82" max="82" width="9.28515625" style="15" customWidth="1"/>
    <col min="83" max="84" width="8.140625" style="15" customWidth="1"/>
    <col min="85" max="85" width="9.28515625" style="15" customWidth="1"/>
    <col min="86" max="87" width="8" style="15" customWidth="1"/>
    <col min="88" max="88" width="9.140625" style="15"/>
    <col min="89" max="89" width="7.85546875" style="15" customWidth="1"/>
    <col min="90" max="90" width="8.85546875" style="15" customWidth="1"/>
    <col min="91" max="91" width="9.85546875" style="15" customWidth="1"/>
    <col min="92" max="92" width="8" style="15" customWidth="1"/>
    <col min="93" max="93" width="10" customWidth="1"/>
    <col min="94" max="96" width="10.85546875" bestFit="1" customWidth="1"/>
    <col min="97" max="97" width="9.42578125" style="5" customWidth="1"/>
    <col min="98" max="98" width="9.42578125" customWidth="1"/>
    <col min="99" max="99" width="11" bestFit="1" customWidth="1"/>
    <col min="100" max="100" width="11.5703125" bestFit="1" customWidth="1"/>
    <col min="101" max="101" width="9.85546875" bestFit="1" customWidth="1"/>
    <col min="102" max="102" width="10.85546875" bestFit="1" customWidth="1"/>
    <col min="103" max="106" width="8.42578125" customWidth="1"/>
    <col min="107" max="107" width="9" customWidth="1"/>
    <col min="108" max="108" width="10.7109375" customWidth="1"/>
    <col min="109" max="109" width="8.7109375" customWidth="1"/>
    <col min="112" max="112" width="10" customWidth="1"/>
    <col min="113" max="113" width="8.5703125" customWidth="1"/>
    <col min="114" max="114" width="9.85546875" customWidth="1"/>
    <col min="115" max="115" width="10.7109375" customWidth="1"/>
    <col min="116" max="116" width="8.7109375" customWidth="1"/>
    <col min="117" max="117" width="0" hidden="1" customWidth="1"/>
    <col min="118" max="118" width="8.5703125" hidden="1" customWidth="1"/>
    <col min="119" max="119" width="7.7109375" hidden="1" customWidth="1"/>
    <col min="120" max="120" width="8.5703125" hidden="1" customWidth="1"/>
    <col min="121" max="121" width="9" hidden="1" customWidth="1"/>
    <col min="122" max="122" width="6.85546875" hidden="1" customWidth="1"/>
    <col min="123" max="123" width="8.7109375" hidden="1" customWidth="1"/>
    <col min="124" max="124" width="0" hidden="1" customWidth="1"/>
    <col min="125" max="125" width="10" hidden="1" customWidth="1"/>
    <col min="126" max="126" width="8.5703125" hidden="1" customWidth="1"/>
    <col min="127" max="129" width="8.5703125" customWidth="1"/>
    <col min="130" max="130" width="10.7109375" customWidth="1"/>
    <col min="131" max="131" width="10.28515625" customWidth="1"/>
    <col min="132" max="132" width="10.7109375" customWidth="1"/>
    <col min="133" max="133" width="10.140625" customWidth="1"/>
    <col min="134" max="134" width="10.85546875" customWidth="1"/>
    <col min="135" max="135" width="11.140625" customWidth="1"/>
    <col min="136" max="136" width="10.42578125" customWidth="1"/>
    <col min="137" max="137" width="10.5703125" customWidth="1"/>
    <col min="138" max="138" width="9.5703125" customWidth="1"/>
    <col min="139" max="144" width="11.5703125" customWidth="1"/>
    <col min="145" max="146" width="11.140625" customWidth="1"/>
    <col min="147" max="147" width="9.85546875" customWidth="1"/>
    <col min="148" max="148" width="10.5703125" customWidth="1"/>
    <col min="149" max="149" width="12.7109375" customWidth="1"/>
    <col min="150" max="150" width="12.42578125" customWidth="1"/>
    <col min="151" max="151" width="10.42578125" customWidth="1"/>
    <col min="152" max="152" width="10.7109375" customWidth="1"/>
    <col min="153" max="153" width="12.5703125" customWidth="1"/>
    <col min="154" max="154" width="10.85546875" bestFit="1" customWidth="1"/>
    <col min="155" max="159" width="10.85546875" customWidth="1"/>
    <col min="160" max="160" width="13.85546875" customWidth="1"/>
    <col min="161" max="166" width="10.5703125" customWidth="1"/>
    <col min="167" max="167" width="12.140625" customWidth="1"/>
    <col min="168" max="181" width="11.42578125" style="15" customWidth="1"/>
    <col min="182" max="182" width="10.85546875" style="15" customWidth="1"/>
    <col min="183" max="184" width="11.42578125" style="15" customWidth="1"/>
    <col min="185" max="185" width="13.7109375" style="15" customWidth="1"/>
    <col min="186" max="186" width="16.42578125" style="15" bestFit="1" customWidth="1"/>
    <col min="187" max="190" width="16.42578125" style="15" customWidth="1"/>
    <col min="191" max="191" width="12.85546875" style="15" customWidth="1"/>
    <col min="192" max="193" width="16.42578125" style="15" customWidth="1"/>
    <col min="194" max="204" width="11.42578125" style="15" customWidth="1"/>
    <col min="205" max="210" width="11.85546875" style="15" customWidth="1"/>
    <col min="211" max="223" width="11.42578125" style="15" customWidth="1"/>
    <col min="224" max="224" width="16.140625" style="15" customWidth="1"/>
    <col min="225" max="225" width="14.140625" style="15" customWidth="1"/>
    <col min="226" max="228" width="13.5703125" style="15" customWidth="1"/>
    <col min="229" max="235" width="13.140625" style="15" customWidth="1"/>
    <col min="236" max="238" width="12.42578125" style="15" customWidth="1"/>
    <col min="239" max="239" width="11.42578125" style="15" customWidth="1"/>
    <col min="240" max="241" width="14.28515625" style="15" customWidth="1"/>
    <col min="242" max="242" width="12.7109375" style="15" customWidth="1"/>
    <col min="243" max="243" width="19" style="15" customWidth="1"/>
    <col min="244" max="245" width="11.28515625" bestFit="1" customWidth="1"/>
    <col min="246" max="246" width="10.85546875" customWidth="1"/>
    <col min="247" max="249" width="9.85546875" customWidth="1"/>
    <col min="250" max="250" width="8.140625" customWidth="1"/>
    <col min="251" max="251" width="11.5703125" customWidth="1"/>
  </cols>
  <sheetData>
    <row r="1" spans="1:252">
      <c r="H1" s="1453" t="s">
        <v>934</v>
      </c>
      <c r="I1" s="1451">
        <f>Assumptions!$M$28</f>
        <v>0</v>
      </c>
      <c r="J1" s="1451">
        <f>Assumptions!$M$28</f>
        <v>0</v>
      </c>
      <c r="K1" s="1451">
        <f>Assumptions!$M$28</f>
        <v>0</v>
      </c>
      <c r="L1" s="1451">
        <f>Assumptions!$M$28</f>
        <v>0</v>
      </c>
      <c r="M1" s="1451">
        <f>Assumptions!$M$28</f>
        <v>0</v>
      </c>
      <c r="N1" s="1451">
        <f>Assumptions!$M$28</f>
        <v>0</v>
      </c>
      <c r="O1" s="1451">
        <f>Assumptions!$M$28</f>
        <v>0</v>
      </c>
      <c r="P1" s="1451">
        <f>Assumptions!$M$28</f>
        <v>0</v>
      </c>
      <c r="Q1" s="1451">
        <f>Assumptions!$M$28</f>
        <v>0</v>
      </c>
      <c r="R1" s="1451">
        <f>Assumptions!$M$28</f>
        <v>0</v>
      </c>
      <c r="S1" s="1451">
        <f>Assumptions!$M$28</f>
        <v>0</v>
      </c>
      <c r="T1" s="1451">
        <f>Assumptions!$M$28</f>
        <v>0</v>
      </c>
      <c r="BK1"/>
      <c r="BL1"/>
      <c r="BM1"/>
      <c r="BN1"/>
      <c r="BO1"/>
      <c r="BP1"/>
      <c r="BQ1"/>
      <c r="BR1"/>
      <c r="BS1"/>
      <c r="BU1"/>
      <c r="BV1"/>
      <c r="BW1"/>
      <c r="BX1"/>
      <c r="BY1"/>
      <c r="BZ1"/>
      <c r="CA1"/>
      <c r="CB1"/>
      <c r="CC1"/>
      <c r="CD1"/>
      <c r="CE1"/>
      <c r="CF1"/>
      <c r="CG1" s="93"/>
      <c r="CH1" s="93"/>
      <c r="CI1" s="93"/>
      <c r="CL1"/>
      <c r="CM1"/>
      <c r="CN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row>
    <row r="2" spans="1:252">
      <c r="H2" s="1453" t="s">
        <v>935</v>
      </c>
      <c r="I2" s="1452">
        <v>0</v>
      </c>
      <c r="J2" s="1452">
        <v>0</v>
      </c>
      <c r="K2" s="1452">
        <v>0</v>
      </c>
      <c r="L2" s="1452">
        <v>0</v>
      </c>
      <c r="M2" s="1452">
        <v>0</v>
      </c>
      <c r="N2" s="1452">
        <v>0</v>
      </c>
      <c r="O2" s="1452">
        <v>0</v>
      </c>
      <c r="P2" s="1452">
        <v>0</v>
      </c>
      <c r="Q2" s="1452">
        <v>0</v>
      </c>
      <c r="R2" s="1452">
        <v>0</v>
      </c>
      <c r="S2" s="1452">
        <v>0</v>
      </c>
      <c r="T2" s="1452">
        <v>0</v>
      </c>
      <c r="BK2"/>
      <c r="BL2"/>
      <c r="BM2"/>
      <c r="BN2"/>
      <c r="BO2"/>
      <c r="BP2"/>
      <c r="BQ2"/>
      <c r="BR2"/>
      <c r="BS2"/>
      <c r="BT2"/>
      <c r="BU2"/>
      <c r="BV2"/>
      <c r="BW2"/>
      <c r="BX2"/>
      <c r="BY2"/>
      <c r="BZ2"/>
      <c r="CA2"/>
      <c r="CB2"/>
      <c r="CC2"/>
      <c r="CD2"/>
      <c r="CE2"/>
      <c r="CF2"/>
      <c r="CG2"/>
      <c r="CH2"/>
      <c r="CI2"/>
      <c r="CJ2"/>
      <c r="CK2"/>
      <c r="CL2"/>
      <c r="CM2"/>
      <c r="CN2"/>
      <c r="DD2" s="15"/>
      <c r="DE2" s="15"/>
      <c r="DF2" s="15"/>
      <c r="DG2" s="15"/>
      <c r="DH2" s="15"/>
      <c r="DI2" s="15"/>
      <c r="DJ2" s="15"/>
      <c r="DK2" s="15"/>
      <c r="DL2" s="15"/>
      <c r="DM2" s="15"/>
      <c r="DN2" s="15"/>
      <c r="DO2" s="15"/>
      <c r="DP2" s="15"/>
      <c r="DQ2" s="15"/>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row>
    <row r="3" spans="1:252">
      <c r="D3" s="426" t="s">
        <v>317</v>
      </c>
      <c r="G3"/>
      <c r="BH3" s="490"/>
      <c r="BI3" s="490"/>
      <c r="BJ3" s="490"/>
      <c r="BK3"/>
      <c r="BL3"/>
      <c r="BM3"/>
      <c r="BN3"/>
      <c r="BO3"/>
      <c r="BP3"/>
      <c r="BQ3"/>
      <c r="BR3"/>
      <c r="BS3"/>
      <c r="BT3"/>
      <c r="BU3"/>
      <c r="BV3"/>
      <c r="BW3"/>
      <c r="BX3"/>
      <c r="BY3"/>
      <c r="BZ3"/>
      <c r="CA3"/>
      <c r="CB3"/>
      <c r="CC3"/>
      <c r="CD3"/>
      <c r="CE3"/>
      <c r="CF3"/>
      <c r="CG3"/>
      <c r="CH3"/>
      <c r="CI3"/>
      <c r="CJ3"/>
      <c r="CK3"/>
      <c r="CL3"/>
      <c r="CM3"/>
      <c r="CN3"/>
      <c r="DD3" s="15"/>
      <c r="DE3" s="15"/>
      <c r="DF3" s="15"/>
      <c r="DG3" s="15"/>
      <c r="DH3" s="15"/>
      <c r="DI3" s="15"/>
      <c r="DJ3" s="15"/>
      <c r="DK3" s="15"/>
      <c r="DL3" s="15"/>
      <c r="DM3" s="15"/>
      <c r="DN3" s="15"/>
      <c r="DO3" s="15"/>
      <c r="DP3" s="15"/>
      <c r="DQ3" s="15"/>
      <c r="EI3" s="529"/>
      <c r="EJ3" s="529"/>
      <c r="EK3" s="529"/>
      <c r="EL3" s="529"/>
      <c r="EM3" s="529"/>
      <c r="EN3" s="529"/>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s="1463"/>
    </row>
    <row r="4" spans="1:252" ht="13.5" thickBot="1">
      <c r="U4"/>
      <c r="V4"/>
      <c r="W4"/>
      <c r="X4"/>
      <c r="Y4"/>
      <c r="Z4"/>
      <c r="BK4"/>
      <c r="BL4"/>
      <c r="BM4"/>
      <c r="BN4"/>
      <c r="BO4"/>
      <c r="BP4"/>
      <c r="BQ4"/>
      <c r="BR4"/>
      <c r="BS4"/>
      <c r="BT4"/>
      <c r="BU4"/>
      <c r="BV4"/>
      <c r="BW4"/>
      <c r="BX4"/>
      <c r="BY4"/>
      <c r="BZ4"/>
      <c r="CA4"/>
      <c r="CB4"/>
      <c r="CC4"/>
      <c r="CD4"/>
      <c r="CE4"/>
      <c r="CF4"/>
      <c r="CG4"/>
      <c r="CH4"/>
      <c r="CI4"/>
      <c r="CJ4"/>
      <c r="CK4"/>
      <c r="CL4"/>
      <c r="CM4"/>
      <c r="CN4"/>
      <c r="DD4" s="15"/>
      <c r="DE4" s="15"/>
      <c r="DF4" s="15"/>
      <c r="DG4" s="15"/>
      <c r="DH4" s="15"/>
      <c r="DI4" s="15"/>
      <c r="DJ4" s="15"/>
      <c r="DK4" s="15"/>
      <c r="DL4" s="15"/>
      <c r="DM4" s="15"/>
      <c r="DN4" s="15"/>
      <c r="DO4" s="15"/>
      <c r="DP4" s="15"/>
      <c r="DQ4" s="15"/>
      <c r="EI4" s="529"/>
      <c r="EJ4" s="529"/>
      <c r="EK4" s="529"/>
      <c r="EL4" s="529"/>
      <c r="EM4" s="529"/>
      <c r="EN4" s="529"/>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row>
    <row r="5" spans="1:252" ht="13.5" thickBot="1">
      <c r="F5" s="425" t="s">
        <v>319</v>
      </c>
      <c r="G5" s="427"/>
      <c r="H5" s="428">
        <f>EOMONTH(CurveDate+31,-1)+1</f>
        <v>36647</v>
      </c>
      <c r="U5"/>
      <c r="V5"/>
      <c r="W5"/>
      <c r="X5"/>
      <c r="Y5"/>
      <c r="Z5"/>
      <c r="BK5"/>
      <c r="BL5"/>
      <c r="BM5"/>
      <c r="BN5"/>
      <c r="BO5"/>
      <c r="BP5"/>
      <c r="BQ5"/>
      <c r="BR5"/>
      <c r="BS5"/>
      <c r="BT5"/>
      <c r="BU5"/>
      <c r="BV5"/>
      <c r="BW5"/>
      <c r="BX5"/>
      <c r="BY5"/>
      <c r="BZ5"/>
      <c r="CA5"/>
      <c r="CB5"/>
      <c r="CC5"/>
      <c r="CD5"/>
      <c r="CE5"/>
      <c r="CF5"/>
      <c r="CG5"/>
      <c r="CH5"/>
      <c r="CI5"/>
      <c r="CJ5"/>
      <c r="CK5"/>
      <c r="CL5"/>
      <c r="CM5"/>
      <c r="CN5"/>
      <c r="DD5" s="15"/>
      <c r="DE5" s="15"/>
      <c r="DF5" s="15"/>
      <c r="DG5" s="15"/>
      <c r="DH5" s="15"/>
      <c r="DI5" s="15"/>
      <c r="DJ5" s="15"/>
      <c r="DK5" s="15"/>
      <c r="DL5" s="15"/>
      <c r="DM5" s="15"/>
      <c r="DN5" s="15"/>
      <c r="DO5" s="15"/>
      <c r="DP5" s="15"/>
      <c r="DQ5" s="15"/>
      <c r="EI5" s="529"/>
      <c r="EJ5" s="529"/>
      <c r="EK5" s="529"/>
      <c r="EL5" s="529"/>
      <c r="EM5" s="529"/>
      <c r="EN5" s="529"/>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row>
    <row r="6" spans="1:252">
      <c r="U6"/>
      <c r="V6"/>
      <c r="W6"/>
      <c r="X6"/>
      <c r="Y6"/>
      <c r="Z6"/>
      <c r="AZ6" s="526"/>
      <c r="BK6"/>
      <c r="BL6"/>
      <c r="BM6"/>
      <c r="BN6"/>
      <c r="BO6"/>
      <c r="BP6"/>
      <c r="BQ6"/>
      <c r="BR6"/>
      <c r="BS6"/>
      <c r="BT6"/>
      <c r="BU6"/>
      <c r="BV6"/>
      <c r="BW6"/>
      <c r="BX6"/>
      <c r="BY6"/>
      <c r="BZ6"/>
      <c r="CA6"/>
      <c r="CB6"/>
      <c r="CC6"/>
      <c r="CD6"/>
      <c r="CE6"/>
      <c r="CF6"/>
      <c r="CG6"/>
      <c r="CH6"/>
      <c r="CI6"/>
      <c r="CJ6"/>
      <c r="CK6"/>
      <c r="CL6"/>
      <c r="CM6"/>
      <c r="CN6"/>
      <c r="DD6" s="15"/>
      <c r="DE6" s="15"/>
      <c r="DF6" s="15"/>
      <c r="DG6" s="15"/>
      <c r="DH6" s="15"/>
      <c r="DI6" s="15"/>
      <c r="DJ6" s="15"/>
      <c r="DK6" s="15"/>
      <c r="DL6" s="15"/>
      <c r="DM6" s="15"/>
      <c r="DN6" s="15"/>
      <c r="DO6" s="15"/>
      <c r="DP6" s="15"/>
      <c r="DQ6" s="15"/>
      <c r="EI6" s="529"/>
      <c r="EJ6" s="529"/>
      <c r="EK6" s="529"/>
      <c r="EL6" s="529"/>
      <c r="EM6" s="529"/>
      <c r="EN6" s="529"/>
      <c r="EX6" t="s">
        <v>217</v>
      </c>
      <c r="FL6"/>
      <c r="FM6"/>
      <c r="FN6"/>
      <c r="FO6"/>
      <c r="FP6"/>
      <c r="FQ6"/>
      <c r="FR6"/>
      <c r="FS6"/>
      <c r="FT6"/>
      <c r="FU6"/>
      <c r="FV6"/>
      <c r="FW6"/>
      <c r="FX6"/>
      <c r="FY6"/>
      <c r="FZ6"/>
      <c r="GA6"/>
      <c r="GB6" t="s">
        <v>1184</v>
      </c>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row>
    <row r="7" spans="1:252">
      <c r="U7"/>
      <c r="V7"/>
      <c r="W7"/>
      <c r="X7"/>
      <c r="Y7"/>
      <c r="Z7"/>
      <c r="BK7"/>
      <c r="BL7"/>
      <c r="BM7"/>
      <c r="BN7"/>
      <c r="BO7"/>
      <c r="BP7"/>
      <c r="BQ7"/>
      <c r="BR7"/>
      <c r="BS7"/>
      <c r="BU7"/>
      <c r="BV7"/>
      <c r="BW7"/>
      <c r="BX7"/>
      <c r="BY7"/>
      <c r="BZ7"/>
      <c r="CA7"/>
      <c r="CB7"/>
      <c r="CC7"/>
      <c r="CD7"/>
      <c r="CE7"/>
      <c r="CF7"/>
      <c r="CG7"/>
      <c r="CH7"/>
      <c r="CI7"/>
      <c r="CJ7"/>
      <c r="CK7"/>
      <c r="CL7"/>
      <c r="CM7"/>
      <c r="CN7"/>
      <c r="EI7" s="529"/>
      <c r="EJ7" s="529"/>
      <c r="EK7" s="529"/>
      <c r="EL7" s="529"/>
      <c r="EM7" s="529"/>
      <c r="EN7" s="529"/>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row>
    <row r="8" spans="1:252">
      <c r="H8" s="96" t="s">
        <v>217</v>
      </c>
      <c r="U8"/>
      <c r="V8"/>
      <c r="W8"/>
      <c r="X8"/>
      <c r="Y8"/>
      <c r="Z8"/>
      <c r="BK8"/>
      <c r="BL8"/>
      <c r="BM8"/>
      <c r="BN8"/>
      <c r="BO8"/>
      <c r="BP8"/>
      <c r="BQ8"/>
      <c r="BR8"/>
      <c r="BS8"/>
      <c r="BU8"/>
      <c r="BV8"/>
      <c r="BW8"/>
      <c r="BX8"/>
      <c r="BY8"/>
      <c r="BZ8"/>
      <c r="CA8"/>
      <c r="CB8"/>
      <c r="CC8"/>
      <c r="CD8"/>
      <c r="CE8"/>
      <c r="CF8"/>
      <c r="CG8"/>
      <c r="CH8"/>
      <c r="CI8"/>
      <c r="CJ8"/>
      <c r="CK8"/>
      <c r="CL8"/>
      <c r="CM8"/>
      <c r="CN8"/>
      <c r="CO8" t="s">
        <v>1159</v>
      </c>
      <c r="DB8" t="s">
        <v>1161</v>
      </c>
      <c r="EI8" s="529"/>
      <c r="EJ8" s="529"/>
      <c r="EK8" s="529"/>
      <c r="EL8" s="529"/>
      <c r="EM8" s="529"/>
      <c r="EN8" s="529"/>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row>
    <row r="9" spans="1:252">
      <c r="H9" t="s">
        <v>217</v>
      </c>
      <c r="U9"/>
      <c r="V9"/>
      <c r="W9"/>
      <c r="X9"/>
      <c r="Y9"/>
      <c r="Z9"/>
      <c r="BA9" s="1606"/>
      <c r="BU9"/>
      <c r="BV9"/>
      <c r="BW9"/>
      <c r="BX9"/>
      <c r="BY9"/>
      <c r="BZ9"/>
      <c r="CA9"/>
      <c r="CB9"/>
      <c r="CC9"/>
      <c r="CD9"/>
      <c r="CE9"/>
      <c r="CF9"/>
      <c r="CG9"/>
      <c r="CH9"/>
      <c r="CI9"/>
      <c r="CJ9"/>
      <c r="CK9"/>
      <c r="CL9"/>
      <c r="CM9"/>
      <c r="CN9"/>
      <c r="CO9" t="s">
        <v>1160</v>
      </c>
      <c r="CW9" t="s">
        <v>1177</v>
      </c>
      <c r="EI9" s="529"/>
      <c r="EJ9" s="529"/>
      <c r="EK9" s="529"/>
      <c r="EL9" s="529"/>
      <c r="EM9" s="529"/>
      <c r="EN9" s="529"/>
      <c r="FL9" t="s">
        <v>1178</v>
      </c>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s="1463"/>
    </row>
    <row r="10" spans="1:252">
      <c r="J10" t="s">
        <v>1153</v>
      </c>
      <c r="M10" t="s">
        <v>1154</v>
      </c>
      <c r="P10" t="s">
        <v>1156</v>
      </c>
      <c r="U10"/>
      <c r="V10"/>
      <c r="W10"/>
      <c r="X10"/>
      <c r="Y10"/>
      <c r="Z10"/>
      <c r="AZ10" s="564"/>
      <c r="BA10" t="s">
        <v>1157</v>
      </c>
      <c r="BB10"/>
      <c r="BC10"/>
      <c r="BU10"/>
      <c r="BV10"/>
      <c r="BW10"/>
      <c r="BX10"/>
      <c r="BY10"/>
      <c r="BZ10"/>
      <c r="CA10"/>
      <c r="CB10"/>
      <c r="CC10"/>
      <c r="CD10"/>
      <c r="CE10"/>
      <c r="CF10"/>
      <c r="CG10"/>
      <c r="CH10"/>
      <c r="CI10"/>
      <c r="CJ10"/>
      <c r="CK10"/>
      <c r="CL10"/>
      <c r="CM10"/>
      <c r="CN10"/>
      <c r="EI10" s="529"/>
      <c r="EJ10" s="529"/>
      <c r="EK10" s="529"/>
      <c r="EL10" s="529"/>
      <c r="EM10" s="529"/>
      <c r="EN10" s="529"/>
      <c r="FL10" t="s">
        <v>1179</v>
      </c>
      <c r="FM10"/>
      <c r="FN10"/>
      <c r="FO10"/>
      <c r="FP10"/>
      <c r="FQ10"/>
      <c r="FR10"/>
      <c r="FS10"/>
      <c r="FT10" t="s">
        <v>217</v>
      </c>
      <c r="FU10"/>
      <c r="FV10"/>
      <c r="FW10"/>
      <c r="FX10" t="s">
        <v>217</v>
      </c>
      <c r="FY10"/>
      <c r="FZ10"/>
      <c r="GA10"/>
      <c r="GB10"/>
      <c r="GC10"/>
      <c r="GD10" s="94"/>
      <c r="GE10" s="94"/>
      <c r="GF10" s="94"/>
      <c r="GG10" s="94"/>
      <c r="GH10" s="94"/>
      <c r="GI10" s="94"/>
      <c r="GJ10" s="94"/>
      <c r="GK10" s="94"/>
      <c r="GL10"/>
      <c r="GM10"/>
      <c r="GN10"/>
      <c r="GO10"/>
      <c r="GP10"/>
      <c r="GQ10"/>
      <c r="GR10"/>
      <c r="GS10"/>
      <c r="GT10" t="s">
        <v>1180</v>
      </c>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row>
    <row r="11" spans="1:252" ht="13.5" thickBot="1">
      <c r="G11"/>
      <c r="H11"/>
      <c r="M11" t="s">
        <v>1155</v>
      </c>
      <c r="U11"/>
      <c r="V11"/>
      <c r="W11"/>
      <c r="X11"/>
      <c r="Y11"/>
      <c r="Z11"/>
      <c r="AA11"/>
      <c r="AB11"/>
      <c r="AC11"/>
      <c r="AD11"/>
      <c r="AE11"/>
      <c r="AF11"/>
      <c r="AG11"/>
      <c r="AH11"/>
      <c r="AI11"/>
      <c r="AJ11"/>
      <c r="AK11"/>
      <c r="AL11"/>
      <c r="AM11"/>
      <c r="AN11"/>
      <c r="AO11"/>
      <c r="AP11"/>
      <c r="AQ11"/>
      <c r="AR11"/>
      <c r="AS11"/>
      <c r="AZ11"/>
      <c r="BA11" t="s">
        <v>1158</v>
      </c>
      <c r="BB11"/>
      <c r="BC11"/>
      <c r="BD11"/>
      <c r="BE11"/>
      <c r="BF11"/>
      <c r="BG11"/>
      <c r="BH11"/>
      <c r="BI11"/>
      <c r="BJ11"/>
      <c r="BK11"/>
      <c r="BL11"/>
      <c r="BM11"/>
      <c r="BN11"/>
      <c r="BO11"/>
      <c r="BP11"/>
      <c r="BQ11"/>
      <c r="BR11"/>
      <c r="BS11"/>
      <c r="BT11"/>
      <c r="BU11"/>
      <c r="BV11"/>
      <c r="BW11"/>
      <c r="BX11"/>
      <c r="BY11" s="565" t="s">
        <v>217</v>
      </c>
      <c r="BZ11"/>
      <c r="CA11"/>
      <c r="CB11"/>
      <c r="CC11"/>
      <c r="CD11"/>
      <c r="CE11" s="565" t="s">
        <v>217</v>
      </c>
      <c r="CF11"/>
      <c r="CG11"/>
      <c r="CH11"/>
      <c r="CI11"/>
      <c r="CJ11"/>
      <c r="CK11"/>
      <c r="CL11"/>
      <c r="CM11"/>
      <c r="CN11"/>
      <c r="CS11" s="163"/>
      <c r="DM11">
        <f t="shared" ref="DM11:DV11" si="0">DL11+1</f>
        <v>1</v>
      </c>
      <c r="DN11">
        <f t="shared" si="0"/>
        <v>2</v>
      </c>
      <c r="DO11">
        <f t="shared" si="0"/>
        <v>3</v>
      </c>
      <c r="DP11">
        <f t="shared" si="0"/>
        <v>4</v>
      </c>
      <c r="DQ11">
        <f t="shared" si="0"/>
        <v>5</v>
      </c>
      <c r="DR11">
        <f t="shared" si="0"/>
        <v>6</v>
      </c>
      <c r="DS11">
        <f t="shared" si="0"/>
        <v>7</v>
      </c>
      <c r="DT11">
        <f t="shared" si="0"/>
        <v>8</v>
      </c>
      <c r="DU11">
        <f t="shared" si="0"/>
        <v>9</v>
      </c>
      <c r="DV11">
        <f t="shared" si="0"/>
        <v>10</v>
      </c>
      <c r="DZ11" s="5"/>
      <c r="EA11" s="5"/>
      <c r="EB11" s="5"/>
      <c r="EC11" s="5"/>
      <c r="ED11" s="5"/>
      <c r="EE11" s="5"/>
      <c r="EF11" s="5"/>
      <c r="EG11" s="5"/>
      <c r="EH11" s="5"/>
      <c r="EI11" s="5"/>
      <c r="EJ11" s="5"/>
      <c r="EK11" s="5"/>
      <c r="EL11" s="5"/>
      <c r="EM11" s="5"/>
      <c r="EN11" s="5"/>
      <c r="EO11" s="5"/>
      <c r="EP11" s="5"/>
      <c r="EQ11" s="5"/>
      <c r="ER11" s="5"/>
      <c r="ES11" s="5"/>
      <c r="FL11"/>
      <c r="FM11"/>
      <c r="FN11"/>
      <c r="FO11"/>
      <c r="FP11"/>
      <c r="FQ11"/>
      <c r="FR11"/>
      <c r="FS11"/>
      <c r="FT11"/>
      <c r="FU11" t="s">
        <v>1183</v>
      </c>
      <c r="FV11"/>
      <c r="FW11"/>
      <c r="FX11"/>
      <c r="FY11"/>
      <c r="FZ11"/>
      <c r="GA11"/>
      <c r="GB11"/>
      <c r="GC11" s="92"/>
      <c r="GD11"/>
      <c r="GE11"/>
      <c r="GF11"/>
      <c r="GG11"/>
      <c r="GH11"/>
      <c r="GI11"/>
      <c r="GJ11"/>
      <c r="GK11"/>
      <c r="GL11"/>
      <c r="GM11"/>
      <c r="GN11"/>
      <c r="GO11"/>
      <c r="GP11"/>
      <c r="GQ11"/>
      <c r="GR11"/>
      <c r="GS11"/>
      <c r="GT11" t="s">
        <v>1181</v>
      </c>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K11" s="1463"/>
    </row>
    <row r="12" spans="1:252" s="161" customFormat="1" ht="13.5" thickBot="1">
      <c r="A12" s="149" t="s">
        <v>320</v>
      </c>
      <c r="B12" s="551"/>
      <c r="C12" s="150"/>
      <c r="D12" s="150"/>
      <c r="E12" s="150"/>
      <c r="F12" s="176"/>
      <c r="G12" s="146" t="s">
        <v>125</v>
      </c>
      <c r="H12" s="147"/>
      <c r="I12" s="116" t="str">
        <f>IF(BasisNumber=1,"Prices","Basis-Adjusted Prices")</f>
        <v>Prices</v>
      </c>
      <c r="J12" s="117"/>
      <c r="K12" s="117"/>
      <c r="L12" s="117"/>
      <c r="M12" s="117"/>
      <c r="N12" s="117"/>
      <c r="O12" s="117"/>
      <c r="P12" s="117"/>
      <c r="Q12" s="117"/>
      <c r="R12" s="117"/>
      <c r="S12" s="117"/>
      <c r="T12" s="119"/>
      <c r="U12" s="539" t="s">
        <v>126</v>
      </c>
      <c r="V12" s="502"/>
      <c r="W12" s="502"/>
      <c r="X12" s="502"/>
      <c r="Y12" s="502"/>
      <c r="Z12" s="502"/>
      <c r="AA12" s="502"/>
      <c r="AB12" s="502"/>
      <c r="AC12" s="502"/>
      <c r="AD12" s="502"/>
      <c r="AE12" s="502"/>
      <c r="AF12" s="502"/>
      <c r="AG12" s="502"/>
      <c r="AH12" s="502"/>
      <c r="AI12" s="502"/>
      <c r="AJ12" s="502"/>
      <c r="AK12" s="502"/>
      <c r="AL12" s="502"/>
      <c r="AM12" s="502"/>
      <c r="AN12" s="502"/>
      <c r="AO12" s="503"/>
      <c r="AP12" s="502"/>
      <c r="AQ12" s="502"/>
      <c r="AR12" s="503"/>
      <c r="AS12" s="557" t="s">
        <v>335</v>
      </c>
      <c r="AT12" s="1342" t="s">
        <v>127</v>
      </c>
      <c r="AU12" s="1314"/>
      <c r="AV12" s="1314"/>
      <c r="AW12" s="1314"/>
      <c r="AX12" s="97"/>
      <c r="AY12" s="586"/>
      <c r="AZ12" s="527" t="s">
        <v>916</v>
      </c>
      <c r="BA12" s="527"/>
      <c r="BB12" s="527"/>
      <c r="BC12" s="527"/>
      <c r="BD12" s="527"/>
      <c r="BE12" s="527"/>
      <c r="BF12" s="527"/>
      <c r="BG12" s="528"/>
      <c r="BH12" s="527" t="s">
        <v>918</v>
      </c>
      <c r="BI12" s="527"/>
      <c r="BJ12" s="527"/>
      <c r="BK12" s="527"/>
      <c r="BL12" s="527"/>
      <c r="BM12" s="528"/>
      <c r="BN12" s="528"/>
      <c r="BO12" s="528"/>
      <c r="BP12" s="1351" t="s">
        <v>268</v>
      </c>
      <c r="BQ12" s="1313"/>
      <c r="BR12" s="1351" t="s">
        <v>272</v>
      </c>
      <c r="BS12" s="1313"/>
      <c r="BT12" s="1345"/>
      <c r="BU12" s="1298"/>
      <c r="BV12" s="1298"/>
      <c r="BW12" s="1298"/>
      <c r="BX12" s="1298"/>
      <c r="BY12" s="1298"/>
      <c r="BZ12" s="1298"/>
      <c r="CA12" s="1298"/>
      <c r="CB12" s="1298"/>
      <c r="CC12" s="1298"/>
      <c r="CD12" s="1298"/>
      <c r="CE12" s="1298"/>
      <c r="CF12" s="1298"/>
      <c r="CG12" s="1298"/>
      <c r="CH12" s="1298"/>
      <c r="CI12" s="1298"/>
      <c r="CJ12" s="1298"/>
      <c r="CK12" s="1298"/>
      <c r="CL12" s="1298"/>
      <c r="CM12" s="1298"/>
      <c r="CN12" s="1299"/>
      <c r="CO12" s="1635" t="s">
        <v>128</v>
      </c>
      <c r="CP12" s="1636"/>
      <c r="CQ12" s="1636"/>
      <c r="CR12" s="1636"/>
      <c r="CS12" s="1637"/>
      <c r="CT12" s="1636"/>
      <c r="CU12" s="1312"/>
      <c r="CV12" s="1312"/>
      <c r="CW12" s="1312"/>
      <c r="CX12" s="1312"/>
      <c r="CY12" s="1312"/>
      <c r="CZ12" s="1312"/>
      <c r="DA12" s="1312"/>
      <c r="DB12" s="1312"/>
      <c r="DC12" s="1312"/>
      <c r="DD12" s="1312"/>
      <c r="DE12" s="1312"/>
      <c r="DF12" s="1312"/>
      <c r="DG12" s="1312"/>
      <c r="DH12" s="1312"/>
      <c r="DI12" s="1312"/>
      <c r="DJ12" s="1312"/>
      <c r="DK12" s="1312"/>
      <c r="DL12" s="1312"/>
      <c r="DM12" s="1312"/>
      <c r="DN12" s="1312"/>
      <c r="DO12" s="1312"/>
      <c r="DP12" s="1312"/>
      <c r="DQ12" s="1312"/>
      <c r="DR12" s="1312"/>
      <c r="DS12" s="1312"/>
      <c r="DT12" s="1312"/>
      <c r="DU12" s="1312"/>
      <c r="DV12" s="1312"/>
      <c r="DW12" s="1312"/>
      <c r="DX12" s="1312"/>
      <c r="DY12" s="1312"/>
      <c r="DZ12" s="1638"/>
      <c r="EA12" s="1638"/>
      <c r="EB12" s="1638"/>
      <c r="EC12" s="1638"/>
      <c r="ED12" s="1638"/>
      <c r="EE12" s="1312"/>
      <c r="EF12" s="1312"/>
      <c r="EG12" s="1312"/>
      <c r="EH12" s="1312"/>
      <c r="EI12" s="1312"/>
      <c r="EJ12" s="1312"/>
      <c r="EK12" s="1312"/>
      <c r="EL12" s="1312"/>
      <c r="EM12" s="1312"/>
      <c r="EN12" s="1312"/>
      <c r="EO12" s="1312"/>
      <c r="EP12" s="1312"/>
      <c r="EQ12" s="1312"/>
      <c r="ER12" s="1312"/>
      <c r="ES12" s="1312"/>
      <c r="ET12" s="1312"/>
      <c r="EU12" s="1312"/>
      <c r="EV12" s="1312"/>
      <c r="EW12" s="1312"/>
      <c r="EX12" s="1721"/>
      <c r="EY12" s="1312"/>
      <c r="EZ12" s="1312"/>
      <c r="FA12" s="1312"/>
      <c r="FB12" s="1312"/>
      <c r="FC12" s="1721"/>
      <c r="FD12" s="1320"/>
      <c r="FE12" s="1320"/>
      <c r="FF12" s="1320"/>
      <c r="FG12" s="1320"/>
      <c r="FH12" s="1320"/>
      <c r="FI12" s="1320"/>
      <c r="FJ12" s="1320"/>
      <c r="FK12" s="1320"/>
      <c r="FL12" s="161" t="s">
        <v>217</v>
      </c>
      <c r="GD12" s="1629"/>
      <c r="GE12" s="1629"/>
      <c r="GF12" s="1629"/>
      <c r="GG12" s="1629"/>
      <c r="GH12" s="1629"/>
      <c r="GI12" s="1629"/>
      <c r="GJ12" s="1629"/>
      <c r="GK12" s="1629"/>
      <c r="GL12" s="1321" t="s">
        <v>217</v>
      </c>
      <c r="GM12" s="1321"/>
      <c r="GN12" s="1321"/>
      <c r="GO12" s="1321"/>
      <c r="GP12" s="1321"/>
      <c r="GQ12" s="1321"/>
      <c r="GR12" s="1321"/>
      <c r="GS12" s="1321"/>
      <c r="GT12" s="1321" t="s">
        <v>1182</v>
      </c>
      <c r="GU12" s="1321"/>
      <c r="GV12" s="1321"/>
      <c r="GW12" s="1321"/>
      <c r="GX12" s="1321"/>
      <c r="GY12" s="1321"/>
      <c r="GZ12" s="1321"/>
      <c r="HA12" s="1321"/>
      <c r="HB12" s="1321"/>
      <c r="HC12"/>
      <c r="HD12"/>
      <c r="HE12"/>
      <c r="HF12"/>
      <c r="HG12"/>
      <c r="HH12"/>
      <c r="HI12"/>
      <c r="HJ12"/>
      <c r="HK12"/>
      <c r="HL12"/>
      <c r="HM12"/>
      <c r="HN12"/>
      <c r="HO12" s="1321"/>
      <c r="HP12" s="1321"/>
      <c r="HQ12" s="1321"/>
      <c r="HR12" s="1321"/>
      <c r="HS12" s="1321"/>
      <c r="HT12" s="1321"/>
      <c r="HU12" s="1321"/>
      <c r="HV12" s="1321"/>
      <c r="HW12" s="1321"/>
      <c r="HX12" s="1321"/>
      <c r="HY12" s="1321"/>
      <c r="HZ12" s="1321"/>
      <c r="IA12" s="1321"/>
      <c r="IB12" s="1321"/>
      <c r="IC12" s="1321"/>
      <c r="ID12" s="1321"/>
      <c r="IE12" s="1321"/>
      <c r="IF12" s="1321"/>
      <c r="IG12" s="1321"/>
      <c r="IH12" s="1321"/>
      <c r="II12" s="1321"/>
      <c r="IJ12"/>
      <c r="IK12"/>
      <c r="IL12"/>
      <c r="IM12"/>
      <c r="IN12"/>
      <c r="IO12"/>
      <c r="IP12"/>
      <c r="IQ12"/>
      <c r="IR12"/>
    </row>
    <row r="13" spans="1:252" s="1327" customFormat="1" ht="13.5" thickBot="1">
      <c r="A13" s="1322"/>
      <c r="B13" s="1322"/>
      <c r="C13" s="1323"/>
      <c r="D13" s="1324"/>
      <c r="E13" s="1325"/>
      <c r="F13" s="1326"/>
      <c r="G13" s="182"/>
      <c r="H13" s="183"/>
      <c r="I13" s="550" t="s">
        <v>116</v>
      </c>
      <c r="J13" s="438"/>
      <c r="K13" s="439"/>
      <c r="L13" s="542" t="s">
        <v>216</v>
      </c>
      <c r="M13" s="536"/>
      <c r="N13" s="537"/>
      <c r="O13" s="1483" t="s">
        <v>221</v>
      </c>
      <c r="P13" s="1317"/>
      <c r="Q13" s="523"/>
      <c r="R13" s="1341" t="s">
        <v>344</v>
      </c>
      <c r="S13" s="1317"/>
      <c r="T13" s="1318"/>
      <c r="U13" s="201" t="s">
        <v>167</v>
      </c>
      <c r="V13" s="201"/>
      <c r="W13" s="202"/>
      <c r="X13" s="203" t="s">
        <v>167</v>
      </c>
      <c r="Y13" s="201"/>
      <c r="Z13" s="202"/>
      <c r="AA13" s="203" t="s">
        <v>167</v>
      </c>
      <c r="AB13" s="201"/>
      <c r="AC13" s="202"/>
      <c r="AD13" s="203" t="s">
        <v>167</v>
      </c>
      <c r="AE13" s="201"/>
      <c r="AF13" s="202"/>
      <c r="AG13" s="203" t="s">
        <v>89</v>
      </c>
      <c r="AH13" s="201"/>
      <c r="AI13" s="202"/>
      <c r="AJ13" s="215" t="s">
        <v>89</v>
      </c>
      <c r="AK13" s="213"/>
      <c r="AL13" s="214"/>
      <c r="AM13" s="203" t="s">
        <v>89</v>
      </c>
      <c r="AN13" s="201"/>
      <c r="AO13" s="201"/>
      <c r="AP13" s="215" t="s">
        <v>89</v>
      </c>
      <c r="AQ13" s="213"/>
      <c r="AR13" s="522"/>
      <c r="AS13" s="558" t="s">
        <v>344</v>
      </c>
      <c r="AT13" s="1343" t="s">
        <v>90</v>
      </c>
      <c r="AU13" s="336"/>
      <c r="AV13" s="336"/>
      <c r="AW13" s="336"/>
      <c r="AX13" s="1300"/>
      <c r="AY13" s="587" t="s">
        <v>73</v>
      </c>
      <c r="AZ13" s="504" t="s">
        <v>91</v>
      </c>
      <c r="BA13" s="504"/>
      <c r="BB13" s="504"/>
      <c r="BC13" s="191"/>
      <c r="BD13" s="190" t="s">
        <v>92</v>
      </c>
      <c r="BE13" s="504"/>
      <c r="BF13" s="504"/>
      <c r="BG13" s="191"/>
      <c r="BH13" s="504" t="s">
        <v>91</v>
      </c>
      <c r="BI13" s="504"/>
      <c r="BJ13" s="504"/>
      <c r="BK13" s="191"/>
      <c r="BL13" s="190" t="s">
        <v>92</v>
      </c>
      <c r="BM13" s="504"/>
      <c r="BN13" s="504"/>
      <c r="BO13" s="191"/>
      <c r="BP13" s="1352" t="s">
        <v>921</v>
      </c>
      <c r="BQ13" s="1319"/>
      <c r="BR13" s="1353" t="s">
        <v>921</v>
      </c>
      <c r="BS13" s="1319"/>
      <c r="BT13" s="192" t="s">
        <v>93</v>
      </c>
      <c r="BU13" s="1484" t="s">
        <v>945</v>
      </c>
      <c r="BV13" s="1301"/>
      <c r="BW13" s="1301"/>
      <c r="BX13" s="1301"/>
      <c r="BY13" s="1301"/>
      <c r="BZ13" s="1302"/>
      <c r="CA13" s="1484" t="s">
        <v>944</v>
      </c>
      <c r="CB13" s="1301"/>
      <c r="CC13" s="1301"/>
      <c r="CD13" s="1301"/>
      <c r="CE13" s="1301"/>
      <c r="CF13" s="1302"/>
      <c r="CG13" s="438" t="s">
        <v>126</v>
      </c>
      <c r="CH13" s="438"/>
      <c r="CI13" s="438"/>
      <c r="CJ13" s="438"/>
      <c r="CK13" s="438"/>
      <c r="CL13" s="438"/>
      <c r="CM13" s="438"/>
      <c r="CN13" s="438"/>
      <c r="CO13" s="1346" t="s">
        <v>1081</v>
      </c>
      <c r="CP13" s="1303"/>
      <c r="CQ13" s="1303"/>
      <c r="CR13" s="1303"/>
      <c r="CS13" s="1621"/>
      <c r="CT13" s="1304"/>
      <c r="CU13" s="316" t="s">
        <v>1080</v>
      </c>
      <c r="CV13" s="186" t="s">
        <v>336</v>
      </c>
      <c r="CW13" s="488" t="s">
        <v>946</v>
      </c>
      <c r="CX13" s="488"/>
      <c r="CY13" s="488"/>
      <c r="CZ13" s="488"/>
      <c r="DA13" s="437"/>
      <c r="DB13" s="542" t="s">
        <v>94</v>
      </c>
      <c r="DC13" s="536"/>
      <c r="DD13" s="536"/>
      <c r="DE13" s="536"/>
      <c r="DF13" s="537"/>
      <c r="DG13" s="536"/>
      <c r="DH13" s="437" t="s">
        <v>95</v>
      </c>
      <c r="DI13" s="438"/>
      <c r="DJ13" s="438"/>
      <c r="DK13" s="438"/>
      <c r="DL13" s="537"/>
      <c r="DM13" s="542" t="s">
        <v>96</v>
      </c>
      <c r="DN13" s="536"/>
      <c r="DO13" s="536"/>
      <c r="DP13" s="536"/>
      <c r="DQ13" s="537"/>
      <c r="DR13" s="542" t="s">
        <v>381</v>
      </c>
      <c r="DS13" s="536"/>
      <c r="DT13" s="536"/>
      <c r="DU13" s="536"/>
      <c r="DV13" s="537"/>
      <c r="DW13" s="537"/>
      <c r="DX13" s="537"/>
      <c r="DY13" s="537"/>
      <c r="DZ13" s="536" t="s">
        <v>922</v>
      </c>
      <c r="EA13" s="536"/>
      <c r="EB13" s="536"/>
      <c r="EC13" s="536"/>
      <c r="ED13" s="537"/>
      <c r="EE13" s="1881" t="s">
        <v>923</v>
      </c>
      <c r="EF13" s="1882"/>
      <c r="EG13" s="1882"/>
      <c r="EH13" s="1882"/>
      <c r="EI13" s="1883"/>
      <c r="EJ13" s="438" t="s">
        <v>1144</v>
      </c>
      <c r="EK13" s="438"/>
      <c r="EL13" s="438"/>
      <c r="EM13" s="438"/>
      <c r="EN13" s="439"/>
      <c r="EO13" s="438" t="s">
        <v>924</v>
      </c>
      <c r="EP13" s="438"/>
      <c r="EQ13" s="438"/>
      <c r="ER13" s="438"/>
      <c r="ES13" s="439"/>
      <c r="ET13" s="1881" t="s">
        <v>925</v>
      </c>
      <c r="EU13" s="1882"/>
      <c r="EV13" s="1882"/>
      <c r="EW13" s="1882"/>
      <c r="EX13" s="1882"/>
      <c r="EY13" s="1881" t="s">
        <v>1145</v>
      </c>
      <c r="EZ13" s="1882"/>
      <c r="FA13" s="1882"/>
      <c r="FB13" s="1882"/>
      <c r="FC13" s="1882"/>
      <c r="FD13" s="1345" t="s">
        <v>384</v>
      </c>
      <c r="FE13" s="1473"/>
      <c r="FF13" s="1298"/>
      <c r="FG13" s="1298"/>
      <c r="FH13" s="1298"/>
      <c r="FI13" s="1298"/>
      <c r="FJ13" s="1298"/>
      <c r="FK13" s="1299"/>
      <c r="FL13" s="1361" t="s">
        <v>388</v>
      </c>
      <c r="FM13" s="1298"/>
      <c r="FN13" s="1298"/>
      <c r="FO13" s="1298"/>
      <c r="FP13" s="1298"/>
      <c r="FQ13" s="1298"/>
      <c r="FR13" s="1298"/>
      <c r="FS13" s="1299"/>
      <c r="FT13" s="1372" t="s">
        <v>386</v>
      </c>
      <c r="FU13" s="1298"/>
      <c r="FV13" s="1298"/>
      <c r="FW13" s="1298"/>
      <c r="FX13" s="1298"/>
      <c r="FY13" s="1298"/>
      <c r="FZ13" s="1298"/>
      <c r="GA13" s="1298"/>
      <c r="GB13" s="1298"/>
      <c r="GC13" s="1298"/>
      <c r="GD13" s="1299"/>
      <c r="GE13" s="1884" t="s">
        <v>1198</v>
      </c>
      <c r="GF13" s="1885"/>
      <c r="GG13" s="1885"/>
      <c r="GH13" s="1885"/>
      <c r="GI13" s="1885"/>
      <c r="GJ13" s="1885"/>
      <c r="GK13" s="1886"/>
      <c r="GL13" s="1373" t="s">
        <v>387</v>
      </c>
      <c r="GM13" s="1308"/>
      <c r="GN13" s="1308"/>
      <c r="GO13" s="1308"/>
      <c r="GP13" s="1308"/>
      <c r="GQ13" s="1308"/>
      <c r="GR13" s="1309"/>
      <c r="GS13" s="1878" t="s">
        <v>1185</v>
      </c>
      <c r="GT13" s="1879"/>
      <c r="GU13" s="1879"/>
      <c r="GV13" s="1879"/>
      <c r="GW13" s="1880"/>
      <c r="GX13" s="1878" t="s">
        <v>1186</v>
      </c>
      <c r="GY13" s="1879"/>
      <c r="GZ13" s="1879"/>
      <c r="HA13" s="1879"/>
      <c r="HB13" s="1880"/>
      <c r="HC13" s="1878" t="s">
        <v>1187</v>
      </c>
      <c r="HD13" s="1879"/>
      <c r="HE13" s="1879"/>
      <c r="HF13" s="1879"/>
      <c r="HG13" s="1880"/>
      <c r="HH13" s="1878" t="s">
        <v>1188</v>
      </c>
      <c r="HI13" s="1879"/>
      <c r="HJ13" s="1879"/>
      <c r="HK13" s="1879"/>
      <c r="HL13" s="1880"/>
      <c r="HM13" s="1839"/>
      <c r="HN13"/>
      <c r="HO13" s="1412"/>
      <c r="HP13" s="1630" t="s">
        <v>1088</v>
      </c>
      <c r="HQ13" s="662"/>
      <c r="HR13" s="662"/>
      <c r="HS13" s="662"/>
      <c r="HT13" s="662"/>
      <c r="HU13" s="662"/>
      <c r="HV13" s="662"/>
      <c r="HW13" s="662"/>
      <c r="HX13" s="662"/>
      <c r="HY13" s="662"/>
      <c r="HZ13" s="662"/>
      <c r="IA13" s="662"/>
      <c r="IB13" s="662"/>
      <c r="IC13" s="662"/>
      <c r="ID13" s="662"/>
      <c r="IE13" s="662"/>
      <c r="IF13" s="662"/>
      <c r="IG13" s="662"/>
      <c r="IH13" s="662"/>
      <c r="II13" s="663"/>
      <c r="IJ13"/>
      <c r="IK13"/>
      <c r="IL13"/>
      <c r="IM13"/>
      <c r="IN13"/>
      <c r="IO13"/>
      <c r="IP13"/>
      <c r="IQ13"/>
      <c r="IR13"/>
    </row>
    <row r="14" spans="1:252" s="1327" customFormat="1">
      <c r="A14" s="192" t="s">
        <v>97</v>
      </c>
      <c r="B14" s="1322"/>
      <c r="C14" s="1323"/>
      <c r="D14" s="179" t="s">
        <v>98</v>
      </c>
      <c r="E14" s="217" t="s">
        <v>99</v>
      </c>
      <c r="F14" s="321" t="s">
        <v>99</v>
      </c>
      <c r="G14" s="194" t="s">
        <v>100</v>
      </c>
      <c r="H14" s="195" t="s">
        <v>101</v>
      </c>
      <c r="I14" s="187" t="s">
        <v>360</v>
      </c>
      <c r="J14" s="188"/>
      <c r="K14" s="188"/>
      <c r="L14" s="542" t="s">
        <v>360</v>
      </c>
      <c r="M14" s="536"/>
      <c r="N14" s="537"/>
      <c r="O14" s="188" t="s">
        <v>360</v>
      </c>
      <c r="P14" s="188"/>
      <c r="Q14" s="199"/>
      <c r="R14" s="538"/>
      <c r="S14" s="536"/>
      <c r="T14" s="540"/>
      <c r="U14" s="201" t="s">
        <v>360</v>
      </c>
      <c r="V14" s="201"/>
      <c r="W14" s="202"/>
      <c r="X14" s="203" t="s">
        <v>119</v>
      </c>
      <c r="Y14" s="201"/>
      <c r="Z14" s="202"/>
      <c r="AA14" s="203" t="s">
        <v>120</v>
      </c>
      <c r="AB14" s="201"/>
      <c r="AC14" s="202"/>
      <c r="AD14" s="203" t="s">
        <v>344</v>
      </c>
      <c r="AE14" s="201"/>
      <c r="AF14" s="202"/>
      <c r="AG14" s="203" t="s">
        <v>360</v>
      </c>
      <c r="AH14" s="201"/>
      <c r="AI14" s="202"/>
      <c r="AJ14" s="203" t="s">
        <v>119</v>
      </c>
      <c r="AK14" s="201"/>
      <c r="AL14" s="202"/>
      <c r="AM14" s="203" t="s">
        <v>120</v>
      </c>
      <c r="AN14" s="201"/>
      <c r="AO14" s="201"/>
      <c r="AP14" s="203" t="s">
        <v>344</v>
      </c>
      <c r="AQ14" s="201"/>
      <c r="AR14" s="204"/>
      <c r="AS14" s="558" t="s">
        <v>102</v>
      </c>
      <c r="AT14" s="1343" t="s">
        <v>103</v>
      </c>
      <c r="AU14" s="336"/>
      <c r="AV14" s="336"/>
      <c r="AW14" s="336"/>
      <c r="AX14" s="1300"/>
      <c r="AY14" s="587" t="s">
        <v>253</v>
      </c>
      <c r="AZ14" s="196" t="s">
        <v>104</v>
      </c>
      <c r="BA14" s="196"/>
      <c r="BB14" s="196"/>
      <c r="BC14" s="197"/>
      <c r="BD14" s="198" t="s">
        <v>353</v>
      </c>
      <c r="BE14" s="196"/>
      <c r="BF14" s="196"/>
      <c r="BG14" s="197"/>
      <c r="BH14" s="196" t="s">
        <v>104</v>
      </c>
      <c r="BI14" s="196"/>
      <c r="BJ14" s="196"/>
      <c r="BK14" s="197"/>
      <c r="BL14" s="198" t="s">
        <v>353</v>
      </c>
      <c r="BM14" s="196"/>
      <c r="BN14" s="196"/>
      <c r="BO14" s="197"/>
      <c r="BP14" s="1353" t="s">
        <v>91</v>
      </c>
      <c r="BQ14" s="1319"/>
      <c r="BR14" s="1354" t="s">
        <v>91</v>
      </c>
      <c r="BS14" s="1319"/>
      <c r="BT14" s="192" t="s">
        <v>105</v>
      </c>
      <c r="BU14" s="186" t="s">
        <v>360</v>
      </c>
      <c r="BV14" s="184" t="s">
        <v>360</v>
      </c>
      <c r="BW14" s="184" t="s">
        <v>360</v>
      </c>
      <c r="BX14" s="184" t="s">
        <v>344</v>
      </c>
      <c r="BY14" s="184" t="s">
        <v>360</v>
      </c>
      <c r="BZ14" s="185" t="s">
        <v>73</v>
      </c>
      <c r="CA14" s="179" t="s">
        <v>360</v>
      </c>
      <c r="CB14" s="179" t="s">
        <v>360</v>
      </c>
      <c r="CC14" s="179" t="s">
        <v>360</v>
      </c>
      <c r="CD14" s="179" t="s">
        <v>344</v>
      </c>
      <c r="CE14" s="179" t="s">
        <v>325</v>
      </c>
      <c r="CF14" s="185" t="s">
        <v>73</v>
      </c>
      <c r="CG14" s="437" t="s">
        <v>106</v>
      </c>
      <c r="CH14" s="438"/>
      <c r="CI14" s="438"/>
      <c r="CJ14" s="438"/>
      <c r="CK14" s="438"/>
      <c r="CL14" s="438"/>
      <c r="CM14" s="438"/>
      <c r="CN14" s="489"/>
      <c r="CO14" s="192" t="s">
        <v>360</v>
      </c>
      <c r="CP14" s="184" t="s">
        <v>360</v>
      </c>
      <c r="CQ14" s="184" t="s">
        <v>360</v>
      </c>
      <c r="CR14" s="179" t="s">
        <v>344</v>
      </c>
      <c r="CS14" s="1622" t="s">
        <v>257</v>
      </c>
      <c r="CT14" s="185" t="s">
        <v>258</v>
      </c>
      <c r="CU14" s="288" t="s">
        <v>183</v>
      </c>
      <c r="CV14" s="217" t="s">
        <v>1080</v>
      </c>
      <c r="CW14" s="217" t="s">
        <v>360</v>
      </c>
      <c r="CX14" s="184" t="s">
        <v>360</v>
      </c>
      <c r="CY14" s="184" t="s">
        <v>360</v>
      </c>
      <c r="CZ14" s="179" t="s">
        <v>344</v>
      </c>
      <c r="DA14" s="179" t="s">
        <v>168</v>
      </c>
      <c r="DB14" s="186" t="s">
        <v>360</v>
      </c>
      <c r="DC14" s="184" t="s">
        <v>360</v>
      </c>
      <c r="DD14" s="184" t="s">
        <v>360</v>
      </c>
      <c r="DE14" s="184" t="s">
        <v>344</v>
      </c>
      <c r="DF14" s="184" t="s">
        <v>257</v>
      </c>
      <c r="DG14" s="185" t="s">
        <v>258</v>
      </c>
      <c r="DH14" s="184" t="s">
        <v>360</v>
      </c>
      <c r="DI14" s="184" t="s">
        <v>360</v>
      </c>
      <c r="DJ14" s="184" t="s">
        <v>360</v>
      </c>
      <c r="DK14" s="184" t="s">
        <v>344</v>
      </c>
      <c r="DL14" s="184" t="s">
        <v>257</v>
      </c>
      <c r="DM14" s="184" t="s">
        <v>360</v>
      </c>
      <c r="DN14" s="184" t="s">
        <v>360</v>
      </c>
      <c r="DO14" s="184" t="s">
        <v>360</v>
      </c>
      <c r="DP14" s="184" t="s">
        <v>344</v>
      </c>
      <c r="DQ14" s="184" t="str">
        <f>IF(OVolType,"Blended","Total")</f>
        <v>Blended</v>
      </c>
      <c r="DR14" s="184" t="s">
        <v>360</v>
      </c>
      <c r="DS14" s="184" t="s">
        <v>360</v>
      </c>
      <c r="DT14" s="184" t="s">
        <v>360</v>
      </c>
      <c r="DU14" s="184" t="s">
        <v>344</v>
      </c>
      <c r="DV14" s="184" t="str">
        <f>IF(OVolType,"Blended","Total")</f>
        <v>Blended</v>
      </c>
      <c r="DW14" s="1367" t="s">
        <v>258</v>
      </c>
      <c r="DX14" s="185" t="s">
        <v>258</v>
      </c>
      <c r="DY14" s="185" t="s">
        <v>258</v>
      </c>
      <c r="DZ14" s="186" t="s">
        <v>360</v>
      </c>
      <c r="EA14" s="184" t="s">
        <v>360</v>
      </c>
      <c r="EB14" s="184" t="s">
        <v>360</v>
      </c>
      <c r="EC14" s="184" t="s">
        <v>344</v>
      </c>
      <c r="ED14" s="185" t="str">
        <f>IF(OVolType,"Blended","Total")</f>
        <v>Blended</v>
      </c>
      <c r="EE14" s="179" t="s">
        <v>360</v>
      </c>
      <c r="EF14" s="217" t="s">
        <v>360</v>
      </c>
      <c r="EG14" s="217" t="s">
        <v>360</v>
      </c>
      <c r="EH14" s="217" t="s">
        <v>344</v>
      </c>
      <c r="EI14" s="288" t="str">
        <f>IF(OVolType,"Blended","Total")</f>
        <v>Blended</v>
      </c>
      <c r="EJ14" s="186" t="s">
        <v>360</v>
      </c>
      <c r="EK14" s="184" t="s">
        <v>360</v>
      </c>
      <c r="EL14" s="184" t="s">
        <v>360</v>
      </c>
      <c r="EM14" s="184" t="s">
        <v>344</v>
      </c>
      <c r="EN14" s="185" t="str">
        <f>IF(OVolType,"Blended","Total")</f>
        <v>Blended</v>
      </c>
      <c r="EO14" s="179" t="s">
        <v>360</v>
      </c>
      <c r="EP14" s="217" t="s">
        <v>360</v>
      </c>
      <c r="EQ14" s="217" t="s">
        <v>360</v>
      </c>
      <c r="ER14" s="217" t="s">
        <v>344</v>
      </c>
      <c r="ES14" s="217" t="str">
        <f>IF(OVolType,"Blended","Total")</f>
        <v>Blended</v>
      </c>
      <c r="ET14" s="217" t="s">
        <v>360</v>
      </c>
      <c r="EU14" s="217" t="s">
        <v>360</v>
      </c>
      <c r="EV14" s="217" t="s">
        <v>360</v>
      </c>
      <c r="EW14" s="217" t="s">
        <v>344</v>
      </c>
      <c r="EX14" s="217" t="s">
        <v>73</v>
      </c>
      <c r="EY14" s="217" t="s">
        <v>360</v>
      </c>
      <c r="EZ14" s="217" t="s">
        <v>360</v>
      </c>
      <c r="FA14" s="217" t="s">
        <v>360</v>
      </c>
      <c r="FB14" s="217" t="s">
        <v>344</v>
      </c>
      <c r="FC14" s="217" t="s">
        <v>73</v>
      </c>
      <c r="FD14" s="1474" t="s">
        <v>941</v>
      </c>
      <c r="FE14" s="1471" t="s">
        <v>392</v>
      </c>
      <c r="FF14" s="1296"/>
      <c r="FG14" s="1296"/>
      <c r="FH14" s="1296"/>
      <c r="FI14" s="316" t="s">
        <v>389</v>
      </c>
      <c r="FJ14" s="316" t="s">
        <v>389</v>
      </c>
      <c r="FK14" s="635" t="s">
        <v>389</v>
      </c>
      <c r="FL14" s="1347" t="s">
        <v>917</v>
      </c>
      <c r="FM14" s="1301"/>
      <c r="FN14" s="1301"/>
      <c r="FO14" s="1302"/>
      <c r="FP14" s="1344" t="s">
        <v>919</v>
      </c>
      <c r="FQ14" s="1301"/>
      <c r="FR14" s="1301"/>
      <c r="FS14" s="1310"/>
      <c r="FT14" s="1362" t="s">
        <v>917</v>
      </c>
      <c r="FU14" s="1305"/>
      <c r="FV14" s="1305"/>
      <c r="FW14" s="1297"/>
      <c r="FX14" s="1363" t="s">
        <v>920</v>
      </c>
      <c r="FY14" s="1305"/>
      <c r="FZ14" s="1305"/>
      <c r="GA14" s="1297"/>
      <c r="GB14" s="1364" t="s">
        <v>396</v>
      </c>
      <c r="GC14" s="1305"/>
      <c r="GD14" s="1305"/>
      <c r="GE14" s="1873" t="s">
        <v>1082</v>
      </c>
      <c r="GF14" s="1874"/>
      <c r="GG14" s="1874"/>
      <c r="GH14" s="1875"/>
      <c r="GI14" s="1876" t="s">
        <v>393</v>
      </c>
      <c r="GJ14" s="1874"/>
      <c r="GK14" s="1877"/>
      <c r="GL14" s="1365" t="s">
        <v>385</v>
      </c>
      <c r="GM14" s="1306"/>
      <c r="GN14" s="1306"/>
      <c r="GO14" s="1315"/>
      <c r="GP14" s="1366" t="s">
        <v>410</v>
      </c>
      <c r="GQ14" s="1306"/>
      <c r="GR14" s="1307"/>
      <c r="GS14" s="1835"/>
      <c r="GT14" s="1836"/>
      <c r="GU14" s="1836"/>
      <c r="GV14" s="1836"/>
      <c r="GW14" s="1837"/>
      <c r="GX14" s="1835"/>
      <c r="GY14" s="1836"/>
      <c r="GZ14" s="1836"/>
      <c r="HA14" s="1836"/>
      <c r="HB14" s="1837"/>
      <c r="HC14" s="1835"/>
      <c r="HD14" s="1836"/>
      <c r="HE14" s="1836"/>
      <c r="HF14" s="1836"/>
      <c r="HG14" s="1837"/>
      <c r="HH14" s="1835"/>
      <c r="HI14" s="1836"/>
      <c r="HJ14" s="1836"/>
      <c r="HK14" s="1836"/>
      <c r="HL14" s="1837"/>
      <c r="HM14" s="1840" t="s">
        <v>1253</v>
      </c>
      <c r="HN14" s="660"/>
      <c r="HO14" s="587"/>
      <c r="HP14" s="1620" t="s">
        <v>395</v>
      </c>
      <c r="HQ14" s="1477"/>
      <c r="HR14" s="1477"/>
      <c r="HS14" s="1477"/>
      <c r="HT14" s="1477"/>
      <c r="HU14" s="1477"/>
      <c r="HV14" s="1477"/>
      <c r="HW14" s="1477"/>
      <c r="HX14" s="1477"/>
      <c r="HY14" s="1477"/>
      <c r="HZ14" s="1631" t="s">
        <v>1033</v>
      </c>
      <c r="IA14" s="1631"/>
      <c r="IB14" s="1631"/>
      <c r="IC14" s="1631"/>
      <c r="ID14" s="1631"/>
      <c r="IE14" s="1631"/>
      <c r="IF14" s="1631"/>
      <c r="IG14" s="1631"/>
      <c r="IH14" s="1631"/>
      <c r="II14" s="1632"/>
      <c r="IJ14" s="1463" t="s">
        <v>1253</v>
      </c>
      <c r="IK14"/>
      <c r="IL14"/>
      <c r="IM14"/>
      <c r="IN14"/>
      <c r="IO14"/>
      <c r="IP14"/>
      <c r="IQ14"/>
      <c r="IR14"/>
    </row>
    <row r="15" spans="1:252" s="1327" customFormat="1">
      <c r="A15" s="192" t="s">
        <v>172</v>
      </c>
      <c r="B15" s="1322"/>
      <c r="C15" s="1323"/>
      <c r="D15" s="179" t="s">
        <v>107</v>
      </c>
      <c r="E15" s="217" t="s">
        <v>108</v>
      </c>
      <c r="F15" s="321" t="s">
        <v>109</v>
      </c>
      <c r="G15" s="194" t="s">
        <v>110</v>
      </c>
      <c r="H15" s="195" t="s">
        <v>111</v>
      </c>
      <c r="I15" s="187" t="s">
        <v>191</v>
      </c>
      <c r="J15" s="188"/>
      <c r="K15" s="188"/>
      <c r="L15" s="200" t="s">
        <v>191</v>
      </c>
      <c r="M15" s="188"/>
      <c r="N15" s="199"/>
      <c r="O15" s="188" t="s">
        <v>191</v>
      </c>
      <c r="P15" s="188"/>
      <c r="Q15" s="199"/>
      <c r="R15" s="188" t="s">
        <v>191</v>
      </c>
      <c r="S15" s="188"/>
      <c r="T15" s="189"/>
      <c r="U15" s="201" t="s">
        <v>183</v>
      </c>
      <c r="V15" s="201"/>
      <c r="W15" s="202"/>
      <c r="X15" s="203" t="s">
        <v>183</v>
      </c>
      <c r="Y15" s="201"/>
      <c r="Z15" s="202"/>
      <c r="AA15" s="203" t="s">
        <v>183</v>
      </c>
      <c r="AB15" s="201"/>
      <c r="AC15" s="202"/>
      <c r="AD15" s="203" t="s">
        <v>183</v>
      </c>
      <c r="AE15" s="201"/>
      <c r="AF15" s="202"/>
      <c r="AG15" s="203" t="s">
        <v>183</v>
      </c>
      <c r="AH15" s="201"/>
      <c r="AI15" s="202"/>
      <c r="AJ15" s="203" t="s">
        <v>183</v>
      </c>
      <c r="AK15" s="201"/>
      <c r="AL15" s="202"/>
      <c r="AM15" s="203" t="s">
        <v>183</v>
      </c>
      <c r="AN15" s="201"/>
      <c r="AO15" s="201"/>
      <c r="AP15" s="203" t="s">
        <v>183</v>
      </c>
      <c r="AQ15" s="201"/>
      <c r="AR15" s="204"/>
      <c r="AS15" s="558" t="s">
        <v>112</v>
      </c>
      <c r="AT15" s="192" t="s">
        <v>113</v>
      </c>
      <c r="AU15" s="179" t="s">
        <v>178</v>
      </c>
      <c r="AV15" s="179" t="s">
        <v>179</v>
      </c>
      <c r="AW15" s="179" t="s">
        <v>180</v>
      </c>
      <c r="AX15" s="193" t="s">
        <v>73</v>
      </c>
      <c r="AY15" s="588"/>
      <c r="AZ15" s="523" t="s">
        <v>123</v>
      </c>
      <c r="BA15" s="505" t="s">
        <v>121</v>
      </c>
      <c r="BB15" s="505" t="s">
        <v>122</v>
      </c>
      <c r="BC15" s="506" t="s">
        <v>344</v>
      </c>
      <c r="BD15" s="516" t="s">
        <v>123</v>
      </c>
      <c r="BE15" s="505" t="s">
        <v>121</v>
      </c>
      <c r="BF15" s="505" t="s">
        <v>122</v>
      </c>
      <c r="BG15" s="506" t="s">
        <v>344</v>
      </c>
      <c r="BH15" s="516" t="s">
        <v>123</v>
      </c>
      <c r="BI15" s="505" t="s">
        <v>121</v>
      </c>
      <c r="BJ15" s="505" t="s">
        <v>122</v>
      </c>
      <c r="BK15" s="506" t="s">
        <v>344</v>
      </c>
      <c r="BL15" s="516" t="s">
        <v>123</v>
      </c>
      <c r="BM15" s="505" t="s">
        <v>121</v>
      </c>
      <c r="BN15" s="505" t="s">
        <v>122</v>
      </c>
      <c r="BO15" s="506" t="s">
        <v>344</v>
      </c>
      <c r="BP15" s="1355" t="s">
        <v>104</v>
      </c>
      <c r="BQ15" s="1311"/>
      <c r="BR15" s="1356" t="s">
        <v>104</v>
      </c>
      <c r="BS15" s="1311"/>
      <c r="BT15" s="192" t="s">
        <v>114</v>
      </c>
      <c r="BU15" s="217" t="s">
        <v>113</v>
      </c>
      <c r="BV15" s="179" t="s">
        <v>178</v>
      </c>
      <c r="BW15" s="179" t="s">
        <v>179</v>
      </c>
      <c r="BX15" s="179"/>
      <c r="BY15" s="179" t="s">
        <v>73</v>
      </c>
      <c r="BZ15" s="181" t="s">
        <v>168</v>
      </c>
      <c r="CA15" s="179" t="s">
        <v>113</v>
      </c>
      <c r="CB15" s="179" t="s">
        <v>178</v>
      </c>
      <c r="CC15" s="179" t="s">
        <v>179</v>
      </c>
      <c r="CD15" s="179"/>
      <c r="CE15" s="179" t="s">
        <v>73</v>
      </c>
      <c r="CF15" s="181" t="s">
        <v>168</v>
      </c>
      <c r="CG15" s="179" t="s">
        <v>360</v>
      </c>
      <c r="CH15" s="179" t="s">
        <v>360</v>
      </c>
      <c r="CI15" s="179" t="s">
        <v>360</v>
      </c>
      <c r="CJ15" s="179" t="s">
        <v>259</v>
      </c>
      <c r="CK15" s="179" t="s">
        <v>260</v>
      </c>
      <c r="CL15" s="179" t="s">
        <v>344</v>
      </c>
      <c r="CM15" s="179" t="s">
        <v>257</v>
      </c>
      <c r="CN15" s="181" t="s">
        <v>258</v>
      </c>
      <c r="CO15" s="192"/>
      <c r="CP15" s="179" t="s">
        <v>178</v>
      </c>
      <c r="CQ15" s="179" t="s">
        <v>179</v>
      </c>
      <c r="CR15" s="179"/>
      <c r="CS15" s="1623" t="s">
        <v>168</v>
      </c>
      <c r="CT15" s="181" t="s">
        <v>943</v>
      </c>
      <c r="CU15" s="288"/>
      <c r="CV15" s="217" t="s">
        <v>112</v>
      </c>
      <c r="CW15" s="217"/>
      <c r="CX15" s="179" t="s">
        <v>178</v>
      </c>
      <c r="CY15" s="179" t="s">
        <v>179</v>
      </c>
      <c r="CZ15" s="179"/>
      <c r="DA15" s="179"/>
      <c r="DB15" s="217"/>
      <c r="DC15" s="179" t="s">
        <v>178</v>
      </c>
      <c r="DD15" s="179" t="s">
        <v>179</v>
      </c>
      <c r="DE15" s="179"/>
      <c r="DF15" s="179" t="s">
        <v>168</v>
      </c>
      <c r="DG15" s="181" t="s">
        <v>168</v>
      </c>
      <c r="DH15" s="179"/>
      <c r="DI15" s="179" t="s">
        <v>178</v>
      </c>
      <c r="DJ15" s="179" t="s">
        <v>179</v>
      </c>
      <c r="DK15" s="179"/>
      <c r="DL15" s="179" t="s">
        <v>168</v>
      </c>
      <c r="DM15" s="179"/>
      <c r="DN15" s="179" t="s">
        <v>178</v>
      </c>
      <c r="DO15" s="179" t="s">
        <v>179</v>
      </c>
      <c r="DP15" s="179"/>
      <c r="DQ15" s="179"/>
      <c r="DR15" s="179"/>
      <c r="DS15" s="179" t="s">
        <v>178</v>
      </c>
      <c r="DT15" s="179" t="s">
        <v>179</v>
      </c>
      <c r="DU15" s="179"/>
      <c r="DV15" s="179"/>
      <c r="DW15" s="1368" t="s">
        <v>929</v>
      </c>
      <c r="DX15" s="181" t="s">
        <v>344</v>
      </c>
      <c r="DY15" s="181" t="s">
        <v>168</v>
      </c>
      <c r="DZ15" s="217"/>
      <c r="EA15" s="179" t="s">
        <v>178</v>
      </c>
      <c r="EB15" s="179" t="s">
        <v>179</v>
      </c>
      <c r="EC15" s="179"/>
      <c r="ED15" s="181"/>
      <c r="EE15" s="179"/>
      <c r="EF15" s="217" t="s">
        <v>178</v>
      </c>
      <c r="EG15" s="217" t="s">
        <v>179</v>
      </c>
      <c r="EH15" s="217"/>
      <c r="EI15" s="288"/>
      <c r="EJ15" s="217"/>
      <c r="EK15" s="179" t="s">
        <v>178</v>
      </c>
      <c r="EL15" s="179" t="s">
        <v>179</v>
      </c>
      <c r="EM15" s="179"/>
      <c r="EN15" s="181"/>
      <c r="EO15" s="179"/>
      <c r="EP15" s="217" t="s">
        <v>178</v>
      </c>
      <c r="EQ15" s="217" t="s">
        <v>179</v>
      </c>
      <c r="ER15" s="217"/>
      <c r="ES15" s="217"/>
      <c r="ET15" s="217"/>
      <c r="EU15" s="217" t="s">
        <v>178</v>
      </c>
      <c r="EV15" s="217" t="s">
        <v>179</v>
      </c>
      <c r="EW15" s="217"/>
      <c r="EX15" s="217"/>
      <c r="EY15" s="217"/>
      <c r="EZ15" s="217" t="s">
        <v>178</v>
      </c>
      <c r="FA15" s="217" t="s">
        <v>179</v>
      </c>
      <c r="FB15" s="217"/>
      <c r="FC15" s="217"/>
      <c r="FD15" s="1475" t="s">
        <v>942</v>
      </c>
      <c r="FE15" s="1304" t="s">
        <v>123</v>
      </c>
      <c r="FF15" s="589" t="s">
        <v>121</v>
      </c>
      <c r="FG15" s="589" t="s">
        <v>122</v>
      </c>
      <c r="FH15" s="645" t="s">
        <v>344</v>
      </c>
      <c r="FI15" s="642" t="s">
        <v>191</v>
      </c>
      <c r="FJ15" s="642" t="s">
        <v>406</v>
      </c>
      <c r="FK15" s="1472" t="s">
        <v>399</v>
      </c>
      <c r="FL15" s="620" t="s">
        <v>123</v>
      </c>
      <c r="FM15" s="589" t="s">
        <v>121</v>
      </c>
      <c r="FN15" s="589" t="s">
        <v>122</v>
      </c>
      <c r="FO15" s="288" t="s">
        <v>344</v>
      </c>
      <c r="FP15" s="505" t="s">
        <v>123</v>
      </c>
      <c r="FQ15" s="505" t="s">
        <v>121</v>
      </c>
      <c r="FR15" s="505" t="s">
        <v>122</v>
      </c>
      <c r="FS15" s="506" t="s">
        <v>344</v>
      </c>
      <c r="FT15" s="523" t="s">
        <v>123</v>
      </c>
      <c r="FU15" s="505" t="s">
        <v>121</v>
      </c>
      <c r="FV15" s="505" t="s">
        <v>122</v>
      </c>
      <c r="FW15" s="505" t="s">
        <v>344</v>
      </c>
      <c r="FX15" s="505" t="s">
        <v>123</v>
      </c>
      <c r="FY15" s="505" t="s">
        <v>121</v>
      </c>
      <c r="FZ15" s="505" t="s">
        <v>122</v>
      </c>
      <c r="GA15" s="505" t="s">
        <v>344</v>
      </c>
      <c r="GB15" s="316" t="s">
        <v>406</v>
      </c>
      <c r="GC15" s="186" t="s">
        <v>408</v>
      </c>
      <c r="GD15" s="186" t="s">
        <v>73</v>
      </c>
      <c r="GE15" s="1777" t="s">
        <v>1199</v>
      </c>
      <c r="GF15" s="184" t="s">
        <v>1200</v>
      </c>
      <c r="GG15" s="316" t="s">
        <v>394</v>
      </c>
      <c r="GH15" s="185" t="s">
        <v>73</v>
      </c>
      <c r="GI15" s="184" t="s">
        <v>406</v>
      </c>
      <c r="GJ15" s="316" t="s">
        <v>394</v>
      </c>
      <c r="GK15" s="635" t="s">
        <v>73</v>
      </c>
      <c r="GL15" s="516" t="s">
        <v>123</v>
      </c>
      <c r="GM15" s="505" t="s">
        <v>121</v>
      </c>
      <c r="GN15" s="505" t="s">
        <v>122</v>
      </c>
      <c r="GO15" s="505" t="s">
        <v>344</v>
      </c>
      <c r="GP15" s="186" t="s">
        <v>406</v>
      </c>
      <c r="GQ15" s="316" t="s">
        <v>394</v>
      </c>
      <c r="GR15" s="647" t="s">
        <v>73</v>
      </c>
      <c r="GS15" s="192"/>
      <c r="GT15" s="179"/>
      <c r="GU15" s="179"/>
      <c r="GV15" s="179"/>
      <c r="GW15" s="193" t="s">
        <v>73</v>
      </c>
      <c r="GX15" s="192"/>
      <c r="GY15" s="179"/>
      <c r="GZ15" s="179"/>
      <c r="HA15" s="179"/>
      <c r="HB15" s="193" t="s">
        <v>73</v>
      </c>
      <c r="HC15" s="192"/>
      <c r="HD15" s="179"/>
      <c r="HE15" s="179"/>
      <c r="HF15" s="179"/>
      <c r="HG15" s="193" t="s">
        <v>73</v>
      </c>
      <c r="HH15" s="192"/>
      <c r="HI15" s="179"/>
      <c r="HJ15" s="179"/>
      <c r="HK15" s="179"/>
      <c r="HL15" s="193" t="s">
        <v>73</v>
      </c>
      <c r="HM15" s="192" t="s">
        <v>1016</v>
      </c>
      <c r="HN15" s="193"/>
      <c r="HO15" s="588"/>
      <c r="HP15" s="1328"/>
      <c r="HQ15" s="1321"/>
      <c r="HR15" s="1478"/>
      <c r="HS15" s="1321"/>
      <c r="HT15" s="1321"/>
      <c r="HU15" s="1478"/>
      <c r="HV15" s="1633" t="s">
        <v>1087</v>
      </c>
      <c r="HW15" s="1321" t="s">
        <v>1089</v>
      </c>
      <c r="HX15" s="1321" t="s">
        <v>1090</v>
      </c>
      <c r="HY15" s="1725" t="s">
        <v>981</v>
      </c>
      <c r="HZ15" s="1479" t="s">
        <v>940</v>
      </c>
      <c r="IA15" s="1306"/>
      <c r="IB15" s="1306"/>
      <c r="IC15" s="1306"/>
      <c r="ID15" s="1306"/>
      <c r="IE15" s="1315"/>
      <c r="IF15" s="1575" t="s">
        <v>928</v>
      </c>
      <c r="IG15" s="1306"/>
      <c r="IH15" s="1315"/>
      <c r="II15" s="1577" t="s">
        <v>1032</v>
      </c>
      <c r="IJ15" s="1463" t="s">
        <v>1016</v>
      </c>
      <c r="IK15"/>
      <c r="IL15"/>
      <c r="IM15"/>
      <c r="IN15"/>
      <c r="IO15"/>
      <c r="IP15"/>
      <c r="IQ15"/>
      <c r="IR15"/>
    </row>
    <row r="16" spans="1:252" s="1327" customFormat="1" ht="13.5" thickBot="1">
      <c r="A16" s="580"/>
      <c r="B16" s="580"/>
      <c r="C16" s="1329"/>
      <c r="D16" s="1330" t="str">
        <f>Holiday(YEAR(DateToday),MONTH(DateToday))</f>
        <v/>
      </c>
      <c r="E16" s="1331"/>
      <c r="F16" s="1332"/>
      <c r="G16" s="1350" t="s">
        <v>88</v>
      </c>
      <c r="H16" s="1316"/>
      <c r="I16" s="192" t="s">
        <v>181</v>
      </c>
      <c r="J16" s="179" t="s">
        <v>296</v>
      </c>
      <c r="K16" s="179" t="s">
        <v>182</v>
      </c>
      <c r="L16" s="217" t="s">
        <v>181</v>
      </c>
      <c r="M16" s="179" t="s">
        <v>296</v>
      </c>
      <c r="N16" s="181" t="s">
        <v>182</v>
      </c>
      <c r="O16" s="179" t="s">
        <v>181</v>
      </c>
      <c r="P16" s="179" t="s">
        <v>296</v>
      </c>
      <c r="Q16" s="181" t="s">
        <v>182</v>
      </c>
      <c r="R16" s="179" t="s">
        <v>181</v>
      </c>
      <c r="S16" s="179" t="s">
        <v>296</v>
      </c>
      <c r="T16" s="193" t="s">
        <v>182</v>
      </c>
      <c r="U16" s="207" t="s">
        <v>181</v>
      </c>
      <c r="V16" s="207" t="s">
        <v>296</v>
      </c>
      <c r="W16" s="208" t="s">
        <v>182</v>
      </c>
      <c r="X16" s="209" t="s">
        <v>181</v>
      </c>
      <c r="Y16" s="207" t="s">
        <v>296</v>
      </c>
      <c r="Z16" s="208" t="s">
        <v>182</v>
      </c>
      <c r="AA16" s="209" t="s">
        <v>181</v>
      </c>
      <c r="AB16" s="207" t="s">
        <v>296</v>
      </c>
      <c r="AC16" s="208" t="s">
        <v>182</v>
      </c>
      <c r="AD16" s="209" t="s">
        <v>181</v>
      </c>
      <c r="AE16" s="207" t="s">
        <v>296</v>
      </c>
      <c r="AF16" s="208" t="s">
        <v>182</v>
      </c>
      <c r="AG16" s="209" t="s">
        <v>181</v>
      </c>
      <c r="AH16" s="207" t="s">
        <v>296</v>
      </c>
      <c r="AI16" s="208" t="s">
        <v>182</v>
      </c>
      <c r="AJ16" s="209" t="s">
        <v>181</v>
      </c>
      <c r="AK16" s="207" t="s">
        <v>296</v>
      </c>
      <c r="AL16" s="208" t="s">
        <v>182</v>
      </c>
      <c r="AM16" s="209" t="s">
        <v>181</v>
      </c>
      <c r="AN16" s="207" t="s">
        <v>296</v>
      </c>
      <c r="AO16" s="207" t="s">
        <v>182</v>
      </c>
      <c r="AP16" s="209" t="s">
        <v>181</v>
      </c>
      <c r="AQ16" s="207" t="s">
        <v>296</v>
      </c>
      <c r="AR16" s="210" t="s">
        <v>182</v>
      </c>
      <c r="AS16" s="207"/>
      <c r="AT16" s="212" t="s">
        <v>115</v>
      </c>
      <c r="AU16" s="211" t="s">
        <v>115</v>
      </c>
      <c r="AV16" s="211" t="s">
        <v>115</v>
      </c>
      <c r="AW16" s="211"/>
      <c r="AX16" s="525"/>
      <c r="AY16" s="590"/>
      <c r="AZ16" s="524">
        <f>SUM(AZ17:AZ292)</f>
        <v>11392068.000000002</v>
      </c>
      <c r="BA16" s="507">
        <f>SUM(BA17:BA292)</f>
        <v>2310074.4000000004</v>
      </c>
      <c r="BB16" s="507">
        <f>SUM(BB17:BB292)</f>
        <v>2603169.6</v>
      </c>
      <c r="BC16" s="508">
        <f>SUM(BC17:BC292)</f>
        <v>8152656</v>
      </c>
      <c r="BD16" s="517"/>
      <c r="BE16" s="507"/>
      <c r="BF16" s="507"/>
      <c r="BG16" s="508"/>
      <c r="BH16" s="517">
        <f>SUM(BH17:BH292)</f>
        <v>45568272.000000007</v>
      </c>
      <c r="BI16" s="507">
        <f>SUM(BI17:BI292)</f>
        <v>9240297.6000000015</v>
      </c>
      <c r="BJ16" s="507">
        <f>SUM(BJ17:BJ292)</f>
        <v>10412678.4</v>
      </c>
      <c r="BK16" s="508">
        <f>SUM(BK17:BK292)</f>
        <v>32610624</v>
      </c>
      <c r="BL16" s="517"/>
      <c r="BM16" s="507"/>
      <c r="BN16" s="507"/>
      <c r="BO16" s="508"/>
      <c r="BP16" s="616" t="s">
        <v>326</v>
      </c>
      <c r="BQ16" s="576" t="s">
        <v>73</v>
      </c>
      <c r="BR16" s="616" t="s">
        <v>326</v>
      </c>
      <c r="BS16" s="576" t="s">
        <v>73</v>
      </c>
      <c r="BT16" s="580"/>
      <c r="BU16" s="206"/>
      <c r="BV16" s="205"/>
      <c r="BW16" s="205"/>
      <c r="BX16" s="205"/>
      <c r="BY16" s="205" t="s">
        <v>217</v>
      </c>
      <c r="BZ16" s="556"/>
      <c r="CA16" s="205"/>
      <c r="CB16" s="205"/>
      <c r="CC16" s="205"/>
      <c r="CD16" s="205"/>
      <c r="CE16" s="205" t="s">
        <v>217</v>
      </c>
      <c r="CF16" s="556"/>
      <c r="CG16" s="179" t="s">
        <v>113</v>
      </c>
      <c r="CH16" s="179" t="s">
        <v>178</v>
      </c>
      <c r="CI16" s="179" t="s">
        <v>179</v>
      </c>
      <c r="CJ16" s="179" t="s">
        <v>73</v>
      </c>
      <c r="CK16" s="179" t="s">
        <v>73</v>
      </c>
      <c r="CL16" s="179"/>
      <c r="CM16" s="179" t="s">
        <v>168</v>
      </c>
      <c r="CN16" s="1323" t="s">
        <v>168</v>
      </c>
      <c r="CO16" s="580"/>
      <c r="CP16" s="1333"/>
      <c r="CQ16" s="1333"/>
      <c r="CR16" s="1333"/>
      <c r="CS16" s="1624"/>
      <c r="CT16" s="1333"/>
      <c r="CU16" s="1334"/>
      <c r="CV16" s="1331"/>
      <c r="CW16" s="1331"/>
      <c r="CX16" s="1333"/>
      <c r="CY16" s="1333"/>
      <c r="CZ16" s="1333"/>
      <c r="DA16" s="1333"/>
      <c r="DB16" s="1331"/>
      <c r="DC16" s="1333"/>
      <c r="DD16" s="1333"/>
      <c r="DE16" s="1333"/>
      <c r="DF16" s="1333"/>
      <c r="DG16" s="1329"/>
      <c r="DH16" s="1333"/>
      <c r="DI16" s="1333"/>
      <c r="DJ16" s="1333"/>
      <c r="DK16" s="1333"/>
      <c r="DL16" s="1333"/>
      <c r="DM16" s="1333"/>
      <c r="DN16" s="1333"/>
      <c r="DO16" s="1333"/>
      <c r="DP16" s="1333"/>
      <c r="DQ16" s="1333"/>
      <c r="DR16" s="1333"/>
      <c r="DS16" s="1333"/>
      <c r="DT16" s="1333"/>
      <c r="DU16" s="1333"/>
      <c r="DV16" s="1333"/>
      <c r="DW16" s="1369"/>
      <c r="DX16" s="1333"/>
      <c r="DY16" s="1360"/>
      <c r="DZ16" s="1335"/>
      <c r="EA16" s="1336"/>
      <c r="EB16" s="1336"/>
      <c r="EC16" s="1336"/>
      <c r="ED16" s="1337"/>
      <c r="EE16" s="1338"/>
      <c r="EF16" s="1339"/>
      <c r="EG16" s="1339"/>
      <c r="EH16" s="1339"/>
      <c r="EI16" s="1340"/>
      <c r="EJ16" s="1335"/>
      <c r="EK16" s="1336"/>
      <c r="EL16" s="1336"/>
      <c r="EM16" s="1336"/>
      <c r="EN16" s="1337"/>
      <c r="EO16" s="1338"/>
      <c r="EP16" s="1339"/>
      <c r="EQ16" s="1339"/>
      <c r="ER16" s="1339"/>
      <c r="ES16" s="1339"/>
      <c r="ET16" s="1340"/>
      <c r="EU16" s="1339"/>
      <c r="EV16" s="1339"/>
      <c r="EW16" s="1339"/>
      <c r="EX16" s="1339"/>
      <c r="EY16" s="1340"/>
      <c r="EZ16" s="1339"/>
      <c r="FA16" s="1339"/>
      <c r="FB16" s="1339"/>
      <c r="FC16" s="1339"/>
      <c r="FD16" s="1476" t="s">
        <v>383</v>
      </c>
      <c r="FE16" s="524">
        <f>SUM(FE17:FE292)</f>
        <v>0</v>
      </c>
      <c r="FF16" s="507">
        <f>SUM(FF17:FF292)</f>
        <v>0</v>
      </c>
      <c r="FG16" s="507">
        <f>SUM(FG17:FG292)</f>
        <v>0</v>
      </c>
      <c r="FH16" s="646">
        <f>SUM(FH17:FH292)</f>
        <v>0</v>
      </c>
      <c r="FI16" s="636" t="s">
        <v>141</v>
      </c>
      <c r="FJ16" s="636" t="s">
        <v>407</v>
      </c>
      <c r="FK16" s="637" t="s">
        <v>318</v>
      </c>
      <c r="FL16" s="517">
        <f t="shared" ref="FL16:GA16" ca="1" si="1">SUM(FL17:FL292)</f>
        <v>0</v>
      </c>
      <c r="FM16" s="507">
        <f t="shared" ca="1" si="1"/>
        <v>0</v>
      </c>
      <c r="FN16" s="646">
        <f t="shared" ca="1" si="1"/>
        <v>0</v>
      </c>
      <c r="FO16" s="507">
        <f t="shared" ca="1" si="1"/>
        <v>0</v>
      </c>
      <c r="FP16" s="524">
        <f t="shared" ca="1" si="1"/>
        <v>0</v>
      </c>
      <c r="FQ16" s="507">
        <f t="shared" ca="1" si="1"/>
        <v>0</v>
      </c>
      <c r="FR16" s="507">
        <f t="shared" ca="1" si="1"/>
        <v>0</v>
      </c>
      <c r="FS16" s="646">
        <f t="shared" ca="1" si="1"/>
        <v>0</v>
      </c>
      <c r="FT16" s="517">
        <f t="shared" ca="1" si="1"/>
        <v>11392068.000000002</v>
      </c>
      <c r="FU16" s="507">
        <f t="shared" ca="1" si="1"/>
        <v>2310074.4000000004</v>
      </c>
      <c r="FV16" s="507">
        <f t="shared" ca="1" si="1"/>
        <v>2603169.6</v>
      </c>
      <c r="FW16" s="507">
        <f t="shared" ca="1" si="1"/>
        <v>8152656</v>
      </c>
      <c r="FX16" s="524">
        <f t="shared" ca="1" si="1"/>
        <v>45392275.20000001</v>
      </c>
      <c r="FY16" s="507">
        <f t="shared" ca="1" si="1"/>
        <v>9198393.6000000015</v>
      </c>
      <c r="FZ16" s="507">
        <f t="shared" ca="1" si="1"/>
        <v>9894931.2000000011</v>
      </c>
      <c r="GA16" s="646">
        <f t="shared" ca="1" si="1"/>
        <v>30818064</v>
      </c>
      <c r="GB16" s="636" t="s">
        <v>407</v>
      </c>
      <c r="GC16" s="644" t="s">
        <v>141</v>
      </c>
      <c r="GD16" s="644" t="s">
        <v>318</v>
      </c>
      <c r="GE16" s="1628" t="s">
        <v>409</v>
      </c>
      <c r="GF16" s="579" t="s">
        <v>409</v>
      </c>
      <c r="GG16" s="636" t="s">
        <v>256</v>
      </c>
      <c r="GH16" s="1470" t="s">
        <v>318</v>
      </c>
      <c r="GI16" s="579" t="s">
        <v>407</v>
      </c>
      <c r="GJ16" s="636" t="s">
        <v>141</v>
      </c>
      <c r="GK16" s="637" t="s">
        <v>318</v>
      </c>
      <c r="GL16" s="517">
        <f ca="1">SUM(GL17:GL292)</f>
        <v>0</v>
      </c>
      <c r="GM16" s="507">
        <f ca="1">SUM(GM17:GM292)</f>
        <v>0</v>
      </c>
      <c r="GN16" s="507">
        <f ca="1">SUM(GN17:GN292)</f>
        <v>0</v>
      </c>
      <c r="GO16" s="507">
        <f ca="1">SUM(GO17:GO292)</f>
        <v>0</v>
      </c>
      <c r="GP16" s="579" t="s">
        <v>407</v>
      </c>
      <c r="GQ16" s="636" t="s">
        <v>141</v>
      </c>
      <c r="GR16" s="576" t="s">
        <v>318</v>
      </c>
      <c r="GS16" s="661" t="s">
        <v>1026</v>
      </c>
      <c r="GT16" s="579" t="s">
        <v>984</v>
      </c>
      <c r="GU16" s="579" t="s">
        <v>1027</v>
      </c>
      <c r="GV16" s="579" t="s">
        <v>984</v>
      </c>
      <c r="GW16" s="576" t="s">
        <v>1028</v>
      </c>
      <c r="GX16" s="661" t="s">
        <v>1026</v>
      </c>
      <c r="GY16" s="579" t="s">
        <v>984</v>
      </c>
      <c r="GZ16" s="579" t="s">
        <v>1027</v>
      </c>
      <c r="HA16" s="579" t="s">
        <v>984</v>
      </c>
      <c r="HB16" s="576" t="s">
        <v>1028</v>
      </c>
      <c r="HC16" s="661" t="s">
        <v>1026</v>
      </c>
      <c r="HD16" s="579" t="s">
        <v>984</v>
      </c>
      <c r="HE16" s="579" t="s">
        <v>1027</v>
      </c>
      <c r="HF16" s="579" t="s">
        <v>984</v>
      </c>
      <c r="HG16" s="576" t="s">
        <v>1028</v>
      </c>
      <c r="HH16" s="661" t="s">
        <v>1026</v>
      </c>
      <c r="HI16" s="579" t="s">
        <v>984</v>
      </c>
      <c r="HJ16" s="579" t="s">
        <v>1027</v>
      </c>
      <c r="HK16" s="579" t="s">
        <v>984</v>
      </c>
      <c r="HL16" s="576" t="s">
        <v>1028</v>
      </c>
      <c r="HM16" s="1838" t="s">
        <v>395</v>
      </c>
      <c r="HN16" s="1573"/>
      <c r="HO16" s="1413"/>
      <c r="HP16" s="661" t="s">
        <v>400</v>
      </c>
      <c r="HQ16" s="579" t="s">
        <v>390</v>
      </c>
      <c r="HR16" s="1470" t="s">
        <v>397</v>
      </c>
      <c r="HS16" s="579" t="s">
        <v>401</v>
      </c>
      <c r="HT16" s="579" t="s">
        <v>402</v>
      </c>
      <c r="HU16" s="1470" t="s">
        <v>396</v>
      </c>
      <c r="HV16" s="644" t="s">
        <v>395</v>
      </c>
      <c r="HW16" s="579" t="s">
        <v>1147</v>
      </c>
      <c r="HX16" s="579" t="s">
        <v>1147</v>
      </c>
      <c r="HY16" s="579" t="s">
        <v>1147</v>
      </c>
      <c r="HZ16" s="661" t="s">
        <v>1085</v>
      </c>
      <c r="IA16" s="579" t="s">
        <v>1086</v>
      </c>
      <c r="IB16" s="1480" t="s">
        <v>1082</v>
      </c>
      <c r="IC16" s="579" t="s">
        <v>411</v>
      </c>
      <c r="ID16" s="579" t="s">
        <v>403</v>
      </c>
      <c r="IE16" s="1470" t="s">
        <v>404</v>
      </c>
      <c r="IF16" s="579" t="s">
        <v>401</v>
      </c>
      <c r="IG16" s="579" t="s">
        <v>911</v>
      </c>
      <c r="IH16" s="1470" t="s">
        <v>405</v>
      </c>
      <c r="II16" s="1576" t="s">
        <v>398</v>
      </c>
      <c r="IJ16" s="1463" t="s">
        <v>395</v>
      </c>
      <c r="IK16"/>
      <c r="IL16"/>
      <c r="IM16"/>
      <c r="IN16"/>
      <c r="IO16"/>
      <c r="IP16"/>
      <c r="IQ16"/>
      <c r="IR16"/>
    </row>
    <row r="17" spans="1:245">
      <c r="A17" s="478">
        <f>EOMONTH(DateToday,0)+1</f>
        <v>36647</v>
      </c>
      <c r="B17" s="349">
        <f>+YEAR(A17)</f>
        <v>2000</v>
      </c>
      <c r="C17" s="145">
        <f>MONTH(A17)</f>
        <v>5</v>
      </c>
      <c r="D17" s="611" t="str">
        <f>IF(E17="","",Holiday(B17,C17))</f>
        <v/>
      </c>
      <c r="E17" s="608" t="str">
        <f>IF(OR(BegDate&gt;=A18,EndDate&lt;A17,AND(VolumeMonthlyOverFlag,INDEX(VolumeMonthlyOver,C17)=0),NOT(INDEX(MonthKnockOutTable,C17))),"",MAX(A17,BegDate))</f>
        <v/>
      </c>
      <c r="F17" s="613" t="str">
        <f t="shared" ref="F17:F80" si="2">IF(E17="","",MIN(A18-1,EndDate))</f>
        <v/>
      </c>
      <c r="G17" s="1348">
        <v>0</v>
      </c>
      <c r="H17" s="151">
        <f>(1+G17/2)^(-2*(DATE(B18,C18,20)-DateToday)/365.25)</f>
        <v>1</v>
      </c>
      <c r="I17" s="582">
        <f>IF(Assumptions!$L$25=4,'Henwood Reference'!N24,IF(A17&lt;H5,"",IF(A17=H5,VLOOKUP(A18-1,PriceTable,2,0)+IF(BasisNumber&lt;&gt;1,VLOOKUP(A18-1,BasisTable,2,0),0),VLOOKUP(A17,PriceTable,2,0)+IF(BasisNumber&lt;&gt;1,VLOOKUP(A17,BasisTable,2,0),0))+$I$1)/(1-$I$2))</f>
        <v>0</v>
      </c>
      <c r="J17" s="582">
        <f>IF(Assumptions!$L$25=4,'Henwood Reference'!N24,IF(A17&lt;H5,"",IF(A17=H5,VLOOKUP(A18-1,PriceTable,3,0)+IF(BasisNumber&lt;&gt;1,VLOOKUP(A18-1,BasisTable,2,0),0),VLOOKUP(A17,PriceTable,3,0)+IF(BasisNumber&lt;&gt;1,VLOOKUP(A17,BasisTable,2,0),0))+$J$1)/(1-$J$2))</f>
        <v>0</v>
      </c>
      <c r="K17" s="583">
        <f>IF(Assumptions!$L$25=4,'Henwood Reference'!N24,IF(A17&lt;H5,"",IF(A17=H5,VLOOKUP(A18-1,PriceTable,4,0)+IF(BasisNumber&lt;&gt;1,VLOOKUP(A18-1,BasisTable,2,0),0),VLOOKUP(A17,PriceTable,4,0)+IF(BasisNumber&lt;&gt;1,VLOOKUP(A17,BasisTable,2,0),0))+$K$1)/(1-$K$2))</f>
        <v>0</v>
      </c>
      <c r="L17" s="584">
        <f>IF(Assumptions!$L$25=4,'Henwood Reference'!N24,IF(A17&lt;H5,"",VLOOKUP(A17,PriceTableWeekend,2,0)+IF(BasisNumber&lt;&gt;1,VLOOKUP(IF(A17=H5,A18-1,A17),BasisTable,2,0),0)+$L$1)/(1-$L$2))</f>
        <v>0</v>
      </c>
      <c r="M17" s="582">
        <f>IF(Assumptions!$L$25=4,'Henwood Reference'!N24,IF(A17&lt;H5,"",VLOOKUP(A17,PriceTableWeekend,3,0)+IF(BasisNumber&lt;&gt;1,VLOOKUP(IF(A17=H5,A18-1,A17),BasisTable,2,0),0)+$M$1)/(1-$M$2))</f>
        <v>0</v>
      </c>
      <c r="N17" s="583">
        <f>IF(Assumptions!$L$25=4,'Henwood Reference'!N24,IF(A17&lt;H5,"",VLOOKUP(A17,PriceTableWeekend,4,0)+IF(BasisNumber&lt;&gt;1,VLOOKUP(IF(A17=H5,A18-1,A17),BasisTable,2,0),0)+$N$1)/(1-$N$2))</f>
        <v>0</v>
      </c>
      <c r="O17" s="582">
        <f>IF(Assumptions!$L$25=4,'Henwood Reference'!O24,IF(A17&lt;H5,"",VLOOKUP(A17,PriceTableWeekend,6,0)+IF(BasisNumber&lt;&gt;1,VLOOKUP(IF(A17=H5,A18-1,A17),BasisTable,3,0),0)+$O$1)/(1-$O$2))</f>
        <v>0</v>
      </c>
      <c r="P17" s="582">
        <f>IF(Assumptions!$L$25=4,'Henwood Reference'!O24,IF(A17&lt;H5,"",VLOOKUP(A17,PriceTableWeekend,7,0)+IF(BasisNumber&lt;&gt;1,VLOOKUP(IF(A17=H5,A18-1,A17),BasisTable,3,0),0)+$P$1)/(1-$P$2))</f>
        <v>0</v>
      </c>
      <c r="Q17" s="583">
        <f>IF(Assumptions!$L$25=4,'Henwood Reference'!O24,IF(A17&lt;H5,"",VLOOKUP(A17,PriceTableWeekend,8,0)+IF(BasisNumber&lt;&gt;1,VLOOKUP(IF(A17=H5,A18-1,A17),BasisTable,3,0),0)+$Q$1)/(1-$Q$2))</f>
        <v>0</v>
      </c>
      <c r="R17" s="582">
        <f>IF(Assumptions!$L$25=4,'Henwood Reference'!O24,IF(A17&lt;H5,"",IF(A17=H5,VLOOKUP(A18-1,PriceTable,6,0)+IF(BasisNumber&lt;&gt;1,VLOOKUP(A18-1,BasisTable,3,0),0),VLOOKUP(A17,PriceTable,6,0)+IF(BasisNumber&lt;&gt;1,VLOOKUP(A17,BasisTable,3,0),0))+$R$1)/(1-$R$2))</f>
        <v>0</v>
      </c>
      <c r="S17" s="582">
        <f>IF(Assumptions!$L$25=4,'Henwood Reference'!O24,IF(A17&lt;H5,"",IF(A17=H5,VLOOKUP(A18-1,PriceTable,7,0)+IF(BasisNumber&lt;&gt;1,VLOOKUP(A18-1,BasisTable,3,0),0),VLOOKUP(A17,PriceTable,7,0)+IF(BasisNumber&lt;&gt;1,VLOOKUP(A17,BasisTable,3,0),0))+$S$1)/(1-$S$2))</f>
        <v>0</v>
      </c>
      <c r="T17" s="585">
        <f>IF(Assumptions!$L$25=4,'Henwood Reference'!O24,IF(A17&lt;H5,"",IF(A17=H5,VLOOKUP(A18-1,PriceTable,8,0)+IF(BasisNumber&lt;&gt;1,VLOOKUP(A18-1,BasisTable,3,0),0),VLOOKUP(A17,PriceTable,8,0)+IF(BasisNumber&lt;&gt;1,VLOOKUP(A17,BasisTable,3,0),0))+$T$1)/(1-$T$2))</f>
        <v>0</v>
      </c>
      <c r="U17" s="173">
        <f>VLOOKUP($A17,VolatilityTable,14)</f>
        <v>0.23</v>
      </c>
      <c r="V17" s="173">
        <f>VLOOKUP($A17,VolatilityTable,15)</f>
        <v>0.27</v>
      </c>
      <c r="W17" s="174">
        <f>VLOOKUP($A17,VolatilityTable,16)</f>
        <v>0.28999999999999998</v>
      </c>
      <c r="X17" s="173">
        <f>VLOOKUP($A17,VolatilityTable,14)</f>
        <v>0.23</v>
      </c>
      <c r="Y17" s="173">
        <f>VLOOKUP($A17,VolatilityTable,15)</f>
        <v>0.27</v>
      </c>
      <c r="Z17" s="174">
        <f>VLOOKUP($A17,VolatilityTable,16)</f>
        <v>0.28999999999999998</v>
      </c>
      <c r="AA17" s="173">
        <f>VLOOKUP($A17,VolatilityTable,18)</f>
        <v>0.06</v>
      </c>
      <c r="AB17" s="173">
        <f>VLOOKUP($A17,VolatilityTable,19)</f>
        <v>0.11</v>
      </c>
      <c r="AC17" s="174">
        <f>VLOOKUP($A17,VolatilityTable,20)</f>
        <v>0.16</v>
      </c>
      <c r="AD17" s="173">
        <f>VLOOKUP($A17,VolatilityTable,18)</f>
        <v>0.06</v>
      </c>
      <c r="AE17" s="173">
        <f>VLOOKUP($A17,VolatilityTable,19)</f>
        <v>0.11</v>
      </c>
      <c r="AF17" s="174">
        <f>VLOOKUP($A17,VolatilityTable,20)</f>
        <v>0.16</v>
      </c>
      <c r="AG17" s="173">
        <f>VLOOKUP($A17,VolatilityTable,22)</f>
        <v>-0.1</v>
      </c>
      <c r="AH17" s="173">
        <f>VLOOKUP($A17,VolatilityTable,23)</f>
        <v>0.65</v>
      </c>
      <c r="AI17" s="174">
        <f>VLOOKUP($A17,VolatilityTable,24)</f>
        <v>0.1</v>
      </c>
      <c r="AJ17" s="173">
        <f>VLOOKUP($A17,VolatilityTable,22)</f>
        <v>-0.1</v>
      </c>
      <c r="AK17" s="173">
        <f>VLOOKUP($A17,VolatilityTable,23)</f>
        <v>0.65</v>
      </c>
      <c r="AL17" s="174">
        <f>VLOOKUP($A17,VolatilityTable,24)</f>
        <v>0.1</v>
      </c>
      <c r="AM17" s="173">
        <f>VLOOKUP($A17,VolatilityTable,26)</f>
        <v>-0.01</v>
      </c>
      <c r="AN17" s="173">
        <f>VLOOKUP($A17,VolatilityTable,27)</f>
        <v>0.16</v>
      </c>
      <c r="AO17" s="174">
        <f>VLOOKUP($A17,VolatilityTable,28)</f>
        <v>0.01</v>
      </c>
      <c r="AP17" s="173">
        <f>VLOOKUP($A17,VolatilityTable,26)</f>
        <v>-0.01</v>
      </c>
      <c r="AQ17" s="173">
        <f>VLOOKUP($A17,VolatilityTable,27)</f>
        <v>0.16</v>
      </c>
      <c r="AR17" s="175">
        <f>VLOOKUP($A17,VolatilityTable,28)</f>
        <v>0.01</v>
      </c>
      <c r="AS17" s="520">
        <f>IF(CorrPeakOffPeakOverFlag,INDEX(CorrPeakOffPeakOver,C17),CorrPeakOffPeak)</f>
        <v>0.5</v>
      </c>
      <c r="AT17" s="559">
        <f>AX17-SUM(AU17:AW17)</f>
        <v>0</v>
      </c>
      <c r="AU17" s="158">
        <f t="shared" ref="AU17:AU80" si="3">IF(E17="",0,INT((F17-MOD(F17,7)-E17)/7)+1-IF(AW17,IF(WEEKDAY(D17)=7,1,0),0))</f>
        <v>0</v>
      </c>
      <c r="AV17" s="158">
        <f t="shared" ref="AV17:AV80" si="4">IF(E17="",0,INT((F17-MOD(F17-1,7)-E17)/7)+1-IF(AW17,IF(WEEKDAY(D17)=1,1,0),0))</f>
        <v>0</v>
      </c>
      <c r="AW17" s="158">
        <f>IF(OR(E17="",D17="",D17&lt;BegDate,D17&gt;EndDate),0,1)</f>
        <v>0</v>
      </c>
      <c r="AX17" s="145">
        <f>IF(E17="",0,F17-E17+1)</f>
        <v>0</v>
      </c>
      <c r="AY17" s="606">
        <f>IF(E17="",0,MIN((1-(1-VLOOKUP(B17,MAIN!$AA$7:$AM$28,C17+1))*(1-VLOOKUP(B17,MAIN!$AA$33:$AM$54,C17+1))),1))</f>
        <v>0</v>
      </c>
      <c r="AZ17" s="259">
        <f t="array" ref="AZ17:BO292">TakeFunction(TakeType,STake,OTake,CombineTakesFlag,MostExpFlag,VolumeEscType,VolumeEsc,DateToday,BegDate,EndDate,OrderedScalars,OrderedPrices,OrderedPricesSat,OrderedPricesSun,AvailDays,FirmWeek,FirmSat,FirmSun,FirmHol,OptWeek,OptSat,OptSun,OptHol)*(1-PlannedOutages)</f>
        <v>0</v>
      </c>
      <c r="BA17" s="263">
        <v>0</v>
      </c>
      <c r="BB17" s="263">
        <v>0</v>
      </c>
      <c r="BC17" s="518">
        <v>0</v>
      </c>
      <c r="BD17" s="512">
        <v>0</v>
      </c>
      <c r="BE17" s="513">
        <v>0</v>
      </c>
      <c r="BF17" s="513">
        <v>0</v>
      </c>
      <c r="BG17" s="519">
        <v>0</v>
      </c>
      <c r="BH17" s="261">
        <v>0</v>
      </c>
      <c r="BI17" s="263">
        <v>0</v>
      </c>
      <c r="BJ17" s="263">
        <v>0</v>
      </c>
      <c r="BK17" s="518">
        <v>0</v>
      </c>
      <c r="BL17" s="512">
        <v>0</v>
      </c>
      <c r="BM17" s="513">
        <v>0</v>
      </c>
      <c r="BN17" s="513">
        <v>0</v>
      </c>
      <c r="BO17" s="560">
        <v>0</v>
      </c>
      <c r="BP17" s="260">
        <f>SUM(AZ17:BB17)</f>
        <v>0</v>
      </c>
      <c r="BQ17" s="577">
        <f>SUM(AZ17:BC17)</f>
        <v>0</v>
      </c>
      <c r="BR17" s="259">
        <f>SUM(BH17:BJ17)</f>
        <v>0</v>
      </c>
      <c r="BS17" s="578">
        <f>SUM(BH17:BK17)</f>
        <v>0</v>
      </c>
      <c r="BT17" s="216">
        <f>(IF(OVolType&lt;&gt;2,A17+14,IF(OptExpDateShift,ShiftBack(A17,OptExpDateShift,D16),A17))-DateToday)/365.25</f>
        <v>4.6543463381245723E-2</v>
      </c>
      <c r="BU17" s="566">
        <f t="shared" ref="BU17:BU80" si="5">IF(BQ17,IF(OPriceCurve,IF(OBuySell=OCallPut,I17/(1-AY17),K17/(1-AY17)),J17/(1-AY17))*BD17,0)</f>
        <v>0</v>
      </c>
      <c r="BV17" s="216">
        <f t="shared" ref="BV17:BV80" si="6">IF(BQ17,IF(OPriceCurve,IF(OBuySell=OCallPut,L17/(1-AY17),N17/(1-AY17)),M17/(1-AY17))*BE17,0)</f>
        <v>0</v>
      </c>
      <c r="BW17" s="216">
        <f t="shared" ref="BW17:BW80" si="7">IF(BQ17,IF(OPriceCurve,IF(OBuySell=OCallPut,O17/(1-AY17),Q17/(1-AY17)),P17/(1-AY17))*BF17,0)</f>
        <v>0</v>
      </c>
      <c r="BX17" s="216">
        <f>IF(BQ17,IF(OPriceCurve,IF(OBuySell=OCallPut,R17/(1-AY17),T17/(1-AY17)),S17/(1-AY17))*BG17,0)</f>
        <v>0</v>
      </c>
      <c r="BY17" s="216">
        <f t="shared" ref="BY17:BY80" si="8">IF(BP17,(BU17*AZ17+BV17*BA17+BW17*BB17)/BP17,0)</f>
        <v>0</v>
      </c>
      <c r="BZ17" s="216">
        <f t="shared" ref="BZ17:BZ80" si="9">IF(BQ17,(BY17*BP17+BX17*BC17)/BQ17,0)</f>
        <v>0</v>
      </c>
      <c r="CA17" s="264">
        <f t="shared" ref="CA17:CA80" si="10">IF(BS17,IF(OPriceCurve,IF(OBuySell=OCallPut,I17/(1-AY17),K17/(1-AY17)),J17/(1-AY17))*BL17,0)</f>
        <v>0</v>
      </c>
      <c r="CB17" s="216">
        <f t="shared" ref="CB17:CB80" si="11">IF(BS17,IF(OPriceCurve,IF(OBuySell=OCallPut,L17/(1-AY17),N17/(1-AY17)),M17/(1-AY17))*BM17,0)</f>
        <v>0</v>
      </c>
      <c r="CC17" s="216">
        <f t="shared" ref="CC17:CC80" si="12">IF(BS17,IF(OPriceCurve,IF(OBuySell=OCallPut,O17/(1-AY17),Q17/(1-AY17)),P17/(1-AY17))*BN17,0)</f>
        <v>0</v>
      </c>
      <c r="CD17" s="216">
        <f>IF(BS17,IF(OPriceCurve,IF(OBuySell=OCallPut,R17/(1-AY17),T17/(1-AY17)),S17/(1-AY17))*BO17,0)</f>
        <v>0</v>
      </c>
      <c r="CE17" s="216">
        <f t="shared" ref="CE17:CE80" si="13">IF(BR17,(BU17*BH17+BV17*BI17+BW17*BJ17)/BR17,0)</f>
        <v>0</v>
      </c>
      <c r="CF17" s="571">
        <f t="shared" ref="CF17:CF80" si="14">IF(BS17,(CE17*BR17+CD17*BK17)/BS17,0)</f>
        <v>0</v>
      </c>
      <c r="CG17" s="572" t="str">
        <f t="shared" ref="CG17:CG80" si="15">IF(OR(BQ17,BS17),IF(OVolType&lt;&gt;2,SQRT(IF(OVolOverMonthlyPeak,OVolOverMonthlyPeak,IF(OVolCurve,IF(OBuySell,U17,W17),V17))^2*(1-15/365.25/BT17)+IF(OVolOverDailyPeak,OVolOverDailyPeak,IF(OVolCurve,IF(OBuySell,AG17,AI17),AH17))^2*15/365.25/BT17),IF(OVolOverMonthlyPeak,OVolOverMonthlyPeak,IF(OVolCurve,IF(OBuySell,U17,W17),V17))),"")</f>
        <v/>
      </c>
      <c r="CH17" s="567" t="str">
        <f t="shared" ref="CH17:CH80" si="16">IF(OR(BQ17,BS17),IF(OVolType&lt;&gt;2,SQRT(IF(OVolOverMonthlyPeak,OVolOverMonthlyPeak,IF(OVolCurve,IF(OBuySell,X17,Z17),Y17))^2*(1-15/365.25/BT17)+IF(OVolOverDailyPeak,OVolOverDailyPeak,IF(OVolCurve,IF(OBuySell,AJ17,AL17),AK17))^2*15/365.25/BT17),IF(OVolOverMonthlyPeak,OVolOverMonthlyPeak,IF(OVolCurve,IF(OBuySell,X17,Z17),Y17))),"")</f>
        <v/>
      </c>
      <c r="CI17" s="567" t="str">
        <f t="shared" ref="CI17:CI80" si="17">IF(OR(BQ17,BS17),IF(OVolType&lt;&gt;2,SQRT(IF(OVolOverMonthlyPeak,OVolOverMonthlyPeak,IF(OVolCurve,IF(OBuySell,AA17,AC17),AB17))^2*(1-15/365.25/BT17)+IF(OVolOverDailyPeak,OVolOverDailyPeak,IF(OVolCurve,IF(OBuySell,AM17,AO17),AN17))^2*15/365.25/BT17),IF(OVolOverMonthlyPeak,OVolOverMonthlyPeak,IF(OVolCurve,IF(OBuySell,AA17,AC17),AB17))),"")</f>
        <v/>
      </c>
      <c r="CJ17" s="567" t="str">
        <f t="shared" ref="CJ17:CJ80" si="18">IF(BQ17,IF(BP17,SQRT(LN(1+((BU17*AZ17)^2*(EXP(CG17^2*BT17)-1)+(BV17*BA17)^2*(EXP(CH17^2*BT17)-1)+(BW17*BB17)^2*(EXP(CI17^2*BT17)-1)+2*BU17*AZ17*BV17*BA17*(EXP(CG17*CH17*BT17)-1)+2*BV17*BA17*BW17*BB17*(EXP(CH17*CI17*BT17)-1)+2*BW17*BB17*BU17*AZ17*(EXP(CI17*CG17*BT17)-1))/(BY17*BP17)^2)/BT17),0),"")</f>
        <v/>
      </c>
      <c r="CK17" s="567" t="str">
        <f t="shared" ref="CK17:CK80" si="19">IF(BS17,IF(BR17,SQRT(LN(1+((CA17*BH17)^2*(EXP(CG17^2*BT17)-1)+(CB17*BI17)^2*(EXP(CH17^2*BT17)-1)+(CC17*BJ17)^2*(EXP(CI17^2*BT17)-1)+2*CA17*BH17*CB17*BI17*(EXP(CG17*CH17*BT17)-1)+2*CB17*BI17*CC17*BJ17*(EXP(CH17*CI17*BT17)-1)+2*CC17*BJ17*CA17*BH17*(EXP(CI17*CG17*BT17)-1))/(CE17*BR17)^2)/BT17),0),"")</f>
        <v/>
      </c>
      <c r="CL17" s="567" t="str">
        <f t="shared" ref="CL17:CL80" si="20">IF(OR(BQ17,BS17),IF(OVolType&lt;&gt;2,SQRT(IF(OVolOverMonthlyOffPeak,OVolOverMonthlyOffPeak,IF(OVolCurve,IF(OBuySell,AD17,AF17),AE17))^2*(1-15/365.25/BT17)+IF(OVolOverDailyOffPeak,OVolOverDailyOffPeak,IF(OVolCurve,IF(OBuySell,AP17,AR17),AQ17))^2*15/365.25/BT17),IF(OVolOverMonthlyOffPeak,OVolOverMonthlyOffPeak,IF(OVolCurve,IF(OBuySell,AD17,AF17),AE17))),"")</f>
        <v/>
      </c>
      <c r="CM17" s="567" t="str">
        <f t="shared" ref="CM17:CM80" si="21">IF(BQ17,SQRT(LN(1+((BY17*BP17)^2*(EXP(CJ17^2*BT17)-1)+(BX17*BC17)^2*(EXP(CL17^2*BT17)-1)+2*BY17*BP17*BX17*BC17*(EXP(AS17*CJ17*CL17*BT17)-1))/(BY17*BP17+BX17*BC17)^2)/BT17),"")</f>
        <v/>
      </c>
      <c r="CN17" s="568" t="str">
        <f t="shared" ref="CN17:CN80" si="22">IF(BS17,SQRT(LN(1+((CE17*BR17)^2*(EXP(CK17^2*BT17)-1)+(CD17*BK17)^2*(EXP(CL17^2*BT17)-1)+2*CE17*BR17*CD17*BK17*(EXP(AS17*CK17*CL17*BT17)-1))/(CE17*BR17+CD17*BK17)^2)/BT17),"")</f>
        <v/>
      </c>
      <c r="CO17" s="649">
        <f>IF(OR(BQ17,BS17),VLOOKUP(A17,GasTable,13)*HeatRatePeak*VLOOKUP($B17,MAIN!$AB$59:$AM$80,$C17+1)/1000,0)</f>
        <v>0</v>
      </c>
      <c r="CP17" s="650">
        <f>IF(OR(BQ17,BS17),VLOOKUP(A17,GasTable,13)*HeatRatePeak*(1+VLOOKUP($B17,HeatRateDegradation,$C17+1))/1000,0)</f>
        <v>0</v>
      </c>
      <c r="CQ17" s="216">
        <f>IF(OR(BQ17,BS17),VLOOKUP(A17,GasTable,13)*IF(EV17,HeatRatePeak,HeatRateOffPeak)*(1+VLOOKUP($B17,HeatRateDegradation,$C17+1))/1000,0)</f>
        <v>0</v>
      </c>
      <c r="CR17" s="650">
        <f>IF(OR(BQ17,BS17),VLOOKUP(A17,GasTable,13)*IF(EW17,HeatRatePeak,HeatRateOffPeak)*(1+VLOOKUP($B17,HeatRateDegradation,$C17+1))/1000,0)</f>
        <v>0</v>
      </c>
      <c r="CS17" s="1625">
        <f>IF(BQ17,(CO17*AZ17+CP17*BA17+CQ17*BB17+CR17*BC17)/BQ17,0)</f>
        <v>0</v>
      </c>
      <c r="CT17" s="650">
        <f>IF(BS17,CO17,0)</f>
        <v>0</v>
      </c>
      <c r="CU17" s="651" t="str">
        <f t="shared" ref="CU17:CU80" si="23">IF(OR(BQ17,BS17),VLOOKUP(A17,GasTable,14),"")</f>
        <v/>
      </c>
      <c r="CV17" s="1782" t="str">
        <f t="shared" ref="CV17:CV80" si="24">IF(OR(BQ17,BS17),IF(CorrPowerGasOverFlag,INDEX(CorrPowerGasOver,C17),CorrPowerGas),"")</f>
        <v/>
      </c>
      <c r="CW17" s="216">
        <f>IF(OR($BQ17,$BS17),SpreadOptPowerMargin,0)*((1+Assumptions!$C$26)^($B17-YEAR(Assumptions!$C$17)))</f>
        <v>0</v>
      </c>
      <c r="CX17" s="216">
        <f>IF(OR($BQ17,$BS17),SpreadOptPowerMargin,0)*((1+Assumptions!$C$26)^($B17-YEAR(Assumptions!$C$17)))</f>
        <v>0</v>
      </c>
      <c r="CY17" s="216">
        <f>IF(OR($BQ17,$BS17),SpreadOptPowerMargin,0)*((1+Assumptions!$C$26)^($B17-YEAR(Assumptions!$C$17)))</f>
        <v>0</v>
      </c>
      <c r="CZ17" s="216">
        <f>IF(OR($BQ17,$BS17),SpreadOptPowerMargin,0)*((1+Assumptions!$C$26)^($B17-YEAR(Assumptions!$C$17)))</f>
        <v>0</v>
      </c>
      <c r="DA17" s="654">
        <f t="shared" ref="DA17:DA80" si="25">IF(OR(BQ17,BS17),(CW17*(AZ17+BH17)+CX17*(BA17+BI17)+CY17*(BB17+BJ17)+CZ17*(BC17+BK17))/(BQ17+BS17),0)</f>
        <v>0</v>
      </c>
      <c r="DB17" s="652" t="str">
        <f t="shared" ref="DB17:DB80" si="26">IF(OR(BQ17,BS17),CG17+IF(OVolSmile,VLOOKUP(MAX(-5,CO17+CW17-BU17),IF(OVolSmile=1,VolSmileBook,VolSmileModel),2),0),"")</f>
        <v/>
      </c>
      <c r="DC17" s="652" t="str">
        <f t="shared" ref="DC17:DC80" si="27">IF(OR(BQ17,BS17),CH17+IF(OVolSmile,VLOOKUP(MAX(-5,CP17+CW17-BV17),IF(OVolSmile=1,VolSmileBook,VolSmileModel),2),0),"")</f>
        <v/>
      </c>
      <c r="DD17" s="652" t="str">
        <f t="shared" ref="DD17:DD80" si="28">IF(OR(BQ17,BS17),CI17+IF(OVolSmile,VLOOKUP(MAX(-5,CQ17+CW17-BW17),IF(OVolSmile=1,VolSmileBook,VolSmileModel),2),0),"")</f>
        <v/>
      </c>
      <c r="DE17" s="652" t="str">
        <f t="shared" ref="DE17:DE80" si="29">IF(OR(BQ17,BS17),CL17+IF(OVolSmile,VLOOKUP(MAX(-5,CR17+CZ17-BX17),IF(OVolSmile=1,VolSmileBook,VolSmileModel),2),0),"")</f>
        <v/>
      </c>
      <c r="DF17" s="652" t="str">
        <f t="shared" ref="DF17:DF80" si="30">IF(BQ17,CM17+IF(OVolSmile,VLOOKUP(MAX(-5,CS17+DA17-BZ17),IF(OVolSmile=1,VolSmileBook,VolSmileModel),2),0),"")</f>
        <v/>
      </c>
      <c r="DG17" s="653" t="str">
        <f t="shared" ref="DG17:DG80" si="31">IF(BS17,CN17+IF(OVolSmile,VLOOKUP(MAX(-5,CT17+DA17-CF17),IF(OVolSmile=1,VolSmileBook,VolSmileModel),2),0),"")</f>
        <v/>
      </c>
      <c r="DH17" s="650">
        <f t="shared" ref="DH17:DH80" si="32">IF(AND(BU17&gt;0,CO17&gt;0,DB17&gt;0,CU17&gt;0),newSPRDOPT(BU17,CO17,CW17,0,DB17,CU17,CV17,BT17*365.25,OCallPut,0),0)</f>
        <v>0</v>
      </c>
      <c r="DI17" s="650">
        <f t="shared" ref="DI17:DI80" si="33">IF(AND(BV17&gt;0,CP17&gt;0,DC17&gt;0,CU17&gt;0),newSPRDOPT(BV17,CP17,CX17,0,DC17,CU17,CV17,BT17*365.25,OCallPut,0),0)</f>
        <v>0</v>
      </c>
      <c r="DJ17" s="650">
        <f t="shared" ref="DJ17:DJ54" si="34">IF(AND(BW17&gt;0,CQ17&gt;0,DD17&gt;0,CU17&gt;0),newSPRDOPT(BW17,CQ17,CY17,0,DD17,CU17,CV17,BT17*365.25,OCallPut,0),0)</f>
        <v>0</v>
      </c>
      <c r="DK17" s="650">
        <f t="shared" ref="DK17:DK54" si="35">IF(AND(BX17&gt;0,CR17&gt;0,DE17&gt;0,CU17&gt;0),newSPRDOPT(BX17,CR17,CZ17,0,DE17,CU17,CV17,BT17*365.25,OCallPut,0),0)</f>
        <v>0</v>
      </c>
      <c r="DL17" s="650">
        <f t="shared" ref="DL17:DL54" si="36">IF(OVolType,IF(AND(BZ17&gt;0,CS17&gt;0,DF17&gt;0,CU17&gt;0),newSPRDOPT(BZ17,CS17,DA17,0,DF17,CU17,CV17,BT17*365.25,OCallPut,0),0),IF(BQ17,(DH17*AZ17+DI17*BA17+DJ17*BB17+DK17*BC17)/BQ17,0))</f>
        <v>0</v>
      </c>
      <c r="DM17" s="650" t="s">
        <v>267</v>
      </c>
      <c r="DN17" s="650" t="s">
        <v>269</v>
      </c>
      <c r="DO17" s="650" t="s">
        <v>270</v>
      </c>
      <c r="DP17" s="650" t="s">
        <v>271</v>
      </c>
      <c r="DQ17" s="650" t="s">
        <v>261</v>
      </c>
      <c r="DR17" s="650" t="s">
        <v>262</v>
      </c>
      <c r="DS17" s="650" t="s">
        <v>263</v>
      </c>
      <c r="DT17" s="650" t="s">
        <v>264</v>
      </c>
      <c r="DU17" s="650" t="s">
        <v>265</v>
      </c>
      <c r="DV17" s="650" t="s">
        <v>266</v>
      </c>
      <c r="DW17" s="1370">
        <f t="shared" ref="DW17:DW80" si="37">IF(AND(BW17&gt;0,CT17&gt;0,DD17&gt;0,CU17&gt;0),newSPRDOPT(BW17,CT17,CY17,0,DD17,CU17,CV17,BT17*365.25,OCallPut,0),0)</f>
        <v>0</v>
      </c>
      <c r="DX17" s="650">
        <f t="shared" ref="DX17:DX80" si="38">IF(AND(BX17&gt;0,CT17&gt;0,DE17&gt;0,CU17&gt;0),newSPRDOPT(BX17,CT17,CZ17,0,DE17,CU17,CV17,BT17*365.25,OCallPut,0),0)</f>
        <v>0</v>
      </c>
      <c r="DY17" s="654">
        <f t="shared" ref="DY17:DY80" si="39">IF(BS17,(DH17*BH17+DI17*BI17+DW17*BJ17+DX17*BK17)/BS17,0)</f>
        <v>0</v>
      </c>
      <c r="DZ17" s="655">
        <f t="shared" ref="DZ17:DZ80" si="40">DH17*AZ17</f>
        <v>0</v>
      </c>
      <c r="EA17" s="655">
        <f t="shared" ref="EA17:EA80" si="41">DI17*BA17</f>
        <v>0</v>
      </c>
      <c r="EB17" s="655">
        <f t="shared" ref="EB17:EB54" si="42">DJ17*BB17</f>
        <v>0</v>
      </c>
      <c r="EC17" s="655">
        <f t="shared" ref="EC17:EC54" si="43">DK17*BC17</f>
        <v>0</v>
      </c>
      <c r="ED17" s="655">
        <f t="shared" ref="ED17:ED54" si="44">DL17*BQ17</f>
        <v>0</v>
      </c>
      <c r="EE17" s="656">
        <f t="shared" ref="EE17:EE80" si="45">IF(BQ17,IF(OCallPut,IF(BU17&gt;(CO17+CW17),BU17-(CO17+CW17),0),IF((CO17+CW17)&gt;BU17,(CO17+CW17)-BU17,0))*AZ17,0)</f>
        <v>0</v>
      </c>
      <c r="EF17" s="657">
        <f t="shared" ref="EF17:EF80" si="46">IF(BQ17,IF(OCallPut,IF(BV17&gt;(CP17+CX17),BV17-(CP17+CX17),0),IF((CP17+CX17)&gt;BV17,(CP17+CX17)-BV17,0))*BA17,0)</f>
        <v>0</v>
      </c>
      <c r="EG17" s="657">
        <f t="shared" ref="EG17:EG54" si="47">IF(BQ17,IF(OCallPut,IF(BW17&gt;(CQ17+CY17),BW17-(CQ17+CY17),0),IF((CQ17+CY17)&gt;BW17,(CQ17+CY17)-BW17,0))*BB17,0)</f>
        <v>0</v>
      </c>
      <c r="EH17" s="657">
        <f t="shared" ref="EH17:EH54" si="48">IF(BQ17,IF(OCallPut,IF(BX17&gt;(CR17+CZ17),BX17-(CR17+CZ17),0),IF((CR17+CZ17)&gt;BX17,(CR17+CZ17)-BX17,0))*BC17,0)</f>
        <v>0</v>
      </c>
      <c r="EI17" s="658">
        <f t="shared" ref="EI17:EI80" si="49">IF(BQ17,IF(OVolType,IF(OCallPut,IF(BZ17&gt;(CS17+DA17),BZ17-(CS17+DA17),0),IF((CS17+DA17)&gt;BZ17,(CS17+DA17)-BZ17,0))*BQ17,SUM(EE17:EH17)),0)</f>
        <v>0</v>
      </c>
      <c r="EJ17" s="656">
        <f>DZ17-EE17</f>
        <v>0</v>
      </c>
      <c r="EK17" s="657">
        <f>EA17-EF17</f>
        <v>0</v>
      </c>
      <c r="EL17" s="657">
        <f>EB17-EG17</f>
        <v>0</v>
      </c>
      <c r="EM17" s="657">
        <f>EC17-EH17</f>
        <v>0</v>
      </c>
      <c r="EN17" s="658">
        <f>ED17-EI17</f>
        <v>0</v>
      </c>
      <c r="EO17" s="655">
        <f t="shared" ref="EO17:EO80" si="50">DH17*BH17</f>
        <v>0</v>
      </c>
      <c r="EP17" s="655">
        <f t="shared" ref="EP17:EP80" si="51">DI17*BI17</f>
        <v>0</v>
      </c>
      <c r="EQ17" s="655">
        <f t="shared" ref="EQ17:EQ80" si="52">DW17*BJ17</f>
        <v>0</v>
      </c>
      <c r="ER17" s="655">
        <f t="shared" ref="ER17:ER80" si="53">DX17*BK17</f>
        <v>0</v>
      </c>
      <c r="ES17" s="655">
        <f t="shared" ref="ES17:ES80" si="54">DY17*BS17</f>
        <v>0</v>
      </c>
      <c r="ET17" s="1481">
        <f t="shared" ref="ET17:ET41" si="55">IF(BS17,IF(OCallPut,IF(CA17&gt;(CT17+CW17),CA17-(CT17+CW17),0),IF((CT17+CW17)&gt;CA17,(CT17+CW17)-CA17,0))*BH17,0)</f>
        <v>0</v>
      </c>
      <c r="EU17" s="655">
        <f t="shared" ref="EU17:EU41" si="56">IF(BS17,IF(OCallPut,IF(CB17&gt;(CT17+CX17),CB17-(CT17+CX17),0),IF((CT17+CX17)&gt;CB17,(CT17+CX17)-CB17,0))*BI17,0)</f>
        <v>0</v>
      </c>
      <c r="EV17" s="655">
        <f t="shared" ref="EV17:EV41" si="57">IF(BS17,IF(OCallPut,IF(CC17&gt;(CT17+CY17),CC17-(CT17+CY17),0),IF((CT17+CY17)&gt;CC17,(CT17+CY17)-CC17,0))*BJ17,0)</f>
        <v>0</v>
      </c>
      <c r="EW17" s="655">
        <f t="shared" ref="EW17:EW41" si="58">IF(BS17,IF(OCallPut,IF(CD17&gt;(CT17+CZ17),CD17-(CT17+CZ17),0),IF((CT17+CZ17)&gt;CD17,(CT17+CZ17)-CD17,0))*BK17,0)</f>
        <v>0</v>
      </c>
      <c r="EX17" s="659">
        <f t="shared" ref="EX17:EX38" si="59">IF(BS17,SUM(ET17:EW17),0)</f>
        <v>0</v>
      </c>
      <c r="EY17" s="180">
        <f>EO17-ET17</f>
        <v>0</v>
      </c>
      <c r="EZ17" s="180">
        <f>EP17-EU17</f>
        <v>0</v>
      </c>
      <c r="FA17" s="180">
        <f>EQ17-EV17</f>
        <v>0</v>
      </c>
      <c r="FB17" s="180">
        <f>ER17-EW17</f>
        <v>0</v>
      </c>
      <c r="FC17" s="180">
        <f>ES17-EX17</f>
        <v>0</v>
      </c>
      <c r="FD17" s="262">
        <f>IF(AX17,IF(VLOOKUP(C17,MAIN!$L$17:$M$28,2)="Yes",VLOOKUP(CALC!B17,MAIN!$H$17:$I$20,2),0),0)</f>
        <v>0</v>
      </c>
      <c r="FE17" s="623">
        <f t="shared" ref="FE17:FE80" si="60">$FD17*16*AT17*(1-$AY17)</f>
        <v>0</v>
      </c>
      <c r="FF17" s="535">
        <f t="shared" ref="FF17:FF80" si="61">$FD17*16*AU17*(1-$AY17)</f>
        <v>0</v>
      </c>
      <c r="FG17" s="535">
        <f t="shared" ref="FG17:FG80" si="62">$FD17*16*(AV17+AW17)*(1-$AY17)</f>
        <v>0</v>
      </c>
      <c r="FH17" s="624">
        <f t="shared" ref="FH17:FH80" si="63">$FD17*8*AX17*(1-$AY17)</f>
        <v>0</v>
      </c>
      <c r="FI17" s="632">
        <f>IF(AX17,VLOOKUP(CALC!B17,MAIN!$H$17:$K$20,4),0)</f>
        <v>0</v>
      </c>
      <c r="FJ17" s="535">
        <f t="shared" ref="FJ17:FJ80" si="64">SUM(FE17:FH17)</f>
        <v>0</v>
      </c>
      <c r="FK17" s="648">
        <f>FI17*FJ17</f>
        <v>0</v>
      </c>
      <c r="FL17" s="530">
        <f>IF($EI17&gt;0,MIN(FE17,AZ17*(1+VLOOKUP($C17,WeatherCapacityAdjustment,2))),0)</f>
        <v>0</v>
      </c>
      <c r="FM17" s="530">
        <f>IF($EI17&gt;0,MIN(FF17,BA17*(1+VLOOKUP($C17,WeatherCapacityAdjustment,2))),0)</f>
        <v>0</v>
      </c>
      <c r="FN17" s="530">
        <f>IF($EI17&gt;0,MIN(FG17,BB17*(1+VLOOKUP($C17,WeatherCapacityAdjustment,2))),0)</f>
        <v>0</v>
      </c>
      <c r="FO17" s="643">
        <f>IF($EI17&gt;0,MIN(FH17,BC17*(1+VLOOKUP($C17,WeatherCapacityAdjustment,3))),0)</f>
        <v>0</v>
      </c>
      <c r="FP17" s="530">
        <f>IF(ET17&gt;0,MIN(FE17-FL17,BH17*(1+VLOOKUP($C17,WeatherCapacityAdjustment,2))),0)</f>
        <v>0</v>
      </c>
      <c r="FQ17" s="530">
        <f>IF(EU17&gt;0,MIN(FF17-FM17,BI17*(1+VLOOKUP($C17,WeatherCapacityAdjustment,2))),0)</f>
        <v>0</v>
      </c>
      <c r="FR17" s="530">
        <f>IF(EV17&gt;0,MIN(FG17-FN17,BJ17*(1+VLOOKUP($C17,WeatherCapacityAdjustment,2))),0)</f>
        <v>0</v>
      </c>
      <c r="FS17" s="625">
        <f>IF(EW17&gt;0,MIN(FH17-FO17,BK17*(1+VLOOKUP($C17,WeatherCapacityAdjustment,3))),0)</f>
        <v>0</v>
      </c>
      <c r="FT17" s="639">
        <f>IF(AND(Assumptions!$H$71="Yes",A17&gt;=Assumptions!$H$72,A17&lt;=Assumptions!$H$73),0,IF(AND($A17&gt;=Assumptions!$C$17,$A17&lt;=Assumptions!$C$18),MAX(AZ17*(1+VLOOKUP($C17,WeatherCapacityAdjustment,2))-FL17,0),0))</f>
        <v>0</v>
      </c>
      <c r="FU17" s="563">
        <f>IF(AND(Assumptions!$H$71="Yes",A17&gt;=Assumptions!$H$72,A17&lt;=Assumptions!$H$73),0,IF(AND($A17&gt;=Assumptions!$C$17,$A17&lt;=Assumptions!$C$18),MAX(BA17*(1+VLOOKUP($C17,WeatherCapacityAdjustment,2))-FM17,0),0))</f>
        <v>0</v>
      </c>
      <c r="FV17" s="563">
        <f>IF(AND(Assumptions!$H$71="Yes",A17&gt;=Assumptions!$H$72,A17&lt;=Assumptions!$H$73),0,IF(AND($A17&gt;=Assumptions!$C$17,$A17&lt;=Assumptions!$C$18),MAX(BB17*(1+VLOOKUP($C17,WeatherCapacityAdjustment,2))-FN17,0),0))</f>
        <v>0</v>
      </c>
      <c r="FW17" s="643">
        <f>IF(AND(Assumptions!$H$71="Yes",A17&gt;=Assumptions!$H$72,A17&lt;=Assumptions!$H$73),0,IF(AND($A17&gt;=Assumptions!$C$17,$A17&lt;=Assumptions!$C$18),MAX(BC17*(1+VLOOKUP($C17,WeatherCapacityAdjustment,3))-FO17,0),0))</f>
        <v>0</v>
      </c>
      <c r="FX17" s="1634">
        <f>IF(AND(Assumptions!$H$71="Yes",A17&gt;=Assumptions!$H$72,A17&lt;=Assumptions!$H$73),0,IF(ET17&gt;0,MAX(BH17*(1+VLOOKUP($C17,WeatherCapacityAdjustment,2))-FP17,0),0))</f>
        <v>0</v>
      </c>
      <c r="FY17" s="563">
        <f>IF(AND(Assumptions!$H$71="Yes",A17&gt;=Assumptions!$H$72,A17&lt;=Assumptions!$H$73),0,IF(EU17&gt;0,MAX(BI17*(1+VLOOKUP($C17,WeatherCapacityAdjustment,3))-FQ17,0),0))</f>
        <v>0</v>
      </c>
      <c r="FZ17" s="563">
        <f>IF(AND(Assumptions!$H$71="Yes",A17&gt;=Assumptions!$H$72,A17&lt;=Assumptions!$H$73),0,IF(EV17&gt;0,MAX(BJ17*(1+VLOOKUP($C17,WeatherCapacityAdjustment,2))-FR17,0),0))</f>
        <v>0</v>
      </c>
      <c r="GA17" s="643">
        <f>IF(AND(Assumptions!$H$71="Yes",A17&gt;=Assumptions!$H$72,A17&lt;=Assumptions!$H$73),0,IF(EW17&gt;0,MAX(BK17*(1+VLOOKUP($C17,WeatherCapacityAdjustment,2))-FS17,0),0))</f>
        <v>0</v>
      </c>
      <c r="GB17" s="563">
        <f t="shared" ref="GB17:GB80" si="65">SUM(FT17:GA17)</f>
        <v>0</v>
      </c>
      <c r="GC17" s="633">
        <f t="shared" ref="GC17:GC80" si="66">+IF(SUM(FT17:GA17)=0,0,(SUMPRODUCT(BU17:BX17,FT17:FW17)+SUMPRODUCT(CA17:CD17,FX17:GA17))/SUM(FT17:GA17))</f>
        <v>0</v>
      </c>
      <c r="GD17" s="563">
        <f t="shared" ref="GD17:GD54" si="67">(FT17*BU17+FX17*CA17+FU17*BV17+FY17*CB17+FV17*BW17+FZ17*CC17+FW17*BX17+GA17*CD17)</f>
        <v>0</v>
      </c>
      <c r="GE17" s="1485">
        <f>+IF(BQ17,((FL17+FM17+FT17+FU17)*HeatRatePeak/1000*(1+VLOOKUP($C17,WeatherHeatRateAdjustment,2))+(FN17+FV17)*IF(EV17&gt;0,HeatRatePeak,HeatRateOffPeak)/1000*(1+VLOOKUP($C17,WeatherHeatRateAdjustment,2))+(FO17+FW17)*IF(EW17&gt;0,HeatRatePeak,HeatRateOffPeak)/1000*(1+VLOOKUP($C17,WeatherHeatRateAdjustment,3)))*(1+VLOOKUP($B17,HeatRateDegradation,$C17+1)),0)</f>
        <v>0</v>
      </c>
      <c r="GF17" s="1776">
        <f>IF(BQ17,((FP17+FQ17+FR17+FX17+FY17+FZ17)*HeatRatePeak/1000*(1+VLOOKUP($C17,WeatherHeatRateAdjustment,2))+(FS17+GA17)*HeatRatePeak/1000*(1+VLOOKUP($C17,WeatherHeatRateAdjustment,3)))*(1+VLOOKUP($B17,HeatRateDegradation,$C17+1)),0)</f>
        <v>0</v>
      </c>
      <c r="GG17" s="545">
        <f>IF(BQ17,VLOOKUP(A17,GasTable,13),0)</f>
        <v>0</v>
      </c>
      <c r="GH17" s="622">
        <f>(GE17+GF17)*GG17</f>
        <v>0</v>
      </c>
      <c r="GI17" s="1634">
        <f>GB17</f>
        <v>0</v>
      </c>
      <c r="GJ17" s="634">
        <f t="shared" ref="GJ17:GJ80" si="68">+DA17</f>
        <v>0</v>
      </c>
      <c r="GK17" s="562">
        <f>+GI17*GJ17</f>
        <v>0</v>
      </c>
      <c r="GL17" s="639">
        <f t="shared" ref="GL17:GL24" si="69">MAX(FE17-FL17-FP17,0)</f>
        <v>0</v>
      </c>
      <c r="GM17" s="563">
        <f t="shared" ref="GM17:GM24" si="70">MAX(FF17-FM17-FQ17,0)</f>
        <v>0</v>
      </c>
      <c r="GN17" s="563">
        <f t="shared" ref="GN17:GN24" si="71">MAX(FG17-FN17-FR17,0)</f>
        <v>0</v>
      </c>
      <c r="GO17" s="643">
        <f t="shared" ref="GO17:GO24" si="72">MAX(FH17-FO17-FS17,0)</f>
        <v>0</v>
      </c>
      <c r="GP17" s="563">
        <f t="shared" ref="GP17:GP80" si="73">SUM(GL17:GO17)</f>
        <v>0</v>
      </c>
      <c r="GQ17" s="633">
        <f t="shared" ref="GQ17:GQ80" si="74">IF(SUM(GL17:GO17)=0,0,((GL17*BU17+GM17*BV17+GN17*BW17+GO17*BX17)/SUM(GL17:GO17)))</f>
        <v>0</v>
      </c>
      <c r="GR17" s="562">
        <f t="shared" ref="GR17:GR54" si="75">(GL17*BU17+GM17*BV17+GN17*BW17+GO17*BX17)</f>
        <v>0</v>
      </c>
      <c r="GS17" s="640">
        <f>IF($A17&gt;=BegDate,Assumptions!$C$56*24*($A18-$A17)*(1-VLOOKUP($B17,MAIN!$AA$7:$AM$28,$C17+1))*(1-VLOOKUP($B17,MAIN!$AA$33:$AM$54,$C17+1)),0)*80/168</f>
        <v>0</v>
      </c>
      <c r="GT17" s="1715">
        <f>J17</f>
        <v>0</v>
      </c>
      <c r="GU17" s="1715">
        <f>IF($A17&gt;=BegDate,VLOOKUP($A17,GasTable,13)+Assumptions!$C$58,0)</f>
        <v>0</v>
      </c>
      <c r="GV17" s="1715">
        <f>GU17*Assumptions!$C$57/1000</f>
        <v>0</v>
      </c>
      <c r="GW17" s="625">
        <f>IF(Assumptions!$C$60="Hourly",MAX(0,GS17*(GT17-GV17)),GS17*(GT17-GV17))</f>
        <v>0</v>
      </c>
      <c r="GX17" s="640">
        <f>IF($A17&gt;=BegDate,Assumptions!$C$56*24*($A18-$A17)*(1-VLOOKUP($B17,MAIN!$AA$7:$AM$28,$C17+1))*(1-VLOOKUP($B17,MAIN!$AA$33:$AM$54,$C17+1)),0)*16/168</f>
        <v>0</v>
      </c>
      <c r="GY17" s="1715">
        <f>M17</f>
        <v>0</v>
      </c>
      <c r="GZ17" s="1715">
        <f>IF($A17&gt;=BegDate,VLOOKUP($A17,GasTable,13)+Assumptions!$C$58,0)</f>
        <v>0</v>
      </c>
      <c r="HA17" s="1715">
        <f>GZ17*Assumptions!$C$57/1000</f>
        <v>0</v>
      </c>
      <c r="HB17" s="625">
        <f>IF(Assumptions!$C$60="Hourly",MAX(0,GX17*(GY17-HA17)),GX17*(GY17-HA17))</f>
        <v>0</v>
      </c>
      <c r="HC17" s="640">
        <f>IF($A17&gt;=BegDate,Assumptions!$C$56*24*($A18-$A17)*(1-VLOOKUP($B17,MAIN!$AA$7:$AM$28,$C17+1))*(1-VLOOKUP($B17,MAIN!$AA$33:$AM$54,$C17+1)),0)*16/168</f>
        <v>0</v>
      </c>
      <c r="HD17" s="1715">
        <f>P17</f>
        <v>0</v>
      </c>
      <c r="HE17" s="1715">
        <f>IF($A17&gt;=BegDate,VLOOKUP($A17,GasTable,13)+Assumptions!$C$58,0)</f>
        <v>0</v>
      </c>
      <c r="HF17" s="1715">
        <f>HE17*Assumptions!$C$57/1000</f>
        <v>0</v>
      </c>
      <c r="HG17" s="625">
        <f>IF(Assumptions!$C$60="Hourly",MAX(0,HC17*(HD17-HF17)),HC17*(HD17-HF17))</f>
        <v>0</v>
      </c>
      <c r="HH17" s="640">
        <f>IF($A17&gt;=BegDate,Assumptions!$C$56*24*($A18-$A17)*(1-VLOOKUP($B17,MAIN!$AA$7:$AM$28,$C17+1))*(1-VLOOKUP($B17,MAIN!$AA$33:$AM$54,$C17+1)),0)*56/168</f>
        <v>0</v>
      </c>
      <c r="HI17" s="1715">
        <f>S17</f>
        <v>0</v>
      </c>
      <c r="HJ17" s="1715">
        <f>IF($A17&gt;=BegDate,VLOOKUP($A17,GasTable,13)+Assumptions!$C$58,0)</f>
        <v>0</v>
      </c>
      <c r="HK17" s="1715">
        <f>HJ17*Assumptions!$C$57/1000</f>
        <v>0</v>
      </c>
      <c r="HL17" s="625">
        <f>IF(Assumptions!$C$60="Hourly",MAX(0,HH17*(HI17-HK17)),HH17*(HI17-HK17))</f>
        <v>0</v>
      </c>
      <c r="HM17" s="640">
        <f>IF(AND(Assumptions!$H$71="Yes",A17&gt;=Assumptions!$H$72,A17&lt;=Assumptions!$H$73),Assumptions!$H$74*Assumptions!$C$9*1000,0)</f>
        <v>0</v>
      </c>
      <c r="HN17" s="625"/>
      <c r="HO17" s="1414">
        <f>YEAR(Template!$I$3)</f>
        <v>2003</v>
      </c>
      <c r="HP17" s="640">
        <f t="shared" ref="HP17:HP40" si="76">SUMIF($B$17:$B$292,HO17,$FJ$17:$FJ$292)</f>
        <v>0</v>
      </c>
      <c r="HQ17" s="154">
        <f>IF(HR17=0,0,HR17/HP17)</f>
        <v>0</v>
      </c>
      <c r="HR17" s="622">
        <f t="shared" ref="HR17:HR40" si="77">SUMIF($B$17:$B$292,HO17,$FK$17:$FK$292)</f>
        <v>0</v>
      </c>
      <c r="HS17" s="621">
        <f t="shared" ref="HS17:HS40" ca="1" si="78">SUMIF($B$17:$B$292,HO17,$GB$17:$GB$292)</f>
        <v>3212640</v>
      </c>
      <c r="HT17" s="545">
        <f ca="1">+IF(HS17&gt;0,HU17/HS17,0)</f>
        <v>35.838349630442266</v>
      </c>
      <c r="HU17" s="530">
        <f t="shared" ref="HU17:HU40" ca="1" si="79">SUMIF($B$17:$B$292,HO17,$GD$17:$GD$292)</f>
        <v>115135715.55674404</v>
      </c>
      <c r="HV17" s="1634">
        <f ca="1">HR17+HU17</f>
        <v>115135715.55674404</v>
      </c>
      <c r="HW17" s="530">
        <f t="shared" ref="HW17:HW40" ca="1" si="80">SUMIF($B$17:$B$292,$HO17,$EN$17:$EN$292)</f>
        <v>75439.348065005383</v>
      </c>
      <c r="HX17" s="530">
        <f t="shared" ref="HX17:HX40" ca="1" si="81">SUMIF($B$17:$B$292,$HO17,$FC$17:$FC$292)</f>
        <v>884296.31822804548</v>
      </c>
      <c r="HY17" s="530">
        <f>IF(Assumptions!$L$24="Yes",HW17+HX17,0)</f>
        <v>0</v>
      </c>
      <c r="HZ17" s="640">
        <f ca="1">SUMIF($B$17:$B$292,HO17,$GE$17:$GE$292)+SUMIF($B$17:$B$292,HO17,$GF$17:$GF$292)</f>
        <v>22578157.702799998</v>
      </c>
      <c r="IA17" s="545">
        <f ca="1">IF(IB17=0,0,IB17/HZ17)</f>
        <v>-2.5603175994845286</v>
      </c>
      <c r="IB17" s="622">
        <f t="shared" ref="IB17:IB40" ca="1" si="82">-SUMIF($B$17:$B$292,HO17,$GH$17:$GH$292)</f>
        <v>-57807254.530416012</v>
      </c>
      <c r="IC17" s="621">
        <f t="shared" ref="IC17:IC40" ca="1" si="83">SUMIF($B$17:$B$292,HO17,$GI$17:$GI$292)</f>
        <v>3212640</v>
      </c>
      <c r="ID17" s="545">
        <f ca="1">IF(IE17=0,0,IE17/IC17)</f>
        <v>-1.8</v>
      </c>
      <c r="IE17" s="622">
        <f t="shared" ref="IE17:IE40" ca="1" si="84">-SUMIF($B$17:$B$292,HO17,$GK$17:$GK$292)</f>
        <v>-5782752</v>
      </c>
      <c r="IF17" s="530">
        <f t="shared" ref="IF17:IF40" ca="1" si="85">SUMIF($B$17:$B$292,HO17,$GP$17:$GP$292)</f>
        <v>0</v>
      </c>
      <c r="IG17" s="545">
        <f ca="1">IF(IH17=0,0,IH17/IF17)</f>
        <v>0</v>
      </c>
      <c r="IH17" s="622">
        <f t="shared" ref="IH17:IH40" ca="1" si="86">-SUMIF($B$17:$B$292,HO17,$GR$17:$GR$292)</f>
        <v>0</v>
      </c>
      <c r="II17" s="1645">
        <f>(SUMIF($B$17:$B$292,HO17,$GW$17:$GW$292)+SUMIF($B$17:$B$292,HO17,$HB$17:$HB$292)+SUMIF($B$17:$B$292,HO17,$HG$17:$HG$292)+SUMIF($B$17:$B$292,HO17,$HL$17:$HL$292))*Assumptions!$C$59</f>
        <v>563331.57758849533</v>
      </c>
      <c r="IJ17" s="1463">
        <f>SUMIF($B$17:$B$292,HO17,$HM$17:$HM$292)</f>
        <v>0</v>
      </c>
      <c r="IK17" s="1463"/>
    </row>
    <row r="18" spans="1:245">
      <c r="A18" s="177">
        <f t="shared" ref="A18:A81" si="87">EOMONTH(A17,0)+1</f>
        <v>36678</v>
      </c>
      <c r="B18" s="349">
        <f t="shared" ref="B18:B81" si="88">+YEAR(A18)</f>
        <v>2000</v>
      </c>
      <c r="C18" s="15">
        <f t="shared" ref="C18:C80" si="89">MONTH(A18)</f>
        <v>6</v>
      </c>
      <c r="D18" s="612" t="str">
        <f t="shared" ref="D18:D81" si="90">IF(E18="","",Holiday(B18,C18))</f>
        <v/>
      </c>
      <c r="E18" s="609" t="str">
        <f t="shared" ref="E18:E80" si="91">IF(OR(BegDate&gt;=A19,EndDate&lt;A18,AND(VolumeMonthlyOverFlag,INDEX(VolumeMonthlyOver,C18)=0),NOT(INDEX(MonthKnockOutTable,C18))),"",MAX(A18,BegDate))</f>
        <v/>
      </c>
      <c r="F18" s="614" t="str">
        <f t="shared" si="2"/>
        <v/>
      </c>
      <c r="G18" s="1349">
        <v>0</v>
      </c>
      <c r="H18" s="152">
        <f>(1+G18/2)^(-2*(DATE(B19,C19,20)-DateToday)/365.25)</f>
        <v>1</v>
      </c>
      <c r="I18" s="422">
        <f>IF(Assumptions!$L$25=4,'Henwood Reference'!N25,IF(A18=H5,VLOOKUP(A19-1,PriceTable,2,0)+IF(BasisNumber&lt;&gt;1,VLOOKUP(A19-1,BasisTable,2,0),0),VLOOKUP(A18,PriceTable,2,0)+IF(BasisNumber&lt;&gt;1,VLOOKUP(A18,BasisTable,2,0),0)+$I$1)/(1-$I$2))</f>
        <v>0</v>
      </c>
      <c r="J18" s="422">
        <f>IF(Assumptions!$L$25=4,'Henwood Reference'!N25,IF(A18=H5,VLOOKUP(A19-1,PriceTable,3,0)+IF(BasisNumber&lt;&gt;1,VLOOKUP(A19-1,BasisTable,2,0),0),VLOOKUP(A18,PriceTable,3,0)+IF(BasisNumber&lt;&gt;1,VLOOKUP(A18,BasisTable,2,0),0)+$J$1)/(1-$J$2))</f>
        <v>0</v>
      </c>
      <c r="K18" s="423">
        <f>IF(Assumptions!$L$25=4,'Henwood Reference'!N25,IF(A18=H5,VLOOKUP(A19-1,PriceTable,4,0)+IF(BasisNumber&lt;&gt;1,VLOOKUP(A19-1,BasisTable,2,0),0),VLOOKUP(A18,PriceTable,4,0)+IF(BasisNumber&lt;&gt;1,VLOOKUP(A18,BasisTable,2,0),0)+$K$1)/(1-$K$2))</f>
        <v>0</v>
      </c>
      <c r="L18" s="501">
        <f>IF(Assumptions!$L$25=4,'Henwood Reference'!N25,(VLOOKUP(A18,PriceTableWeekend,2,0)+IF(BasisNumber&lt;&gt;1,VLOOKUP(IF(A18=H5,A19-1,A18),BasisTable,2,0),0)+$L$1)/(1-$L$2))</f>
        <v>0</v>
      </c>
      <c r="M18" s="422">
        <f>IF(Assumptions!$L$25=4,'Henwood Reference'!N25,(VLOOKUP(A18,PriceTableWeekend,3,0)+IF(BasisNumber&lt;&gt;1,VLOOKUP(IF(A18=H5,A19-1,A18),BasisTable,2,0),0)+$M$1)/(1-$M$2))</f>
        <v>0</v>
      </c>
      <c r="N18" s="423">
        <f>IF(Assumptions!$L$25=4,'Henwood Reference'!N25,(VLOOKUP(A18,PriceTableWeekend,4,0)+IF(BasisNumber&lt;&gt;1,VLOOKUP(IF(A18=H5,A19-1,A18),BasisTable,2,0),0)+$N$1)/(1-$N$2))</f>
        <v>0</v>
      </c>
      <c r="O18" s="422">
        <f>IF(Assumptions!$L$25=4,'Henwood Reference'!O25,(VLOOKUP(A18,PriceTableWeekend,6,0)+IF(BasisNumber&lt;&gt;1,VLOOKUP(IF(A18=H5,A19-1,A18),BasisTable,3,0),0)+$O$1)/(1-$O$2))</f>
        <v>0</v>
      </c>
      <c r="P18" s="422">
        <f>IF(Assumptions!$L$25=4,'Henwood Reference'!O25,(VLOOKUP(A18,PriceTableWeekend,7,0)+IF(BasisNumber&lt;&gt;1,VLOOKUP(IF(A18=H5,A19-1,A18),BasisTable,3,0),0)+$P$1)/(1-$P$2))</f>
        <v>0</v>
      </c>
      <c r="Q18" s="423">
        <f>IF(Assumptions!$L$25=4,'Henwood Reference'!O25,(VLOOKUP(A18,PriceTableWeekend,8,0)+IF(BasisNumber&lt;&gt;1,VLOOKUP(IF(A18=H5,A19-1,A18),BasisTable,3,0),0)+$Q$1)/(1-$Q$2))</f>
        <v>0</v>
      </c>
      <c r="R18" s="422">
        <f>IF(Assumptions!$L$25=4,'Henwood Reference'!O25,IF(A18=H5,VLOOKUP(A19-1,PriceTable,6,0)+IF(BasisNumber&lt;&gt;1,VLOOKUP(A19-1,BasisTable,3,0),0),VLOOKUP(A18,PriceTable,6,0)+IF(BasisNumber&lt;&gt;1,VLOOKUP(A18,BasisTable,3,0),0)+$R$1)/(1-$R$2))</f>
        <v>0</v>
      </c>
      <c r="S18" s="422">
        <f>IF(Assumptions!$L$25=4,'Henwood Reference'!O25,IF(A18=H5,VLOOKUP(A19-1,PriceTable,7,0)+IF(BasisNumber&lt;&gt;1,VLOOKUP(A19-1,BasisTable,3,0),0),VLOOKUP(A18,PriceTable,7,0)+IF(BasisNumber&lt;&gt;1,VLOOKUP(A18,BasisTable,3,0),0)+$S$1)/(1-$S$2))</f>
        <v>0</v>
      </c>
      <c r="T18" s="541">
        <f>IF(Assumptions!$L$25=4,'Henwood Reference'!O25,IF(A18=H5,VLOOKUP(A19-1,PriceTable,8,0)+IF(BasisNumber&lt;&gt;1,VLOOKUP(A19-1,BasisTable,3,0),0),VLOOKUP(A18,PriceTable,8,0)+IF(BasisNumber&lt;&gt;1,VLOOKUP(A18,BasisTable,3,0),0)+$T$1)/(1-$T$2))</f>
        <v>0</v>
      </c>
      <c r="U18" s="173">
        <f t="shared" ref="U18:U81" si="92">VLOOKUP($A18,VolatilityTable,14)</f>
        <v>0.22</v>
      </c>
      <c r="V18" s="173">
        <f t="shared" ref="V18:V81" si="93">VLOOKUP($A18,VolatilityTable,15)</f>
        <v>0.27</v>
      </c>
      <c r="W18" s="174">
        <f t="shared" ref="W18:W81" si="94">VLOOKUP($A18,VolatilityTable,16)</f>
        <v>0.28000000000000003</v>
      </c>
      <c r="X18" s="173">
        <f t="shared" ref="X18:X81" si="95">VLOOKUP($A18,VolatilityTable,14)</f>
        <v>0.22</v>
      </c>
      <c r="Y18" s="173">
        <f t="shared" ref="Y18:Y81" si="96">VLOOKUP($A18,VolatilityTable,15)</f>
        <v>0.27</v>
      </c>
      <c r="Z18" s="174">
        <f t="shared" ref="Z18:Z81" si="97">VLOOKUP($A18,VolatilityTable,16)</f>
        <v>0.28000000000000003</v>
      </c>
      <c r="AA18" s="173">
        <f t="shared" ref="AA18:AA81" si="98">VLOOKUP($A18,VolatilityTable,18)</f>
        <v>0.05</v>
      </c>
      <c r="AB18" s="173">
        <f t="shared" ref="AB18:AB81" si="99">VLOOKUP($A18,VolatilityTable,19)</f>
        <v>0.11</v>
      </c>
      <c r="AC18" s="174">
        <f t="shared" ref="AC18:AC81" si="100">VLOOKUP($A18,VolatilityTable,20)</f>
        <v>0.15</v>
      </c>
      <c r="AD18" s="173">
        <f t="shared" ref="AD18:AD81" si="101">VLOOKUP($A18,VolatilityTable,18)</f>
        <v>0.05</v>
      </c>
      <c r="AE18" s="173">
        <f t="shared" ref="AE18:AE81" si="102">VLOOKUP($A18,VolatilityTable,19)</f>
        <v>0.11</v>
      </c>
      <c r="AF18" s="174">
        <f t="shared" ref="AF18:AF81" si="103">VLOOKUP($A18,VolatilityTable,20)</f>
        <v>0.15</v>
      </c>
      <c r="AG18" s="173">
        <f t="shared" ref="AG18:AG81" si="104">VLOOKUP($A18,VolatilityTable,22)</f>
        <v>-0.35</v>
      </c>
      <c r="AH18" s="173">
        <f t="shared" ref="AH18:AH81" si="105">VLOOKUP($A18,VolatilityTable,23)</f>
        <v>0.65</v>
      </c>
      <c r="AI18" s="174">
        <f t="shared" ref="AI18:AI81" si="106">VLOOKUP($A18,VolatilityTable,24)</f>
        <v>0.2</v>
      </c>
      <c r="AJ18" s="173">
        <f t="shared" ref="AJ18:AJ81" si="107">VLOOKUP($A18,VolatilityTable,22)</f>
        <v>-0.35</v>
      </c>
      <c r="AK18" s="173">
        <f t="shared" ref="AK18:AK81" si="108">VLOOKUP($A18,VolatilityTable,23)</f>
        <v>0.65</v>
      </c>
      <c r="AL18" s="174">
        <f t="shared" ref="AL18:AL81" si="109">VLOOKUP($A18,VolatilityTable,24)</f>
        <v>0.2</v>
      </c>
      <c r="AM18" s="173">
        <f t="shared" ref="AM18:AM81" si="110">VLOOKUP($A18,VolatilityTable,26)</f>
        <v>-0.01</v>
      </c>
      <c r="AN18" s="173">
        <f t="shared" ref="AN18:AN81" si="111">VLOOKUP($A18,VolatilityTable,27)</f>
        <v>0.16</v>
      </c>
      <c r="AO18" s="174">
        <f t="shared" ref="AO18:AO81" si="112">VLOOKUP($A18,VolatilityTable,28)</f>
        <v>0.01</v>
      </c>
      <c r="AP18" s="173">
        <f t="shared" ref="AP18:AP81" si="113">VLOOKUP($A18,VolatilityTable,26)</f>
        <v>-0.01</v>
      </c>
      <c r="AQ18" s="173">
        <f t="shared" ref="AQ18:AQ81" si="114">VLOOKUP($A18,VolatilityTable,27)</f>
        <v>0.16</v>
      </c>
      <c r="AR18" s="175">
        <f t="shared" ref="AR18:AR81" si="115">VLOOKUP($A18,VolatilityTable,28)</f>
        <v>0.01</v>
      </c>
      <c r="AS18" s="521">
        <f t="shared" ref="AS18:AS33" si="116">IF(CorrPeakOffPeakOverFlag,INDEX(CorrPeakOffPeakOver,C18),CorrPeakOffPeak)</f>
        <v>0.5</v>
      </c>
      <c r="AT18" s="349">
        <f t="shared" ref="AT18:AT80" si="117">AX18-SUM(AU18:AW18)</f>
        <v>0</v>
      </c>
      <c r="AU18" s="159">
        <f t="shared" si="3"/>
        <v>0</v>
      </c>
      <c r="AV18" s="159">
        <f t="shared" si="4"/>
        <v>0</v>
      </c>
      <c r="AW18" s="159">
        <f t="shared" ref="AW18:AW33" si="118">IF(OR(E18="",D18="",D18&lt;BegDate,D18&gt;EndDate),0,1)</f>
        <v>0</v>
      </c>
      <c r="AX18" s="15">
        <f t="shared" ref="AX18:AX80" si="119">IF(E18="",0,F18-E18+1)</f>
        <v>0</v>
      </c>
      <c r="AY18" s="607">
        <f>IF(E18="",0,MIN((1-(1-VLOOKUP(B18,MAIN!$AA$7:$AM$28,C18+1))*(1-VLOOKUP(B18,MAIN!$AA$33:$AM$54,C18+1))),1))</f>
        <v>0</v>
      </c>
      <c r="AZ18" s="259">
        <v>0</v>
      </c>
      <c r="BA18" s="263">
        <v>0</v>
      </c>
      <c r="BB18" s="263">
        <v>0</v>
      </c>
      <c r="BC18" s="510">
        <v>0</v>
      </c>
      <c r="BD18" s="512">
        <v>0</v>
      </c>
      <c r="BE18" s="513">
        <v>0</v>
      </c>
      <c r="BF18" s="513">
        <v>0</v>
      </c>
      <c r="BG18" s="514">
        <v>0</v>
      </c>
      <c r="BH18" s="261">
        <v>0</v>
      </c>
      <c r="BI18" s="263">
        <v>0</v>
      </c>
      <c r="BJ18" s="263">
        <v>0</v>
      </c>
      <c r="BK18" s="510">
        <v>0</v>
      </c>
      <c r="BL18" s="512">
        <v>0</v>
      </c>
      <c r="BM18" s="513">
        <v>0</v>
      </c>
      <c r="BN18" s="513">
        <v>0</v>
      </c>
      <c r="BO18" s="513">
        <v>0</v>
      </c>
      <c r="BP18" s="261">
        <f t="shared" ref="BP18:BP81" si="120">SUM(AZ18:BB18)</f>
        <v>0</v>
      </c>
      <c r="BQ18" s="578">
        <f t="shared" ref="BQ18:BQ81" si="121">SUM(AZ18:BC18)</f>
        <v>0</v>
      </c>
      <c r="BR18" s="259">
        <f t="shared" ref="BR18:BR81" si="122">SUM(BH18:BJ18)</f>
        <v>0</v>
      </c>
      <c r="BS18" s="578">
        <f t="shared" ref="BS18:BS81" si="123">SUM(BH18:BK18)</f>
        <v>0</v>
      </c>
      <c r="BT18" s="216">
        <f t="shared" ref="BT18:BT81" si="124">(IF(OVolType&lt;&gt;2,A18+14,IF(OptExpDateShift,ShiftBack(A18,OptExpDateShift,D17),A18))-DateToday)/365.25</f>
        <v>0.13141683778234087</v>
      </c>
      <c r="BU18" s="218">
        <f t="shared" si="5"/>
        <v>0</v>
      </c>
      <c r="BV18" s="216">
        <f t="shared" si="6"/>
        <v>0</v>
      </c>
      <c r="BW18" s="216">
        <f t="shared" si="7"/>
        <v>0</v>
      </c>
      <c r="BX18" s="216">
        <f t="shared" ref="BX18:BX81" si="125">IF(BQ18,IF(OPriceCurve,IF(OBuySell=OCallPut,R18/(1-AY18),T18/(1-AY18)),S18/(1-AY18))*BG18,0)</f>
        <v>0</v>
      </c>
      <c r="BY18" s="216">
        <f t="shared" si="8"/>
        <v>0</v>
      </c>
      <c r="BZ18" s="216">
        <f t="shared" si="9"/>
        <v>0</v>
      </c>
      <c r="CA18" s="264">
        <f t="shared" si="10"/>
        <v>0</v>
      </c>
      <c r="CB18" s="216">
        <f t="shared" si="11"/>
        <v>0</v>
      </c>
      <c r="CC18" s="216">
        <f t="shared" si="12"/>
        <v>0</v>
      </c>
      <c r="CD18" s="216">
        <f t="shared" ref="CD18:CD81" si="126">IF(BS18,IF(OPriceCurve,IF(OBuySell=OCallPut,R18/(1-AY18),T18/(1-AY18)),S18/(1-AY18))*BO18,0)</f>
        <v>0</v>
      </c>
      <c r="CE18" s="216">
        <f t="shared" si="13"/>
        <v>0</v>
      </c>
      <c r="CF18" s="571">
        <f t="shared" si="14"/>
        <v>0</v>
      </c>
      <c r="CG18" s="573" t="str">
        <f t="shared" si="15"/>
        <v/>
      </c>
      <c r="CH18" s="219" t="str">
        <f t="shared" si="16"/>
        <v/>
      </c>
      <c r="CI18" s="219" t="str">
        <f t="shared" si="17"/>
        <v/>
      </c>
      <c r="CJ18" s="219" t="str">
        <f t="shared" si="18"/>
        <v/>
      </c>
      <c r="CK18" s="219" t="str">
        <f t="shared" si="19"/>
        <v/>
      </c>
      <c r="CL18" s="219" t="str">
        <f t="shared" si="20"/>
        <v/>
      </c>
      <c r="CM18" s="219" t="str">
        <f t="shared" si="21"/>
        <v/>
      </c>
      <c r="CN18" s="569" t="str">
        <f t="shared" si="22"/>
        <v/>
      </c>
      <c r="CO18" s="264">
        <f>IF(OR(BQ18,BS18),VLOOKUP(A18,GasTable,13)*HeatRatePeak*VLOOKUP($B18,MAIN!$AB$59:$AM$80,$C18+1)/1000,0)</f>
        <v>0</v>
      </c>
      <c r="CP18" s="216">
        <f t="shared" ref="CP18:CP81" si="127">IF(OR(BQ18,BS18),VLOOKUP(A18,GasTable,13)*HeatRatePeak*(1+VLOOKUP($B18,HeatRateDegradation,$C18+1))/1000,0)</f>
        <v>0</v>
      </c>
      <c r="CQ18" s="216">
        <f t="shared" ref="CQ18:CQ54" si="128">IF(OR(BQ18,BS18),VLOOKUP(A18,GasTable,13)*IF(EV18,HeatRatePeak,HeatRateOffPeak)*(1+VLOOKUP($B18,HeatRateDegradation,$C18+1))/1000,0)</f>
        <v>0</v>
      </c>
      <c r="CR18" s="216">
        <f t="shared" ref="CR18:CR54" si="129">IF(OR(BQ18,BS18),VLOOKUP(A18,GasTable,13)*IF(EW18,HeatRatePeak,HeatRateOffPeak)*(1+VLOOKUP($B18,HeatRateDegradation,$C18+1))/1000,0)</f>
        <v>0</v>
      </c>
      <c r="CS18" s="1626">
        <f t="shared" ref="CS18:CS54" si="130">IF(BQ18,(CO18*AZ18+CP18*BA18+CQ18*BB18+CR18*BC18)/BQ18,0)</f>
        <v>0</v>
      </c>
      <c r="CT18" s="216">
        <f t="shared" ref="CT18:CT81" si="131">IF(BS18,CO18,0)</f>
        <v>0</v>
      </c>
      <c r="CU18" s="575" t="str">
        <f t="shared" si="23"/>
        <v/>
      </c>
      <c r="CV18" s="154" t="str">
        <f t="shared" si="24"/>
        <v/>
      </c>
      <c r="CW18" s="216">
        <f>IF(OR($BQ18,$BS18),SpreadOptPowerMargin,0)*((1+Assumptions!$C$26)^($B18-YEAR(Assumptions!$C$17)))</f>
        <v>0</v>
      </c>
      <c r="CX18" s="216">
        <f>IF(OR($BQ18,$BS18),SpreadOptPowerMargin,0)*((1+Assumptions!$C$26)^($B18-YEAR(Assumptions!$C$17)))</f>
        <v>0</v>
      </c>
      <c r="CY18" s="216">
        <f>IF(OR($BQ18,$BS18),SpreadOptPowerMargin,0)*((1+Assumptions!$C$26)^($B18-YEAR(Assumptions!$C$17)))</f>
        <v>0</v>
      </c>
      <c r="CZ18" s="216">
        <f>IF(OR($BQ18,$BS18),SpreadOptPowerMargin,0)*((1+Assumptions!$C$26)^($B18-YEAR(Assumptions!$C$17)))</f>
        <v>0</v>
      </c>
      <c r="DA18" s="440">
        <f t="shared" si="25"/>
        <v>0</v>
      </c>
      <c r="DB18" s="479" t="str">
        <f t="shared" si="26"/>
        <v/>
      </c>
      <c r="DC18" s="479" t="str">
        <f t="shared" si="27"/>
        <v/>
      </c>
      <c r="DD18" s="479" t="str">
        <f t="shared" si="28"/>
        <v/>
      </c>
      <c r="DE18" s="479" t="str">
        <f t="shared" si="29"/>
        <v/>
      </c>
      <c r="DF18" s="479" t="str">
        <f t="shared" si="30"/>
        <v/>
      </c>
      <c r="DG18" s="574" t="str">
        <f t="shared" si="31"/>
        <v/>
      </c>
      <c r="DH18" s="216">
        <f t="shared" si="32"/>
        <v>0</v>
      </c>
      <c r="DI18" s="216">
        <f t="shared" si="33"/>
        <v>0</v>
      </c>
      <c r="DJ18" s="216">
        <f t="shared" si="34"/>
        <v>0</v>
      </c>
      <c r="DK18" s="216">
        <f t="shared" si="35"/>
        <v>0</v>
      </c>
      <c r="DL18" s="216">
        <f t="shared" si="36"/>
        <v>0</v>
      </c>
      <c r="DM18" s="216"/>
      <c r="DN18" s="216"/>
      <c r="DO18" s="216"/>
      <c r="DP18" s="216"/>
      <c r="DQ18" s="216"/>
      <c r="DR18" s="216"/>
      <c r="DS18" s="216"/>
      <c r="DT18" s="216"/>
      <c r="DU18" s="216"/>
      <c r="DV18" s="216"/>
      <c r="DW18" s="1371">
        <f t="shared" si="37"/>
        <v>0</v>
      </c>
      <c r="DX18" s="216">
        <f t="shared" si="38"/>
        <v>0</v>
      </c>
      <c r="DY18" s="440">
        <f t="shared" si="39"/>
        <v>0</v>
      </c>
      <c r="DZ18" s="180">
        <f t="shared" si="40"/>
        <v>0</v>
      </c>
      <c r="EA18" s="180">
        <f t="shared" si="41"/>
        <v>0</v>
      </c>
      <c r="EB18" s="180">
        <f t="shared" si="42"/>
        <v>0</v>
      </c>
      <c r="EC18" s="180">
        <f t="shared" si="43"/>
        <v>0</v>
      </c>
      <c r="ED18" s="180">
        <f t="shared" si="44"/>
        <v>0</v>
      </c>
      <c r="EE18" s="581">
        <f t="shared" si="45"/>
        <v>0</v>
      </c>
      <c r="EF18" s="554">
        <f t="shared" si="46"/>
        <v>0</v>
      </c>
      <c r="EG18" s="554">
        <f t="shared" si="47"/>
        <v>0</v>
      </c>
      <c r="EH18" s="554">
        <f t="shared" si="48"/>
        <v>0</v>
      </c>
      <c r="EI18" s="561">
        <f t="shared" si="49"/>
        <v>0</v>
      </c>
      <c r="EJ18" s="581">
        <f t="shared" ref="EJ18:EJ81" si="132">DZ18-EE18</f>
        <v>0</v>
      </c>
      <c r="EK18" s="554">
        <f t="shared" ref="EK18:EK81" si="133">EA18-EF18</f>
        <v>0</v>
      </c>
      <c r="EL18" s="554">
        <f t="shared" ref="EL18:EL54" si="134">EB18-EG18</f>
        <v>0</v>
      </c>
      <c r="EM18" s="554">
        <f t="shared" ref="EM18:EM54" si="135">EC18-EH18</f>
        <v>0</v>
      </c>
      <c r="EN18" s="561">
        <f t="shared" ref="EN18:EN54" si="136">ED18-EI18</f>
        <v>0</v>
      </c>
      <c r="EO18" s="180">
        <f t="shared" si="50"/>
        <v>0</v>
      </c>
      <c r="EP18" s="180">
        <f t="shared" si="51"/>
        <v>0</v>
      </c>
      <c r="EQ18" s="180">
        <f t="shared" si="52"/>
        <v>0</v>
      </c>
      <c r="ER18" s="180">
        <f t="shared" si="53"/>
        <v>0</v>
      </c>
      <c r="ES18" s="180">
        <f t="shared" si="54"/>
        <v>0</v>
      </c>
      <c r="ET18" s="1482">
        <f t="shared" si="55"/>
        <v>0</v>
      </c>
      <c r="EU18" s="180">
        <f t="shared" si="56"/>
        <v>0</v>
      </c>
      <c r="EV18" s="180">
        <f t="shared" si="57"/>
        <v>0</v>
      </c>
      <c r="EW18" s="180">
        <f t="shared" si="58"/>
        <v>0</v>
      </c>
      <c r="EX18" s="555">
        <f t="shared" si="59"/>
        <v>0</v>
      </c>
      <c r="EY18" s="180">
        <f t="shared" ref="EY18:EY54" si="137">EO18-ET18</f>
        <v>0</v>
      </c>
      <c r="EZ18" s="180">
        <f t="shared" ref="EZ18:EZ54" si="138">EP18-EU18</f>
        <v>0</v>
      </c>
      <c r="FA18" s="180">
        <f t="shared" ref="FA18:FA54" si="139">EQ18-EV18</f>
        <v>0</v>
      </c>
      <c r="FB18" s="180">
        <f t="shared" ref="FB18:FB54" si="140">ER18-EW18</f>
        <v>0</v>
      </c>
      <c r="FC18" s="180">
        <f t="shared" ref="FC18:FC54" si="141">ES18-EX18</f>
        <v>0</v>
      </c>
      <c r="FD18" s="262">
        <f>IF(AX18,IF(VLOOKUP(C18,MAIN!$L$17:$M$28,2)="Yes",VLOOKUP(CALC!B18,MAIN!$H$17:$I$20,2),0),0)</f>
        <v>0</v>
      </c>
      <c r="FE18" s="623">
        <f t="shared" si="60"/>
        <v>0</v>
      </c>
      <c r="FF18" s="535">
        <f t="shared" si="61"/>
        <v>0</v>
      </c>
      <c r="FG18" s="535">
        <f t="shared" si="62"/>
        <v>0</v>
      </c>
      <c r="FH18" s="624">
        <f t="shared" si="63"/>
        <v>0</v>
      </c>
      <c r="FI18" s="632">
        <f>IF(AX18,VLOOKUP(CALC!B18,MAIN!$H$17:$K$20,4),0)</f>
        <v>0</v>
      </c>
      <c r="FJ18" s="535">
        <f t="shared" si="64"/>
        <v>0</v>
      </c>
      <c r="FK18" s="648">
        <f t="shared" ref="FK18:FK81" si="142">FI18*FJ18</f>
        <v>0</v>
      </c>
      <c r="FL18" s="530">
        <f t="shared" ref="FL18:FL48" si="143">IF($EI18&gt;0,MIN(FE18,AZ18*(1+VLOOKUP($C18,WeatherCapacityAdjustment,2))),0)</f>
        <v>0</v>
      </c>
      <c r="FM18" s="530">
        <f t="shared" ref="FM18:FM48" si="144">IF($EI18&gt;0,MIN(FF18,BA18*(1+VLOOKUP($C18,WeatherCapacityAdjustment,2))),0)</f>
        <v>0</v>
      </c>
      <c r="FN18" s="530">
        <f t="shared" ref="FN18:FN48" si="145">IF($EI18&gt;0,MIN(FG18,BB18*(1+VLOOKUP($C18,WeatherCapacityAdjustment,2))),0)</f>
        <v>0</v>
      </c>
      <c r="FO18" s="622">
        <f t="shared" ref="FO18:FO48" si="146">IF($EI18&gt;0,MIN(FH18,BC18*(1+VLOOKUP($C18,WeatherCapacityAdjustment,3))),0)</f>
        <v>0</v>
      </c>
      <c r="FP18" s="530">
        <f t="shared" ref="FP18:FP48" si="147">IF(ET18&gt;0,MIN(FE18-FL18,BH18*(1+VLOOKUP($C18,WeatherCapacityAdjustment,2))),0)</f>
        <v>0</v>
      </c>
      <c r="FQ18" s="530">
        <f t="shared" ref="FQ18:FQ48" si="148">IF(EU18&gt;0,MIN(FF18-FM18,BI18*(1+VLOOKUP($C18,WeatherCapacityAdjustment,2))),0)</f>
        <v>0</v>
      </c>
      <c r="FR18" s="530">
        <f t="shared" ref="FR18:FR48" si="149">IF(EV18&gt;0,MIN(FG18-FN18,BJ18*(1+VLOOKUP($C18,WeatherCapacityAdjustment,2))),0)</f>
        <v>0</v>
      </c>
      <c r="FS18" s="625">
        <f t="shared" ref="FS18:FS48" si="150">IF(EW18&gt;0,MIN(FH18-FO18,BK18*(1+VLOOKUP($C18,WeatherCapacityAdjustment,3))),0)</f>
        <v>0</v>
      </c>
      <c r="FT18" s="640">
        <f>IF(AND(Assumptions!$H$71="Yes",A18&gt;=Assumptions!$H$72,A18&lt;=Assumptions!$H$73),0,IF(AND($A18&gt;=Assumptions!$C$17,$A18&lt;=Assumptions!$C$18),MAX(AZ18*(1+VLOOKUP($C18,WeatherCapacityAdjustment,2))-FL18,0),0))</f>
        <v>0</v>
      </c>
      <c r="FU18" s="530">
        <f>IF(AND(Assumptions!$H$71="Yes",A18&gt;=Assumptions!$H$72,A18&lt;=Assumptions!$H$73),0,IF(AND($A18&gt;=Assumptions!$C$17,$A18&lt;=Assumptions!$C$18),MAX(BA18*(1+VLOOKUP($C18,WeatherCapacityAdjustment,2))-FM18,0),0))</f>
        <v>0</v>
      </c>
      <c r="FV18" s="530">
        <f>IF(AND(Assumptions!$H$71="Yes",A18&gt;=Assumptions!$H$72,A18&lt;=Assumptions!$H$73),0,IF(AND($A18&gt;=Assumptions!$C$17,$A18&lt;=Assumptions!$C$18),MAX(BB18*(1+VLOOKUP($C18,WeatherCapacityAdjustment,2))-FN18,0),0))</f>
        <v>0</v>
      </c>
      <c r="FW18" s="622">
        <f>IF(AND(Assumptions!$H$71="Yes",A18&gt;=Assumptions!$H$72,A18&lt;=Assumptions!$H$73),0,IF(AND($A18&gt;=Assumptions!$C$17,$A18&lt;=Assumptions!$C$18),MAX(BC18*(1+VLOOKUP($C18,WeatherCapacityAdjustment,3))-FO18,0),0))</f>
        <v>0</v>
      </c>
      <c r="FX18" s="621">
        <f>IF(AND(Assumptions!$H$71="Yes",A18&gt;=Assumptions!$H$72,A18&lt;=Assumptions!$H$73),0,IF(ET18&gt;0,MAX(BH18*(1+VLOOKUP($C18,WeatherCapacityAdjustment,2))-FP18,0),0))</f>
        <v>0</v>
      </c>
      <c r="FY18" s="530">
        <f>IF(AND(Assumptions!$H$71="Yes",A18&gt;=Assumptions!$H$72,A18&lt;=Assumptions!$H$73),0,IF(EU18&gt;0,MAX(BI18*(1+VLOOKUP($C18,WeatherCapacityAdjustment,3))-FQ18,0),0))</f>
        <v>0</v>
      </c>
      <c r="FZ18" s="530">
        <f>IF(AND(Assumptions!$H$71="Yes",A18&gt;=Assumptions!$H$72,A18&lt;=Assumptions!$H$73),0,IF(EV18&gt;0,MAX(BJ18*(1+VLOOKUP($C18,WeatherCapacityAdjustment,2))-FR18,0),0))</f>
        <v>0</v>
      </c>
      <c r="GA18" s="622">
        <f>IF(AND(Assumptions!$H$71="Yes",A18&gt;=Assumptions!$H$72,A18&lt;=Assumptions!$H$73),0,IF(EW18&gt;0,MAX(BK18*(1+VLOOKUP($C18,WeatherCapacityAdjustment,2))-FS18,0),0))</f>
        <v>0</v>
      </c>
      <c r="GB18" s="530">
        <f t="shared" si="65"/>
        <v>0</v>
      </c>
      <c r="GC18" s="545">
        <f t="shared" si="66"/>
        <v>0</v>
      </c>
      <c r="GD18" s="530">
        <f t="shared" si="67"/>
        <v>0</v>
      </c>
      <c r="GE18" s="1485">
        <f t="shared" ref="GE18:GE54" si="151">+IF(BQ18,((FL18+FM18+FT18+FU18)*HeatRatePeak/1000*(1+VLOOKUP($C18,WeatherHeatRateAdjustment,2))+(FN18+FV18)*IF(EV18&gt;0,HeatRatePeak,HeatRateOffPeak)/1000*(1+VLOOKUP($C18,WeatherHeatRateAdjustment,2))+(FO18+FW18)*IF(EW18&gt;0,HeatRatePeak,HeatRateOffPeak)/1000*(1+VLOOKUP($C18,WeatherHeatRateAdjustment,3)))*(1+VLOOKUP($B18,HeatRateDegradation,$C18+1)),0)</f>
        <v>0</v>
      </c>
      <c r="GF18" s="1776">
        <f>IF(BQ18,((FP18+FQ18+FR18+FX18+FY18+FZ18)*HeatRatePeak/1000*(1+VLOOKUP($C18,WeatherHeatRateAdjustment,2))+(FS18+GA18)*HeatRatePeak/1000*(1+VLOOKUP($C18,WeatherHeatRateAdjustment,3)))*(1+VLOOKUP($B18,HeatRateDegradation,$C18+1)),0)</f>
        <v>0</v>
      </c>
      <c r="GG18" s="545">
        <f>IF(BQ18,VLOOKUP(A18,GasTable,13),0)</f>
        <v>0</v>
      </c>
      <c r="GH18" s="622">
        <f>(GE18+GF18)*GG18</f>
        <v>0</v>
      </c>
      <c r="GI18" s="621">
        <f t="shared" ref="GI18:GI81" si="152">GB18</f>
        <v>0</v>
      </c>
      <c r="GJ18" s="638">
        <f t="shared" si="68"/>
        <v>0</v>
      </c>
      <c r="GK18" s="625">
        <f>+GI18*GJ18</f>
        <v>0</v>
      </c>
      <c r="GL18" s="640">
        <f t="shared" si="69"/>
        <v>0</v>
      </c>
      <c r="GM18" s="530">
        <f t="shared" si="70"/>
        <v>0</v>
      </c>
      <c r="GN18" s="530">
        <f t="shared" si="71"/>
        <v>0</v>
      </c>
      <c r="GO18" s="622">
        <f t="shared" si="72"/>
        <v>0</v>
      </c>
      <c r="GP18" s="530">
        <f t="shared" si="73"/>
        <v>0</v>
      </c>
      <c r="GQ18" s="545">
        <f t="shared" si="74"/>
        <v>0</v>
      </c>
      <c r="GR18" s="625">
        <f t="shared" si="75"/>
        <v>0</v>
      </c>
      <c r="GS18" s="640">
        <f>IF($A18&gt;=BegDate,Assumptions!$C$56*24*($A19-$A18)*(1-VLOOKUP($B18,MAIN!$AA$7:$AM$28,$C18+1))*(1-VLOOKUP($B18,MAIN!$AA$33:$AM$54,$C18+1)),0)*80/168</f>
        <v>0</v>
      </c>
      <c r="GT18" s="1715">
        <f t="shared" ref="GT18:GT81" si="153">J18</f>
        <v>0</v>
      </c>
      <c r="GU18" s="1715">
        <f>IF($A18&gt;=BegDate,VLOOKUP($A18,GasTable,13)+Assumptions!$C$58,0)</f>
        <v>0</v>
      </c>
      <c r="GV18" s="1715">
        <f>GU18*Assumptions!$C$57/1000</f>
        <v>0</v>
      </c>
      <c r="GW18" s="625">
        <f>IF(Assumptions!$C$60="Hourly",MAX(0,GS18*(GT18-GV18)),GS18*(GT18-GV18))</f>
        <v>0</v>
      </c>
      <c r="GX18" s="640">
        <f>IF($A18&gt;=BegDate,Assumptions!$C$56*24*($A19-$A18)*(1-VLOOKUP($B18,MAIN!$AA$7:$AM$28,$C18+1))*(1-VLOOKUP($B18,MAIN!$AA$33:$AM$54,$C18+1)),0)*16/168</f>
        <v>0</v>
      </c>
      <c r="GY18" s="1715">
        <f t="shared" ref="GY18:GY81" si="154">M18</f>
        <v>0</v>
      </c>
      <c r="GZ18" s="1715">
        <f>IF($A18&gt;=BegDate,VLOOKUP($A18,GasTable,13)+Assumptions!$C$58,0)</f>
        <v>0</v>
      </c>
      <c r="HA18" s="1715">
        <f>GZ18*Assumptions!$C$57/1000</f>
        <v>0</v>
      </c>
      <c r="HB18" s="625">
        <f>IF(Assumptions!$C$60="Hourly",MAX(0,GX18*(GY18-HA18)),GX18*(GY18-HA18))</f>
        <v>0</v>
      </c>
      <c r="HC18" s="640">
        <f>IF($A18&gt;=BegDate,Assumptions!$C$56*24*($A19-$A18)*(1-VLOOKUP($B18,MAIN!$AA$7:$AM$28,$C18+1))*(1-VLOOKUP($B18,MAIN!$AA$33:$AM$54,$C18+1)),0)*16/168</f>
        <v>0</v>
      </c>
      <c r="HD18" s="1715">
        <f t="shared" ref="HD18:HD81" si="155">P18</f>
        <v>0</v>
      </c>
      <c r="HE18" s="1715">
        <f>IF($A18&gt;=BegDate,VLOOKUP($A18,GasTable,13)+Assumptions!$C$58,0)</f>
        <v>0</v>
      </c>
      <c r="HF18" s="1715">
        <f>HE18*Assumptions!$C$57/1000</f>
        <v>0</v>
      </c>
      <c r="HG18" s="625">
        <f>IF(Assumptions!$C$60="Hourly",MAX(0,HC18*(HD18-HF18)),HC18*(HD18-HF18))</f>
        <v>0</v>
      </c>
      <c r="HH18" s="640">
        <f>IF($A18&gt;=BegDate,Assumptions!$C$56*24*($A19-$A18)*(1-VLOOKUP($B18,MAIN!$AA$7:$AM$28,$C18+1))*(1-VLOOKUP($B18,MAIN!$AA$33:$AM$54,$C18+1)),0)*56/168</f>
        <v>0</v>
      </c>
      <c r="HI18" s="1715">
        <f t="shared" ref="HI18:HI81" si="156">S18</f>
        <v>0</v>
      </c>
      <c r="HJ18" s="1715">
        <f>IF($A18&gt;=BegDate,VLOOKUP($A18,GasTable,13)+Assumptions!$C$58,0)</f>
        <v>0</v>
      </c>
      <c r="HK18" s="1715">
        <f>HJ18*Assumptions!$C$57/1000</f>
        <v>0</v>
      </c>
      <c r="HL18" s="625">
        <f>IF(Assumptions!$C$60="Hourly",MAX(0,HH18*(HI18-HK18)),HH18*(HI18-HK18))</f>
        <v>0</v>
      </c>
      <c r="HM18" s="640">
        <f>IF(AND(Assumptions!$H$71="Yes",A18&gt;=Assumptions!$H$72,A18&lt;=Assumptions!$H$73),Assumptions!$H$74*Assumptions!$C$9*1000,0)</f>
        <v>0</v>
      </c>
      <c r="HN18" s="625"/>
      <c r="HO18" s="1414">
        <f>HO17+1</f>
        <v>2004</v>
      </c>
      <c r="HP18" s="640">
        <f t="shared" si="76"/>
        <v>0</v>
      </c>
      <c r="HQ18" s="154">
        <f t="shared" ref="HQ18:HQ40" si="157">IF(HR18=0,0,HR18/HP18)</f>
        <v>0</v>
      </c>
      <c r="HR18" s="622">
        <f t="shared" si="77"/>
        <v>0</v>
      </c>
      <c r="HS18" s="621">
        <f t="shared" ca="1" si="78"/>
        <v>6161052</v>
      </c>
      <c r="HT18" s="545">
        <f t="shared" ref="HT18:HT40" ca="1" si="158">+IF(HS18&gt;0,HU18/HS18,0)</f>
        <v>34.904436933798991</v>
      </c>
      <c r="HU18" s="530">
        <f t="shared" ca="1" si="79"/>
        <v>215048050.97985613</v>
      </c>
      <c r="HV18" s="621">
        <f t="shared" ref="HV18:HV40" ca="1" si="159">HR18+HU18</f>
        <v>215048050.97985613</v>
      </c>
      <c r="HW18" s="530">
        <f t="shared" ca="1" si="80"/>
        <v>345418.91021899425</v>
      </c>
      <c r="HX18" s="530">
        <f t="shared" ca="1" si="81"/>
        <v>2465445.0007138951</v>
      </c>
      <c r="HY18" s="530">
        <f>IF(Assumptions!$L$24="Yes",HW18+HX18,0)</f>
        <v>0</v>
      </c>
      <c r="HZ18" s="640">
        <f t="shared" ref="HZ18:HZ40" ca="1" si="160">SUMIF($B$17:$B$292,HO18,$GE$17:$GE$292)+SUMIF($B$17:$B$292,HO18,$GF$17:$GF$292)</f>
        <v>43552498.145280004</v>
      </c>
      <c r="IA18" s="545">
        <f t="shared" ref="IA18:IA40" ca="1" si="161">IF(IB18=0,0,IB18/HZ18)</f>
        <v>-2.5450977760238613</v>
      </c>
      <c r="IB18" s="622">
        <f t="shared" ca="1" si="82"/>
        <v>-110845366.16983548</v>
      </c>
      <c r="IC18" s="621">
        <f t="shared" ca="1" si="83"/>
        <v>6161052</v>
      </c>
      <c r="ID18" s="545">
        <f t="shared" ref="ID18:ID40" ca="1" si="162">IF(IE18=0,0,IE18/IC18)</f>
        <v>-1.8360000000000001</v>
      </c>
      <c r="IE18" s="622">
        <f t="shared" ca="1" si="84"/>
        <v>-11311691.472000001</v>
      </c>
      <c r="IF18" s="530">
        <f t="shared" ca="1" si="85"/>
        <v>0</v>
      </c>
      <c r="IG18" s="545">
        <f t="shared" ref="IG18:IG40" ca="1" si="163">IF(IH18=0,0,IH18/IF18)</f>
        <v>0</v>
      </c>
      <c r="IH18" s="622">
        <f t="shared" ca="1" si="86"/>
        <v>0</v>
      </c>
      <c r="II18" s="1645">
        <f>(SUMIF($B$17:$B$292,HO18,$GW$17:$GW$292)+SUMIF($B$17:$B$292,HO18,$HB$17:$HB$292)+SUMIF($B$17:$B$292,HO18,$HG$17:$HG$292)+SUMIF($B$17:$B$292,HO18,$HL$17:$HL$292))*Assumptions!$C$59</f>
        <v>1027648.0640546307</v>
      </c>
      <c r="IJ18" s="1463">
        <f t="shared" ref="IJ18:IJ40" si="164">SUMIF($B$17:$B$292,HO18,$HM$17:$HM$292)</f>
        <v>0</v>
      </c>
      <c r="IK18" s="1463"/>
    </row>
    <row r="19" spans="1:245">
      <c r="A19" s="177">
        <f t="shared" si="87"/>
        <v>36708</v>
      </c>
      <c r="B19" s="349">
        <f t="shared" si="88"/>
        <v>2000</v>
      </c>
      <c r="C19" s="15">
        <f t="shared" si="89"/>
        <v>7</v>
      </c>
      <c r="D19" s="612" t="str">
        <f t="shared" si="90"/>
        <v/>
      </c>
      <c r="E19" s="609" t="str">
        <f t="shared" si="91"/>
        <v/>
      </c>
      <c r="F19" s="614" t="str">
        <f t="shared" si="2"/>
        <v/>
      </c>
      <c r="G19" s="1349">
        <v>0</v>
      </c>
      <c r="H19" s="152">
        <f t="shared" ref="H19:H82" si="165">(1+G19/2)^(-2*(DATE(B20,C20,20)-DateToday)/365.25)</f>
        <v>1</v>
      </c>
      <c r="I19" s="154">
        <f>IF(Assumptions!$L$25=4,VLOOKUP($A19,'Henwood Reference'!$E$9:$R$320,10),(VLOOKUP($A19,PriceTable,2,0)+IF(BasisNumber&lt;&gt;1,VLOOKUP($A19,BasisTable,2,0),0)+I$1)/(1-I$2))</f>
        <v>30.554500000000001</v>
      </c>
      <c r="J19" s="154">
        <f>IF(Assumptions!$L$25=4,VLOOKUP($A19,'Henwood Reference'!$E$9:$R$320,10),(VLOOKUP($A19,PriceTable,3,0)+IF(BasisNumber&lt;&gt;1,VLOOKUP($A19,BasisTable,2,0),0)+J$1)/(1-J$2))</f>
        <v>30.554500000000001</v>
      </c>
      <c r="K19" s="154">
        <f>IF(Assumptions!$L$25=4,VLOOKUP($A19,'Henwood Reference'!$E$9:$R$320,10),(VLOOKUP($A19,PriceTable,4,0)+IF(BasisNumber&lt;&gt;1,VLOOKUP($A19,BasisTable,2,0),0)+K$1)/(1-K$2))</f>
        <v>30.554500000000001</v>
      </c>
      <c r="L19" s="474">
        <f>IF(Assumptions!$L$25=4,VLOOKUP($A19,'Henwood Reference'!$E$9:$R$320,10),(VLOOKUP($A19,PriceTableWeekend,2,0)+IF(BasisNumber&lt;&gt;1,VLOOKUP($A19,BasisTable,2,0),0)+L$1)/(1-L$2))</f>
        <v>30.554500000000001</v>
      </c>
      <c r="M19" s="154">
        <f>IF(Assumptions!$L$25=4,VLOOKUP($A19,'Henwood Reference'!$E$9:$R$320,10),(VLOOKUP($A19,PriceTableWeekend,3,0)+IF(BasisNumber&lt;&gt;1,VLOOKUP($A19,BasisTable,2,0),0)+M$1)/(1-M$2))</f>
        <v>30.554500000000001</v>
      </c>
      <c r="N19" s="156">
        <f>IF(Assumptions!$L$25=4,VLOOKUP($A19,'Henwood Reference'!$E$9:$R$320,10),(VLOOKUP($A19,PriceTableWeekend,4,0)+IF(BasisNumber&lt;&gt;1,VLOOKUP($A19,BasisTable,2,0),0)+N$1)/(1-N$2))</f>
        <v>30.554500000000001</v>
      </c>
      <c r="O19" s="154">
        <f>IF(Assumptions!$L$25=4,VLOOKUP($A19,'Henwood Reference'!$E$9:$R$320,11),(VLOOKUP($A19,PriceTableWeekend,6,0)+IF(BasisNumber&lt;&gt;1,VLOOKUP($A19,BasisTable,3,0),0)+O$1)/(1-O$2))</f>
        <v>15.1751</v>
      </c>
      <c r="P19" s="154">
        <f>IF(Assumptions!$L$25=4,VLOOKUP($A19,'Henwood Reference'!$E$9:$R$320,11),(VLOOKUP($A19,PriceTableWeekend,7,0)+IF(BasisNumber&lt;&gt;1,VLOOKUP($A19,BasisTable,3,0),0)+P$1)/(1-P$2))</f>
        <v>15.1751</v>
      </c>
      <c r="Q19" s="156">
        <f>IF(Assumptions!$L$25=4,VLOOKUP($A19,'Henwood Reference'!$E$9:$R$320,11),(VLOOKUP($A19,PriceTableWeekend,8,0)+IF(BasisNumber&lt;&gt;1,VLOOKUP($A19,BasisTable,3,0),0)+Q$1)/(1-Q$2))</f>
        <v>15.1751</v>
      </c>
      <c r="R19" s="154">
        <f>IF(Assumptions!$L$25=4,VLOOKUP($A19,'Henwood Reference'!$E$9:$R$320,11),(VLOOKUP($A19,PriceTable,6,0)+IF(BasisNumber&lt;&gt;1,VLOOKUP($A19,BasisTable,3,0),0)+R$1)/(1-R$2))</f>
        <v>15.1751</v>
      </c>
      <c r="S19" s="154">
        <f>IF(Assumptions!$L$25=4,VLOOKUP($A19,'Henwood Reference'!$E$9:$R$320,11),(VLOOKUP($A19,PriceTable,7,0)+IF(BasisNumber&lt;&gt;1,VLOOKUP($A19,BasisTable,3,0),0)+S$1)/(1-S$2))</f>
        <v>15.1751</v>
      </c>
      <c r="T19" s="155">
        <f>IF(Assumptions!$L$25=4,VLOOKUP($A19,'Henwood Reference'!$E$9:$R$320,11),(VLOOKUP($A19,PriceTable,8,0)+IF(BasisNumber&lt;&gt;1,VLOOKUP($A19,BasisTable,3,0),0)+T$1)/(1-T$2))</f>
        <v>15.1751</v>
      </c>
      <c r="U19" s="173">
        <f t="shared" si="92"/>
        <v>0.22</v>
      </c>
      <c r="V19" s="173">
        <f t="shared" si="93"/>
        <v>0.27</v>
      </c>
      <c r="W19" s="174">
        <f t="shared" si="94"/>
        <v>0.28000000000000003</v>
      </c>
      <c r="X19" s="173">
        <f t="shared" si="95"/>
        <v>0.22</v>
      </c>
      <c r="Y19" s="173">
        <f t="shared" si="96"/>
        <v>0.27</v>
      </c>
      <c r="Z19" s="174">
        <f t="shared" si="97"/>
        <v>0.28000000000000003</v>
      </c>
      <c r="AA19" s="173">
        <f t="shared" si="98"/>
        <v>0.05</v>
      </c>
      <c r="AB19" s="173">
        <f t="shared" si="99"/>
        <v>0.11</v>
      </c>
      <c r="AC19" s="174">
        <f t="shared" si="100"/>
        <v>0.15</v>
      </c>
      <c r="AD19" s="173">
        <f t="shared" si="101"/>
        <v>0.05</v>
      </c>
      <c r="AE19" s="173">
        <f t="shared" si="102"/>
        <v>0.11</v>
      </c>
      <c r="AF19" s="174">
        <f t="shared" si="103"/>
        <v>0.15</v>
      </c>
      <c r="AG19" s="173">
        <f t="shared" si="104"/>
        <v>-0.35</v>
      </c>
      <c r="AH19" s="173">
        <f t="shared" si="105"/>
        <v>3</v>
      </c>
      <c r="AI19" s="174">
        <f t="shared" si="106"/>
        <v>0.35</v>
      </c>
      <c r="AJ19" s="173">
        <f t="shared" si="107"/>
        <v>-0.35</v>
      </c>
      <c r="AK19" s="173">
        <f t="shared" si="108"/>
        <v>3</v>
      </c>
      <c r="AL19" s="174">
        <f t="shared" si="109"/>
        <v>0.35</v>
      </c>
      <c r="AM19" s="173">
        <f t="shared" si="110"/>
        <v>-0.01</v>
      </c>
      <c r="AN19" s="173">
        <f t="shared" si="111"/>
        <v>0.16</v>
      </c>
      <c r="AO19" s="174">
        <f t="shared" si="112"/>
        <v>0.01</v>
      </c>
      <c r="AP19" s="173">
        <f t="shared" si="113"/>
        <v>-0.01</v>
      </c>
      <c r="AQ19" s="173">
        <f t="shared" si="114"/>
        <v>0.16</v>
      </c>
      <c r="AR19" s="175">
        <f t="shared" si="115"/>
        <v>0.01</v>
      </c>
      <c r="AS19" s="521">
        <f t="shared" si="116"/>
        <v>0.5</v>
      </c>
      <c r="AT19" s="349">
        <f t="shared" si="117"/>
        <v>0</v>
      </c>
      <c r="AU19" s="159">
        <f t="shared" si="3"/>
        <v>0</v>
      </c>
      <c r="AV19" s="159">
        <f t="shared" si="4"/>
        <v>0</v>
      </c>
      <c r="AW19" s="159">
        <f t="shared" si="118"/>
        <v>0</v>
      </c>
      <c r="AX19" s="15">
        <f t="shared" si="119"/>
        <v>0</v>
      </c>
      <c r="AY19" s="607">
        <f>IF(E19="",0,MIN((1-(1-VLOOKUP(B19,MAIN!$AA$7:$AM$28,C19+1))*(1-VLOOKUP(B19,MAIN!$AA$33:$AM$54,C19+1))),1))</f>
        <v>0</v>
      </c>
      <c r="AZ19" s="259">
        <v>0</v>
      </c>
      <c r="BA19" s="263">
        <v>0</v>
      </c>
      <c r="BB19" s="263">
        <v>0</v>
      </c>
      <c r="BC19" s="510">
        <v>0</v>
      </c>
      <c r="BD19" s="512">
        <v>0</v>
      </c>
      <c r="BE19" s="513">
        <v>0</v>
      </c>
      <c r="BF19" s="513">
        <v>0</v>
      </c>
      <c r="BG19" s="514">
        <v>0</v>
      </c>
      <c r="BH19" s="261">
        <v>0</v>
      </c>
      <c r="BI19" s="263">
        <v>0</v>
      </c>
      <c r="BJ19" s="263">
        <v>0</v>
      </c>
      <c r="BK19" s="510">
        <v>0</v>
      </c>
      <c r="BL19" s="512">
        <v>0</v>
      </c>
      <c r="BM19" s="513">
        <v>0</v>
      </c>
      <c r="BN19" s="513">
        <v>0</v>
      </c>
      <c r="BO19" s="513">
        <v>0</v>
      </c>
      <c r="BP19" s="261">
        <f t="shared" si="120"/>
        <v>0</v>
      </c>
      <c r="BQ19" s="578">
        <f t="shared" si="121"/>
        <v>0</v>
      </c>
      <c r="BR19" s="259">
        <f t="shared" si="122"/>
        <v>0</v>
      </c>
      <c r="BS19" s="578">
        <f t="shared" si="123"/>
        <v>0</v>
      </c>
      <c r="BT19" s="216">
        <f t="shared" si="124"/>
        <v>0.2135523613963039</v>
      </c>
      <c r="BU19" s="218">
        <f t="shared" si="5"/>
        <v>0</v>
      </c>
      <c r="BV19" s="216">
        <f t="shared" si="6"/>
        <v>0</v>
      </c>
      <c r="BW19" s="216">
        <f t="shared" si="7"/>
        <v>0</v>
      </c>
      <c r="BX19" s="216">
        <f t="shared" si="125"/>
        <v>0</v>
      </c>
      <c r="BY19" s="216">
        <f t="shared" si="8"/>
        <v>0</v>
      </c>
      <c r="BZ19" s="216">
        <f t="shared" si="9"/>
        <v>0</v>
      </c>
      <c r="CA19" s="264">
        <f t="shared" si="10"/>
        <v>0</v>
      </c>
      <c r="CB19" s="216">
        <f t="shared" si="11"/>
        <v>0</v>
      </c>
      <c r="CC19" s="216">
        <f t="shared" si="12"/>
        <v>0</v>
      </c>
      <c r="CD19" s="216">
        <f t="shared" si="126"/>
        <v>0</v>
      </c>
      <c r="CE19" s="216">
        <f t="shared" si="13"/>
        <v>0</v>
      </c>
      <c r="CF19" s="571">
        <f t="shared" si="14"/>
        <v>0</v>
      </c>
      <c r="CG19" s="573" t="str">
        <f t="shared" si="15"/>
        <v/>
      </c>
      <c r="CH19" s="219" t="str">
        <f t="shared" si="16"/>
        <v/>
      </c>
      <c r="CI19" s="219" t="str">
        <f t="shared" si="17"/>
        <v/>
      </c>
      <c r="CJ19" s="219" t="str">
        <f t="shared" si="18"/>
        <v/>
      </c>
      <c r="CK19" s="219" t="str">
        <f t="shared" si="19"/>
        <v/>
      </c>
      <c r="CL19" s="219" t="str">
        <f t="shared" si="20"/>
        <v/>
      </c>
      <c r="CM19" s="219" t="str">
        <f t="shared" si="21"/>
        <v/>
      </c>
      <c r="CN19" s="569" t="str">
        <f t="shared" si="22"/>
        <v/>
      </c>
      <c r="CO19" s="264">
        <f>IF(OR(BQ19,BS19),VLOOKUP(A19,GasTable,13)*HeatRatePeak*VLOOKUP($B19,MAIN!$AB$59:$AM$80,$C19+1)/1000,0)</f>
        <v>0</v>
      </c>
      <c r="CP19" s="216">
        <f t="shared" si="127"/>
        <v>0</v>
      </c>
      <c r="CQ19" s="216">
        <f t="shared" si="128"/>
        <v>0</v>
      </c>
      <c r="CR19" s="216">
        <f t="shared" si="129"/>
        <v>0</v>
      </c>
      <c r="CS19" s="1626">
        <f t="shared" si="130"/>
        <v>0</v>
      </c>
      <c r="CT19" s="216">
        <f t="shared" si="131"/>
        <v>0</v>
      </c>
      <c r="CU19" s="575" t="str">
        <f t="shared" si="23"/>
        <v/>
      </c>
      <c r="CV19" s="154" t="str">
        <f t="shared" si="24"/>
        <v/>
      </c>
      <c r="CW19" s="216">
        <f>IF(OR($BQ19,$BS19),SpreadOptPowerMargin,0)*((1+Assumptions!$C$26)^($B19-YEAR(Assumptions!$C$17)))</f>
        <v>0</v>
      </c>
      <c r="CX19" s="216">
        <f>IF(OR($BQ19,$BS19),SpreadOptPowerMargin,0)*((1+Assumptions!$C$26)^($B19-YEAR(Assumptions!$C$17)))</f>
        <v>0</v>
      </c>
      <c r="CY19" s="216">
        <f>IF(OR($BQ19,$BS19),SpreadOptPowerMargin,0)*((1+Assumptions!$C$26)^($B19-YEAR(Assumptions!$C$17)))</f>
        <v>0</v>
      </c>
      <c r="CZ19" s="216">
        <f>IF(OR($BQ19,$BS19),SpreadOptPowerMargin,0)*((1+Assumptions!$C$26)^($B19-YEAR(Assumptions!$C$17)))</f>
        <v>0</v>
      </c>
      <c r="DA19" s="440">
        <f t="shared" si="25"/>
        <v>0</v>
      </c>
      <c r="DB19" s="479" t="str">
        <f t="shared" si="26"/>
        <v/>
      </c>
      <c r="DC19" s="479" t="str">
        <f t="shared" si="27"/>
        <v/>
      </c>
      <c r="DD19" s="479" t="str">
        <f t="shared" si="28"/>
        <v/>
      </c>
      <c r="DE19" s="479" t="str">
        <f t="shared" si="29"/>
        <v/>
      </c>
      <c r="DF19" s="479" t="str">
        <f t="shared" si="30"/>
        <v/>
      </c>
      <c r="DG19" s="574" t="str">
        <f t="shared" si="31"/>
        <v/>
      </c>
      <c r="DH19" s="216">
        <f t="shared" si="32"/>
        <v>0</v>
      </c>
      <c r="DI19" s="216">
        <f t="shared" si="33"/>
        <v>0</v>
      </c>
      <c r="DJ19" s="216">
        <f t="shared" si="34"/>
        <v>0</v>
      </c>
      <c r="DK19" s="216">
        <f t="shared" si="35"/>
        <v>0</v>
      </c>
      <c r="DL19" s="216">
        <f t="shared" si="36"/>
        <v>0</v>
      </c>
      <c r="DM19" s="216"/>
      <c r="DN19" s="216"/>
      <c r="DO19" s="216"/>
      <c r="DP19" s="216"/>
      <c r="DQ19" s="216"/>
      <c r="DR19" s="216"/>
      <c r="DS19" s="216"/>
      <c r="DT19" s="216"/>
      <c r="DU19" s="216"/>
      <c r="DV19" s="216"/>
      <c r="DW19" s="1371">
        <f t="shared" si="37"/>
        <v>0</v>
      </c>
      <c r="DX19" s="216">
        <f t="shared" si="38"/>
        <v>0</v>
      </c>
      <c r="DY19" s="440">
        <f t="shared" si="39"/>
        <v>0</v>
      </c>
      <c r="DZ19" s="180">
        <f t="shared" si="40"/>
        <v>0</v>
      </c>
      <c r="EA19" s="180">
        <f t="shared" si="41"/>
        <v>0</v>
      </c>
      <c r="EB19" s="180">
        <f t="shared" si="42"/>
        <v>0</v>
      </c>
      <c r="EC19" s="180">
        <f t="shared" si="43"/>
        <v>0</v>
      </c>
      <c r="ED19" s="180">
        <f t="shared" si="44"/>
        <v>0</v>
      </c>
      <c r="EE19" s="581">
        <f t="shared" si="45"/>
        <v>0</v>
      </c>
      <c r="EF19" s="554">
        <f t="shared" si="46"/>
        <v>0</v>
      </c>
      <c r="EG19" s="554">
        <f t="shared" si="47"/>
        <v>0</v>
      </c>
      <c r="EH19" s="554">
        <f t="shared" si="48"/>
        <v>0</v>
      </c>
      <c r="EI19" s="561">
        <f t="shared" si="49"/>
        <v>0</v>
      </c>
      <c r="EJ19" s="581">
        <f t="shared" si="132"/>
        <v>0</v>
      </c>
      <c r="EK19" s="554">
        <f t="shared" si="133"/>
        <v>0</v>
      </c>
      <c r="EL19" s="554">
        <f t="shared" si="134"/>
        <v>0</v>
      </c>
      <c r="EM19" s="554">
        <f t="shared" si="135"/>
        <v>0</v>
      </c>
      <c r="EN19" s="561">
        <f t="shared" si="136"/>
        <v>0</v>
      </c>
      <c r="EO19" s="180">
        <f t="shared" si="50"/>
        <v>0</v>
      </c>
      <c r="EP19" s="180">
        <f t="shared" si="51"/>
        <v>0</v>
      </c>
      <c r="EQ19" s="180">
        <f t="shared" si="52"/>
        <v>0</v>
      </c>
      <c r="ER19" s="180">
        <f t="shared" si="53"/>
        <v>0</v>
      </c>
      <c r="ES19" s="180">
        <f t="shared" si="54"/>
        <v>0</v>
      </c>
      <c r="ET19" s="1482">
        <f t="shared" si="55"/>
        <v>0</v>
      </c>
      <c r="EU19" s="180">
        <f t="shared" si="56"/>
        <v>0</v>
      </c>
      <c r="EV19" s="180">
        <f t="shared" si="57"/>
        <v>0</v>
      </c>
      <c r="EW19" s="180">
        <f t="shared" si="58"/>
        <v>0</v>
      </c>
      <c r="EX19" s="555">
        <f t="shared" si="59"/>
        <v>0</v>
      </c>
      <c r="EY19" s="180">
        <f t="shared" si="137"/>
        <v>0</v>
      </c>
      <c r="EZ19" s="180">
        <f t="shared" si="138"/>
        <v>0</v>
      </c>
      <c r="FA19" s="180">
        <f t="shared" si="139"/>
        <v>0</v>
      </c>
      <c r="FB19" s="180">
        <f t="shared" si="140"/>
        <v>0</v>
      </c>
      <c r="FC19" s="180">
        <f t="shared" si="141"/>
        <v>0</v>
      </c>
      <c r="FD19" s="262">
        <f>IF(AX19,IF(VLOOKUP(C19,MAIN!$L$17:$M$28,2)="Yes",VLOOKUP(CALC!B19,MAIN!$H$17:$I$20,2),0),0)</f>
        <v>0</v>
      </c>
      <c r="FE19" s="623">
        <f t="shared" si="60"/>
        <v>0</v>
      </c>
      <c r="FF19" s="535">
        <f t="shared" si="61"/>
        <v>0</v>
      </c>
      <c r="FG19" s="535">
        <f t="shared" si="62"/>
        <v>0</v>
      </c>
      <c r="FH19" s="624">
        <f t="shared" si="63"/>
        <v>0</v>
      </c>
      <c r="FI19" s="632">
        <f>IF(AX19,VLOOKUP(CALC!B19,MAIN!$H$17:$K$20,4),0)</f>
        <v>0</v>
      </c>
      <c r="FJ19" s="535">
        <f t="shared" si="64"/>
        <v>0</v>
      </c>
      <c r="FK19" s="648">
        <f t="shared" si="142"/>
        <v>0</v>
      </c>
      <c r="FL19" s="530">
        <f t="shared" si="143"/>
        <v>0</v>
      </c>
      <c r="FM19" s="530">
        <f t="shared" si="144"/>
        <v>0</v>
      </c>
      <c r="FN19" s="530">
        <f t="shared" si="145"/>
        <v>0</v>
      </c>
      <c r="FO19" s="622">
        <f t="shared" si="146"/>
        <v>0</v>
      </c>
      <c r="FP19" s="530">
        <f t="shared" si="147"/>
        <v>0</v>
      </c>
      <c r="FQ19" s="530">
        <f t="shared" si="148"/>
        <v>0</v>
      </c>
      <c r="FR19" s="530">
        <f t="shared" si="149"/>
        <v>0</v>
      </c>
      <c r="FS19" s="625">
        <f t="shared" si="150"/>
        <v>0</v>
      </c>
      <c r="FT19" s="640">
        <f>IF(AND(Assumptions!$H$71="Yes",A19&gt;=Assumptions!$H$72,A19&lt;=Assumptions!$H$73),0,IF(AND($A19&gt;=Assumptions!$C$17,$A19&lt;=Assumptions!$C$18),MAX(AZ19*(1+VLOOKUP($C19,WeatherCapacityAdjustment,2))-FL19,0),0))</f>
        <v>0</v>
      </c>
      <c r="FU19" s="530">
        <f>IF(AND(Assumptions!$H$71="Yes",A19&gt;=Assumptions!$H$72,A19&lt;=Assumptions!$H$73),0,IF(AND($A19&gt;=Assumptions!$C$17,$A19&lt;=Assumptions!$C$18),MAX(BA19*(1+VLOOKUP($C19,WeatherCapacityAdjustment,2))-FM19,0),0))</f>
        <v>0</v>
      </c>
      <c r="FV19" s="530">
        <f>IF(AND(Assumptions!$H$71="Yes",A19&gt;=Assumptions!$H$72,A19&lt;=Assumptions!$H$73),0,IF(AND($A19&gt;=Assumptions!$C$17,$A19&lt;=Assumptions!$C$18),MAX(BB19*(1+VLOOKUP($C19,WeatherCapacityAdjustment,2))-FN19,0),0))</f>
        <v>0</v>
      </c>
      <c r="FW19" s="622">
        <f>IF(AND(Assumptions!$H$71="Yes",A19&gt;=Assumptions!$H$72,A19&lt;=Assumptions!$H$73),0,IF(AND($A19&gt;=Assumptions!$C$17,$A19&lt;=Assumptions!$C$18),MAX(BC19*(1+VLOOKUP($C19,WeatherCapacityAdjustment,3))-FO19,0),0))</f>
        <v>0</v>
      </c>
      <c r="FX19" s="621">
        <f>IF(AND(Assumptions!$H$71="Yes",A19&gt;=Assumptions!$H$72,A19&lt;=Assumptions!$H$73),0,IF(ET19&gt;0,MAX(BH19*(1+VLOOKUP($C19,WeatherCapacityAdjustment,2))-FP19,0),0))</f>
        <v>0</v>
      </c>
      <c r="FY19" s="530">
        <f>IF(AND(Assumptions!$H$71="Yes",A19&gt;=Assumptions!$H$72,A19&lt;=Assumptions!$H$73),0,IF(EU19&gt;0,MAX(BI19*(1+VLOOKUP($C19,WeatherCapacityAdjustment,3))-FQ19,0),0))</f>
        <v>0</v>
      </c>
      <c r="FZ19" s="530">
        <f>IF(AND(Assumptions!$H$71="Yes",A19&gt;=Assumptions!$H$72,A19&lt;=Assumptions!$H$73),0,IF(EV19&gt;0,MAX(BJ19*(1+VLOOKUP($C19,WeatherCapacityAdjustment,2))-FR19,0),0))</f>
        <v>0</v>
      </c>
      <c r="GA19" s="622">
        <f>IF(AND(Assumptions!$H$71="Yes",A19&gt;=Assumptions!$H$72,A19&lt;=Assumptions!$H$73),0,IF(EW19&gt;0,MAX(BK19*(1+VLOOKUP($C19,WeatherCapacityAdjustment,2))-FS19,0),0))</f>
        <v>0</v>
      </c>
      <c r="GB19" s="530">
        <f t="shared" si="65"/>
        <v>0</v>
      </c>
      <c r="GC19" s="545">
        <f t="shared" si="66"/>
        <v>0</v>
      </c>
      <c r="GD19" s="530">
        <f t="shared" si="67"/>
        <v>0</v>
      </c>
      <c r="GE19" s="1485">
        <f t="shared" si="151"/>
        <v>0</v>
      </c>
      <c r="GF19" s="1776">
        <f>IF(BQ19,((FP19+FQ19+FR19+FX19+FY19+FZ19)*HeatRatePeak/1000*(1+VLOOKUP($C19,WeatherHeatRateAdjustment,2))+(FS19+GA19)*HeatRatePeak/1000*(1+VLOOKUP($C19,WeatherHeatRateAdjustment,3)))*(1+VLOOKUP($B19,HeatRateDegradation,$C19+1)),0)</f>
        <v>0</v>
      </c>
      <c r="GG19" s="545">
        <f>IF(BQ19,VLOOKUP(A19,GasTable,13),0)</f>
        <v>0</v>
      </c>
      <c r="GH19" s="622">
        <f>(GE19+GF19)*GG19</f>
        <v>0</v>
      </c>
      <c r="GI19" s="621">
        <f t="shared" si="152"/>
        <v>0</v>
      </c>
      <c r="GJ19" s="638">
        <f t="shared" si="68"/>
        <v>0</v>
      </c>
      <c r="GK19" s="625">
        <f t="shared" ref="GK19:GK82" si="166">+GI19*GJ19</f>
        <v>0</v>
      </c>
      <c r="GL19" s="640">
        <f t="shared" si="69"/>
        <v>0</v>
      </c>
      <c r="GM19" s="530">
        <f t="shared" si="70"/>
        <v>0</v>
      </c>
      <c r="GN19" s="530">
        <f t="shared" si="71"/>
        <v>0</v>
      </c>
      <c r="GO19" s="622">
        <f t="shared" si="72"/>
        <v>0</v>
      </c>
      <c r="GP19" s="530">
        <f t="shared" si="73"/>
        <v>0</v>
      </c>
      <c r="GQ19" s="545">
        <f t="shared" si="74"/>
        <v>0</v>
      </c>
      <c r="GR19" s="625">
        <f t="shared" si="75"/>
        <v>0</v>
      </c>
      <c r="GS19" s="640">
        <f>IF($A19&gt;=BegDate,Assumptions!$C$56*24*($A20-$A19)*(1-VLOOKUP($B19,MAIN!$AA$7:$AM$28,$C19+1))*(1-VLOOKUP($B19,MAIN!$AA$33:$AM$54,$C19+1)),0)*80/168</f>
        <v>0</v>
      </c>
      <c r="GT19" s="1715">
        <f t="shared" si="153"/>
        <v>30.554500000000001</v>
      </c>
      <c r="GU19" s="1715">
        <f>IF($A19&gt;=BegDate,VLOOKUP($A19,GasTable,13)+Assumptions!$C$58,0)</f>
        <v>0</v>
      </c>
      <c r="GV19" s="1715">
        <f>GU19*Assumptions!$C$57/1000</f>
        <v>0</v>
      </c>
      <c r="GW19" s="625">
        <f>IF(Assumptions!$C$60="Hourly",MAX(0,GS19*(GT19-GV19)),GS19*(GT19-GV19))</f>
        <v>0</v>
      </c>
      <c r="GX19" s="640">
        <f>IF($A19&gt;=BegDate,Assumptions!$C$56*24*($A20-$A19)*(1-VLOOKUP($B19,MAIN!$AA$7:$AM$28,$C19+1))*(1-VLOOKUP($B19,MAIN!$AA$33:$AM$54,$C19+1)),0)*16/168</f>
        <v>0</v>
      </c>
      <c r="GY19" s="1715">
        <f t="shared" si="154"/>
        <v>30.554500000000001</v>
      </c>
      <c r="GZ19" s="1715">
        <f>IF($A19&gt;=BegDate,VLOOKUP($A19,GasTable,13)+Assumptions!$C$58,0)</f>
        <v>0</v>
      </c>
      <c r="HA19" s="1715">
        <f>GZ19*Assumptions!$C$57/1000</f>
        <v>0</v>
      </c>
      <c r="HB19" s="625">
        <f>IF(Assumptions!$C$60="Hourly",MAX(0,GX19*(GY19-HA19)),GX19*(GY19-HA19))</f>
        <v>0</v>
      </c>
      <c r="HC19" s="640">
        <f>IF($A19&gt;=BegDate,Assumptions!$C$56*24*($A20-$A19)*(1-VLOOKUP($B19,MAIN!$AA$7:$AM$28,$C19+1))*(1-VLOOKUP($B19,MAIN!$AA$33:$AM$54,$C19+1)),0)*16/168</f>
        <v>0</v>
      </c>
      <c r="HD19" s="1715">
        <f t="shared" si="155"/>
        <v>15.1751</v>
      </c>
      <c r="HE19" s="1715">
        <f>IF($A19&gt;=BegDate,VLOOKUP($A19,GasTable,13)+Assumptions!$C$58,0)</f>
        <v>0</v>
      </c>
      <c r="HF19" s="1715">
        <f>HE19*Assumptions!$C$57/1000</f>
        <v>0</v>
      </c>
      <c r="HG19" s="625">
        <f>IF(Assumptions!$C$60="Hourly",MAX(0,HC19*(HD19-HF19)),HC19*(HD19-HF19))</f>
        <v>0</v>
      </c>
      <c r="HH19" s="640">
        <f>IF($A19&gt;=BegDate,Assumptions!$C$56*24*($A20-$A19)*(1-VLOOKUP($B19,MAIN!$AA$7:$AM$28,$C19+1))*(1-VLOOKUP($B19,MAIN!$AA$33:$AM$54,$C19+1)),0)*56/168</f>
        <v>0</v>
      </c>
      <c r="HI19" s="1715">
        <f t="shared" si="156"/>
        <v>15.1751</v>
      </c>
      <c r="HJ19" s="1715">
        <f>IF($A19&gt;=BegDate,VLOOKUP($A19,GasTable,13)+Assumptions!$C$58,0)</f>
        <v>0</v>
      </c>
      <c r="HK19" s="1715">
        <f>HJ19*Assumptions!$C$57/1000</f>
        <v>0</v>
      </c>
      <c r="HL19" s="625">
        <f>IF(Assumptions!$C$60="Hourly",MAX(0,HH19*(HI19-HK19)),HH19*(HI19-HK19))</f>
        <v>0</v>
      </c>
      <c r="HM19" s="640">
        <f>IF(AND(Assumptions!$H$71="Yes",A19&gt;=Assumptions!$H$72,A19&lt;=Assumptions!$H$73),Assumptions!$H$74*Assumptions!$C$9*1000,0)</f>
        <v>0</v>
      </c>
      <c r="HN19" s="625"/>
      <c r="HO19" s="1414">
        <f t="shared" ref="HO19:HO40" si="167">HO18+1</f>
        <v>2005</v>
      </c>
      <c r="HP19" s="640">
        <f t="shared" si="76"/>
        <v>0</v>
      </c>
      <c r="HQ19" s="154">
        <f t="shared" si="157"/>
        <v>0</v>
      </c>
      <c r="HR19" s="622">
        <f t="shared" si="77"/>
        <v>0</v>
      </c>
      <c r="HS19" s="621">
        <f t="shared" ca="1" si="78"/>
        <v>6143592</v>
      </c>
      <c r="HT19" s="545">
        <f t="shared" ca="1" si="158"/>
        <v>38.400495046907281</v>
      </c>
      <c r="HU19" s="530">
        <f t="shared" ca="1" si="79"/>
        <v>235916974.1662192</v>
      </c>
      <c r="HV19" s="621">
        <f t="shared" ca="1" si="159"/>
        <v>235916974.1662192</v>
      </c>
      <c r="HW19" s="530">
        <f t="shared" ca="1" si="80"/>
        <v>382435.94661746826</v>
      </c>
      <c r="HX19" s="530">
        <f t="shared" ca="1" si="81"/>
        <v>2840842.3373166905</v>
      </c>
      <c r="HY19" s="530">
        <f>IF(Assumptions!$L$24="Yes",HW19+HX19,0)</f>
        <v>0</v>
      </c>
      <c r="HZ19" s="640">
        <f t="shared" ca="1" si="160"/>
        <v>43646751.276000001</v>
      </c>
      <c r="IA19" s="545">
        <f t="shared" ca="1" si="161"/>
        <v>-2.6095002644647662</v>
      </c>
      <c r="IB19" s="622">
        <f t="shared" ca="1" si="82"/>
        <v>-113896208.99774987</v>
      </c>
      <c r="IC19" s="621">
        <f t="shared" ca="1" si="83"/>
        <v>6143592</v>
      </c>
      <c r="ID19" s="545">
        <f t="shared" ca="1" si="162"/>
        <v>-1.8727200000000002</v>
      </c>
      <c r="IE19" s="622">
        <f t="shared" ca="1" si="84"/>
        <v>-11505227.610240001</v>
      </c>
      <c r="IF19" s="530">
        <f t="shared" ca="1" si="85"/>
        <v>0</v>
      </c>
      <c r="IG19" s="545">
        <f t="shared" ca="1" si="163"/>
        <v>0</v>
      </c>
      <c r="IH19" s="622">
        <f t="shared" ca="1" si="86"/>
        <v>0</v>
      </c>
      <c r="II19" s="1645">
        <f>(SUMIF($B$17:$B$292,HO19,$GW$17:$GW$292)+SUMIF($B$17:$B$292,HO19,$HB$17:$HB$292)+SUMIF($B$17:$B$292,HO19,$HG$17:$HG$292)+SUMIF($B$17:$B$292,HO19,$HL$17:$HL$292))*Assumptions!$C$59</f>
        <v>1211686.7013922201</v>
      </c>
      <c r="IJ19" s="1463">
        <f t="shared" si="164"/>
        <v>0</v>
      </c>
      <c r="IK19" s="1463"/>
    </row>
    <row r="20" spans="1:245">
      <c r="A20" s="177">
        <f t="shared" si="87"/>
        <v>36739</v>
      </c>
      <c r="B20" s="349">
        <f t="shared" si="88"/>
        <v>2000</v>
      </c>
      <c r="C20" s="15">
        <f t="shared" si="89"/>
        <v>8</v>
      </c>
      <c r="D20" s="612" t="str">
        <f t="shared" si="90"/>
        <v/>
      </c>
      <c r="E20" s="609" t="str">
        <f t="shared" si="91"/>
        <v/>
      </c>
      <c r="F20" s="614" t="str">
        <f t="shared" si="2"/>
        <v/>
      </c>
      <c r="G20" s="1349">
        <v>0</v>
      </c>
      <c r="H20" s="152">
        <f t="shared" si="165"/>
        <v>1</v>
      </c>
      <c r="I20" s="154">
        <f>IF(Assumptions!$L$25=4,VLOOKUP($A20,'Henwood Reference'!$E$9:$R$320,10),(VLOOKUP($A20,PriceTable,2,0)+IF(BasisNumber&lt;&gt;1,VLOOKUP($A20,BasisTable,2,0),0)+I$1)/(1-I$2))</f>
        <v>42.078600000000002</v>
      </c>
      <c r="J20" s="154">
        <f>IF(Assumptions!$L$25=4,VLOOKUP($A20,'Henwood Reference'!$E$9:$R$320,10),(VLOOKUP($A20,PriceTable,3,0)+IF(BasisNumber&lt;&gt;1,VLOOKUP($A20,BasisTable,2,0),0)+J$1)/(1-J$2))</f>
        <v>42.078600000000002</v>
      </c>
      <c r="K20" s="154">
        <f>IF(Assumptions!$L$25=4,VLOOKUP($A20,'Henwood Reference'!$E$9:$R$320,10),(VLOOKUP($A20,PriceTable,4,0)+IF(BasisNumber&lt;&gt;1,VLOOKUP($A20,BasisTable,2,0),0)+K$1)/(1-K$2))</f>
        <v>42.078600000000002</v>
      </c>
      <c r="L20" s="474">
        <f>IF(Assumptions!$L$25=4,VLOOKUP($A20,'Henwood Reference'!$E$9:$R$320,10),(VLOOKUP($A20,PriceTableWeekend,2,0)+IF(BasisNumber&lt;&gt;1,VLOOKUP($A20,BasisTable,2,0),0)+L$1)/(1-L$2))</f>
        <v>42.078600000000002</v>
      </c>
      <c r="M20" s="154">
        <f>IF(Assumptions!$L$25=4,VLOOKUP($A20,'Henwood Reference'!$E$9:$R$320,10),(VLOOKUP($A20,PriceTableWeekend,3,0)+IF(BasisNumber&lt;&gt;1,VLOOKUP($A20,BasisTable,2,0),0)+M$1)/(1-M$2))</f>
        <v>42.078600000000002</v>
      </c>
      <c r="N20" s="156">
        <f>IF(Assumptions!$L$25=4,VLOOKUP($A20,'Henwood Reference'!$E$9:$R$320,10),(VLOOKUP($A20,PriceTableWeekend,4,0)+IF(BasisNumber&lt;&gt;1,VLOOKUP($A20,BasisTable,2,0),0)+N$1)/(1-N$2))</f>
        <v>42.078600000000002</v>
      </c>
      <c r="O20" s="154">
        <f>IF(Assumptions!$L$25=4,VLOOKUP($A20,'Henwood Reference'!$E$9:$R$320,11),(VLOOKUP($A20,PriceTableWeekend,6,0)+IF(BasisNumber&lt;&gt;1,VLOOKUP($A20,BasisTable,3,0),0)+O$1)/(1-O$2))</f>
        <v>21.713200000000001</v>
      </c>
      <c r="P20" s="154">
        <f>IF(Assumptions!$L$25=4,VLOOKUP($A20,'Henwood Reference'!$E$9:$R$320,11),(VLOOKUP($A20,PriceTableWeekend,7,0)+IF(BasisNumber&lt;&gt;1,VLOOKUP($A20,BasisTable,3,0),0)+P$1)/(1-P$2))</f>
        <v>21.713200000000001</v>
      </c>
      <c r="Q20" s="156">
        <f>IF(Assumptions!$L$25=4,VLOOKUP($A20,'Henwood Reference'!$E$9:$R$320,11),(VLOOKUP($A20,PriceTableWeekend,8,0)+IF(BasisNumber&lt;&gt;1,VLOOKUP($A20,BasisTable,3,0),0)+Q$1)/(1-Q$2))</f>
        <v>21.713200000000001</v>
      </c>
      <c r="R20" s="154">
        <f>IF(Assumptions!$L$25=4,VLOOKUP($A20,'Henwood Reference'!$E$9:$R$320,11),(VLOOKUP($A20,PriceTable,6,0)+IF(BasisNumber&lt;&gt;1,VLOOKUP($A20,BasisTable,3,0),0)+R$1)/(1-R$2))</f>
        <v>21.713200000000001</v>
      </c>
      <c r="S20" s="154">
        <f>IF(Assumptions!$L$25=4,VLOOKUP($A20,'Henwood Reference'!$E$9:$R$320,11),(VLOOKUP($A20,PriceTable,7,0)+IF(BasisNumber&lt;&gt;1,VLOOKUP($A20,BasisTable,3,0),0)+S$1)/(1-S$2))</f>
        <v>21.713200000000001</v>
      </c>
      <c r="T20" s="155">
        <f>IF(Assumptions!$L$25=4,VLOOKUP($A20,'Henwood Reference'!$E$9:$R$320,11),(VLOOKUP($A20,PriceTable,8,0)+IF(BasisNumber&lt;&gt;1,VLOOKUP($A20,BasisTable,3,0),0)+T$1)/(1-T$2))</f>
        <v>21.713200000000001</v>
      </c>
      <c r="U20" s="173">
        <f t="shared" si="92"/>
        <v>0.22</v>
      </c>
      <c r="V20" s="173">
        <f t="shared" si="93"/>
        <v>0.28000000000000003</v>
      </c>
      <c r="W20" s="174">
        <f t="shared" si="94"/>
        <v>0.28000000000000003</v>
      </c>
      <c r="X20" s="173">
        <f t="shared" si="95"/>
        <v>0.22</v>
      </c>
      <c r="Y20" s="173">
        <f t="shared" si="96"/>
        <v>0.28000000000000003</v>
      </c>
      <c r="Z20" s="174">
        <f t="shared" si="97"/>
        <v>0.28000000000000003</v>
      </c>
      <c r="AA20" s="173">
        <f t="shared" si="98"/>
        <v>0.05</v>
      </c>
      <c r="AB20" s="173">
        <f t="shared" si="99"/>
        <v>0.11</v>
      </c>
      <c r="AC20" s="174">
        <f t="shared" si="100"/>
        <v>0.15</v>
      </c>
      <c r="AD20" s="173">
        <f t="shared" si="101"/>
        <v>0.05</v>
      </c>
      <c r="AE20" s="173">
        <f t="shared" si="102"/>
        <v>0.11</v>
      </c>
      <c r="AF20" s="174">
        <f t="shared" si="103"/>
        <v>0.15</v>
      </c>
      <c r="AG20" s="173">
        <f t="shared" si="104"/>
        <v>-0.35</v>
      </c>
      <c r="AH20" s="173">
        <f t="shared" si="105"/>
        <v>3</v>
      </c>
      <c r="AI20" s="174">
        <f t="shared" si="106"/>
        <v>0.35</v>
      </c>
      <c r="AJ20" s="173">
        <f t="shared" si="107"/>
        <v>-0.35</v>
      </c>
      <c r="AK20" s="173">
        <f t="shared" si="108"/>
        <v>3</v>
      </c>
      <c r="AL20" s="174">
        <f t="shared" si="109"/>
        <v>0.35</v>
      </c>
      <c r="AM20" s="173">
        <f t="shared" si="110"/>
        <v>-0.01</v>
      </c>
      <c r="AN20" s="173">
        <f t="shared" si="111"/>
        <v>0.16</v>
      </c>
      <c r="AO20" s="174">
        <f t="shared" si="112"/>
        <v>0.01</v>
      </c>
      <c r="AP20" s="173">
        <f t="shared" si="113"/>
        <v>-0.01</v>
      </c>
      <c r="AQ20" s="173">
        <f t="shared" si="114"/>
        <v>0.16</v>
      </c>
      <c r="AR20" s="175">
        <f t="shared" si="115"/>
        <v>0.01</v>
      </c>
      <c r="AS20" s="521">
        <f t="shared" si="116"/>
        <v>0.5</v>
      </c>
      <c r="AT20" s="349">
        <f t="shared" si="117"/>
        <v>0</v>
      </c>
      <c r="AU20" s="159">
        <f t="shared" si="3"/>
        <v>0</v>
      </c>
      <c r="AV20" s="159">
        <f t="shared" si="4"/>
        <v>0</v>
      </c>
      <c r="AW20" s="159">
        <f t="shared" si="118"/>
        <v>0</v>
      </c>
      <c r="AX20" s="15">
        <f t="shared" si="119"/>
        <v>0</v>
      </c>
      <c r="AY20" s="607">
        <f>IF(E20="",0,MIN((1-(1-VLOOKUP(B20,MAIN!$AA$7:$AM$28,C20+1))*(1-VLOOKUP(B20,MAIN!$AA$33:$AM$54,C20+1))),1))</f>
        <v>0</v>
      </c>
      <c r="AZ20" s="259">
        <v>0</v>
      </c>
      <c r="BA20" s="263">
        <v>0</v>
      </c>
      <c r="BB20" s="263">
        <v>0</v>
      </c>
      <c r="BC20" s="510">
        <v>0</v>
      </c>
      <c r="BD20" s="512">
        <v>0</v>
      </c>
      <c r="BE20" s="513">
        <v>0</v>
      </c>
      <c r="BF20" s="513">
        <v>0</v>
      </c>
      <c r="BG20" s="514">
        <v>0</v>
      </c>
      <c r="BH20" s="261">
        <v>0</v>
      </c>
      <c r="BI20" s="263">
        <v>0</v>
      </c>
      <c r="BJ20" s="263">
        <v>0</v>
      </c>
      <c r="BK20" s="510">
        <v>0</v>
      </c>
      <c r="BL20" s="512">
        <v>0</v>
      </c>
      <c r="BM20" s="513">
        <v>0</v>
      </c>
      <c r="BN20" s="513">
        <v>0</v>
      </c>
      <c r="BO20" s="513">
        <v>0</v>
      </c>
      <c r="BP20" s="261">
        <f t="shared" si="120"/>
        <v>0</v>
      </c>
      <c r="BQ20" s="578">
        <f t="shared" si="121"/>
        <v>0</v>
      </c>
      <c r="BR20" s="259">
        <f t="shared" si="122"/>
        <v>0</v>
      </c>
      <c r="BS20" s="578">
        <f t="shared" si="123"/>
        <v>0</v>
      </c>
      <c r="BT20" s="216">
        <f t="shared" si="124"/>
        <v>0.29842573579739906</v>
      </c>
      <c r="BU20" s="218">
        <f t="shared" si="5"/>
        <v>0</v>
      </c>
      <c r="BV20" s="216">
        <f t="shared" si="6"/>
        <v>0</v>
      </c>
      <c r="BW20" s="216">
        <f t="shared" si="7"/>
        <v>0</v>
      </c>
      <c r="BX20" s="216">
        <f t="shared" si="125"/>
        <v>0</v>
      </c>
      <c r="BY20" s="216">
        <f t="shared" si="8"/>
        <v>0</v>
      </c>
      <c r="BZ20" s="216">
        <f t="shared" si="9"/>
        <v>0</v>
      </c>
      <c r="CA20" s="264">
        <f t="shared" si="10"/>
        <v>0</v>
      </c>
      <c r="CB20" s="216">
        <f t="shared" si="11"/>
        <v>0</v>
      </c>
      <c r="CC20" s="216">
        <f t="shared" si="12"/>
        <v>0</v>
      </c>
      <c r="CD20" s="216">
        <f t="shared" si="126"/>
        <v>0</v>
      </c>
      <c r="CE20" s="216">
        <f t="shared" si="13"/>
        <v>0</v>
      </c>
      <c r="CF20" s="571">
        <f t="shared" si="14"/>
        <v>0</v>
      </c>
      <c r="CG20" s="573" t="str">
        <f t="shared" si="15"/>
        <v/>
      </c>
      <c r="CH20" s="219" t="str">
        <f t="shared" si="16"/>
        <v/>
      </c>
      <c r="CI20" s="219" t="str">
        <f t="shared" si="17"/>
        <v/>
      </c>
      <c r="CJ20" s="219" t="str">
        <f t="shared" si="18"/>
        <v/>
      </c>
      <c r="CK20" s="219" t="str">
        <f t="shared" si="19"/>
        <v/>
      </c>
      <c r="CL20" s="219" t="str">
        <f t="shared" si="20"/>
        <v/>
      </c>
      <c r="CM20" s="219" t="str">
        <f t="shared" si="21"/>
        <v/>
      </c>
      <c r="CN20" s="569" t="str">
        <f t="shared" si="22"/>
        <v/>
      </c>
      <c r="CO20" s="264">
        <f>IF(OR(BQ20,BS20),VLOOKUP(A20,GasTable,13)*HeatRatePeak*VLOOKUP($B20,MAIN!$AB$59:$AM$80,$C20+1)/1000,0)</f>
        <v>0</v>
      </c>
      <c r="CP20" s="216">
        <f t="shared" si="127"/>
        <v>0</v>
      </c>
      <c r="CQ20" s="216">
        <f t="shared" si="128"/>
        <v>0</v>
      </c>
      <c r="CR20" s="216">
        <f t="shared" si="129"/>
        <v>0</v>
      </c>
      <c r="CS20" s="1626">
        <f t="shared" si="130"/>
        <v>0</v>
      </c>
      <c r="CT20" s="216">
        <f t="shared" si="131"/>
        <v>0</v>
      </c>
      <c r="CU20" s="575" t="str">
        <f t="shared" si="23"/>
        <v/>
      </c>
      <c r="CV20" s="154" t="str">
        <f t="shared" si="24"/>
        <v/>
      </c>
      <c r="CW20" s="216">
        <f>IF(OR($BQ20,$BS20),SpreadOptPowerMargin,0)*((1+Assumptions!$C$26)^($B20-YEAR(Assumptions!$C$17)))</f>
        <v>0</v>
      </c>
      <c r="CX20" s="216">
        <f>IF(OR($BQ20,$BS20),SpreadOptPowerMargin,0)*((1+Assumptions!$C$26)^($B20-YEAR(Assumptions!$C$17)))</f>
        <v>0</v>
      </c>
      <c r="CY20" s="216">
        <f>IF(OR($BQ20,$BS20),SpreadOptPowerMargin,0)*((1+Assumptions!$C$26)^($B20-YEAR(Assumptions!$C$17)))</f>
        <v>0</v>
      </c>
      <c r="CZ20" s="216">
        <f>IF(OR($BQ20,$BS20),SpreadOptPowerMargin,0)*((1+Assumptions!$C$26)^($B20-YEAR(Assumptions!$C$17)))</f>
        <v>0</v>
      </c>
      <c r="DA20" s="440">
        <f t="shared" si="25"/>
        <v>0</v>
      </c>
      <c r="DB20" s="479" t="str">
        <f t="shared" si="26"/>
        <v/>
      </c>
      <c r="DC20" s="479" t="str">
        <f t="shared" si="27"/>
        <v/>
      </c>
      <c r="DD20" s="479" t="str">
        <f t="shared" si="28"/>
        <v/>
      </c>
      <c r="DE20" s="479" t="str">
        <f t="shared" si="29"/>
        <v/>
      </c>
      <c r="DF20" s="479" t="str">
        <f t="shared" si="30"/>
        <v/>
      </c>
      <c r="DG20" s="574" t="str">
        <f t="shared" si="31"/>
        <v/>
      </c>
      <c r="DH20" s="216">
        <f t="shared" si="32"/>
        <v>0</v>
      </c>
      <c r="DI20" s="216">
        <f t="shared" si="33"/>
        <v>0</v>
      </c>
      <c r="DJ20" s="216">
        <f t="shared" si="34"/>
        <v>0</v>
      </c>
      <c r="DK20" s="216">
        <f t="shared" si="35"/>
        <v>0</v>
      </c>
      <c r="DL20" s="216">
        <f t="shared" si="36"/>
        <v>0</v>
      </c>
      <c r="DM20" s="216"/>
      <c r="DN20" s="216"/>
      <c r="DO20" s="216"/>
      <c r="DP20" s="216"/>
      <c r="DQ20" s="216"/>
      <c r="DR20" s="216"/>
      <c r="DS20" s="216"/>
      <c r="DT20" s="216"/>
      <c r="DU20" s="216"/>
      <c r="DV20" s="216"/>
      <c r="DW20" s="1371">
        <f t="shared" si="37"/>
        <v>0</v>
      </c>
      <c r="DX20" s="216">
        <f t="shared" si="38"/>
        <v>0</v>
      </c>
      <c r="DY20" s="440">
        <f t="shared" si="39"/>
        <v>0</v>
      </c>
      <c r="DZ20" s="180">
        <f t="shared" si="40"/>
        <v>0</v>
      </c>
      <c r="EA20" s="180">
        <f t="shared" si="41"/>
        <v>0</v>
      </c>
      <c r="EB20" s="180">
        <f t="shared" si="42"/>
        <v>0</v>
      </c>
      <c r="EC20" s="180">
        <f t="shared" si="43"/>
        <v>0</v>
      </c>
      <c r="ED20" s="180">
        <f t="shared" si="44"/>
        <v>0</v>
      </c>
      <c r="EE20" s="581">
        <f t="shared" si="45"/>
        <v>0</v>
      </c>
      <c r="EF20" s="554">
        <f t="shared" si="46"/>
        <v>0</v>
      </c>
      <c r="EG20" s="554">
        <f t="shared" si="47"/>
        <v>0</v>
      </c>
      <c r="EH20" s="554">
        <f t="shared" si="48"/>
        <v>0</v>
      </c>
      <c r="EI20" s="561">
        <f t="shared" si="49"/>
        <v>0</v>
      </c>
      <c r="EJ20" s="581">
        <f t="shared" si="132"/>
        <v>0</v>
      </c>
      <c r="EK20" s="554">
        <f t="shared" si="133"/>
        <v>0</v>
      </c>
      <c r="EL20" s="554">
        <f t="shared" si="134"/>
        <v>0</v>
      </c>
      <c r="EM20" s="554">
        <f t="shared" si="135"/>
        <v>0</v>
      </c>
      <c r="EN20" s="561">
        <f t="shared" si="136"/>
        <v>0</v>
      </c>
      <c r="EO20" s="180">
        <f t="shared" si="50"/>
        <v>0</v>
      </c>
      <c r="EP20" s="180">
        <f t="shared" si="51"/>
        <v>0</v>
      </c>
      <c r="EQ20" s="180">
        <f t="shared" si="52"/>
        <v>0</v>
      </c>
      <c r="ER20" s="180">
        <f t="shared" si="53"/>
        <v>0</v>
      </c>
      <c r="ES20" s="180">
        <f t="shared" si="54"/>
        <v>0</v>
      </c>
      <c r="ET20" s="1482">
        <f t="shared" si="55"/>
        <v>0</v>
      </c>
      <c r="EU20" s="180">
        <f t="shared" si="56"/>
        <v>0</v>
      </c>
      <c r="EV20" s="180">
        <f t="shared" si="57"/>
        <v>0</v>
      </c>
      <c r="EW20" s="180">
        <f t="shared" si="58"/>
        <v>0</v>
      </c>
      <c r="EX20" s="555">
        <f t="shared" si="59"/>
        <v>0</v>
      </c>
      <c r="EY20" s="180">
        <f t="shared" si="137"/>
        <v>0</v>
      </c>
      <c r="EZ20" s="180">
        <f t="shared" si="138"/>
        <v>0</v>
      </c>
      <c r="FA20" s="180">
        <f t="shared" si="139"/>
        <v>0</v>
      </c>
      <c r="FB20" s="180">
        <f t="shared" si="140"/>
        <v>0</v>
      </c>
      <c r="FC20" s="180">
        <f t="shared" si="141"/>
        <v>0</v>
      </c>
      <c r="FD20" s="262">
        <f>IF(AX20,IF(VLOOKUP(C20,MAIN!$L$17:$M$28,2)="Yes",VLOOKUP(CALC!B20,MAIN!$H$17:$I$20,2),0),0)</f>
        <v>0</v>
      </c>
      <c r="FE20" s="623">
        <f t="shared" si="60"/>
        <v>0</v>
      </c>
      <c r="FF20" s="535">
        <f t="shared" si="61"/>
        <v>0</v>
      </c>
      <c r="FG20" s="535">
        <f t="shared" si="62"/>
        <v>0</v>
      </c>
      <c r="FH20" s="624">
        <f t="shared" si="63"/>
        <v>0</v>
      </c>
      <c r="FI20" s="632">
        <f>IF(AX20,VLOOKUP(CALC!B20,MAIN!$H$17:$K$20,4),0)</f>
        <v>0</v>
      </c>
      <c r="FJ20" s="535">
        <f t="shared" si="64"/>
        <v>0</v>
      </c>
      <c r="FK20" s="648">
        <f t="shared" si="142"/>
        <v>0</v>
      </c>
      <c r="FL20" s="530">
        <f t="shared" si="143"/>
        <v>0</v>
      </c>
      <c r="FM20" s="530">
        <f t="shared" si="144"/>
        <v>0</v>
      </c>
      <c r="FN20" s="530">
        <f t="shared" si="145"/>
        <v>0</v>
      </c>
      <c r="FO20" s="622">
        <f t="shared" si="146"/>
        <v>0</v>
      </c>
      <c r="FP20" s="530">
        <f t="shared" si="147"/>
        <v>0</v>
      </c>
      <c r="FQ20" s="530">
        <f t="shared" si="148"/>
        <v>0</v>
      </c>
      <c r="FR20" s="530">
        <f t="shared" si="149"/>
        <v>0</v>
      </c>
      <c r="FS20" s="625">
        <f t="shared" si="150"/>
        <v>0</v>
      </c>
      <c r="FT20" s="640">
        <f>IF(AND(Assumptions!$H$71="Yes",A20&gt;=Assumptions!$H$72,A20&lt;=Assumptions!$H$73),0,IF(AND($A20&gt;=Assumptions!$C$17,$A20&lt;=Assumptions!$C$18),MAX(AZ20*(1+VLOOKUP($C20,WeatherCapacityAdjustment,2))-FL20,0),0))</f>
        <v>0</v>
      </c>
      <c r="FU20" s="530">
        <f>IF(AND(Assumptions!$H$71="Yes",A20&gt;=Assumptions!$H$72,A20&lt;=Assumptions!$H$73),0,IF(AND($A20&gt;=Assumptions!$C$17,$A20&lt;=Assumptions!$C$18),MAX(BA20*(1+VLOOKUP($C20,WeatherCapacityAdjustment,2))-FM20,0),0))</f>
        <v>0</v>
      </c>
      <c r="FV20" s="530">
        <f>IF(AND(Assumptions!$H$71="Yes",A20&gt;=Assumptions!$H$72,A20&lt;=Assumptions!$H$73),0,IF(AND($A20&gt;=Assumptions!$C$17,$A20&lt;=Assumptions!$C$18),MAX(BB20*(1+VLOOKUP($C20,WeatherCapacityAdjustment,2))-FN20,0),0))</f>
        <v>0</v>
      </c>
      <c r="FW20" s="622">
        <f>IF(AND(Assumptions!$H$71="Yes",A20&gt;=Assumptions!$H$72,A20&lt;=Assumptions!$H$73),0,IF(AND($A20&gt;=Assumptions!$C$17,$A20&lt;=Assumptions!$C$18),MAX(BC20*(1+VLOOKUP($C20,WeatherCapacityAdjustment,3))-FO20,0),0))</f>
        <v>0</v>
      </c>
      <c r="FX20" s="621">
        <f>IF(AND(Assumptions!$H$71="Yes",A20&gt;=Assumptions!$H$72,A20&lt;=Assumptions!$H$73),0,IF(ET20&gt;0,MAX(BH20*(1+VLOOKUP($C20,WeatherCapacityAdjustment,2))-FP20,0),0))</f>
        <v>0</v>
      </c>
      <c r="FY20" s="530">
        <f>IF(AND(Assumptions!$H$71="Yes",A20&gt;=Assumptions!$H$72,A20&lt;=Assumptions!$H$73),0,IF(EU20&gt;0,MAX(BI20*(1+VLOOKUP($C20,WeatherCapacityAdjustment,3))-FQ20,0),0))</f>
        <v>0</v>
      </c>
      <c r="FZ20" s="530">
        <f>IF(AND(Assumptions!$H$71="Yes",A20&gt;=Assumptions!$H$72,A20&lt;=Assumptions!$H$73),0,IF(EV20&gt;0,MAX(BJ20*(1+VLOOKUP($C20,WeatherCapacityAdjustment,2))-FR20,0),0))</f>
        <v>0</v>
      </c>
      <c r="GA20" s="622">
        <f>IF(AND(Assumptions!$H$71="Yes",A20&gt;=Assumptions!$H$72,A20&lt;=Assumptions!$H$73),0,IF(EW20&gt;0,MAX(BK20*(1+VLOOKUP($C20,WeatherCapacityAdjustment,2))-FS20,0),0))</f>
        <v>0</v>
      </c>
      <c r="GB20" s="530">
        <f t="shared" si="65"/>
        <v>0</v>
      </c>
      <c r="GC20" s="545">
        <f t="shared" si="66"/>
        <v>0</v>
      </c>
      <c r="GD20" s="530">
        <f t="shared" si="67"/>
        <v>0</v>
      </c>
      <c r="GE20" s="1485">
        <f t="shared" si="151"/>
        <v>0</v>
      </c>
      <c r="GF20" s="1776">
        <f t="shared" ref="GF20:GF48" si="168">IF(BQ20,((FP20+FQ20+FR20+FX20+FY20+FZ20)*HeatRatePeak/1000*(1+VLOOKUP($C20,WeatherHeatRateAdjustment,2))+(FS20+GA20)*HeatRatePeak/1000*(1+VLOOKUP($C20,WeatherHeatRateAdjustment,3)))*(1+VLOOKUP($B20,HeatRateDegradation,$C20+1)),0)</f>
        <v>0</v>
      </c>
      <c r="GG20" s="545">
        <f t="shared" ref="GG20:GG48" si="169">IF(BQ20,VLOOKUP(A20,GasTable,13),0)</f>
        <v>0</v>
      </c>
      <c r="GH20" s="622">
        <f t="shared" ref="GH20:GH48" si="170">(GE20+GF20)*GG20</f>
        <v>0</v>
      </c>
      <c r="GI20" s="621">
        <f t="shared" si="152"/>
        <v>0</v>
      </c>
      <c r="GJ20" s="638">
        <f t="shared" si="68"/>
        <v>0</v>
      </c>
      <c r="GK20" s="625">
        <f t="shared" si="166"/>
        <v>0</v>
      </c>
      <c r="GL20" s="640">
        <f t="shared" si="69"/>
        <v>0</v>
      </c>
      <c r="GM20" s="530">
        <f t="shared" si="70"/>
        <v>0</v>
      </c>
      <c r="GN20" s="530">
        <f t="shared" si="71"/>
        <v>0</v>
      </c>
      <c r="GO20" s="622">
        <f t="shared" si="72"/>
        <v>0</v>
      </c>
      <c r="GP20" s="530">
        <f t="shared" si="73"/>
        <v>0</v>
      </c>
      <c r="GQ20" s="545">
        <f t="shared" si="74"/>
        <v>0</v>
      </c>
      <c r="GR20" s="625">
        <f t="shared" si="75"/>
        <v>0</v>
      </c>
      <c r="GS20" s="640">
        <f>IF($A20&gt;=BegDate,Assumptions!$C$56*24*($A21-$A20)*(1-VLOOKUP($B20,MAIN!$AA$7:$AM$28,$C20+1))*(1-VLOOKUP($B20,MAIN!$AA$33:$AM$54,$C20+1)),0)*80/168</f>
        <v>0</v>
      </c>
      <c r="GT20" s="1715">
        <f t="shared" si="153"/>
        <v>42.078600000000002</v>
      </c>
      <c r="GU20" s="1715">
        <f>IF($A20&gt;=BegDate,VLOOKUP($A20,GasTable,13)+Assumptions!$C$58,0)</f>
        <v>0</v>
      </c>
      <c r="GV20" s="1715">
        <f>GU20*Assumptions!$C$57/1000</f>
        <v>0</v>
      </c>
      <c r="GW20" s="625">
        <f>IF(Assumptions!$C$60="Hourly",MAX(0,GS20*(GT20-GV20)),GS20*(GT20-GV20))</f>
        <v>0</v>
      </c>
      <c r="GX20" s="640">
        <f>IF($A20&gt;=BegDate,Assumptions!$C$56*24*($A21-$A20)*(1-VLOOKUP($B20,MAIN!$AA$7:$AM$28,$C20+1))*(1-VLOOKUP($B20,MAIN!$AA$33:$AM$54,$C20+1)),0)*16/168</f>
        <v>0</v>
      </c>
      <c r="GY20" s="1715">
        <f t="shared" si="154"/>
        <v>42.078600000000002</v>
      </c>
      <c r="GZ20" s="1715">
        <f>IF($A20&gt;=BegDate,VLOOKUP($A20,GasTable,13)+Assumptions!$C$58,0)</f>
        <v>0</v>
      </c>
      <c r="HA20" s="1715">
        <f>GZ20*Assumptions!$C$57/1000</f>
        <v>0</v>
      </c>
      <c r="HB20" s="625">
        <f>IF(Assumptions!$C$60="Hourly",MAX(0,GX20*(GY20-HA20)),GX20*(GY20-HA20))</f>
        <v>0</v>
      </c>
      <c r="HC20" s="640">
        <f>IF($A20&gt;=BegDate,Assumptions!$C$56*24*($A21-$A20)*(1-VLOOKUP($B20,MAIN!$AA$7:$AM$28,$C20+1))*(1-VLOOKUP($B20,MAIN!$AA$33:$AM$54,$C20+1)),0)*16/168</f>
        <v>0</v>
      </c>
      <c r="HD20" s="1715">
        <f t="shared" si="155"/>
        <v>21.713200000000001</v>
      </c>
      <c r="HE20" s="1715">
        <f>IF($A20&gt;=BegDate,VLOOKUP($A20,GasTable,13)+Assumptions!$C$58,0)</f>
        <v>0</v>
      </c>
      <c r="HF20" s="1715">
        <f>HE20*Assumptions!$C$57/1000</f>
        <v>0</v>
      </c>
      <c r="HG20" s="625">
        <f>IF(Assumptions!$C$60="Hourly",MAX(0,HC20*(HD20-HF20)),HC20*(HD20-HF20))</f>
        <v>0</v>
      </c>
      <c r="HH20" s="640">
        <f>IF($A20&gt;=BegDate,Assumptions!$C$56*24*($A21-$A20)*(1-VLOOKUP($B20,MAIN!$AA$7:$AM$28,$C20+1))*(1-VLOOKUP($B20,MAIN!$AA$33:$AM$54,$C20+1)),0)*56/168</f>
        <v>0</v>
      </c>
      <c r="HI20" s="1715">
        <f t="shared" si="156"/>
        <v>21.713200000000001</v>
      </c>
      <c r="HJ20" s="1715">
        <f>IF($A20&gt;=BegDate,VLOOKUP($A20,GasTable,13)+Assumptions!$C$58,0)</f>
        <v>0</v>
      </c>
      <c r="HK20" s="1715">
        <f>HJ20*Assumptions!$C$57/1000</f>
        <v>0</v>
      </c>
      <c r="HL20" s="625">
        <f>IF(Assumptions!$C$60="Hourly",MAX(0,HH20*(HI20-HK20)),HH20*(HI20-HK20))</f>
        <v>0</v>
      </c>
      <c r="HM20" s="640">
        <f>IF(AND(Assumptions!$H$71="Yes",A20&gt;=Assumptions!$H$72,A20&lt;=Assumptions!$H$73),Assumptions!$H$74*Assumptions!$C$9*1000,0)</f>
        <v>0</v>
      </c>
      <c r="HN20" s="625"/>
      <c r="HO20" s="1414">
        <f t="shared" si="167"/>
        <v>2006</v>
      </c>
      <c r="HP20" s="640">
        <f t="shared" si="76"/>
        <v>0</v>
      </c>
      <c r="HQ20" s="154">
        <f t="shared" si="157"/>
        <v>0</v>
      </c>
      <c r="HR20" s="622">
        <f t="shared" si="77"/>
        <v>0</v>
      </c>
      <c r="HS20" s="621">
        <f t="shared" ca="1" si="78"/>
        <v>6091212</v>
      </c>
      <c r="HT20" s="545">
        <f t="shared" ca="1" si="158"/>
        <v>40.247438355339433</v>
      </c>
      <c r="HU20" s="530">
        <f t="shared" ca="1" si="79"/>
        <v>245155679.47930381</v>
      </c>
      <c r="HV20" s="621">
        <f t="shared" ca="1" si="159"/>
        <v>245155679.47930381</v>
      </c>
      <c r="HW20" s="530">
        <f t="shared" ca="1" si="80"/>
        <v>449900.92003309057</v>
      </c>
      <c r="HX20" s="530">
        <f t="shared" ca="1" si="81"/>
        <v>3126633.063693922</v>
      </c>
      <c r="HY20" s="530">
        <f>IF(Assumptions!$L$24="Yes",HW20+HX20,0)</f>
        <v>0</v>
      </c>
      <c r="HZ20" s="640">
        <f t="shared" ca="1" si="160"/>
        <v>43319162.030160002</v>
      </c>
      <c r="IA20" s="545">
        <f t="shared" ca="1" si="161"/>
        <v>-2.6888812027828104</v>
      </c>
      <c r="IB20" s="622">
        <f t="shared" ca="1" si="82"/>
        <v>-116480080.50320008</v>
      </c>
      <c r="IC20" s="621">
        <f t="shared" ca="1" si="83"/>
        <v>6091212</v>
      </c>
      <c r="ID20" s="545">
        <f t="shared" ca="1" si="162"/>
        <v>-1.9101743999999998</v>
      </c>
      <c r="IE20" s="622">
        <f t="shared" ca="1" si="84"/>
        <v>-11635277.227372799</v>
      </c>
      <c r="IF20" s="530">
        <f t="shared" ca="1" si="85"/>
        <v>0</v>
      </c>
      <c r="IG20" s="545">
        <f t="shared" ca="1" si="163"/>
        <v>0</v>
      </c>
      <c r="IH20" s="622">
        <f t="shared" ca="1" si="86"/>
        <v>0</v>
      </c>
      <c r="II20" s="1645">
        <f>(SUMIF($B$17:$B$292,HO20,$GW$17:$GW$292)+SUMIF($B$17:$B$292,HO20,$HB$17:$HB$292)+SUMIF($B$17:$B$292,HO20,$HG$17:$HG$292)+SUMIF($B$17:$B$292,HO20,$HL$17:$HL$292))*Assumptions!$C$59</f>
        <v>1279901.1849642503</v>
      </c>
      <c r="IJ20" s="1463">
        <f t="shared" si="164"/>
        <v>0</v>
      </c>
      <c r="IK20" s="1463"/>
    </row>
    <row r="21" spans="1:245">
      <c r="A21" s="177">
        <f t="shared" si="87"/>
        <v>36770</v>
      </c>
      <c r="B21" s="349">
        <f t="shared" si="88"/>
        <v>2000</v>
      </c>
      <c r="C21" s="15">
        <f t="shared" si="89"/>
        <v>9</v>
      </c>
      <c r="D21" s="612" t="str">
        <f t="shared" si="90"/>
        <v/>
      </c>
      <c r="E21" s="609" t="str">
        <f t="shared" si="91"/>
        <v/>
      </c>
      <c r="F21" s="614" t="str">
        <f t="shared" si="2"/>
        <v/>
      </c>
      <c r="G21" s="1349">
        <v>0</v>
      </c>
      <c r="H21" s="152">
        <f t="shared" si="165"/>
        <v>1</v>
      </c>
      <c r="I21" s="154">
        <f>IF(Assumptions!$L$25=4,VLOOKUP($A21,'Henwood Reference'!$E$9:$R$320,10),(VLOOKUP($A21,PriceTable,2,0)+IF(BasisNumber&lt;&gt;1,VLOOKUP($A21,BasisTable,2,0),0)+I$1)/(1-I$2))</f>
        <v>37.828400000000002</v>
      </c>
      <c r="J21" s="154">
        <f>IF(Assumptions!$L$25=4,VLOOKUP($A21,'Henwood Reference'!$E$9:$R$320,10),(VLOOKUP($A21,PriceTable,3,0)+IF(BasisNumber&lt;&gt;1,VLOOKUP($A21,BasisTable,2,0),0)+J$1)/(1-J$2))</f>
        <v>37.828400000000002</v>
      </c>
      <c r="K21" s="154">
        <f>IF(Assumptions!$L$25=4,VLOOKUP($A21,'Henwood Reference'!$E$9:$R$320,10),(VLOOKUP($A21,PriceTable,4,0)+IF(BasisNumber&lt;&gt;1,VLOOKUP($A21,BasisTable,2,0),0)+K$1)/(1-K$2))</f>
        <v>37.828400000000002</v>
      </c>
      <c r="L21" s="474">
        <f>IF(Assumptions!$L$25=4,VLOOKUP($A21,'Henwood Reference'!$E$9:$R$320,10),(VLOOKUP($A21,PriceTableWeekend,2,0)+IF(BasisNumber&lt;&gt;1,VLOOKUP($A21,BasisTable,2,0),0)+L$1)/(1-L$2))</f>
        <v>37.828400000000002</v>
      </c>
      <c r="M21" s="154">
        <f>IF(Assumptions!$L$25=4,VLOOKUP($A21,'Henwood Reference'!$E$9:$R$320,10),(VLOOKUP($A21,PriceTableWeekend,3,0)+IF(BasisNumber&lt;&gt;1,VLOOKUP($A21,BasisTable,2,0),0)+M$1)/(1-M$2))</f>
        <v>37.828400000000002</v>
      </c>
      <c r="N21" s="156">
        <f>IF(Assumptions!$L$25=4,VLOOKUP($A21,'Henwood Reference'!$E$9:$R$320,10),(VLOOKUP($A21,PriceTableWeekend,4,0)+IF(BasisNumber&lt;&gt;1,VLOOKUP($A21,BasisTable,2,0),0)+N$1)/(1-N$2))</f>
        <v>37.828400000000002</v>
      </c>
      <c r="O21" s="154">
        <f>IF(Assumptions!$L$25=4,VLOOKUP($A21,'Henwood Reference'!$E$9:$R$320,11),(VLOOKUP($A21,PriceTableWeekend,6,0)+IF(BasisNumber&lt;&gt;1,VLOOKUP($A21,BasisTable,3,0),0)+O$1)/(1-O$2))</f>
        <v>21.463999999999999</v>
      </c>
      <c r="P21" s="154">
        <f>IF(Assumptions!$L$25=4,VLOOKUP($A21,'Henwood Reference'!$E$9:$R$320,11),(VLOOKUP($A21,PriceTableWeekend,7,0)+IF(BasisNumber&lt;&gt;1,VLOOKUP($A21,BasisTable,3,0),0)+P$1)/(1-P$2))</f>
        <v>21.463999999999999</v>
      </c>
      <c r="Q21" s="156">
        <f>IF(Assumptions!$L$25=4,VLOOKUP($A21,'Henwood Reference'!$E$9:$R$320,11),(VLOOKUP($A21,PriceTableWeekend,8,0)+IF(BasisNumber&lt;&gt;1,VLOOKUP($A21,BasisTable,3,0),0)+Q$1)/(1-Q$2))</f>
        <v>21.463999999999999</v>
      </c>
      <c r="R21" s="154">
        <f>IF(Assumptions!$L$25=4,VLOOKUP($A21,'Henwood Reference'!$E$9:$R$320,11),(VLOOKUP($A21,PriceTable,6,0)+IF(BasisNumber&lt;&gt;1,VLOOKUP($A21,BasisTable,3,0),0)+R$1)/(1-R$2))</f>
        <v>21.463999999999999</v>
      </c>
      <c r="S21" s="154">
        <f>IF(Assumptions!$L$25=4,VLOOKUP($A21,'Henwood Reference'!$E$9:$R$320,11),(VLOOKUP($A21,PriceTable,7,0)+IF(BasisNumber&lt;&gt;1,VLOOKUP($A21,BasisTable,3,0),0)+S$1)/(1-S$2))</f>
        <v>21.463999999999999</v>
      </c>
      <c r="T21" s="155">
        <f>IF(Assumptions!$L$25=4,VLOOKUP($A21,'Henwood Reference'!$E$9:$R$320,11),(VLOOKUP($A21,PriceTable,8,0)+IF(BasisNumber&lt;&gt;1,VLOOKUP($A21,BasisTable,3,0),0)+T$1)/(1-T$2))</f>
        <v>21.463999999999999</v>
      </c>
      <c r="U21" s="173">
        <f t="shared" si="92"/>
        <v>0.22</v>
      </c>
      <c r="V21" s="173">
        <f t="shared" si="93"/>
        <v>0.35</v>
      </c>
      <c r="W21" s="174">
        <f t="shared" si="94"/>
        <v>0.28000000000000003</v>
      </c>
      <c r="X21" s="173">
        <f t="shared" si="95"/>
        <v>0.22</v>
      </c>
      <c r="Y21" s="173">
        <f t="shared" si="96"/>
        <v>0.35</v>
      </c>
      <c r="Z21" s="174">
        <f t="shared" si="97"/>
        <v>0.28000000000000003</v>
      </c>
      <c r="AA21" s="173">
        <f t="shared" si="98"/>
        <v>0.05</v>
      </c>
      <c r="AB21" s="173">
        <f t="shared" si="99"/>
        <v>0.11</v>
      </c>
      <c r="AC21" s="174">
        <f t="shared" si="100"/>
        <v>0.15</v>
      </c>
      <c r="AD21" s="173">
        <f t="shared" si="101"/>
        <v>0.05</v>
      </c>
      <c r="AE21" s="173">
        <f t="shared" si="102"/>
        <v>0.11</v>
      </c>
      <c r="AF21" s="174">
        <f t="shared" si="103"/>
        <v>0.15</v>
      </c>
      <c r="AG21" s="173">
        <f t="shared" si="104"/>
        <v>-0.35</v>
      </c>
      <c r="AH21" s="173">
        <f t="shared" si="105"/>
        <v>3</v>
      </c>
      <c r="AI21" s="174">
        <f t="shared" si="106"/>
        <v>0.2</v>
      </c>
      <c r="AJ21" s="173">
        <f t="shared" si="107"/>
        <v>-0.35</v>
      </c>
      <c r="AK21" s="173">
        <f t="shared" si="108"/>
        <v>3</v>
      </c>
      <c r="AL21" s="174">
        <f t="shared" si="109"/>
        <v>0.2</v>
      </c>
      <c r="AM21" s="173">
        <f t="shared" si="110"/>
        <v>-0.01</v>
      </c>
      <c r="AN21" s="173">
        <f t="shared" si="111"/>
        <v>0.16</v>
      </c>
      <c r="AO21" s="174">
        <f t="shared" si="112"/>
        <v>0.01</v>
      </c>
      <c r="AP21" s="173">
        <f t="shared" si="113"/>
        <v>-0.01</v>
      </c>
      <c r="AQ21" s="173">
        <f t="shared" si="114"/>
        <v>0.16</v>
      </c>
      <c r="AR21" s="175">
        <f t="shared" si="115"/>
        <v>0.01</v>
      </c>
      <c r="AS21" s="521">
        <f t="shared" si="116"/>
        <v>0.5</v>
      </c>
      <c r="AT21" s="349">
        <f t="shared" si="117"/>
        <v>0</v>
      </c>
      <c r="AU21" s="159">
        <f t="shared" si="3"/>
        <v>0</v>
      </c>
      <c r="AV21" s="159">
        <f t="shared" si="4"/>
        <v>0</v>
      </c>
      <c r="AW21" s="159">
        <f t="shared" si="118"/>
        <v>0</v>
      </c>
      <c r="AX21" s="15">
        <f t="shared" si="119"/>
        <v>0</v>
      </c>
      <c r="AY21" s="607">
        <f>IF(E21="",0,MIN((1-(1-VLOOKUP(B21,MAIN!$AA$7:$AM$28,C21+1))*(1-VLOOKUP(B21,MAIN!$AA$33:$AM$54,C21+1))),1))</f>
        <v>0</v>
      </c>
      <c r="AZ21" s="259">
        <v>0</v>
      </c>
      <c r="BA21" s="263">
        <v>0</v>
      </c>
      <c r="BB21" s="263">
        <v>0</v>
      </c>
      <c r="BC21" s="510">
        <v>0</v>
      </c>
      <c r="BD21" s="512">
        <v>0</v>
      </c>
      <c r="BE21" s="513">
        <v>0</v>
      </c>
      <c r="BF21" s="513">
        <v>0</v>
      </c>
      <c r="BG21" s="514">
        <v>0</v>
      </c>
      <c r="BH21" s="261">
        <v>0</v>
      </c>
      <c r="BI21" s="263">
        <v>0</v>
      </c>
      <c r="BJ21" s="263">
        <v>0</v>
      </c>
      <c r="BK21" s="510">
        <v>0</v>
      </c>
      <c r="BL21" s="512">
        <v>0</v>
      </c>
      <c r="BM21" s="513">
        <v>0</v>
      </c>
      <c r="BN21" s="513">
        <v>0</v>
      </c>
      <c r="BO21" s="513">
        <v>0</v>
      </c>
      <c r="BP21" s="261">
        <f t="shared" si="120"/>
        <v>0</v>
      </c>
      <c r="BQ21" s="578">
        <f t="shared" si="121"/>
        <v>0</v>
      </c>
      <c r="BR21" s="259">
        <f t="shared" si="122"/>
        <v>0</v>
      </c>
      <c r="BS21" s="578">
        <f t="shared" si="123"/>
        <v>0</v>
      </c>
      <c r="BT21" s="216">
        <f t="shared" si="124"/>
        <v>0.38329911019849416</v>
      </c>
      <c r="BU21" s="218">
        <f t="shared" si="5"/>
        <v>0</v>
      </c>
      <c r="BV21" s="216">
        <f t="shared" si="6"/>
        <v>0</v>
      </c>
      <c r="BW21" s="216">
        <f t="shared" si="7"/>
        <v>0</v>
      </c>
      <c r="BX21" s="216">
        <f t="shared" si="125"/>
        <v>0</v>
      </c>
      <c r="BY21" s="216">
        <f t="shared" si="8"/>
        <v>0</v>
      </c>
      <c r="BZ21" s="216">
        <f t="shared" si="9"/>
        <v>0</v>
      </c>
      <c r="CA21" s="264">
        <f t="shared" si="10"/>
        <v>0</v>
      </c>
      <c r="CB21" s="216">
        <f t="shared" si="11"/>
        <v>0</v>
      </c>
      <c r="CC21" s="216">
        <f t="shared" si="12"/>
        <v>0</v>
      </c>
      <c r="CD21" s="216">
        <f t="shared" si="126"/>
        <v>0</v>
      </c>
      <c r="CE21" s="216">
        <f t="shared" si="13"/>
        <v>0</v>
      </c>
      <c r="CF21" s="571">
        <f t="shared" si="14"/>
        <v>0</v>
      </c>
      <c r="CG21" s="573" t="str">
        <f t="shared" si="15"/>
        <v/>
      </c>
      <c r="CH21" s="219" t="str">
        <f t="shared" si="16"/>
        <v/>
      </c>
      <c r="CI21" s="219" t="str">
        <f t="shared" si="17"/>
        <v/>
      </c>
      <c r="CJ21" s="219" t="str">
        <f t="shared" si="18"/>
        <v/>
      </c>
      <c r="CK21" s="219" t="str">
        <f t="shared" si="19"/>
        <v/>
      </c>
      <c r="CL21" s="219" t="str">
        <f t="shared" si="20"/>
        <v/>
      </c>
      <c r="CM21" s="219" t="str">
        <f t="shared" si="21"/>
        <v/>
      </c>
      <c r="CN21" s="569" t="str">
        <f t="shared" si="22"/>
        <v/>
      </c>
      <c r="CO21" s="264">
        <f>IF(OR(BQ21,BS21),VLOOKUP(A21,GasTable,13)*HeatRatePeak*VLOOKUP($B21,MAIN!$AB$59:$AM$80,$C21+1)/1000,0)</f>
        <v>0</v>
      </c>
      <c r="CP21" s="216">
        <f t="shared" si="127"/>
        <v>0</v>
      </c>
      <c r="CQ21" s="216">
        <f t="shared" si="128"/>
        <v>0</v>
      </c>
      <c r="CR21" s="216">
        <f t="shared" si="129"/>
        <v>0</v>
      </c>
      <c r="CS21" s="1626">
        <f t="shared" si="130"/>
        <v>0</v>
      </c>
      <c r="CT21" s="216">
        <f t="shared" si="131"/>
        <v>0</v>
      </c>
      <c r="CU21" s="575" t="str">
        <f t="shared" si="23"/>
        <v/>
      </c>
      <c r="CV21" s="154" t="str">
        <f t="shared" si="24"/>
        <v/>
      </c>
      <c r="CW21" s="216">
        <f>IF(OR($BQ21,$BS21),SpreadOptPowerMargin,0)*((1+Assumptions!$C$26)^($B21-YEAR(Assumptions!$C$17)))</f>
        <v>0</v>
      </c>
      <c r="CX21" s="216">
        <f>IF(OR($BQ21,$BS21),SpreadOptPowerMargin,0)*((1+Assumptions!$C$26)^($B21-YEAR(Assumptions!$C$17)))</f>
        <v>0</v>
      </c>
      <c r="CY21" s="216">
        <f>IF(OR($BQ21,$BS21),SpreadOptPowerMargin,0)*((1+Assumptions!$C$26)^($B21-YEAR(Assumptions!$C$17)))</f>
        <v>0</v>
      </c>
      <c r="CZ21" s="216">
        <f>IF(OR($BQ21,$BS21),SpreadOptPowerMargin,0)*((1+Assumptions!$C$26)^($B21-YEAR(Assumptions!$C$17)))</f>
        <v>0</v>
      </c>
      <c r="DA21" s="440">
        <f t="shared" si="25"/>
        <v>0</v>
      </c>
      <c r="DB21" s="479" t="str">
        <f t="shared" si="26"/>
        <v/>
      </c>
      <c r="DC21" s="479" t="str">
        <f t="shared" si="27"/>
        <v/>
      </c>
      <c r="DD21" s="479" t="str">
        <f t="shared" si="28"/>
        <v/>
      </c>
      <c r="DE21" s="479" t="str">
        <f t="shared" si="29"/>
        <v/>
      </c>
      <c r="DF21" s="479" t="str">
        <f t="shared" si="30"/>
        <v/>
      </c>
      <c r="DG21" s="574" t="str">
        <f t="shared" si="31"/>
        <v/>
      </c>
      <c r="DH21" s="216">
        <f t="shared" si="32"/>
        <v>0</v>
      </c>
      <c r="DI21" s="216">
        <f t="shared" si="33"/>
        <v>0</v>
      </c>
      <c r="DJ21" s="216">
        <f t="shared" si="34"/>
        <v>0</v>
      </c>
      <c r="DK21" s="216">
        <f t="shared" si="35"/>
        <v>0</v>
      </c>
      <c r="DL21" s="216">
        <f t="shared" si="36"/>
        <v>0</v>
      </c>
      <c r="DM21" s="216"/>
      <c r="DN21" s="216"/>
      <c r="DO21" s="216"/>
      <c r="DP21" s="216"/>
      <c r="DQ21" s="216"/>
      <c r="DR21" s="216"/>
      <c r="DS21" s="216"/>
      <c r="DT21" s="216"/>
      <c r="DU21" s="216"/>
      <c r="DV21" s="216"/>
      <c r="DW21" s="1371">
        <f t="shared" si="37"/>
        <v>0</v>
      </c>
      <c r="DX21" s="216">
        <f t="shared" si="38"/>
        <v>0</v>
      </c>
      <c r="DY21" s="440">
        <f t="shared" si="39"/>
        <v>0</v>
      </c>
      <c r="DZ21" s="180">
        <f t="shared" si="40"/>
        <v>0</v>
      </c>
      <c r="EA21" s="180">
        <f t="shared" si="41"/>
        <v>0</v>
      </c>
      <c r="EB21" s="180">
        <f t="shared" si="42"/>
        <v>0</v>
      </c>
      <c r="EC21" s="180">
        <f t="shared" si="43"/>
        <v>0</v>
      </c>
      <c r="ED21" s="180">
        <f t="shared" si="44"/>
        <v>0</v>
      </c>
      <c r="EE21" s="581">
        <f t="shared" si="45"/>
        <v>0</v>
      </c>
      <c r="EF21" s="554">
        <f t="shared" si="46"/>
        <v>0</v>
      </c>
      <c r="EG21" s="554">
        <f t="shared" si="47"/>
        <v>0</v>
      </c>
      <c r="EH21" s="554">
        <f t="shared" si="48"/>
        <v>0</v>
      </c>
      <c r="EI21" s="561">
        <f t="shared" si="49"/>
        <v>0</v>
      </c>
      <c r="EJ21" s="581">
        <f t="shared" si="132"/>
        <v>0</v>
      </c>
      <c r="EK21" s="554">
        <f t="shared" si="133"/>
        <v>0</v>
      </c>
      <c r="EL21" s="554">
        <f t="shared" si="134"/>
        <v>0</v>
      </c>
      <c r="EM21" s="554">
        <f t="shared" si="135"/>
        <v>0</v>
      </c>
      <c r="EN21" s="561">
        <f t="shared" si="136"/>
        <v>0</v>
      </c>
      <c r="EO21" s="180">
        <f t="shared" si="50"/>
        <v>0</v>
      </c>
      <c r="EP21" s="180">
        <f t="shared" si="51"/>
        <v>0</v>
      </c>
      <c r="EQ21" s="180">
        <f t="shared" si="52"/>
        <v>0</v>
      </c>
      <c r="ER21" s="180">
        <f t="shared" si="53"/>
        <v>0</v>
      </c>
      <c r="ES21" s="180">
        <f t="shared" si="54"/>
        <v>0</v>
      </c>
      <c r="ET21" s="1482">
        <f t="shared" si="55"/>
        <v>0</v>
      </c>
      <c r="EU21" s="180">
        <f t="shared" si="56"/>
        <v>0</v>
      </c>
      <c r="EV21" s="180">
        <f t="shared" si="57"/>
        <v>0</v>
      </c>
      <c r="EW21" s="180">
        <f t="shared" si="58"/>
        <v>0</v>
      </c>
      <c r="EX21" s="555">
        <f t="shared" si="59"/>
        <v>0</v>
      </c>
      <c r="EY21" s="180">
        <f t="shared" si="137"/>
        <v>0</v>
      </c>
      <c r="EZ21" s="180">
        <f t="shared" si="138"/>
        <v>0</v>
      </c>
      <c r="FA21" s="180">
        <f t="shared" si="139"/>
        <v>0</v>
      </c>
      <c r="FB21" s="180">
        <f t="shared" si="140"/>
        <v>0</v>
      </c>
      <c r="FC21" s="180">
        <f t="shared" si="141"/>
        <v>0</v>
      </c>
      <c r="FD21" s="262">
        <f>IF(AX21,IF(VLOOKUP(C21,MAIN!$L$17:$M$28,2)="Yes",VLOOKUP(CALC!B21,MAIN!$H$17:$I$20,2),0),0)</f>
        <v>0</v>
      </c>
      <c r="FE21" s="623">
        <f t="shared" si="60"/>
        <v>0</v>
      </c>
      <c r="FF21" s="535">
        <f t="shared" si="61"/>
        <v>0</v>
      </c>
      <c r="FG21" s="535">
        <f t="shared" si="62"/>
        <v>0</v>
      </c>
      <c r="FH21" s="624">
        <f t="shared" si="63"/>
        <v>0</v>
      </c>
      <c r="FI21" s="632">
        <f>IF(AX21,VLOOKUP(CALC!B21,MAIN!$H$17:$K$20,4),0)</f>
        <v>0</v>
      </c>
      <c r="FJ21" s="535">
        <f t="shared" si="64"/>
        <v>0</v>
      </c>
      <c r="FK21" s="648">
        <f t="shared" si="142"/>
        <v>0</v>
      </c>
      <c r="FL21" s="530">
        <f t="shared" si="143"/>
        <v>0</v>
      </c>
      <c r="FM21" s="530">
        <f t="shared" si="144"/>
        <v>0</v>
      </c>
      <c r="FN21" s="530">
        <f t="shared" si="145"/>
        <v>0</v>
      </c>
      <c r="FO21" s="622">
        <f t="shared" si="146"/>
        <v>0</v>
      </c>
      <c r="FP21" s="530">
        <f t="shared" si="147"/>
        <v>0</v>
      </c>
      <c r="FQ21" s="530">
        <f t="shared" si="148"/>
        <v>0</v>
      </c>
      <c r="FR21" s="530">
        <f t="shared" si="149"/>
        <v>0</v>
      </c>
      <c r="FS21" s="625">
        <f t="shared" si="150"/>
        <v>0</v>
      </c>
      <c r="FT21" s="640">
        <f>IF(AND(Assumptions!$H$71="Yes",A21&gt;=Assumptions!$H$72,A21&lt;=Assumptions!$H$73),0,IF(AND($A21&gt;=Assumptions!$C$17,$A21&lt;=Assumptions!$C$18),MAX(AZ21*(1+VLOOKUP($C21,WeatherCapacityAdjustment,2))-FL21,0),0))</f>
        <v>0</v>
      </c>
      <c r="FU21" s="530">
        <f>IF(AND(Assumptions!$H$71="Yes",A21&gt;=Assumptions!$H$72,A21&lt;=Assumptions!$H$73),0,IF(AND($A21&gt;=Assumptions!$C$17,$A21&lt;=Assumptions!$C$18),MAX(BA21*(1+VLOOKUP($C21,WeatherCapacityAdjustment,2))-FM21,0),0))</f>
        <v>0</v>
      </c>
      <c r="FV21" s="530">
        <f>IF(AND(Assumptions!$H$71="Yes",A21&gt;=Assumptions!$H$72,A21&lt;=Assumptions!$H$73),0,IF(AND($A21&gt;=Assumptions!$C$17,$A21&lt;=Assumptions!$C$18),MAX(BB21*(1+VLOOKUP($C21,WeatherCapacityAdjustment,2))-FN21,0),0))</f>
        <v>0</v>
      </c>
      <c r="FW21" s="622">
        <f>IF(AND(Assumptions!$H$71="Yes",A21&gt;=Assumptions!$H$72,A21&lt;=Assumptions!$H$73),0,IF(AND($A21&gt;=Assumptions!$C$17,$A21&lt;=Assumptions!$C$18),MAX(BC21*(1+VLOOKUP($C21,WeatherCapacityAdjustment,3))-FO21,0),0))</f>
        <v>0</v>
      </c>
      <c r="FX21" s="621">
        <f>IF(AND(Assumptions!$H$71="Yes",A21&gt;=Assumptions!$H$72,A21&lt;=Assumptions!$H$73),0,IF(ET21&gt;0,MAX(BH21*(1+VLOOKUP($C21,WeatherCapacityAdjustment,2))-FP21,0),0))</f>
        <v>0</v>
      </c>
      <c r="FY21" s="530">
        <f>IF(AND(Assumptions!$H$71="Yes",A21&gt;=Assumptions!$H$72,A21&lt;=Assumptions!$H$73),0,IF(EU21&gt;0,MAX(BI21*(1+VLOOKUP($C21,WeatherCapacityAdjustment,3))-FQ21,0),0))</f>
        <v>0</v>
      </c>
      <c r="FZ21" s="530">
        <f>IF(AND(Assumptions!$H$71="Yes",A21&gt;=Assumptions!$H$72,A21&lt;=Assumptions!$H$73),0,IF(EV21&gt;0,MAX(BJ21*(1+VLOOKUP($C21,WeatherCapacityAdjustment,2))-FR21,0),0))</f>
        <v>0</v>
      </c>
      <c r="GA21" s="622">
        <f>IF(AND(Assumptions!$H$71="Yes",A21&gt;=Assumptions!$H$72,A21&lt;=Assumptions!$H$73),0,IF(EW21&gt;0,MAX(BK21*(1+VLOOKUP($C21,WeatherCapacityAdjustment,2))-FS21,0),0))</f>
        <v>0</v>
      </c>
      <c r="GB21" s="530">
        <f t="shared" si="65"/>
        <v>0</v>
      </c>
      <c r="GC21" s="545">
        <f t="shared" si="66"/>
        <v>0</v>
      </c>
      <c r="GD21" s="530">
        <f t="shared" si="67"/>
        <v>0</v>
      </c>
      <c r="GE21" s="1485">
        <f t="shared" si="151"/>
        <v>0</v>
      </c>
      <c r="GF21" s="1776">
        <f t="shared" si="168"/>
        <v>0</v>
      </c>
      <c r="GG21" s="545">
        <f t="shared" si="169"/>
        <v>0</v>
      </c>
      <c r="GH21" s="622">
        <f t="shared" si="170"/>
        <v>0</v>
      </c>
      <c r="GI21" s="621">
        <f t="shared" si="152"/>
        <v>0</v>
      </c>
      <c r="GJ21" s="638">
        <f t="shared" si="68"/>
        <v>0</v>
      </c>
      <c r="GK21" s="625">
        <f t="shared" si="166"/>
        <v>0</v>
      </c>
      <c r="GL21" s="640">
        <f t="shared" si="69"/>
        <v>0</v>
      </c>
      <c r="GM21" s="530">
        <f t="shared" si="70"/>
        <v>0</v>
      </c>
      <c r="GN21" s="530">
        <f t="shared" si="71"/>
        <v>0</v>
      </c>
      <c r="GO21" s="622">
        <f t="shared" si="72"/>
        <v>0</v>
      </c>
      <c r="GP21" s="530">
        <f t="shared" si="73"/>
        <v>0</v>
      </c>
      <c r="GQ21" s="545">
        <f t="shared" si="74"/>
        <v>0</v>
      </c>
      <c r="GR21" s="625">
        <f t="shared" si="75"/>
        <v>0</v>
      </c>
      <c r="GS21" s="640">
        <f>IF($A21&gt;=BegDate,Assumptions!$C$56*24*($A22-$A21)*(1-VLOOKUP($B21,MAIN!$AA$7:$AM$28,$C21+1))*(1-VLOOKUP($B21,MAIN!$AA$33:$AM$54,$C21+1)),0)*80/168</f>
        <v>0</v>
      </c>
      <c r="GT21" s="1715">
        <f t="shared" si="153"/>
        <v>37.828400000000002</v>
      </c>
      <c r="GU21" s="1715">
        <f>IF($A21&gt;=BegDate,VLOOKUP($A21,GasTable,13)+Assumptions!$C$58,0)</f>
        <v>0</v>
      </c>
      <c r="GV21" s="1715">
        <f>GU21*Assumptions!$C$57/1000</f>
        <v>0</v>
      </c>
      <c r="GW21" s="625">
        <f>IF(Assumptions!$C$60="Hourly",MAX(0,GS21*(GT21-GV21)),GS21*(GT21-GV21))</f>
        <v>0</v>
      </c>
      <c r="GX21" s="640">
        <f>IF($A21&gt;=BegDate,Assumptions!$C$56*24*($A22-$A21)*(1-VLOOKUP($B21,MAIN!$AA$7:$AM$28,$C21+1))*(1-VLOOKUP($B21,MAIN!$AA$33:$AM$54,$C21+1)),0)*16/168</f>
        <v>0</v>
      </c>
      <c r="GY21" s="1715">
        <f t="shared" si="154"/>
        <v>37.828400000000002</v>
      </c>
      <c r="GZ21" s="1715">
        <f>IF($A21&gt;=BegDate,VLOOKUP($A21,GasTable,13)+Assumptions!$C$58,0)</f>
        <v>0</v>
      </c>
      <c r="HA21" s="1715">
        <f>GZ21*Assumptions!$C$57/1000</f>
        <v>0</v>
      </c>
      <c r="HB21" s="625">
        <f>IF(Assumptions!$C$60="Hourly",MAX(0,GX21*(GY21-HA21)),GX21*(GY21-HA21))</f>
        <v>0</v>
      </c>
      <c r="HC21" s="640">
        <f>IF($A21&gt;=BegDate,Assumptions!$C$56*24*($A22-$A21)*(1-VLOOKUP($B21,MAIN!$AA$7:$AM$28,$C21+1))*(1-VLOOKUP($B21,MAIN!$AA$33:$AM$54,$C21+1)),0)*16/168</f>
        <v>0</v>
      </c>
      <c r="HD21" s="1715">
        <f t="shared" si="155"/>
        <v>21.463999999999999</v>
      </c>
      <c r="HE21" s="1715">
        <f>IF($A21&gt;=BegDate,VLOOKUP($A21,GasTable,13)+Assumptions!$C$58,0)</f>
        <v>0</v>
      </c>
      <c r="HF21" s="1715">
        <f>HE21*Assumptions!$C$57/1000</f>
        <v>0</v>
      </c>
      <c r="HG21" s="625">
        <f>IF(Assumptions!$C$60="Hourly",MAX(0,HC21*(HD21-HF21)),HC21*(HD21-HF21))</f>
        <v>0</v>
      </c>
      <c r="HH21" s="640">
        <f>IF($A21&gt;=BegDate,Assumptions!$C$56*24*($A22-$A21)*(1-VLOOKUP($B21,MAIN!$AA$7:$AM$28,$C21+1))*(1-VLOOKUP($B21,MAIN!$AA$33:$AM$54,$C21+1)),0)*56/168</f>
        <v>0</v>
      </c>
      <c r="HI21" s="1715">
        <f t="shared" si="156"/>
        <v>21.463999999999999</v>
      </c>
      <c r="HJ21" s="1715">
        <f>IF($A21&gt;=BegDate,VLOOKUP($A21,GasTable,13)+Assumptions!$C$58,0)</f>
        <v>0</v>
      </c>
      <c r="HK21" s="1715">
        <f>HJ21*Assumptions!$C$57/1000</f>
        <v>0</v>
      </c>
      <c r="HL21" s="625">
        <f>IF(Assumptions!$C$60="Hourly",MAX(0,HH21*(HI21-HK21)),HH21*(HI21-HK21))</f>
        <v>0</v>
      </c>
      <c r="HM21" s="640">
        <f>IF(AND(Assumptions!$H$71="Yes",A21&gt;=Assumptions!$H$72,A21&lt;=Assumptions!$H$73),Assumptions!$H$74*Assumptions!$C$9*1000,0)</f>
        <v>0</v>
      </c>
      <c r="HN21" s="625"/>
      <c r="HO21" s="1414">
        <f t="shared" si="167"/>
        <v>2007</v>
      </c>
      <c r="HP21" s="640">
        <f t="shared" si="76"/>
        <v>0</v>
      </c>
      <c r="HQ21" s="154">
        <f t="shared" si="157"/>
        <v>0</v>
      </c>
      <c r="HR21" s="622">
        <f t="shared" si="77"/>
        <v>0</v>
      </c>
      <c r="HS21" s="621">
        <f t="shared" ca="1" si="78"/>
        <v>6143592</v>
      </c>
      <c r="HT21" s="545">
        <f t="shared" ca="1" si="158"/>
        <v>40.496234269984114</v>
      </c>
      <c r="HU21" s="530">
        <f t="shared" ca="1" si="79"/>
        <v>248792340.89120024</v>
      </c>
      <c r="HV21" s="621">
        <f t="shared" ca="1" si="159"/>
        <v>248792340.89120024</v>
      </c>
      <c r="HW21" s="530">
        <f t="shared" ca="1" si="80"/>
        <v>683028.15562401665</v>
      </c>
      <c r="HX21" s="530">
        <f t="shared" ca="1" si="81"/>
        <v>4562880.5860114861</v>
      </c>
      <c r="HY21" s="530">
        <f>IF(Assumptions!$L$24="Yes",HW21+HX21,0)</f>
        <v>0</v>
      </c>
      <c r="HZ21" s="640">
        <f t="shared" ca="1" si="160"/>
        <v>43847567.48928</v>
      </c>
      <c r="IA21" s="545">
        <f t="shared" ca="1" si="161"/>
        <v>-2.7594061451266247</v>
      </c>
      <c r="IB21" s="622">
        <f t="shared" ca="1" si="82"/>
        <v>-120993247.17877364</v>
      </c>
      <c r="IC21" s="621">
        <f t="shared" ca="1" si="83"/>
        <v>6143592</v>
      </c>
      <c r="ID21" s="545">
        <f t="shared" ca="1" si="162"/>
        <v>-1.9483778879999996</v>
      </c>
      <c r="IE21" s="622">
        <f t="shared" ca="1" si="84"/>
        <v>-11970038.805693693</v>
      </c>
      <c r="IF21" s="530">
        <f t="shared" ca="1" si="85"/>
        <v>0</v>
      </c>
      <c r="IG21" s="545">
        <f t="shared" ca="1" si="163"/>
        <v>0</v>
      </c>
      <c r="IH21" s="622">
        <f t="shared" ca="1" si="86"/>
        <v>0</v>
      </c>
      <c r="II21" s="1645">
        <f>(SUMIF($B$17:$B$292,HO21,$GW$17:$GW$292)+SUMIF($B$17:$B$292,HO21,$HB$17:$HB$292)+SUMIF($B$17:$B$292,HO21,$HG$17:$HG$292)+SUMIF($B$17:$B$292,HO21,$HL$17:$HL$292))*Assumptions!$C$59</f>
        <v>1277555.7212494791</v>
      </c>
      <c r="IJ21" s="1463">
        <f t="shared" si="164"/>
        <v>0</v>
      </c>
      <c r="IK21" s="1463"/>
    </row>
    <row r="22" spans="1:245">
      <c r="A22" s="177">
        <f t="shared" si="87"/>
        <v>36800</v>
      </c>
      <c r="B22" s="349">
        <f t="shared" si="88"/>
        <v>2000</v>
      </c>
      <c r="C22" s="15">
        <f t="shared" si="89"/>
        <v>10</v>
      </c>
      <c r="D22" s="612" t="str">
        <f t="shared" si="90"/>
        <v/>
      </c>
      <c r="E22" s="609" t="str">
        <f t="shared" si="91"/>
        <v/>
      </c>
      <c r="F22" s="614" t="str">
        <f t="shared" si="2"/>
        <v/>
      </c>
      <c r="G22" s="1349">
        <v>0</v>
      </c>
      <c r="H22" s="152">
        <f t="shared" si="165"/>
        <v>1</v>
      </c>
      <c r="I22" s="154">
        <f>IF(Assumptions!$L$25=4,VLOOKUP($A22,'Henwood Reference'!$E$9:$R$320,10),(VLOOKUP($A22,PriceTable,2,0)+IF(BasisNumber&lt;&gt;1,VLOOKUP($A22,BasisTable,2,0),0)+I$1)/(1-I$2))</f>
        <v>32.086599999999997</v>
      </c>
      <c r="J22" s="154">
        <f>IF(Assumptions!$L$25=4,VLOOKUP($A22,'Henwood Reference'!$E$9:$R$320,10),(VLOOKUP($A22,PriceTable,3,0)+IF(BasisNumber&lt;&gt;1,VLOOKUP($A22,BasisTable,2,0),0)+J$1)/(1-J$2))</f>
        <v>32.086599999999997</v>
      </c>
      <c r="K22" s="154">
        <f>IF(Assumptions!$L$25=4,VLOOKUP($A22,'Henwood Reference'!$E$9:$R$320,10),(VLOOKUP($A22,PriceTable,4,0)+IF(BasisNumber&lt;&gt;1,VLOOKUP($A22,BasisTable,2,0),0)+K$1)/(1-K$2))</f>
        <v>32.086599999999997</v>
      </c>
      <c r="L22" s="474">
        <f>IF(Assumptions!$L$25=4,VLOOKUP($A22,'Henwood Reference'!$E$9:$R$320,10),(VLOOKUP($A22,PriceTableWeekend,2,0)+IF(BasisNumber&lt;&gt;1,VLOOKUP($A22,BasisTable,2,0),0)+L$1)/(1-L$2))</f>
        <v>32.086599999999997</v>
      </c>
      <c r="M22" s="154">
        <f>IF(Assumptions!$L$25=4,VLOOKUP($A22,'Henwood Reference'!$E$9:$R$320,10),(VLOOKUP($A22,PriceTableWeekend,3,0)+IF(BasisNumber&lt;&gt;1,VLOOKUP($A22,BasisTable,2,0),0)+M$1)/(1-M$2))</f>
        <v>32.086599999999997</v>
      </c>
      <c r="N22" s="156">
        <f>IF(Assumptions!$L$25=4,VLOOKUP($A22,'Henwood Reference'!$E$9:$R$320,10),(VLOOKUP($A22,PriceTableWeekend,4,0)+IF(BasisNumber&lt;&gt;1,VLOOKUP($A22,BasisTable,2,0),0)+N$1)/(1-N$2))</f>
        <v>32.086599999999997</v>
      </c>
      <c r="O22" s="154">
        <f>IF(Assumptions!$L$25=4,VLOOKUP($A22,'Henwood Reference'!$E$9:$R$320,11),(VLOOKUP($A22,PriceTableWeekend,6,0)+IF(BasisNumber&lt;&gt;1,VLOOKUP($A22,BasisTable,3,0),0)+O$1)/(1-O$2))</f>
        <v>21.392499999999998</v>
      </c>
      <c r="P22" s="154">
        <f>IF(Assumptions!$L$25=4,VLOOKUP($A22,'Henwood Reference'!$E$9:$R$320,11),(VLOOKUP($A22,PriceTableWeekend,7,0)+IF(BasisNumber&lt;&gt;1,VLOOKUP($A22,BasisTable,3,0),0)+P$1)/(1-P$2))</f>
        <v>21.392499999999998</v>
      </c>
      <c r="Q22" s="156">
        <f>IF(Assumptions!$L$25=4,VLOOKUP($A22,'Henwood Reference'!$E$9:$R$320,11),(VLOOKUP($A22,PriceTableWeekend,8,0)+IF(BasisNumber&lt;&gt;1,VLOOKUP($A22,BasisTable,3,0),0)+Q$1)/(1-Q$2))</f>
        <v>21.392499999999998</v>
      </c>
      <c r="R22" s="154">
        <f>IF(Assumptions!$L$25=4,VLOOKUP($A22,'Henwood Reference'!$E$9:$R$320,11),(VLOOKUP($A22,PriceTable,6,0)+IF(BasisNumber&lt;&gt;1,VLOOKUP($A22,BasisTable,3,0),0)+R$1)/(1-R$2))</f>
        <v>21.392499999999998</v>
      </c>
      <c r="S22" s="154">
        <f>IF(Assumptions!$L$25=4,VLOOKUP($A22,'Henwood Reference'!$E$9:$R$320,11),(VLOOKUP($A22,PriceTable,7,0)+IF(BasisNumber&lt;&gt;1,VLOOKUP($A22,BasisTable,3,0),0)+S$1)/(1-S$2))</f>
        <v>21.392499999999998</v>
      </c>
      <c r="T22" s="155">
        <f>IF(Assumptions!$L$25=4,VLOOKUP($A22,'Henwood Reference'!$E$9:$R$320,11),(VLOOKUP($A22,PriceTable,8,0)+IF(BasisNumber&lt;&gt;1,VLOOKUP($A22,BasisTable,3,0),0)+T$1)/(1-T$2))</f>
        <v>21.392499999999998</v>
      </c>
      <c r="U22" s="173">
        <f t="shared" si="92"/>
        <v>0.22</v>
      </c>
      <c r="V22" s="173">
        <f t="shared" si="93"/>
        <v>0.28000000000000003</v>
      </c>
      <c r="W22" s="174">
        <f t="shared" si="94"/>
        <v>0.28000000000000003</v>
      </c>
      <c r="X22" s="173">
        <f t="shared" si="95"/>
        <v>0.22</v>
      </c>
      <c r="Y22" s="173">
        <f t="shared" si="96"/>
        <v>0.28000000000000003</v>
      </c>
      <c r="Z22" s="174">
        <f t="shared" si="97"/>
        <v>0.28000000000000003</v>
      </c>
      <c r="AA22" s="173">
        <f t="shared" si="98"/>
        <v>0.05</v>
      </c>
      <c r="AB22" s="173">
        <f t="shared" si="99"/>
        <v>0.11</v>
      </c>
      <c r="AC22" s="174">
        <f t="shared" si="100"/>
        <v>0.15</v>
      </c>
      <c r="AD22" s="173">
        <f t="shared" si="101"/>
        <v>0.05</v>
      </c>
      <c r="AE22" s="173">
        <f t="shared" si="102"/>
        <v>0.11</v>
      </c>
      <c r="AF22" s="174">
        <f t="shared" si="103"/>
        <v>0.15</v>
      </c>
      <c r="AG22" s="173">
        <f t="shared" si="104"/>
        <v>-0.1</v>
      </c>
      <c r="AH22" s="173">
        <f t="shared" si="105"/>
        <v>0.6</v>
      </c>
      <c r="AI22" s="174">
        <f t="shared" si="106"/>
        <v>0.1</v>
      </c>
      <c r="AJ22" s="173">
        <f t="shared" si="107"/>
        <v>-0.1</v>
      </c>
      <c r="AK22" s="173">
        <f t="shared" si="108"/>
        <v>0.6</v>
      </c>
      <c r="AL22" s="174">
        <f t="shared" si="109"/>
        <v>0.1</v>
      </c>
      <c r="AM22" s="173">
        <f t="shared" si="110"/>
        <v>-0.01</v>
      </c>
      <c r="AN22" s="173">
        <f t="shared" si="111"/>
        <v>0.16</v>
      </c>
      <c r="AO22" s="174">
        <f t="shared" si="112"/>
        <v>0.01</v>
      </c>
      <c r="AP22" s="173">
        <f t="shared" si="113"/>
        <v>-0.01</v>
      </c>
      <c r="AQ22" s="173">
        <f t="shared" si="114"/>
        <v>0.16</v>
      </c>
      <c r="AR22" s="175">
        <f t="shared" si="115"/>
        <v>0.01</v>
      </c>
      <c r="AS22" s="521">
        <f t="shared" si="116"/>
        <v>0.5</v>
      </c>
      <c r="AT22" s="349">
        <f t="shared" si="117"/>
        <v>0</v>
      </c>
      <c r="AU22" s="159">
        <f t="shared" si="3"/>
        <v>0</v>
      </c>
      <c r="AV22" s="159">
        <f t="shared" si="4"/>
        <v>0</v>
      </c>
      <c r="AW22" s="159">
        <f t="shared" si="118"/>
        <v>0</v>
      </c>
      <c r="AX22" s="15">
        <f t="shared" si="119"/>
        <v>0</v>
      </c>
      <c r="AY22" s="607">
        <f>IF(E22="",0,MIN((1-(1-VLOOKUP(B22,MAIN!$AA$7:$AM$28,C22+1))*(1-VLOOKUP(B22,MAIN!$AA$33:$AM$54,C22+1))),1))</f>
        <v>0</v>
      </c>
      <c r="AZ22" s="259">
        <v>0</v>
      </c>
      <c r="BA22" s="263">
        <v>0</v>
      </c>
      <c r="BB22" s="263">
        <v>0</v>
      </c>
      <c r="BC22" s="510">
        <v>0</v>
      </c>
      <c r="BD22" s="512">
        <v>0</v>
      </c>
      <c r="BE22" s="513">
        <v>0</v>
      </c>
      <c r="BF22" s="513">
        <v>0</v>
      </c>
      <c r="BG22" s="514">
        <v>0</v>
      </c>
      <c r="BH22" s="261">
        <v>0</v>
      </c>
      <c r="BI22" s="263">
        <v>0</v>
      </c>
      <c r="BJ22" s="263">
        <v>0</v>
      </c>
      <c r="BK22" s="510">
        <v>0</v>
      </c>
      <c r="BL22" s="512">
        <v>0</v>
      </c>
      <c r="BM22" s="513">
        <v>0</v>
      </c>
      <c r="BN22" s="513">
        <v>0</v>
      </c>
      <c r="BO22" s="513">
        <v>0</v>
      </c>
      <c r="BP22" s="261">
        <f t="shared" si="120"/>
        <v>0</v>
      </c>
      <c r="BQ22" s="578">
        <f t="shared" si="121"/>
        <v>0</v>
      </c>
      <c r="BR22" s="259">
        <f t="shared" si="122"/>
        <v>0</v>
      </c>
      <c r="BS22" s="578">
        <f t="shared" si="123"/>
        <v>0</v>
      </c>
      <c r="BT22" s="216">
        <f t="shared" si="124"/>
        <v>0.4654346338124572</v>
      </c>
      <c r="BU22" s="218">
        <f t="shared" si="5"/>
        <v>0</v>
      </c>
      <c r="BV22" s="216">
        <f t="shared" si="6"/>
        <v>0</v>
      </c>
      <c r="BW22" s="216">
        <f t="shared" si="7"/>
        <v>0</v>
      </c>
      <c r="BX22" s="216">
        <f t="shared" si="125"/>
        <v>0</v>
      </c>
      <c r="BY22" s="216">
        <f t="shared" si="8"/>
        <v>0</v>
      </c>
      <c r="BZ22" s="216">
        <f t="shared" si="9"/>
        <v>0</v>
      </c>
      <c r="CA22" s="264">
        <f t="shared" si="10"/>
        <v>0</v>
      </c>
      <c r="CB22" s="216">
        <f t="shared" si="11"/>
        <v>0</v>
      </c>
      <c r="CC22" s="216">
        <f t="shared" si="12"/>
        <v>0</v>
      </c>
      <c r="CD22" s="216">
        <f t="shared" si="126"/>
        <v>0</v>
      </c>
      <c r="CE22" s="216">
        <f t="shared" si="13"/>
        <v>0</v>
      </c>
      <c r="CF22" s="571">
        <f t="shared" si="14"/>
        <v>0</v>
      </c>
      <c r="CG22" s="573" t="str">
        <f t="shared" si="15"/>
        <v/>
      </c>
      <c r="CH22" s="219" t="str">
        <f t="shared" si="16"/>
        <v/>
      </c>
      <c r="CI22" s="219" t="str">
        <f t="shared" si="17"/>
        <v/>
      </c>
      <c r="CJ22" s="219" t="str">
        <f t="shared" si="18"/>
        <v/>
      </c>
      <c r="CK22" s="219" t="str">
        <f t="shared" si="19"/>
        <v/>
      </c>
      <c r="CL22" s="219" t="str">
        <f t="shared" si="20"/>
        <v/>
      </c>
      <c r="CM22" s="219" t="str">
        <f t="shared" si="21"/>
        <v/>
      </c>
      <c r="CN22" s="569" t="str">
        <f t="shared" si="22"/>
        <v/>
      </c>
      <c r="CO22" s="264">
        <f>IF(OR(BQ22,BS22),VLOOKUP(A22,GasTable,13)*HeatRatePeak*VLOOKUP($B22,MAIN!$AB$59:$AM$80,$C22+1)/1000,0)</f>
        <v>0</v>
      </c>
      <c r="CP22" s="216">
        <f t="shared" si="127"/>
        <v>0</v>
      </c>
      <c r="CQ22" s="216">
        <f t="shared" si="128"/>
        <v>0</v>
      </c>
      <c r="CR22" s="216">
        <f t="shared" si="129"/>
        <v>0</v>
      </c>
      <c r="CS22" s="1626">
        <f t="shared" si="130"/>
        <v>0</v>
      </c>
      <c r="CT22" s="216">
        <f t="shared" si="131"/>
        <v>0</v>
      </c>
      <c r="CU22" s="575" t="str">
        <f t="shared" si="23"/>
        <v/>
      </c>
      <c r="CV22" s="154" t="str">
        <f t="shared" si="24"/>
        <v/>
      </c>
      <c r="CW22" s="216">
        <f>IF(OR($BQ22,$BS22),SpreadOptPowerMargin,0)*((1+Assumptions!$C$26)^($B22-YEAR(Assumptions!$C$17)))</f>
        <v>0</v>
      </c>
      <c r="CX22" s="216">
        <f>IF(OR($BQ22,$BS22),SpreadOptPowerMargin,0)*((1+Assumptions!$C$26)^($B22-YEAR(Assumptions!$C$17)))</f>
        <v>0</v>
      </c>
      <c r="CY22" s="216">
        <f>IF(OR($BQ22,$BS22),SpreadOptPowerMargin,0)*((1+Assumptions!$C$26)^($B22-YEAR(Assumptions!$C$17)))</f>
        <v>0</v>
      </c>
      <c r="CZ22" s="216">
        <f>IF(OR($BQ22,$BS22),SpreadOptPowerMargin,0)*((1+Assumptions!$C$26)^($B22-YEAR(Assumptions!$C$17)))</f>
        <v>0</v>
      </c>
      <c r="DA22" s="440">
        <f t="shared" si="25"/>
        <v>0</v>
      </c>
      <c r="DB22" s="479" t="str">
        <f t="shared" si="26"/>
        <v/>
      </c>
      <c r="DC22" s="479" t="str">
        <f t="shared" si="27"/>
        <v/>
      </c>
      <c r="DD22" s="479" t="str">
        <f t="shared" si="28"/>
        <v/>
      </c>
      <c r="DE22" s="479" t="str">
        <f t="shared" si="29"/>
        <v/>
      </c>
      <c r="DF22" s="479" t="str">
        <f t="shared" si="30"/>
        <v/>
      </c>
      <c r="DG22" s="574" t="str">
        <f t="shared" si="31"/>
        <v/>
      </c>
      <c r="DH22" s="216">
        <f t="shared" si="32"/>
        <v>0</v>
      </c>
      <c r="DI22" s="216">
        <f t="shared" si="33"/>
        <v>0</v>
      </c>
      <c r="DJ22" s="216">
        <f t="shared" si="34"/>
        <v>0</v>
      </c>
      <c r="DK22" s="216">
        <f t="shared" si="35"/>
        <v>0</v>
      </c>
      <c r="DL22" s="216">
        <f t="shared" si="36"/>
        <v>0</v>
      </c>
      <c r="DM22" s="216"/>
      <c r="DN22" s="216"/>
      <c r="DO22" s="216"/>
      <c r="DP22" s="216"/>
      <c r="DQ22" s="216"/>
      <c r="DR22" s="216"/>
      <c r="DS22" s="216"/>
      <c r="DT22" s="216"/>
      <c r="DU22" s="216"/>
      <c r="DV22" s="216"/>
      <c r="DW22" s="1371">
        <f t="shared" si="37"/>
        <v>0</v>
      </c>
      <c r="DX22" s="216">
        <f t="shared" si="38"/>
        <v>0</v>
      </c>
      <c r="DY22" s="440">
        <f t="shared" si="39"/>
        <v>0</v>
      </c>
      <c r="DZ22" s="180">
        <f t="shared" si="40"/>
        <v>0</v>
      </c>
      <c r="EA22" s="180">
        <f t="shared" si="41"/>
        <v>0</v>
      </c>
      <c r="EB22" s="180">
        <f t="shared" si="42"/>
        <v>0</v>
      </c>
      <c r="EC22" s="180">
        <f t="shared" si="43"/>
        <v>0</v>
      </c>
      <c r="ED22" s="180">
        <f t="shared" si="44"/>
        <v>0</v>
      </c>
      <c r="EE22" s="581">
        <f t="shared" si="45"/>
        <v>0</v>
      </c>
      <c r="EF22" s="554">
        <f t="shared" si="46"/>
        <v>0</v>
      </c>
      <c r="EG22" s="554">
        <f t="shared" si="47"/>
        <v>0</v>
      </c>
      <c r="EH22" s="554">
        <f t="shared" si="48"/>
        <v>0</v>
      </c>
      <c r="EI22" s="561">
        <f t="shared" si="49"/>
        <v>0</v>
      </c>
      <c r="EJ22" s="581">
        <f t="shared" si="132"/>
        <v>0</v>
      </c>
      <c r="EK22" s="554">
        <f t="shared" si="133"/>
        <v>0</v>
      </c>
      <c r="EL22" s="554">
        <f t="shared" si="134"/>
        <v>0</v>
      </c>
      <c r="EM22" s="554">
        <f t="shared" si="135"/>
        <v>0</v>
      </c>
      <c r="EN22" s="561">
        <f t="shared" si="136"/>
        <v>0</v>
      </c>
      <c r="EO22" s="180">
        <f t="shared" si="50"/>
        <v>0</v>
      </c>
      <c r="EP22" s="180">
        <f t="shared" si="51"/>
        <v>0</v>
      </c>
      <c r="EQ22" s="180">
        <f t="shared" si="52"/>
        <v>0</v>
      </c>
      <c r="ER22" s="180">
        <f t="shared" si="53"/>
        <v>0</v>
      </c>
      <c r="ES22" s="180">
        <f t="shared" si="54"/>
        <v>0</v>
      </c>
      <c r="ET22" s="1482">
        <f t="shared" si="55"/>
        <v>0</v>
      </c>
      <c r="EU22" s="180">
        <f t="shared" si="56"/>
        <v>0</v>
      </c>
      <c r="EV22" s="180">
        <f t="shared" si="57"/>
        <v>0</v>
      </c>
      <c r="EW22" s="180">
        <f t="shared" si="58"/>
        <v>0</v>
      </c>
      <c r="EX22" s="555">
        <f t="shared" si="59"/>
        <v>0</v>
      </c>
      <c r="EY22" s="180">
        <f t="shared" si="137"/>
        <v>0</v>
      </c>
      <c r="EZ22" s="180">
        <f t="shared" si="138"/>
        <v>0</v>
      </c>
      <c r="FA22" s="180">
        <f t="shared" si="139"/>
        <v>0</v>
      </c>
      <c r="FB22" s="180">
        <f t="shared" si="140"/>
        <v>0</v>
      </c>
      <c r="FC22" s="180">
        <f t="shared" si="141"/>
        <v>0</v>
      </c>
      <c r="FD22" s="262">
        <f>IF(AX22,IF(VLOOKUP(C22,MAIN!$L$17:$M$28,2)="Yes",VLOOKUP(CALC!B22,MAIN!$H$17:$I$20,2),0),0)</f>
        <v>0</v>
      </c>
      <c r="FE22" s="623">
        <f t="shared" si="60"/>
        <v>0</v>
      </c>
      <c r="FF22" s="535">
        <f t="shared" si="61"/>
        <v>0</v>
      </c>
      <c r="FG22" s="535">
        <f t="shared" si="62"/>
        <v>0</v>
      </c>
      <c r="FH22" s="624">
        <f t="shared" si="63"/>
        <v>0</v>
      </c>
      <c r="FI22" s="632">
        <f>IF(AX22,VLOOKUP(CALC!B22,MAIN!$H$17:$K$20,4),0)</f>
        <v>0</v>
      </c>
      <c r="FJ22" s="535">
        <f t="shared" si="64"/>
        <v>0</v>
      </c>
      <c r="FK22" s="648">
        <f t="shared" si="142"/>
        <v>0</v>
      </c>
      <c r="FL22" s="530">
        <f t="shared" si="143"/>
        <v>0</v>
      </c>
      <c r="FM22" s="530">
        <f t="shared" si="144"/>
        <v>0</v>
      </c>
      <c r="FN22" s="530">
        <f t="shared" si="145"/>
        <v>0</v>
      </c>
      <c r="FO22" s="622">
        <f t="shared" si="146"/>
        <v>0</v>
      </c>
      <c r="FP22" s="530">
        <f t="shared" si="147"/>
        <v>0</v>
      </c>
      <c r="FQ22" s="530">
        <f t="shared" si="148"/>
        <v>0</v>
      </c>
      <c r="FR22" s="530">
        <f t="shared" si="149"/>
        <v>0</v>
      </c>
      <c r="FS22" s="625">
        <f t="shared" si="150"/>
        <v>0</v>
      </c>
      <c r="FT22" s="640">
        <f>IF(AND(Assumptions!$H$71="Yes",A22&gt;=Assumptions!$H$72,A22&lt;=Assumptions!$H$73),0,IF(AND($A22&gt;=Assumptions!$C$17,$A22&lt;=Assumptions!$C$18),MAX(AZ22*(1+VLOOKUP($C22,WeatherCapacityAdjustment,2))-FL22,0),0))</f>
        <v>0</v>
      </c>
      <c r="FU22" s="530">
        <f>IF(AND(Assumptions!$H$71="Yes",A22&gt;=Assumptions!$H$72,A22&lt;=Assumptions!$H$73),0,IF(AND($A22&gt;=Assumptions!$C$17,$A22&lt;=Assumptions!$C$18),MAX(BA22*(1+VLOOKUP($C22,WeatherCapacityAdjustment,2))-FM22,0),0))</f>
        <v>0</v>
      </c>
      <c r="FV22" s="530">
        <f>IF(AND(Assumptions!$H$71="Yes",A22&gt;=Assumptions!$H$72,A22&lt;=Assumptions!$H$73),0,IF(AND($A22&gt;=Assumptions!$C$17,$A22&lt;=Assumptions!$C$18),MAX(BB22*(1+VLOOKUP($C22,WeatherCapacityAdjustment,2))-FN22,0),0))</f>
        <v>0</v>
      </c>
      <c r="FW22" s="622">
        <f>IF(AND(Assumptions!$H$71="Yes",A22&gt;=Assumptions!$H$72,A22&lt;=Assumptions!$H$73),0,IF(AND($A22&gt;=Assumptions!$C$17,$A22&lt;=Assumptions!$C$18),MAX(BC22*(1+VLOOKUP($C22,WeatherCapacityAdjustment,3))-FO22,0),0))</f>
        <v>0</v>
      </c>
      <c r="FX22" s="621">
        <f>IF(AND(Assumptions!$H$71="Yes",A22&gt;=Assumptions!$H$72,A22&lt;=Assumptions!$H$73),0,IF(ET22&gt;0,MAX(BH22*(1+VLOOKUP($C22,WeatherCapacityAdjustment,2))-FP22,0),0))</f>
        <v>0</v>
      </c>
      <c r="FY22" s="530">
        <f>IF(AND(Assumptions!$H$71="Yes",A22&gt;=Assumptions!$H$72,A22&lt;=Assumptions!$H$73),0,IF(EU22&gt;0,MAX(BI22*(1+VLOOKUP($C22,WeatherCapacityAdjustment,3))-FQ22,0),0))</f>
        <v>0</v>
      </c>
      <c r="FZ22" s="530">
        <f>IF(AND(Assumptions!$H$71="Yes",A22&gt;=Assumptions!$H$72,A22&lt;=Assumptions!$H$73),0,IF(EV22&gt;0,MAX(BJ22*(1+VLOOKUP($C22,WeatherCapacityAdjustment,2))-FR22,0),0))</f>
        <v>0</v>
      </c>
      <c r="GA22" s="622">
        <f>IF(AND(Assumptions!$H$71="Yes",A22&gt;=Assumptions!$H$72,A22&lt;=Assumptions!$H$73),0,IF(EW22&gt;0,MAX(BK22*(1+VLOOKUP($C22,WeatherCapacityAdjustment,2))-FS22,0),0))</f>
        <v>0</v>
      </c>
      <c r="GB22" s="530">
        <f t="shared" si="65"/>
        <v>0</v>
      </c>
      <c r="GC22" s="545">
        <f t="shared" si="66"/>
        <v>0</v>
      </c>
      <c r="GD22" s="530">
        <f t="shared" si="67"/>
        <v>0</v>
      </c>
      <c r="GE22" s="1485">
        <f t="shared" si="151"/>
        <v>0</v>
      </c>
      <c r="GF22" s="1776">
        <f t="shared" si="168"/>
        <v>0</v>
      </c>
      <c r="GG22" s="545">
        <f t="shared" si="169"/>
        <v>0</v>
      </c>
      <c r="GH22" s="622">
        <f t="shared" si="170"/>
        <v>0</v>
      </c>
      <c r="GI22" s="621">
        <f t="shared" si="152"/>
        <v>0</v>
      </c>
      <c r="GJ22" s="638">
        <f t="shared" si="68"/>
        <v>0</v>
      </c>
      <c r="GK22" s="625">
        <f t="shared" si="166"/>
        <v>0</v>
      </c>
      <c r="GL22" s="640">
        <f t="shared" si="69"/>
        <v>0</v>
      </c>
      <c r="GM22" s="530">
        <f t="shared" si="70"/>
        <v>0</v>
      </c>
      <c r="GN22" s="530">
        <f t="shared" si="71"/>
        <v>0</v>
      </c>
      <c r="GO22" s="622">
        <f t="shared" si="72"/>
        <v>0</v>
      </c>
      <c r="GP22" s="530">
        <f t="shared" si="73"/>
        <v>0</v>
      </c>
      <c r="GQ22" s="545">
        <f t="shared" si="74"/>
        <v>0</v>
      </c>
      <c r="GR22" s="625">
        <f t="shared" si="75"/>
        <v>0</v>
      </c>
      <c r="GS22" s="640">
        <f>IF($A22&gt;=BegDate,Assumptions!$C$56*24*($A23-$A22)*(1-VLOOKUP($B22,MAIN!$AA$7:$AM$28,$C22+1))*(1-VLOOKUP($B22,MAIN!$AA$33:$AM$54,$C22+1)),0)*80/168</f>
        <v>0</v>
      </c>
      <c r="GT22" s="1715">
        <f t="shared" si="153"/>
        <v>32.086599999999997</v>
      </c>
      <c r="GU22" s="1715">
        <f>IF($A22&gt;=BegDate,VLOOKUP($A22,GasTable,13)+Assumptions!$C$58,0)</f>
        <v>0</v>
      </c>
      <c r="GV22" s="1715">
        <f>GU22*Assumptions!$C$57/1000</f>
        <v>0</v>
      </c>
      <c r="GW22" s="625">
        <f>IF(Assumptions!$C$60="Hourly",MAX(0,GS22*(GT22-GV22)),GS22*(GT22-GV22))</f>
        <v>0</v>
      </c>
      <c r="GX22" s="640">
        <f>IF($A22&gt;=BegDate,Assumptions!$C$56*24*($A23-$A22)*(1-VLOOKUP($B22,MAIN!$AA$7:$AM$28,$C22+1))*(1-VLOOKUP($B22,MAIN!$AA$33:$AM$54,$C22+1)),0)*16/168</f>
        <v>0</v>
      </c>
      <c r="GY22" s="1715">
        <f t="shared" si="154"/>
        <v>32.086599999999997</v>
      </c>
      <c r="GZ22" s="1715">
        <f>IF($A22&gt;=BegDate,VLOOKUP($A22,GasTable,13)+Assumptions!$C$58,0)</f>
        <v>0</v>
      </c>
      <c r="HA22" s="1715">
        <f>GZ22*Assumptions!$C$57/1000</f>
        <v>0</v>
      </c>
      <c r="HB22" s="625">
        <f>IF(Assumptions!$C$60="Hourly",MAX(0,GX22*(GY22-HA22)),GX22*(GY22-HA22))</f>
        <v>0</v>
      </c>
      <c r="HC22" s="640">
        <f>IF($A22&gt;=BegDate,Assumptions!$C$56*24*($A23-$A22)*(1-VLOOKUP($B22,MAIN!$AA$7:$AM$28,$C22+1))*(1-VLOOKUP($B22,MAIN!$AA$33:$AM$54,$C22+1)),0)*16/168</f>
        <v>0</v>
      </c>
      <c r="HD22" s="1715">
        <f t="shared" si="155"/>
        <v>21.392499999999998</v>
      </c>
      <c r="HE22" s="1715">
        <f>IF($A22&gt;=BegDate,VLOOKUP($A22,GasTable,13)+Assumptions!$C$58,0)</f>
        <v>0</v>
      </c>
      <c r="HF22" s="1715">
        <f>HE22*Assumptions!$C$57/1000</f>
        <v>0</v>
      </c>
      <c r="HG22" s="625">
        <f>IF(Assumptions!$C$60="Hourly",MAX(0,HC22*(HD22-HF22)),HC22*(HD22-HF22))</f>
        <v>0</v>
      </c>
      <c r="HH22" s="640">
        <f>IF($A22&gt;=BegDate,Assumptions!$C$56*24*($A23-$A22)*(1-VLOOKUP($B22,MAIN!$AA$7:$AM$28,$C22+1))*(1-VLOOKUP($B22,MAIN!$AA$33:$AM$54,$C22+1)),0)*56/168</f>
        <v>0</v>
      </c>
      <c r="HI22" s="1715">
        <f t="shared" si="156"/>
        <v>21.392499999999998</v>
      </c>
      <c r="HJ22" s="1715">
        <f>IF($A22&gt;=BegDate,VLOOKUP($A22,GasTable,13)+Assumptions!$C$58,0)</f>
        <v>0</v>
      </c>
      <c r="HK22" s="1715">
        <f>HJ22*Assumptions!$C$57/1000</f>
        <v>0</v>
      </c>
      <c r="HL22" s="625">
        <f>IF(Assumptions!$C$60="Hourly",MAX(0,HH22*(HI22-HK22)),HH22*(HI22-HK22))</f>
        <v>0</v>
      </c>
      <c r="HM22" s="640">
        <f>IF(AND(Assumptions!$H$71="Yes",A22&gt;=Assumptions!$H$72,A22&lt;=Assumptions!$H$73),Assumptions!$H$74*Assumptions!$C$9*1000,0)</f>
        <v>0</v>
      </c>
      <c r="HN22" s="625"/>
      <c r="HO22" s="1414">
        <f t="shared" si="167"/>
        <v>2008</v>
      </c>
      <c r="HP22" s="640">
        <f t="shared" si="76"/>
        <v>0</v>
      </c>
      <c r="HQ22" s="154">
        <f t="shared" si="157"/>
        <v>0</v>
      </c>
      <c r="HR22" s="622">
        <f t="shared" si="77"/>
        <v>0</v>
      </c>
      <c r="HS22" s="621">
        <f t="shared" ca="1" si="78"/>
        <v>6151740</v>
      </c>
      <c r="HT22" s="545">
        <f t="shared" ca="1" si="158"/>
        <v>40.071591056106875</v>
      </c>
      <c r="HU22" s="530">
        <f t="shared" ca="1" si="79"/>
        <v>246510009.56349492</v>
      </c>
      <c r="HV22" s="621">
        <f t="shared" ca="1" si="159"/>
        <v>246510009.56349492</v>
      </c>
      <c r="HW22" s="530">
        <f t="shared" ca="1" si="80"/>
        <v>852477.98680604366</v>
      </c>
      <c r="HX22" s="530">
        <f t="shared" ca="1" si="81"/>
        <v>5553363.9971411582</v>
      </c>
      <c r="HY22" s="530">
        <f>IF(Assumptions!$L$24="Yes",HW22+HX22,0)</f>
        <v>0</v>
      </c>
      <c r="HZ22" s="640">
        <f t="shared" ca="1" si="160"/>
        <v>44127621.6756</v>
      </c>
      <c r="IA22" s="545">
        <f t="shared" ca="1" si="161"/>
        <v>-2.8508365091989143</v>
      </c>
      <c r="IB22" s="622">
        <f t="shared" ca="1" si="82"/>
        <v>-125800634.93691786</v>
      </c>
      <c r="IC22" s="621">
        <f t="shared" ca="1" si="83"/>
        <v>6151740</v>
      </c>
      <c r="ID22" s="545">
        <f t="shared" ca="1" si="162"/>
        <v>-1.9873454457599999</v>
      </c>
      <c r="IE22" s="622">
        <f t="shared" ca="1" si="84"/>
        <v>-12225632.472499622</v>
      </c>
      <c r="IF22" s="530">
        <f t="shared" ca="1" si="85"/>
        <v>0</v>
      </c>
      <c r="IG22" s="545">
        <f t="shared" ca="1" si="163"/>
        <v>0</v>
      </c>
      <c r="IH22" s="622">
        <f t="shared" ca="1" si="86"/>
        <v>0</v>
      </c>
      <c r="II22" s="1645">
        <f>(SUMIF($B$17:$B$292,HO22,$GW$17:$GW$292)+SUMIF($B$17:$B$292,HO22,$HB$17:$HB$292)+SUMIF($B$17:$B$292,HO22,$HG$17:$HG$292)+SUMIF($B$17:$B$292,HO22,$HL$17:$HL$292))*Assumptions!$C$59</f>
        <v>1213333.1488568445</v>
      </c>
      <c r="IJ22" s="1463">
        <f t="shared" si="164"/>
        <v>0</v>
      </c>
      <c r="IK22" s="1463"/>
    </row>
    <row r="23" spans="1:245">
      <c r="A23" s="177">
        <f t="shared" si="87"/>
        <v>36831</v>
      </c>
      <c r="B23" s="349">
        <f t="shared" si="88"/>
        <v>2000</v>
      </c>
      <c r="C23" s="15">
        <f t="shared" si="89"/>
        <v>11</v>
      </c>
      <c r="D23" s="612" t="str">
        <f t="shared" si="90"/>
        <v/>
      </c>
      <c r="E23" s="609" t="str">
        <f t="shared" si="91"/>
        <v/>
      </c>
      <c r="F23" s="614" t="str">
        <f t="shared" si="2"/>
        <v/>
      </c>
      <c r="G23" s="1349">
        <v>0</v>
      </c>
      <c r="H23" s="152">
        <f t="shared" si="165"/>
        <v>1</v>
      </c>
      <c r="I23" s="154">
        <f>IF(Assumptions!$L$25=4,VLOOKUP($A23,'Henwood Reference'!$E$9:$R$320,10),(VLOOKUP($A23,PriceTable,2,0)+IF(BasisNumber&lt;&gt;1,VLOOKUP($A23,BasisTable,2,0),0)+I$1)/(1-I$2))</f>
        <v>33.600200000000001</v>
      </c>
      <c r="J23" s="154">
        <f>IF(Assumptions!$L$25=4,VLOOKUP($A23,'Henwood Reference'!$E$9:$R$320,10),(VLOOKUP($A23,PriceTable,3,0)+IF(BasisNumber&lt;&gt;1,VLOOKUP($A23,BasisTable,2,0),0)+J$1)/(1-J$2))</f>
        <v>33.600200000000001</v>
      </c>
      <c r="K23" s="154">
        <f>IF(Assumptions!$L$25=4,VLOOKUP($A23,'Henwood Reference'!$E$9:$R$320,10),(VLOOKUP($A23,PriceTable,4,0)+IF(BasisNumber&lt;&gt;1,VLOOKUP($A23,BasisTable,2,0),0)+K$1)/(1-K$2))</f>
        <v>33.600200000000001</v>
      </c>
      <c r="L23" s="474">
        <f>IF(Assumptions!$L$25=4,VLOOKUP($A23,'Henwood Reference'!$E$9:$R$320,10),(VLOOKUP($A23,PriceTableWeekend,2,0)+IF(BasisNumber&lt;&gt;1,VLOOKUP($A23,BasisTable,2,0),0)+L$1)/(1-L$2))</f>
        <v>33.600200000000001</v>
      </c>
      <c r="M23" s="154">
        <f>IF(Assumptions!$L$25=4,VLOOKUP($A23,'Henwood Reference'!$E$9:$R$320,10),(VLOOKUP($A23,PriceTableWeekend,3,0)+IF(BasisNumber&lt;&gt;1,VLOOKUP($A23,BasisTable,2,0),0)+M$1)/(1-M$2))</f>
        <v>33.600200000000001</v>
      </c>
      <c r="N23" s="156">
        <f>IF(Assumptions!$L$25=4,VLOOKUP($A23,'Henwood Reference'!$E$9:$R$320,10),(VLOOKUP($A23,PriceTableWeekend,4,0)+IF(BasisNumber&lt;&gt;1,VLOOKUP($A23,BasisTable,2,0),0)+N$1)/(1-N$2))</f>
        <v>33.600200000000001</v>
      </c>
      <c r="O23" s="154">
        <f>IF(Assumptions!$L$25=4,VLOOKUP($A23,'Henwood Reference'!$E$9:$R$320,11),(VLOOKUP($A23,PriceTableWeekend,6,0)+IF(BasisNumber&lt;&gt;1,VLOOKUP($A23,BasisTable,3,0),0)+O$1)/(1-O$2))</f>
        <v>24.5106</v>
      </c>
      <c r="P23" s="154">
        <f>IF(Assumptions!$L$25=4,VLOOKUP($A23,'Henwood Reference'!$E$9:$R$320,11),(VLOOKUP($A23,PriceTableWeekend,7,0)+IF(BasisNumber&lt;&gt;1,VLOOKUP($A23,BasisTable,3,0),0)+P$1)/(1-P$2))</f>
        <v>24.5106</v>
      </c>
      <c r="Q23" s="156">
        <f>IF(Assumptions!$L$25=4,VLOOKUP($A23,'Henwood Reference'!$E$9:$R$320,11),(VLOOKUP($A23,PriceTableWeekend,8,0)+IF(BasisNumber&lt;&gt;1,VLOOKUP($A23,BasisTable,3,0),0)+Q$1)/(1-Q$2))</f>
        <v>24.5106</v>
      </c>
      <c r="R23" s="154">
        <f>IF(Assumptions!$L$25=4,VLOOKUP($A23,'Henwood Reference'!$E$9:$R$320,11),(VLOOKUP($A23,PriceTable,6,0)+IF(BasisNumber&lt;&gt;1,VLOOKUP($A23,BasisTable,3,0),0)+R$1)/(1-R$2))</f>
        <v>24.5106</v>
      </c>
      <c r="S23" s="154">
        <f>IF(Assumptions!$L$25=4,VLOOKUP($A23,'Henwood Reference'!$E$9:$R$320,11),(VLOOKUP($A23,PriceTable,7,0)+IF(BasisNumber&lt;&gt;1,VLOOKUP($A23,BasisTable,3,0),0)+S$1)/(1-S$2))</f>
        <v>24.5106</v>
      </c>
      <c r="T23" s="155">
        <f>IF(Assumptions!$L$25=4,VLOOKUP($A23,'Henwood Reference'!$E$9:$R$320,11),(VLOOKUP($A23,PriceTable,8,0)+IF(BasisNumber&lt;&gt;1,VLOOKUP($A23,BasisTable,3,0),0)+T$1)/(1-T$2))</f>
        <v>24.5106</v>
      </c>
      <c r="U23" s="173">
        <f t="shared" si="92"/>
        <v>0.22</v>
      </c>
      <c r="V23" s="173">
        <f t="shared" si="93"/>
        <v>0.2</v>
      </c>
      <c r="W23" s="174">
        <f t="shared" si="94"/>
        <v>0.28000000000000003</v>
      </c>
      <c r="X23" s="173">
        <f t="shared" si="95"/>
        <v>0.22</v>
      </c>
      <c r="Y23" s="173">
        <f t="shared" si="96"/>
        <v>0.2</v>
      </c>
      <c r="Z23" s="174">
        <f t="shared" si="97"/>
        <v>0.28000000000000003</v>
      </c>
      <c r="AA23" s="173">
        <f t="shared" si="98"/>
        <v>0.05</v>
      </c>
      <c r="AB23" s="173">
        <f t="shared" si="99"/>
        <v>0.11</v>
      </c>
      <c r="AC23" s="174">
        <f t="shared" si="100"/>
        <v>0.15</v>
      </c>
      <c r="AD23" s="173">
        <f t="shared" si="101"/>
        <v>0.05</v>
      </c>
      <c r="AE23" s="173">
        <f t="shared" si="102"/>
        <v>0.11</v>
      </c>
      <c r="AF23" s="174">
        <f t="shared" si="103"/>
        <v>0.15</v>
      </c>
      <c r="AG23" s="173">
        <f t="shared" si="104"/>
        <v>-0.1</v>
      </c>
      <c r="AH23" s="173">
        <f t="shared" si="105"/>
        <v>0.6</v>
      </c>
      <c r="AI23" s="174">
        <f t="shared" si="106"/>
        <v>0.1</v>
      </c>
      <c r="AJ23" s="173">
        <f t="shared" si="107"/>
        <v>-0.1</v>
      </c>
      <c r="AK23" s="173">
        <f t="shared" si="108"/>
        <v>0.6</v>
      </c>
      <c r="AL23" s="174">
        <f t="shared" si="109"/>
        <v>0.1</v>
      </c>
      <c r="AM23" s="173">
        <f t="shared" si="110"/>
        <v>-0.01</v>
      </c>
      <c r="AN23" s="173">
        <f t="shared" si="111"/>
        <v>0.16</v>
      </c>
      <c r="AO23" s="174">
        <f t="shared" si="112"/>
        <v>0.01</v>
      </c>
      <c r="AP23" s="173">
        <f t="shared" si="113"/>
        <v>-0.01</v>
      </c>
      <c r="AQ23" s="173">
        <f t="shared" si="114"/>
        <v>0.16</v>
      </c>
      <c r="AR23" s="175">
        <f t="shared" si="115"/>
        <v>0.01</v>
      </c>
      <c r="AS23" s="521">
        <f t="shared" si="116"/>
        <v>0.5</v>
      </c>
      <c r="AT23" s="349">
        <f t="shared" si="117"/>
        <v>0</v>
      </c>
      <c r="AU23" s="159">
        <f t="shared" si="3"/>
        <v>0</v>
      </c>
      <c r="AV23" s="159">
        <f t="shared" si="4"/>
        <v>0</v>
      </c>
      <c r="AW23" s="159">
        <f t="shared" si="118"/>
        <v>0</v>
      </c>
      <c r="AX23" s="15">
        <f t="shared" si="119"/>
        <v>0</v>
      </c>
      <c r="AY23" s="607">
        <f>IF(E23="",0,MIN((1-(1-VLOOKUP(B23,MAIN!$AA$7:$AM$28,C23+1))*(1-VLOOKUP(B23,MAIN!$AA$33:$AM$54,C23+1))),1))</f>
        <v>0</v>
      </c>
      <c r="AZ23" s="259">
        <v>0</v>
      </c>
      <c r="BA23" s="263">
        <v>0</v>
      </c>
      <c r="BB23" s="263">
        <v>0</v>
      </c>
      <c r="BC23" s="510">
        <v>0</v>
      </c>
      <c r="BD23" s="512">
        <v>0</v>
      </c>
      <c r="BE23" s="513">
        <v>0</v>
      </c>
      <c r="BF23" s="513">
        <v>0</v>
      </c>
      <c r="BG23" s="514">
        <v>0</v>
      </c>
      <c r="BH23" s="261">
        <v>0</v>
      </c>
      <c r="BI23" s="263">
        <v>0</v>
      </c>
      <c r="BJ23" s="263">
        <v>0</v>
      </c>
      <c r="BK23" s="510">
        <v>0</v>
      </c>
      <c r="BL23" s="512">
        <v>0</v>
      </c>
      <c r="BM23" s="513">
        <v>0</v>
      </c>
      <c r="BN23" s="513">
        <v>0</v>
      </c>
      <c r="BO23" s="513">
        <v>0</v>
      </c>
      <c r="BP23" s="261">
        <f t="shared" si="120"/>
        <v>0</v>
      </c>
      <c r="BQ23" s="578">
        <f t="shared" si="121"/>
        <v>0</v>
      </c>
      <c r="BR23" s="259">
        <f t="shared" si="122"/>
        <v>0</v>
      </c>
      <c r="BS23" s="578">
        <f t="shared" si="123"/>
        <v>0</v>
      </c>
      <c r="BT23" s="216">
        <f t="shared" si="124"/>
        <v>0.55030800821355241</v>
      </c>
      <c r="BU23" s="218">
        <f t="shared" si="5"/>
        <v>0</v>
      </c>
      <c r="BV23" s="216">
        <f t="shared" si="6"/>
        <v>0</v>
      </c>
      <c r="BW23" s="216">
        <f t="shared" si="7"/>
        <v>0</v>
      </c>
      <c r="BX23" s="216">
        <f t="shared" si="125"/>
        <v>0</v>
      </c>
      <c r="BY23" s="216">
        <f t="shared" si="8"/>
        <v>0</v>
      </c>
      <c r="BZ23" s="216">
        <f t="shared" si="9"/>
        <v>0</v>
      </c>
      <c r="CA23" s="264">
        <f t="shared" si="10"/>
        <v>0</v>
      </c>
      <c r="CB23" s="216">
        <f t="shared" si="11"/>
        <v>0</v>
      </c>
      <c r="CC23" s="216">
        <f t="shared" si="12"/>
        <v>0</v>
      </c>
      <c r="CD23" s="216">
        <f t="shared" si="126"/>
        <v>0</v>
      </c>
      <c r="CE23" s="216">
        <f t="shared" si="13"/>
        <v>0</v>
      </c>
      <c r="CF23" s="571">
        <f t="shared" si="14"/>
        <v>0</v>
      </c>
      <c r="CG23" s="573" t="str">
        <f t="shared" si="15"/>
        <v/>
      </c>
      <c r="CH23" s="219" t="str">
        <f t="shared" si="16"/>
        <v/>
      </c>
      <c r="CI23" s="219" t="str">
        <f t="shared" si="17"/>
        <v/>
      </c>
      <c r="CJ23" s="219" t="str">
        <f t="shared" si="18"/>
        <v/>
      </c>
      <c r="CK23" s="219" t="str">
        <f t="shared" si="19"/>
        <v/>
      </c>
      <c r="CL23" s="219" t="str">
        <f t="shared" si="20"/>
        <v/>
      </c>
      <c r="CM23" s="219" t="str">
        <f t="shared" si="21"/>
        <v/>
      </c>
      <c r="CN23" s="569" t="str">
        <f t="shared" si="22"/>
        <v/>
      </c>
      <c r="CO23" s="264">
        <f>IF(OR(BQ23,BS23),VLOOKUP(A23,GasTable,13)*HeatRatePeak*VLOOKUP($B23,MAIN!$AB$59:$AM$80,$C23+1)/1000,0)</f>
        <v>0</v>
      </c>
      <c r="CP23" s="216">
        <f t="shared" si="127"/>
        <v>0</v>
      </c>
      <c r="CQ23" s="216">
        <f t="shared" si="128"/>
        <v>0</v>
      </c>
      <c r="CR23" s="216">
        <f t="shared" si="129"/>
        <v>0</v>
      </c>
      <c r="CS23" s="1626">
        <f t="shared" si="130"/>
        <v>0</v>
      </c>
      <c r="CT23" s="216">
        <f t="shared" si="131"/>
        <v>0</v>
      </c>
      <c r="CU23" s="575" t="str">
        <f t="shared" si="23"/>
        <v/>
      </c>
      <c r="CV23" s="154" t="str">
        <f t="shared" si="24"/>
        <v/>
      </c>
      <c r="CW23" s="216">
        <f>IF(OR($BQ23,$BS23),SpreadOptPowerMargin,0)*((1+Assumptions!$C$26)^($B23-YEAR(Assumptions!$C$17)))</f>
        <v>0</v>
      </c>
      <c r="CX23" s="216">
        <f>IF(OR($BQ23,$BS23),SpreadOptPowerMargin,0)*((1+Assumptions!$C$26)^($B23-YEAR(Assumptions!$C$17)))</f>
        <v>0</v>
      </c>
      <c r="CY23" s="216">
        <f>IF(OR($BQ23,$BS23),SpreadOptPowerMargin,0)*((1+Assumptions!$C$26)^($B23-YEAR(Assumptions!$C$17)))</f>
        <v>0</v>
      </c>
      <c r="CZ23" s="216">
        <f>IF(OR($BQ23,$BS23),SpreadOptPowerMargin,0)*((1+Assumptions!$C$26)^($B23-YEAR(Assumptions!$C$17)))</f>
        <v>0</v>
      </c>
      <c r="DA23" s="440">
        <f t="shared" si="25"/>
        <v>0</v>
      </c>
      <c r="DB23" s="479" t="str">
        <f t="shared" si="26"/>
        <v/>
      </c>
      <c r="DC23" s="479" t="str">
        <f t="shared" si="27"/>
        <v/>
      </c>
      <c r="DD23" s="479" t="str">
        <f t="shared" si="28"/>
        <v/>
      </c>
      <c r="DE23" s="479" t="str">
        <f t="shared" si="29"/>
        <v/>
      </c>
      <c r="DF23" s="479" t="str">
        <f t="shared" si="30"/>
        <v/>
      </c>
      <c r="DG23" s="574" t="str">
        <f t="shared" si="31"/>
        <v/>
      </c>
      <c r="DH23" s="216">
        <f t="shared" si="32"/>
        <v>0</v>
      </c>
      <c r="DI23" s="216">
        <f t="shared" si="33"/>
        <v>0</v>
      </c>
      <c r="DJ23" s="216">
        <f t="shared" si="34"/>
        <v>0</v>
      </c>
      <c r="DK23" s="216">
        <f t="shared" si="35"/>
        <v>0</v>
      </c>
      <c r="DL23" s="216">
        <f t="shared" si="36"/>
        <v>0</v>
      </c>
      <c r="DM23" s="216"/>
      <c r="DN23" s="216"/>
      <c r="DO23" s="216"/>
      <c r="DP23" s="216"/>
      <c r="DQ23" s="216"/>
      <c r="DR23" s="216"/>
      <c r="DS23" s="216"/>
      <c r="DT23" s="216"/>
      <c r="DU23" s="216"/>
      <c r="DV23" s="216"/>
      <c r="DW23" s="1371">
        <f t="shared" si="37"/>
        <v>0</v>
      </c>
      <c r="DX23" s="216">
        <f t="shared" si="38"/>
        <v>0</v>
      </c>
      <c r="DY23" s="440">
        <f t="shared" si="39"/>
        <v>0</v>
      </c>
      <c r="DZ23" s="180">
        <f t="shared" si="40"/>
        <v>0</v>
      </c>
      <c r="EA23" s="180">
        <f t="shared" si="41"/>
        <v>0</v>
      </c>
      <c r="EB23" s="180">
        <f t="shared" si="42"/>
        <v>0</v>
      </c>
      <c r="EC23" s="180">
        <f t="shared" si="43"/>
        <v>0</v>
      </c>
      <c r="ED23" s="180">
        <f t="shared" si="44"/>
        <v>0</v>
      </c>
      <c r="EE23" s="581">
        <f t="shared" si="45"/>
        <v>0</v>
      </c>
      <c r="EF23" s="554">
        <f t="shared" si="46"/>
        <v>0</v>
      </c>
      <c r="EG23" s="554">
        <f t="shared" si="47"/>
        <v>0</v>
      </c>
      <c r="EH23" s="554">
        <f t="shared" si="48"/>
        <v>0</v>
      </c>
      <c r="EI23" s="561">
        <f t="shared" si="49"/>
        <v>0</v>
      </c>
      <c r="EJ23" s="581">
        <f t="shared" si="132"/>
        <v>0</v>
      </c>
      <c r="EK23" s="554">
        <f t="shared" si="133"/>
        <v>0</v>
      </c>
      <c r="EL23" s="554">
        <f t="shared" si="134"/>
        <v>0</v>
      </c>
      <c r="EM23" s="554">
        <f t="shared" si="135"/>
        <v>0</v>
      </c>
      <c r="EN23" s="561">
        <f t="shared" si="136"/>
        <v>0</v>
      </c>
      <c r="EO23" s="180">
        <f t="shared" si="50"/>
        <v>0</v>
      </c>
      <c r="EP23" s="180">
        <f t="shared" si="51"/>
        <v>0</v>
      </c>
      <c r="EQ23" s="180">
        <f t="shared" si="52"/>
        <v>0</v>
      </c>
      <c r="ER23" s="180">
        <f t="shared" si="53"/>
        <v>0</v>
      </c>
      <c r="ES23" s="180">
        <f t="shared" si="54"/>
        <v>0</v>
      </c>
      <c r="ET23" s="1482">
        <f t="shared" si="55"/>
        <v>0</v>
      </c>
      <c r="EU23" s="180">
        <f t="shared" si="56"/>
        <v>0</v>
      </c>
      <c r="EV23" s="180">
        <f t="shared" si="57"/>
        <v>0</v>
      </c>
      <c r="EW23" s="180">
        <f t="shared" si="58"/>
        <v>0</v>
      </c>
      <c r="EX23" s="555">
        <f t="shared" si="59"/>
        <v>0</v>
      </c>
      <c r="EY23" s="180">
        <f t="shared" si="137"/>
        <v>0</v>
      </c>
      <c r="EZ23" s="180">
        <f t="shared" si="138"/>
        <v>0</v>
      </c>
      <c r="FA23" s="180">
        <f t="shared" si="139"/>
        <v>0</v>
      </c>
      <c r="FB23" s="180">
        <f t="shared" si="140"/>
        <v>0</v>
      </c>
      <c r="FC23" s="180">
        <f t="shared" si="141"/>
        <v>0</v>
      </c>
      <c r="FD23" s="262">
        <f>IF(AX23,IF(VLOOKUP(C23,MAIN!$L$17:$M$28,2)="Yes",VLOOKUP(CALC!B23,MAIN!$H$17:$I$20,2),0),0)</f>
        <v>0</v>
      </c>
      <c r="FE23" s="623">
        <f t="shared" si="60"/>
        <v>0</v>
      </c>
      <c r="FF23" s="535">
        <f t="shared" si="61"/>
        <v>0</v>
      </c>
      <c r="FG23" s="535">
        <f t="shared" si="62"/>
        <v>0</v>
      </c>
      <c r="FH23" s="624">
        <f t="shared" si="63"/>
        <v>0</v>
      </c>
      <c r="FI23" s="632">
        <f>IF(AX23,VLOOKUP(CALC!B23,MAIN!$H$17:$K$20,4),0)</f>
        <v>0</v>
      </c>
      <c r="FJ23" s="535">
        <f t="shared" si="64"/>
        <v>0</v>
      </c>
      <c r="FK23" s="648">
        <f t="shared" si="142"/>
        <v>0</v>
      </c>
      <c r="FL23" s="530">
        <f t="shared" si="143"/>
        <v>0</v>
      </c>
      <c r="FM23" s="530">
        <f t="shared" si="144"/>
        <v>0</v>
      </c>
      <c r="FN23" s="530">
        <f t="shared" si="145"/>
        <v>0</v>
      </c>
      <c r="FO23" s="622">
        <f t="shared" si="146"/>
        <v>0</v>
      </c>
      <c r="FP23" s="530">
        <f t="shared" si="147"/>
        <v>0</v>
      </c>
      <c r="FQ23" s="530">
        <f t="shared" si="148"/>
        <v>0</v>
      </c>
      <c r="FR23" s="530">
        <f t="shared" si="149"/>
        <v>0</v>
      </c>
      <c r="FS23" s="625">
        <f t="shared" si="150"/>
        <v>0</v>
      </c>
      <c r="FT23" s="640">
        <f>IF(AND(Assumptions!$H$71="Yes",A23&gt;=Assumptions!$H$72,A23&lt;=Assumptions!$H$73),0,IF(AND($A23&gt;=Assumptions!$C$17,$A23&lt;=Assumptions!$C$18),MAX(AZ23*(1+VLOOKUP($C23,WeatherCapacityAdjustment,2))-FL23,0),0))</f>
        <v>0</v>
      </c>
      <c r="FU23" s="530">
        <f>IF(AND(Assumptions!$H$71="Yes",A23&gt;=Assumptions!$H$72,A23&lt;=Assumptions!$H$73),0,IF(AND($A23&gt;=Assumptions!$C$17,$A23&lt;=Assumptions!$C$18),MAX(BA23*(1+VLOOKUP($C23,WeatherCapacityAdjustment,2))-FM23,0),0))</f>
        <v>0</v>
      </c>
      <c r="FV23" s="530">
        <f>IF(AND(Assumptions!$H$71="Yes",A23&gt;=Assumptions!$H$72,A23&lt;=Assumptions!$H$73),0,IF(AND($A23&gt;=Assumptions!$C$17,$A23&lt;=Assumptions!$C$18),MAX(BB23*(1+VLOOKUP($C23,WeatherCapacityAdjustment,2))-FN23,0),0))</f>
        <v>0</v>
      </c>
      <c r="FW23" s="622">
        <f>IF(AND(Assumptions!$H$71="Yes",A23&gt;=Assumptions!$H$72,A23&lt;=Assumptions!$H$73),0,IF(AND($A23&gt;=Assumptions!$C$17,$A23&lt;=Assumptions!$C$18),MAX(BC23*(1+VLOOKUP($C23,WeatherCapacityAdjustment,3))-FO23,0),0))</f>
        <v>0</v>
      </c>
      <c r="FX23" s="621">
        <f>IF(AND(Assumptions!$H$71="Yes",A23&gt;=Assumptions!$H$72,A23&lt;=Assumptions!$H$73),0,IF(ET23&gt;0,MAX(BH23*(1+VLOOKUP($C23,WeatherCapacityAdjustment,2))-FP23,0),0))</f>
        <v>0</v>
      </c>
      <c r="FY23" s="530">
        <f>IF(AND(Assumptions!$H$71="Yes",A23&gt;=Assumptions!$H$72,A23&lt;=Assumptions!$H$73),0,IF(EU23&gt;0,MAX(BI23*(1+VLOOKUP($C23,WeatherCapacityAdjustment,3))-FQ23,0),0))</f>
        <v>0</v>
      </c>
      <c r="FZ23" s="530">
        <f>IF(AND(Assumptions!$H$71="Yes",A23&gt;=Assumptions!$H$72,A23&lt;=Assumptions!$H$73),0,IF(EV23&gt;0,MAX(BJ23*(1+VLOOKUP($C23,WeatherCapacityAdjustment,2))-FR23,0),0))</f>
        <v>0</v>
      </c>
      <c r="GA23" s="622">
        <f>IF(AND(Assumptions!$H$71="Yes",A23&gt;=Assumptions!$H$72,A23&lt;=Assumptions!$H$73),0,IF(EW23&gt;0,MAX(BK23*(1+VLOOKUP($C23,WeatherCapacityAdjustment,2))-FS23,0),0))</f>
        <v>0</v>
      </c>
      <c r="GB23" s="530">
        <f t="shared" si="65"/>
        <v>0</v>
      </c>
      <c r="GC23" s="545">
        <f t="shared" si="66"/>
        <v>0</v>
      </c>
      <c r="GD23" s="530">
        <f t="shared" si="67"/>
        <v>0</v>
      </c>
      <c r="GE23" s="1485">
        <f t="shared" si="151"/>
        <v>0</v>
      </c>
      <c r="GF23" s="1776">
        <f t="shared" si="168"/>
        <v>0</v>
      </c>
      <c r="GG23" s="545">
        <f t="shared" si="169"/>
        <v>0</v>
      </c>
      <c r="GH23" s="622">
        <f t="shared" si="170"/>
        <v>0</v>
      </c>
      <c r="GI23" s="621">
        <f t="shared" si="152"/>
        <v>0</v>
      </c>
      <c r="GJ23" s="638">
        <f t="shared" si="68"/>
        <v>0</v>
      </c>
      <c r="GK23" s="625">
        <f t="shared" si="166"/>
        <v>0</v>
      </c>
      <c r="GL23" s="640">
        <f t="shared" si="69"/>
        <v>0</v>
      </c>
      <c r="GM23" s="530">
        <f t="shared" si="70"/>
        <v>0</v>
      </c>
      <c r="GN23" s="530">
        <f t="shared" si="71"/>
        <v>0</v>
      </c>
      <c r="GO23" s="622">
        <f t="shared" si="72"/>
        <v>0</v>
      </c>
      <c r="GP23" s="530">
        <f t="shared" si="73"/>
        <v>0</v>
      </c>
      <c r="GQ23" s="545">
        <f t="shared" si="74"/>
        <v>0</v>
      </c>
      <c r="GR23" s="625">
        <f t="shared" si="75"/>
        <v>0</v>
      </c>
      <c r="GS23" s="640">
        <f>IF($A23&gt;=BegDate,Assumptions!$C$56*24*($A24-$A23)*(1-VLOOKUP($B23,MAIN!$AA$7:$AM$28,$C23+1))*(1-VLOOKUP($B23,MAIN!$AA$33:$AM$54,$C23+1)),0)*80/168</f>
        <v>0</v>
      </c>
      <c r="GT23" s="1715">
        <f t="shared" si="153"/>
        <v>33.600200000000001</v>
      </c>
      <c r="GU23" s="1715">
        <f>IF($A23&gt;=BegDate,VLOOKUP($A23,GasTable,13)+Assumptions!$C$58,0)</f>
        <v>0</v>
      </c>
      <c r="GV23" s="1715">
        <f>GU23*Assumptions!$C$57/1000</f>
        <v>0</v>
      </c>
      <c r="GW23" s="625">
        <f>IF(Assumptions!$C$60="Hourly",MAX(0,GS23*(GT23-GV23)),GS23*(GT23-GV23))</f>
        <v>0</v>
      </c>
      <c r="GX23" s="640">
        <f>IF($A23&gt;=BegDate,Assumptions!$C$56*24*($A24-$A23)*(1-VLOOKUP($B23,MAIN!$AA$7:$AM$28,$C23+1))*(1-VLOOKUP($B23,MAIN!$AA$33:$AM$54,$C23+1)),0)*16/168</f>
        <v>0</v>
      </c>
      <c r="GY23" s="1715">
        <f t="shared" si="154"/>
        <v>33.600200000000001</v>
      </c>
      <c r="GZ23" s="1715">
        <f>IF($A23&gt;=BegDate,VLOOKUP($A23,GasTable,13)+Assumptions!$C$58,0)</f>
        <v>0</v>
      </c>
      <c r="HA23" s="1715">
        <f>GZ23*Assumptions!$C$57/1000</f>
        <v>0</v>
      </c>
      <c r="HB23" s="625">
        <f>IF(Assumptions!$C$60="Hourly",MAX(0,GX23*(GY23-HA23)),GX23*(GY23-HA23))</f>
        <v>0</v>
      </c>
      <c r="HC23" s="640">
        <f>IF($A23&gt;=BegDate,Assumptions!$C$56*24*($A24-$A23)*(1-VLOOKUP($B23,MAIN!$AA$7:$AM$28,$C23+1))*(1-VLOOKUP($B23,MAIN!$AA$33:$AM$54,$C23+1)),0)*16/168</f>
        <v>0</v>
      </c>
      <c r="HD23" s="1715">
        <f t="shared" si="155"/>
        <v>24.5106</v>
      </c>
      <c r="HE23" s="1715">
        <f>IF($A23&gt;=BegDate,VLOOKUP($A23,GasTable,13)+Assumptions!$C$58,0)</f>
        <v>0</v>
      </c>
      <c r="HF23" s="1715">
        <f>HE23*Assumptions!$C$57/1000</f>
        <v>0</v>
      </c>
      <c r="HG23" s="625">
        <f>IF(Assumptions!$C$60="Hourly",MAX(0,HC23*(HD23-HF23)),HC23*(HD23-HF23))</f>
        <v>0</v>
      </c>
      <c r="HH23" s="640">
        <f>IF($A23&gt;=BegDate,Assumptions!$C$56*24*($A24-$A23)*(1-VLOOKUP($B23,MAIN!$AA$7:$AM$28,$C23+1))*(1-VLOOKUP($B23,MAIN!$AA$33:$AM$54,$C23+1)),0)*56/168</f>
        <v>0</v>
      </c>
      <c r="HI23" s="1715">
        <f t="shared" si="156"/>
        <v>24.5106</v>
      </c>
      <c r="HJ23" s="1715">
        <f>IF($A23&gt;=BegDate,VLOOKUP($A23,GasTable,13)+Assumptions!$C$58,0)</f>
        <v>0</v>
      </c>
      <c r="HK23" s="1715">
        <f>HJ23*Assumptions!$C$57/1000</f>
        <v>0</v>
      </c>
      <c r="HL23" s="625">
        <f>IF(Assumptions!$C$60="Hourly",MAX(0,HH23*(HI23-HK23)),HH23*(HI23-HK23))</f>
        <v>0</v>
      </c>
      <c r="HM23" s="640">
        <f>IF(AND(Assumptions!$H$71="Yes",A23&gt;=Assumptions!$H$72,A23&lt;=Assumptions!$H$73),Assumptions!$H$74*Assumptions!$C$9*1000,0)</f>
        <v>0</v>
      </c>
      <c r="HN23" s="625"/>
      <c r="HO23" s="1414">
        <f t="shared" si="167"/>
        <v>2009</v>
      </c>
      <c r="HP23" s="640">
        <f t="shared" si="76"/>
        <v>0</v>
      </c>
      <c r="HQ23" s="154">
        <f t="shared" si="157"/>
        <v>0</v>
      </c>
      <c r="HR23" s="622">
        <f t="shared" si="77"/>
        <v>0</v>
      </c>
      <c r="HS23" s="621">
        <f t="shared" ca="1" si="78"/>
        <v>6006240</v>
      </c>
      <c r="HT23" s="545">
        <f t="shared" ca="1" si="158"/>
        <v>40.416637908782057</v>
      </c>
      <c r="HU23" s="530">
        <f t="shared" ca="1" si="79"/>
        <v>242752027.27324316</v>
      </c>
      <c r="HV23" s="621">
        <f t="shared" ca="1" si="159"/>
        <v>242752027.27324316</v>
      </c>
      <c r="HW23" s="530">
        <f t="shared" ca="1" si="80"/>
        <v>791642.05566162092</v>
      </c>
      <c r="HX23" s="530">
        <f t="shared" ca="1" si="81"/>
        <v>5481481.8881055359</v>
      </c>
      <c r="HY23" s="530">
        <f>IF(Assumptions!$L$24="Yes",HW23+HX23,0)</f>
        <v>0</v>
      </c>
      <c r="HZ23" s="640">
        <f t="shared" ca="1" si="160"/>
        <v>42537722.572799996</v>
      </c>
      <c r="IA23" s="545">
        <f t="shared" ca="1" si="161"/>
        <v>-2.9234737089874554</v>
      </c>
      <c r="IB23" s="622">
        <f t="shared" ca="1" si="82"/>
        <v>-124357913.58178301</v>
      </c>
      <c r="IC23" s="621">
        <f t="shared" ca="1" si="83"/>
        <v>6006240</v>
      </c>
      <c r="ID23" s="545">
        <f t="shared" ca="1" si="162"/>
        <v>-2.0270923546751995</v>
      </c>
      <c r="IE23" s="622">
        <f t="shared" ca="1" si="84"/>
        <v>-12175203.18434437</v>
      </c>
      <c r="IF23" s="530">
        <f t="shared" ca="1" si="85"/>
        <v>0</v>
      </c>
      <c r="IG23" s="545">
        <f t="shared" ca="1" si="163"/>
        <v>0</v>
      </c>
      <c r="IH23" s="622">
        <f t="shared" ca="1" si="86"/>
        <v>0</v>
      </c>
      <c r="II23" s="1645">
        <f>(SUMIF($B$17:$B$292,HO23,$GW$17:$GW$292)+SUMIF($B$17:$B$292,HO23,$HB$17:$HB$292)+SUMIF($B$17:$B$292,HO23,$HG$17:$HG$292)+SUMIF($B$17:$B$292,HO23,$HL$17:$HL$292))*Assumptions!$C$59</f>
        <v>1171653.3511612045</v>
      </c>
      <c r="IJ23" s="1463">
        <f t="shared" si="164"/>
        <v>0</v>
      </c>
      <c r="IK23" s="1463"/>
    </row>
    <row r="24" spans="1:245">
      <c r="A24" s="177">
        <f t="shared" si="87"/>
        <v>36861</v>
      </c>
      <c r="B24" s="349">
        <f t="shared" si="88"/>
        <v>2000</v>
      </c>
      <c r="C24" s="15">
        <f t="shared" si="89"/>
        <v>12</v>
      </c>
      <c r="D24" s="612" t="str">
        <f>IF(E24="","",Holiday(B24,C24))</f>
        <v/>
      </c>
      <c r="E24" s="609" t="str">
        <f t="shared" si="91"/>
        <v/>
      </c>
      <c r="F24" s="614" t="str">
        <f t="shared" si="2"/>
        <v/>
      </c>
      <c r="G24" s="1349">
        <v>0</v>
      </c>
      <c r="H24" s="152">
        <f t="shared" si="165"/>
        <v>1</v>
      </c>
      <c r="I24" s="154">
        <f>IF(Assumptions!$L$25=4,VLOOKUP($A24,'Henwood Reference'!$E$9:$R$320,10),(VLOOKUP($A24,PriceTable,2,0)+IF(BasisNumber&lt;&gt;1,VLOOKUP($A24,BasisTable,2,0),0)+I$1)/(1-I$2))</f>
        <v>33.7331</v>
      </c>
      <c r="J24" s="154">
        <f>IF(Assumptions!$L$25=4,VLOOKUP($A24,'Henwood Reference'!$E$9:$R$320,10),(VLOOKUP($A24,PriceTable,3,0)+IF(BasisNumber&lt;&gt;1,VLOOKUP($A24,BasisTable,2,0),0)+J$1)/(1-J$2))</f>
        <v>33.7331</v>
      </c>
      <c r="K24" s="154">
        <f>IF(Assumptions!$L$25=4,VLOOKUP($A24,'Henwood Reference'!$E$9:$R$320,10),(VLOOKUP($A24,PriceTable,4,0)+IF(BasisNumber&lt;&gt;1,VLOOKUP($A24,BasisTable,2,0),0)+K$1)/(1-K$2))</f>
        <v>33.7331</v>
      </c>
      <c r="L24" s="474">
        <f>IF(Assumptions!$L$25=4,VLOOKUP($A24,'Henwood Reference'!$E$9:$R$320,10),(VLOOKUP($A24,PriceTableWeekend,2,0)+IF(BasisNumber&lt;&gt;1,VLOOKUP($A24,BasisTable,2,0),0)+L$1)/(1-L$2))</f>
        <v>33.7331</v>
      </c>
      <c r="M24" s="154">
        <f>IF(Assumptions!$L$25=4,VLOOKUP($A24,'Henwood Reference'!$E$9:$R$320,10),(VLOOKUP($A24,PriceTableWeekend,3,0)+IF(BasisNumber&lt;&gt;1,VLOOKUP($A24,BasisTable,2,0),0)+M$1)/(1-M$2))</f>
        <v>33.7331</v>
      </c>
      <c r="N24" s="156">
        <f>IF(Assumptions!$L$25=4,VLOOKUP($A24,'Henwood Reference'!$E$9:$R$320,10),(VLOOKUP($A24,PriceTableWeekend,4,0)+IF(BasisNumber&lt;&gt;1,VLOOKUP($A24,BasisTable,2,0),0)+N$1)/(1-N$2))</f>
        <v>33.7331</v>
      </c>
      <c r="O24" s="154">
        <f>IF(Assumptions!$L$25=4,VLOOKUP($A24,'Henwood Reference'!$E$9:$R$320,11),(VLOOKUP($A24,PriceTableWeekend,6,0)+IF(BasisNumber&lt;&gt;1,VLOOKUP($A24,BasisTable,3,0),0)+O$1)/(1-O$2))</f>
        <v>23.7532</v>
      </c>
      <c r="P24" s="154">
        <f>IF(Assumptions!$L$25=4,VLOOKUP($A24,'Henwood Reference'!$E$9:$R$320,11),(VLOOKUP($A24,PriceTableWeekend,7,0)+IF(BasisNumber&lt;&gt;1,VLOOKUP($A24,BasisTable,3,0),0)+P$1)/(1-P$2))</f>
        <v>23.7532</v>
      </c>
      <c r="Q24" s="156">
        <f>IF(Assumptions!$L$25=4,VLOOKUP($A24,'Henwood Reference'!$E$9:$R$320,11),(VLOOKUP($A24,PriceTableWeekend,8,0)+IF(BasisNumber&lt;&gt;1,VLOOKUP($A24,BasisTable,3,0),0)+Q$1)/(1-Q$2))</f>
        <v>23.7532</v>
      </c>
      <c r="R24" s="154">
        <f>IF(Assumptions!$L$25=4,VLOOKUP($A24,'Henwood Reference'!$E$9:$R$320,11),(VLOOKUP($A24,PriceTable,6,0)+IF(BasisNumber&lt;&gt;1,VLOOKUP($A24,BasisTable,3,0),0)+R$1)/(1-R$2))</f>
        <v>23.7532</v>
      </c>
      <c r="S24" s="154">
        <f>IF(Assumptions!$L$25=4,VLOOKUP($A24,'Henwood Reference'!$E$9:$R$320,11),(VLOOKUP($A24,PriceTable,7,0)+IF(BasisNumber&lt;&gt;1,VLOOKUP($A24,BasisTable,3,0),0)+S$1)/(1-S$2))</f>
        <v>23.7532</v>
      </c>
      <c r="T24" s="155">
        <f>IF(Assumptions!$L$25=4,VLOOKUP($A24,'Henwood Reference'!$E$9:$R$320,11),(VLOOKUP($A24,PriceTable,8,0)+IF(BasisNumber&lt;&gt;1,VLOOKUP($A24,BasisTable,3,0),0)+T$1)/(1-T$2))</f>
        <v>23.7532</v>
      </c>
      <c r="U24" s="173">
        <f t="shared" si="92"/>
        <v>0.22</v>
      </c>
      <c r="V24" s="173">
        <f t="shared" si="93"/>
        <v>0.2</v>
      </c>
      <c r="W24" s="174">
        <f t="shared" si="94"/>
        <v>0.28000000000000003</v>
      </c>
      <c r="X24" s="173">
        <f t="shared" si="95"/>
        <v>0.22</v>
      </c>
      <c r="Y24" s="173">
        <f t="shared" si="96"/>
        <v>0.2</v>
      </c>
      <c r="Z24" s="174">
        <f t="shared" si="97"/>
        <v>0.28000000000000003</v>
      </c>
      <c r="AA24" s="173">
        <f t="shared" si="98"/>
        <v>0.05</v>
      </c>
      <c r="AB24" s="173">
        <f t="shared" si="99"/>
        <v>0.11</v>
      </c>
      <c r="AC24" s="174">
        <f t="shared" si="100"/>
        <v>0.15</v>
      </c>
      <c r="AD24" s="173">
        <f t="shared" si="101"/>
        <v>0.05</v>
      </c>
      <c r="AE24" s="173">
        <f t="shared" si="102"/>
        <v>0.11</v>
      </c>
      <c r="AF24" s="174">
        <f t="shared" si="103"/>
        <v>0.15</v>
      </c>
      <c r="AG24" s="173">
        <f t="shared" si="104"/>
        <v>-0.25</v>
      </c>
      <c r="AH24" s="173">
        <f t="shared" si="105"/>
        <v>0.6</v>
      </c>
      <c r="AI24" s="174">
        <f t="shared" si="106"/>
        <v>0.25</v>
      </c>
      <c r="AJ24" s="173">
        <f t="shared" si="107"/>
        <v>-0.25</v>
      </c>
      <c r="AK24" s="173">
        <f t="shared" si="108"/>
        <v>0.6</v>
      </c>
      <c r="AL24" s="174">
        <f t="shared" si="109"/>
        <v>0.25</v>
      </c>
      <c r="AM24" s="173">
        <f t="shared" si="110"/>
        <v>-0.01</v>
      </c>
      <c r="AN24" s="173">
        <f t="shared" si="111"/>
        <v>0.16</v>
      </c>
      <c r="AO24" s="174">
        <f t="shared" si="112"/>
        <v>0.01</v>
      </c>
      <c r="AP24" s="173">
        <f t="shared" si="113"/>
        <v>-0.01</v>
      </c>
      <c r="AQ24" s="173">
        <f t="shared" si="114"/>
        <v>0.16</v>
      </c>
      <c r="AR24" s="175">
        <f t="shared" si="115"/>
        <v>0.01</v>
      </c>
      <c r="AS24" s="521">
        <f t="shared" si="116"/>
        <v>0.5</v>
      </c>
      <c r="AT24" s="349">
        <f>AX24-SUM(AU24:AW24)</f>
        <v>0</v>
      </c>
      <c r="AU24" s="159">
        <f t="shared" si="3"/>
        <v>0</v>
      </c>
      <c r="AV24" s="159">
        <f t="shared" si="4"/>
        <v>0</v>
      </c>
      <c r="AW24" s="159">
        <f>IF(OR(E24="",D24="",D24&lt;BegDate,D24&gt;EndDate),0,1)</f>
        <v>0</v>
      </c>
      <c r="AX24" s="15">
        <f t="shared" si="119"/>
        <v>0</v>
      </c>
      <c r="AY24" s="607">
        <f>IF(E24="",0,MIN((1-(1-VLOOKUP(B24,MAIN!$AA$7:$AM$28,C24+1))*(1-VLOOKUP(B24,MAIN!$AA$33:$AM$54,C24+1))),1))</f>
        <v>0</v>
      </c>
      <c r="AZ24" s="259">
        <v>0</v>
      </c>
      <c r="BA24" s="263">
        <v>0</v>
      </c>
      <c r="BB24" s="263">
        <v>0</v>
      </c>
      <c r="BC24" s="510">
        <v>0</v>
      </c>
      <c r="BD24" s="512">
        <v>0</v>
      </c>
      <c r="BE24" s="513">
        <v>0</v>
      </c>
      <c r="BF24" s="513">
        <v>0</v>
      </c>
      <c r="BG24" s="514">
        <v>0</v>
      </c>
      <c r="BH24" s="261">
        <v>0</v>
      </c>
      <c r="BI24" s="263">
        <v>0</v>
      </c>
      <c r="BJ24" s="263">
        <v>0</v>
      </c>
      <c r="BK24" s="510">
        <v>0</v>
      </c>
      <c r="BL24" s="512">
        <v>0</v>
      </c>
      <c r="BM24" s="513">
        <v>0</v>
      </c>
      <c r="BN24" s="513">
        <v>0</v>
      </c>
      <c r="BO24" s="513">
        <v>0</v>
      </c>
      <c r="BP24" s="261">
        <f t="shared" si="120"/>
        <v>0</v>
      </c>
      <c r="BQ24" s="578">
        <f t="shared" si="121"/>
        <v>0</v>
      </c>
      <c r="BR24" s="259">
        <f t="shared" si="122"/>
        <v>0</v>
      </c>
      <c r="BS24" s="578">
        <f t="shared" si="123"/>
        <v>0</v>
      </c>
      <c r="BT24" s="216">
        <f t="shared" si="124"/>
        <v>0.63244353182751545</v>
      </c>
      <c r="BU24" s="218">
        <f t="shared" si="5"/>
        <v>0</v>
      </c>
      <c r="BV24" s="216">
        <f t="shared" si="6"/>
        <v>0</v>
      </c>
      <c r="BW24" s="216">
        <f t="shared" si="7"/>
        <v>0</v>
      </c>
      <c r="BX24" s="216">
        <f t="shared" si="125"/>
        <v>0</v>
      </c>
      <c r="BY24" s="216">
        <f t="shared" si="8"/>
        <v>0</v>
      </c>
      <c r="BZ24" s="216">
        <f t="shared" si="9"/>
        <v>0</v>
      </c>
      <c r="CA24" s="264">
        <f t="shared" si="10"/>
        <v>0</v>
      </c>
      <c r="CB24" s="216">
        <f t="shared" si="11"/>
        <v>0</v>
      </c>
      <c r="CC24" s="216">
        <f t="shared" si="12"/>
        <v>0</v>
      </c>
      <c r="CD24" s="216">
        <f t="shared" si="126"/>
        <v>0</v>
      </c>
      <c r="CE24" s="216">
        <f t="shared" si="13"/>
        <v>0</v>
      </c>
      <c r="CF24" s="571">
        <f t="shared" si="14"/>
        <v>0</v>
      </c>
      <c r="CG24" s="573" t="str">
        <f t="shared" si="15"/>
        <v/>
      </c>
      <c r="CH24" s="219" t="str">
        <f t="shared" si="16"/>
        <v/>
      </c>
      <c r="CI24" s="219" t="str">
        <f t="shared" si="17"/>
        <v/>
      </c>
      <c r="CJ24" s="219" t="str">
        <f t="shared" si="18"/>
        <v/>
      </c>
      <c r="CK24" s="219" t="str">
        <f t="shared" si="19"/>
        <v/>
      </c>
      <c r="CL24" s="219" t="str">
        <f t="shared" si="20"/>
        <v/>
      </c>
      <c r="CM24" s="219" t="str">
        <f t="shared" si="21"/>
        <v/>
      </c>
      <c r="CN24" s="569" t="str">
        <f t="shared" si="22"/>
        <v/>
      </c>
      <c r="CO24" s="264">
        <f>IF(OR(BQ24,BS24),VLOOKUP(A24,GasTable,13)*HeatRatePeak*VLOOKUP($B24,MAIN!$AB$59:$AM$80,$C24+1)/1000,0)</f>
        <v>0</v>
      </c>
      <c r="CP24" s="216">
        <f t="shared" si="127"/>
        <v>0</v>
      </c>
      <c r="CQ24" s="216">
        <f t="shared" si="128"/>
        <v>0</v>
      </c>
      <c r="CR24" s="216">
        <f t="shared" si="129"/>
        <v>0</v>
      </c>
      <c r="CS24" s="1626">
        <f t="shared" si="130"/>
        <v>0</v>
      </c>
      <c r="CT24" s="216">
        <f t="shared" si="131"/>
        <v>0</v>
      </c>
      <c r="CU24" s="575" t="str">
        <f t="shared" si="23"/>
        <v/>
      </c>
      <c r="CV24" s="154" t="str">
        <f t="shared" si="24"/>
        <v/>
      </c>
      <c r="CW24" s="216">
        <f>IF(OR($BQ24,$BS24),SpreadOptPowerMargin,0)*((1+Assumptions!$C$26)^($B24-YEAR(Assumptions!$C$17)))</f>
        <v>0</v>
      </c>
      <c r="CX24" s="216">
        <f>IF(OR($BQ24,$BS24),SpreadOptPowerMargin,0)*((1+Assumptions!$C$26)^($B24-YEAR(Assumptions!$C$17)))</f>
        <v>0</v>
      </c>
      <c r="CY24" s="216">
        <f>IF(OR($BQ24,$BS24),SpreadOptPowerMargin,0)*((1+Assumptions!$C$26)^($B24-YEAR(Assumptions!$C$17)))</f>
        <v>0</v>
      </c>
      <c r="CZ24" s="216">
        <f>IF(OR($BQ24,$BS24),SpreadOptPowerMargin,0)*((1+Assumptions!$C$26)^($B24-YEAR(Assumptions!$C$17)))</f>
        <v>0</v>
      </c>
      <c r="DA24" s="440">
        <f t="shared" si="25"/>
        <v>0</v>
      </c>
      <c r="DB24" s="479" t="str">
        <f t="shared" si="26"/>
        <v/>
      </c>
      <c r="DC24" s="479" t="str">
        <f t="shared" si="27"/>
        <v/>
      </c>
      <c r="DD24" s="479" t="str">
        <f t="shared" si="28"/>
        <v/>
      </c>
      <c r="DE24" s="479" t="str">
        <f t="shared" si="29"/>
        <v/>
      </c>
      <c r="DF24" s="479" t="str">
        <f t="shared" si="30"/>
        <v/>
      </c>
      <c r="DG24" s="574" t="str">
        <f t="shared" si="31"/>
        <v/>
      </c>
      <c r="DH24" s="216">
        <f t="shared" si="32"/>
        <v>0</v>
      </c>
      <c r="DI24" s="216">
        <f t="shared" si="33"/>
        <v>0</v>
      </c>
      <c r="DJ24" s="216">
        <f t="shared" si="34"/>
        <v>0</v>
      </c>
      <c r="DK24" s="216">
        <f t="shared" si="35"/>
        <v>0</v>
      </c>
      <c r="DL24" s="216">
        <f t="shared" si="36"/>
        <v>0</v>
      </c>
      <c r="DM24" s="216"/>
      <c r="DN24" s="216"/>
      <c r="DO24" s="216"/>
      <c r="DP24" s="216"/>
      <c r="DQ24" s="216"/>
      <c r="DR24" s="216"/>
      <c r="DS24" s="216"/>
      <c r="DT24" s="216"/>
      <c r="DU24" s="216"/>
      <c r="DV24" s="216"/>
      <c r="DW24" s="1371">
        <f t="shared" si="37"/>
        <v>0</v>
      </c>
      <c r="DX24" s="216">
        <f t="shared" si="38"/>
        <v>0</v>
      </c>
      <c r="DY24" s="440">
        <f t="shared" si="39"/>
        <v>0</v>
      </c>
      <c r="DZ24" s="180">
        <f t="shared" si="40"/>
        <v>0</v>
      </c>
      <c r="EA24" s="180">
        <f t="shared" si="41"/>
        <v>0</v>
      </c>
      <c r="EB24" s="180">
        <f t="shared" si="42"/>
        <v>0</v>
      </c>
      <c r="EC24" s="180">
        <f t="shared" si="43"/>
        <v>0</v>
      </c>
      <c r="ED24" s="180">
        <f t="shared" si="44"/>
        <v>0</v>
      </c>
      <c r="EE24" s="581">
        <f t="shared" si="45"/>
        <v>0</v>
      </c>
      <c r="EF24" s="554">
        <f t="shared" si="46"/>
        <v>0</v>
      </c>
      <c r="EG24" s="554">
        <f t="shared" si="47"/>
        <v>0</v>
      </c>
      <c r="EH24" s="554">
        <f t="shared" si="48"/>
        <v>0</v>
      </c>
      <c r="EI24" s="561">
        <f t="shared" si="49"/>
        <v>0</v>
      </c>
      <c r="EJ24" s="581">
        <f t="shared" si="132"/>
        <v>0</v>
      </c>
      <c r="EK24" s="554">
        <f t="shared" si="133"/>
        <v>0</v>
      </c>
      <c r="EL24" s="554">
        <f t="shared" si="134"/>
        <v>0</v>
      </c>
      <c r="EM24" s="554">
        <f t="shared" si="135"/>
        <v>0</v>
      </c>
      <c r="EN24" s="561">
        <f t="shared" si="136"/>
        <v>0</v>
      </c>
      <c r="EO24" s="180">
        <f t="shared" si="50"/>
        <v>0</v>
      </c>
      <c r="EP24" s="180">
        <f t="shared" si="51"/>
        <v>0</v>
      </c>
      <c r="EQ24" s="180">
        <f t="shared" si="52"/>
        <v>0</v>
      </c>
      <c r="ER24" s="180">
        <f t="shared" si="53"/>
        <v>0</v>
      </c>
      <c r="ES24" s="180">
        <f t="shared" si="54"/>
        <v>0</v>
      </c>
      <c r="ET24" s="1482">
        <f t="shared" si="55"/>
        <v>0</v>
      </c>
      <c r="EU24" s="180">
        <f t="shared" si="56"/>
        <v>0</v>
      </c>
      <c r="EV24" s="180">
        <f t="shared" si="57"/>
        <v>0</v>
      </c>
      <c r="EW24" s="180">
        <f t="shared" si="58"/>
        <v>0</v>
      </c>
      <c r="EX24" s="555">
        <f t="shared" si="59"/>
        <v>0</v>
      </c>
      <c r="EY24" s="180">
        <f t="shared" si="137"/>
        <v>0</v>
      </c>
      <c r="EZ24" s="180">
        <f t="shared" si="138"/>
        <v>0</v>
      </c>
      <c r="FA24" s="180">
        <f t="shared" si="139"/>
        <v>0</v>
      </c>
      <c r="FB24" s="180">
        <f t="shared" si="140"/>
        <v>0</v>
      </c>
      <c r="FC24" s="180">
        <f t="shared" si="141"/>
        <v>0</v>
      </c>
      <c r="FD24" s="262">
        <f>IF(AX24,IF(VLOOKUP(C24,MAIN!$L$17:$M$28,2)="Yes",VLOOKUP(CALC!B24,MAIN!$H$17:$I$20,2),0),0)</f>
        <v>0</v>
      </c>
      <c r="FE24" s="623">
        <f t="shared" si="60"/>
        <v>0</v>
      </c>
      <c r="FF24" s="535">
        <f t="shared" si="61"/>
        <v>0</v>
      </c>
      <c r="FG24" s="535">
        <f t="shared" si="62"/>
        <v>0</v>
      </c>
      <c r="FH24" s="624">
        <f t="shared" si="63"/>
        <v>0</v>
      </c>
      <c r="FI24" s="632">
        <f>IF(AX24,VLOOKUP(CALC!B24,MAIN!$H$17:$K$20,4),0)</f>
        <v>0</v>
      </c>
      <c r="FJ24" s="535">
        <f t="shared" si="64"/>
        <v>0</v>
      </c>
      <c r="FK24" s="648">
        <f t="shared" si="142"/>
        <v>0</v>
      </c>
      <c r="FL24" s="530">
        <f t="shared" si="143"/>
        <v>0</v>
      </c>
      <c r="FM24" s="530">
        <f t="shared" si="144"/>
        <v>0</v>
      </c>
      <c r="FN24" s="530">
        <f t="shared" si="145"/>
        <v>0</v>
      </c>
      <c r="FO24" s="622">
        <f t="shared" si="146"/>
        <v>0</v>
      </c>
      <c r="FP24" s="530">
        <f t="shared" si="147"/>
        <v>0</v>
      </c>
      <c r="FQ24" s="530">
        <f t="shared" si="148"/>
        <v>0</v>
      </c>
      <c r="FR24" s="530">
        <f t="shared" si="149"/>
        <v>0</v>
      </c>
      <c r="FS24" s="625">
        <f t="shared" si="150"/>
        <v>0</v>
      </c>
      <c r="FT24" s="640">
        <f>IF(AND(Assumptions!$H$71="Yes",A24&gt;=Assumptions!$H$72,A24&lt;=Assumptions!$H$73),0,IF(AND($A24&gt;=Assumptions!$C$17,$A24&lt;=Assumptions!$C$18),MAX(AZ24*(1+VLOOKUP($C24,WeatherCapacityAdjustment,2))-FL24,0),0))</f>
        <v>0</v>
      </c>
      <c r="FU24" s="530">
        <f>IF(AND(Assumptions!$H$71="Yes",A24&gt;=Assumptions!$H$72,A24&lt;=Assumptions!$H$73),0,IF(AND($A24&gt;=Assumptions!$C$17,$A24&lt;=Assumptions!$C$18),MAX(BA24*(1+VLOOKUP($C24,WeatherCapacityAdjustment,2))-FM24,0),0))</f>
        <v>0</v>
      </c>
      <c r="FV24" s="530">
        <f>IF(AND(Assumptions!$H$71="Yes",A24&gt;=Assumptions!$H$72,A24&lt;=Assumptions!$H$73),0,IF(AND($A24&gt;=Assumptions!$C$17,$A24&lt;=Assumptions!$C$18),MAX(BB24*(1+VLOOKUP($C24,WeatherCapacityAdjustment,2))-FN24,0),0))</f>
        <v>0</v>
      </c>
      <c r="FW24" s="622">
        <f>IF(AND(Assumptions!$H$71="Yes",A24&gt;=Assumptions!$H$72,A24&lt;=Assumptions!$H$73),0,IF(AND($A24&gt;=Assumptions!$C$17,$A24&lt;=Assumptions!$C$18),MAX(BC24*(1+VLOOKUP($C24,WeatherCapacityAdjustment,3))-FO24,0),0))</f>
        <v>0</v>
      </c>
      <c r="FX24" s="621">
        <f>IF(AND(Assumptions!$H$71="Yes",A24&gt;=Assumptions!$H$72,A24&lt;=Assumptions!$H$73),0,IF(ET24&gt;0,MAX(BH24*(1+VLOOKUP($C24,WeatherCapacityAdjustment,2))-FP24,0),0))</f>
        <v>0</v>
      </c>
      <c r="FY24" s="530">
        <f>IF(AND(Assumptions!$H$71="Yes",A24&gt;=Assumptions!$H$72,A24&lt;=Assumptions!$H$73),0,IF(EU24&gt;0,MAX(BI24*(1+VLOOKUP($C24,WeatherCapacityAdjustment,3))-FQ24,0),0))</f>
        <v>0</v>
      </c>
      <c r="FZ24" s="530">
        <f>IF(AND(Assumptions!$H$71="Yes",A24&gt;=Assumptions!$H$72,A24&lt;=Assumptions!$H$73),0,IF(EV24&gt;0,MAX(BJ24*(1+VLOOKUP($C24,WeatherCapacityAdjustment,2))-FR24,0),0))</f>
        <v>0</v>
      </c>
      <c r="GA24" s="622">
        <f>IF(AND(Assumptions!$H$71="Yes",A24&gt;=Assumptions!$H$72,A24&lt;=Assumptions!$H$73),0,IF(EW24&gt;0,MAX(BK24*(1+VLOOKUP($C24,WeatherCapacityAdjustment,2))-FS24,0),0))</f>
        <v>0</v>
      </c>
      <c r="GB24" s="530">
        <f t="shared" si="65"/>
        <v>0</v>
      </c>
      <c r="GC24" s="545">
        <f t="shared" si="66"/>
        <v>0</v>
      </c>
      <c r="GD24" s="530">
        <f t="shared" si="67"/>
        <v>0</v>
      </c>
      <c r="GE24" s="1485">
        <f t="shared" si="151"/>
        <v>0</v>
      </c>
      <c r="GF24" s="1776">
        <f t="shared" si="168"/>
        <v>0</v>
      </c>
      <c r="GG24" s="545">
        <f t="shared" si="169"/>
        <v>0</v>
      </c>
      <c r="GH24" s="622">
        <f t="shared" si="170"/>
        <v>0</v>
      </c>
      <c r="GI24" s="621">
        <f t="shared" si="152"/>
        <v>0</v>
      </c>
      <c r="GJ24" s="638">
        <f t="shared" si="68"/>
        <v>0</v>
      </c>
      <c r="GK24" s="625">
        <f t="shared" si="166"/>
        <v>0</v>
      </c>
      <c r="GL24" s="640">
        <f t="shared" si="69"/>
        <v>0</v>
      </c>
      <c r="GM24" s="530">
        <f t="shared" si="70"/>
        <v>0</v>
      </c>
      <c r="GN24" s="530">
        <f t="shared" si="71"/>
        <v>0</v>
      </c>
      <c r="GO24" s="622">
        <f t="shared" si="72"/>
        <v>0</v>
      </c>
      <c r="GP24" s="530">
        <f t="shared" si="73"/>
        <v>0</v>
      </c>
      <c r="GQ24" s="545">
        <f t="shared" si="74"/>
        <v>0</v>
      </c>
      <c r="GR24" s="625">
        <f t="shared" si="75"/>
        <v>0</v>
      </c>
      <c r="GS24" s="640">
        <f>IF($A24&gt;=BegDate,Assumptions!$C$56*24*($A25-$A24)*(1-VLOOKUP($B24,MAIN!$AA$7:$AM$28,$C24+1))*(1-VLOOKUP($B24,MAIN!$AA$33:$AM$54,$C24+1)),0)*80/168</f>
        <v>0</v>
      </c>
      <c r="GT24" s="1715">
        <f t="shared" si="153"/>
        <v>33.7331</v>
      </c>
      <c r="GU24" s="1715">
        <f>IF($A24&gt;=BegDate,VLOOKUP($A24,GasTable,13)+Assumptions!$C$58,0)</f>
        <v>0</v>
      </c>
      <c r="GV24" s="1715">
        <f>GU24*Assumptions!$C$57/1000</f>
        <v>0</v>
      </c>
      <c r="GW24" s="625">
        <f>IF(Assumptions!$C$60="Hourly",MAX(0,GS24*(GT24-GV24)),GS24*(GT24-GV24))</f>
        <v>0</v>
      </c>
      <c r="GX24" s="640">
        <f>IF($A24&gt;=BegDate,Assumptions!$C$56*24*($A25-$A24)*(1-VLOOKUP($B24,MAIN!$AA$7:$AM$28,$C24+1))*(1-VLOOKUP($B24,MAIN!$AA$33:$AM$54,$C24+1)),0)*16/168</f>
        <v>0</v>
      </c>
      <c r="GY24" s="1715">
        <f t="shared" si="154"/>
        <v>33.7331</v>
      </c>
      <c r="GZ24" s="1715">
        <f>IF($A24&gt;=BegDate,VLOOKUP($A24,GasTable,13)+Assumptions!$C$58,0)</f>
        <v>0</v>
      </c>
      <c r="HA24" s="1715">
        <f>GZ24*Assumptions!$C$57/1000</f>
        <v>0</v>
      </c>
      <c r="HB24" s="625">
        <f>IF(Assumptions!$C$60="Hourly",MAX(0,GX24*(GY24-HA24)),GX24*(GY24-HA24))</f>
        <v>0</v>
      </c>
      <c r="HC24" s="640">
        <f>IF($A24&gt;=BegDate,Assumptions!$C$56*24*($A25-$A24)*(1-VLOOKUP($B24,MAIN!$AA$7:$AM$28,$C24+1))*(1-VLOOKUP($B24,MAIN!$AA$33:$AM$54,$C24+1)),0)*16/168</f>
        <v>0</v>
      </c>
      <c r="HD24" s="1715">
        <f t="shared" si="155"/>
        <v>23.7532</v>
      </c>
      <c r="HE24" s="1715">
        <f>IF($A24&gt;=BegDate,VLOOKUP($A24,GasTable,13)+Assumptions!$C$58,0)</f>
        <v>0</v>
      </c>
      <c r="HF24" s="1715">
        <f>HE24*Assumptions!$C$57/1000</f>
        <v>0</v>
      </c>
      <c r="HG24" s="625">
        <f>IF(Assumptions!$C$60="Hourly",MAX(0,HC24*(HD24-HF24)),HC24*(HD24-HF24))</f>
        <v>0</v>
      </c>
      <c r="HH24" s="640">
        <f>IF($A24&gt;=BegDate,Assumptions!$C$56*24*($A25-$A24)*(1-VLOOKUP($B24,MAIN!$AA$7:$AM$28,$C24+1))*(1-VLOOKUP($B24,MAIN!$AA$33:$AM$54,$C24+1)),0)*56/168</f>
        <v>0</v>
      </c>
      <c r="HI24" s="1715">
        <f t="shared" si="156"/>
        <v>23.7532</v>
      </c>
      <c r="HJ24" s="1715">
        <f>IF($A24&gt;=BegDate,VLOOKUP($A24,GasTable,13)+Assumptions!$C$58,0)</f>
        <v>0</v>
      </c>
      <c r="HK24" s="1715">
        <f>HJ24*Assumptions!$C$57/1000</f>
        <v>0</v>
      </c>
      <c r="HL24" s="625">
        <f>IF(Assumptions!$C$60="Hourly",MAX(0,HH24*(HI24-HK24)),HH24*(HI24-HK24))</f>
        <v>0</v>
      </c>
      <c r="HM24" s="640">
        <f>IF(AND(Assumptions!$H$71="Yes",A24&gt;=Assumptions!$H$72,A24&lt;=Assumptions!$H$73),Assumptions!$H$74*Assumptions!$C$9*1000,0)</f>
        <v>0</v>
      </c>
      <c r="HN24" s="625"/>
      <c r="HO24" s="1414">
        <f t="shared" si="167"/>
        <v>2010</v>
      </c>
      <c r="HP24" s="640">
        <f t="shared" si="76"/>
        <v>0</v>
      </c>
      <c r="HQ24" s="154">
        <f t="shared" si="157"/>
        <v>0</v>
      </c>
      <c r="HR24" s="622">
        <f t="shared" si="77"/>
        <v>0</v>
      </c>
      <c r="HS24" s="621">
        <f t="shared" ca="1" si="78"/>
        <v>6320520</v>
      </c>
      <c r="HT24" s="545">
        <f t="shared" ca="1" si="158"/>
        <v>43.101937986288448</v>
      </c>
      <c r="HU24" s="530">
        <f t="shared" ca="1" si="79"/>
        <v>272426661.08109587</v>
      </c>
      <c r="HV24" s="621">
        <f t="shared" ca="1" si="159"/>
        <v>272426661.08109587</v>
      </c>
      <c r="HW24" s="530">
        <f t="shared" ca="1" si="80"/>
        <v>844751.00720705558</v>
      </c>
      <c r="HX24" s="530">
        <f t="shared" ca="1" si="81"/>
        <v>6290872.4574230928</v>
      </c>
      <c r="HY24" s="530">
        <f>IF(Assumptions!$L$24="Yes",HW24+HX24,0)</f>
        <v>0</v>
      </c>
      <c r="HZ24" s="640">
        <f t="shared" ca="1" si="160"/>
        <v>44735174.618399993</v>
      </c>
      <c r="IA24" s="545">
        <f t="shared" ca="1" si="161"/>
        <v>-2.9856206619572858</v>
      </c>
      <c r="IB24" s="622">
        <f t="shared" ca="1" si="82"/>
        <v>-133562261.65696216</v>
      </c>
      <c r="IC24" s="621">
        <f t="shared" ca="1" si="83"/>
        <v>6320520</v>
      </c>
      <c r="ID24" s="545">
        <f t="shared" ca="1" si="162"/>
        <v>-2.0676342017687035</v>
      </c>
      <c r="IE24" s="622">
        <f t="shared" ca="1" si="84"/>
        <v>-13068523.324963126</v>
      </c>
      <c r="IF24" s="530">
        <f t="shared" ca="1" si="85"/>
        <v>0</v>
      </c>
      <c r="IG24" s="545">
        <f t="shared" ca="1" si="163"/>
        <v>0</v>
      </c>
      <c r="IH24" s="622">
        <f t="shared" ca="1" si="86"/>
        <v>0</v>
      </c>
      <c r="II24" s="1645">
        <f>(SUMIF($B$17:$B$292,HO24,$GW$17:$GW$292)+SUMIF($B$17:$B$292,HO24,$HB$17:$HB$292)+SUMIF($B$17:$B$292,HO24,$HG$17:$HG$292)+SUMIF($B$17:$B$292,HO24,$HL$17:$HL$292))*Assumptions!$C$59</f>
        <v>1376963.6891633838</v>
      </c>
      <c r="IJ24" s="1463">
        <f t="shared" si="164"/>
        <v>0</v>
      </c>
      <c r="IK24" s="1463"/>
    </row>
    <row r="25" spans="1:245">
      <c r="A25" s="177">
        <f t="shared" si="87"/>
        <v>36892</v>
      </c>
      <c r="B25" s="349">
        <f t="shared" si="88"/>
        <v>2001</v>
      </c>
      <c r="C25" s="15">
        <f t="shared" si="89"/>
        <v>1</v>
      </c>
      <c r="D25" s="612" t="str">
        <f t="shared" si="90"/>
        <v/>
      </c>
      <c r="E25" s="609" t="str">
        <f t="shared" si="91"/>
        <v/>
      </c>
      <c r="F25" s="614" t="str">
        <f t="shared" si="2"/>
        <v/>
      </c>
      <c r="G25" s="1349">
        <v>0</v>
      </c>
      <c r="H25" s="152">
        <f t="shared" si="165"/>
        <v>1</v>
      </c>
      <c r="I25" s="154">
        <f>IF(Assumptions!$L$25=4,VLOOKUP($A25,'Henwood Reference'!$E$9:$R$320,10),(VLOOKUP($A25,PriceTable,2,0)+IF(BasisNumber&lt;&gt;1,VLOOKUP($A25,BasisTable,2,0),0)+I$1)/(1-I$2))</f>
        <v>34.143684000000007</v>
      </c>
      <c r="J25" s="154">
        <f>IF(Assumptions!$L$25=4,VLOOKUP($A25,'Henwood Reference'!$E$9:$R$320,10),(VLOOKUP($A25,PriceTable,3,0)+IF(BasisNumber&lt;&gt;1,VLOOKUP($A25,BasisTable,2,0),0)+J$1)/(1-J$2))</f>
        <v>34.143684000000007</v>
      </c>
      <c r="K25" s="154">
        <f>IF(Assumptions!$L$25=4,VLOOKUP($A25,'Henwood Reference'!$E$9:$R$320,10),(VLOOKUP($A25,PriceTable,4,0)+IF(BasisNumber&lt;&gt;1,VLOOKUP($A25,BasisTable,2,0),0)+K$1)/(1-K$2))</f>
        <v>34.143684000000007</v>
      </c>
      <c r="L25" s="474">
        <f>IF(Assumptions!$L$25=4,VLOOKUP($A25,'Henwood Reference'!$E$9:$R$320,10),(VLOOKUP($A25,PriceTableWeekend,2,0)+IF(BasisNumber&lt;&gt;1,VLOOKUP($A25,BasisTable,2,0),0)+L$1)/(1-L$2))</f>
        <v>34.143684000000007</v>
      </c>
      <c r="M25" s="154">
        <f>IF(Assumptions!$L$25=4,VLOOKUP($A25,'Henwood Reference'!$E$9:$R$320,10),(VLOOKUP($A25,PriceTableWeekend,3,0)+IF(BasisNumber&lt;&gt;1,VLOOKUP($A25,BasisTable,2,0),0)+M$1)/(1-M$2))</f>
        <v>34.143684000000007</v>
      </c>
      <c r="N25" s="156">
        <f>IF(Assumptions!$L$25=4,VLOOKUP($A25,'Henwood Reference'!$E$9:$R$320,10),(VLOOKUP($A25,PriceTableWeekend,4,0)+IF(BasisNumber&lt;&gt;1,VLOOKUP($A25,BasisTable,2,0),0)+N$1)/(1-N$2))</f>
        <v>34.143684000000007</v>
      </c>
      <c r="O25" s="154">
        <f>IF(Assumptions!$L$25=4,VLOOKUP($A25,'Henwood Reference'!$E$9:$R$320,11),(VLOOKUP($A25,PriceTableWeekend,6,0)+IF(BasisNumber&lt;&gt;1,VLOOKUP($A25,BasisTable,3,0),0)+O$1)/(1-O$2))</f>
        <v>25.827624</v>
      </c>
      <c r="P25" s="154">
        <f>IF(Assumptions!$L$25=4,VLOOKUP($A25,'Henwood Reference'!$E$9:$R$320,11),(VLOOKUP($A25,PriceTableWeekend,7,0)+IF(BasisNumber&lt;&gt;1,VLOOKUP($A25,BasisTable,3,0),0)+P$1)/(1-P$2))</f>
        <v>25.827624</v>
      </c>
      <c r="Q25" s="156">
        <f>IF(Assumptions!$L$25=4,VLOOKUP($A25,'Henwood Reference'!$E$9:$R$320,11),(VLOOKUP($A25,PriceTableWeekend,8,0)+IF(BasisNumber&lt;&gt;1,VLOOKUP($A25,BasisTable,3,0),0)+Q$1)/(1-Q$2))</f>
        <v>25.827624</v>
      </c>
      <c r="R25" s="154">
        <f>IF(Assumptions!$L$25=4,VLOOKUP($A25,'Henwood Reference'!$E$9:$R$320,11),(VLOOKUP($A25,PriceTable,6,0)+IF(BasisNumber&lt;&gt;1,VLOOKUP($A25,BasisTable,3,0),0)+R$1)/(1-R$2))</f>
        <v>25.827624</v>
      </c>
      <c r="S25" s="154">
        <f>IF(Assumptions!$L$25=4,VLOOKUP($A25,'Henwood Reference'!$E$9:$R$320,11),(VLOOKUP($A25,PriceTable,7,0)+IF(BasisNumber&lt;&gt;1,VLOOKUP($A25,BasisTable,3,0),0)+S$1)/(1-S$2))</f>
        <v>25.827624</v>
      </c>
      <c r="T25" s="155">
        <f>IF(Assumptions!$L$25=4,VLOOKUP($A25,'Henwood Reference'!$E$9:$R$320,11),(VLOOKUP($A25,PriceTable,8,0)+IF(BasisNumber&lt;&gt;1,VLOOKUP($A25,BasisTable,3,0),0)+T$1)/(1-T$2))</f>
        <v>25.827624</v>
      </c>
      <c r="U25" s="173">
        <f t="shared" si="92"/>
        <v>0.22</v>
      </c>
      <c r="V25" s="173">
        <f t="shared" si="93"/>
        <v>0.23</v>
      </c>
      <c r="W25" s="174">
        <f t="shared" si="94"/>
        <v>0.28000000000000003</v>
      </c>
      <c r="X25" s="173">
        <f t="shared" si="95"/>
        <v>0.22</v>
      </c>
      <c r="Y25" s="173">
        <f t="shared" si="96"/>
        <v>0.23</v>
      </c>
      <c r="Z25" s="174">
        <f t="shared" si="97"/>
        <v>0.28000000000000003</v>
      </c>
      <c r="AA25" s="173">
        <f t="shared" si="98"/>
        <v>0.05</v>
      </c>
      <c r="AB25" s="173">
        <f t="shared" si="99"/>
        <v>0.11</v>
      </c>
      <c r="AC25" s="174">
        <f t="shared" si="100"/>
        <v>0.15</v>
      </c>
      <c r="AD25" s="173">
        <f t="shared" si="101"/>
        <v>0.05</v>
      </c>
      <c r="AE25" s="173">
        <f t="shared" si="102"/>
        <v>0.11</v>
      </c>
      <c r="AF25" s="174">
        <f t="shared" si="103"/>
        <v>0.15</v>
      </c>
      <c r="AG25" s="173">
        <f t="shared" si="104"/>
        <v>-0.25</v>
      </c>
      <c r="AH25" s="173">
        <f t="shared" si="105"/>
        <v>0.65</v>
      </c>
      <c r="AI25" s="174">
        <f t="shared" si="106"/>
        <v>0.25</v>
      </c>
      <c r="AJ25" s="173">
        <f t="shared" si="107"/>
        <v>-0.25</v>
      </c>
      <c r="AK25" s="173">
        <f t="shared" si="108"/>
        <v>0.65</v>
      </c>
      <c r="AL25" s="174">
        <f t="shared" si="109"/>
        <v>0.25</v>
      </c>
      <c r="AM25" s="173">
        <f t="shared" si="110"/>
        <v>-0.01</v>
      </c>
      <c r="AN25" s="173">
        <f t="shared" si="111"/>
        <v>0.16</v>
      </c>
      <c r="AO25" s="174">
        <f t="shared" si="112"/>
        <v>0.01</v>
      </c>
      <c r="AP25" s="173">
        <f t="shared" si="113"/>
        <v>-0.01</v>
      </c>
      <c r="AQ25" s="173">
        <f t="shared" si="114"/>
        <v>0.16</v>
      </c>
      <c r="AR25" s="175">
        <f t="shared" si="115"/>
        <v>0.01</v>
      </c>
      <c r="AS25" s="521">
        <f t="shared" si="116"/>
        <v>0.5</v>
      </c>
      <c r="AT25" s="349">
        <f t="shared" si="117"/>
        <v>0</v>
      </c>
      <c r="AU25" s="159">
        <f t="shared" si="3"/>
        <v>0</v>
      </c>
      <c r="AV25" s="159">
        <f t="shared" si="4"/>
        <v>0</v>
      </c>
      <c r="AW25" s="159">
        <f t="shared" si="118"/>
        <v>0</v>
      </c>
      <c r="AX25" s="15">
        <f t="shared" si="119"/>
        <v>0</v>
      </c>
      <c r="AY25" s="607">
        <f>IF(E25="",0,MIN((1-(1-VLOOKUP(B25,MAIN!$AA$7:$AM$28,C25+1))*(1-VLOOKUP(B25,MAIN!$AA$33:$AM$54,C25+1))),1))</f>
        <v>0</v>
      </c>
      <c r="AZ25" s="259">
        <v>0</v>
      </c>
      <c r="BA25" s="263">
        <v>0</v>
      </c>
      <c r="BB25" s="263">
        <v>0</v>
      </c>
      <c r="BC25" s="510">
        <v>0</v>
      </c>
      <c r="BD25" s="512">
        <v>0</v>
      </c>
      <c r="BE25" s="513">
        <v>0</v>
      </c>
      <c r="BF25" s="513">
        <v>0</v>
      </c>
      <c r="BG25" s="514">
        <v>0</v>
      </c>
      <c r="BH25" s="261">
        <v>0</v>
      </c>
      <c r="BI25" s="263">
        <v>0</v>
      </c>
      <c r="BJ25" s="263">
        <v>0</v>
      </c>
      <c r="BK25" s="510">
        <v>0</v>
      </c>
      <c r="BL25" s="512">
        <v>0</v>
      </c>
      <c r="BM25" s="513">
        <v>0</v>
      </c>
      <c r="BN25" s="513">
        <v>0</v>
      </c>
      <c r="BO25" s="513">
        <v>0</v>
      </c>
      <c r="BP25" s="261">
        <f t="shared" si="120"/>
        <v>0</v>
      </c>
      <c r="BQ25" s="578">
        <f t="shared" si="121"/>
        <v>0</v>
      </c>
      <c r="BR25" s="259">
        <f t="shared" si="122"/>
        <v>0</v>
      </c>
      <c r="BS25" s="578">
        <f t="shared" si="123"/>
        <v>0</v>
      </c>
      <c r="BT25" s="216">
        <f t="shared" si="124"/>
        <v>0.71731690622861055</v>
      </c>
      <c r="BU25" s="218">
        <f t="shared" si="5"/>
        <v>0</v>
      </c>
      <c r="BV25" s="216">
        <f t="shared" si="6"/>
        <v>0</v>
      </c>
      <c r="BW25" s="216">
        <f t="shared" si="7"/>
        <v>0</v>
      </c>
      <c r="BX25" s="216">
        <f t="shared" si="125"/>
        <v>0</v>
      </c>
      <c r="BY25" s="216">
        <f t="shared" si="8"/>
        <v>0</v>
      </c>
      <c r="BZ25" s="216">
        <f t="shared" si="9"/>
        <v>0</v>
      </c>
      <c r="CA25" s="264">
        <f t="shared" si="10"/>
        <v>0</v>
      </c>
      <c r="CB25" s="216">
        <f t="shared" si="11"/>
        <v>0</v>
      </c>
      <c r="CC25" s="216">
        <f t="shared" si="12"/>
        <v>0</v>
      </c>
      <c r="CD25" s="216">
        <f t="shared" si="126"/>
        <v>0</v>
      </c>
      <c r="CE25" s="216">
        <f t="shared" si="13"/>
        <v>0</v>
      </c>
      <c r="CF25" s="571">
        <f t="shared" si="14"/>
        <v>0</v>
      </c>
      <c r="CG25" s="573" t="str">
        <f t="shared" si="15"/>
        <v/>
      </c>
      <c r="CH25" s="219" t="str">
        <f t="shared" si="16"/>
        <v/>
      </c>
      <c r="CI25" s="219" t="str">
        <f t="shared" si="17"/>
        <v/>
      </c>
      <c r="CJ25" s="219" t="str">
        <f t="shared" si="18"/>
        <v/>
      </c>
      <c r="CK25" s="219" t="str">
        <f t="shared" si="19"/>
        <v/>
      </c>
      <c r="CL25" s="219" t="str">
        <f t="shared" si="20"/>
        <v/>
      </c>
      <c r="CM25" s="219" t="str">
        <f t="shared" si="21"/>
        <v/>
      </c>
      <c r="CN25" s="569" t="str">
        <f t="shared" si="22"/>
        <v/>
      </c>
      <c r="CO25" s="264">
        <f>IF(OR(BQ25,BS25),VLOOKUP(A25,GasTable,13)*HeatRatePeak*(1+VLOOKUP($B25,HeatRateDegradation,$C25+1))/1000,0)</f>
        <v>0</v>
      </c>
      <c r="CP25" s="216">
        <f t="shared" si="127"/>
        <v>0</v>
      </c>
      <c r="CQ25" s="216">
        <f t="shared" si="128"/>
        <v>0</v>
      </c>
      <c r="CR25" s="216">
        <f t="shared" si="129"/>
        <v>0</v>
      </c>
      <c r="CS25" s="1626">
        <f t="shared" si="130"/>
        <v>0</v>
      </c>
      <c r="CT25" s="216">
        <f t="shared" si="131"/>
        <v>0</v>
      </c>
      <c r="CU25" s="575" t="str">
        <f t="shared" si="23"/>
        <v/>
      </c>
      <c r="CV25" s="154" t="str">
        <f t="shared" si="24"/>
        <v/>
      </c>
      <c r="CW25" s="216">
        <f>IF(OR($BQ25,$BS25),SpreadOptPowerMargin,0)*((1+Assumptions!$C$26)^($B25-YEAR(Assumptions!$C$17)))</f>
        <v>0</v>
      </c>
      <c r="CX25" s="216">
        <f>IF(OR($BQ25,$BS25),SpreadOptPowerMargin,0)*((1+Assumptions!$C$26)^($B25-YEAR(Assumptions!$C$17)))</f>
        <v>0</v>
      </c>
      <c r="CY25" s="216">
        <f>IF(OR($BQ25,$BS25),SpreadOptPowerMargin,0)*((1+Assumptions!$C$26)^($B25-YEAR(Assumptions!$C$17)))</f>
        <v>0</v>
      </c>
      <c r="CZ25" s="216">
        <f>IF(OR($BQ25,$BS25),SpreadOptPowerMargin,0)*((1+Assumptions!$C$26)^($B25-YEAR(Assumptions!$C$17)))</f>
        <v>0</v>
      </c>
      <c r="DA25" s="440">
        <f t="shared" si="25"/>
        <v>0</v>
      </c>
      <c r="DB25" s="479" t="str">
        <f t="shared" si="26"/>
        <v/>
      </c>
      <c r="DC25" s="479" t="str">
        <f t="shared" si="27"/>
        <v/>
      </c>
      <c r="DD25" s="479" t="str">
        <f t="shared" si="28"/>
        <v/>
      </c>
      <c r="DE25" s="479" t="str">
        <f t="shared" si="29"/>
        <v/>
      </c>
      <c r="DF25" s="479" t="str">
        <f t="shared" si="30"/>
        <v/>
      </c>
      <c r="DG25" s="574" t="str">
        <f t="shared" si="31"/>
        <v/>
      </c>
      <c r="DH25" s="216">
        <f t="shared" si="32"/>
        <v>0</v>
      </c>
      <c r="DI25" s="216">
        <f t="shared" si="33"/>
        <v>0</v>
      </c>
      <c r="DJ25" s="216">
        <f t="shared" si="34"/>
        <v>0</v>
      </c>
      <c r="DK25" s="216">
        <f t="shared" si="35"/>
        <v>0</v>
      </c>
      <c r="DL25" s="216">
        <f t="shared" si="36"/>
        <v>0</v>
      </c>
      <c r="DM25" s="216"/>
      <c r="DN25" s="216"/>
      <c r="DO25" s="216"/>
      <c r="DP25" s="216"/>
      <c r="DQ25" s="216"/>
      <c r="DR25" s="216"/>
      <c r="DS25" s="216"/>
      <c r="DT25" s="216"/>
      <c r="DU25" s="216"/>
      <c r="DV25" s="216"/>
      <c r="DW25" s="1371">
        <f t="shared" si="37"/>
        <v>0</v>
      </c>
      <c r="DX25" s="216">
        <f t="shared" si="38"/>
        <v>0</v>
      </c>
      <c r="DY25" s="440">
        <f t="shared" si="39"/>
        <v>0</v>
      </c>
      <c r="DZ25" s="180">
        <f t="shared" si="40"/>
        <v>0</v>
      </c>
      <c r="EA25" s="180">
        <f t="shared" si="41"/>
        <v>0</v>
      </c>
      <c r="EB25" s="180">
        <f t="shared" si="42"/>
        <v>0</v>
      </c>
      <c r="EC25" s="180">
        <f t="shared" si="43"/>
        <v>0</v>
      </c>
      <c r="ED25" s="180">
        <f t="shared" si="44"/>
        <v>0</v>
      </c>
      <c r="EE25" s="581">
        <f t="shared" si="45"/>
        <v>0</v>
      </c>
      <c r="EF25" s="554">
        <f t="shared" si="46"/>
        <v>0</v>
      </c>
      <c r="EG25" s="554">
        <f t="shared" si="47"/>
        <v>0</v>
      </c>
      <c r="EH25" s="554">
        <f t="shared" si="48"/>
        <v>0</v>
      </c>
      <c r="EI25" s="561">
        <f t="shared" si="49"/>
        <v>0</v>
      </c>
      <c r="EJ25" s="581">
        <f t="shared" si="132"/>
        <v>0</v>
      </c>
      <c r="EK25" s="554">
        <f t="shared" si="133"/>
        <v>0</v>
      </c>
      <c r="EL25" s="554">
        <f t="shared" si="134"/>
        <v>0</v>
      </c>
      <c r="EM25" s="554">
        <f t="shared" si="135"/>
        <v>0</v>
      </c>
      <c r="EN25" s="561">
        <f t="shared" si="136"/>
        <v>0</v>
      </c>
      <c r="EO25" s="180">
        <f t="shared" si="50"/>
        <v>0</v>
      </c>
      <c r="EP25" s="180">
        <f t="shared" si="51"/>
        <v>0</v>
      </c>
      <c r="EQ25" s="180">
        <f t="shared" si="52"/>
        <v>0</v>
      </c>
      <c r="ER25" s="180">
        <f t="shared" si="53"/>
        <v>0</v>
      </c>
      <c r="ES25" s="180">
        <f t="shared" si="54"/>
        <v>0</v>
      </c>
      <c r="ET25" s="1482">
        <f t="shared" si="55"/>
        <v>0</v>
      </c>
      <c r="EU25" s="180">
        <f t="shared" si="56"/>
        <v>0</v>
      </c>
      <c r="EV25" s="180">
        <f t="shared" si="57"/>
        <v>0</v>
      </c>
      <c r="EW25" s="180">
        <f t="shared" si="58"/>
        <v>0</v>
      </c>
      <c r="EX25" s="555">
        <f t="shared" si="59"/>
        <v>0</v>
      </c>
      <c r="EY25" s="180">
        <f t="shared" si="137"/>
        <v>0</v>
      </c>
      <c r="EZ25" s="180">
        <f t="shared" si="138"/>
        <v>0</v>
      </c>
      <c r="FA25" s="180">
        <f t="shared" si="139"/>
        <v>0</v>
      </c>
      <c r="FB25" s="180">
        <f t="shared" si="140"/>
        <v>0</v>
      </c>
      <c r="FC25" s="180">
        <f t="shared" si="141"/>
        <v>0</v>
      </c>
      <c r="FD25" s="262">
        <f>IF(AX25,IF(VLOOKUP(C25,MAIN!$L$17:$M$28,2)="Yes",VLOOKUP(CALC!B25,MAIN!$H$17:$I$20,2),0),0)</f>
        <v>0</v>
      </c>
      <c r="FE25" s="623">
        <f t="shared" si="60"/>
        <v>0</v>
      </c>
      <c r="FF25" s="535">
        <f t="shared" si="61"/>
        <v>0</v>
      </c>
      <c r="FG25" s="535">
        <f t="shared" si="62"/>
        <v>0</v>
      </c>
      <c r="FH25" s="624">
        <f t="shared" si="63"/>
        <v>0</v>
      </c>
      <c r="FI25" s="632">
        <f>IF(AX25,VLOOKUP(CALC!B25,MAIN!$H$17:$K$20,4),0)</f>
        <v>0</v>
      </c>
      <c r="FJ25" s="535">
        <f t="shared" si="64"/>
        <v>0</v>
      </c>
      <c r="FK25" s="648">
        <f t="shared" si="142"/>
        <v>0</v>
      </c>
      <c r="FL25" s="530">
        <f t="shared" si="143"/>
        <v>0</v>
      </c>
      <c r="FM25" s="530">
        <f t="shared" si="144"/>
        <v>0</v>
      </c>
      <c r="FN25" s="530">
        <f t="shared" si="145"/>
        <v>0</v>
      </c>
      <c r="FO25" s="622">
        <f t="shared" si="146"/>
        <v>0</v>
      </c>
      <c r="FP25" s="530">
        <f t="shared" si="147"/>
        <v>0</v>
      </c>
      <c r="FQ25" s="530">
        <f t="shared" si="148"/>
        <v>0</v>
      </c>
      <c r="FR25" s="530">
        <f t="shared" si="149"/>
        <v>0</v>
      </c>
      <c r="FS25" s="625">
        <f t="shared" si="150"/>
        <v>0</v>
      </c>
      <c r="FT25" s="640">
        <f>IF(AND(Assumptions!$H$71="Yes",A25&gt;=Assumptions!$H$72,A25&lt;=Assumptions!$H$73),0,IF(AND($A25&gt;=Assumptions!$C$17,$A25&lt;=Assumptions!$C$18),MAX(AZ25*(1+VLOOKUP($C25,WeatherCapacityAdjustment,2))-FL25,0),0))</f>
        <v>0</v>
      </c>
      <c r="FU25" s="530">
        <f>IF(AND(Assumptions!$H$71="Yes",A25&gt;=Assumptions!$H$72,A25&lt;=Assumptions!$H$73),0,IF(AND($A25&gt;=Assumptions!$C$17,$A25&lt;=Assumptions!$C$18),MAX(BA25*(1+VLOOKUP($C25,WeatherCapacityAdjustment,2))-FM25,0),0))</f>
        <v>0</v>
      </c>
      <c r="FV25" s="530">
        <f>IF(AND(Assumptions!$H$71="Yes",A25&gt;=Assumptions!$H$72,A25&lt;=Assumptions!$H$73),0,IF(AND($A25&gt;=Assumptions!$C$17,$A25&lt;=Assumptions!$C$18),MAX(BB25*(1+VLOOKUP($C25,WeatherCapacityAdjustment,2))-FN25,0),0))</f>
        <v>0</v>
      </c>
      <c r="FW25" s="622">
        <f>IF(AND(Assumptions!$H$71="Yes",A25&gt;=Assumptions!$H$72,A25&lt;=Assumptions!$H$73),0,IF(AND($A25&gt;=Assumptions!$C$17,$A25&lt;=Assumptions!$C$18),MAX(BC25*(1+VLOOKUP($C25,WeatherCapacityAdjustment,3))-FO25,0),0))</f>
        <v>0</v>
      </c>
      <c r="FX25" s="621">
        <f>IF(AND(Assumptions!$H$71="Yes",A25&gt;=Assumptions!$H$72,A25&lt;=Assumptions!$H$73),0,IF(ET25&gt;0,MAX(BH25*(1+VLOOKUP($C25,WeatherCapacityAdjustment,2))-FP25,0),0))</f>
        <v>0</v>
      </c>
      <c r="FY25" s="530">
        <f>IF(AND(Assumptions!$H$71="Yes",A25&gt;=Assumptions!$H$72,A25&lt;=Assumptions!$H$73),0,IF(EU25&gt;0,MAX(BI25*(1+VLOOKUP($C25,WeatherCapacityAdjustment,3))-FQ25,0),0))</f>
        <v>0</v>
      </c>
      <c r="FZ25" s="530">
        <f>IF(AND(Assumptions!$H$71="Yes",A25&gt;=Assumptions!$H$72,A25&lt;=Assumptions!$H$73),0,IF(EV25&gt;0,MAX(BJ25*(1+VLOOKUP($C25,WeatherCapacityAdjustment,2))-FR25,0),0))</f>
        <v>0</v>
      </c>
      <c r="GA25" s="622">
        <f>IF(AND(Assumptions!$H$71="Yes",A25&gt;=Assumptions!$H$72,A25&lt;=Assumptions!$H$73),0,IF(EW25&gt;0,MAX(BK25*(1+VLOOKUP($C25,WeatherCapacityAdjustment,2))-FS25,0),0))</f>
        <v>0</v>
      </c>
      <c r="GB25" s="530">
        <f t="shared" si="65"/>
        <v>0</v>
      </c>
      <c r="GC25" s="545">
        <f t="shared" si="66"/>
        <v>0</v>
      </c>
      <c r="GD25" s="530">
        <f t="shared" si="67"/>
        <v>0</v>
      </c>
      <c r="GE25" s="1485">
        <f t="shared" si="151"/>
        <v>0</v>
      </c>
      <c r="GF25" s="1776">
        <f t="shared" si="168"/>
        <v>0</v>
      </c>
      <c r="GG25" s="545">
        <f t="shared" si="169"/>
        <v>0</v>
      </c>
      <c r="GH25" s="622">
        <f t="shared" si="170"/>
        <v>0</v>
      </c>
      <c r="GI25" s="621">
        <f t="shared" si="152"/>
        <v>0</v>
      </c>
      <c r="GJ25" s="638">
        <f t="shared" si="68"/>
        <v>0</v>
      </c>
      <c r="GK25" s="625">
        <f t="shared" si="166"/>
        <v>0</v>
      </c>
      <c r="GL25" s="640">
        <f t="shared" ref="GL25:GL54" si="171">MAX(FE25-FL25-FP25,0)</f>
        <v>0</v>
      </c>
      <c r="GM25" s="530">
        <f t="shared" ref="GM25:GM54" si="172">MAX(FF25-FM25-FQ25,0)</f>
        <v>0</v>
      </c>
      <c r="GN25" s="530">
        <f t="shared" ref="GN25:GN54" si="173">MAX(FG25-FN25-FR25,0)</f>
        <v>0</v>
      </c>
      <c r="GO25" s="622">
        <f t="shared" ref="GO25:GO54" si="174">MAX(FH25-FO25-FS25,0)</f>
        <v>0</v>
      </c>
      <c r="GP25" s="530">
        <f t="shared" si="73"/>
        <v>0</v>
      </c>
      <c r="GQ25" s="545">
        <f t="shared" si="74"/>
        <v>0</v>
      </c>
      <c r="GR25" s="625">
        <f t="shared" si="75"/>
        <v>0</v>
      </c>
      <c r="GS25" s="640">
        <f>IF($A25&gt;=BegDate,Assumptions!$C$56*24*($A26-$A25)*(1-VLOOKUP($B25,MAIN!$AA$7:$AM$28,$C25+1))*(1-VLOOKUP($B25,MAIN!$AA$33:$AM$54,$C25+1)),0)*80/168</f>
        <v>0</v>
      </c>
      <c r="GT25" s="1715">
        <f t="shared" si="153"/>
        <v>34.143684000000007</v>
      </c>
      <c r="GU25" s="1715">
        <f>IF($A25&gt;=BegDate,VLOOKUP($A25,GasTable,13)+Assumptions!$C$58,0)</f>
        <v>0</v>
      </c>
      <c r="GV25" s="1715">
        <f>GU25*Assumptions!$C$57/1000</f>
        <v>0</v>
      </c>
      <c r="GW25" s="625">
        <f>IF(Assumptions!$C$60="Hourly",MAX(0,GS25*(GT25-GV25)),GS25*(GT25-GV25))</f>
        <v>0</v>
      </c>
      <c r="GX25" s="640">
        <f>IF($A25&gt;=BegDate,Assumptions!$C$56*24*($A26-$A25)*(1-VLOOKUP($B25,MAIN!$AA$7:$AM$28,$C25+1))*(1-VLOOKUP($B25,MAIN!$AA$33:$AM$54,$C25+1)),0)*16/168</f>
        <v>0</v>
      </c>
      <c r="GY25" s="1715">
        <f t="shared" si="154"/>
        <v>34.143684000000007</v>
      </c>
      <c r="GZ25" s="1715">
        <f>IF($A25&gt;=BegDate,VLOOKUP($A25,GasTable,13)+Assumptions!$C$58,0)</f>
        <v>0</v>
      </c>
      <c r="HA25" s="1715">
        <f>GZ25*Assumptions!$C$57/1000</f>
        <v>0</v>
      </c>
      <c r="HB25" s="625">
        <f>IF(Assumptions!$C$60="Hourly",MAX(0,GX25*(GY25-HA25)),GX25*(GY25-HA25))</f>
        <v>0</v>
      </c>
      <c r="HC25" s="640">
        <f>IF($A25&gt;=BegDate,Assumptions!$C$56*24*($A26-$A25)*(1-VLOOKUP($B25,MAIN!$AA$7:$AM$28,$C25+1))*(1-VLOOKUP($B25,MAIN!$AA$33:$AM$54,$C25+1)),0)*16/168</f>
        <v>0</v>
      </c>
      <c r="HD25" s="1715">
        <f t="shared" si="155"/>
        <v>25.827624</v>
      </c>
      <c r="HE25" s="1715">
        <f>IF($A25&gt;=BegDate,VLOOKUP($A25,GasTable,13)+Assumptions!$C$58,0)</f>
        <v>0</v>
      </c>
      <c r="HF25" s="1715">
        <f>HE25*Assumptions!$C$57/1000</f>
        <v>0</v>
      </c>
      <c r="HG25" s="625">
        <f>IF(Assumptions!$C$60="Hourly",MAX(0,HC25*(HD25-HF25)),HC25*(HD25-HF25))</f>
        <v>0</v>
      </c>
      <c r="HH25" s="640">
        <f>IF($A25&gt;=BegDate,Assumptions!$C$56*24*($A26-$A25)*(1-VLOOKUP($B25,MAIN!$AA$7:$AM$28,$C25+1))*(1-VLOOKUP($B25,MAIN!$AA$33:$AM$54,$C25+1)),0)*56/168</f>
        <v>0</v>
      </c>
      <c r="HI25" s="1715">
        <f t="shared" si="156"/>
        <v>25.827624</v>
      </c>
      <c r="HJ25" s="1715">
        <f>IF($A25&gt;=BegDate,VLOOKUP($A25,GasTable,13)+Assumptions!$C$58,0)</f>
        <v>0</v>
      </c>
      <c r="HK25" s="1715">
        <f>HJ25*Assumptions!$C$57/1000</f>
        <v>0</v>
      </c>
      <c r="HL25" s="625">
        <f>IF(Assumptions!$C$60="Hourly",MAX(0,HH25*(HI25-HK25)),HH25*(HI25-HK25))</f>
        <v>0</v>
      </c>
      <c r="HM25" s="640">
        <f>IF(AND(Assumptions!$H$71="Yes",A25&gt;=Assumptions!$H$72,A25&lt;=Assumptions!$H$73),Assumptions!$H$74*Assumptions!$C$9*1000,0)</f>
        <v>0</v>
      </c>
      <c r="HN25" s="625"/>
      <c r="HO25" s="1414">
        <f t="shared" si="167"/>
        <v>2011</v>
      </c>
      <c r="HP25" s="640">
        <f t="shared" si="76"/>
        <v>0</v>
      </c>
      <c r="HQ25" s="154">
        <f t="shared" si="157"/>
        <v>0</v>
      </c>
      <c r="HR25" s="622">
        <f t="shared" si="77"/>
        <v>0</v>
      </c>
      <c r="HS25" s="621">
        <f t="shared" ca="1" si="78"/>
        <v>6320520</v>
      </c>
      <c r="HT25" s="545">
        <f t="shared" ca="1" si="158"/>
        <v>43.417699815682532</v>
      </c>
      <c r="HU25" s="530">
        <f t="shared" ca="1" si="79"/>
        <v>274422440.03901774</v>
      </c>
      <c r="HV25" s="621">
        <f t="shared" ca="1" si="159"/>
        <v>274422440.03901774</v>
      </c>
      <c r="HW25" s="530">
        <f t="shared" ca="1" si="80"/>
        <v>1056067.0900654164</v>
      </c>
      <c r="HX25" s="530">
        <f t="shared" ca="1" si="81"/>
        <v>7338806.7404052969</v>
      </c>
      <c r="HY25" s="530">
        <f>IF(Assumptions!$L$24="Yes",HW25+HX25,0)</f>
        <v>0</v>
      </c>
      <c r="HZ25" s="640">
        <f t="shared" ca="1" si="160"/>
        <v>44958162.564000003</v>
      </c>
      <c r="IA25" s="545">
        <f t="shared" ca="1" si="161"/>
        <v>-3.0660257683272616</v>
      </c>
      <c r="IB25" s="622">
        <f t="shared" ca="1" si="82"/>
        <v>-137842884.91787004</v>
      </c>
      <c r="IC25" s="621">
        <f t="shared" ca="1" si="83"/>
        <v>6320520</v>
      </c>
      <c r="ID25" s="545">
        <f t="shared" ca="1" si="162"/>
        <v>-2.1089868858040774</v>
      </c>
      <c r="IE25" s="622">
        <f t="shared" ca="1" si="84"/>
        <v>-13329893.791462388</v>
      </c>
      <c r="IF25" s="530">
        <f t="shared" ca="1" si="85"/>
        <v>0</v>
      </c>
      <c r="IG25" s="545">
        <f t="shared" ca="1" si="163"/>
        <v>0</v>
      </c>
      <c r="IH25" s="622">
        <f t="shared" ca="1" si="86"/>
        <v>0</v>
      </c>
      <c r="II25" s="1645">
        <f>(SUMIF($B$17:$B$292,HO25,$GW$17:$GW$292)+SUMIF($B$17:$B$292,HO25,$HB$17:$HB$292)+SUMIF($B$17:$B$292,HO25,$HG$17:$HG$292)+SUMIF($B$17:$B$292,HO25,$HL$17:$HL$292))*Assumptions!$C$59</f>
        <v>1356815.5863281735</v>
      </c>
      <c r="IJ25" s="1463">
        <f t="shared" si="164"/>
        <v>0</v>
      </c>
      <c r="IK25" s="1463"/>
    </row>
    <row r="26" spans="1:245">
      <c r="A26" s="177">
        <f t="shared" si="87"/>
        <v>36923</v>
      </c>
      <c r="B26" s="349">
        <f t="shared" si="88"/>
        <v>2001</v>
      </c>
      <c r="C26" s="15">
        <f t="shared" si="89"/>
        <v>2</v>
      </c>
      <c r="D26" s="612" t="str">
        <f>IF(E26="","",Holiday(B26,C26))</f>
        <v/>
      </c>
      <c r="E26" s="609" t="str">
        <f t="shared" si="91"/>
        <v/>
      </c>
      <c r="F26" s="614" t="str">
        <f t="shared" si="2"/>
        <v/>
      </c>
      <c r="G26" s="1349">
        <v>0</v>
      </c>
      <c r="H26" s="152">
        <f t="shared" si="165"/>
        <v>1</v>
      </c>
      <c r="I26" s="154">
        <f>IF(Assumptions!$L$25=4,VLOOKUP($A26,'Henwood Reference'!$E$9:$R$320,10),(VLOOKUP($A26,PriceTable,2,0)+IF(BasisNumber&lt;&gt;1,VLOOKUP($A26,BasisTable,2,0),0)+I$1)/(1-I$2))</f>
        <v>30.791250000000002</v>
      </c>
      <c r="J26" s="154">
        <f>IF(Assumptions!$L$25=4,VLOOKUP($A26,'Henwood Reference'!$E$9:$R$320,10),(VLOOKUP($A26,PriceTable,3,0)+IF(BasisNumber&lt;&gt;1,VLOOKUP($A26,BasisTable,2,0),0)+J$1)/(1-J$2))</f>
        <v>30.791250000000002</v>
      </c>
      <c r="K26" s="154">
        <f>IF(Assumptions!$L$25=4,VLOOKUP($A26,'Henwood Reference'!$E$9:$R$320,10),(VLOOKUP($A26,PriceTable,4,0)+IF(BasisNumber&lt;&gt;1,VLOOKUP($A26,BasisTable,2,0),0)+K$1)/(1-K$2))</f>
        <v>30.791250000000002</v>
      </c>
      <c r="L26" s="474">
        <f>IF(Assumptions!$L$25=4,VLOOKUP($A26,'Henwood Reference'!$E$9:$R$320,10),(VLOOKUP($A26,PriceTableWeekend,2,0)+IF(BasisNumber&lt;&gt;1,VLOOKUP($A26,BasisTable,2,0),0)+L$1)/(1-L$2))</f>
        <v>30.791250000000002</v>
      </c>
      <c r="M26" s="154">
        <f>IF(Assumptions!$L$25=4,VLOOKUP($A26,'Henwood Reference'!$E$9:$R$320,10),(VLOOKUP($A26,PriceTableWeekend,3,0)+IF(BasisNumber&lt;&gt;1,VLOOKUP($A26,BasisTable,2,0),0)+M$1)/(1-M$2))</f>
        <v>30.791250000000002</v>
      </c>
      <c r="N26" s="156">
        <f>IF(Assumptions!$L$25=4,VLOOKUP($A26,'Henwood Reference'!$E$9:$R$320,10),(VLOOKUP($A26,PriceTableWeekend,4,0)+IF(BasisNumber&lt;&gt;1,VLOOKUP($A26,BasisTable,2,0),0)+N$1)/(1-N$2))</f>
        <v>30.791250000000002</v>
      </c>
      <c r="O26" s="154">
        <f>IF(Assumptions!$L$25=4,VLOOKUP($A26,'Henwood Reference'!$E$9:$R$320,11),(VLOOKUP($A26,PriceTableWeekend,6,0)+IF(BasisNumber&lt;&gt;1,VLOOKUP($A26,BasisTable,3,0),0)+O$1)/(1-O$2))</f>
        <v>22.518438</v>
      </c>
      <c r="P26" s="154">
        <f>IF(Assumptions!$L$25=4,VLOOKUP($A26,'Henwood Reference'!$E$9:$R$320,11),(VLOOKUP($A26,PriceTableWeekend,7,0)+IF(BasisNumber&lt;&gt;1,VLOOKUP($A26,BasisTable,3,0),0)+P$1)/(1-P$2))</f>
        <v>22.518438</v>
      </c>
      <c r="Q26" s="156">
        <f>IF(Assumptions!$L$25=4,VLOOKUP($A26,'Henwood Reference'!$E$9:$R$320,11),(VLOOKUP($A26,PriceTableWeekend,8,0)+IF(BasisNumber&lt;&gt;1,VLOOKUP($A26,BasisTable,3,0),0)+Q$1)/(1-Q$2))</f>
        <v>22.518438</v>
      </c>
      <c r="R26" s="154">
        <f>IF(Assumptions!$L$25=4,VLOOKUP($A26,'Henwood Reference'!$E$9:$R$320,11),(VLOOKUP($A26,PriceTable,6,0)+IF(BasisNumber&lt;&gt;1,VLOOKUP($A26,BasisTable,3,0),0)+R$1)/(1-R$2))</f>
        <v>22.518438</v>
      </c>
      <c r="S26" s="154">
        <f>IF(Assumptions!$L$25=4,VLOOKUP($A26,'Henwood Reference'!$E$9:$R$320,11),(VLOOKUP($A26,PriceTable,7,0)+IF(BasisNumber&lt;&gt;1,VLOOKUP($A26,BasisTable,3,0),0)+S$1)/(1-S$2))</f>
        <v>22.518438</v>
      </c>
      <c r="T26" s="155">
        <f>IF(Assumptions!$L$25=4,VLOOKUP($A26,'Henwood Reference'!$E$9:$R$320,11),(VLOOKUP($A26,PriceTable,8,0)+IF(BasisNumber&lt;&gt;1,VLOOKUP($A26,BasisTable,3,0),0)+T$1)/(1-T$2))</f>
        <v>22.518438</v>
      </c>
      <c r="U26" s="173">
        <f t="shared" si="92"/>
        <v>0.22</v>
      </c>
      <c r="V26" s="173">
        <f t="shared" si="93"/>
        <v>0.23</v>
      </c>
      <c r="W26" s="174">
        <f t="shared" si="94"/>
        <v>0.28000000000000003</v>
      </c>
      <c r="X26" s="173">
        <f t="shared" si="95"/>
        <v>0.22</v>
      </c>
      <c r="Y26" s="173">
        <f t="shared" si="96"/>
        <v>0.23</v>
      </c>
      <c r="Z26" s="174">
        <f t="shared" si="97"/>
        <v>0.28000000000000003</v>
      </c>
      <c r="AA26" s="173">
        <f t="shared" si="98"/>
        <v>0.05</v>
      </c>
      <c r="AB26" s="173">
        <f t="shared" si="99"/>
        <v>0.11</v>
      </c>
      <c r="AC26" s="174">
        <f t="shared" si="100"/>
        <v>0.15</v>
      </c>
      <c r="AD26" s="173">
        <f t="shared" si="101"/>
        <v>0.05</v>
      </c>
      <c r="AE26" s="173">
        <f t="shared" si="102"/>
        <v>0.11</v>
      </c>
      <c r="AF26" s="174">
        <f t="shared" si="103"/>
        <v>0.15</v>
      </c>
      <c r="AG26" s="173">
        <f t="shared" si="104"/>
        <v>-0.25</v>
      </c>
      <c r="AH26" s="173">
        <f t="shared" si="105"/>
        <v>0.65</v>
      </c>
      <c r="AI26" s="174">
        <f t="shared" si="106"/>
        <v>0.25</v>
      </c>
      <c r="AJ26" s="173">
        <f t="shared" si="107"/>
        <v>-0.25</v>
      </c>
      <c r="AK26" s="173">
        <f t="shared" si="108"/>
        <v>0.65</v>
      </c>
      <c r="AL26" s="174">
        <f t="shared" si="109"/>
        <v>0.25</v>
      </c>
      <c r="AM26" s="173">
        <f t="shared" si="110"/>
        <v>-0.01</v>
      </c>
      <c r="AN26" s="173">
        <f t="shared" si="111"/>
        <v>0.16</v>
      </c>
      <c r="AO26" s="174">
        <f t="shared" si="112"/>
        <v>0.01</v>
      </c>
      <c r="AP26" s="173">
        <f t="shared" si="113"/>
        <v>-0.01</v>
      </c>
      <c r="AQ26" s="173">
        <f t="shared" si="114"/>
        <v>0.16</v>
      </c>
      <c r="AR26" s="175">
        <f t="shared" si="115"/>
        <v>0.01</v>
      </c>
      <c r="AS26" s="521">
        <f t="shared" si="116"/>
        <v>0.5</v>
      </c>
      <c r="AT26" s="349">
        <f t="shared" si="117"/>
        <v>0</v>
      </c>
      <c r="AU26" s="159">
        <f t="shared" si="3"/>
        <v>0</v>
      </c>
      <c r="AV26" s="159">
        <f t="shared" si="4"/>
        <v>0</v>
      </c>
      <c r="AW26" s="159">
        <f t="shared" si="118"/>
        <v>0</v>
      </c>
      <c r="AX26" s="15">
        <f t="shared" si="119"/>
        <v>0</v>
      </c>
      <c r="AY26" s="607">
        <f>IF(E26="",0,MIN((1-(1-VLOOKUP(B26,MAIN!$AA$7:$AM$28,C26+1))*(1-VLOOKUP(B26,MAIN!$AA$33:$AM$54,C26+1))),1))</f>
        <v>0</v>
      </c>
      <c r="AZ26" s="259">
        <v>0</v>
      </c>
      <c r="BA26" s="263">
        <v>0</v>
      </c>
      <c r="BB26" s="263">
        <v>0</v>
      </c>
      <c r="BC26" s="510">
        <v>0</v>
      </c>
      <c r="BD26" s="512">
        <v>0</v>
      </c>
      <c r="BE26" s="513">
        <v>0</v>
      </c>
      <c r="BF26" s="513">
        <v>0</v>
      </c>
      <c r="BG26" s="514">
        <v>0</v>
      </c>
      <c r="BH26" s="261">
        <v>0</v>
      </c>
      <c r="BI26" s="263">
        <v>0</v>
      </c>
      <c r="BJ26" s="263">
        <v>0</v>
      </c>
      <c r="BK26" s="510">
        <v>0</v>
      </c>
      <c r="BL26" s="512">
        <v>0</v>
      </c>
      <c r="BM26" s="513">
        <v>0</v>
      </c>
      <c r="BN26" s="513">
        <v>0</v>
      </c>
      <c r="BO26" s="513">
        <v>0</v>
      </c>
      <c r="BP26" s="261">
        <f t="shared" si="120"/>
        <v>0</v>
      </c>
      <c r="BQ26" s="578">
        <f t="shared" si="121"/>
        <v>0</v>
      </c>
      <c r="BR26" s="259">
        <f t="shared" si="122"/>
        <v>0</v>
      </c>
      <c r="BS26" s="578">
        <f t="shared" si="123"/>
        <v>0</v>
      </c>
      <c r="BT26" s="216">
        <f t="shared" si="124"/>
        <v>0.80219028062970565</v>
      </c>
      <c r="BU26" s="218">
        <f t="shared" si="5"/>
        <v>0</v>
      </c>
      <c r="BV26" s="216">
        <f t="shared" si="6"/>
        <v>0</v>
      </c>
      <c r="BW26" s="216">
        <f t="shared" si="7"/>
        <v>0</v>
      </c>
      <c r="BX26" s="216">
        <f t="shared" si="125"/>
        <v>0</v>
      </c>
      <c r="BY26" s="216">
        <f t="shared" si="8"/>
        <v>0</v>
      </c>
      <c r="BZ26" s="216">
        <f t="shared" si="9"/>
        <v>0</v>
      </c>
      <c r="CA26" s="264">
        <f t="shared" si="10"/>
        <v>0</v>
      </c>
      <c r="CB26" s="216">
        <f t="shared" si="11"/>
        <v>0</v>
      </c>
      <c r="CC26" s="216">
        <f t="shared" si="12"/>
        <v>0</v>
      </c>
      <c r="CD26" s="216">
        <f t="shared" si="126"/>
        <v>0</v>
      </c>
      <c r="CE26" s="216">
        <f t="shared" si="13"/>
        <v>0</v>
      </c>
      <c r="CF26" s="571">
        <f t="shared" si="14"/>
        <v>0</v>
      </c>
      <c r="CG26" s="573" t="str">
        <f t="shared" si="15"/>
        <v/>
      </c>
      <c r="CH26" s="219" t="str">
        <f t="shared" si="16"/>
        <v/>
      </c>
      <c r="CI26" s="219" t="str">
        <f t="shared" si="17"/>
        <v/>
      </c>
      <c r="CJ26" s="219" t="str">
        <f t="shared" si="18"/>
        <v/>
      </c>
      <c r="CK26" s="219" t="str">
        <f t="shared" si="19"/>
        <v/>
      </c>
      <c r="CL26" s="219" t="str">
        <f t="shared" si="20"/>
        <v/>
      </c>
      <c r="CM26" s="219" t="str">
        <f t="shared" si="21"/>
        <v/>
      </c>
      <c r="CN26" s="569" t="str">
        <f t="shared" si="22"/>
        <v/>
      </c>
      <c r="CO26" s="264">
        <f t="shared" ref="CO26:CO89" si="175">IF(OR(BQ26,BS26),VLOOKUP(A26,GasTable,13)*HeatRatePeak*(1+VLOOKUP($B26,HeatRateDegradation,$C26+1))/1000,0)</f>
        <v>0</v>
      </c>
      <c r="CP26" s="216">
        <f t="shared" si="127"/>
        <v>0</v>
      </c>
      <c r="CQ26" s="216">
        <f t="shared" si="128"/>
        <v>0</v>
      </c>
      <c r="CR26" s="216">
        <f t="shared" si="129"/>
        <v>0</v>
      </c>
      <c r="CS26" s="1626">
        <f t="shared" si="130"/>
        <v>0</v>
      </c>
      <c r="CT26" s="216">
        <f t="shared" si="131"/>
        <v>0</v>
      </c>
      <c r="CU26" s="575" t="str">
        <f t="shared" si="23"/>
        <v/>
      </c>
      <c r="CV26" s="154" t="str">
        <f t="shared" si="24"/>
        <v/>
      </c>
      <c r="CW26" s="216">
        <f>IF(OR($BQ26,$BS26),SpreadOptPowerMargin,0)*((1+Assumptions!$C$26)^($B26-YEAR(Assumptions!$C$17)))</f>
        <v>0</v>
      </c>
      <c r="CX26" s="216">
        <f>IF(OR($BQ26,$BS26),SpreadOptPowerMargin,0)*((1+Assumptions!$C$26)^($B26-YEAR(Assumptions!$C$17)))</f>
        <v>0</v>
      </c>
      <c r="CY26" s="216">
        <f>IF(OR($BQ26,$BS26),SpreadOptPowerMargin,0)*((1+Assumptions!$C$26)^($B26-YEAR(Assumptions!$C$17)))</f>
        <v>0</v>
      </c>
      <c r="CZ26" s="216">
        <f>IF(OR($BQ26,$BS26),SpreadOptPowerMargin,0)*((1+Assumptions!$C$26)^($B26-YEAR(Assumptions!$C$17)))</f>
        <v>0</v>
      </c>
      <c r="DA26" s="440">
        <f t="shared" si="25"/>
        <v>0</v>
      </c>
      <c r="DB26" s="479" t="str">
        <f t="shared" si="26"/>
        <v/>
      </c>
      <c r="DC26" s="479" t="str">
        <f t="shared" si="27"/>
        <v/>
      </c>
      <c r="DD26" s="479" t="str">
        <f t="shared" si="28"/>
        <v/>
      </c>
      <c r="DE26" s="479" t="str">
        <f t="shared" si="29"/>
        <v/>
      </c>
      <c r="DF26" s="479" t="str">
        <f t="shared" si="30"/>
        <v/>
      </c>
      <c r="DG26" s="574" t="str">
        <f t="shared" si="31"/>
        <v/>
      </c>
      <c r="DH26" s="216">
        <f t="shared" si="32"/>
        <v>0</v>
      </c>
      <c r="DI26" s="216">
        <f t="shared" si="33"/>
        <v>0</v>
      </c>
      <c r="DJ26" s="216">
        <f t="shared" si="34"/>
        <v>0</v>
      </c>
      <c r="DK26" s="216">
        <f t="shared" si="35"/>
        <v>0</v>
      </c>
      <c r="DL26" s="216">
        <f t="shared" si="36"/>
        <v>0</v>
      </c>
      <c r="DM26" s="216"/>
      <c r="DN26" s="216"/>
      <c r="DO26" s="216"/>
      <c r="DP26" s="216"/>
      <c r="DQ26" s="216"/>
      <c r="DR26" s="216"/>
      <c r="DS26" s="216"/>
      <c r="DT26" s="216"/>
      <c r="DU26" s="216"/>
      <c r="DV26" s="216"/>
      <c r="DW26" s="1371">
        <f t="shared" si="37"/>
        <v>0</v>
      </c>
      <c r="DX26" s="216">
        <f t="shared" si="38"/>
        <v>0</v>
      </c>
      <c r="DY26" s="440">
        <f t="shared" si="39"/>
        <v>0</v>
      </c>
      <c r="DZ26" s="180">
        <f t="shared" si="40"/>
        <v>0</v>
      </c>
      <c r="EA26" s="180">
        <f t="shared" si="41"/>
        <v>0</v>
      </c>
      <c r="EB26" s="180">
        <f t="shared" si="42"/>
        <v>0</v>
      </c>
      <c r="EC26" s="180">
        <f t="shared" si="43"/>
        <v>0</v>
      </c>
      <c r="ED26" s="180">
        <f t="shared" si="44"/>
        <v>0</v>
      </c>
      <c r="EE26" s="581">
        <f t="shared" si="45"/>
        <v>0</v>
      </c>
      <c r="EF26" s="554">
        <f t="shared" si="46"/>
        <v>0</v>
      </c>
      <c r="EG26" s="554">
        <f t="shared" si="47"/>
        <v>0</v>
      </c>
      <c r="EH26" s="554">
        <f t="shared" si="48"/>
        <v>0</v>
      </c>
      <c r="EI26" s="561">
        <f t="shared" si="49"/>
        <v>0</v>
      </c>
      <c r="EJ26" s="581">
        <f t="shared" si="132"/>
        <v>0</v>
      </c>
      <c r="EK26" s="554">
        <f t="shared" si="133"/>
        <v>0</v>
      </c>
      <c r="EL26" s="554">
        <f t="shared" si="134"/>
        <v>0</v>
      </c>
      <c r="EM26" s="554">
        <f t="shared" si="135"/>
        <v>0</v>
      </c>
      <c r="EN26" s="561">
        <f t="shared" si="136"/>
        <v>0</v>
      </c>
      <c r="EO26" s="180">
        <f t="shared" si="50"/>
        <v>0</v>
      </c>
      <c r="EP26" s="180">
        <f t="shared" si="51"/>
        <v>0</v>
      </c>
      <c r="EQ26" s="180">
        <f t="shared" si="52"/>
        <v>0</v>
      </c>
      <c r="ER26" s="180">
        <f t="shared" si="53"/>
        <v>0</v>
      </c>
      <c r="ES26" s="180">
        <f t="shared" si="54"/>
        <v>0</v>
      </c>
      <c r="ET26" s="1482">
        <f t="shared" si="55"/>
        <v>0</v>
      </c>
      <c r="EU26" s="180">
        <f t="shared" si="56"/>
        <v>0</v>
      </c>
      <c r="EV26" s="180">
        <f t="shared" si="57"/>
        <v>0</v>
      </c>
      <c r="EW26" s="180">
        <f t="shared" si="58"/>
        <v>0</v>
      </c>
      <c r="EX26" s="555">
        <f t="shared" si="59"/>
        <v>0</v>
      </c>
      <c r="EY26" s="180">
        <f t="shared" si="137"/>
        <v>0</v>
      </c>
      <c r="EZ26" s="180">
        <f t="shared" si="138"/>
        <v>0</v>
      </c>
      <c r="FA26" s="180">
        <f t="shared" si="139"/>
        <v>0</v>
      </c>
      <c r="FB26" s="180">
        <f t="shared" si="140"/>
        <v>0</v>
      </c>
      <c r="FC26" s="180">
        <f t="shared" si="141"/>
        <v>0</v>
      </c>
      <c r="FD26" s="262">
        <f>IF(AX26,IF(VLOOKUP(C26,MAIN!$L$17:$M$28,2)="Yes",VLOOKUP(CALC!B26,MAIN!$H$17:$I$20,2),0),0)</f>
        <v>0</v>
      </c>
      <c r="FE26" s="623">
        <f t="shared" si="60"/>
        <v>0</v>
      </c>
      <c r="FF26" s="535">
        <f t="shared" si="61"/>
        <v>0</v>
      </c>
      <c r="FG26" s="535">
        <f t="shared" si="62"/>
        <v>0</v>
      </c>
      <c r="FH26" s="624">
        <f t="shared" si="63"/>
        <v>0</v>
      </c>
      <c r="FI26" s="632">
        <f>IF(AX26,VLOOKUP(CALC!B26,MAIN!$H$17:$K$20,4),0)</f>
        <v>0</v>
      </c>
      <c r="FJ26" s="535">
        <f t="shared" si="64"/>
        <v>0</v>
      </c>
      <c r="FK26" s="648">
        <f t="shared" si="142"/>
        <v>0</v>
      </c>
      <c r="FL26" s="530">
        <f t="shared" si="143"/>
        <v>0</v>
      </c>
      <c r="FM26" s="530">
        <f t="shared" si="144"/>
        <v>0</v>
      </c>
      <c r="FN26" s="530">
        <f t="shared" si="145"/>
        <v>0</v>
      </c>
      <c r="FO26" s="622">
        <f t="shared" si="146"/>
        <v>0</v>
      </c>
      <c r="FP26" s="530">
        <f t="shared" si="147"/>
        <v>0</v>
      </c>
      <c r="FQ26" s="530">
        <f t="shared" si="148"/>
        <v>0</v>
      </c>
      <c r="FR26" s="530">
        <f t="shared" si="149"/>
        <v>0</v>
      </c>
      <c r="FS26" s="625">
        <f t="shared" si="150"/>
        <v>0</v>
      </c>
      <c r="FT26" s="640">
        <f>IF(AND(Assumptions!$H$71="Yes",A26&gt;=Assumptions!$H$72,A26&lt;=Assumptions!$H$73),0,IF(AND($A26&gt;=Assumptions!$C$17,$A26&lt;=Assumptions!$C$18),MAX(AZ26*(1+VLOOKUP($C26,WeatherCapacityAdjustment,2))-FL26,0),0))</f>
        <v>0</v>
      </c>
      <c r="FU26" s="530">
        <f>IF(AND(Assumptions!$H$71="Yes",A26&gt;=Assumptions!$H$72,A26&lt;=Assumptions!$H$73),0,IF(AND($A26&gt;=Assumptions!$C$17,$A26&lt;=Assumptions!$C$18),MAX(BA26*(1+VLOOKUP($C26,WeatherCapacityAdjustment,2))-FM26,0),0))</f>
        <v>0</v>
      </c>
      <c r="FV26" s="530">
        <f>IF(AND(Assumptions!$H$71="Yes",A26&gt;=Assumptions!$H$72,A26&lt;=Assumptions!$H$73),0,IF(AND($A26&gt;=Assumptions!$C$17,$A26&lt;=Assumptions!$C$18),MAX(BB26*(1+VLOOKUP($C26,WeatherCapacityAdjustment,2))-FN26,0),0))</f>
        <v>0</v>
      </c>
      <c r="FW26" s="622">
        <f>IF(AND(Assumptions!$H$71="Yes",A26&gt;=Assumptions!$H$72,A26&lt;=Assumptions!$H$73),0,IF(AND($A26&gt;=Assumptions!$C$17,$A26&lt;=Assumptions!$C$18),MAX(BC26*(1+VLOOKUP($C26,WeatherCapacityAdjustment,3))-FO26,0),0))</f>
        <v>0</v>
      </c>
      <c r="FX26" s="621">
        <f>IF(AND(Assumptions!$H$71="Yes",A26&gt;=Assumptions!$H$72,A26&lt;=Assumptions!$H$73),0,IF(ET26&gt;0,MAX(BH26*(1+VLOOKUP($C26,WeatherCapacityAdjustment,2))-FP26,0),0))</f>
        <v>0</v>
      </c>
      <c r="FY26" s="530">
        <f>IF(AND(Assumptions!$H$71="Yes",A26&gt;=Assumptions!$H$72,A26&lt;=Assumptions!$H$73),0,IF(EU26&gt;0,MAX(BI26*(1+VLOOKUP($C26,WeatherCapacityAdjustment,3))-FQ26,0),0))</f>
        <v>0</v>
      </c>
      <c r="FZ26" s="530">
        <f>IF(AND(Assumptions!$H$71="Yes",A26&gt;=Assumptions!$H$72,A26&lt;=Assumptions!$H$73),0,IF(EV26&gt;0,MAX(BJ26*(1+VLOOKUP($C26,WeatherCapacityAdjustment,2))-FR26,0),0))</f>
        <v>0</v>
      </c>
      <c r="GA26" s="622">
        <f>IF(AND(Assumptions!$H$71="Yes",A26&gt;=Assumptions!$H$72,A26&lt;=Assumptions!$H$73),0,IF(EW26&gt;0,MAX(BK26*(1+VLOOKUP($C26,WeatherCapacityAdjustment,2))-FS26,0),0))</f>
        <v>0</v>
      </c>
      <c r="GB26" s="530">
        <f t="shared" si="65"/>
        <v>0</v>
      </c>
      <c r="GC26" s="545">
        <f t="shared" si="66"/>
        <v>0</v>
      </c>
      <c r="GD26" s="530">
        <f t="shared" si="67"/>
        <v>0</v>
      </c>
      <c r="GE26" s="1485">
        <f t="shared" si="151"/>
        <v>0</v>
      </c>
      <c r="GF26" s="1776">
        <f t="shared" si="168"/>
        <v>0</v>
      </c>
      <c r="GG26" s="545">
        <f t="shared" si="169"/>
        <v>0</v>
      </c>
      <c r="GH26" s="622">
        <f t="shared" si="170"/>
        <v>0</v>
      </c>
      <c r="GI26" s="621">
        <f t="shared" si="152"/>
        <v>0</v>
      </c>
      <c r="GJ26" s="638">
        <f t="shared" si="68"/>
        <v>0</v>
      </c>
      <c r="GK26" s="625">
        <f t="shared" si="166"/>
        <v>0</v>
      </c>
      <c r="GL26" s="640">
        <f t="shared" si="171"/>
        <v>0</v>
      </c>
      <c r="GM26" s="530">
        <f t="shared" si="172"/>
        <v>0</v>
      </c>
      <c r="GN26" s="530">
        <f t="shared" si="173"/>
        <v>0</v>
      </c>
      <c r="GO26" s="622">
        <f t="shared" si="174"/>
        <v>0</v>
      </c>
      <c r="GP26" s="530">
        <f t="shared" si="73"/>
        <v>0</v>
      </c>
      <c r="GQ26" s="545">
        <f t="shared" si="74"/>
        <v>0</v>
      </c>
      <c r="GR26" s="625">
        <f t="shared" si="75"/>
        <v>0</v>
      </c>
      <c r="GS26" s="640">
        <f>IF($A26&gt;=BegDate,Assumptions!$C$56*24*($A27-$A26)*(1-VLOOKUP($B26,MAIN!$AA$7:$AM$28,$C26+1))*(1-VLOOKUP($B26,MAIN!$AA$33:$AM$54,$C26+1)),0)*80/168</f>
        <v>0</v>
      </c>
      <c r="GT26" s="1715">
        <f t="shared" si="153"/>
        <v>30.791250000000002</v>
      </c>
      <c r="GU26" s="1715">
        <f>IF($A26&gt;=BegDate,VLOOKUP($A26,GasTable,13)+Assumptions!$C$58,0)</f>
        <v>0</v>
      </c>
      <c r="GV26" s="1715">
        <f>GU26*Assumptions!$C$57/1000</f>
        <v>0</v>
      </c>
      <c r="GW26" s="625">
        <f>IF(Assumptions!$C$60="Hourly",MAX(0,GS26*(GT26-GV26)),GS26*(GT26-GV26))</f>
        <v>0</v>
      </c>
      <c r="GX26" s="640">
        <f>IF($A26&gt;=BegDate,Assumptions!$C$56*24*($A27-$A26)*(1-VLOOKUP($B26,MAIN!$AA$7:$AM$28,$C26+1))*(1-VLOOKUP($B26,MAIN!$AA$33:$AM$54,$C26+1)),0)*16/168</f>
        <v>0</v>
      </c>
      <c r="GY26" s="1715">
        <f t="shared" si="154"/>
        <v>30.791250000000002</v>
      </c>
      <c r="GZ26" s="1715">
        <f>IF($A26&gt;=BegDate,VLOOKUP($A26,GasTable,13)+Assumptions!$C$58,0)</f>
        <v>0</v>
      </c>
      <c r="HA26" s="1715">
        <f>GZ26*Assumptions!$C$57/1000</f>
        <v>0</v>
      </c>
      <c r="HB26" s="625">
        <f>IF(Assumptions!$C$60="Hourly",MAX(0,GX26*(GY26-HA26)),GX26*(GY26-HA26))</f>
        <v>0</v>
      </c>
      <c r="HC26" s="640">
        <f>IF($A26&gt;=BegDate,Assumptions!$C$56*24*($A27-$A26)*(1-VLOOKUP($B26,MAIN!$AA$7:$AM$28,$C26+1))*(1-VLOOKUP($B26,MAIN!$AA$33:$AM$54,$C26+1)),0)*16/168</f>
        <v>0</v>
      </c>
      <c r="HD26" s="1715">
        <f t="shared" si="155"/>
        <v>22.518438</v>
      </c>
      <c r="HE26" s="1715">
        <f>IF($A26&gt;=BegDate,VLOOKUP($A26,GasTable,13)+Assumptions!$C$58,0)</f>
        <v>0</v>
      </c>
      <c r="HF26" s="1715">
        <f>HE26*Assumptions!$C$57/1000</f>
        <v>0</v>
      </c>
      <c r="HG26" s="625">
        <f>IF(Assumptions!$C$60="Hourly",MAX(0,HC26*(HD26-HF26)),HC26*(HD26-HF26))</f>
        <v>0</v>
      </c>
      <c r="HH26" s="640">
        <f>IF($A26&gt;=BegDate,Assumptions!$C$56*24*($A27-$A26)*(1-VLOOKUP($B26,MAIN!$AA$7:$AM$28,$C26+1))*(1-VLOOKUP($B26,MAIN!$AA$33:$AM$54,$C26+1)),0)*56/168</f>
        <v>0</v>
      </c>
      <c r="HI26" s="1715">
        <f t="shared" si="156"/>
        <v>22.518438</v>
      </c>
      <c r="HJ26" s="1715">
        <f>IF($A26&gt;=BegDate,VLOOKUP($A26,GasTable,13)+Assumptions!$C$58,0)</f>
        <v>0</v>
      </c>
      <c r="HK26" s="1715">
        <f>HJ26*Assumptions!$C$57/1000</f>
        <v>0</v>
      </c>
      <c r="HL26" s="625">
        <f>IF(Assumptions!$C$60="Hourly",MAX(0,HH26*(HI26-HK26)),HH26*(HI26-HK26))</f>
        <v>0</v>
      </c>
      <c r="HM26" s="640">
        <f>IF(AND(Assumptions!$H$71="Yes",A26&gt;=Assumptions!$H$72,A26&lt;=Assumptions!$H$73),Assumptions!$H$74*Assumptions!$C$9*1000,0)</f>
        <v>0</v>
      </c>
      <c r="HN26" s="625"/>
      <c r="HO26" s="1414">
        <f t="shared" si="167"/>
        <v>2012</v>
      </c>
      <c r="HP26" s="640">
        <f t="shared" si="76"/>
        <v>0</v>
      </c>
      <c r="HQ26" s="154">
        <f t="shared" si="157"/>
        <v>0</v>
      </c>
      <c r="HR26" s="622">
        <f t="shared" si="77"/>
        <v>0</v>
      </c>
      <c r="HS26" s="621">
        <f t="shared" ca="1" si="78"/>
        <v>6285600</v>
      </c>
      <c r="HT26" s="545">
        <f t="shared" ca="1" si="158"/>
        <v>44.371744617265641</v>
      </c>
      <c r="HU26" s="530">
        <f t="shared" ca="1" si="79"/>
        <v>278903037.96628493</v>
      </c>
      <c r="HV26" s="621">
        <f t="shared" ca="1" si="159"/>
        <v>278903037.96628493</v>
      </c>
      <c r="HW26" s="530">
        <f t="shared" ca="1" si="80"/>
        <v>1177814.6118825653</v>
      </c>
      <c r="HX26" s="530">
        <f t="shared" ca="1" si="81"/>
        <v>7742538.6257894998</v>
      </c>
      <c r="HY26" s="530">
        <f>IF(Assumptions!$L$24="Yes",HW26+HX26,0)</f>
        <v>0</v>
      </c>
      <c r="HZ26" s="640">
        <f t="shared" ca="1" si="160"/>
        <v>44753495.396400005</v>
      </c>
      <c r="IA26" s="545">
        <f t="shared" ca="1" si="161"/>
        <v>-3.142405614256365</v>
      </c>
      <c r="IB26" s="622">
        <f t="shared" ca="1" si="82"/>
        <v>-140633635.19124377</v>
      </c>
      <c r="IC26" s="621">
        <f t="shared" ca="1" si="83"/>
        <v>6285600</v>
      </c>
      <c r="ID26" s="545">
        <f t="shared" ca="1" si="162"/>
        <v>-2.1511666235201594</v>
      </c>
      <c r="IE26" s="622">
        <f t="shared" ca="1" si="84"/>
        <v>-13521372.928798314</v>
      </c>
      <c r="IF26" s="530">
        <f t="shared" ca="1" si="85"/>
        <v>0</v>
      </c>
      <c r="IG26" s="545">
        <f t="shared" ca="1" si="163"/>
        <v>0</v>
      </c>
      <c r="IH26" s="622">
        <f t="shared" ca="1" si="86"/>
        <v>0</v>
      </c>
      <c r="II26" s="1645">
        <f>(SUMIF($B$17:$B$292,HO26,$GW$17:$GW$292)+SUMIF($B$17:$B$292,HO26,$HB$17:$HB$292)+SUMIF($B$17:$B$292,HO26,$HG$17:$HG$292)+SUMIF($B$17:$B$292,HO26,$HL$17:$HL$292))*Assumptions!$C$59</f>
        <v>1375986.3772826644</v>
      </c>
      <c r="IJ26" s="1463">
        <f t="shared" si="164"/>
        <v>0</v>
      </c>
      <c r="IK26" s="1463"/>
    </row>
    <row r="27" spans="1:245">
      <c r="A27" s="177">
        <f t="shared" si="87"/>
        <v>36951</v>
      </c>
      <c r="B27" s="349">
        <f t="shared" si="88"/>
        <v>2001</v>
      </c>
      <c r="C27" s="15">
        <f t="shared" si="89"/>
        <v>3</v>
      </c>
      <c r="D27" s="612" t="str">
        <f t="shared" si="90"/>
        <v/>
      </c>
      <c r="E27" s="609" t="str">
        <f t="shared" si="91"/>
        <v/>
      </c>
      <c r="F27" s="614" t="str">
        <f t="shared" si="2"/>
        <v/>
      </c>
      <c r="G27" s="1349">
        <v>0</v>
      </c>
      <c r="H27" s="152">
        <f t="shared" si="165"/>
        <v>1</v>
      </c>
      <c r="I27" s="154">
        <f>IF(Assumptions!$L$25=4,VLOOKUP($A27,'Henwood Reference'!$E$9:$R$320,10),(VLOOKUP($A27,PriceTable,2,0)+IF(BasisNumber&lt;&gt;1,VLOOKUP($A27,BasisTable,2,0),0)+I$1)/(1-I$2))</f>
        <v>29.195766000000003</v>
      </c>
      <c r="J27" s="154">
        <f>IF(Assumptions!$L$25=4,VLOOKUP($A27,'Henwood Reference'!$E$9:$R$320,10),(VLOOKUP($A27,PriceTable,3,0)+IF(BasisNumber&lt;&gt;1,VLOOKUP($A27,BasisTable,2,0),0)+J$1)/(1-J$2))</f>
        <v>29.195766000000003</v>
      </c>
      <c r="K27" s="154">
        <f>IF(Assumptions!$L$25=4,VLOOKUP($A27,'Henwood Reference'!$E$9:$R$320,10),(VLOOKUP($A27,PriceTable,4,0)+IF(BasisNumber&lt;&gt;1,VLOOKUP($A27,BasisTable,2,0),0)+K$1)/(1-K$2))</f>
        <v>29.195766000000003</v>
      </c>
      <c r="L27" s="474">
        <f>IF(Assumptions!$L$25=4,VLOOKUP($A27,'Henwood Reference'!$E$9:$R$320,10),(VLOOKUP($A27,PriceTableWeekend,2,0)+IF(BasisNumber&lt;&gt;1,VLOOKUP($A27,BasisTable,2,0),0)+L$1)/(1-L$2))</f>
        <v>29.195766000000003</v>
      </c>
      <c r="M27" s="154">
        <f>IF(Assumptions!$L$25=4,VLOOKUP($A27,'Henwood Reference'!$E$9:$R$320,10),(VLOOKUP($A27,PriceTableWeekend,3,0)+IF(BasisNumber&lt;&gt;1,VLOOKUP($A27,BasisTable,2,0),0)+M$1)/(1-M$2))</f>
        <v>29.195766000000003</v>
      </c>
      <c r="N27" s="156">
        <f>IF(Assumptions!$L$25=4,VLOOKUP($A27,'Henwood Reference'!$E$9:$R$320,10),(VLOOKUP($A27,PriceTableWeekend,4,0)+IF(BasisNumber&lt;&gt;1,VLOOKUP($A27,BasisTable,2,0),0)+N$1)/(1-N$2))</f>
        <v>29.195766000000003</v>
      </c>
      <c r="O27" s="154">
        <f>IF(Assumptions!$L$25=4,VLOOKUP($A27,'Henwood Reference'!$E$9:$R$320,11),(VLOOKUP($A27,PriceTableWeekend,6,0)+IF(BasisNumber&lt;&gt;1,VLOOKUP($A27,BasisTable,3,0),0)+O$1)/(1-O$2))</f>
        <v>20.097467999999999</v>
      </c>
      <c r="P27" s="154">
        <f>IF(Assumptions!$L$25=4,VLOOKUP($A27,'Henwood Reference'!$E$9:$R$320,11),(VLOOKUP($A27,PriceTableWeekend,7,0)+IF(BasisNumber&lt;&gt;1,VLOOKUP($A27,BasisTable,3,0),0)+P$1)/(1-P$2))</f>
        <v>20.097467999999999</v>
      </c>
      <c r="Q27" s="156">
        <f>IF(Assumptions!$L$25=4,VLOOKUP($A27,'Henwood Reference'!$E$9:$R$320,11),(VLOOKUP($A27,PriceTableWeekend,8,0)+IF(BasisNumber&lt;&gt;1,VLOOKUP($A27,BasisTable,3,0),0)+Q$1)/(1-Q$2))</f>
        <v>20.097467999999999</v>
      </c>
      <c r="R27" s="154">
        <f>IF(Assumptions!$L$25=4,VLOOKUP($A27,'Henwood Reference'!$E$9:$R$320,11),(VLOOKUP($A27,PriceTable,6,0)+IF(BasisNumber&lt;&gt;1,VLOOKUP($A27,BasisTable,3,0),0)+R$1)/(1-R$2))</f>
        <v>20.097467999999999</v>
      </c>
      <c r="S27" s="154">
        <f>IF(Assumptions!$L$25=4,VLOOKUP($A27,'Henwood Reference'!$E$9:$R$320,11),(VLOOKUP($A27,PriceTable,7,0)+IF(BasisNumber&lt;&gt;1,VLOOKUP($A27,BasisTable,3,0),0)+S$1)/(1-S$2))</f>
        <v>20.097467999999999</v>
      </c>
      <c r="T27" s="155">
        <f>IF(Assumptions!$L$25=4,VLOOKUP($A27,'Henwood Reference'!$E$9:$R$320,11),(VLOOKUP($A27,PriceTable,8,0)+IF(BasisNumber&lt;&gt;1,VLOOKUP($A27,BasisTable,3,0),0)+T$1)/(1-T$2))</f>
        <v>20.097467999999999</v>
      </c>
      <c r="U27" s="173">
        <f t="shared" si="92"/>
        <v>0.22</v>
      </c>
      <c r="V27" s="173">
        <f t="shared" si="93"/>
        <v>0.2</v>
      </c>
      <c r="W27" s="174">
        <f t="shared" si="94"/>
        <v>0.28000000000000003</v>
      </c>
      <c r="X27" s="173">
        <f t="shared" si="95"/>
        <v>0.22</v>
      </c>
      <c r="Y27" s="173">
        <f t="shared" si="96"/>
        <v>0.2</v>
      </c>
      <c r="Z27" s="174">
        <f t="shared" si="97"/>
        <v>0.28000000000000003</v>
      </c>
      <c r="AA27" s="173">
        <f t="shared" si="98"/>
        <v>0.05</v>
      </c>
      <c r="AB27" s="173">
        <f t="shared" si="99"/>
        <v>0.11</v>
      </c>
      <c r="AC27" s="174">
        <f t="shared" si="100"/>
        <v>0.15</v>
      </c>
      <c r="AD27" s="173">
        <f t="shared" si="101"/>
        <v>0.05</v>
      </c>
      <c r="AE27" s="173">
        <f t="shared" si="102"/>
        <v>0.11</v>
      </c>
      <c r="AF27" s="174">
        <f t="shared" si="103"/>
        <v>0.15</v>
      </c>
      <c r="AG27" s="173">
        <f t="shared" si="104"/>
        <v>-0.1</v>
      </c>
      <c r="AH27" s="173">
        <f t="shared" si="105"/>
        <v>0.65</v>
      </c>
      <c r="AI27" s="174">
        <f t="shared" si="106"/>
        <v>0.1</v>
      </c>
      <c r="AJ27" s="173">
        <f t="shared" si="107"/>
        <v>-0.1</v>
      </c>
      <c r="AK27" s="173">
        <f t="shared" si="108"/>
        <v>0.65</v>
      </c>
      <c r="AL27" s="174">
        <f t="shared" si="109"/>
        <v>0.1</v>
      </c>
      <c r="AM27" s="173">
        <f t="shared" si="110"/>
        <v>-0.01</v>
      </c>
      <c r="AN27" s="173">
        <f t="shared" si="111"/>
        <v>0.16</v>
      </c>
      <c r="AO27" s="174">
        <f t="shared" si="112"/>
        <v>0.01</v>
      </c>
      <c r="AP27" s="173">
        <f t="shared" si="113"/>
        <v>-0.01</v>
      </c>
      <c r="AQ27" s="173">
        <f t="shared" si="114"/>
        <v>0.16</v>
      </c>
      <c r="AR27" s="175">
        <f t="shared" si="115"/>
        <v>0.01</v>
      </c>
      <c r="AS27" s="521">
        <f t="shared" si="116"/>
        <v>0.5</v>
      </c>
      <c r="AT27" s="349">
        <f t="shared" si="117"/>
        <v>0</v>
      </c>
      <c r="AU27" s="159">
        <f t="shared" si="3"/>
        <v>0</v>
      </c>
      <c r="AV27" s="159">
        <f t="shared" si="4"/>
        <v>0</v>
      </c>
      <c r="AW27" s="159">
        <f t="shared" si="118"/>
        <v>0</v>
      </c>
      <c r="AX27" s="15">
        <f t="shared" si="119"/>
        <v>0</v>
      </c>
      <c r="AY27" s="607">
        <f>IF(E27="",0,MIN((1-(1-VLOOKUP(B27,MAIN!$AA$7:$AM$28,C27+1))*(1-VLOOKUP(B27,MAIN!$AA$33:$AM$54,C27+1))),1))</f>
        <v>0</v>
      </c>
      <c r="AZ27" s="259">
        <v>0</v>
      </c>
      <c r="BA27" s="263">
        <v>0</v>
      </c>
      <c r="BB27" s="263">
        <v>0</v>
      </c>
      <c r="BC27" s="510">
        <v>0</v>
      </c>
      <c r="BD27" s="512">
        <v>0</v>
      </c>
      <c r="BE27" s="513">
        <v>0</v>
      </c>
      <c r="BF27" s="513">
        <v>0</v>
      </c>
      <c r="BG27" s="514">
        <v>0</v>
      </c>
      <c r="BH27" s="261">
        <v>0</v>
      </c>
      <c r="BI27" s="263">
        <v>0</v>
      </c>
      <c r="BJ27" s="263">
        <v>0</v>
      </c>
      <c r="BK27" s="510">
        <v>0</v>
      </c>
      <c r="BL27" s="512">
        <v>0</v>
      </c>
      <c r="BM27" s="513">
        <v>0</v>
      </c>
      <c r="BN27" s="513">
        <v>0</v>
      </c>
      <c r="BO27" s="513">
        <v>0</v>
      </c>
      <c r="BP27" s="261">
        <f t="shared" si="120"/>
        <v>0</v>
      </c>
      <c r="BQ27" s="578">
        <f t="shared" si="121"/>
        <v>0</v>
      </c>
      <c r="BR27" s="259">
        <f t="shared" si="122"/>
        <v>0</v>
      </c>
      <c r="BS27" s="578">
        <f t="shared" si="123"/>
        <v>0</v>
      </c>
      <c r="BT27" s="216">
        <f t="shared" si="124"/>
        <v>0.87885010266940455</v>
      </c>
      <c r="BU27" s="218">
        <f t="shared" si="5"/>
        <v>0</v>
      </c>
      <c r="BV27" s="216">
        <f t="shared" si="6"/>
        <v>0</v>
      </c>
      <c r="BW27" s="216">
        <f t="shared" si="7"/>
        <v>0</v>
      </c>
      <c r="BX27" s="216">
        <f t="shared" si="125"/>
        <v>0</v>
      </c>
      <c r="BY27" s="216">
        <f t="shared" si="8"/>
        <v>0</v>
      </c>
      <c r="BZ27" s="216">
        <f t="shared" si="9"/>
        <v>0</v>
      </c>
      <c r="CA27" s="264">
        <f t="shared" si="10"/>
        <v>0</v>
      </c>
      <c r="CB27" s="216">
        <f t="shared" si="11"/>
        <v>0</v>
      </c>
      <c r="CC27" s="216">
        <f t="shared" si="12"/>
        <v>0</v>
      </c>
      <c r="CD27" s="216">
        <f t="shared" si="126"/>
        <v>0</v>
      </c>
      <c r="CE27" s="216">
        <f t="shared" si="13"/>
        <v>0</v>
      </c>
      <c r="CF27" s="571">
        <f t="shared" si="14"/>
        <v>0</v>
      </c>
      <c r="CG27" s="573" t="str">
        <f t="shared" si="15"/>
        <v/>
      </c>
      <c r="CH27" s="219" t="str">
        <f t="shared" si="16"/>
        <v/>
      </c>
      <c r="CI27" s="219" t="str">
        <f t="shared" si="17"/>
        <v/>
      </c>
      <c r="CJ27" s="219" t="str">
        <f t="shared" si="18"/>
        <v/>
      </c>
      <c r="CK27" s="219" t="str">
        <f t="shared" si="19"/>
        <v/>
      </c>
      <c r="CL27" s="219" t="str">
        <f t="shared" si="20"/>
        <v/>
      </c>
      <c r="CM27" s="219" t="str">
        <f t="shared" si="21"/>
        <v/>
      </c>
      <c r="CN27" s="569" t="str">
        <f t="shared" si="22"/>
        <v/>
      </c>
      <c r="CO27" s="264">
        <f t="shared" si="175"/>
        <v>0</v>
      </c>
      <c r="CP27" s="216">
        <f t="shared" si="127"/>
        <v>0</v>
      </c>
      <c r="CQ27" s="216">
        <f t="shared" si="128"/>
        <v>0</v>
      </c>
      <c r="CR27" s="216">
        <f t="shared" si="129"/>
        <v>0</v>
      </c>
      <c r="CS27" s="1626">
        <f t="shared" si="130"/>
        <v>0</v>
      </c>
      <c r="CT27" s="216">
        <f t="shared" si="131"/>
        <v>0</v>
      </c>
      <c r="CU27" s="575" t="str">
        <f t="shared" si="23"/>
        <v/>
      </c>
      <c r="CV27" s="154" t="str">
        <f t="shared" si="24"/>
        <v/>
      </c>
      <c r="CW27" s="216">
        <f>IF(OR($BQ27,$BS27),SpreadOptPowerMargin,0)*((1+Assumptions!$C$26)^($B27-YEAR(Assumptions!$C$17)))</f>
        <v>0</v>
      </c>
      <c r="CX27" s="216">
        <f>IF(OR($BQ27,$BS27),SpreadOptPowerMargin,0)*((1+Assumptions!$C$26)^($B27-YEAR(Assumptions!$C$17)))</f>
        <v>0</v>
      </c>
      <c r="CY27" s="216">
        <f>IF(OR($BQ27,$BS27),SpreadOptPowerMargin,0)*((1+Assumptions!$C$26)^($B27-YEAR(Assumptions!$C$17)))</f>
        <v>0</v>
      </c>
      <c r="CZ27" s="216">
        <f>IF(OR($BQ27,$BS27),SpreadOptPowerMargin,0)*((1+Assumptions!$C$26)^($B27-YEAR(Assumptions!$C$17)))</f>
        <v>0</v>
      </c>
      <c r="DA27" s="440">
        <f t="shared" si="25"/>
        <v>0</v>
      </c>
      <c r="DB27" s="479" t="str">
        <f t="shared" si="26"/>
        <v/>
      </c>
      <c r="DC27" s="479" t="str">
        <f t="shared" si="27"/>
        <v/>
      </c>
      <c r="DD27" s="479" t="str">
        <f t="shared" si="28"/>
        <v/>
      </c>
      <c r="DE27" s="479" t="str">
        <f t="shared" si="29"/>
        <v/>
      </c>
      <c r="DF27" s="479" t="str">
        <f t="shared" si="30"/>
        <v/>
      </c>
      <c r="DG27" s="574" t="str">
        <f t="shared" si="31"/>
        <v/>
      </c>
      <c r="DH27" s="216">
        <f t="shared" si="32"/>
        <v>0</v>
      </c>
      <c r="DI27" s="216">
        <f t="shared" si="33"/>
        <v>0</v>
      </c>
      <c r="DJ27" s="216">
        <f t="shared" si="34"/>
        <v>0</v>
      </c>
      <c r="DK27" s="216">
        <f t="shared" si="35"/>
        <v>0</v>
      </c>
      <c r="DL27" s="216">
        <f t="shared" si="36"/>
        <v>0</v>
      </c>
      <c r="DM27" s="216"/>
      <c r="DN27" s="216"/>
      <c r="DO27" s="216"/>
      <c r="DP27" s="216"/>
      <c r="DQ27" s="216"/>
      <c r="DR27" s="216"/>
      <c r="DS27" s="216"/>
      <c r="DT27" s="216"/>
      <c r="DU27" s="216"/>
      <c r="DV27" s="216"/>
      <c r="DW27" s="1371">
        <f t="shared" si="37"/>
        <v>0</v>
      </c>
      <c r="DX27" s="216">
        <f t="shared" si="38"/>
        <v>0</v>
      </c>
      <c r="DY27" s="440">
        <f t="shared" si="39"/>
        <v>0</v>
      </c>
      <c r="DZ27" s="180">
        <f t="shared" si="40"/>
        <v>0</v>
      </c>
      <c r="EA27" s="180">
        <f t="shared" si="41"/>
        <v>0</v>
      </c>
      <c r="EB27" s="180">
        <f t="shared" si="42"/>
        <v>0</v>
      </c>
      <c r="EC27" s="180">
        <f t="shared" si="43"/>
        <v>0</v>
      </c>
      <c r="ED27" s="180">
        <f t="shared" si="44"/>
        <v>0</v>
      </c>
      <c r="EE27" s="581">
        <f t="shared" si="45"/>
        <v>0</v>
      </c>
      <c r="EF27" s="554">
        <f t="shared" si="46"/>
        <v>0</v>
      </c>
      <c r="EG27" s="554">
        <f t="shared" si="47"/>
        <v>0</v>
      </c>
      <c r="EH27" s="554">
        <f t="shared" si="48"/>
        <v>0</v>
      </c>
      <c r="EI27" s="561">
        <f t="shared" si="49"/>
        <v>0</v>
      </c>
      <c r="EJ27" s="581">
        <f t="shared" si="132"/>
        <v>0</v>
      </c>
      <c r="EK27" s="554">
        <f t="shared" si="133"/>
        <v>0</v>
      </c>
      <c r="EL27" s="554">
        <f t="shared" si="134"/>
        <v>0</v>
      </c>
      <c r="EM27" s="554">
        <f t="shared" si="135"/>
        <v>0</v>
      </c>
      <c r="EN27" s="561">
        <f t="shared" si="136"/>
        <v>0</v>
      </c>
      <c r="EO27" s="180">
        <f t="shared" si="50"/>
        <v>0</v>
      </c>
      <c r="EP27" s="180">
        <f t="shared" si="51"/>
        <v>0</v>
      </c>
      <c r="EQ27" s="180">
        <f t="shared" si="52"/>
        <v>0</v>
      </c>
      <c r="ER27" s="180">
        <f t="shared" si="53"/>
        <v>0</v>
      </c>
      <c r="ES27" s="180">
        <f t="shared" si="54"/>
        <v>0</v>
      </c>
      <c r="ET27" s="1482">
        <f t="shared" si="55"/>
        <v>0</v>
      </c>
      <c r="EU27" s="180">
        <f t="shared" si="56"/>
        <v>0</v>
      </c>
      <c r="EV27" s="180">
        <f t="shared" si="57"/>
        <v>0</v>
      </c>
      <c r="EW27" s="180">
        <f t="shared" si="58"/>
        <v>0</v>
      </c>
      <c r="EX27" s="555">
        <f t="shared" si="59"/>
        <v>0</v>
      </c>
      <c r="EY27" s="180">
        <f t="shared" si="137"/>
        <v>0</v>
      </c>
      <c r="EZ27" s="180">
        <f t="shared" si="138"/>
        <v>0</v>
      </c>
      <c r="FA27" s="180">
        <f t="shared" si="139"/>
        <v>0</v>
      </c>
      <c r="FB27" s="180">
        <f t="shared" si="140"/>
        <v>0</v>
      </c>
      <c r="FC27" s="180">
        <f t="shared" si="141"/>
        <v>0</v>
      </c>
      <c r="FD27" s="262">
        <f>IF(AX27,IF(VLOOKUP(C27,MAIN!$L$17:$M$28,2)="Yes",VLOOKUP(CALC!B27,MAIN!$H$17:$I$20,2),0),0)</f>
        <v>0</v>
      </c>
      <c r="FE27" s="623">
        <f t="shared" si="60"/>
        <v>0</v>
      </c>
      <c r="FF27" s="535">
        <f t="shared" si="61"/>
        <v>0</v>
      </c>
      <c r="FG27" s="535">
        <f t="shared" si="62"/>
        <v>0</v>
      </c>
      <c r="FH27" s="624">
        <f t="shared" si="63"/>
        <v>0</v>
      </c>
      <c r="FI27" s="632">
        <f>IF(AX27,VLOOKUP(CALC!B27,MAIN!$H$17:$K$20,4),0)</f>
        <v>0</v>
      </c>
      <c r="FJ27" s="535">
        <f t="shared" si="64"/>
        <v>0</v>
      </c>
      <c r="FK27" s="648">
        <f t="shared" si="142"/>
        <v>0</v>
      </c>
      <c r="FL27" s="530">
        <f t="shared" si="143"/>
        <v>0</v>
      </c>
      <c r="FM27" s="530">
        <f t="shared" si="144"/>
        <v>0</v>
      </c>
      <c r="FN27" s="530">
        <f t="shared" si="145"/>
        <v>0</v>
      </c>
      <c r="FO27" s="622">
        <f t="shared" si="146"/>
        <v>0</v>
      </c>
      <c r="FP27" s="530">
        <f t="shared" si="147"/>
        <v>0</v>
      </c>
      <c r="FQ27" s="530">
        <f t="shared" si="148"/>
        <v>0</v>
      </c>
      <c r="FR27" s="530">
        <f t="shared" si="149"/>
        <v>0</v>
      </c>
      <c r="FS27" s="625">
        <f t="shared" si="150"/>
        <v>0</v>
      </c>
      <c r="FT27" s="640">
        <f>IF(AND(Assumptions!$H$71="Yes",A27&gt;=Assumptions!$H$72,A27&lt;=Assumptions!$H$73),0,IF(AND($A27&gt;=Assumptions!$C$17,$A27&lt;=Assumptions!$C$18),MAX(AZ27*(1+VLOOKUP($C27,WeatherCapacityAdjustment,2))-FL27,0),0))</f>
        <v>0</v>
      </c>
      <c r="FU27" s="530">
        <f>IF(AND(Assumptions!$H$71="Yes",A27&gt;=Assumptions!$H$72,A27&lt;=Assumptions!$H$73),0,IF(AND($A27&gt;=Assumptions!$C$17,$A27&lt;=Assumptions!$C$18),MAX(BA27*(1+VLOOKUP($C27,WeatherCapacityAdjustment,2))-FM27,0),0))</f>
        <v>0</v>
      </c>
      <c r="FV27" s="530">
        <f>IF(AND(Assumptions!$H$71="Yes",A27&gt;=Assumptions!$H$72,A27&lt;=Assumptions!$H$73),0,IF(AND($A27&gt;=Assumptions!$C$17,$A27&lt;=Assumptions!$C$18),MAX(BB27*(1+VLOOKUP($C27,WeatherCapacityAdjustment,2))-FN27,0),0))</f>
        <v>0</v>
      </c>
      <c r="FW27" s="622">
        <f>IF(AND(Assumptions!$H$71="Yes",A27&gt;=Assumptions!$H$72,A27&lt;=Assumptions!$H$73),0,IF(AND($A27&gt;=Assumptions!$C$17,$A27&lt;=Assumptions!$C$18),MAX(BC27*(1+VLOOKUP($C27,WeatherCapacityAdjustment,3))-FO27,0),0))</f>
        <v>0</v>
      </c>
      <c r="FX27" s="621">
        <f>IF(AND(Assumptions!$H$71="Yes",A27&gt;=Assumptions!$H$72,A27&lt;=Assumptions!$H$73),0,IF(ET27&gt;0,MAX(BH27*(1+VLOOKUP($C27,WeatherCapacityAdjustment,2))-FP27,0),0))</f>
        <v>0</v>
      </c>
      <c r="FY27" s="530">
        <f>IF(AND(Assumptions!$H$71="Yes",A27&gt;=Assumptions!$H$72,A27&lt;=Assumptions!$H$73),0,IF(EU27&gt;0,MAX(BI27*(1+VLOOKUP($C27,WeatherCapacityAdjustment,3))-FQ27,0),0))</f>
        <v>0</v>
      </c>
      <c r="FZ27" s="530">
        <f>IF(AND(Assumptions!$H$71="Yes",A27&gt;=Assumptions!$H$72,A27&lt;=Assumptions!$H$73),0,IF(EV27&gt;0,MAX(BJ27*(1+VLOOKUP($C27,WeatherCapacityAdjustment,2))-FR27,0),0))</f>
        <v>0</v>
      </c>
      <c r="GA27" s="622">
        <f>IF(AND(Assumptions!$H$71="Yes",A27&gt;=Assumptions!$H$72,A27&lt;=Assumptions!$H$73),0,IF(EW27&gt;0,MAX(BK27*(1+VLOOKUP($C27,WeatherCapacityAdjustment,2))-FS27,0),0))</f>
        <v>0</v>
      </c>
      <c r="GB27" s="530">
        <f t="shared" si="65"/>
        <v>0</v>
      </c>
      <c r="GC27" s="545">
        <f t="shared" si="66"/>
        <v>0</v>
      </c>
      <c r="GD27" s="530">
        <f t="shared" si="67"/>
        <v>0</v>
      </c>
      <c r="GE27" s="1485">
        <f t="shared" si="151"/>
        <v>0</v>
      </c>
      <c r="GF27" s="1776">
        <f t="shared" si="168"/>
        <v>0</v>
      </c>
      <c r="GG27" s="545">
        <f t="shared" si="169"/>
        <v>0</v>
      </c>
      <c r="GH27" s="622">
        <f t="shared" si="170"/>
        <v>0</v>
      </c>
      <c r="GI27" s="621">
        <f t="shared" si="152"/>
        <v>0</v>
      </c>
      <c r="GJ27" s="638">
        <f t="shared" si="68"/>
        <v>0</v>
      </c>
      <c r="GK27" s="625">
        <f t="shared" si="166"/>
        <v>0</v>
      </c>
      <c r="GL27" s="640">
        <f t="shared" si="171"/>
        <v>0</v>
      </c>
      <c r="GM27" s="530">
        <f t="shared" si="172"/>
        <v>0</v>
      </c>
      <c r="GN27" s="530">
        <f t="shared" si="173"/>
        <v>0</v>
      </c>
      <c r="GO27" s="622">
        <f t="shared" si="174"/>
        <v>0</v>
      </c>
      <c r="GP27" s="530">
        <f t="shared" si="73"/>
        <v>0</v>
      </c>
      <c r="GQ27" s="545">
        <f t="shared" si="74"/>
        <v>0</v>
      </c>
      <c r="GR27" s="625">
        <f t="shared" si="75"/>
        <v>0</v>
      </c>
      <c r="GS27" s="640">
        <f>IF($A27&gt;=BegDate,Assumptions!$C$56*24*($A28-$A27)*(1-VLOOKUP($B27,MAIN!$AA$7:$AM$28,$C27+1))*(1-VLOOKUP($B27,MAIN!$AA$33:$AM$54,$C27+1)),0)*80/168</f>
        <v>0</v>
      </c>
      <c r="GT27" s="1715">
        <f t="shared" si="153"/>
        <v>29.195766000000003</v>
      </c>
      <c r="GU27" s="1715">
        <f>IF($A27&gt;=BegDate,VLOOKUP($A27,GasTable,13)+Assumptions!$C$58,0)</f>
        <v>0</v>
      </c>
      <c r="GV27" s="1715">
        <f>GU27*Assumptions!$C$57/1000</f>
        <v>0</v>
      </c>
      <c r="GW27" s="625">
        <f>IF(Assumptions!$C$60="Hourly",MAX(0,GS27*(GT27-GV27)),GS27*(GT27-GV27))</f>
        <v>0</v>
      </c>
      <c r="GX27" s="640">
        <f>IF($A27&gt;=BegDate,Assumptions!$C$56*24*($A28-$A27)*(1-VLOOKUP($B27,MAIN!$AA$7:$AM$28,$C27+1))*(1-VLOOKUP($B27,MAIN!$AA$33:$AM$54,$C27+1)),0)*16/168</f>
        <v>0</v>
      </c>
      <c r="GY27" s="1715">
        <f t="shared" si="154"/>
        <v>29.195766000000003</v>
      </c>
      <c r="GZ27" s="1715">
        <f>IF($A27&gt;=BegDate,VLOOKUP($A27,GasTable,13)+Assumptions!$C$58,0)</f>
        <v>0</v>
      </c>
      <c r="HA27" s="1715">
        <f>GZ27*Assumptions!$C$57/1000</f>
        <v>0</v>
      </c>
      <c r="HB27" s="625">
        <f>IF(Assumptions!$C$60="Hourly",MAX(0,GX27*(GY27-HA27)),GX27*(GY27-HA27))</f>
        <v>0</v>
      </c>
      <c r="HC27" s="640">
        <f>IF($A27&gt;=BegDate,Assumptions!$C$56*24*($A28-$A27)*(1-VLOOKUP($B27,MAIN!$AA$7:$AM$28,$C27+1))*(1-VLOOKUP($B27,MAIN!$AA$33:$AM$54,$C27+1)),0)*16/168</f>
        <v>0</v>
      </c>
      <c r="HD27" s="1715">
        <f t="shared" si="155"/>
        <v>20.097467999999999</v>
      </c>
      <c r="HE27" s="1715">
        <f>IF($A27&gt;=BegDate,VLOOKUP($A27,GasTable,13)+Assumptions!$C$58,0)</f>
        <v>0</v>
      </c>
      <c r="HF27" s="1715">
        <f>HE27*Assumptions!$C$57/1000</f>
        <v>0</v>
      </c>
      <c r="HG27" s="625">
        <f>IF(Assumptions!$C$60="Hourly",MAX(0,HC27*(HD27-HF27)),HC27*(HD27-HF27))</f>
        <v>0</v>
      </c>
      <c r="HH27" s="640">
        <f>IF($A27&gt;=BegDate,Assumptions!$C$56*24*($A28-$A27)*(1-VLOOKUP($B27,MAIN!$AA$7:$AM$28,$C27+1))*(1-VLOOKUP($B27,MAIN!$AA$33:$AM$54,$C27+1)),0)*56/168</f>
        <v>0</v>
      </c>
      <c r="HI27" s="1715">
        <f t="shared" si="156"/>
        <v>20.097467999999999</v>
      </c>
      <c r="HJ27" s="1715">
        <f>IF($A27&gt;=BegDate,VLOOKUP($A27,GasTable,13)+Assumptions!$C$58,0)</f>
        <v>0</v>
      </c>
      <c r="HK27" s="1715">
        <f>HJ27*Assumptions!$C$57/1000</f>
        <v>0</v>
      </c>
      <c r="HL27" s="625">
        <f>IF(Assumptions!$C$60="Hourly",MAX(0,HH27*(HI27-HK27)),HH27*(HI27-HK27))</f>
        <v>0</v>
      </c>
      <c r="HM27" s="640">
        <f>IF(AND(Assumptions!$H$71="Yes",A27&gt;=Assumptions!$H$72,A27&lt;=Assumptions!$H$73),Assumptions!$H$74*Assumptions!$C$9*1000,0)</f>
        <v>0</v>
      </c>
      <c r="HN27" s="625"/>
      <c r="HO27" s="1414">
        <f t="shared" si="167"/>
        <v>2013</v>
      </c>
      <c r="HP27" s="640">
        <f t="shared" si="76"/>
        <v>0</v>
      </c>
      <c r="HQ27" s="154">
        <f t="shared" si="157"/>
        <v>0</v>
      </c>
      <c r="HR27" s="622">
        <f t="shared" si="77"/>
        <v>0</v>
      </c>
      <c r="HS27" s="621">
        <f t="shared" ca="1" si="78"/>
        <v>6320520</v>
      </c>
      <c r="HT27" s="545">
        <f t="shared" ca="1" si="158"/>
        <v>45.359121239681237</v>
      </c>
      <c r="HU27" s="530">
        <f t="shared" ca="1" si="79"/>
        <v>286693232.97783005</v>
      </c>
      <c r="HV27" s="621">
        <f t="shared" ca="1" si="159"/>
        <v>286693232.97783005</v>
      </c>
      <c r="HW27" s="530">
        <f t="shared" ca="1" si="80"/>
        <v>1361105.1194853785</v>
      </c>
      <c r="HX27" s="530">
        <f t="shared" ca="1" si="81"/>
        <v>8804345.6849152222</v>
      </c>
      <c r="HY27" s="530">
        <f>IF(Assumptions!$L$24="Yes",HW27+HX27,0)</f>
        <v>0</v>
      </c>
      <c r="HZ27" s="640">
        <f t="shared" ca="1" si="160"/>
        <v>45164337.926399998</v>
      </c>
      <c r="IA27" s="545">
        <f t="shared" ca="1" si="161"/>
        <v>-3.2286217728487063</v>
      </c>
      <c r="IB27" s="622">
        <f t="shared" ca="1" si="82"/>
        <v>-145818564.78547162</v>
      </c>
      <c r="IC27" s="621">
        <f t="shared" ca="1" si="83"/>
        <v>6320520</v>
      </c>
      <c r="ID27" s="545">
        <f t="shared" ca="1" si="162"/>
        <v>-2.1941899559905629</v>
      </c>
      <c r="IE27" s="622">
        <f t="shared" ca="1" si="84"/>
        <v>-13868421.500637474</v>
      </c>
      <c r="IF27" s="530">
        <f t="shared" ca="1" si="85"/>
        <v>0</v>
      </c>
      <c r="IG27" s="545">
        <f t="shared" ca="1" si="163"/>
        <v>0</v>
      </c>
      <c r="IH27" s="622">
        <f t="shared" ca="1" si="86"/>
        <v>0</v>
      </c>
      <c r="II27" s="1645">
        <f>(SUMIF($B$17:$B$292,HO27,$GW$17:$GW$292)+SUMIF($B$17:$B$292,HO27,$HB$17:$HB$292)+SUMIF($B$17:$B$292,HO27,$HG$17:$HG$292)+SUMIF($B$17:$B$292,HO27,$HL$17:$HL$292))*Assumptions!$C$59</f>
        <v>1402845.0329888631</v>
      </c>
      <c r="IJ27" s="1463">
        <f t="shared" si="164"/>
        <v>0</v>
      </c>
      <c r="IK27" s="1463"/>
    </row>
    <row r="28" spans="1:245">
      <c r="A28" s="177">
        <f t="shared" si="87"/>
        <v>36982</v>
      </c>
      <c r="B28" s="349">
        <f t="shared" si="88"/>
        <v>2001</v>
      </c>
      <c r="C28" s="15">
        <f t="shared" si="89"/>
        <v>4</v>
      </c>
      <c r="D28" s="612" t="str">
        <f t="shared" si="90"/>
        <v/>
      </c>
      <c r="E28" s="609" t="str">
        <f t="shared" si="91"/>
        <v/>
      </c>
      <c r="F28" s="614" t="str">
        <f t="shared" si="2"/>
        <v/>
      </c>
      <c r="G28" s="1349">
        <v>0</v>
      </c>
      <c r="H28" s="152">
        <f t="shared" si="165"/>
        <v>1</v>
      </c>
      <c r="I28" s="154">
        <f>IF(Assumptions!$L$25=4,VLOOKUP($A28,'Henwood Reference'!$E$9:$R$320,10),(VLOOKUP($A28,PriceTable,2,0)+IF(BasisNumber&lt;&gt;1,VLOOKUP($A28,BasisTable,2,0),0)+I$1)/(1-I$2))</f>
        <v>27.461358000000001</v>
      </c>
      <c r="J28" s="154">
        <f>IF(Assumptions!$L$25=4,VLOOKUP($A28,'Henwood Reference'!$E$9:$R$320,10),(VLOOKUP($A28,PriceTable,3,0)+IF(BasisNumber&lt;&gt;1,VLOOKUP($A28,BasisTable,2,0),0)+J$1)/(1-J$2))</f>
        <v>27.461358000000001</v>
      </c>
      <c r="K28" s="154">
        <f>IF(Assumptions!$L$25=4,VLOOKUP($A28,'Henwood Reference'!$E$9:$R$320,10),(VLOOKUP($A28,PriceTable,4,0)+IF(BasisNumber&lt;&gt;1,VLOOKUP($A28,BasisTable,2,0),0)+K$1)/(1-K$2))</f>
        <v>27.461358000000001</v>
      </c>
      <c r="L28" s="474">
        <f>IF(Assumptions!$L$25=4,VLOOKUP($A28,'Henwood Reference'!$E$9:$R$320,10),(VLOOKUP($A28,PriceTableWeekend,2,0)+IF(BasisNumber&lt;&gt;1,VLOOKUP($A28,BasisTable,2,0),0)+L$1)/(1-L$2))</f>
        <v>27.461358000000001</v>
      </c>
      <c r="M28" s="154">
        <f>IF(Assumptions!$L$25=4,VLOOKUP($A28,'Henwood Reference'!$E$9:$R$320,10),(VLOOKUP($A28,PriceTableWeekend,3,0)+IF(BasisNumber&lt;&gt;1,VLOOKUP($A28,BasisTable,2,0),0)+M$1)/(1-M$2))</f>
        <v>27.461358000000001</v>
      </c>
      <c r="N28" s="156">
        <f>IF(Assumptions!$L$25=4,VLOOKUP($A28,'Henwood Reference'!$E$9:$R$320,10),(VLOOKUP($A28,PriceTableWeekend,4,0)+IF(BasisNumber&lt;&gt;1,VLOOKUP($A28,BasisTable,2,0),0)+N$1)/(1-N$2))</f>
        <v>27.461358000000001</v>
      </c>
      <c r="O28" s="154">
        <f>IF(Assumptions!$L$25=4,VLOOKUP($A28,'Henwood Reference'!$E$9:$R$320,11),(VLOOKUP($A28,PriceTableWeekend,6,0)+IF(BasisNumber&lt;&gt;1,VLOOKUP($A28,BasisTable,3,0),0)+O$1)/(1-O$2))</f>
        <v>17.721377999999998</v>
      </c>
      <c r="P28" s="154">
        <f>IF(Assumptions!$L$25=4,VLOOKUP($A28,'Henwood Reference'!$E$9:$R$320,11),(VLOOKUP($A28,PriceTableWeekend,7,0)+IF(BasisNumber&lt;&gt;1,VLOOKUP($A28,BasisTable,3,0),0)+P$1)/(1-P$2))</f>
        <v>17.721377999999998</v>
      </c>
      <c r="Q28" s="156">
        <f>IF(Assumptions!$L$25=4,VLOOKUP($A28,'Henwood Reference'!$E$9:$R$320,11),(VLOOKUP($A28,PriceTableWeekend,8,0)+IF(BasisNumber&lt;&gt;1,VLOOKUP($A28,BasisTable,3,0),0)+Q$1)/(1-Q$2))</f>
        <v>17.721377999999998</v>
      </c>
      <c r="R28" s="154">
        <f>IF(Assumptions!$L$25=4,VLOOKUP($A28,'Henwood Reference'!$E$9:$R$320,11),(VLOOKUP($A28,PriceTable,6,0)+IF(BasisNumber&lt;&gt;1,VLOOKUP($A28,BasisTable,3,0),0)+R$1)/(1-R$2))</f>
        <v>17.721377999999998</v>
      </c>
      <c r="S28" s="154">
        <f>IF(Assumptions!$L$25=4,VLOOKUP($A28,'Henwood Reference'!$E$9:$R$320,11),(VLOOKUP($A28,PriceTable,7,0)+IF(BasisNumber&lt;&gt;1,VLOOKUP($A28,BasisTable,3,0),0)+S$1)/(1-S$2))</f>
        <v>17.721377999999998</v>
      </c>
      <c r="T28" s="155">
        <f>IF(Assumptions!$L$25=4,VLOOKUP($A28,'Henwood Reference'!$E$9:$R$320,11),(VLOOKUP($A28,PriceTable,8,0)+IF(BasisNumber&lt;&gt;1,VLOOKUP($A28,BasisTable,3,0),0)+T$1)/(1-T$2))</f>
        <v>17.721377999999998</v>
      </c>
      <c r="U28" s="173">
        <f t="shared" si="92"/>
        <v>0.22</v>
      </c>
      <c r="V28" s="173">
        <f t="shared" si="93"/>
        <v>0.25</v>
      </c>
      <c r="W28" s="174">
        <f t="shared" si="94"/>
        <v>0.28000000000000003</v>
      </c>
      <c r="X28" s="173">
        <f t="shared" si="95"/>
        <v>0.22</v>
      </c>
      <c r="Y28" s="173">
        <f t="shared" si="96"/>
        <v>0.25</v>
      </c>
      <c r="Z28" s="174">
        <f t="shared" si="97"/>
        <v>0.28000000000000003</v>
      </c>
      <c r="AA28" s="173">
        <f t="shared" si="98"/>
        <v>0.05</v>
      </c>
      <c r="AB28" s="173">
        <f t="shared" si="99"/>
        <v>0.11</v>
      </c>
      <c r="AC28" s="174">
        <f t="shared" si="100"/>
        <v>0.15</v>
      </c>
      <c r="AD28" s="173">
        <f t="shared" si="101"/>
        <v>0.05</v>
      </c>
      <c r="AE28" s="173">
        <f t="shared" si="102"/>
        <v>0.11</v>
      </c>
      <c r="AF28" s="174">
        <f t="shared" si="103"/>
        <v>0.15</v>
      </c>
      <c r="AG28" s="173">
        <f t="shared" si="104"/>
        <v>-0.1</v>
      </c>
      <c r="AH28" s="173">
        <f t="shared" si="105"/>
        <v>0.65</v>
      </c>
      <c r="AI28" s="174">
        <f t="shared" si="106"/>
        <v>0.1</v>
      </c>
      <c r="AJ28" s="173">
        <f t="shared" si="107"/>
        <v>-0.1</v>
      </c>
      <c r="AK28" s="173">
        <f t="shared" si="108"/>
        <v>0.65</v>
      </c>
      <c r="AL28" s="174">
        <f t="shared" si="109"/>
        <v>0.1</v>
      </c>
      <c r="AM28" s="173">
        <f t="shared" si="110"/>
        <v>-0.01</v>
      </c>
      <c r="AN28" s="173">
        <f t="shared" si="111"/>
        <v>0.16</v>
      </c>
      <c r="AO28" s="174">
        <f t="shared" si="112"/>
        <v>0.01</v>
      </c>
      <c r="AP28" s="173">
        <f t="shared" si="113"/>
        <v>-0.01</v>
      </c>
      <c r="AQ28" s="173">
        <f t="shared" si="114"/>
        <v>0.16</v>
      </c>
      <c r="AR28" s="175">
        <f t="shared" si="115"/>
        <v>0.01</v>
      </c>
      <c r="AS28" s="521">
        <f t="shared" si="116"/>
        <v>0.5</v>
      </c>
      <c r="AT28" s="349">
        <f t="shared" si="117"/>
        <v>0</v>
      </c>
      <c r="AU28" s="159">
        <f t="shared" si="3"/>
        <v>0</v>
      </c>
      <c r="AV28" s="159">
        <f t="shared" si="4"/>
        <v>0</v>
      </c>
      <c r="AW28" s="159">
        <f t="shared" si="118"/>
        <v>0</v>
      </c>
      <c r="AX28" s="15">
        <f t="shared" si="119"/>
        <v>0</v>
      </c>
      <c r="AY28" s="607">
        <f>IF(E28="",0,MIN((1-(1-VLOOKUP(B28,MAIN!$AA$7:$AM$28,C28+1))*(1-VLOOKUP(B28,MAIN!$AA$33:$AM$54,C28+1))),1))</f>
        <v>0</v>
      </c>
      <c r="AZ28" s="259">
        <v>0</v>
      </c>
      <c r="BA28" s="263">
        <v>0</v>
      </c>
      <c r="BB28" s="263">
        <v>0</v>
      </c>
      <c r="BC28" s="510">
        <v>0</v>
      </c>
      <c r="BD28" s="512">
        <v>0</v>
      </c>
      <c r="BE28" s="513">
        <v>0</v>
      </c>
      <c r="BF28" s="513">
        <v>0</v>
      </c>
      <c r="BG28" s="514">
        <v>0</v>
      </c>
      <c r="BH28" s="261">
        <v>0</v>
      </c>
      <c r="BI28" s="263">
        <v>0</v>
      </c>
      <c r="BJ28" s="263">
        <v>0</v>
      </c>
      <c r="BK28" s="510">
        <v>0</v>
      </c>
      <c r="BL28" s="512">
        <v>0</v>
      </c>
      <c r="BM28" s="513">
        <v>0</v>
      </c>
      <c r="BN28" s="513">
        <v>0</v>
      </c>
      <c r="BO28" s="513">
        <v>0</v>
      </c>
      <c r="BP28" s="261">
        <f t="shared" si="120"/>
        <v>0</v>
      </c>
      <c r="BQ28" s="578">
        <f t="shared" si="121"/>
        <v>0</v>
      </c>
      <c r="BR28" s="259">
        <f t="shared" si="122"/>
        <v>0</v>
      </c>
      <c r="BS28" s="578">
        <f t="shared" si="123"/>
        <v>0</v>
      </c>
      <c r="BT28" s="216">
        <f t="shared" si="124"/>
        <v>0.96372347707049966</v>
      </c>
      <c r="BU28" s="218">
        <f t="shared" si="5"/>
        <v>0</v>
      </c>
      <c r="BV28" s="216">
        <f t="shared" si="6"/>
        <v>0</v>
      </c>
      <c r="BW28" s="216">
        <f t="shared" si="7"/>
        <v>0</v>
      </c>
      <c r="BX28" s="216">
        <f t="shared" si="125"/>
        <v>0</v>
      </c>
      <c r="BY28" s="216">
        <f t="shared" si="8"/>
        <v>0</v>
      </c>
      <c r="BZ28" s="216">
        <f t="shared" si="9"/>
        <v>0</v>
      </c>
      <c r="CA28" s="264">
        <f t="shared" si="10"/>
        <v>0</v>
      </c>
      <c r="CB28" s="216">
        <f t="shared" si="11"/>
        <v>0</v>
      </c>
      <c r="CC28" s="216">
        <f t="shared" si="12"/>
        <v>0</v>
      </c>
      <c r="CD28" s="216">
        <f t="shared" si="126"/>
        <v>0</v>
      </c>
      <c r="CE28" s="216">
        <f t="shared" si="13"/>
        <v>0</v>
      </c>
      <c r="CF28" s="571">
        <f t="shared" si="14"/>
        <v>0</v>
      </c>
      <c r="CG28" s="573" t="str">
        <f t="shared" si="15"/>
        <v/>
      </c>
      <c r="CH28" s="219" t="str">
        <f t="shared" si="16"/>
        <v/>
      </c>
      <c r="CI28" s="219" t="str">
        <f t="shared" si="17"/>
        <v/>
      </c>
      <c r="CJ28" s="219" t="str">
        <f t="shared" si="18"/>
        <v/>
      </c>
      <c r="CK28" s="219" t="str">
        <f t="shared" si="19"/>
        <v/>
      </c>
      <c r="CL28" s="219" t="str">
        <f t="shared" si="20"/>
        <v/>
      </c>
      <c r="CM28" s="219" t="str">
        <f t="shared" si="21"/>
        <v/>
      </c>
      <c r="CN28" s="569" t="str">
        <f t="shared" si="22"/>
        <v/>
      </c>
      <c r="CO28" s="264">
        <f t="shared" si="175"/>
        <v>0</v>
      </c>
      <c r="CP28" s="216">
        <f t="shared" si="127"/>
        <v>0</v>
      </c>
      <c r="CQ28" s="216">
        <f t="shared" si="128"/>
        <v>0</v>
      </c>
      <c r="CR28" s="216">
        <f t="shared" si="129"/>
        <v>0</v>
      </c>
      <c r="CS28" s="1626">
        <f t="shared" si="130"/>
        <v>0</v>
      </c>
      <c r="CT28" s="216">
        <f t="shared" si="131"/>
        <v>0</v>
      </c>
      <c r="CU28" s="575" t="str">
        <f t="shared" si="23"/>
        <v/>
      </c>
      <c r="CV28" s="154" t="str">
        <f t="shared" si="24"/>
        <v/>
      </c>
      <c r="CW28" s="216">
        <f>IF(OR($BQ28,$BS28),SpreadOptPowerMargin,0)*((1+Assumptions!$C$26)^($B28-YEAR(Assumptions!$C$17)))</f>
        <v>0</v>
      </c>
      <c r="CX28" s="216">
        <f>IF(OR($BQ28,$BS28),SpreadOptPowerMargin,0)*((1+Assumptions!$C$26)^($B28-YEAR(Assumptions!$C$17)))</f>
        <v>0</v>
      </c>
      <c r="CY28" s="216">
        <f>IF(OR($BQ28,$BS28),SpreadOptPowerMargin,0)*((1+Assumptions!$C$26)^($B28-YEAR(Assumptions!$C$17)))</f>
        <v>0</v>
      </c>
      <c r="CZ28" s="216">
        <f>IF(OR($BQ28,$BS28),SpreadOptPowerMargin,0)*((1+Assumptions!$C$26)^($B28-YEAR(Assumptions!$C$17)))</f>
        <v>0</v>
      </c>
      <c r="DA28" s="440">
        <f t="shared" si="25"/>
        <v>0</v>
      </c>
      <c r="DB28" s="479" t="str">
        <f t="shared" si="26"/>
        <v/>
      </c>
      <c r="DC28" s="479" t="str">
        <f t="shared" si="27"/>
        <v/>
      </c>
      <c r="DD28" s="479" t="str">
        <f t="shared" si="28"/>
        <v/>
      </c>
      <c r="DE28" s="479" t="str">
        <f t="shared" si="29"/>
        <v/>
      </c>
      <c r="DF28" s="479" t="str">
        <f t="shared" si="30"/>
        <v/>
      </c>
      <c r="DG28" s="574" t="str">
        <f t="shared" si="31"/>
        <v/>
      </c>
      <c r="DH28" s="216">
        <f t="shared" si="32"/>
        <v>0</v>
      </c>
      <c r="DI28" s="216">
        <f t="shared" si="33"/>
        <v>0</v>
      </c>
      <c r="DJ28" s="216">
        <f t="shared" si="34"/>
        <v>0</v>
      </c>
      <c r="DK28" s="216">
        <f t="shared" si="35"/>
        <v>0</v>
      </c>
      <c r="DL28" s="216">
        <f t="shared" si="36"/>
        <v>0</v>
      </c>
      <c r="DM28" s="216"/>
      <c r="DN28" s="216"/>
      <c r="DO28" s="216"/>
      <c r="DP28" s="216"/>
      <c r="DQ28" s="216"/>
      <c r="DR28" s="216"/>
      <c r="DS28" s="216"/>
      <c r="DT28" s="216"/>
      <c r="DU28" s="216"/>
      <c r="DV28" s="216"/>
      <c r="DW28" s="1371">
        <f t="shared" si="37"/>
        <v>0</v>
      </c>
      <c r="DX28" s="216">
        <f t="shared" si="38"/>
        <v>0</v>
      </c>
      <c r="DY28" s="440">
        <f t="shared" si="39"/>
        <v>0</v>
      </c>
      <c r="DZ28" s="180">
        <f t="shared" si="40"/>
        <v>0</v>
      </c>
      <c r="EA28" s="180">
        <f t="shared" si="41"/>
        <v>0</v>
      </c>
      <c r="EB28" s="180">
        <f t="shared" si="42"/>
        <v>0</v>
      </c>
      <c r="EC28" s="180">
        <f t="shared" si="43"/>
        <v>0</v>
      </c>
      <c r="ED28" s="180">
        <f t="shared" si="44"/>
        <v>0</v>
      </c>
      <c r="EE28" s="581">
        <f t="shared" si="45"/>
        <v>0</v>
      </c>
      <c r="EF28" s="554">
        <f t="shared" si="46"/>
        <v>0</v>
      </c>
      <c r="EG28" s="554">
        <f t="shared" si="47"/>
        <v>0</v>
      </c>
      <c r="EH28" s="554">
        <f t="shared" si="48"/>
        <v>0</v>
      </c>
      <c r="EI28" s="561">
        <f t="shared" si="49"/>
        <v>0</v>
      </c>
      <c r="EJ28" s="581">
        <f t="shared" si="132"/>
        <v>0</v>
      </c>
      <c r="EK28" s="554">
        <f t="shared" si="133"/>
        <v>0</v>
      </c>
      <c r="EL28" s="554">
        <f t="shared" si="134"/>
        <v>0</v>
      </c>
      <c r="EM28" s="554">
        <f t="shared" si="135"/>
        <v>0</v>
      </c>
      <c r="EN28" s="561">
        <f t="shared" si="136"/>
        <v>0</v>
      </c>
      <c r="EO28" s="180">
        <f t="shared" si="50"/>
        <v>0</v>
      </c>
      <c r="EP28" s="180">
        <f t="shared" si="51"/>
        <v>0</v>
      </c>
      <c r="EQ28" s="180">
        <f t="shared" si="52"/>
        <v>0</v>
      </c>
      <c r="ER28" s="180">
        <f t="shared" si="53"/>
        <v>0</v>
      </c>
      <c r="ES28" s="180">
        <f t="shared" si="54"/>
        <v>0</v>
      </c>
      <c r="ET28" s="1482">
        <f t="shared" si="55"/>
        <v>0</v>
      </c>
      <c r="EU28" s="180">
        <f t="shared" si="56"/>
        <v>0</v>
      </c>
      <c r="EV28" s="180">
        <f t="shared" si="57"/>
        <v>0</v>
      </c>
      <c r="EW28" s="180">
        <f t="shared" si="58"/>
        <v>0</v>
      </c>
      <c r="EX28" s="555">
        <f t="shared" si="59"/>
        <v>0</v>
      </c>
      <c r="EY28" s="180">
        <f t="shared" si="137"/>
        <v>0</v>
      </c>
      <c r="EZ28" s="180">
        <f t="shared" si="138"/>
        <v>0</v>
      </c>
      <c r="FA28" s="180">
        <f t="shared" si="139"/>
        <v>0</v>
      </c>
      <c r="FB28" s="180">
        <f t="shared" si="140"/>
        <v>0</v>
      </c>
      <c r="FC28" s="180">
        <f t="shared" si="141"/>
        <v>0</v>
      </c>
      <c r="FD28" s="262">
        <f>IF(AX28,IF(VLOOKUP(C28,MAIN!$L$17:$M$28,2)="Yes",VLOOKUP(CALC!B28,MAIN!$H$17:$I$20,2),0),0)</f>
        <v>0</v>
      </c>
      <c r="FE28" s="623">
        <f t="shared" si="60"/>
        <v>0</v>
      </c>
      <c r="FF28" s="535">
        <f t="shared" si="61"/>
        <v>0</v>
      </c>
      <c r="FG28" s="535">
        <f t="shared" si="62"/>
        <v>0</v>
      </c>
      <c r="FH28" s="624">
        <f t="shared" si="63"/>
        <v>0</v>
      </c>
      <c r="FI28" s="632">
        <f>IF(AX28,VLOOKUP(CALC!B28,MAIN!$H$17:$K$20,4),0)</f>
        <v>0</v>
      </c>
      <c r="FJ28" s="535">
        <f t="shared" si="64"/>
        <v>0</v>
      </c>
      <c r="FK28" s="648">
        <f t="shared" si="142"/>
        <v>0</v>
      </c>
      <c r="FL28" s="530">
        <f t="shared" si="143"/>
        <v>0</v>
      </c>
      <c r="FM28" s="530">
        <f t="shared" si="144"/>
        <v>0</v>
      </c>
      <c r="FN28" s="530">
        <f t="shared" si="145"/>
        <v>0</v>
      </c>
      <c r="FO28" s="622">
        <f t="shared" si="146"/>
        <v>0</v>
      </c>
      <c r="FP28" s="530">
        <f t="shared" si="147"/>
        <v>0</v>
      </c>
      <c r="FQ28" s="530">
        <f t="shared" si="148"/>
        <v>0</v>
      </c>
      <c r="FR28" s="530">
        <f t="shared" si="149"/>
        <v>0</v>
      </c>
      <c r="FS28" s="625">
        <f t="shared" si="150"/>
        <v>0</v>
      </c>
      <c r="FT28" s="640">
        <f>IF(AND(Assumptions!$H$71="Yes",A28&gt;=Assumptions!$H$72,A28&lt;=Assumptions!$H$73),0,IF(AND($A28&gt;=Assumptions!$C$17,$A28&lt;=Assumptions!$C$18),MAX(AZ28*(1+VLOOKUP($C28,WeatherCapacityAdjustment,2))-FL28,0),0))</f>
        <v>0</v>
      </c>
      <c r="FU28" s="530">
        <f>IF(AND(Assumptions!$H$71="Yes",A28&gt;=Assumptions!$H$72,A28&lt;=Assumptions!$H$73),0,IF(AND($A28&gt;=Assumptions!$C$17,$A28&lt;=Assumptions!$C$18),MAX(BA28*(1+VLOOKUP($C28,WeatherCapacityAdjustment,2))-FM28,0),0))</f>
        <v>0</v>
      </c>
      <c r="FV28" s="530">
        <f>IF(AND(Assumptions!$H$71="Yes",A28&gt;=Assumptions!$H$72,A28&lt;=Assumptions!$H$73),0,IF(AND($A28&gt;=Assumptions!$C$17,$A28&lt;=Assumptions!$C$18),MAX(BB28*(1+VLOOKUP($C28,WeatherCapacityAdjustment,2))-FN28,0),0))</f>
        <v>0</v>
      </c>
      <c r="FW28" s="622">
        <f>IF(AND(Assumptions!$H$71="Yes",A28&gt;=Assumptions!$H$72,A28&lt;=Assumptions!$H$73),0,IF(AND($A28&gt;=Assumptions!$C$17,$A28&lt;=Assumptions!$C$18),MAX(BC28*(1+VLOOKUP($C28,WeatherCapacityAdjustment,3))-FO28,0),0))</f>
        <v>0</v>
      </c>
      <c r="FX28" s="621">
        <f>IF(AND(Assumptions!$H$71="Yes",A28&gt;=Assumptions!$H$72,A28&lt;=Assumptions!$H$73),0,IF(ET28&gt;0,MAX(BH28*(1+VLOOKUP($C28,WeatherCapacityAdjustment,2))-FP28,0),0))</f>
        <v>0</v>
      </c>
      <c r="FY28" s="530">
        <f>IF(AND(Assumptions!$H$71="Yes",A28&gt;=Assumptions!$H$72,A28&lt;=Assumptions!$H$73),0,IF(EU28&gt;0,MAX(BI28*(1+VLOOKUP($C28,WeatherCapacityAdjustment,3))-FQ28,0),0))</f>
        <v>0</v>
      </c>
      <c r="FZ28" s="530">
        <f>IF(AND(Assumptions!$H$71="Yes",A28&gt;=Assumptions!$H$72,A28&lt;=Assumptions!$H$73),0,IF(EV28&gt;0,MAX(BJ28*(1+VLOOKUP($C28,WeatherCapacityAdjustment,2))-FR28,0),0))</f>
        <v>0</v>
      </c>
      <c r="GA28" s="622">
        <f>IF(AND(Assumptions!$H$71="Yes",A28&gt;=Assumptions!$H$72,A28&lt;=Assumptions!$H$73),0,IF(EW28&gt;0,MAX(BK28*(1+VLOOKUP($C28,WeatherCapacityAdjustment,2))-FS28,0),0))</f>
        <v>0</v>
      </c>
      <c r="GB28" s="530">
        <f t="shared" si="65"/>
        <v>0</v>
      </c>
      <c r="GC28" s="545">
        <f t="shared" si="66"/>
        <v>0</v>
      </c>
      <c r="GD28" s="530">
        <f t="shared" si="67"/>
        <v>0</v>
      </c>
      <c r="GE28" s="1485">
        <f t="shared" si="151"/>
        <v>0</v>
      </c>
      <c r="GF28" s="1776">
        <f t="shared" si="168"/>
        <v>0</v>
      </c>
      <c r="GG28" s="545">
        <f t="shared" si="169"/>
        <v>0</v>
      </c>
      <c r="GH28" s="622">
        <f t="shared" si="170"/>
        <v>0</v>
      </c>
      <c r="GI28" s="621">
        <f t="shared" si="152"/>
        <v>0</v>
      </c>
      <c r="GJ28" s="638">
        <f t="shared" si="68"/>
        <v>0</v>
      </c>
      <c r="GK28" s="625">
        <f t="shared" si="166"/>
        <v>0</v>
      </c>
      <c r="GL28" s="640">
        <f t="shared" si="171"/>
        <v>0</v>
      </c>
      <c r="GM28" s="530">
        <f t="shared" si="172"/>
        <v>0</v>
      </c>
      <c r="GN28" s="530">
        <f t="shared" si="173"/>
        <v>0</v>
      </c>
      <c r="GO28" s="622">
        <f t="shared" si="174"/>
        <v>0</v>
      </c>
      <c r="GP28" s="530">
        <f t="shared" si="73"/>
        <v>0</v>
      </c>
      <c r="GQ28" s="545">
        <f t="shared" si="74"/>
        <v>0</v>
      </c>
      <c r="GR28" s="625">
        <f t="shared" si="75"/>
        <v>0</v>
      </c>
      <c r="GS28" s="640">
        <f>IF($A28&gt;=BegDate,Assumptions!$C$56*24*($A29-$A28)*(1-VLOOKUP($B28,MAIN!$AA$7:$AM$28,$C28+1))*(1-VLOOKUP($B28,MAIN!$AA$33:$AM$54,$C28+1)),0)*80/168</f>
        <v>0</v>
      </c>
      <c r="GT28" s="1715">
        <f t="shared" si="153"/>
        <v>27.461358000000001</v>
      </c>
      <c r="GU28" s="1715">
        <f>IF($A28&gt;=BegDate,VLOOKUP($A28,GasTable,13)+Assumptions!$C$58,0)</f>
        <v>0</v>
      </c>
      <c r="GV28" s="1715">
        <f>GU28*Assumptions!$C$57/1000</f>
        <v>0</v>
      </c>
      <c r="GW28" s="625">
        <f>IF(Assumptions!$C$60="Hourly",MAX(0,GS28*(GT28-GV28)),GS28*(GT28-GV28))</f>
        <v>0</v>
      </c>
      <c r="GX28" s="640">
        <f>IF($A28&gt;=BegDate,Assumptions!$C$56*24*($A29-$A28)*(1-VLOOKUP($B28,MAIN!$AA$7:$AM$28,$C28+1))*(1-VLOOKUP($B28,MAIN!$AA$33:$AM$54,$C28+1)),0)*16/168</f>
        <v>0</v>
      </c>
      <c r="GY28" s="1715">
        <f t="shared" si="154"/>
        <v>27.461358000000001</v>
      </c>
      <c r="GZ28" s="1715">
        <f>IF($A28&gt;=BegDate,VLOOKUP($A28,GasTable,13)+Assumptions!$C$58,0)</f>
        <v>0</v>
      </c>
      <c r="HA28" s="1715">
        <f>GZ28*Assumptions!$C$57/1000</f>
        <v>0</v>
      </c>
      <c r="HB28" s="625">
        <f>IF(Assumptions!$C$60="Hourly",MAX(0,GX28*(GY28-HA28)),GX28*(GY28-HA28))</f>
        <v>0</v>
      </c>
      <c r="HC28" s="640">
        <f>IF($A28&gt;=BegDate,Assumptions!$C$56*24*($A29-$A28)*(1-VLOOKUP($B28,MAIN!$AA$7:$AM$28,$C28+1))*(1-VLOOKUP($B28,MAIN!$AA$33:$AM$54,$C28+1)),0)*16/168</f>
        <v>0</v>
      </c>
      <c r="HD28" s="1715">
        <f t="shared" si="155"/>
        <v>17.721377999999998</v>
      </c>
      <c r="HE28" s="1715">
        <f>IF($A28&gt;=BegDate,VLOOKUP($A28,GasTable,13)+Assumptions!$C$58,0)</f>
        <v>0</v>
      </c>
      <c r="HF28" s="1715">
        <f>HE28*Assumptions!$C$57/1000</f>
        <v>0</v>
      </c>
      <c r="HG28" s="625">
        <f>IF(Assumptions!$C$60="Hourly",MAX(0,HC28*(HD28-HF28)),HC28*(HD28-HF28))</f>
        <v>0</v>
      </c>
      <c r="HH28" s="640">
        <f>IF($A28&gt;=BegDate,Assumptions!$C$56*24*($A29-$A28)*(1-VLOOKUP($B28,MAIN!$AA$7:$AM$28,$C28+1))*(1-VLOOKUP($B28,MAIN!$AA$33:$AM$54,$C28+1)),0)*56/168</f>
        <v>0</v>
      </c>
      <c r="HI28" s="1715">
        <f t="shared" si="156"/>
        <v>17.721377999999998</v>
      </c>
      <c r="HJ28" s="1715">
        <f>IF($A28&gt;=BegDate,VLOOKUP($A28,GasTable,13)+Assumptions!$C$58,0)</f>
        <v>0</v>
      </c>
      <c r="HK28" s="1715">
        <f>HJ28*Assumptions!$C$57/1000</f>
        <v>0</v>
      </c>
      <c r="HL28" s="625">
        <f>IF(Assumptions!$C$60="Hourly",MAX(0,HH28*(HI28-HK28)),HH28*(HI28-HK28))</f>
        <v>0</v>
      </c>
      <c r="HM28" s="640">
        <f>IF(AND(Assumptions!$H$71="Yes",A28&gt;=Assumptions!$H$72,A28&lt;=Assumptions!$H$73),Assumptions!$H$74*Assumptions!$C$9*1000,0)</f>
        <v>0</v>
      </c>
      <c r="HN28" s="625"/>
      <c r="HO28" s="1414">
        <f t="shared" si="167"/>
        <v>2014</v>
      </c>
      <c r="HP28" s="640">
        <f t="shared" si="76"/>
        <v>0</v>
      </c>
      <c r="HQ28" s="154">
        <f t="shared" si="157"/>
        <v>0</v>
      </c>
      <c r="HR28" s="622">
        <f t="shared" si="77"/>
        <v>0</v>
      </c>
      <c r="HS28" s="621">
        <f t="shared" ca="1" si="78"/>
        <v>6320520</v>
      </c>
      <c r="HT28" s="545">
        <f t="shared" ca="1" si="158"/>
        <v>44.484223266639553</v>
      </c>
      <c r="HU28" s="530">
        <f t="shared" ca="1" si="79"/>
        <v>281163422.84126061</v>
      </c>
      <c r="HV28" s="621">
        <f t="shared" ca="1" si="159"/>
        <v>281163422.84126061</v>
      </c>
      <c r="HW28" s="530">
        <f t="shared" ca="1" si="80"/>
        <v>1620821.7579299409</v>
      </c>
      <c r="HX28" s="530">
        <f t="shared" ca="1" si="81"/>
        <v>10119192.390096061</v>
      </c>
      <c r="HY28" s="530">
        <f>IF(Assumptions!$L$24="Yes",HW28+HX28,0)</f>
        <v>0</v>
      </c>
      <c r="HZ28" s="640">
        <f t="shared" ca="1" si="160"/>
        <v>45387325.872000009</v>
      </c>
      <c r="IA28" s="545">
        <f t="shared" ca="1" si="161"/>
        <v>-3.3040847977050576</v>
      </c>
      <c r="IB28" s="622">
        <f t="shared" ca="1" si="82"/>
        <v>-149963573.42216069</v>
      </c>
      <c r="IC28" s="621">
        <f t="shared" ca="1" si="83"/>
        <v>6320520</v>
      </c>
      <c r="ID28" s="545">
        <f t="shared" ca="1" si="162"/>
        <v>-2.2380737551103733</v>
      </c>
      <c r="IE28" s="622">
        <f t="shared" ca="1" si="84"/>
        <v>-14145789.930650217</v>
      </c>
      <c r="IF28" s="530">
        <f t="shared" ca="1" si="85"/>
        <v>0</v>
      </c>
      <c r="IG28" s="545">
        <f t="shared" ca="1" si="163"/>
        <v>0</v>
      </c>
      <c r="IH28" s="622">
        <f t="shared" ca="1" si="86"/>
        <v>0</v>
      </c>
      <c r="II28" s="1645">
        <f>(SUMIF($B$17:$B$292,HO28,$GW$17:$GW$292)+SUMIF($B$17:$B$292,HO28,$HB$17:$HB$292)+SUMIF($B$17:$B$292,HO28,$HG$17:$HG$292)+SUMIF($B$17:$B$292,HO28,$HL$17:$HL$292))*Assumptions!$C$59</f>
        <v>1316957.5505336875</v>
      </c>
      <c r="IJ28" s="1463">
        <f t="shared" si="164"/>
        <v>0</v>
      </c>
      <c r="IK28" s="1463"/>
    </row>
    <row r="29" spans="1:245">
      <c r="A29" s="177">
        <f t="shared" si="87"/>
        <v>37012</v>
      </c>
      <c r="B29" s="349">
        <f t="shared" si="88"/>
        <v>2001</v>
      </c>
      <c r="C29" s="15">
        <f t="shared" si="89"/>
        <v>5</v>
      </c>
      <c r="D29" s="612" t="str">
        <f t="shared" si="90"/>
        <v/>
      </c>
      <c r="E29" s="609" t="str">
        <f t="shared" si="91"/>
        <v/>
      </c>
      <c r="F29" s="614" t="str">
        <f t="shared" si="2"/>
        <v/>
      </c>
      <c r="G29" s="1349">
        <v>0</v>
      </c>
      <c r="H29" s="152">
        <f t="shared" si="165"/>
        <v>1</v>
      </c>
      <c r="I29" s="154">
        <f>IF(Assumptions!$L$25=4,VLOOKUP($A29,'Henwood Reference'!$E$9:$R$320,10),(VLOOKUP($A29,PriceTable,2,0)+IF(BasisNumber&lt;&gt;1,VLOOKUP($A29,BasisTable,2,0),0)+I$1)/(1-I$2))</f>
        <v>27.187794</v>
      </c>
      <c r="J29" s="154">
        <f>IF(Assumptions!$L$25=4,VLOOKUP($A29,'Henwood Reference'!$E$9:$R$320,10),(VLOOKUP($A29,PriceTable,3,0)+IF(BasisNumber&lt;&gt;1,VLOOKUP($A29,BasisTable,2,0),0)+J$1)/(1-J$2))</f>
        <v>27.187794</v>
      </c>
      <c r="K29" s="154">
        <f>IF(Assumptions!$L$25=4,VLOOKUP($A29,'Henwood Reference'!$E$9:$R$320,10),(VLOOKUP($A29,PriceTable,4,0)+IF(BasisNumber&lt;&gt;1,VLOOKUP($A29,BasisTable,2,0),0)+K$1)/(1-K$2))</f>
        <v>27.187794</v>
      </c>
      <c r="L29" s="474">
        <f>IF(Assumptions!$L$25=4,VLOOKUP($A29,'Henwood Reference'!$E$9:$R$320,10),(VLOOKUP($A29,PriceTableWeekend,2,0)+IF(BasisNumber&lt;&gt;1,VLOOKUP($A29,BasisTable,2,0),0)+L$1)/(1-L$2))</f>
        <v>27.187794</v>
      </c>
      <c r="M29" s="154">
        <f>IF(Assumptions!$L$25=4,VLOOKUP($A29,'Henwood Reference'!$E$9:$R$320,10),(VLOOKUP($A29,PriceTableWeekend,3,0)+IF(BasisNumber&lt;&gt;1,VLOOKUP($A29,BasisTable,2,0),0)+M$1)/(1-M$2))</f>
        <v>27.187794</v>
      </c>
      <c r="N29" s="156">
        <f>IF(Assumptions!$L$25=4,VLOOKUP($A29,'Henwood Reference'!$E$9:$R$320,10),(VLOOKUP($A29,PriceTableWeekend,4,0)+IF(BasisNumber&lt;&gt;1,VLOOKUP($A29,BasisTable,2,0),0)+N$1)/(1-N$2))</f>
        <v>27.187794</v>
      </c>
      <c r="O29" s="154">
        <f>IF(Assumptions!$L$25=4,VLOOKUP($A29,'Henwood Reference'!$E$9:$R$320,11),(VLOOKUP($A29,PriceTableWeekend,6,0)+IF(BasisNumber&lt;&gt;1,VLOOKUP($A29,BasisTable,3,0),0)+O$1)/(1-O$2))</f>
        <v>13.710024000000001</v>
      </c>
      <c r="P29" s="154">
        <f>IF(Assumptions!$L$25=4,VLOOKUP($A29,'Henwood Reference'!$E$9:$R$320,11),(VLOOKUP($A29,PriceTableWeekend,7,0)+IF(BasisNumber&lt;&gt;1,VLOOKUP($A29,BasisTable,3,0),0)+P$1)/(1-P$2))</f>
        <v>13.710024000000001</v>
      </c>
      <c r="Q29" s="156">
        <f>IF(Assumptions!$L$25=4,VLOOKUP($A29,'Henwood Reference'!$E$9:$R$320,11),(VLOOKUP($A29,PriceTableWeekend,8,0)+IF(BasisNumber&lt;&gt;1,VLOOKUP($A29,BasisTable,3,0),0)+Q$1)/(1-Q$2))</f>
        <v>13.710024000000001</v>
      </c>
      <c r="R29" s="154">
        <f>IF(Assumptions!$L$25=4,VLOOKUP($A29,'Henwood Reference'!$E$9:$R$320,11),(VLOOKUP($A29,PriceTable,6,0)+IF(BasisNumber&lt;&gt;1,VLOOKUP($A29,BasisTable,3,0),0)+R$1)/(1-R$2))</f>
        <v>13.710024000000001</v>
      </c>
      <c r="S29" s="154">
        <f>IF(Assumptions!$L$25=4,VLOOKUP($A29,'Henwood Reference'!$E$9:$R$320,11),(VLOOKUP($A29,PriceTable,7,0)+IF(BasisNumber&lt;&gt;1,VLOOKUP($A29,BasisTable,3,0),0)+S$1)/(1-S$2))</f>
        <v>13.710024000000001</v>
      </c>
      <c r="T29" s="155">
        <f>IF(Assumptions!$L$25=4,VLOOKUP($A29,'Henwood Reference'!$E$9:$R$320,11),(VLOOKUP($A29,PriceTable,8,0)+IF(BasisNumber&lt;&gt;1,VLOOKUP($A29,BasisTable,3,0),0)+T$1)/(1-T$2))</f>
        <v>13.710024000000001</v>
      </c>
      <c r="U29" s="173">
        <f t="shared" si="92"/>
        <v>0.22</v>
      </c>
      <c r="V29" s="173">
        <f t="shared" si="93"/>
        <v>0.25</v>
      </c>
      <c r="W29" s="174">
        <f t="shared" si="94"/>
        <v>0.28000000000000003</v>
      </c>
      <c r="X29" s="173">
        <f t="shared" si="95"/>
        <v>0.22</v>
      </c>
      <c r="Y29" s="173">
        <f t="shared" si="96"/>
        <v>0.25</v>
      </c>
      <c r="Z29" s="174">
        <f t="shared" si="97"/>
        <v>0.28000000000000003</v>
      </c>
      <c r="AA29" s="173">
        <f t="shared" si="98"/>
        <v>0.05</v>
      </c>
      <c r="AB29" s="173">
        <f t="shared" si="99"/>
        <v>0.11</v>
      </c>
      <c r="AC29" s="174">
        <f t="shared" si="100"/>
        <v>0.15</v>
      </c>
      <c r="AD29" s="173">
        <f t="shared" si="101"/>
        <v>0.05</v>
      </c>
      <c r="AE29" s="173">
        <f t="shared" si="102"/>
        <v>0.11</v>
      </c>
      <c r="AF29" s="174">
        <f t="shared" si="103"/>
        <v>0.15</v>
      </c>
      <c r="AG29" s="173">
        <f t="shared" si="104"/>
        <v>-0.1</v>
      </c>
      <c r="AH29" s="173">
        <f t="shared" si="105"/>
        <v>0.65</v>
      </c>
      <c r="AI29" s="174">
        <f t="shared" si="106"/>
        <v>0.1</v>
      </c>
      <c r="AJ29" s="173">
        <f t="shared" si="107"/>
        <v>-0.1</v>
      </c>
      <c r="AK29" s="173">
        <f t="shared" si="108"/>
        <v>0.65</v>
      </c>
      <c r="AL29" s="174">
        <f t="shared" si="109"/>
        <v>0.1</v>
      </c>
      <c r="AM29" s="173">
        <f t="shared" si="110"/>
        <v>-0.01</v>
      </c>
      <c r="AN29" s="173">
        <f t="shared" si="111"/>
        <v>0.16</v>
      </c>
      <c r="AO29" s="174">
        <f t="shared" si="112"/>
        <v>0.01</v>
      </c>
      <c r="AP29" s="173">
        <f t="shared" si="113"/>
        <v>-0.01</v>
      </c>
      <c r="AQ29" s="173">
        <f t="shared" si="114"/>
        <v>0.16</v>
      </c>
      <c r="AR29" s="175">
        <f t="shared" si="115"/>
        <v>0.01</v>
      </c>
      <c r="AS29" s="521">
        <f t="shared" si="116"/>
        <v>0.5</v>
      </c>
      <c r="AT29" s="349">
        <f t="shared" si="117"/>
        <v>0</v>
      </c>
      <c r="AU29" s="159">
        <f t="shared" si="3"/>
        <v>0</v>
      </c>
      <c r="AV29" s="159">
        <f t="shared" si="4"/>
        <v>0</v>
      </c>
      <c r="AW29" s="159">
        <f t="shared" si="118"/>
        <v>0</v>
      </c>
      <c r="AX29" s="15">
        <f t="shared" si="119"/>
        <v>0</v>
      </c>
      <c r="AY29" s="607">
        <f>IF(E29="",0,MIN((1-(1-VLOOKUP(B29,MAIN!$AA$7:$AM$28,C29+1))*(1-VLOOKUP(B29,MAIN!$AA$33:$AM$54,C29+1))),1))</f>
        <v>0</v>
      </c>
      <c r="AZ29" s="259">
        <v>0</v>
      </c>
      <c r="BA29" s="263">
        <v>0</v>
      </c>
      <c r="BB29" s="263">
        <v>0</v>
      </c>
      <c r="BC29" s="510">
        <v>0</v>
      </c>
      <c r="BD29" s="512">
        <v>0</v>
      </c>
      <c r="BE29" s="513">
        <v>0</v>
      </c>
      <c r="BF29" s="513">
        <v>0</v>
      </c>
      <c r="BG29" s="514">
        <v>0</v>
      </c>
      <c r="BH29" s="261">
        <v>0</v>
      </c>
      <c r="BI29" s="263">
        <v>0</v>
      </c>
      <c r="BJ29" s="263">
        <v>0</v>
      </c>
      <c r="BK29" s="510">
        <v>0</v>
      </c>
      <c r="BL29" s="512">
        <v>0</v>
      </c>
      <c r="BM29" s="513">
        <v>0</v>
      </c>
      <c r="BN29" s="513">
        <v>0</v>
      </c>
      <c r="BO29" s="513">
        <v>0</v>
      </c>
      <c r="BP29" s="261">
        <f t="shared" si="120"/>
        <v>0</v>
      </c>
      <c r="BQ29" s="578">
        <f t="shared" si="121"/>
        <v>0</v>
      </c>
      <c r="BR29" s="259">
        <f t="shared" si="122"/>
        <v>0</v>
      </c>
      <c r="BS29" s="578">
        <f t="shared" si="123"/>
        <v>0</v>
      </c>
      <c r="BT29" s="216">
        <f t="shared" si="124"/>
        <v>1.0458590006844628</v>
      </c>
      <c r="BU29" s="218">
        <f t="shared" si="5"/>
        <v>0</v>
      </c>
      <c r="BV29" s="216">
        <f t="shared" si="6"/>
        <v>0</v>
      </c>
      <c r="BW29" s="216">
        <f t="shared" si="7"/>
        <v>0</v>
      </c>
      <c r="BX29" s="216">
        <f t="shared" si="125"/>
        <v>0</v>
      </c>
      <c r="BY29" s="216">
        <f t="shared" si="8"/>
        <v>0</v>
      </c>
      <c r="BZ29" s="216">
        <f t="shared" si="9"/>
        <v>0</v>
      </c>
      <c r="CA29" s="264">
        <f t="shared" si="10"/>
        <v>0</v>
      </c>
      <c r="CB29" s="216">
        <f t="shared" si="11"/>
        <v>0</v>
      </c>
      <c r="CC29" s="216">
        <f t="shared" si="12"/>
        <v>0</v>
      </c>
      <c r="CD29" s="216">
        <f t="shared" si="126"/>
        <v>0</v>
      </c>
      <c r="CE29" s="216">
        <f t="shared" si="13"/>
        <v>0</v>
      </c>
      <c r="CF29" s="571">
        <f t="shared" si="14"/>
        <v>0</v>
      </c>
      <c r="CG29" s="573" t="str">
        <f t="shared" si="15"/>
        <v/>
      </c>
      <c r="CH29" s="219" t="str">
        <f t="shared" si="16"/>
        <v/>
      </c>
      <c r="CI29" s="219" t="str">
        <f t="shared" si="17"/>
        <v/>
      </c>
      <c r="CJ29" s="219" t="str">
        <f t="shared" si="18"/>
        <v/>
      </c>
      <c r="CK29" s="219" t="str">
        <f t="shared" si="19"/>
        <v/>
      </c>
      <c r="CL29" s="219" t="str">
        <f t="shared" si="20"/>
        <v/>
      </c>
      <c r="CM29" s="219" t="str">
        <f t="shared" si="21"/>
        <v/>
      </c>
      <c r="CN29" s="569" t="str">
        <f t="shared" si="22"/>
        <v/>
      </c>
      <c r="CO29" s="264">
        <f t="shared" si="175"/>
        <v>0</v>
      </c>
      <c r="CP29" s="216">
        <f t="shared" si="127"/>
        <v>0</v>
      </c>
      <c r="CQ29" s="216">
        <f t="shared" si="128"/>
        <v>0</v>
      </c>
      <c r="CR29" s="216">
        <f t="shared" si="129"/>
        <v>0</v>
      </c>
      <c r="CS29" s="1626">
        <f t="shared" si="130"/>
        <v>0</v>
      </c>
      <c r="CT29" s="216">
        <f t="shared" si="131"/>
        <v>0</v>
      </c>
      <c r="CU29" s="575" t="str">
        <f t="shared" si="23"/>
        <v/>
      </c>
      <c r="CV29" s="154" t="str">
        <f t="shared" si="24"/>
        <v/>
      </c>
      <c r="CW29" s="216">
        <f>IF(OR($BQ29,$BS29),SpreadOptPowerMargin,0)*((1+Assumptions!$C$26)^($B29-YEAR(Assumptions!$C$17)))</f>
        <v>0</v>
      </c>
      <c r="CX29" s="216">
        <f>IF(OR($BQ29,$BS29),SpreadOptPowerMargin,0)*((1+Assumptions!$C$26)^($B29-YEAR(Assumptions!$C$17)))</f>
        <v>0</v>
      </c>
      <c r="CY29" s="216">
        <f>IF(OR($BQ29,$BS29),SpreadOptPowerMargin,0)*((1+Assumptions!$C$26)^($B29-YEAR(Assumptions!$C$17)))</f>
        <v>0</v>
      </c>
      <c r="CZ29" s="216">
        <f>IF(OR($BQ29,$BS29),SpreadOptPowerMargin,0)*((1+Assumptions!$C$26)^($B29-YEAR(Assumptions!$C$17)))</f>
        <v>0</v>
      </c>
      <c r="DA29" s="440">
        <f t="shared" si="25"/>
        <v>0</v>
      </c>
      <c r="DB29" s="479" t="str">
        <f t="shared" si="26"/>
        <v/>
      </c>
      <c r="DC29" s="479" t="str">
        <f t="shared" si="27"/>
        <v/>
      </c>
      <c r="DD29" s="479" t="str">
        <f t="shared" si="28"/>
        <v/>
      </c>
      <c r="DE29" s="479" t="str">
        <f t="shared" si="29"/>
        <v/>
      </c>
      <c r="DF29" s="479" t="str">
        <f t="shared" si="30"/>
        <v/>
      </c>
      <c r="DG29" s="574" t="str">
        <f t="shared" si="31"/>
        <v/>
      </c>
      <c r="DH29" s="216">
        <f t="shared" si="32"/>
        <v>0</v>
      </c>
      <c r="DI29" s="216">
        <f t="shared" si="33"/>
        <v>0</v>
      </c>
      <c r="DJ29" s="216">
        <f t="shared" si="34"/>
        <v>0</v>
      </c>
      <c r="DK29" s="216">
        <f t="shared" si="35"/>
        <v>0</v>
      </c>
      <c r="DL29" s="216">
        <f t="shared" si="36"/>
        <v>0</v>
      </c>
      <c r="DM29" s="216"/>
      <c r="DN29" s="216"/>
      <c r="DO29" s="216"/>
      <c r="DP29" s="216"/>
      <c r="DQ29" s="216"/>
      <c r="DR29" s="216"/>
      <c r="DS29" s="216"/>
      <c r="DT29" s="216"/>
      <c r="DU29" s="216"/>
      <c r="DV29" s="216"/>
      <c r="DW29" s="1371">
        <f t="shared" si="37"/>
        <v>0</v>
      </c>
      <c r="DX29" s="216">
        <f t="shared" si="38"/>
        <v>0</v>
      </c>
      <c r="DY29" s="440">
        <f t="shared" si="39"/>
        <v>0</v>
      </c>
      <c r="DZ29" s="180">
        <f t="shared" si="40"/>
        <v>0</v>
      </c>
      <c r="EA29" s="180">
        <f t="shared" si="41"/>
        <v>0</v>
      </c>
      <c r="EB29" s="180">
        <f t="shared" si="42"/>
        <v>0</v>
      </c>
      <c r="EC29" s="180">
        <f t="shared" si="43"/>
        <v>0</v>
      </c>
      <c r="ED29" s="180">
        <f t="shared" si="44"/>
        <v>0</v>
      </c>
      <c r="EE29" s="581">
        <f t="shared" si="45"/>
        <v>0</v>
      </c>
      <c r="EF29" s="554">
        <f t="shared" si="46"/>
        <v>0</v>
      </c>
      <c r="EG29" s="554">
        <f t="shared" si="47"/>
        <v>0</v>
      </c>
      <c r="EH29" s="554">
        <f t="shared" si="48"/>
        <v>0</v>
      </c>
      <c r="EI29" s="561">
        <f t="shared" si="49"/>
        <v>0</v>
      </c>
      <c r="EJ29" s="581">
        <f t="shared" si="132"/>
        <v>0</v>
      </c>
      <c r="EK29" s="554">
        <f t="shared" si="133"/>
        <v>0</v>
      </c>
      <c r="EL29" s="554">
        <f t="shared" si="134"/>
        <v>0</v>
      </c>
      <c r="EM29" s="554">
        <f t="shared" si="135"/>
        <v>0</v>
      </c>
      <c r="EN29" s="561">
        <f t="shared" si="136"/>
        <v>0</v>
      </c>
      <c r="EO29" s="180">
        <f t="shared" si="50"/>
        <v>0</v>
      </c>
      <c r="EP29" s="180">
        <f t="shared" si="51"/>
        <v>0</v>
      </c>
      <c r="EQ29" s="180">
        <f t="shared" si="52"/>
        <v>0</v>
      </c>
      <c r="ER29" s="180">
        <f t="shared" si="53"/>
        <v>0</v>
      </c>
      <c r="ES29" s="180">
        <f t="shared" si="54"/>
        <v>0</v>
      </c>
      <c r="ET29" s="1482">
        <f t="shared" si="55"/>
        <v>0</v>
      </c>
      <c r="EU29" s="180">
        <f t="shared" si="56"/>
        <v>0</v>
      </c>
      <c r="EV29" s="180">
        <f t="shared" si="57"/>
        <v>0</v>
      </c>
      <c r="EW29" s="180">
        <f t="shared" si="58"/>
        <v>0</v>
      </c>
      <c r="EX29" s="555">
        <f t="shared" si="59"/>
        <v>0</v>
      </c>
      <c r="EY29" s="180">
        <f t="shared" si="137"/>
        <v>0</v>
      </c>
      <c r="EZ29" s="180">
        <f t="shared" si="138"/>
        <v>0</v>
      </c>
      <c r="FA29" s="180">
        <f t="shared" si="139"/>
        <v>0</v>
      </c>
      <c r="FB29" s="180">
        <f t="shared" si="140"/>
        <v>0</v>
      </c>
      <c r="FC29" s="180">
        <f t="shared" si="141"/>
        <v>0</v>
      </c>
      <c r="FD29" s="262">
        <f>IF(AX29,IF(VLOOKUP(C29,MAIN!$L$17:$M$28,2)="Yes",VLOOKUP(CALC!B29,MAIN!$H$17:$I$20,2),0),0)</f>
        <v>0</v>
      </c>
      <c r="FE29" s="623">
        <f t="shared" si="60"/>
        <v>0</v>
      </c>
      <c r="FF29" s="535">
        <f t="shared" si="61"/>
        <v>0</v>
      </c>
      <c r="FG29" s="535">
        <f t="shared" si="62"/>
        <v>0</v>
      </c>
      <c r="FH29" s="624">
        <f t="shared" si="63"/>
        <v>0</v>
      </c>
      <c r="FI29" s="632">
        <f>IF(AX29,VLOOKUP(CALC!B29,MAIN!$H$17:$K$20,4),0)</f>
        <v>0</v>
      </c>
      <c r="FJ29" s="535">
        <f t="shared" si="64"/>
        <v>0</v>
      </c>
      <c r="FK29" s="648">
        <f t="shared" si="142"/>
        <v>0</v>
      </c>
      <c r="FL29" s="530">
        <f t="shared" si="143"/>
        <v>0</v>
      </c>
      <c r="FM29" s="530">
        <f t="shared" si="144"/>
        <v>0</v>
      </c>
      <c r="FN29" s="530">
        <f t="shared" si="145"/>
        <v>0</v>
      </c>
      <c r="FO29" s="622">
        <f t="shared" si="146"/>
        <v>0</v>
      </c>
      <c r="FP29" s="530">
        <f t="shared" si="147"/>
        <v>0</v>
      </c>
      <c r="FQ29" s="530">
        <f t="shared" si="148"/>
        <v>0</v>
      </c>
      <c r="FR29" s="530">
        <f t="shared" si="149"/>
        <v>0</v>
      </c>
      <c r="FS29" s="625">
        <f t="shared" si="150"/>
        <v>0</v>
      </c>
      <c r="FT29" s="640">
        <f>IF(AND(Assumptions!$H$71="Yes",A29&gt;=Assumptions!$H$72,A29&lt;=Assumptions!$H$73),0,IF(AND($A29&gt;=Assumptions!$C$17,$A29&lt;=Assumptions!$C$18),MAX(AZ29*(1+VLOOKUP($C29,WeatherCapacityAdjustment,2))-FL29,0),0))</f>
        <v>0</v>
      </c>
      <c r="FU29" s="530">
        <f>IF(AND(Assumptions!$H$71="Yes",A29&gt;=Assumptions!$H$72,A29&lt;=Assumptions!$H$73),0,IF(AND($A29&gt;=Assumptions!$C$17,$A29&lt;=Assumptions!$C$18),MAX(BA29*(1+VLOOKUP($C29,WeatherCapacityAdjustment,2))-FM29,0),0))</f>
        <v>0</v>
      </c>
      <c r="FV29" s="530">
        <f>IF(AND(Assumptions!$H$71="Yes",A29&gt;=Assumptions!$H$72,A29&lt;=Assumptions!$H$73),0,IF(AND($A29&gt;=Assumptions!$C$17,$A29&lt;=Assumptions!$C$18),MAX(BB29*(1+VLOOKUP($C29,WeatherCapacityAdjustment,2))-FN29,0),0))</f>
        <v>0</v>
      </c>
      <c r="FW29" s="622">
        <f>IF(AND(Assumptions!$H$71="Yes",A29&gt;=Assumptions!$H$72,A29&lt;=Assumptions!$H$73),0,IF(AND($A29&gt;=Assumptions!$C$17,$A29&lt;=Assumptions!$C$18),MAX(BC29*(1+VLOOKUP($C29,WeatherCapacityAdjustment,3))-FO29,0),0))</f>
        <v>0</v>
      </c>
      <c r="FX29" s="621">
        <f>IF(AND(Assumptions!$H$71="Yes",A29&gt;=Assumptions!$H$72,A29&lt;=Assumptions!$H$73),0,IF(ET29&gt;0,MAX(BH29*(1+VLOOKUP($C29,WeatherCapacityAdjustment,2))-FP29,0),0))</f>
        <v>0</v>
      </c>
      <c r="FY29" s="530">
        <f>IF(AND(Assumptions!$H$71="Yes",A29&gt;=Assumptions!$H$72,A29&lt;=Assumptions!$H$73),0,IF(EU29&gt;0,MAX(BI29*(1+VLOOKUP($C29,WeatherCapacityAdjustment,3))-FQ29,0),0))</f>
        <v>0</v>
      </c>
      <c r="FZ29" s="530">
        <f>IF(AND(Assumptions!$H$71="Yes",A29&gt;=Assumptions!$H$72,A29&lt;=Assumptions!$H$73),0,IF(EV29&gt;0,MAX(BJ29*(1+VLOOKUP($C29,WeatherCapacityAdjustment,2))-FR29,0),0))</f>
        <v>0</v>
      </c>
      <c r="GA29" s="622">
        <f>IF(AND(Assumptions!$H$71="Yes",A29&gt;=Assumptions!$H$72,A29&lt;=Assumptions!$H$73),0,IF(EW29&gt;0,MAX(BK29*(1+VLOOKUP($C29,WeatherCapacityAdjustment,2))-FS29,0),0))</f>
        <v>0</v>
      </c>
      <c r="GB29" s="530">
        <f t="shared" si="65"/>
        <v>0</v>
      </c>
      <c r="GC29" s="545">
        <f t="shared" si="66"/>
        <v>0</v>
      </c>
      <c r="GD29" s="530">
        <f t="shared" si="67"/>
        <v>0</v>
      </c>
      <c r="GE29" s="1485">
        <f t="shared" si="151"/>
        <v>0</v>
      </c>
      <c r="GF29" s="1776">
        <f t="shared" si="168"/>
        <v>0</v>
      </c>
      <c r="GG29" s="545">
        <f t="shared" si="169"/>
        <v>0</v>
      </c>
      <c r="GH29" s="622">
        <f t="shared" si="170"/>
        <v>0</v>
      </c>
      <c r="GI29" s="621">
        <f t="shared" si="152"/>
        <v>0</v>
      </c>
      <c r="GJ29" s="638">
        <f t="shared" si="68"/>
        <v>0</v>
      </c>
      <c r="GK29" s="625">
        <f t="shared" si="166"/>
        <v>0</v>
      </c>
      <c r="GL29" s="640">
        <f t="shared" si="171"/>
        <v>0</v>
      </c>
      <c r="GM29" s="530">
        <f t="shared" si="172"/>
        <v>0</v>
      </c>
      <c r="GN29" s="530">
        <f t="shared" si="173"/>
        <v>0</v>
      </c>
      <c r="GO29" s="622">
        <f t="shared" si="174"/>
        <v>0</v>
      </c>
      <c r="GP29" s="530">
        <f t="shared" si="73"/>
        <v>0</v>
      </c>
      <c r="GQ29" s="545">
        <f t="shared" si="74"/>
        <v>0</v>
      </c>
      <c r="GR29" s="625">
        <f t="shared" si="75"/>
        <v>0</v>
      </c>
      <c r="GS29" s="640">
        <f>IF($A29&gt;=BegDate,Assumptions!$C$56*24*($A30-$A29)*(1-VLOOKUP($B29,MAIN!$AA$7:$AM$28,$C29+1))*(1-VLOOKUP($B29,MAIN!$AA$33:$AM$54,$C29+1)),0)*80/168</f>
        <v>0</v>
      </c>
      <c r="GT29" s="1715">
        <f t="shared" si="153"/>
        <v>27.187794</v>
      </c>
      <c r="GU29" s="1715">
        <f>IF($A29&gt;=BegDate,VLOOKUP($A29,GasTable,13)+Assumptions!$C$58,0)</f>
        <v>0</v>
      </c>
      <c r="GV29" s="1715">
        <f>GU29*Assumptions!$C$57/1000</f>
        <v>0</v>
      </c>
      <c r="GW29" s="625">
        <f>IF(Assumptions!$C$60="Hourly",MAX(0,GS29*(GT29-GV29)),GS29*(GT29-GV29))</f>
        <v>0</v>
      </c>
      <c r="GX29" s="640">
        <f>IF($A29&gt;=BegDate,Assumptions!$C$56*24*($A30-$A29)*(1-VLOOKUP($B29,MAIN!$AA$7:$AM$28,$C29+1))*(1-VLOOKUP($B29,MAIN!$AA$33:$AM$54,$C29+1)),0)*16/168</f>
        <v>0</v>
      </c>
      <c r="GY29" s="1715">
        <f t="shared" si="154"/>
        <v>27.187794</v>
      </c>
      <c r="GZ29" s="1715">
        <f>IF($A29&gt;=BegDate,VLOOKUP($A29,GasTable,13)+Assumptions!$C$58,0)</f>
        <v>0</v>
      </c>
      <c r="HA29" s="1715">
        <f>GZ29*Assumptions!$C$57/1000</f>
        <v>0</v>
      </c>
      <c r="HB29" s="625">
        <f>IF(Assumptions!$C$60="Hourly",MAX(0,GX29*(GY29-HA29)),GX29*(GY29-HA29))</f>
        <v>0</v>
      </c>
      <c r="HC29" s="640">
        <f>IF($A29&gt;=BegDate,Assumptions!$C$56*24*($A30-$A29)*(1-VLOOKUP($B29,MAIN!$AA$7:$AM$28,$C29+1))*(1-VLOOKUP($B29,MAIN!$AA$33:$AM$54,$C29+1)),0)*16/168</f>
        <v>0</v>
      </c>
      <c r="HD29" s="1715">
        <f t="shared" si="155"/>
        <v>13.710024000000001</v>
      </c>
      <c r="HE29" s="1715">
        <f>IF($A29&gt;=BegDate,VLOOKUP($A29,GasTable,13)+Assumptions!$C$58,0)</f>
        <v>0</v>
      </c>
      <c r="HF29" s="1715">
        <f>HE29*Assumptions!$C$57/1000</f>
        <v>0</v>
      </c>
      <c r="HG29" s="625">
        <f>IF(Assumptions!$C$60="Hourly",MAX(0,HC29*(HD29-HF29)),HC29*(HD29-HF29))</f>
        <v>0</v>
      </c>
      <c r="HH29" s="640">
        <f>IF($A29&gt;=BegDate,Assumptions!$C$56*24*($A30-$A29)*(1-VLOOKUP($B29,MAIN!$AA$7:$AM$28,$C29+1))*(1-VLOOKUP($B29,MAIN!$AA$33:$AM$54,$C29+1)),0)*56/168</f>
        <v>0</v>
      </c>
      <c r="HI29" s="1715">
        <f t="shared" si="156"/>
        <v>13.710024000000001</v>
      </c>
      <c r="HJ29" s="1715">
        <f>IF($A29&gt;=BegDate,VLOOKUP($A29,GasTable,13)+Assumptions!$C$58,0)</f>
        <v>0</v>
      </c>
      <c r="HK29" s="1715">
        <f>HJ29*Assumptions!$C$57/1000</f>
        <v>0</v>
      </c>
      <c r="HL29" s="625">
        <f>IF(Assumptions!$C$60="Hourly",MAX(0,HH29*(HI29-HK29)),HH29*(HI29-HK29))</f>
        <v>0</v>
      </c>
      <c r="HM29" s="640">
        <f>IF(AND(Assumptions!$H$71="Yes",A29&gt;=Assumptions!$H$72,A29&lt;=Assumptions!$H$73),Assumptions!$H$74*Assumptions!$C$9*1000,0)</f>
        <v>0</v>
      </c>
      <c r="HN29" s="625"/>
      <c r="HO29" s="1414">
        <f t="shared" si="167"/>
        <v>2015</v>
      </c>
      <c r="HP29" s="640">
        <f t="shared" si="76"/>
        <v>0</v>
      </c>
      <c r="HQ29" s="154">
        <f t="shared" si="157"/>
        <v>0</v>
      </c>
      <c r="HR29" s="622">
        <f t="shared" si="77"/>
        <v>0</v>
      </c>
      <c r="HS29" s="621">
        <f t="shared" ca="1" si="78"/>
        <v>6006240</v>
      </c>
      <c r="HT29" s="545">
        <f t="shared" ca="1" si="158"/>
        <v>47.58492288830147</v>
      </c>
      <c r="HU29" s="530">
        <f t="shared" ca="1" si="79"/>
        <v>285806467.24863183</v>
      </c>
      <c r="HV29" s="621">
        <f t="shared" ca="1" si="159"/>
        <v>285806467.24863183</v>
      </c>
      <c r="HW29" s="530">
        <f t="shared" ca="1" si="80"/>
        <v>1537733.5395944365</v>
      </c>
      <c r="HX29" s="530">
        <f t="shared" ca="1" si="81"/>
        <v>9643465.9177873712</v>
      </c>
      <c r="HY29" s="530">
        <f>IF(Assumptions!$L$24="Yes",HW29+HX29,0)</f>
        <v>0</v>
      </c>
      <c r="HZ29" s="640">
        <f t="shared" ca="1" si="160"/>
        <v>42574241.908800006</v>
      </c>
      <c r="IA29" s="545">
        <f t="shared" ca="1" si="161"/>
        <v>-3.4156195837989425</v>
      </c>
      <c r="IB29" s="622">
        <f t="shared" ca="1" si="82"/>
        <v>-145417414.42909098</v>
      </c>
      <c r="IC29" s="621">
        <f t="shared" ca="1" si="83"/>
        <v>6006240</v>
      </c>
      <c r="ID29" s="545">
        <f t="shared" ca="1" si="162"/>
        <v>-2.2828352302125814</v>
      </c>
      <c r="IE29" s="622">
        <f t="shared" ca="1" si="84"/>
        <v>-13711256.273112014</v>
      </c>
      <c r="IF29" s="530">
        <f t="shared" ca="1" si="85"/>
        <v>0</v>
      </c>
      <c r="IG29" s="545">
        <f t="shared" ca="1" si="163"/>
        <v>0</v>
      </c>
      <c r="IH29" s="622">
        <f t="shared" ca="1" si="86"/>
        <v>0</v>
      </c>
      <c r="II29" s="1645">
        <f>(SUMIF($B$17:$B$292,HO29,$GW$17:$GW$292)+SUMIF($B$17:$B$292,HO29,$HB$17:$HB$292)+SUMIF($B$17:$B$292,HO29,$HG$17:$HG$292)+SUMIF($B$17:$B$292,HO29,$HL$17:$HL$292))*Assumptions!$C$59</f>
        <v>1391872.1430881838</v>
      </c>
      <c r="IJ29" s="1463">
        <f t="shared" si="164"/>
        <v>0</v>
      </c>
      <c r="IK29" s="1463"/>
    </row>
    <row r="30" spans="1:245">
      <c r="A30" s="177">
        <f t="shared" si="87"/>
        <v>37043</v>
      </c>
      <c r="B30" s="349">
        <f t="shared" si="88"/>
        <v>2001</v>
      </c>
      <c r="C30" s="15">
        <f t="shared" si="89"/>
        <v>6</v>
      </c>
      <c r="D30" s="612" t="str">
        <f t="shared" si="90"/>
        <v/>
      </c>
      <c r="E30" s="609" t="str">
        <f t="shared" si="91"/>
        <v/>
      </c>
      <c r="F30" s="614" t="str">
        <f t="shared" si="2"/>
        <v/>
      </c>
      <c r="G30" s="1349">
        <v>0</v>
      </c>
      <c r="H30" s="152">
        <f t="shared" si="165"/>
        <v>1</v>
      </c>
      <c r="I30" s="154">
        <f>IF(Assumptions!$L$25=4,VLOOKUP($A30,'Henwood Reference'!$E$9:$R$320,10),(VLOOKUP($A30,PriceTable,2,0)+IF(BasisNumber&lt;&gt;1,VLOOKUP($A30,BasisTable,2,0),0)+I$1)/(1-I$2))</f>
        <v>24.162576000000001</v>
      </c>
      <c r="J30" s="154">
        <f>IF(Assumptions!$L$25=4,VLOOKUP($A30,'Henwood Reference'!$E$9:$R$320,10),(VLOOKUP($A30,PriceTable,3,0)+IF(BasisNumber&lt;&gt;1,VLOOKUP($A30,BasisTable,2,0),0)+J$1)/(1-J$2))</f>
        <v>24.162576000000001</v>
      </c>
      <c r="K30" s="154">
        <f>IF(Assumptions!$L$25=4,VLOOKUP($A30,'Henwood Reference'!$E$9:$R$320,10),(VLOOKUP($A30,PriceTable,4,0)+IF(BasisNumber&lt;&gt;1,VLOOKUP($A30,BasisTable,2,0),0)+K$1)/(1-K$2))</f>
        <v>24.162576000000001</v>
      </c>
      <c r="L30" s="474">
        <f>IF(Assumptions!$L$25=4,VLOOKUP($A30,'Henwood Reference'!$E$9:$R$320,10),(VLOOKUP($A30,PriceTableWeekend,2,0)+IF(BasisNumber&lt;&gt;1,VLOOKUP($A30,BasisTable,2,0),0)+L$1)/(1-L$2))</f>
        <v>24.162576000000001</v>
      </c>
      <c r="M30" s="154">
        <f>IF(Assumptions!$L$25=4,VLOOKUP($A30,'Henwood Reference'!$E$9:$R$320,10),(VLOOKUP($A30,PriceTableWeekend,3,0)+IF(BasisNumber&lt;&gt;1,VLOOKUP($A30,BasisTable,2,0),0)+M$1)/(1-M$2))</f>
        <v>24.162576000000001</v>
      </c>
      <c r="N30" s="156">
        <f>IF(Assumptions!$L$25=4,VLOOKUP($A30,'Henwood Reference'!$E$9:$R$320,10),(VLOOKUP($A30,PriceTableWeekend,4,0)+IF(BasisNumber&lt;&gt;1,VLOOKUP($A30,BasisTable,2,0),0)+N$1)/(1-N$2))</f>
        <v>24.162576000000001</v>
      </c>
      <c r="O30" s="154">
        <f>IF(Assumptions!$L$25=4,VLOOKUP($A30,'Henwood Reference'!$E$9:$R$320,11),(VLOOKUP($A30,PriceTableWeekend,6,0)+IF(BasisNumber&lt;&gt;1,VLOOKUP($A30,BasisTable,3,0),0)+O$1)/(1-O$2))</f>
        <v>11.486832</v>
      </c>
      <c r="P30" s="154">
        <f>IF(Assumptions!$L$25=4,VLOOKUP($A30,'Henwood Reference'!$E$9:$R$320,11),(VLOOKUP($A30,PriceTableWeekend,7,0)+IF(BasisNumber&lt;&gt;1,VLOOKUP($A30,BasisTable,3,0),0)+P$1)/(1-P$2))</f>
        <v>11.486832</v>
      </c>
      <c r="Q30" s="156">
        <f>IF(Assumptions!$L$25=4,VLOOKUP($A30,'Henwood Reference'!$E$9:$R$320,11),(VLOOKUP($A30,PriceTableWeekend,8,0)+IF(BasisNumber&lt;&gt;1,VLOOKUP($A30,BasisTable,3,0),0)+Q$1)/(1-Q$2))</f>
        <v>11.486832</v>
      </c>
      <c r="R30" s="154">
        <f>IF(Assumptions!$L$25=4,VLOOKUP($A30,'Henwood Reference'!$E$9:$R$320,11),(VLOOKUP($A30,PriceTable,6,0)+IF(BasisNumber&lt;&gt;1,VLOOKUP($A30,BasisTable,3,0),0)+R$1)/(1-R$2))</f>
        <v>11.486832</v>
      </c>
      <c r="S30" s="154">
        <f>IF(Assumptions!$L$25=4,VLOOKUP($A30,'Henwood Reference'!$E$9:$R$320,11),(VLOOKUP($A30,PriceTable,7,0)+IF(BasisNumber&lt;&gt;1,VLOOKUP($A30,BasisTable,3,0),0)+S$1)/(1-S$2))</f>
        <v>11.486832</v>
      </c>
      <c r="T30" s="155">
        <f>IF(Assumptions!$L$25=4,VLOOKUP($A30,'Henwood Reference'!$E$9:$R$320,11),(VLOOKUP($A30,PriceTable,8,0)+IF(BasisNumber&lt;&gt;1,VLOOKUP($A30,BasisTable,3,0),0)+T$1)/(1-T$2))</f>
        <v>11.486832</v>
      </c>
      <c r="U30" s="173">
        <f t="shared" si="92"/>
        <v>0.16500000000000001</v>
      </c>
      <c r="V30" s="173">
        <f t="shared" si="93"/>
        <v>0.17499999999999999</v>
      </c>
      <c r="W30" s="174">
        <f t="shared" si="94"/>
        <v>0.185</v>
      </c>
      <c r="X30" s="173">
        <f t="shared" si="95"/>
        <v>0.16500000000000001</v>
      </c>
      <c r="Y30" s="173">
        <f t="shared" si="96"/>
        <v>0.17499999999999999</v>
      </c>
      <c r="Z30" s="174">
        <f t="shared" si="97"/>
        <v>0.185</v>
      </c>
      <c r="AA30" s="173">
        <f t="shared" si="98"/>
        <v>0.09</v>
      </c>
      <c r="AB30" s="173">
        <f t="shared" si="99"/>
        <v>0.11</v>
      </c>
      <c r="AC30" s="174">
        <f t="shared" si="100"/>
        <v>0.13</v>
      </c>
      <c r="AD30" s="173">
        <f t="shared" si="101"/>
        <v>0.09</v>
      </c>
      <c r="AE30" s="173">
        <f t="shared" si="102"/>
        <v>0.11</v>
      </c>
      <c r="AF30" s="174">
        <f t="shared" si="103"/>
        <v>0.13</v>
      </c>
      <c r="AG30" s="173">
        <f t="shared" si="104"/>
        <v>-0.35</v>
      </c>
      <c r="AH30" s="173">
        <f t="shared" si="105"/>
        <v>0.65</v>
      </c>
      <c r="AI30" s="174">
        <f t="shared" si="106"/>
        <v>0.2</v>
      </c>
      <c r="AJ30" s="173">
        <f t="shared" si="107"/>
        <v>-0.35</v>
      </c>
      <c r="AK30" s="173">
        <f t="shared" si="108"/>
        <v>0.65</v>
      </c>
      <c r="AL30" s="174">
        <f t="shared" si="109"/>
        <v>0.2</v>
      </c>
      <c r="AM30" s="173">
        <f t="shared" si="110"/>
        <v>-0.01</v>
      </c>
      <c r="AN30" s="173">
        <f t="shared" si="111"/>
        <v>0.16</v>
      </c>
      <c r="AO30" s="174">
        <f t="shared" si="112"/>
        <v>0.01</v>
      </c>
      <c r="AP30" s="173">
        <f t="shared" si="113"/>
        <v>-0.01</v>
      </c>
      <c r="AQ30" s="173">
        <f t="shared" si="114"/>
        <v>0.16</v>
      </c>
      <c r="AR30" s="175">
        <f t="shared" si="115"/>
        <v>0.01</v>
      </c>
      <c r="AS30" s="521">
        <f t="shared" si="116"/>
        <v>0.5</v>
      </c>
      <c r="AT30" s="349">
        <f t="shared" si="117"/>
        <v>0</v>
      </c>
      <c r="AU30" s="159">
        <f t="shared" si="3"/>
        <v>0</v>
      </c>
      <c r="AV30" s="159">
        <f t="shared" si="4"/>
        <v>0</v>
      </c>
      <c r="AW30" s="159">
        <f t="shared" si="118"/>
        <v>0</v>
      </c>
      <c r="AX30" s="15">
        <f t="shared" si="119"/>
        <v>0</v>
      </c>
      <c r="AY30" s="607">
        <f>IF(E30="",0,MIN((1-(1-VLOOKUP(B30,MAIN!$AA$7:$AM$28,C30+1))*(1-VLOOKUP(B30,MAIN!$AA$33:$AM$54,C30+1))),1))</f>
        <v>0</v>
      </c>
      <c r="AZ30" s="259">
        <v>0</v>
      </c>
      <c r="BA30" s="263">
        <v>0</v>
      </c>
      <c r="BB30" s="263">
        <v>0</v>
      </c>
      <c r="BC30" s="510">
        <v>0</v>
      </c>
      <c r="BD30" s="512">
        <v>0</v>
      </c>
      <c r="BE30" s="513">
        <v>0</v>
      </c>
      <c r="BF30" s="513">
        <v>0</v>
      </c>
      <c r="BG30" s="514">
        <v>0</v>
      </c>
      <c r="BH30" s="261">
        <v>0</v>
      </c>
      <c r="BI30" s="263">
        <v>0</v>
      </c>
      <c r="BJ30" s="263">
        <v>0</v>
      </c>
      <c r="BK30" s="510">
        <v>0</v>
      </c>
      <c r="BL30" s="512">
        <v>0</v>
      </c>
      <c r="BM30" s="513">
        <v>0</v>
      </c>
      <c r="BN30" s="513">
        <v>0</v>
      </c>
      <c r="BO30" s="513">
        <v>0</v>
      </c>
      <c r="BP30" s="261">
        <f t="shared" si="120"/>
        <v>0</v>
      </c>
      <c r="BQ30" s="578">
        <f t="shared" si="121"/>
        <v>0</v>
      </c>
      <c r="BR30" s="259">
        <f t="shared" si="122"/>
        <v>0</v>
      </c>
      <c r="BS30" s="578">
        <f t="shared" si="123"/>
        <v>0</v>
      </c>
      <c r="BT30" s="216">
        <f t="shared" si="124"/>
        <v>1.1307323750855578</v>
      </c>
      <c r="BU30" s="218">
        <f t="shared" si="5"/>
        <v>0</v>
      </c>
      <c r="BV30" s="216">
        <f t="shared" si="6"/>
        <v>0</v>
      </c>
      <c r="BW30" s="216">
        <f t="shared" si="7"/>
        <v>0</v>
      </c>
      <c r="BX30" s="216">
        <f t="shared" si="125"/>
        <v>0</v>
      </c>
      <c r="BY30" s="216">
        <f t="shared" si="8"/>
        <v>0</v>
      </c>
      <c r="BZ30" s="216">
        <f t="shared" si="9"/>
        <v>0</v>
      </c>
      <c r="CA30" s="264">
        <f t="shared" si="10"/>
        <v>0</v>
      </c>
      <c r="CB30" s="216">
        <f t="shared" si="11"/>
        <v>0</v>
      </c>
      <c r="CC30" s="216">
        <f t="shared" si="12"/>
        <v>0</v>
      </c>
      <c r="CD30" s="216">
        <f t="shared" si="126"/>
        <v>0</v>
      </c>
      <c r="CE30" s="216">
        <f t="shared" si="13"/>
        <v>0</v>
      </c>
      <c r="CF30" s="571">
        <f t="shared" si="14"/>
        <v>0</v>
      </c>
      <c r="CG30" s="573" t="str">
        <f t="shared" si="15"/>
        <v/>
      </c>
      <c r="CH30" s="219" t="str">
        <f t="shared" si="16"/>
        <v/>
      </c>
      <c r="CI30" s="219" t="str">
        <f t="shared" si="17"/>
        <v/>
      </c>
      <c r="CJ30" s="219" t="str">
        <f t="shared" si="18"/>
        <v/>
      </c>
      <c r="CK30" s="219" t="str">
        <f t="shared" si="19"/>
        <v/>
      </c>
      <c r="CL30" s="219" t="str">
        <f t="shared" si="20"/>
        <v/>
      </c>
      <c r="CM30" s="219" t="str">
        <f t="shared" si="21"/>
        <v/>
      </c>
      <c r="CN30" s="569" t="str">
        <f t="shared" si="22"/>
        <v/>
      </c>
      <c r="CO30" s="264">
        <f t="shared" si="175"/>
        <v>0</v>
      </c>
      <c r="CP30" s="216">
        <f t="shared" si="127"/>
        <v>0</v>
      </c>
      <c r="CQ30" s="216">
        <f t="shared" si="128"/>
        <v>0</v>
      </c>
      <c r="CR30" s="216">
        <f t="shared" si="129"/>
        <v>0</v>
      </c>
      <c r="CS30" s="1626">
        <f t="shared" si="130"/>
        <v>0</v>
      </c>
      <c r="CT30" s="216">
        <f t="shared" si="131"/>
        <v>0</v>
      </c>
      <c r="CU30" s="575" t="str">
        <f t="shared" si="23"/>
        <v/>
      </c>
      <c r="CV30" s="154" t="str">
        <f t="shared" si="24"/>
        <v/>
      </c>
      <c r="CW30" s="216">
        <f>IF(OR($BQ30,$BS30),SpreadOptPowerMargin,0)*((1+Assumptions!$C$26)^($B30-YEAR(Assumptions!$C$17)))</f>
        <v>0</v>
      </c>
      <c r="CX30" s="216">
        <f>IF(OR($BQ30,$BS30),SpreadOptPowerMargin,0)*((1+Assumptions!$C$26)^($B30-YEAR(Assumptions!$C$17)))</f>
        <v>0</v>
      </c>
      <c r="CY30" s="216">
        <f>IF(OR($BQ30,$BS30),SpreadOptPowerMargin,0)*((1+Assumptions!$C$26)^($B30-YEAR(Assumptions!$C$17)))</f>
        <v>0</v>
      </c>
      <c r="CZ30" s="216">
        <f>IF(OR($BQ30,$BS30),SpreadOptPowerMargin,0)*((1+Assumptions!$C$26)^($B30-YEAR(Assumptions!$C$17)))</f>
        <v>0</v>
      </c>
      <c r="DA30" s="440">
        <f t="shared" si="25"/>
        <v>0</v>
      </c>
      <c r="DB30" s="479" t="str">
        <f t="shared" si="26"/>
        <v/>
      </c>
      <c r="DC30" s="479" t="str">
        <f t="shared" si="27"/>
        <v/>
      </c>
      <c r="DD30" s="479" t="str">
        <f t="shared" si="28"/>
        <v/>
      </c>
      <c r="DE30" s="479" t="str">
        <f t="shared" si="29"/>
        <v/>
      </c>
      <c r="DF30" s="479" t="str">
        <f t="shared" si="30"/>
        <v/>
      </c>
      <c r="DG30" s="574" t="str">
        <f t="shared" si="31"/>
        <v/>
      </c>
      <c r="DH30" s="216">
        <f t="shared" si="32"/>
        <v>0</v>
      </c>
      <c r="DI30" s="216">
        <f t="shared" si="33"/>
        <v>0</v>
      </c>
      <c r="DJ30" s="216">
        <f t="shared" si="34"/>
        <v>0</v>
      </c>
      <c r="DK30" s="216">
        <f t="shared" si="35"/>
        <v>0</v>
      </c>
      <c r="DL30" s="216">
        <f t="shared" si="36"/>
        <v>0</v>
      </c>
      <c r="DM30" s="216"/>
      <c r="DN30" s="216"/>
      <c r="DO30" s="216"/>
      <c r="DP30" s="216"/>
      <c r="DQ30" s="216"/>
      <c r="DR30" s="216"/>
      <c r="DS30" s="216"/>
      <c r="DT30" s="216"/>
      <c r="DU30" s="216"/>
      <c r="DV30" s="216"/>
      <c r="DW30" s="1371">
        <f t="shared" si="37"/>
        <v>0</v>
      </c>
      <c r="DX30" s="216">
        <f t="shared" si="38"/>
        <v>0</v>
      </c>
      <c r="DY30" s="440">
        <f t="shared" si="39"/>
        <v>0</v>
      </c>
      <c r="DZ30" s="180">
        <f t="shared" si="40"/>
        <v>0</v>
      </c>
      <c r="EA30" s="180">
        <f t="shared" si="41"/>
        <v>0</v>
      </c>
      <c r="EB30" s="180">
        <f t="shared" si="42"/>
        <v>0</v>
      </c>
      <c r="EC30" s="180">
        <f t="shared" si="43"/>
        <v>0</v>
      </c>
      <c r="ED30" s="180">
        <f t="shared" si="44"/>
        <v>0</v>
      </c>
      <c r="EE30" s="581">
        <f t="shared" si="45"/>
        <v>0</v>
      </c>
      <c r="EF30" s="554">
        <f t="shared" si="46"/>
        <v>0</v>
      </c>
      <c r="EG30" s="554">
        <f t="shared" si="47"/>
        <v>0</v>
      </c>
      <c r="EH30" s="554">
        <f t="shared" si="48"/>
        <v>0</v>
      </c>
      <c r="EI30" s="561">
        <f t="shared" si="49"/>
        <v>0</v>
      </c>
      <c r="EJ30" s="581">
        <f t="shared" si="132"/>
        <v>0</v>
      </c>
      <c r="EK30" s="554">
        <f t="shared" si="133"/>
        <v>0</v>
      </c>
      <c r="EL30" s="554">
        <f t="shared" si="134"/>
        <v>0</v>
      </c>
      <c r="EM30" s="554">
        <f t="shared" si="135"/>
        <v>0</v>
      </c>
      <c r="EN30" s="561">
        <f t="shared" si="136"/>
        <v>0</v>
      </c>
      <c r="EO30" s="180">
        <f t="shared" si="50"/>
        <v>0</v>
      </c>
      <c r="EP30" s="180">
        <f t="shared" si="51"/>
        <v>0</v>
      </c>
      <c r="EQ30" s="180">
        <f t="shared" si="52"/>
        <v>0</v>
      </c>
      <c r="ER30" s="180">
        <f t="shared" si="53"/>
        <v>0</v>
      </c>
      <c r="ES30" s="180">
        <f t="shared" si="54"/>
        <v>0</v>
      </c>
      <c r="ET30" s="1482">
        <f t="shared" si="55"/>
        <v>0</v>
      </c>
      <c r="EU30" s="180">
        <f t="shared" si="56"/>
        <v>0</v>
      </c>
      <c r="EV30" s="180">
        <f t="shared" si="57"/>
        <v>0</v>
      </c>
      <c r="EW30" s="180">
        <f t="shared" si="58"/>
        <v>0</v>
      </c>
      <c r="EX30" s="555">
        <f t="shared" si="59"/>
        <v>0</v>
      </c>
      <c r="EY30" s="180">
        <f t="shared" si="137"/>
        <v>0</v>
      </c>
      <c r="EZ30" s="180">
        <f t="shared" si="138"/>
        <v>0</v>
      </c>
      <c r="FA30" s="180">
        <f t="shared" si="139"/>
        <v>0</v>
      </c>
      <c r="FB30" s="180">
        <f t="shared" si="140"/>
        <v>0</v>
      </c>
      <c r="FC30" s="180">
        <f t="shared" si="141"/>
        <v>0</v>
      </c>
      <c r="FD30" s="262">
        <f>IF(AX30,IF(VLOOKUP(C30,MAIN!$L$17:$M$28,2)="Yes",VLOOKUP(CALC!B30,MAIN!$H$17:$I$20,2),0),0)</f>
        <v>0</v>
      </c>
      <c r="FE30" s="623">
        <f t="shared" si="60"/>
        <v>0</v>
      </c>
      <c r="FF30" s="535">
        <f t="shared" si="61"/>
        <v>0</v>
      </c>
      <c r="FG30" s="535">
        <f t="shared" si="62"/>
        <v>0</v>
      </c>
      <c r="FH30" s="624">
        <f t="shared" si="63"/>
        <v>0</v>
      </c>
      <c r="FI30" s="632">
        <f>IF(AX30,VLOOKUP(CALC!B30,MAIN!$H$17:$K$20,4),0)</f>
        <v>0</v>
      </c>
      <c r="FJ30" s="535">
        <f t="shared" si="64"/>
        <v>0</v>
      </c>
      <c r="FK30" s="648">
        <f t="shared" si="142"/>
        <v>0</v>
      </c>
      <c r="FL30" s="530">
        <f t="shared" si="143"/>
        <v>0</v>
      </c>
      <c r="FM30" s="530">
        <f t="shared" si="144"/>
        <v>0</v>
      </c>
      <c r="FN30" s="530">
        <f t="shared" si="145"/>
        <v>0</v>
      </c>
      <c r="FO30" s="622">
        <f t="shared" si="146"/>
        <v>0</v>
      </c>
      <c r="FP30" s="530">
        <f t="shared" si="147"/>
        <v>0</v>
      </c>
      <c r="FQ30" s="530">
        <f t="shared" si="148"/>
        <v>0</v>
      </c>
      <c r="FR30" s="530">
        <f t="shared" si="149"/>
        <v>0</v>
      </c>
      <c r="FS30" s="625">
        <f t="shared" si="150"/>
        <v>0</v>
      </c>
      <c r="FT30" s="640">
        <f>IF(AND(Assumptions!$H$71="Yes",A30&gt;=Assumptions!$H$72,A30&lt;=Assumptions!$H$73),0,IF(AND($A30&gt;=Assumptions!$C$17,$A30&lt;=Assumptions!$C$18),MAX(AZ30*(1+VLOOKUP($C30,WeatherCapacityAdjustment,2))-FL30,0),0))</f>
        <v>0</v>
      </c>
      <c r="FU30" s="530">
        <f>IF(AND(Assumptions!$H$71="Yes",A30&gt;=Assumptions!$H$72,A30&lt;=Assumptions!$H$73),0,IF(AND($A30&gt;=Assumptions!$C$17,$A30&lt;=Assumptions!$C$18),MAX(BA30*(1+VLOOKUP($C30,WeatherCapacityAdjustment,2))-FM30,0),0))</f>
        <v>0</v>
      </c>
      <c r="FV30" s="530">
        <f>IF(AND(Assumptions!$H$71="Yes",A30&gt;=Assumptions!$H$72,A30&lt;=Assumptions!$H$73),0,IF(AND($A30&gt;=Assumptions!$C$17,$A30&lt;=Assumptions!$C$18),MAX(BB30*(1+VLOOKUP($C30,WeatherCapacityAdjustment,2))-FN30,0),0))</f>
        <v>0</v>
      </c>
      <c r="FW30" s="622">
        <f>IF(AND(Assumptions!$H$71="Yes",A30&gt;=Assumptions!$H$72,A30&lt;=Assumptions!$H$73),0,IF(AND($A30&gt;=Assumptions!$C$17,$A30&lt;=Assumptions!$C$18),MAX(BC30*(1+VLOOKUP($C30,WeatherCapacityAdjustment,3))-FO30,0),0))</f>
        <v>0</v>
      </c>
      <c r="FX30" s="621">
        <f>IF(AND(Assumptions!$H$71="Yes",A30&gt;=Assumptions!$H$72,A30&lt;=Assumptions!$H$73),0,IF(ET30&gt;0,MAX(BH30*(1+VLOOKUP($C30,WeatherCapacityAdjustment,2))-FP30,0),0))</f>
        <v>0</v>
      </c>
      <c r="FY30" s="530">
        <f>IF(AND(Assumptions!$H$71="Yes",A30&gt;=Assumptions!$H$72,A30&lt;=Assumptions!$H$73),0,IF(EU30&gt;0,MAX(BI30*(1+VLOOKUP($C30,WeatherCapacityAdjustment,3))-FQ30,0),0))</f>
        <v>0</v>
      </c>
      <c r="FZ30" s="530">
        <f>IF(AND(Assumptions!$H$71="Yes",A30&gt;=Assumptions!$H$72,A30&lt;=Assumptions!$H$73),0,IF(EV30&gt;0,MAX(BJ30*(1+VLOOKUP($C30,WeatherCapacityAdjustment,2))-FR30,0),0))</f>
        <v>0</v>
      </c>
      <c r="GA30" s="622">
        <f>IF(AND(Assumptions!$H$71="Yes",A30&gt;=Assumptions!$H$72,A30&lt;=Assumptions!$H$73),0,IF(EW30&gt;0,MAX(BK30*(1+VLOOKUP($C30,WeatherCapacityAdjustment,2))-FS30,0),0))</f>
        <v>0</v>
      </c>
      <c r="GB30" s="530">
        <f t="shared" si="65"/>
        <v>0</v>
      </c>
      <c r="GC30" s="545">
        <f t="shared" si="66"/>
        <v>0</v>
      </c>
      <c r="GD30" s="530">
        <f t="shared" si="67"/>
        <v>0</v>
      </c>
      <c r="GE30" s="1485">
        <f t="shared" si="151"/>
        <v>0</v>
      </c>
      <c r="GF30" s="1776">
        <f t="shared" si="168"/>
        <v>0</v>
      </c>
      <c r="GG30" s="545">
        <f t="shared" si="169"/>
        <v>0</v>
      </c>
      <c r="GH30" s="622">
        <f t="shared" si="170"/>
        <v>0</v>
      </c>
      <c r="GI30" s="621">
        <f t="shared" si="152"/>
        <v>0</v>
      </c>
      <c r="GJ30" s="638">
        <f t="shared" si="68"/>
        <v>0</v>
      </c>
      <c r="GK30" s="625">
        <f t="shared" si="166"/>
        <v>0</v>
      </c>
      <c r="GL30" s="640">
        <f t="shared" si="171"/>
        <v>0</v>
      </c>
      <c r="GM30" s="530">
        <f t="shared" si="172"/>
        <v>0</v>
      </c>
      <c r="GN30" s="530">
        <f t="shared" si="173"/>
        <v>0</v>
      </c>
      <c r="GO30" s="622">
        <f t="shared" si="174"/>
        <v>0</v>
      </c>
      <c r="GP30" s="530">
        <f t="shared" si="73"/>
        <v>0</v>
      </c>
      <c r="GQ30" s="545">
        <f t="shared" si="74"/>
        <v>0</v>
      </c>
      <c r="GR30" s="625">
        <f t="shared" si="75"/>
        <v>0</v>
      </c>
      <c r="GS30" s="640">
        <f>IF($A30&gt;=BegDate,Assumptions!$C$56*24*($A31-$A30)*(1-VLOOKUP($B30,MAIN!$AA$7:$AM$28,$C30+1))*(1-VLOOKUP($B30,MAIN!$AA$33:$AM$54,$C30+1)),0)*80/168</f>
        <v>0</v>
      </c>
      <c r="GT30" s="1715">
        <f t="shared" si="153"/>
        <v>24.162576000000001</v>
      </c>
      <c r="GU30" s="1715">
        <f>IF($A30&gt;=BegDate,VLOOKUP($A30,GasTable,13)+Assumptions!$C$58,0)</f>
        <v>0</v>
      </c>
      <c r="GV30" s="1715">
        <f>GU30*Assumptions!$C$57/1000</f>
        <v>0</v>
      </c>
      <c r="GW30" s="625">
        <f>IF(Assumptions!$C$60="Hourly",MAX(0,GS30*(GT30-GV30)),GS30*(GT30-GV30))</f>
        <v>0</v>
      </c>
      <c r="GX30" s="640">
        <f>IF($A30&gt;=BegDate,Assumptions!$C$56*24*($A31-$A30)*(1-VLOOKUP($B30,MAIN!$AA$7:$AM$28,$C30+1))*(1-VLOOKUP($B30,MAIN!$AA$33:$AM$54,$C30+1)),0)*16/168</f>
        <v>0</v>
      </c>
      <c r="GY30" s="1715">
        <f t="shared" si="154"/>
        <v>24.162576000000001</v>
      </c>
      <c r="GZ30" s="1715">
        <f>IF($A30&gt;=BegDate,VLOOKUP($A30,GasTable,13)+Assumptions!$C$58,0)</f>
        <v>0</v>
      </c>
      <c r="HA30" s="1715">
        <f>GZ30*Assumptions!$C$57/1000</f>
        <v>0</v>
      </c>
      <c r="HB30" s="625">
        <f>IF(Assumptions!$C$60="Hourly",MAX(0,GX30*(GY30-HA30)),GX30*(GY30-HA30))</f>
        <v>0</v>
      </c>
      <c r="HC30" s="640">
        <f>IF($A30&gt;=BegDate,Assumptions!$C$56*24*($A31-$A30)*(1-VLOOKUP($B30,MAIN!$AA$7:$AM$28,$C30+1))*(1-VLOOKUP($B30,MAIN!$AA$33:$AM$54,$C30+1)),0)*16/168</f>
        <v>0</v>
      </c>
      <c r="HD30" s="1715">
        <f t="shared" si="155"/>
        <v>11.486832</v>
      </c>
      <c r="HE30" s="1715">
        <f>IF($A30&gt;=BegDate,VLOOKUP($A30,GasTable,13)+Assumptions!$C$58,0)</f>
        <v>0</v>
      </c>
      <c r="HF30" s="1715">
        <f>HE30*Assumptions!$C$57/1000</f>
        <v>0</v>
      </c>
      <c r="HG30" s="625">
        <f>IF(Assumptions!$C$60="Hourly",MAX(0,HC30*(HD30-HF30)),HC30*(HD30-HF30))</f>
        <v>0</v>
      </c>
      <c r="HH30" s="640">
        <f>IF($A30&gt;=BegDate,Assumptions!$C$56*24*($A31-$A30)*(1-VLOOKUP($B30,MAIN!$AA$7:$AM$28,$C30+1))*(1-VLOOKUP($B30,MAIN!$AA$33:$AM$54,$C30+1)),0)*56/168</f>
        <v>0</v>
      </c>
      <c r="HI30" s="1715">
        <f t="shared" si="156"/>
        <v>11.486832</v>
      </c>
      <c r="HJ30" s="1715">
        <f>IF($A30&gt;=BegDate,VLOOKUP($A30,GasTable,13)+Assumptions!$C$58,0)</f>
        <v>0</v>
      </c>
      <c r="HK30" s="1715">
        <f>HJ30*Assumptions!$C$57/1000</f>
        <v>0</v>
      </c>
      <c r="HL30" s="625">
        <f>IF(Assumptions!$C$60="Hourly",MAX(0,HH30*(HI30-HK30)),HH30*(HI30-HK30))</f>
        <v>0</v>
      </c>
      <c r="HM30" s="640">
        <f>IF(AND(Assumptions!$H$71="Yes",A30&gt;=Assumptions!$H$72,A30&lt;=Assumptions!$H$73),Assumptions!$H$74*Assumptions!$C$9*1000,0)</f>
        <v>0</v>
      </c>
      <c r="HN30" s="625"/>
      <c r="HO30" s="1414">
        <f t="shared" si="167"/>
        <v>2016</v>
      </c>
      <c r="HP30" s="640">
        <f t="shared" si="76"/>
        <v>0</v>
      </c>
      <c r="HQ30" s="154">
        <f t="shared" si="157"/>
        <v>0</v>
      </c>
      <c r="HR30" s="622">
        <f t="shared" si="77"/>
        <v>0</v>
      </c>
      <c r="HS30" s="621">
        <f t="shared" ca="1" si="78"/>
        <v>6337980</v>
      </c>
      <c r="HT30" s="545">
        <f t="shared" ca="1" si="158"/>
        <v>45.436996735902618</v>
      </c>
      <c r="HU30" s="530">
        <f t="shared" ca="1" si="79"/>
        <v>287978776.57221609</v>
      </c>
      <c r="HV30" s="621">
        <f t="shared" ca="1" si="159"/>
        <v>287978776.57221609</v>
      </c>
      <c r="HW30" s="530">
        <f t="shared" ca="1" si="80"/>
        <v>2081807.7472462312</v>
      </c>
      <c r="HX30" s="530">
        <f t="shared" ca="1" si="81"/>
        <v>12158750.862084311</v>
      </c>
      <c r="HY30" s="530">
        <f>IF(Assumptions!$L$24="Yes",HW30+HX30,0)</f>
        <v>0</v>
      </c>
      <c r="HZ30" s="640">
        <f t="shared" ca="1" si="160"/>
        <v>44858519.042399988</v>
      </c>
      <c r="IA30" s="545">
        <f t="shared" ca="1" si="161"/>
        <v>-3.4895798728714551</v>
      </c>
      <c r="IB30" s="622">
        <f t="shared" ca="1" si="82"/>
        <v>-156537385.1771799</v>
      </c>
      <c r="IC30" s="621">
        <f t="shared" ca="1" si="83"/>
        <v>6337980</v>
      </c>
      <c r="ID30" s="545">
        <f t="shared" ca="1" si="162"/>
        <v>-2.3284919348168329</v>
      </c>
      <c r="IE30" s="622">
        <f t="shared" ca="1" si="84"/>
        <v>-14757935.313030392</v>
      </c>
      <c r="IF30" s="530">
        <f t="shared" ca="1" si="85"/>
        <v>0</v>
      </c>
      <c r="IG30" s="545">
        <f t="shared" ca="1" si="163"/>
        <v>0</v>
      </c>
      <c r="IH30" s="622">
        <f t="shared" ca="1" si="86"/>
        <v>0</v>
      </c>
      <c r="II30" s="1645">
        <f>(SUMIF($B$17:$B$292,HO30,$GW$17:$GW$292)+SUMIF($B$17:$B$292,HO30,$HB$17:$HB$292)+SUMIF($B$17:$B$292,HO30,$HG$17:$HG$292)+SUMIF($B$17:$B$292,HO30,$HL$17:$HL$292))*Assumptions!$C$59</f>
        <v>1293059.7995125148</v>
      </c>
      <c r="IJ30" s="1463">
        <f t="shared" si="164"/>
        <v>0</v>
      </c>
      <c r="IK30" s="1463"/>
    </row>
    <row r="31" spans="1:245">
      <c r="A31" s="177">
        <f t="shared" si="87"/>
        <v>37073</v>
      </c>
      <c r="B31" s="349">
        <f t="shared" si="88"/>
        <v>2001</v>
      </c>
      <c r="C31" s="15">
        <f t="shared" si="89"/>
        <v>7</v>
      </c>
      <c r="D31" s="612" t="str">
        <f t="shared" si="90"/>
        <v/>
      </c>
      <c r="E31" s="609" t="str">
        <f t="shared" si="91"/>
        <v/>
      </c>
      <c r="F31" s="614" t="str">
        <f t="shared" si="2"/>
        <v/>
      </c>
      <c r="G31" s="1349">
        <v>0</v>
      </c>
      <c r="H31" s="152">
        <f t="shared" si="165"/>
        <v>1</v>
      </c>
      <c r="I31" s="154">
        <f>IF(Assumptions!$L$25=4,VLOOKUP($A31,'Henwood Reference'!$E$9:$R$320,10),(VLOOKUP($A31,PriceTable,2,0)+IF(BasisNumber&lt;&gt;1,VLOOKUP($A31,BasisTable,2,0),0)+I$1)/(1-I$2))</f>
        <v>30.366522</v>
      </c>
      <c r="J31" s="154">
        <f>IF(Assumptions!$L$25=4,VLOOKUP($A31,'Henwood Reference'!$E$9:$R$320,10),(VLOOKUP($A31,PriceTable,3,0)+IF(BasisNumber&lt;&gt;1,VLOOKUP($A31,BasisTable,2,0),0)+J$1)/(1-J$2))</f>
        <v>30.366522</v>
      </c>
      <c r="K31" s="154">
        <f>IF(Assumptions!$L$25=4,VLOOKUP($A31,'Henwood Reference'!$E$9:$R$320,10),(VLOOKUP($A31,PriceTable,4,0)+IF(BasisNumber&lt;&gt;1,VLOOKUP($A31,BasisTable,2,0),0)+K$1)/(1-K$2))</f>
        <v>30.366522</v>
      </c>
      <c r="L31" s="474">
        <f>IF(Assumptions!$L$25=4,VLOOKUP($A31,'Henwood Reference'!$E$9:$R$320,10),(VLOOKUP($A31,PriceTableWeekend,2,0)+IF(BasisNumber&lt;&gt;1,VLOOKUP($A31,BasisTable,2,0),0)+L$1)/(1-L$2))</f>
        <v>30.366522</v>
      </c>
      <c r="M31" s="154">
        <f>IF(Assumptions!$L$25=4,VLOOKUP($A31,'Henwood Reference'!$E$9:$R$320,10),(VLOOKUP($A31,PriceTableWeekend,3,0)+IF(BasisNumber&lt;&gt;1,VLOOKUP($A31,BasisTable,2,0),0)+M$1)/(1-M$2))</f>
        <v>30.366522</v>
      </c>
      <c r="N31" s="156">
        <f>IF(Assumptions!$L$25=4,VLOOKUP($A31,'Henwood Reference'!$E$9:$R$320,10),(VLOOKUP($A31,PriceTableWeekend,4,0)+IF(BasisNumber&lt;&gt;1,VLOOKUP($A31,BasisTable,2,0),0)+N$1)/(1-N$2))</f>
        <v>30.366522</v>
      </c>
      <c r="O31" s="154">
        <f>IF(Assumptions!$L$25=4,VLOOKUP($A31,'Henwood Reference'!$E$9:$R$320,11),(VLOOKUP($A31,PriceTableWeekend,6,0)+IF(BasisNumber&lt;&gt;1,VLOOKUP($A31,BasisTable,3,0),0)+O$1)/(1-O$2))</f>
        <v>15.910062</v>
      </c>
      <c r="P31" s="154">
        <f>IF(Assumptions!$L$25=4,VLOOKUP($A31,'Henwood Reference'!$E$9:$R$320,11),(VLOOKUP($A31,PriceTableWeekend,7,0)+IF(BasisNumber&lt;&gt;1,VLOOKUP($A31,BasisTable,3,0),0)+P$1)/(1-P$2))</f>
        <v>15.910062</v>
      </c>
      <c r="Q31" s="156">
        <f>IF(Assumptions!$L$25=4,VLOOKUP($A31,'Henwood Reference'!$E$9:$R$320,11),(VLOOKUP($A31,PriceTableWeekend,8,0)+IF(BasisNumber&lt;&gt;1,VLOOKUP($A31,BasisTable,3,0),0)+Q$1)/(1-Q$2))</f>
        <v>15.910062</v>
      </c>
      <c r="R31" s="154">
        <f>IF(Assumptions!$L$25=4,VLOOKUP($A31,'Henwood Reference'!$E$9:$R$320,11),(VLOOKUP($A31,PriceTable,6,0)+IF(BasisNumber&lt;&gt;1,VLOOKUP($A31,BasisTable,3,0),0)+R$1)/(1-R$2))</f>
        <v>15.910062</v>
      </c>
      <c r="S31" s="154">
        <f>IF(Assumptions!$L$25=4,VLOOKUP($A31,'Henwood Reference'!$E$9:$R$320,11),(VLOOKUP($A31,PriceTable,7,0)+IF(BasisNumber&lt;&gt;1,VLOOKUP($A31,BasisTable,3,0),0)+S$1)/(1-S$2))</f>
        <v>15.910062</v>
      </c>
      <c r="T31" s="155">
        <f>IF(Assumptions!$L$25=4,VLOOKUP($A31,'Henwood Reference'!$E$9:$R$320,11),(VLOOKUP($A31,PriceTable,8,0)+IF(BasisNumber&lt;&gt;1,VLOOKUP($A31,BasisTable,3,0),0)+T$1)/(1-T$2))</f>
        <v>15.910062</v>
      </c>
      <c r="U31" s="173">
        <f t="shared" si="92"/>
        <v>0.16500000000000001</v>
      </c>
      <c r="V31" s="173">
        <f t="shared" si="93"/>
        <v>0.17499999999999999</v>
      </c>
      <c r="W31" s="174">
        <f t="shared" si="94"/>
        <v>0.185</v>
      </c>
      <c r="X31" s="173">
        <f t="shared" si="95"/>
        <v>0.16500000000000001</v>
      </c>
      <c r="Y31" s="173">
        <f t="shared" si="96"/>
        <v>0.17499999999999999</v>
      </c>
      <c r="Z31" s="174">
        <f t="shared" si="97"/>
        <v>0.185</v>
      </c>
      <c r="AA31" s="173">
        <f t="shared" si="98"/>
        <v>0.09</v>
      </c>
      <c r="AB31" s="173">
        <f t="shared" si="99"/>
        <v>0.11</v>
      </c>
      <c r="AC31" s="174">
        <f t="shared" si="100"/>
        <v>0.13</v>
      </c>
      <c r="AD31" s="173">
        <f t="shared" si="101"/>
        <v>0.09</v>
      </c>
      <c r="AE31" s="173">
        <f t="shared" si="102"/>
        <v>0.11</v>
      </c>
      <c r="AF31" s="174">
        <f t="shared" si="103"/>
        <v>0.13</v>
      </c>
      <c r="AG31" s="173">
        <f t="shared" si="104"/>
        <v>-0.35</v>
      </c>
      <c r="AH31" s="173">
        <f t="shared" si="105"/>
        <v>3</v>
      </c>
      <c r="AI31" s="174">
        <f t="shared" si="106"/>
        <v>0.35</v>
      </c>
      <c r="AJ31" s="173">
        <f t="shared" si="107"/>
        <v>-0.35</v>
      </c>
      <c r="AK31" s="173">
        <f t="shared" si="108"/>
        <v>3</v>
      </c>
      <c r="AL31" s="174">
        <f t="shared" si="109"/>
        <v>0.35</v>
      </c>
      <c r="AM31" s="173">
        <f t="shared" si="110"/>
        <v>-0.01</v>
      </c>
      <c r="AN31" s="173">
        <f t="shared" si="111"/>
        <v>0.16</v>
      </c>
      <c r="AO31" s="174">
        <f t="shared" si="112"/>
        <v>0.01</v>
      </c>
      <c r="AP31" s="173">
        <f t="shared" si="113"/>
        <v>-0.01</v>
      </c>
      <c r="AQ31" s="173">
        <f t="shared" si="114"/>
        <v>0.16</v>
      </c>
      <c r="AR31" s="175">
        <f t="shared" si="115"/>
        <v>0.01</v>
      </c>
      <c r="AS31" s="521">
        <f t="shared" si="116"/>
        <v>0.5</v>
      </c>
      <c r="AT31" s="349">
        <f t="shared" si="117"/>
        <v>0</v>
      </c>
      <c r="AU31" s="159">
        <f t="shared" si="3"/>
        <v>0</v>
      </c>
      <c r="AV31" s="159">
        <f t="shared" si="4"/>
        <v>0</v>
      </c>
      <c r="AW31" s="159">
        <f t="shared" si="118"/>
        <v>0</v>
      </c>
      <c r="AX31" s="15">
        <f t="shared" si="119"/>
        <v>0</v>
      </c>
      <c r="AY31" s="607">
        <f>IF(E31="",0,MIN((1-(1-VLOOKUP(B31,MAIN!$AA$7:$AM$28,C31+1))*(1-VLOOKUP(B31,MAIN!$AA$33:$AM$54,C31+1))),1))</f>
        <v>0</v>
      </c>
      <c r="AZ31" s="259">
        <v>0</v>
      </c>
      <c r="BA31" s="263">
        <v>0</v>
      </c>
      <c r="BB31" s="263">
        <v>0</v>
      </c>
      <c r="BC31" s="510">
        <v>0</v>
      </c>
      <c r="BD31" s="512">
        <v>0</v>
      </c>
      <c r="BE31" s="513">
        <v>0</v>
      </c>
      <c r="BF31" s="513">
        <v>0</v>
      </c>
      <c r="BG31" s="514">
        <v>0</v>
      </c>
      <c r="BH31" s="261">
        <v>0</v>
      </c>
      <c r="BI31" s="263">
        <v>0</v>
      </c>
      <c r="BJ31" s="263">
        <v>0</v>
      </c>
      <c r="BK31" s="510">
        <v>0</v>
      </c>
      <c r="BL31" s="512">
        <v>0</v>
      </c>
      <c r="BM31" s="513">
        <v>0</v>
      </c>
      <c r="BN31" s="513">
        <v>0</v>
      </c>
      <c r="BO31" s="513">
        <v>0</v>
      </c>
      <c r="BP31" s="261">
        <f t="shared" si="120"/>
        <v>0</v>
      </c>
      <c r="BQ31" s="578">
        <f t="shared" si="121"/>
        <v>0</v>
      </c>
      <c r="BR31" s="259">
        <f t="shared" si="122"/>
        <v>0</v>
      </c>
      <c r="BS31" s="578">
        <f t="shared" si="123"/>
        <v>0</v>
      </c>
      <c r="BT31" s="216">
        <f t="shared" si="124"/>
        <v>1.2128678986995209</v>
      </c>
      <c r="BU31" s="218">
        <f t="shared" si="5"/>
        <v>0</v>
      </c>
      <c r="BV31" s="216">
        <f t="shared" si="6"/>
        <v>0</v>
      </c>
      <c r="BW31" s="216">
        <f t="shared" si="7"/>
        <v>0</v>
      </c>
      <c r="BX31" s="216">
        <f t="shared" si="125"/>
        <v>0</v>
      </c>
      <c r="BY31" s="216">
        <f t="shared" si="8"/>
        <v>0</v>
      </c>
      <c r="BZ31" s="216">
        <f t="shared" si="9"/>
        <v>0</v>
      </c>
      <c r="CA31" s="264">
        <f t="shared" si="10"/>
        <v>0</v>
      </c>
      <c r="CB31" s="216">
        <f t="shared" si="11"/>
        <v>0</v>
      </c>
      <c r="CC31" s="216">
        <f t="shared" si="12"/>
        <v>0</v>
      </c>
      <c r="CD31" s="216">
        <f t="shared" si="126"/>
        <v>0</v>
      </c>
      <c r="CE31" s="216">
        <f t="shared" si="13"/>
        <v>0</v>
      </c>
      <c r="CF31" s="571">
        <f t="shared" si="14"/>
        <v>0</v>
      </c>
      <c r="CG31" s="573" t="str">
        <f t="shared" si="15"/>
        <v/>
      </c>
      <c r="CH31" s="219" t="str">
        <f t="shared" si="16"/>
        <v/>
      </c>
      <c r="CI31" s="219" t="str">
        <f t="shared" si="17"/>
        <v/>
      </c>
      <c r="CJ31" s="219" t="str">
        <f t="shared" si="18"/>
        <v/>
      </c>
      <c r="CK31" s="219" t="str">
        <f t="shared" si="19"/>
        <v/>
      </c>
      <c r="CL31" s="219" t="str">
        <f t="shared" si="20"/>
        <v/>
      </c>
      <c r="CM31" s="219" t="str">
        <f t="shared" si="21"/>
        <v/>
      </c>
      <c r="CN31" s="569" t="str">
        <f t="shared" si="22"/>
        <v/>
      </c>
      <c r="CO31" s="264">
        <f t="shared" si="175"/>
        <v>0</v>
      </c>
      <c r="CP31" s="216">
        <f t="shared" si="127"/>
        <v>0</v>
      </c>
      <c r="CQ31" s="216">
        <f t="shared" si="128"/>
        <v>0</v>
      </c>
      <c r="CR31" s="216">
        <f t="shared" si="129"/>
        <v>0</v>
      </c>
      <c r="CS31" s="1626">
        <f t="shared" si="130"/>
        <v>0</v>
      </c>
      <c r="CT31" s="216">
        <f t="shared" si="131"/>
        <v>0</v>
      </c>
      <c r="CU31" s="575" t="str">
        <f t="shared" si="23"/>
        <v/>
      </c>
      <c r="CV31" s="154" t="str">
        <f t="shared" si="24"/>
        <v/>
      </c>
      <c r="CW31" s="216">
        <f>IF(OR($BQ31,$BS31),SpreadOptPowerMargin,0)*((1+Assumptions!$C$26)^($B31-YEAR(Assumptions!$C$17)))</f>
        <v>0</v>
      </c>
      <c r="CX31" s="216">
        <f>IF(OR($BQ31,$BS31),SpreadOptPowerMargin,0)*((1+Assumptions!$C$26)^($B31-YEAR(Assumptions!$C$17)))</f>
        <v>0</v>
      </c>
      <c r="CY31" s="216">
        <f>IF(OR($BQ31,$BS31),SpreadOptPowerMargin,0)*((1+Assumptions!$C$26)^($B31-YEAR(Assumptions!$C$17)))</f>
        <v>0</v>
      </c>
      <c r="CZ31" s="216">
        <f>IF(OR($BQ31,$BS31),SpreadOptPowerMargin,0)*((1+Assumptions!$C$26)^($B31-YEAR(Assumptions!$C$17)))</f>
        <v>0</v>
      </c>
      <c r="DA31" s="440">
        <f t="shared" si="25"/>
        <v>0</v>
      </c>
      <c r="DB31" s="479" t="str">
        <f t="shared" si="26"/>
        <v/>
      </c>
      <c r="DC31" s="479" t="str">
        <f t="shared" si="27"/>
        <v/>
      </c>
      <c r="DD31" s="479" t="str">
        <f t="shared" si="28"/>
        <v/>
      </c>
      <c r="DE31" s="479" t="str">
        <f t="shared" si="29"/>
        <v/>
      </c>
      <c r="DF31" s="479" t="str">
        <f t="shared" si="30"/>
        <v/>
      </c>
      <c r="DG31" s="574" t="str">
        <f t="shared" si="31"/>
        <v/>
      </c>
      <c r="DH31" s="216">
        <f t="shared" si="32"/>
        <v>0</v>
      </c>
      <c r="DI31" s="216">
        <f t="shared" si="33"/>
        <v>0</v>
      </c>
      <c r="DJ31" s="216">
        <f t="shared" si="34"/>
        <v>0</v>
      </c>
      <c r="DK31" s="216">
        <f t="shared" si="35"/>
        <v>0</v>
      </c>
      <c r="DL31" s="216">
        <f t="shared" si="36"/>
        <v>0</v>
      </c>
      <c r="DM31" s="216"/>
      <c r="DN31" s="216"/>
      <c r="DO31" s="216"/>
      <c r="DP31" s="216"/>
      <c r="DQ31" s="216"/>
      <c r="DR31" s="216"/>
      <c r="DS31" s="216"/>
      <c r="DT31" s="216"/>
      <c r="DU31" s="216"/>
      <c r="DV31" s="216"/>
      <c r="DW31" s="1371">
        <f t="shared" si="37"/>
        <v>0</v>
      </c>
      <c r="DX31" s="216">
        <f t="shared" si="38"/>
        <v>0</v>
      </c>
      <c r="DY31" s="440">
        <f t="shared" si="39"/>
        <v>0</v>
      </c>
      <c r="DZ31" s="180">
        <f t="shared" si="40"/>
        <v>0</v>
      </c>
      <c r="EA31" s="180">
        <f t="shared" si="41"/>
        <v>0</v>
      </c>
      <c r="EB31" s="180">
        <f t="shared" si="42"/>
        <v>0</v>
      </c>
      <c r="EC31" s="180">
        <f t="shared" si="43"/>
        <v>0</v>
      </c>
      <c r="ED31" s="180">
        <f t="shared" si="44"/>
        <v>0</v>
      </c>
      <c r="EE31" s="581">
        <f t="shared" si="45"/>
        <v>0</v>
      </c>
      <c r="EF31" s="554">
        <f t="shared" si="46"/>
        <v>0</v>
      </c>
      <c r="EG31" s="554">
        <f t="shared" si="47"/>
        <v>0</v>
      </c>
      <c r="EH31" s="554">
        <f t="shared" si="48"/>
        <v>0</v>
      </c>
      <c r="EI31" s="561">
        <f t="shared" si="49"/>
        <v>0</v>
      </c>
      <c r="EJ31" s="581">
        <f t="shared" si="132"/>
        <v>0</v>
      </c>
      <c r="EK31" s="554">
        <f t="shared" si="133"/>
        <v>0</v>
      </c>
      <c r="EL31" s="554">
        <f t="shared" si="134"/>
        <v>0</v>
      </c>
      <c r="EM31" s="554">
        <f t="shared" si="135"/>
        <v>0</v>
      </c>
      <c r="EN31" s="561">
        <f t="shared" si="136"/>
        <v>0</v>
      </c>
      <c r="EO31" s="180">
        <f t="shared" si="50"/>
        <v>0</v>
      </c>
      <c r="EP31" s="180">
        <f t="shared" si="51"/>
        <v>0</v>
      </c>
      <c r="EQ31" s="180">
        <f t="shared" si="52"/>
        <v>0</v>
      </c>
      <c r="ER31" s="180">
        <f t="shared" si="53"/>
        <v>0</v>
      </c>
      <c r="ES31" s="180">
        <f t="shared" si="54"/>
        <v>0</v>
      </c>
      <c r="ET31" s="1482">
        <f t="shared" si="55"/>
        <v>0</v>
      </c>
      <c r="EU31" s="180">
        <f t="shared" si="56"/>
        <v>0</v>
      </c>
      <c r="EV31" s="180">
        <f t="shared" si="57"/>
        <v>0</v>
      </c>
      <c r="EW31" s="180">
        <f t="shared" si="58"/>
        <v>0</v>
      </c>
      <c r="EX31" s="555">
        <f t="shared" si="59"/>
        <v>0</v>
      </c>
      <c r="EY31" s="180">
        <f t="shared" si="137"/>
        <v>0</v>
      </c>
      <c r="EZ31" s="180">
        <f t="shared" si="138"/>
        <v>0</v>
      </c>
      <c r="FA31" s="180">
        <f t="shared" si="139"/>
        <v>0</v>
      </c>
      <c r="FB31" s="180">
        <f t="shared" si="140"/>
        <v>0</v>
      </c>
      <c r="FC31" s="180">
        <f t="shared" si="141"/>
        <v>0</v>
      </c>
      <c r="FD31" s="262">
        <f>IF(AX31,IF(VLOOKUP(C31,MAIN!$L$17:$M$28,2)="Yes",VLOOKUP(CALC!B31,MAIN!$H$17:$I$20,2),0),0)</f>
        <v>0</v>
      </c>
      <c r="FE31" s="623">
        <f t="shared" si="60"/>
        <v>0</v>
      </c>
      <c r="FF31" s="535">
        <f t="shared" si="61"/>
        <v>0</v>
      </c>
      <c r="FG31" s="535">
        <f t="shared" si="62"/>
        <v>0</v>
      </c>
      <c r="FH31" s="624">
        <f t="shared" si="63"/>
        <v>0</v>
      </c>
      <c r="FI31" s="632">
        <f>IF(AX31,VLOOKUP(CALC!B31,MAIN!$H$17:$K$20,4),0)</f>
        <v>0</v>
      </c>
      <c r="FJ31" s="535">
        <f t="shared" si="64"/>
        <v>0</v>
      </c>
      <c r="FK31" s="648">
        <f t="shared" si="142"/>
        <v>0</v>
      </c>
      <c r="FL31" s="530">
        <f t="shared" si="143"/>
        <v>0</v>
      </c>
      <c r="FM31" s="530">
        <f t="shared" si="144"/>
        <v>0</v>
      </c>
      <c r="FN31" s="530">
        <f t="shared" si="145"/>
        <v>0</v>
      </c>
      <c r="FO31" s="622">
        <f t="shared" si="146"/>
        <v>0</v>
      </c>
      <c r="FP31" s="530">
        <f t="shared" si="147"/>
        <v>0</v>
      </c>
      <c r="FQ31" s="530">
        <f t="shared" si="148"/>
        <v>0</v>
      </c>
      <c r="FR31" s="530">
        <f t="shared" si="149"/>
        <v>0</v>
      </c>
      <c r="FS31" s="625">
        <f t="shared" si="150"/>
        <v>0</v>
      </c>
      <c r="FT31" s="640">
        <f>IF(AND(Assumptions!$H$71="Yes",A31&gt;=Assumptions!$H$72,A31&lt;=Assumptions!$H$73),0,IF(AND($A31&gt;=Assumptions!$C$17,$A31&lt;=Assumptions!$C$18),MAX(AZ31*(1+VLOOKUP($C31,WeatherCapacityAdjustment,2))-FL31,0),0))</f>
        <v>0</v>
      </c>
      <c r="FU31" s="530">
        <f>IF(AND(Assumptions!$H$71="Yes",A31&gt;=Assumptions!$H$72,A31&lt;=Assumptions!$H$73),0,IF(AND($A31&gt;=Assumptions!$C$17,$A31&lt;=Assumptions!$C$18),MAX(BA31*(1+VLOOKUP($C31,WeatherCapacityAdjustment,2))-FM31,0),0))</f>
        <v>0</v>
      </c>
      <c r="FV31" s="530">
        <f>IF(AND(Assumptions!$H$71="Yes",A31&gt;=Assumptions!$H$72,A31&lt;=Assumptions!$H$73),0,IF(AND($A31&gt;=Assumptions!$C$17,$A31&lt;=Assumptions!$C$18),MAX(BB31*(1+VLOOKUP($C31,WeatherCapacityAdjustment,2))-FN31,0),0))</f>
        <v>0</v>
      </c>
      <c r="FW31" s="622">
        <f>IF(AND(Assumptions!$H$71="Yes",A31&gt;=Assumptions!$H$72,A31&lt;=Assumptions!$H$73),0,IF(AND($A31&gt;=Assumptions!$C$17,$A31&lt;=Assumptions!$C$18),MAX(BC31*(1+VLOOKUP($C31,WeatherCapacityAdjustment,3))-FO31,0),0))</f>
        <v>0</v>
      </c>
      <c r="FX31" s="621">
        <f>IF(AND(Assumptions!$H$71="Yes",A31&gt;=Assumptions!$H$72,A31&lt;=Assumptions!$H$73),0,IF(ET31&gt;0,MAX(BH31*(1+VLOOKUP($C31,WeatherCapacityAdjustment,2))-FP31,0),0))</f>
        <v>0</v>
      </c>
      <c r="FY31" s="530">
        <f>IF(AND(Assumptions!$H$71="Yes",A31&gt;=Assumptions!$H$72,A31&lt;=Assumptions!$H$73),0,IF(EU31&gt;0,MAX(BI31*(1+VLOOKUP($C31,WeatherCapacityAdjustment,3))-FQ31,0),0))</f>
        <v>0</v>
      </c>
      <c r="FZ31" s="530">
        <f>IF(AND(Assumptions!$H$71="Yes",A31&gt;=Assumptions!$H$72,A31&lt;=Assumptions!$H$73),0,IF(EV31&gt;0,MAX(BJ31*(1+VLOOKUP($C31,WeatherCapacityAdjustment,2))-FR31,0),0))</f>
        <v>0</v>
      </c>
      <c r="GA31" s="622">
        <f>IF(AND(Assumptions!$H$71="Yes",A31&gt;=Assumptions!$H$72,A31&lt;=Assumptions!$H$73),0,IF(EW31&gt;0,MAX(BK31*(1+VLOOKUP($C31,WeatherCapacityAdjustment,2))-FS31,0),0))</f>
        <v>0</v>
      </c>
      <c r="GB31" s="530">
        <f t="shared" si="65"/>
        <v>0</v>
      </c>
      <c r="GC31" s="545">
        <f t="shared" si="66"/>
        <v>0</v>
      </c>
      <c r="GD31" s="530">
        <f t="shared" si="67"/>
        <v>0</v>
      </c>
      <c r="GE31" s="1485">
        <f t="shared" si="151"/>
        <v>0</v>
      </c>
      <c r="GF31" s="1776">
        <f t="shared" si="168"/>
        <v>0</v>
      </c>
      <c r="GG31" s="545">
        <f t="shared" si="169"/>
        <v>0</v>
      </c>
      <c r="GH31" s="622">
        <f t="shared" si="170"/>
        <v>0</v>
      </c>
      <c r="GI31" s="621">
        <f t="shared" si="152"/>
        <v>0</v>
      </c>
      <c r="GJ31" s="638">
        <f t="shared" si="68"/>
        <v>0</v>
      </c>
      <c r="GK31" s="625">
        <f t="shared" si="166"/>
        <v>0</v>
      </c>
      <c r="GL31" s="640">
        <f t="shared" si="171"/>
        <v>0</v>
      </c>
      <c r="GM31" s="530">
        <f t="shared" si="172"/>
        <v>0</v>
      </c>
      <c r="GN31" s="530">
        <f t="shared" si="173"/>
        <v>0</v>
      </c>
      <c r="GO31" s="622">
        <f t="shared" si="174"/>
        <v>0</v>
      </c>
      <c r="GP31" s="530">
        <f t="shared" si="73"/>
        <v>0</v>
      </c>
      <c r="GQ31" s="545">
        <f t="shared" si="74"/>
        <v>0</v>
      </c>
      <c r="GR31" s="625">
        <f t="shared" si="75"/>
        <v>0</v>
      </c>
      <c r="GS31" s="640">
        <f>IF($A31&gt;=BegDate,Assumptions!$C$56*24*($A32-$A31)*(1-VLOOKUP($B31,MAIN!$AA$7:$AM$28,$C31+1))*(1-VLOOKUP($B31,MAIN!$AA$33:$AM$54,$C31+1)),0)*80/168</f>
        <v>0</v>
      </c>
      <c r="GT31" s="1715">
        <f t="shared" si="153"/>
        <v>30.366522</v>
      </c>
      <c r="GU31" s="1715">
        <f>IF($A31&gt;=BegDate,VLOOKUP($A31,GasTable,13)+Assumptions!$C$58,0)</f>
        <v>0</v>
      </c>
      <c r="GV31" s="1715">
        <f>GU31*Assumptions!$C$57/1000</f>
        <v>0</v>
      </c>
      <c r="GW31" s="625">
        <f>IF(Assumptions!$C$60="Hourly",MAX(0,GS31*(GT31-GV31)),GS31*(GT31-GV31))</f>
        <v>0</v>
      </c>
      <c r="GX31" s="640">
        <f>IF($A31&gt;=BegDate,Assumptions!$C$56*24*($A32-$A31)*(1-VLOOKUP($B31,MAIN!$AA$7:$AM$28,$C31+1))*(1-VLOOKUP($B31,MAIN!$AA$33:$AM$54,$C31+1)),0)*16/168</f>
        <v>0</v>
      </c>
      <c r="GY31" s="1715">
        <f t="shared" si="154"/>
        <v>30.366522</v>
      </c>
      <c r="GZ31" s="1715">
        <f>IF($A31&gt;=BegDate,VLOOKUP($A31,GasTable,13)+Assumptions!$C$58,0)</f>
        <v>0</v>
      </c>
      <c r="HA31" s="1715">
        <f>GZ31*Assumptions!$C$57/1000</f>
        <v>0</v>
      </c>
      <c r="HB31" s="625">
        <f>IF(Assumptions!$C$60="Hourly",MAX(0,GX31*(GY31-HA31)),GX31*(GY31-HA31))</f>
        <v>0</v>
      </c>
      <c r="HC31" s="640">
        <f>IF($A31&gt;=BegDate,Assumptions!$C$56*24*($A32-$A31)*(1-VLOOKUP($B31,MAIN!$AA$7:$AM$28,$C31+1))*(1-VLOOKUP($B31,MAIN!$AA$33:$AM$54,$C31+1)),0)*16/168</f>
        <v>0</v>
      </c>
      <c r="HD31" s="1715">
        <f t="shared" si="155"/>
        <v>15.910062</v>
      </c>
      <c r="HE31" s="1715">
        <f>IF($A31&gt;=BegDate,VLOOKUP($A31,GasTable,13)+Assumptions!$C$58,0)</f>
        <v>0</v>
      </c>
      <c r="HF31" s="1715">
        <f>HE31*Assumptions!$C$57/1000</f>
        <v>0</v>
      </c>
      <c r="HG31" s="625">
        <f>IF(Assumptions!$C$60="Hourly",MAX(0,HC31*(HD31-HF31)),HC31*(HD31-HF31))</f>
        <v>0</v>
      </c>
      <c r="HH31" s="640">
        <f>IF($A31&gt;=BegDate,Assumptions!$C$56*24*($A32-$A31)*(1-VLOOKUP($B31,MAIN!$AA$7:$AM$28,$C31+1))*(1-VLOOKUP($B31,MAIN!$AA$33:$AM$54,$C31+1)),0)*56/168</f>
        <v>0</v>
      </c>
      <c r="HI31" s="1715">
        <f t="shared" si="156"/>
        <v>15.910062</v>
      </c>
      <c r="HJ31" s="1715">
        <f>IF($A31&gt;=BegDate,VLOOKUP($A31,GasTable,13)+Assumptions!$C$58,0)</f>
        <v>0</v>
      </c>
      <c r="HK31" s="1715">
        <f>HJ31*Assumptions!$C$57/1000</f>
        <v>0</v>
      </c>
      <c r="HL31" s="625">
        <f>IF(Assumptions!$C$60="Hourly",MAX(0,HH31*(HI31-HK31)),HH31*(HI31-HK31))</f>
        <v>0</v>
      </c>
      <c r="HM31" s="640">
        <f>IF(AND(Assumptions!$H$71="Yes",A31&gt;=Assumptions!$H$72,A31&lt;=Assumptions!$H$73),Assumptions!$H$74*Assumptions!$C$9*1000,0)</f>
        <v>0</v>
      </c>
      <c r="HN31" s="625"/>
      <c r="HO31" s="1414">
        <f t="shared" si="167"/>
        <v>2017</v>
      </c>
      <c r="HP31" s="640">
        <f t="shared" si="76"/>
        <v>0</v>
      </c>
      <c r="HQ31" s="154">
        <f t="shared" si="157"/>
        <v>0</v>
      </c>
      <c r="HR31" s="622">
        <f t="shared" si="77"/>
        <v>0</v>
      </c>
      <c r="HS31" s="621">
        <f t="shared" ca="1" si="78"/>
        <v>6320520</v>
      </c>
      <c r="HT31" s="545">
        <f t="shared" ca="1" si="158"/>
        <v>45.943415666298257</v>
      </c>
      <c r="HU31" s="530">
        <f t="shared" ca="1" si="79"/>
        <v>290386277.58715147</v>
      </c>
      <c r="HV31" s="621">
        <f t="shared" ca="1" si="159"/>
        <v>290386277.58715147</v>
      </c>
      <c r="HW31" s="530">
        <f t="shared" ca="1" si="80"/>
        <v>2307475.3570573768</v>
      </c>
      <c r="HX31" s="530">
        <f t="shared" ca="1" si="81"/>
        <v>13253678.33446175</v>
      </c>
      <c r="HY31" s="530">
        <f>IF(Assumptions!$L$24="Yes",HW31+HX31,0)</f>
        <v>0</v>
      </c>
      <c r="HZ31" s="640">
        <f t="shared" ca="1" si="160"/>
        <v>44958162.564000003</v>
      </c>
      <c r="IA31" s="545">
        <f t="shared" ca="1" si="161"/>
        <v>-3.5980905608333749</v>
      </c>
      <c r="IB31" s="622">
        <f t="shared" ca="1" si="82"/>
        <v>-161763540.35394081</v>
      </c>
      <c r="IC31" s="621">
        <f t="shared" ca="1" si="83"/>
        <v>6320520</v>
      </c>
      <c r="ID31" s="545">
        <f t="shared" ca="1" si="162"/>
        <v>-2.3750617735131705</v>
      </c>
      <c r="IE31" s="622">
        <f t="shared" ca="1" si="84"/>
        <v>-15011625.440725464</v>
      </c>
      <c r="IF31" s="530">
        <f t="shared" ca="1" si="85"/>
        <v>0</v>
      </c>
      <c r="IG31" s="545">
        <f t="shared" ca="1" si="163"/>
        <v>0</v>
      </c>
      <c r="IH31" s="622">
        <f t="shared" ca="1" si="86"/>
        <v>0</v>
      </c>
      <c r="II31" s="1645">
        <f>(SUMIF($B$17:$B$292,HO31,$GW$17:$GW$292)+SUMIF($B$17:$B$292,HO31,$HB$17:$HB$292)+SUMIF($B$17:$B$292,HO31,$HG$17:$HG$292)+SUMIF($B$17:$B$292,HO31,$HL$17:$HL$292))*Assumptions!$C$59</f>
        <v>1274971.7574819908</v>
      </c>
      <c r="IJ31" s="1463">
        <f t="shared" si="164"/>
        <v>0</v>
      </c>
      <c r="IK31" s="1463"/>
    </row>
    <row r="32" spans="1:245">
      <c r="A32" s="177">
        <f t="shared" si="87"/>
        <v>37104</v>
      </c>
      <c r="B32" s="349">
        <f t="shared" si="88"/>
        <v>2001</v>
      </c>
      <c r="C32" s="15">
        <f t="shared" si="89"/>
        <v>8</v>
      </c>
      <c r="D32" s="612" t="str">
        <f t="shared" si="90"/>
        <v/>
      </c>
      <c r="E32" s="609" t="str">
        <f t="shared" si="91"/>
        <v/>
      </c>
      <c r="F32" s="614" t="str">
        <f t="shared" si="2"/>
        <v/>
      </c>
      <c r="G32" s="1349">
        <v>0</v>
      </c>
      <c r="H32" s="152">
        <f t="shared" si="165"/>
        <v>1</v>
      </c>
      <c r="I32" s="154">
        <f>IF(Assumptions!$L$25=4,VLOOKUP($A32,'Henwood Reference'!$E$9:$R$320,10),(VLOOKUP($A32,PriceTable,2,0)+IF(BasisNumber&lt;&gt;1,VLOOKUP($A32,BasisTable,2,0),0)+I$1)/(1-I$2))</f>
        <v>35.769869999999997</v>
      </c>
      <c r="J32" s="154">
        <f>IF(Assumptions!$L$25=4,VLOOKUP($A32,'Henwood Reference'!$E$9:$R$320,10),(VLOOKUP($A32,PriceTable,3,0)+IF(BasisNumber&lt;&gt;1,VLOOKUP($A32,BasisTable,2,0),0)+J$1)/(1-J$2))</f>
        <v>35.769869999999997</v>
      </c>
      <c r="K32" s="154">
        <f>IF(Assumptions!$L$25=4,VLOOKUP($A32,'Henwood Reference'!$E$9:$R$320,10),(VLOOKUP($A32,PriceTable,4,0)+IF(BasisNumber&lt;&gt;1,VLOOKUP($A32,BasisTable,2,0),0)+K$1)/(1-K$2))</f>
        <v>35.769869999999997</v>
      </c>
      <c r="L32" s="474">
        <f>IF(Assumptions!$L$25=4,VLOOKUP($A32,'Henwood Reference'!$E$9:$R$320,10),(VLOOKUP($A32,PriceTableWeekend,2,0)+IF(BasisNumber&lt;&gt;1,VLOOKUP($A32,BasisTable,2,0),0)+L$1)/(1-L$2))</f>
        <v>35.769869999999997</v>
      </c>
      <c r="M32" s="154">
        <f>IF(Assumptions!$L$25=4,VLOOKUP($A32,'Henwood Reference'!$E$9:$R$320,10),(VLOOKUP($A32,PriceTableWeekend,3,0)+IF(BasisNumber&lt;&gt;1,VLOOKUP($A32,BasisTable,2,0),0)+M$1)/(1-M$2))</f>
        <v>35.769869999999997</v>
      </c>
      <c r="N32" s="156">
        <f>IF(Assumptions!$L$25=4,VLOOKUP($A32,'Henwood Reference'!$E$9:$R$320,10),(VLOOKUP($A32,PriceTableWeekend,4,0)+IF(BasisNumber&lt;&gt;1,VLOOKUP($A32,BasisTable,2,0),0)+N$1)/(1-N$2))</f>
        <v>35.769869999999997</v>
      </c>
      <c r="O32" s="154">
        <f>IF(Assumptions!$L$25=4,VLOOKUP($A32,'Henwood Reference'!$E$9:$R$320,11),(VLOOKUP($A32,PriceTableWeekend,6,0)+IF(BasisNumber&lt;&gt;1,VLOOKUP($A32,BasisTable,3,0),0)+O$1)/(1-O$2))</f>
        <v>21.531588000000003</v>
      </c>
      <c r="P32" s="154">
        <f>IF(Assumptions!$L$25=4,VLOOKUP($A32,'Henwood Reference'!$E$9:$R$320,11),(VLOOKUP($A32,PriceTableWeekend,7,0)+IF(BasisNumber&lt;&gt;1,VLOOKUP($A32,BasisTable,3,0),0)+P$1)/(1-P$2))</f>
        <v>21.531588000000003</v>
      </c>
      <c r="Q32" s="156">
        <f>IF(Assumptions!$L$25=4,VLOOKUP($A32,'Henwood Reference'!$E$9:$R$320,11),(VLOOKUP($A32,PriceTableWeekend,8,0)+IF(BasisNumber&lt;&gt;1,VLOOKUP($A32,BasisTable,3,0),0)+Q$1)/(1-Q$2))</f>
        <v>21.531588000000003</v>
      </c>
      <c r="R32" s="154">
        <f>IF(Assumptions!$L$25=4,VLOOKUP($A32,'Henwood Reference'!$E$9:$R$320,11),(VLOOKUP($A32,PriceTable,6,0)+IF(BasisNumber&lt;&gt;1,VLOOKUP($A32,BasisTable,3,0),0)+R$1)/(1-R$2))</f>
        <v>21.531588000000003</v>
      </c>
      <c r="S32" s="154">
        <f>IF(Assumptions!$L$25=4,VLOOKUP($A32,'Henwood Reference'!$E$9:$R$320,11),(VLOOKUP($A32,PriceTable,7,0)+IF(BasisNumber&lt;&gt;1,VLOOKUP($A32,BasisTable,3,0),0)+S$1)/(1-S$2))</f>
        <v>21.531588000000003</v>
      </c>
      <c r="T32" s="155">
        <f>IF(Assumptions!$L$25=4,VLOOKUP($A32,'Henwood Reference'!$E$9:$R$320,11),(VLOOKUP($A32,PriceTable,8,0)+IF(BasisNumber&lt;&gt;1,VLOOKUP($A32,BasisTable,3,0),0)+T$1)/(1-T$2))</f>
        <v>21.531588000000003</v>
      </c>
      <c r="U32" s="173">
        <f t="shared" si="92"/>
        <v>0.16500000000000001</v>
      </c>
      <c r="V32" s="173">
        <f t="shared" si="93"/>
        <v>0.17499999999999999</v>
      </c>
      <c r="W32" s="174">
        <f t="shared" si="94"/>
        <v>0.185</v>
      </c>
      <c r="X32" s="173">
        <f t="shared" si="95"/>
        <v>0.16500000000000001</v>
      </c>
      <c r="Y32" s="173">
        <f t="shared" si="96"/>
        <v>0.17499999999999999</v>
      </c>
      <c r="Z32" s="174">
        <f t="shared" si="97"/>
        <v>0.185</v>
      </c>
      <c r="AA32" s="173">
        <f t="shared" si="98"/>
        <v>0.09</v>
      </c>
      <c r="AB32" s="173">
        <f t="shared" si="99"/>
        <v>0.11</v>
      </c>
      <c r="AC32" s="174">
        <f t="shared" si="100"/>
        <v>0.13</v>
      </c>
      <c r="AD32" s="173">
        <f t="shared" si="101"/>
        <v>0.09</v>
      </c>
      <c r="AE32" s="173">
        <f t="shared" si="102"/>
        <v>0.11</v>
      </c>
      <c r="AF32" s="174">
        <f t="shared" si="103"/>
        <v>0.13</v>
      </c>
      <c r="AG32" s="173">
        <f t="shared" si="104"/>
        <v>-0.35</v>
      </c>
      <c r="AH32" s="173">
        <f t="shared" si="105"/>
        <v>3</v>
      </c>
      <c r="AI32" s="174">
        <f t="shared" si="106"/>
        <v>0.35</v>
      </c>
      <c r="AJ32" s="173">
        <f t="shared" si="107"/>
        <v>-0.35</v>
      </c>
      <c r="AK32" s="173">
        <f t="shared" si="108"/>
        <v>3</v>
      </c>
      <c r="AL32" s="174">
        <f t="shared" si="109"/>
        <v>0.35</v>
      </c>
      <c r="AM32" s="173">
        <f t="shared" si="110"/>
        <v>-0.01</v>
      </c>
      <c r="AN32" s="173">
        <f t="shared" si="111"/>
        <v>0.16</v>
      </c>
      <c r="AO32" s="174">
        <f t="shared" si="112"/>
        <v>0.01</v>
      </c>
      <c r="AP32" s="173">
        <f t="shared" si="113"/>
        <v>-0.01</v>
      </c>
      <c r="AQ32" s="173">
        <f t="shared" si="114"/>
        <v>0.16</v>
      </c>
      <c r="AR32" s="175">
        <f t="shared" si="115"/>
        <v>0.01</v>
      </c>
      <c r="AS32" s="521">
        <f t="shared" si="116"/>
        <v>0.5</v>
      </c>
      <c r="AT32" s="349">
        <f t="shared" si="117"/>
        <v>0</v>
      </c>
      <c r="AU32" s="159">
        <f t="shared" si="3"/>
        <v>0</v>
      </c>
      <c r="AV32" s="159">
        <f t="shared" si="4"/>
        <v>0</v>
      </c>
      <c r="AW32" s="159">
        <f t="shared" si="118"/>
        <v>0</v>
      </c>
      <c r="AX32" s="15">
        <f t="shared" si="119"/>
        <v>0</v>
      </c>
      <c r="AY32" s="607">
        <f>IF(E32="",0,MIN((1-(1-VLOOKUP(B32,MAIN!$AA$7:$AM$28,C32+1))*(1-VLOOKUP(B32,MAIN!$AA$33:$AM$54,C32+1))),1))</f>
        <v>0</v>
      </c>
      <c r="AZ32" s="259">
        <v>0</v>
      </c>
      <c r="BA32" s="263">
        <v>0</v>
      </c>
      <c r="BB32" s="263">
        <v>0</v>
      </c>
      <c r="BC32" s="510">
        <v>0</v>
      </c>
      <c r="BD32" s="512">
        <v>0</v>
      </c>
      <c r="BE32" s="513">
        <v>0</v>
      </c>
      <c r="BF32" s="513">
        <v>0</v>
      </c>
      <c r="BG32" s="514">
        <v>0</v>
      </c>
      <c r="BH32" s="261">
        <v>0</v>
      </c>
      <c r="BI32" s="263">
        <v>0</v>
      </c>
      <c r="BJ32" s="263">
        <v>0</v>
      </c>
      <c r="BK32" s="510">
        <v>0</v>
      </c>
      <c r="BL32" s="512">
        <v>0</v>
      </c>
      <c r="BM32" s="513">
        <v>0</v>
      </c>
      <c r="BN32" s="513">
        <v>0</v>
      </c>
      <c r="BO32" s="513">
        <v>0</v>
      </c>
      <c r="BP32" s="261">
        <f t="shared" si="120"/>
        <v>0</v>
      </c>
      <c r="BQ32" s="578">
        <f t="shared" si="121"/>
        <v>0</v>
      </c>
      <c r="BR32" s="259">
        <f t="shared" si="122"/>
        <v>0</v>
      </c>
      <c r="BS32" s="578">
        <f t="shared" si="123"/>
        <v>0</v>
      </c>
      <c r="BT32" s="216">
        <f t="shared" si="124"/>
        <v>1.2977412731006159</v>
      </c>
      <c r="BU32" s="218">
        <f t="shared" si="5"/>
        <v>0</v>
      </c>
      <c r="BV32" s="216">
        <f t="shared" si="6"/>
        <v>0</v>
      </c>
      <c r="BW32" s="216">
        <f t="shared" si="7"/>
        <v>0</v>
      </c>
      <c r="BX32" s="216">
        <f t="shared" si="125"/>
        <v>0</v>
      </c>
      <c r="BY32" s="216">
        <f t="shared" si="8"/>
        <v>0</v>
      </c>
      <c r="BZ32" s="216">
        <f t="shared" si="9"/>
        <v>0</v>
      </c>
      <c r="CA32" s="264">
        <f t="shared" si="10"/>
        <v>0</v>
      </c>
      <c r="CB32" s="216">
        <f t="shared" si="11"/>
        <v>0</v>
      </c>
      <c r="CC32" s="216">
        <f t="shared" si="12"/>
        <v>0</v>
      </c>
      <c r="CD32" s="216">
        <f t="shared" si="126"/>
        <v>0</v>
      </c>
      <c r="CE32" s="216">
        <f t="shared" si="13"/>
        <v>0</v>
      </c>
      <c r="CF32" s="571">
        <f t="shared" si="14"/>
        <v>0</v>
      </c>
      <c r="CG32" s="573" t="str">
        <f t="shared" si="15"/>
        <v/>
      </c>
      <c r="CH32" s="219" t="str">
        <f t="shared" si="16"/>
        <v/>
      </c>
      <c r="CI32" s="219" t="str">
        <f t="shared" si="17"/>
        <v/>
      </c>
      <c r="CJ32" s="219" t="str">
        <f t="shared" si="18"/>
        <v/>
      </c>
      <c r="CK32" s="219" t="str">
        <f t="shared" si="19"/>
        <v/>
      </c>
      <c r="CL32" s="219" t="str">
        <f t="shared" si="20"/>
        <v/>
      </c>
      <c r="CM32" s="219" t="str">
        <f t="shared" si="21"/>
        <v/>
      </c>
      <c r="CN32" s="569" t="str">
        <f t="shared" si="22"/>
        <v/>
      </c>
      <c r="CO32" s="264">
        <f t="shared" si="175"/>
        <v>0</v>
      </c>
      <c r="CP32" s="216">
        <f t="shared" si="127"/>
        <v>0</v>
      </c>
      <c r="CQ32" s="216">
        <f t="shared" si="128"/>
        <v>0</v>
      </c>
      <c r="CR32" s="216">
        <f t="shared" si="129"/>
        <v>0</v>
      </c>
      <c r="CS32" s="1626">
        <f t="shared" si="130"/>
        <v>0</v>
      </c>
      <c r="CT32" s="216">
        <f t="shared" si="131"/>
        <v>0</v>
      </c>
      <c r="CU32" s="575" t="str">
        <f t="shared" si="23"/>
        <v/>
      </c>
      <c r="CV32" s="154" t="str">
        <f t="shared" si="24"/>
        <v/>
      </c>
      <c r="CW32" s="216">
        <f>IF(OR($BQ32,$BS32),SpreadOptPowerMargin,0)*((1+Assumptions!$C$26)^($B32-YEAR(Assumptions!$C$17)))</f>
        <v>0</v>
      </c>
      <c r="CX32" s="216">
        <f>IF(OR($BQ32,$BS32),SpreadOptPowerMargin,0)*((1+Assumptions!$C$26)^($B32-YEAR(Assumptions!$C$17)))</f>
        <v>0</v>
      </c>
      <c r="CY32" s="216">
        <f>IF(OR($BQ32,$BS32),SpreadOptPowerMargin,0)*((1+Assumptions!$C$26)^($B32-YEAR(Assumptions!$C$17)))</f>
        <v>0</v>
      </c>
      <c r="CZ32" s="216">
        <f>IF(OR($BQ32,$BS32),SpreadOptPowerMargin,0)*((1+Assumptions!$C$26)^($B32-YEAR(Assumptions!$C$17)))</f>
        <v>0</v>
      </c>
      <c r="DA32" s="440">
        <f t="shared" si="25"/>
        <v>0</v>
      </c>
      <c r="DB32" s="479" t="str">
        <f t="shared" si="26"/>
        <v/>
      </c>
      <c r="DC32" s="479" t="str">
        <f t="shared" si="27"/>
        <v/>
      </c>
      <c r="DD32" s="479" t="str">
        <f t="shared" si="28"/>
        <v/>
      </c>
      <c r="DE32" s="479" t="str">
        <f t="shared" si="29"/>
        <v/>
      </c>
      <c r="DF32" s="479" t="str">
        <f t="shared" si="30"/>
        <v/>
      </c>
      <c r="DG32" s="574" t="str">
        <f t="shared" si="31"/>
        <v/>
      </c>
      <c r="DH32" s="216">
        <f t="shared" si="32"/>
        <v>0</v>
      </c>
      <c r="DI32" s="216">
        <f t="shared" si="33"/>
        <v>0</v>
      </c>
      <c r="DJ32" s="216">
        <f t="shared" si="34"/>
        <v>0</v>
      </c>
      <c r="DK32" s="216">
        <f t="shared" si="35"/>
        <v>0</v>
      </c>
      <c r="DL32" s="216">
        <f t="shared" si="36"/>
        <v>0</v>
      </c>
      <c r="DM32" s="216"/>
      <c r="DN32" s="216"/>
      <c r="DO32" s="216"/>
      <c r="DP32" s="216"/>
      <c r="DQ32" s="216"/>
      <c r="DR32" s="216"/>
      <c r="DS32" s="216"/>
      <c r="DT32" s="216"/>
      <c r="DU32" s="216"/>
      <c r="DV32" s="216"/>
      <c r="DW32" s="1371">
        <f t="shared" si="37"/>
        <v>0</v>
      </c>
      <c r="DX32" s="216">
        <f t="shared" si="38"/>
        <v>0</v>
      </c>
      <c r="DY32" s="440">
        <f t="shared" si="39"/>
        <v>0</v>
      </c>
      <c r="DZ32" s="180">
        <f t="shared" si="40"/>
        <v>0</v>
      </c>
      <c r="EA32" s="180">
        <f t="shared" si="41"/>
        <v>0</v>
      </c>
      <c r="EB32" s="180">
        <f t="shared" si="42"/>
        <v>0</v>
      </c>
      <c r="EC32" s="180">
        <f t="shared" si="43"/>
        <v>0</v>
      </c>
      <c r="ED32" s="180">
        <f t="shared" si="44"/>
        <v>0</v>
      </c>
      <c r="EE32" s="581">
        <f t="shared" si="45"/>
        <v>0</v>
      </c>
      <c r="EF32" s="554">
        <f t="shared" si="46"/>
        <v>0</v>
      </c>
      <c r="EG32" s="554">
        <f t="shared" si="47"/>
        <v>0</v>
      </c>
      <c r="EH32" s="554">
        <f t="shared" si="48"/>
        <v>0</v>
      </c>
      <c r="EI32" s="561">
        <f t="shared" si="49"/>
        <v>0</v>
      </c>
      <c r="EJ32" s="581">
        <f t="shared" si="132"/>
        <v>0</v>
      </c>
      <c r="EK32" s="554">
        <f t="shared" si="133"/>
        <v>0</v>
      </c>
      <c r="EL32" s="554">
        <f t="shared" si="134"/>
        <v>0</v>
      </c>
      <c r="EM32" s="554">
        <f t="shared" si="135"/>
        <v>0</v>
      </c>
      <c r="EN32" s="561">
        <f t="shared" si="136"/>
        <v>0</v>
      </c>
      <c r="EO32" s="180">
        <f t="shared" si="50"/>
        <v>0</v>
      </c>
      <c r="EP32" s="180">
        <f t="shared" si="51"/>
        <v>0</v>
      </c>
      <c r="EQ32" s="180">
        <f t="shared" si="52"/>
        <v>0</v>
      </c>
      <c r="ER32" s="180">
        <f t="shared" si="53"/>
        <v>0</v>
      </c>
      <c r="ES32" s="180">
        <f t="shared" si="54"/>
        <v>0</v>
      </c>
      <c r="ET32" s="1482">
        <f t="shared" si="55"/>
        <v>0</v>
      </c>
      <c r="EU32" s="180">
        <f t="shared" si="56"/>
        <v>0</v>
      </c>
      <c r="EV32" s="180">
        <f t="shared" si="57"/>
        <v>0</v>
      </c>
      <c r="EW32" s="180">
        <f t="shared" si="58"/>
        <v>0</v>
      </c>
      <c r="EX32" s="555">
        <f t="shared" si="59"/>
        <v>0</v>
      </c>
      <c r="EY32" s="180">
        <f t="shared" si="137"/>
        <v>0</v>
      </c>
      <c r="EZ32" s="180">
        <f t="shared" si="138"/>
        <v>0</v>
      </c>
      <c r="FA32" s="180">
        <f t="shared" si="139"/>
        <v>0</v>
      </c>
      <c r="FB32" s="180">
        <f t="shared" si="140"/>
        <v>0</v>
      </c>
      <c r="FC32" s="180">
        <f t="shared" si="141"/>
        <v>0</v>
      </c>
      <c r="FD32" s="262">
        <f>IF(AX32,IF(VLOOKUP(C32,MAIN!$L$17:$M$28,2)="Yes",VLOOKUP(CALC!B32,MAIN!$H$17:$I$20,2),0),0)</f>
        <v>0</v>
      </c>
      <c r="FE32" s="623">
        <f t="shared" si="60"/>
        <v>0</v>
      </c>
      <c r="FF32" s="535">
        <f t="shared" si="61"/>
        <v>0</v>
      </c>
      <c r="FG32" s="535">
        <f t="shared" si="62"/>
        <v>0</v>
      </c>
      <c r="FH32" s="624">
        <f t="shared" si="63"/>
        <v>0</v>
      </c>
      <c r="FI32" s="632">
        <f>IF(AX32,VLOOKUP(CALC!B32,MAIN!$H$17:$K$20,4),0)</f>
        <v>0</v>
      </c>
      <c r="FJ32" s="535">
        <f t="shared" si="64"/>
        <v>0</v>
      </c>
      <c r="FK32" s="648">
        <f t="shared" si="142"/>
        <v>0</v>
      </c>
      <c r="FL32" s="530">
        <f t="shared" si="143"/>
        <v>0</v>
      </c>
      <c r="FM32" s="530">
        <f t="shared" si="144"/>
        <v>0</v>
      </c>
      <c r="FN32" s="530">
        <f t="shared" si="145"/>
        <v>0</v>
      </c>
      <c r="FO32" s="622">
        <f t="shared" si="146"/>
        <v>0</v>
      </c>
      <c r="FP32" s="530">
        <f t="shared" si="147"/>
        <v>0</v>
      </c>
      <c r="FQ32" s="530">
        <f t="shared" si="148"/>
        <v>0</v>
      </c>
      <c r="FR32" s="530">
        <f t="shared" si="149"/>
        <v>0</v>
      </c>
      <c r="FS32" s="625">
        <f t="shared" si="150"/>
        <v>0</v>
      </c>
      <c r="FT32" s="640">
        <f>IF(AND(Assumptions!$H$71="Yes",A32&gt;=Assumptions!$H$72,A32&lt;=Assumptions!$H$73),0,IF(AND($A32&gt;=Assumptions!$C$17,$A32&lt;=Assumptions!$C$18),MAX(AZ32*(1+VLOOKUP($C32,WeatherCapacityAdjustment,2))-FL32,0),0))</f>
        <v>0</v>
      </c>
      <c r="FU32" s="530">
        <f>IF(AND(Assumptions!$H$71="Yes",A32&gt;=Assumptions!$H$72,A32&lt;=Assumptions!$H$73),0,IF(AND($A32&gt;=Assumptions!$C$17,$A32&lt;=Assumptions!$C$18),MAX(BA32*(1+VLOOKUP($C32,WeatherCapacityAdjustment,2))-FM32,0),0))</f>
        <v>0</v>
      </c>
      <c r="FV32" s="530">
        <f>IF(AND(Assumptions!$H$71="Yes",A32&gt;=Assumptions!$H$72,A32&lt;=Assumptions!$H$73),0,IF(AND($A32&gt;=Assumptions!$C$17,$A32&lt;=Assumptions!$C$18),MAX(BB32*(1+VLOOKUP($C32,WeatherCapacityAdjustment,2))-FN32,0),0))</f>
        <v>0</v>
      </c>
      <c r="FW32" s="622">
        <f>IF(AND(Assumptions!$H$71="Yes",A32&gt;=Assumptions!$H$72,A32&lt;=Assumptions!$H$73),0,IF(AND($A32&gt;=Assumptions!$C$17,$A32&lt;=Assumptions!$C$18),MAX(BC32*(1+VLOOKUP($C32,WeatherCapacityAdjustment,3))-FO32,0),0))</f>
        <v>0</v>
      </c>
      <c r="FX32" s="621">
        <f>IF(AND(Assumptions!$H$71="Yes",A32&gt;=Assumptions!$H$72,A32&lt;=Assumptions!$H$73),0,IF(ET32&gt;0,MAX(BH32*(1+VLOOKUP($C32,WeatherCapacityAdjustment,2))-FP32,0),0))</f>
        <v>0</v>
      </c>
      <c r="FY32" s="530">
        <f>IF(AND(Assumptions!$H$71="Yes",A32&gt;=Assumptions!$H$72,A32&lt;=Assumptions!$H$73),0,IF(EU32&gt;0,MAX(BI32*(1+VLOOKUP($C32,WeatherCapacityAdjustment,3))-FQ32,0),0))</f>
        <v>0</v>
      </c>
      <c r="FZ32" s="530">
        <f>IF(AND(Assumptions!$H$71="Yes",A32&gt;=Assumptions!$H$72,A32&lt;=Assumptions!$H$73),0,IF(EV32&gt;0,MAX(BJ32*(1+VLOOKUP($C32,WeatherCapacityAdjustment,2))-FR32,0),0))</f>
        <v>0</v>
      </c>
      <c r="GA32" s="622">
        <f>IF(AND(Assumptions!$H$71="Yes",A32&gt;=Assumptions!$H$72,A32&lt;=Assumptions!$H$73),0,IF(EW32&gt;0,MAX(BK32*(1+VLOOKUP($C32,WeatherCapacityAdjustment,2))-FS32,0),0))</f>
        <v>0</v>
      </c>
      <c r="GB32" s="530">
        <f t="shared" si="65"/>
        <v>0</v>
      </c>
      <c r="GC32" s="545">
        <f t="shared" si="66"/>
        <v>0</v>
      </c>
      <c r="GD32" s="530">
        <f t="shared" si="67"/>
        <v>0</v>
      </c>
      <c r="GE32" s="1485">
        <f t="shared" si="151"/>
        <v>0</v>
      </c>
      <c r="GF32" s="1776">
        <f t="shared" si="168"/>
        <v>0</v>
      </c>
      <c r="GG32" s="545">
        <f t="shared" si="169"/>
        <v>0</v>
      </c>
      <c r="GH32" s="622">
        <f t="shared" si="170"/>
        <v>0</v>
      </c>
      <c r="GI32" s="621">
        <f t="shared" si="152"/>
        <v>0</v>
      </c>
      <c r="GJ32" s="638">
        <f t="shared" si="68"/>
        <v>0</v>
      </c>
      <c r="GK32" s="625">
        <f t="shared" si="166"/>
        <v>0</v>
      </c>
      <c r="GL32" s="640">
        <f t="shared" si="171"/>
        <v>0</v>
      </c>
      <c r="GM32" s="530">
        <f t="shared" si="172"/>
        <v>0</v>
      </c>
      <c r="GN32" s="530">
        <f t="shared" si="173"/>
        <v>0</v>
      </c>
      <c r="GO32" s="622">
        <f t="shared" si="174"/>
        <v>0</v>
      </c>
      <c r="GP32" s="530">
        <f t="shared" si="73"/>
        <v>0</v>
      </c>
      <c r="GQ32" s="545">
        <f t="shared" si="74"/>
        <v>0</v>
      </c>
      <c r="GR32" s="625">
        <f t="shared" si="75"/>
        <v>0</v>
      </c>
      <c r="GS32" s="640">
        <f>IF($A32&gt;=BegDate,Assumptions!$C$56*24*($A33-$A32)*(1-VLOOKUP($B32,MAIN!$AA$7:$AM$28,$C32+1))*(1-VLOOKUP($B32,MAIN!$AA$33:$AM$54,$C32+1)),0)*80/168</f>
        <v>0</v>
      </c>
      <c r="GT32" s="1715">
        <f t="shared" si="153"/>
        <v>35.769869999999997</v>
      </c>
      <c r="GU32" s="1715">
        <f>IF($A32&gt;=BegDate,VLOOKUP($A32,GasTable,13)+Assumptions!$C$58,0)</f>
        <v>0</v>
      </c>
      <c r="GV32" s="1715">
        <f>GU32*Assumptions!$C$57/1000</f>
        <v>0</v>
      </c>
      <c r="GW32" s="625">
        <f>IF(Assumptions!$C$60="Hourly",MAX(0,GS32*(GT32-GV32)),GS32*(GT32-GV32))</f>
        <v>0</v>
      </c>
      <c r="GX32" s="640">
        <f>IF($A32&gt;=BegDate,Assumptions!$C$56*24*($A33-$A32)*(1-VLOOKUP($B32,MAIN!$AA$7:$AM$28,$C32+1))*(1-VLOOKUP($B32,MAIN!$AA$33:$AM$54,$C32+1)),0)*16/168</f>
        <v>0</v>
      </c>
      <c r="GY32" s="1715">
        <f t="shared" si="154"/>
        <v>35.769869999999997</v>
      </c>
      <c r="GZ32" s="1715">
        <f>IF($A32&gt;=BegDate,VLOOKUP($A32,GasTable,13)+Assumptions!$C$58,0)</f>
        <v>0</v>
      </c>
      <c r="HA32" s="1715">
        <f>GZ32*Assumptions!$C$57/1000</f>
        <v>0</v>
      </c>
      <c r="HB32" s="625">
        <f>IF(Assumptions!$C$60="Hourly",MAX(0,GX32*(GY32-HA32)),GX32*(GY32-HA32))</f>
        <v>0</v>
      </c>
      <c r="HC32" s="640">
        <f>IF($A32&gt;=BegDate,Assumptions!$C$56*24*($A33-$A32)*(1-VLOOKUP($B32,MAIN!$AA$7:$AM$28,$C32+1))*(1-VLOOKUP($B32,MAIN!$AA$33:$AM$54,$C32+1)),0)*16/168</f>
        <v>0</v>
      </c>
      <c r="HD32" s="1715">
        <f t="shared" si="155"/>
        <v>21.531588000000003</v>
      </c>
      <c r="HE32" s="1715">
        <f>IF($A32&gt;=BegDate,VLOOKUP($A32,GasTable,13)+Assumptions!$C$58,0)</f>
        <v>0</v>
      </c>
      <c r="HF32" s="1715">
        <f>HE32*Assumptions!$C$57/1000</f>
        <v>0</v>
      </c>
      <c r="HG32" s="625">
        <f>IF(Assumptions!$C$60="Hourly",MAX(0,HC32*(HD32-HF32)),HC32*(HD32-HF32))</f>
        <v>0</v>
      </c>
      <c r="HH32" s="640">
        <f>IF($A32&gt;=BegDate,Assumptions!$C$56*24*($A33-$A32)*(1-VLOOKUP($B32,MAIN!$AA$7:$AM$28,$C32+1))*(1-VLOOKUP($B32,MAIN!$AA$33:$AM$54,$C32+1)),0)*56/168</f>
        <v>0</v>
      </c>
      <c r="HI32" s="1715">
        <f t="shared" si="156"/>
        <v>21.531588000000003</v>
      </c>
      <c r="HJ32" s="1715">
        <f>IF($A32&gt;=BegDate,VLOOKUP($A32,GasTable,13)+Assumptions!$C$58,0)</f>
        <v>0</v>
      </c>
      <c r="HK32" s="1715">
        <f>HJ32*Assumptions!$C$57/1000</f>
        <v>0</v>
      </c>
      <c r="HL32" s="625">
        <f>IF(Assumptions!$C$60="Hourly",MAX(0,HH32*(HI32-HK32)),HH32*(HI32-HK32))</f>
        <v>0</v>
      </c>
      <c r="HM32" s="640">
        <f>IF(AND(Assumptions!$H$71="Yes",A32&gt;=Assumptions!$H$72,A32&lt;=Assumptions!$H$73),Assumptions!$H$74*Assumptions!$C$9*1000,0)</f>
        <v>0</v>
      </c>
      <c r="HN32" s="625"/>
      <c r="HO32" s="1414">
        <f t="shared" si="167"/>
        <v>2018</v>
      </c>
      <c r="HP32" s="640">
        <f t="shared" si="76"/>
        <v>0</v>
      </c>
      <c r="HQ32" s="154">
        <f t="shared" si="157"/>
        <v>0</v>
      </c>
      <c r="HR32" s="622">
        <f t="shared" si="77"/>
        <v>0</v>
      </c>
      <c r="HS32" s="621">
        <f t="shared" ca="1" si="78"/>
        <v>6268140</v>
      </c>
      <c r="HT32" s="545">
        <f t="shared" ca="1" si="158"/>
        <v>46.565636052965488</v>
      </c>
      <c r="HU32" s="530">
        <f t="shared" ca="1" si="79"/>
        <v>291879925.96903509</v>
      </c>
      <c r="HV32" s="621">
        <f t="shared" ca="1" si="159"/>
        <v>291879925.96903509</v>
      </c>
      <c r="HW32" s="530">
        <f t="shared" ca="1" si="80"/>
        <v>2615793.1582892491</v>
      </c>
      <c r="HX32" s="530">
        <f t="shared" ca="1" si="81"/>
        <v>14434219.086092692</v>
      </c>
      <c r="HY32" s="530">
        <f>IF(Assumptions!$L$24="Yes",HW32+HX32,0)</f>
        <v>0</v>
      </c>
      <c r="HZ32" s="640">
        <f t="shared" ca="1" si="160"/>
        <v>44628918.994800001</v>
      </c>
      <c r="IA32" s="545">
        <f t="shared" ca="1" si="161"/>
        <v>-3.7063844642079582</v>
      </c>
      <c r="IB32" s="622">
        <f t="shared" ca="1" si="82"/>
        <v>-165411932.01672217</v>
      </c>
      <c r="IC32" s="621">
        <f t="shared" ca="1" si="83"/>
        <v>6268140</v>
      </c>
      <c r="ID32" s="545">
        <f t="shared" ca="1" si="162"/>
        <v>-2.4225630089834325</v>
      </c>
      <c r="IE32" s="622">
        <f t="shared" ca="1" si="84"/>
        <v>-15184964.099129412</v>
      </c>
      <c r="IF32" s="530">
        <f t="shared" ca="1" si="85"/>
        <v>0</v>
      </c>
      <c r="IG32" s="545">
        <f t="shared" ca="1" si="163"/>
        <v>0</v>
      </c>
      <c r="IH32" s="622">
        <f t="shared" ca="1" si="86"/>
        <v>0</v>
      </c>
      <c r="II32" s="1645">
        <f>(SUMIF($B$17:$B$292,HO32,$GW$17:$GW$292)+SUMIF($B$17:$B$292,HO32,$HB$17:$HB$292)+SUMIF($B$17:$B$292,HO32,$HG$17:$HG$292)+SUMIF($B$17:$B$292,HO32,$HL$17:$HL$292))*Assumptions!$C$59</f>
        <v>1252831.5649988034</v>
      </c>
      <c r="IJ32" s="1463">
        <f t="shared" si="164"/>
        <v>0</v>
      </c>
      <c r="IK32" s="1463"/>
    </row>
    <row r="33" spans="1:245">
      <c r="A33" s="177">
        <f t="shared" si="87"/>
        <v>37135</v>
      </c>
      <c r="B33" s="349">
        <f t="shared" si="88"/>
        <v>2001</v>
      </c>
      <c r="C33" s="15">
        <f t="shared" si="89"/>
        <v>9</v>
      </c>
      <c r="D33" s="612" t="str">
        <f t="shared" si="90"/>
        <v/>
      </c>
      <c r="E33" s="609" t="str">
        <f t="shared" si="91"/>
        <v/>
      </c>
      <c r="F33" s="614" t="str">
        <f t="shared" si="2"/>
        <v/>
      </c>
      <c r="G33" s="1349">
        <v>0</v>
      </c>
      <c r="H33" s="152">
        <f t="shared" si="165"/>
        <v>1</v>
      </c>
      <c r="I33" s="154">
        <f>IF(Assumptions!$L$25=4,VLOOKUP($A33,'Henwood Reference'!$E$9:$R$320,10),(VLOOKUP($A33,PriceTable,2,0)+IF(BasisNumber&lt;&gt;1,VLOOKUP($A33,BasisTable,2,0),0)+I$1)/(1-I$2))</f>
        <v>35.064744000000005</v>
      </c>
      <c r="J33" s="154">
        <f>IF(Assumptions!$L$25=4,VLOOKUP($A33,'Henwood Reference'!$E$9:$R$320,10),(VLOOKUP($A33,PriceTable,3,0)+IF(BasisNumber&lt;&gt;1,VLOOKUP($A33,BasisTable,2,0),0)+J$1)/(1-J$2))</f>
        <v>35.064744000000005</v>
      </c>
      <c r="K33" s="154">
        <f>IF(Assumptions!$L$25=4,VLOOKUP($A33,'Henwood Reference'!$E$9:$R$320,10),(VLOOKUP($A33,PriceTable,4,0)+IF(BasisNumber&lt;&gt;1,VLOOKUP($A33,BasisTable,2,0),0)+K$1)/(1-K$2))</f>
        <v>35.064744000000005</v>
      </c>
      <c r="L33" s="474">
        <f>IF(Assumptions!$L$25=4,VLOOKUP($A33,'Henwood Reference'!$E$9:$R$320,10),(VLOOKUP($A33,PriceTableWeekend,2,0)+IF(BasisNumber&lt;&gt;1,VLOOKUP($A33,BasisTable,2,0),0)+L$1)/(1-L$2))</f>
        <v>35.064744000000005</v>
      </c>
      <c r="M33" s="154">
        <f>IF(Assumptions!$L$25=4,VLOOKUP($A33,'Henwood Reference'!$E$9:$R$320,10),(VLOOKUP($A33,PriceTableWeekend,3,0)+IF(BasisNumber&lt;&gt;1,VLOOKUP($A33,BasisTable,2,0),0)+M$1)/(1-M$2))</f>
        <v>35.064744000000005</v>
      </c>
      <c r="N33" s="156">
        <f>IF(Assumptions!$L$25=4,VLOOKUP($A33,'Henwood Reference'!$E$9:$R$320,10),(VLOOKUP($A33,PriceTableWeekend,4,0)+IF(BasisNumber&lt;&gt;1,VLOOKUP($A33,BasisTable,2,0),0)+N$1)/(1-N$2))</f>
        <v>35.064744000000005</v>
      </c>
      <c r="O33" s="154">
        <f>IF(Assumptions!$L$25=4,VLOOKUP($A33,'Henwood Reference'!$E$9:$R$320,11),(VLOOKUP($A33,PriceTableWeekend,6,0)+IF(BasisNumber&lt;&gt;1,VLOOKUP($A33,BasisTable,3,0),0)+O$1)/(1-O$2))</f>
        <v>21.627978000000002</v>
      </c>
      <c r="P33" s="154">
        <f>IF(Assumptions!$L$25=4,VLOOKUP($A33,'Henwood Reference'!$E$9:$R$320,11),(VLOOKUP($A33,PriceTableWeekend,7,0)+IF(BasisNumber&lt;&gt;1,VLOOKUP($A33,BasisTable,3,0),0)+P$1)/(1-P$2))</f>
        <v>21.627978000000002</v>
      </c>
      <c r="Q33" s="156">
        <f>IF(Assumptions!$L$25=4,VLOOKUP($A33,'Henwood Reference'!$E$9:$R$320,11),(VLOOKUP($A33,PriceTableWeekend,8,0)+IF(BasisNumber&lt;&gt;1,VLOOKUP($A33,BasisTable,3,0),0)+Q$1)/(1-Q$2))</f>
        <v>21.627978000000002</v>
      </c>
      <c r="R33" s="154">
        <f>IF(Assumptions!$L$25=4,VLOOKUP($A33,'Henwood Reference'!$E$9:$R$320,11),(VLOOKUP($A33,PriceTable,6,0)+IF(BasisNumber&lt;&gt;1,VLOOKUP($A33,BasisTable,3,0),0)+R$1)/(1-R$2))</f>
        <v>21.627978000000002</v>
      </c>
      <c r="S33" s="154">
        <f>IF(Assumptions!$L$25=4,VLOOKUP($A33,'Henwood Reference'!$E$9:$R$320,11),(VLOOKUP($A33,PriceTable,7,0)+IF(BasisNumber&lt;&gt;1,VLOOKUP($A33,BasisTable,3,0),0)+S$1)/(1-S$2))</f>
        <v>21.627978000000002</v>
      </c>
      <c r="T33" s="155">
        <f>IF(Assumptions!$L$25=4,VLOOKUP($A33,'Henwood Reference'!$E$9:$R$320,11),(VLOOKUP($A33,PriceTable,8,0)+IF(BasisNumber&lt;&gt;1,VLOOKUP($A33,BasisTable,3,0),0)+T$1)/(1-T$2))</f>
        <v>21.627978000000002</v>
      </c>
      <c r="U33" s="173">
        <f t="shared" si="92"/>
        <v>0.16500000000000001</v>
      </c>
      <c r="V33" s="173">
        <f t="shared" si="93"/>
        <v>0.17499999999999999</v>
      </c>
      <c r="W33" s="174">
        <f t="shared" si="94"/>
        <v>0.185</v>
      </c>
      <c r="X33" s="173">
        <f t="shared" si="95"/>
        <v>0.16500000000000001</v>
      </c>
      <c r="Y33" s="173">
        <f t="shared" si="96"/>
        <v>0.17499999999999999</v>
      </c>
      <c r="Z33" s="174">
        <f t="shared" si="97"/>
        <v>0.185</v>
      </c>
      <c r="AA33" s="173">
        <f t="shared" si="98"/>
        <v>0.09</v>
      </c>
      <c r="AB33" s="173">
        <f t="shared" si="99"/>
        <v>0.11</v>
      </c>
      <c r="AC33" s="174">
        <f t="shared" si="100"/>
        <v>0.13</v>
      </c>
      <c r="AD33" s="173">
        <f t="shared" si="101"/>
        <v>0.09</v>
      </c>
      <c r="AE33" s="173">
        <f t="shared" si="102"/>
        <v>0.11</v>
      </c>
      <c r="AF33" s="174">
        <f t="shared" si="103"/>
        <v>0.13</v>
      </c>
      <c r="AG33" s="173">
        <f t="shared" si="104"/>
        <v>-0.35</v>
      </c>
      <c r="AH33" s="173">
        <f t="shared" si="105"/>
        <v>3</v>
      </c>
      <c r="AI33" s="174">
        <f t="shared" si="106"/>
        <v>0.2</v>
      </c>
      <c r="AJ33" s="173">
        <f t="shared" si="107"/>
        <v>-0.35</v>
      </c>
      <c r="AK33" s="173">
        <f t="shared" si="108"/>
        <v>3</v>
      </c>
      <c r="AL33" s="174">
        <f t="shared" si="109"/>
        <v>0.2</v>
      </c>
      <c r="AM33" s="173">
        <f t="shared" si="110"/>
        <v>-0.01</v>
      </c>
      <c r="AN33" s="173">
        <f t="shared" si="111"/>
        <v>0.16</v>
      </c>
      <c r="AO33" s="174">
        <f t="shared" si="112"/>
        <v>0.01</v>
      </c>
      <c r="AP33" s="173">
        <f t="shared" si="113"/>
        <v>-0.01</v>
      </c>
      <c r="AQ33" s="173">
        <f t="shared" si="114"/>
        <v>0.16</v>
      </c>
      <c r="AR33" s="175">
        <f t="shared" si="115"/>
        <v>0.01</v>
      </c>
      <c r="AS33" s="521">
        <f t="shared" si="116"/>
        <v>0.5</v>
      </c>
      <c r="AT33" s="349">
        <f t="shared" si="117"/>
        <v>0</v>
      </c>
      <c r="AU33" s="159">
        <f t="shared" si="3"/>
        <v>0</v>
      </c>
      <c r="AV33" s="159">
        <f t="shared" si="4"/>
        <v>0</v>
      </c>
      <c r="AW33" s="159">
        <f t="shared" si="118"/>
        <v>0</v>
      </c>
      <c r="AX33" s="15">
        <f t="shared" si="119"/>
        <v>0</v>
      </c>
      <c r="AY33" s="607">
        <f>IF(E33="",0,MIN((1-(1-VLOOKUP(B33,MAIN!$AA$7:$AM$28,C33+1))*(1-VLOOKUP(B33,MAIN!$AA$33:$AM$54,C33+1))),1))</f>
        <v>0</v>
      </c>
      <c r="AZ33" s="259">
        <v>0</v>
      </c>
      <c r="BA33" s="263">
        <v>0</v>
      </c>
      <c r="BB33" s="263">
        <v>0</v>
      </c>
      <c r="BC33" s="510">
        <v>0</v>
      </c>
      <c r="BD33" s="512">
        <v>0</v>
      </c>
      <c r="BE33" s="513">
        <v>0</v>
      </c>
      <c r="BF33" s="513">
        <v>0</v>
      </c>
      <c r="BG33" s="514">
        <v>0</v>
      </c>
      <c r="BH33" s="261">
        <v>0</v>
      </c>
      <c r="BI33" s="263">
        <v>0</v>
      </c>
      <c r="BJ33" s="263">
        <v>0</v>
      </c>
      <c r="BK33" s="510">
        <v>0</v>
      </c>
      <c r="BL33" s="512">
        <v>0</v>
      </c>
      <c r="BM33" s="513">
        <v>0</v>
      </c>
      <c r="BN33" s="513">
        <v>0</v>
      </c>
      <c r="BO33" s="513">
        <v>0</v>
      </c>
      <c r="BP33" s="261">
        <f t="shared" si="120"/>
        <v>0</v>
      </c>
      <c r="BQ33" s="578">
        <f t="shared" si="121"/>
        <v>0</v>
      </c>
      <c r="BR33" s="259">
        <f t="shared" si="122"/>
        <v>0</v>
      </c>
      <c r="BS33" s="578">
        <f t="shared" si="123"/>
        <v>0</v>
      </c>
      <c r="BT33" s="216">
        <f t="shared" si="124"/>
        <v>1.3826146475017111</v>
      </c>
      <c r="BU33" s="218">
        <f t="shared" si="5"/>
        <v>0</v>
      </c>
      <c r="BV33" s="216">
        <f t="shared" si="6"/>
        <v>0</v>
      </c>
      <c r="BW33" s="216">
        <f t="shared" si="7"/>
        <v>0</v>
      </c>
      <c r="BX33" s="216">
        <f t="shared" si="125"/>
        <v>0</v>
      </c>
      <c r="BY33" s="216">
        <f t="shared" si="8"/>
        <v>0</v>
      </c>
      <c r="BZ33" s="216">
        <f t="shared" si="9"/>
        <v>0</v>
      </c>
      <c r="CA33" s="264">
        <f t="shared" si="10"/>
        <v>0</v>
      </c>
      <c r="CB33" s="216">
        <f t="shared" si="11"/>
        <v>0</v>
      </c>
      <c r="CC33" s="216">
        <f t="shared" si="12"/>
        <v>0</v>
      </c>
      <c r="CD33" s="216">
        <f t="shared" si="126"/>
        <v>0</v>
      </c>
      <c r="CE33" s="216">
        <f t="shared" si="13"/>
        <v>0</v>
      </c>
      <c r="CF33" s="571">
        <f t="shared" si="14"/>
        <v>0</v>
      </c>
      <c r="CG33" s="573" t="str">
        <f t="shared" si="15"/>
        <v/>
      </c>
      <c r="CH33" s="219" t="str">
        <f t="shared" si="16"/>
        <v/>
      </c>
      <c r="CI33" s="219" t="str">
        <f t="shared" si="17"/>
        <v/>
      </c>
      <c r="CJ33" s="219" t="str">
        <f t="shared" si="18"/>
        <v/>
      </c>
      <c r="CK33" s="219" t="str">
        <f t="shared" si="19"/>
        <v/>
      </c>
      <c r="CL33" s="219" t="str">
        <f t="shared" si="20"/>
        <v/>
      </c>
      <c r="CM33" s="219" t="str">
        <f t="shared" si="21"/>
        <v/>
      </c>
      <c r="CN33" s="569" t="str">
        <f t="shared" si="22"/>
        <v/>
      </c>
      <c r="CO33" s="264">
        <f t="shared" si="175"/>
        <v>0</v>
      </c>
      <c r="CP33" s="216">
        <f t="shared" si="127"/>
        <v>0</v>
      </c>
      <c r="CQ33" s="216">
        <f t="shared" si="128"/>
        <v>0</v>
      </c>
      <c r="CR33" s="216">
        <f t="shared" si="129"/>
        <v>0</v>
      </c>
      <c r="CS33" s="1626">
        <f t="shared" si="130"/>
        <v>0</v>
      </c>
      <c r="CT33" s="216">
        <f t="shared" si="131"/>
        <v>0</v>
      </c>
      <c r="CU33" s="575" t="str">
        <f t="shared" si="23"/>
        <v/>
      </c>
      <c r="CV33" s="154" t="str">
        <f t="shared" si="24"/>
        <v/>
      </c>
      <c r="CW33" s="216">
        <f>IF(OR($BQ33,$BS33),SpreadOptPowerMargin,0)*((1+Assumptions!$C$26)^($B33-YEAR(Assumptions!$C$17)))</f>
        <v>0</v>
      </c>
      <c r="CX33" s="216">
        <f>IF(OR($BQ33,$BS33),SpreadOptPowerMargin,0)*((1+Assumptions!$C$26)^($B33-YEAR(Assumptions!$C$17)))</f>
        <v>0</v>
      </c>
      <c r="CY33" s="216">
        <f>IF(OR($BQ33,$BS33),SpreadOptPowerMargin,0)*((1+Assumptions!$C$26)^($B33-YEAR(Assumptions!$C$17)))</f>
        <v>0</v>
      </c>
      <c r="CZ33" s="216">
        <f>IF(OR($BQ33,$BS33),SpreadOptPowerMargin,0)*((1+Assumptions!$C$26)^($B33-YEAR(Assumptions!$C$17)))</f>
        <v>0</v>
      </c>
      <c r="DA33" s="440">
        <f t="shared" si="25"/>
        <v>0</v>
      </c>
      <c r="DB33" s="479" t="str">
        <f t="shared" si="26"/>
        <v/>
      </c>
      <c r="DC33" s="479" t="str">
        <f t="shared" si="27"/>
        <v/>
      </c>
      <c r="DD33" s="479" t="str">
        <f t="shared" si="28"/>
        <v/>
      </c>
      <c r="DE33" s="479" t="str">
        <f t="shared" si="29"/>
        <v/>
      </c>
      <c r="DF33" s="479" t="str">
        <f t="shared" si="30"/>
        <v/>
      </c>
      <c r="DG33" s="574" t="str">
        <f t="shared" si="31"/>
        <v/>
      </c>
      <c r="DH33" s="216">
        <f t="shared" si="32"/>
        <v>0</v>
      </c>
      <c r="DI33" s="216">
        <f t="shared" si="33"/>
        <v>0</v>
      </c>
      <c r="DJ33" s="216">
        <f t="shared" si="34"/>
        <v>0</v>
      </c>
      <c r="DK33" s="216">
        <f t="shared" si="35"/>
        <v>0</v>
      </c>
      <c r="DL33" s="216">
        <f t="shared" si="36"/>
        <v>0</v>
      </c>
      <c r="DM33" s="216"/>
      <c r="DN33" s="216"/>
      <c r="DO33" s="216"/>
      <c r="DP33" s="216"/>
      <c r="DQ33" s="216"/>
      <c r="DR33" s="216"/>
      <c r="DS33" s="216"/>
      <c r="DT33" s="216"/>
      <c r="DU33" s="216"/>
      <c r="DV33" s="216"/>
      <c r="DW33" s="1371">
        <f t="shared" si="37"/>
        <v>0</v>
      </c>
      <c r="DX33" s="216">
        <f t="shared" si="38"/>
        <v>0</v>
      </c>
      <c r="DY33" s="440">
        <f t="shared" si="39"/>
        <v>0</v>
      </c>
      <c r="DZ33" s="180">
        <f t="shared" si="40"/>
        <v>0</v>
      </c>
      <c r="EA33" s="180">
        <f t="shared" si="41"/>
        <v>0</v>
      </c>
      <c r="EB33" s="180">
        <f t="shared" si="42"/>
        <v>0</v>
      </c>
      <c r="EC33" s="180">
        <f t="shared" si="43"/>
        <v>0</v>
      </c>
      <c r="ED33" s="180">
        <f t="shared" si="44"/>
        <v>0</v>
      </c>
      <c r="EE33" s="581">
        <f t="shared" si="45"/>
        <v>0</v>
      </c>
      <c r="EF33" s="554">
        <f t="shared" si="46"/>
        <v>0</v>
      </c>
      <c r="EG33" s="554">
        <f t="shared" si="47"/>
        <v>0</v>
      </c>
      <c r="EH33" s="554">
        <f t="shared" si="48"/>
        <v>0</v>
      </c>
      <c r="EI33" s="561">
        <f t="shared" si="49"/>
        <v>0</v>
      </c>
      <c r="EJ33" s="581">
        <f t="shared" si="132"/>
        <v>0</v>
      </c>
      <c r="EK33" s="554">
        <f t="shared" si="133"/>
        <v>0</v>
      </c>
      <c r="EL33" s="554">
        <f t="shared" si="134"/>
        <v>0</v>
      </c>
      <c r="EM33" s="554">
        <f t="shared" si="135"/>
        <v>0</v>
      </c>
      <c r="EN33" s="561">
        <f t="shared" si="136"/>
        <v>0</v>
      </c>
      <c r="EO33" s="180">
        <f t="shared" si="50"/>
        <v>0</v>
      </c>
      <c r="EP33" s="180">
        <f t="shared" si="51"/>
        <v>0</v>
      </c>
      <c r="EQ33" s="180">
        <f t="shared" si="52"/>
        <v>0</v>
      </c>
      <c r="ER33" s="180">
        <f t="shared" si="53"/>
        <v>0</v>
      </c>
      <c r="ES33" s="180">
        <f t="shared" si="54"/>
        <v>0</v>
      </c>
      <c r="ET33" s="1482">
        <f t="shared" si="55"/>
        <v>0</v>
      </c>
      <c r="EU33" s="180">
        <f t="shared" si="56"/>
        <v>0</v>
      </c>
      <c r="EV33" s="180">
        <f t="shared" si="57"/>
        <v>0</v>
      </c>
      <c r="EW33" s="180">
        <f t="shared" si="58"/>
        <v>0</v>
      </c>
      <c r="EX33" s="555">
        <f t="shared" si="59"/>
        <v>0</v>
      </c>
      <c r="EY33" s="180">
        <f t="shared" si="137"/>
        <v>0</v>
      </c>
      <c r="EZ33" s="180">
        <f t="shared" si="138"/>
        <v>0</v>
      </c>
      <c r="FA33" s="180">
        <f t="shared" si="139"/>
        <v>0</v>
      </c>
      <c r="FB33" s="180">
        <f t="shared" si="140"/>
        <v>0</v>
      </c>
      <c r="FC33" s="180">
        <f t="shared" si="141"/>
        <v>0</v>
      </c>
      <c r="FD33" s="262">
        <f>IF(AX33,IF(VLOOKUP(C33,MAIN!$L$17:$M$28,2)="Yes",VLOOKUP(CALC!B33,MAIN!$H$17:$I$20,2),0),0)</f>
        <v>0</v>
      </c>
      <c r="FE33" s="623">
        <f t="shared" si="60"/>
        <v>0</v>
      </c>
      <c r="FF33" s="535">
        <f t="shared" si="61"/>
        <v>0</v>
      </c>
      <c r="FG33" s="535">
        <f t="shared" si="62"/>
        <v>0</v>
      </c>
      <c r="FH33" s="624">
        <f t="shared" si="63"/>
        <v>0</v>
      </c>
      <c r="FI33" s="632">
        <f>IF(AX33,VLOOKUP(CALC!B33,MAIN!$H$17:$K$20,4),0)</f>
        <v>0</v>
      </c>
      <c r="FJ33" s="535">
        <f t="shared" si="64"/>
        <v>0</v>
      </c>
      <c r="FK33" s="648">
        <f t="shared" si="142"/>
        <v>0</v>
      </c>
      <c r="FL33" s="530">
        <f t="shared" si="143"/>
        <v>0</v>
      </c>
      <c r="FM33" s="530">
        <f t="shared" si="144"/>
        <v>0</v>
      </c>
      <c r="FN33" s="530">
        <f t="shared" si="145"/>
        <v>0</v>
      </c>
      <c r="FO33" s="622">
        <f t="shared" si="146"/>
        <v>0</v>
      </c>
      <c r="FP33" s="530">
        <f t="shared" si="147"/>
        <v>0</v>
      </c>
      <c r="FQ33" s="530">
        <f t="shared" si="148"/>
        <v>0</v>
      </c>
      <c r="FR33" s="530">
        <f t="shared" si="149"/>
        <v>0</v>
      </c>
      <c r="FS33" s="625">
        <f t="shared" si="150"/>
        <v>0</v>
      </c>
      <c r="FT33" s="640">
        <f>IF(AND(Assumptions!$H$71="Yes",A33&gt;=Assumptions!$H$72,A33&lt;=Assumptions!$H$73),0,IF(AND($A33&gt;=Assumptions!$C$17,$A33&lt;=Assumptions!$C$18),MAX(AZ33*(1+VLOOKUP($C33,WeatherCapacityAdjustment,2))-FL33,0),0))</f>
        <v>0</v>
      </c>
      <c r="FU33" s="530">
        <f>IF(AND(Assumptions!$H$71="Yes",A33&gt;=Assumptions!$H$72,A33&lt;=Assumptions!$H$73),0,IF(AND($A33&gt;=Assumptions!$C$17,$A33&lt;=Assumptions!$C$18),MAX(BA33*(1+VLOOKUP($C33,WeatherCapacityAdjustment,2))-FM33,0),0))</f>
        <v>0</v>
      </c>
      <c r="FV33" s="530">
        <f>IF(AND(Assumptions!$H$71="Yes",A33&gt;=Assumptions!$H$72,A33&lt;=Assumptions!$H$73),0,IF(AND($A33&gt;=Assumptions!$C$17,$A33&lt;=Assumptions!$C$18),MAX(BB33*(1+VLOOKUP($C33,WeatherCapacityAdjustment,2))-FN33,0),0))</f>
        <v>0</v>
      </c>
      <c r="FW33" s="622">
        <f>IF(AND(Assumptions!$H$71="Yes",A33&gt;=Assumptions!$H$72,A33&lt;=Assumptions!$H$73),0,IF(AND($A33&gt;=Assumptions!$C$17,$A33&lt;=Assumptions!$C$18),MAX(BC33*(1+VLOOKUP($C33,WeatherCapacityAdjustment,3))-FO33,0),0))</f>
        <v>0</v>
      </c>
      <c r="FX33" s="621">
        <f>IF(AND(Assumptions!$H$71="Yes",A33&gt;=Assumptions!$H$72,A33&lt;=Assumptions!$H$73),0,IF(ET33&gt;0,MAX(BH33*(1+VLOOKUP($C33,WeatherCapacityAdjustment,2))-FP33,0),0))</f>
        <v>0</v>
      </c>
      <c r="FY33" s="530">
        <f>IF(AND(Assumptions!$H$71="Yes",A33&gt;=Assumptions!$H$72,A33&lt;=Assumptions!$H$73),0,IF(EU33&gt;0,MAX(BI33*(1+VLOOKUP($C33,WeatherCapacityAdjustment,3))-FQ33,0),0))</f>
        <v>0</v>
      </c>
      <c r="FZ33" s="530">
        <f>IF(AND(Assumptions!$H$71="Yes",A33&gt;=Assumptions!$H$72,A33&lt;=Assumptions!$H$73),0,IF(EV33&gt;0,MAX(BJ33*(1+VLOOKUP($C33,WeatherCapacityAdjustment,2))-FR33,0),0))</f>
        <v>0</v>
      </c>
      <c r="GA33" s="622">
        <f>IF(AND(Assumptions!$H$71="Yes",A33&gt;=Assumptions!$H$72,A33&lt;=Assumptions!$H$73),0,IF(EW33&gt;0,MAX(BK33*(1+VLOOKUP($C33,WeatherCapacityAdjustment,2))-FS33,0),0))</f>
        <v>0</v>
      </c>
      <c r="GB33" s="530">
        <f t="shared" si="65"/>
        <v>0</v>
      </c>
      <c r="GC33" s="545">
        <f t="shared" si="66"/>
        <v>0</v>
      </c>
      <c r="GD33" s="530">
        <f t="shared" si="67"/>
        <v>0</v>
      </c>
      <c r="GE33" s="1485">
        <f t="shared" si="151"/>
        <v>0</v>
      </c>
      <c r="GF33" s="1776">
        <f t="shared" si="168"/>
        <v>0</v>
      </c>
      <c r="GG33" s="545">
        <f t="shared" si="169"/>
        <v>0</v>
      </c>
      <c r="GH33" s="622">
        <f t="shared" si="170"/>
        <v>0</v>
      </c>
      <c r="GI33" s="621">
        <f t="shared" si="152"/>
        <v>0</v>
      </c>
      <c r="GJ33" s="638">
        <f t="shared" si="68"/>
        <v>0</v>
      </c>
      <c r="GK33" s="625">
        <f t="shared" si="166"/>
        <v>0</v>
      </c>
      <c r="GL33" s="640">
        <f t="shared" si="171"/>
        <v>0</v>
      </c>
      <c r="GM33" s="530">
        <f t="shared" si="172"/>
        <v>0</v>
      </c>
      <c r="GN33" s="530">
        <f t="shared" si="173"/>
        <v>0</v>
      </c>
      <c r="GO33" s="622">
        <f t="shared" si="174"/>
        <v>0</v>
      </c>
      <c r="GP33" s="530">
        <f t="shared" si="73"/>
        <v>0</v>
      </c>
      <c r="GQ33" s="545">
        <f t="shared" si="74"/>
        <v>0</v>
      </c>
      <c r="GR33" s="625">
        <f t="shared" si="75"/>
        <v>0</v>
      </c>
      <c r="GS33" s="640">
        <f>IF($A33&gt;=BegDate,Assumptions!$C$56*24*($A34-$A33)*(1-VLOOKUP($B33,MAIN!$AA$7:$AM$28,$C33+1))*(1-VLOOKUP($B33,MAIN!$AA$33:$AM$54,$C33+1)),0)*80/168</f>
        <v>0</v>
      </c>
      <c r="GT33" s="1715">
        <f t="shared" si="153"/>
        <v>35.064744000000005</v>
      </c>
      <c r="GU33" s="1715">
        <f>IF($A33&gt;=BegDate,VLOOKUP($A33,GasTable,13)+Assumptions!$C$58,0)</f>
        <v>0</v>
      </c>
      <c r="GV33" s="1715">
        <f>GU33*Assumptions!$C$57/1000</f>
        <v>0</v>
      </c>
      <c r="GW33" s="625">
        <f>IF(Assumptions!$C$60="Hourly",MAX(0,GS33*(GT33-GV33)),GS33*(GT33-GV33))</f>
        <v>0</v>
      </c>
      <c r="GX33" s="640">
        <f>IF($A33&gt;=BegDate,Assumptions!$C$56*24*($A34-$A33)*(1-VLOOKUP($B33,MAIN!$AA$7:$AM$28,$C33+1))*(1-VLOOKUP($B33,MAIN!$AA$33:$AM$54,$C33+1)),0)*16/168</f>
        <v>0</v>
      </c>
      <c r="GY33" s="1715">
        <f t="shared" si="154"/>
        <v>35.064744000000005</v>
      </c>
      <c r="GZ33" s="1715">
        <f>IF($A33&gt;=BegDate,VLOOKUP($A33,GasTable,13)+Assumptions!$C$58,0)</f>
        <v>0</v>
      </c>
      <c r="HA33" s="1715">
        <f>GZ33*Assumptions!$C$57/1000</f>
        <v>0</v>
      </c>
      <c r="HB33" s="625">
        <f>IF(Assumptions!$C$60="Hourly",MAX(0,GX33*(GY33-HA33)),GX33*(GY33-HA33))</f>
        <v>0</v>
      </c>
      <c r="HC33" s="640">
        <f>IF($A33&gt;=BegDate,Assumptions!$C$56*24*($A34-$A33)*(1-VLOOKUP($B33,MAIN!$AA$7:$AM$28,$C33+1))*(1-VLOOKUP($B33,MAIN!$AA$33:$AM$54,$C33+1)),0)*16/168</f>
        <v>0</v>
      </c>
      <c r="HD33" s="1715">
        <f t="shared" si="155"/>
        <v>21.627978000000002</v>
      </c>
      <c r="HE33" s="1715">
        <f>IF($A33&gt;=BegDate,VLOOKUP($A33,GasTable,13)+Assumptions!$C$58,0)</f>
        <v>0</v>
      </c>
      <c r="HF33" s="1715">
        <f>HE33*Assumptions!$C$57/1000</f>
        <v>0</v>
      </c>
      <c r="HG33" s="625">
        <f>IF(Assumptions!$C$60="Hourly",MAX(0,HC33*(HD33-HF33)),HC33*(HD33-HF33))</f>
        <v>0</v>
      </c>
      <c r="HH33" s="640">
        <f>IF($A33&gt;=BegDate,Assumptions!$C$56*24*($A34-$A33)*(1-VLOOKUP($B33,MAIN!$AA$7:$AM$28,$C33+1))*(1-VLOOKUP($B33,MAIN!$AA$33:$AM$54,$C33+1)),0)*56/168</f>
        <v>0</v>
      </c>
      <c r="HI33" s="1715">
        <f t="shared" si="156"/>
        <v>21.627978000000002</v>
      </c>
      <c r="HJ33" s="1715">
        <f>IF($A33&gt;=BegDate,VLOOKUP($A33,GasTable,13)+Assumptions!$C$58,0)</f>
        <v>0</v>
      </c>
      <c r="HK33" s="1715">
        <f>HJ33*Assumptions!$C$57/1000</f>
        <v>0</v>
      </c>
      <c r="HL33" s="625">
        <f>IF(Assumptions!$C$60="Hourly",MAX(0,HH33*(HI33-HK33)),HH33*(HI33-HK33))</f>
        <v>0</v>
      </c>
      <c r="HM33" s="640">
        <f>IF(AND(Assumptions!$H$71="Yes",A33&gt;=Assumptions!$H$72,A33&lt;=Assumptions!$H$73),Assumptions!$H$74*Assumptions!$C$9*1000,0)</f>
        <v>0</v>
      </c>
      <c r="HN33" s="625"/>
      <c r="HO33" s="1414">
        <f t="shared" si="167"/>
        <v>2019</v>
      </c>
      <c r="HP33" s="640">
        <f t="shared" si="76"/>
        <v>0</v>
      </c>
      <c r="HQ33" s="154">
        <f t="shared" si="157"/>
        <v>0</v>
      </c>
      <c r="HR33" s="622">
        <f t="shared" si="77"/>
        <v>0</v>
      </c>
      <c r="HS33" s="621">
        <f t="shared" ca="1" si="78"/>
        <v>6320520</v>
      </c>
      <c r="HT33" s="545">
        <f t="shared" ca="1" si="158"/>
        <v>47.424643699255576</v>
      </c>
      <c r="HU33" s="530">
        <f t="shared" ca="1" si="79"/>
        <v>299748408.99401885</v>
      </c>
      <c r="HV33" s="621">
        <f t="shared" ca="1" si="159"/>
        <v>299748408.99401885</v>
      </c>
      <c r="HW33" s="530">
        <f t="shared" ca="1" si="80"/>
        <v>2877402.9835996856</v>
      </c>
      <c r="HX33" s="530">
        <f t="shared" ca="1" si="81"/>
        <v>15809979.295226768</v>
      </c>
      <c r="HY33" s="530">
        <f>IF(Assumptions!$L$24="Yes",HW33+HX33,0)</f>
        <v>0</v>
      </c>
      <c r="HZ33" s="640">
        <f t="shared" ca="1" si="160"/>
        <v>45164337.926399998</v>
      </c>
      <c r="IA33" s="545">
        <f t="shared" ca="1" si="161"/>
        <v>-3.7959175865761599</v>
      </c>
      <c r="IB33" s="622">
        <f t="shared" ca="1" si="82"/>
        <v>-171440104.62089041</v>
      </c>
      <c r="IC33" s="621">
        <f t="shared" ca="1" si="83"/>
        <v>6320520</v>
      </c>
      <c r="ID33" s="545">
        <f t="shared" ca="1" si="162"/>
        <v>-2.4710142691631019</v>
      </c>
      <c r="IE33" s="622">
        <f t="shared" ca="1" si="84"/>
        <v>-15618095.108530767</v>
      </c>
      <c r="IF33" s="530">
        <f t="shared" ca="1" si="85"/>
        <v>0</v>
      </c>
      <c r="IG33" s="545">
        <f t="shared" ca="1" si="163"/>
        <v>0</v>
      </c>
      <c r="IH33" s="622">
        <f t="shared" ca="1" si="86"/>
        <v>0</v>
      </c>
      <c r="II33" s="1645">
        <f>(SUMIF($B$17:$B$292,HO33,$GW$17:$GW$292)+SUMIF($B$17:$B$292,HO33,$HB$17:$HB$292)+SUMIF($B$17:$B$292,HO33,$HG$17:$HG$292)+SUMIF($B$17:$B$292,HO33,$HL$17:$HL$292))*Assumptions!$C$59</f>
        <v>1275943.1224632473</v>
      </c>
      <c r="IJ33" s="1463">
        <f t="shared" si="164"/>
        <v>0</v>
      </c>
      <c r="IK33" s="1463"/>
    </row>
    <row r="34" spans="1:245">
      <c r="A34" s="177">
        <f t="shared" si="87"/>
        <v>37165</v>
      </c>
      <c r="B34" s="349">
        <f t="shared" si="88"/>
        <v>2001</v>
      </c>
      <c r="C34" s="15">
        <f t="shared" si="89"/>
        <v>10</v>
      </c>
      <c r="D34" s="612" t="str">
        <f t="shared" si="90"/>
        <v/>
      </c>
      <c r="E34" s="609" t="str">
        <f t="shared" si="91"/>
        <v/>
      </c>
      <c r="F34" s="614" t="str">
        <f t="shared" si="2"/>
        <v/>
      </c>
      <c r="G34" s="1349">
        <v>0</v>
      </c>
      <c r="H34" s="152">
        <f t="shared" si="165"/>
        <v>1</v>
      </c>
      <c r="I34" s="154">
        <f>IF(Assumptions!$L$25=4,VLOOKUP($A34,'Henwood Reference'!$E$9:$R$320,10),(VLOOKUP($A34,PriceTable,2,0)+IF(BasisNumber&lt;&gt;1,VLOOKUP($A34,BasisTable,2,0),0)+I$1)/(1-I$2))</f>
        <v>31.914882000000002</v>
      </c>
      <c r="J34" s="154">
        <f>IF(Assumptions!$L$25=4,VLOOKUP($A34,'Henwood Reference'!$E$9:$R$320,10),(VLOOKUP($A34,PriceTable,3,0)+IF(BasisNumber&lt;&gt;1,VLOOKUP($A34,BasisTable,2,0),0)+J$1)/(1-J$2))</f>
        <v>31.914882000000002</v>
      </c>
      <c r="K34" s="154">
        <f>IF(Assumptions!$L$25=4,VLOOKUP($A34,'Henwood Reference'!$E$9:$R$320,10),(VLOOKUP($A34,PriceTable,4,0)+IF(BasisNumber&lt;&gt;1,VLOOKUP($A34,BasisTable,2,0),0)+K$1)/(1-K$2))</f>
        <v>31.914882000000002</v>
      </c>
      <c r="L34" s="474">
        <f>IF(Assumptions!$L$25=4,VLOOKUP($A34,'Henwood Reference'!$E$9:$R$320,10),(VLOOKUP($A34,PriceTableWeekend,2,0)+IF(BasisNumber&lt;&gt;1,VLOOKUP($A34,BasisTable,2,0),0)+L$1)/(1-L$2))</f>
        <v>31.914882000000002</v>
      </c>
      <c r="M34" s="154">
        <f>IF(Assumptions!$L$25=4,VLOOKUP($A34,'Henwood Reference'!$E$9:$R$320,10),(VLOOKUP($A34,PriceTableWeekend,3,0)+IF(BasisNumber&lt;&gt;1,VLOOKUP($A34,BasisTable,2,0),0)+M$1)/(1-M$2))</f>
        <v>31.914882000000002</v>
      </c>
      <c r="N34" s="156">
        <f>IF(Assumptions!$L$25=4,VLOOKUP($A34,'Henwood Reference'!$E$9:$R$320,10),(VLOOKUP($A34,PriceTableWeekend,4,0)+IF(BasisNumber&lt;&gt;1,VLOOKUP($A34,BasisTable,2,0),0)+N$1)/(1-N$2))</f>
        <v>31.914882000000002</v>
      </c>
      <c r="O34" s="154">
        <f>IF(Assumptions!$L$25=4,VLOOKUP($A34,'Henwood Reference'!$E$9:$R$320,11),(VLOOKUP($A34,PriceTableWeekend,6,0)+IF(BasisNumber&lt;&gt;1,VLOOKUP($A34,BasisTable,3,0),0)+O$1)/(1-O$2))</f>
        <v>21.846461999999999</v>
      </c>
      <c r="P34" s="154">
        <f>IF(Assumptions!$L$25=4,VLOOKUP($A34,'Henwood Reference'!$E$9:$R$320,11),(VLOOKUP($A34,PriceTableWeekend,7,0)+IF(BasisNumber&lt;&gt;1,VLOOKUP($A34,BasisTable,3,0),0)+P$1)/(1-P$2))</f>
        <v>21.846461999999999</v>
      </c>
      <c r="Q34" s="156">
        <f>IF(Assumptions!$L$25=4,VLOOKUP($A34,'Henwood Reference'!$E$9:$R$320,11),(VLOOKUP($A34,PriceTableWeekend,8,0)+IF(BasisNumber&lt;&gt;1,VLOOKUP($A34,BasisTable,3,0),0)+Q$1)/(1-Q$2))</f>
        <v>21.846461999999999</v>
      </c>
      <c r="R34" s="154">
        <f>IF(Assumptions!$L$25=4,VLOOKUP($A34,'Henwood Reference'!$E$9:$R$320,11),(VLOOKUP($A34,PriceTable,6,0)+IF(BasisNumber&lt;&gt;1,VLOOKUP($A34,BasisTable,3,0),0)+R$1)/(1-R$2))</f>
        <v>21.846461999999999</v>
      </c>
      <c r="S34" s="154">
        <f>IF(Assumptions!$L$25=4,VLOOKUP($A34,'Henwood Reference'!$E$9:$R$320,11),(VLOOKUP($A34,PriceTable,7,0)+IF(BasisNumber&lt;&gt;1,VLOOKUP($A34,BasisTable,3,0),0)+S$1)/(1-S$2))</f>
        <v>21.846461999999999</v>
      </c>
      <c r="T34" s="155">
        <f>IF(Assumptions!$L$25=4,VLOOKUP($A34,'Henwood Reference'!$E$9:$R$320,11),(VLOOKUP($A34,PriceTable,8,0)+IF(BasisNumber&lt;&gt;1,VLOOKUP($A34,BasisTable,3,0),0)+T$1)/(1-T$2))</f>
        <v>21.846461999999999</v>
      </c>
      <c r="U34" s="173">
        <f t="shared" si="92"/>
        <v>0.16500000000000001</v>
      </c>
      <c r="V34" s="173">
        <f t="shared" si="93"/>
        <v>0.17499999999999999</v>
      </c>
      <c r="W34" s="174">
        <f t="shared" si="94"/>
        <v>0.185</v>
      </c>
      <c r="X34" s="173">
        <f t="shared" si="95"/>
        <v>0.16500000000000001</v>
      </c>
      <c r="Y34" s="173">
        <f t="shared" si="96"/>
        <v>0.17499999999999999</v>
      </c>
      <c r="Z34" s="174">
        <f t="shared" si="97"/>
        <v>0.185</v>
      </c>
      <c r="AA34" s="173">
        <f t="shared" si="98"/>
        <v>0.09</v>
      </c>
      <c r="AB34" s="173">
        <f t="shared" si="99"/>
        <v>0.11</v>
      </c>
      <c r="AC34" s="174">
        <f t="shared" si="100"/>
        <v>0.13</v>
      </c>
      <c r="AD34" s="173">
        <f t="shared" si="101"/>
        <v>0.09</v>
      </c>
      <c r="AE34" s="173">
        <f t="shared" si="102"/>
        <v>0.11</v>
      </c>
      <c r="AF34" s="174">
        <f t="shared" si="103"/>
        <v>0.13</v>
      </c>
      <c r="AG34" s="173">
        <f t="shared" si="104"/>
        <v>-0.1</v>
      </c>
      <c r="AH34" s="173">
        <f t="shared" si="105"/>
        <v>0.6</v>
      </c>
      <c r="AI34" s="174">
        <f t="shared" si="106"/>
        <v>0.1</v>
      </c>
      <c r="AJ34" s="173">
        <f t="shared" si="107"/>
        <v>-0.1</v>
      </c>
      <c r="AK34" s="173">
        <f t="shared" si="108"/>
        <v>0.6</v>
      </c>
      <c r="AL34" s="174">
        <f t="shared" si="109"/>
        <v>0.1</v>
      </c>
      <c r="AM34" s="173">
        <f t="shared" si="110"/>
        <v>-0.01</v>
      </c>
      <c r="AN34" s="173">
        <f t="shared" si="111"/>
        <v>0.16</v>
      </c>
      <c r="AO34" s="174">
        <f t="shared" si="112"/>
        <v>0.01</v>
      </c>
      <c r="AP34" s="173">
        <f t="shared" si="113"/>
        <v>-0.01</v>
      </c>
      <c r="AQ34" s="173">
        <f t="shared" si="114"/>
        <v>0.16</v>
      </c>
      <c r="AR34" s="175">
        <f t="shared" si="115"/>
        <v>0.01</v>
      </c>
      <c r="AS34" s="521">
        <f t="shared" ref="AS34:AS49" si="176">IF(CorrPeakOffPeakOverFlag,INDEX(CorrPeakOffPeakOver,C34),CorrPeakOffPeak)</f>
        <v>0.5</v>
      </c>
      <c r="AT34" s="349">
        <f t="shared" si="117"/>
        <v>0</v>
      </c>
      <c r="AU34" s="159">
        <f t="shared" si="3"/>
        <v>0</v>
      </c>
      <c r="AV34" s="159">
        <f t="shared" si="4"/>
        <v>0</v>
      </c>
      <c r="AW34" s="159">
        <f t="shared" ref="AW34:AW49" si="177">IF(OR(E34="",D34="",D34&lt;BegDate,D34&gt;EndDate),0,1)</f>
        <v>0</v>
      </c>
      <c r="AX34" s="15">
        <f t="shared" si="119"/>
        <v>0</v>
      </c>
      <c r="AY34" s="607">
        <f>IF(E34="",0,MIN((1-(1-VLOOKUP(B34,MAIN!$AA$7:$AM$28,C34+1))*(1-VLOOKUP(B34,MAIN!$AA$33:$AM$54,C34+1))),1))</f>
        <v>0</v>
      </c>
      <c r="AZ34" s="259">
        <v>0</v>
      </c>
      <c r="BA34" s="263">
        <v>0</v>
      </c>
      <c r="BB34" s="263">
        <v>0</v>
      </c>
      <c r="BC34" s="510">
        <v>0</v>
      </c>
      <c r="BD34" s="512">
        <v>0</v>
      </c>
      <c r="BE34" s="513">
        <v>0</v>
      </c>
      <c r="BF34" s="513">
        <v>0</v>
      </c>
      <c r="BG34" s="514">
        <v>0</v>
      </c>
      <c r="BH34" s="261">
        <v>0</v>
      </c>
      <c r="BI34" s="263">
        <v>0</v>
      </c>
      <c r="BJ34" s="263">
        <v>0</v>
      </c>
      <c r="BK34" s="510">
        <v>0</v>
      </c>
      <c r="BL34" s="512">
        <v>0</v>
      </c>
      <c r="BM34" s="513">
        <v>0</v>
      </c>
      <c r="BN34" s="513">
        <v>0</v>
      </c>
      <c r="BO34" s="513">
        <v>0</v>
      </c>
      <c r="BP34" s="261">
        <f t="shared" si="120"/>
        <v>0</v>
      </c>
      <c r="BQ34" s="578">
        <f t="shared" si="121"/>
        <v>0</v>
      </c>
      <c r="BR34" s="259">
        <f t="shared" si="122"/>
        <v>0</v>
      </c>
      <c r="BS34" s="578">
        <f t="shared" si="123"/>
        <v>0</v>
      </c>
      <c r="BT34" s="216">
        <f t="shared" si="124"/>
        <v>1.4647501711156743</v>
      </c>
      <c r="BU34" s="218">
        <f t="shared" si="5"/>
        <v>0</v>
      </c>
      <c r="BV34" s="216">
        <f t="shared" si="6"/>
        <v>0</v>
      </c>
      <c r="BW34" s="216">
        <f t="shared" si="7"/>
        <v>0</v>
      </c>
      <c r="BX34" s="216">
        <f t="shared" si="125"/>
        <v>0</v>
      </c>
      <c r="BY34" s="216">
        <f t="shared" si="8"/>
        <v>0</v>
      </c>
      <c r="BZ34" s="216">
        <f t="shared" si="9"/>
        <v>0</v>
      </c>
      <c r="CA34" s="264">
        <f t="shared" si="10"/>
        <v>0</v>
      </c>
      <c r="CB34" s="216">
        <f t="shared" si="11"/>
        <v>0</v>
      </c>
      <c r="CC34" s="216">
        <f t="shared" si="12"/>
        <v>0</v>
      </c>
      <c r="CD34" s="216">
        <f t="shared" si="126"/>
        <v>0</v>
      </c>
      <c r="CE34" s="216">
        <f t="shared" si="13"/>
        <v>0</v>
      </c>
      <c r="CF34" s="571">
        <f t="shared" si="14"/>
        <v>0</v>
      </c>
      <c r="CG34" s="573" t="str">
        <f t="shared" si="15"/>
        <v/>
      </c>
      <c r="CH34" s="219" t="str">
        <f t="shared" si="16"/>
        <v/>
      </c>
      <c r="CI34" s="219" t="str">
        <f t="shared" si="17"/>
        <v/>
      </c>
      <c r="CJ34" s="219" t="str">
        <f t="shared" si="18"/>
        <v/>
      </c>
      <c r="CK34" s="219" t="str">
        <f t="shared" si="19"/>
        <v/>
      </c>
      <c r="CL34" s="219" t="str">
        <f t="shared" si="20"/>
        <v/>
      </c>
      <c r="CM34" s="219" t="str">
        <f t="shared" si="21"/>
        <v/>
      </c>
      <c r="CN34" s="569" t="str">
        <f t="shared" si="22"/>
        <v/>
      </c>
      <c r="CO34" s="264">
        <f t="shared" si="175"/>
        <v>0</v>
      </c>
      <c r="CP34" s="216">
        <f t="shared" si="127"/>
        <v>0</v>
      </c>
      <c r="CQ34" s="216">
        <f t="shared" si="128"/>
        <v>0</v>
      </c>
      <c r="CR34" s="216">
        <f t="shared" si="129"/>
        <v>0</v>
      </c>
      <c r="CS34" s="1626">
        <f t="shared" si="130"/>
        <v>0</v>
      </c>
      <c r="CT34" s="216">
        <f t="shared" si="131"/>
        <v>0</v>
      </c>
      <c r="CU34" s="575" t="str">
        <f t="shared" si="23"/>
        <v/>
      </c>
      <c r="CV34" s="154" t="str">
        <f t="shared" si="24"/>
        <v/>
      </c>
      <c r="CW34" s="216">
        <f>IF(OR($BQ34,$BS34),SpreadOptPowerMargin,0)*((1+Assumptions!$C$26)^($B34-YEAR(Assumptions!$C$17)))</f>
        <v>0</v>
      </c>
      <c r="CX34" s="216">
        <f>IF(OR($BQ34,$BS34),SpreadOptPowerMargin,0)*((1+Assumptions!$C$26)^($B34-YEAR(Assumptions!$C$17)))</f>
        <v>0</v>
      </c>
      <c r="CY34" s="216">
        <f>IF(OR($BQ34,$BS34),SpreadOptPowerMargin,0)*((1+Assumptions!$C$26)^($B34-YEAR(Assumptions!$C$17)))</f>
        <v>0</v>
      </c>
      <c r="CZ34" s="216">
        <f>IF(OR($BQ34,$BS34),SpreadOptPowerMargin,0)*((1+Assumptions!$C$26)^($B34-YEAR(Assumptions!$C$17)))</f>
        <v>0</v>
      </c>
      <c r="DA34" s="440">
        <f t="shared" si="25"/>
        <v>0</v>
      </c>
      <c r="DB34" s="479" t="str">
        <f t="shared" si="26"/>
        <v/>
      </c>
      <c r="DC34" s="479" t="str">
        <f t="shared" si="27"/>
        <v/>
      </c>
      <c r="DD34" s="479" t="str">
        <f t="shared" si="28"/>
        <v/>
      </c>
      <c r="DE34" s="479" t="str">
        <f t="shared" si="29"/>
        <v/>
      </c>
      <c r="DF34" s="479" t="str">
        <f t="shared" si="30"/>
        <v/>
      </c>
      <c r="DG34" s="574" t="str">
        <f t="shared" si="31"/>
        <v/>
      </c>
      <c r="DH34" s="216">
        <f t="shared" si="32"/>
        <v>0</v>
      </c>
      <c r="DI34" s="216">
        <f t="shared" si="33"/>
        <v>0</v>
      </c>
      <c r="DJ34" s="216">
        <f t="shared" si="34"/>
        <v>0</v>
      </c>
      <c r="DK34" s="216">
        <f t="shared" si="35"/>
        <v>0</v>
      </c>
      <c r="DL34" s="216">
        <f t="shared" si="36"/>
        <v>0</v>
      </c>
      <c r="DM34" s="216"/>
      <c r="DN34" s="216"/>
      <c r="DO34" s="216"/>
      <c r="DP34" s="216"/>
      <c r="DQ34" s="216"/>
      <c r="DR34" s="216"/>
      <c r="DS34" s="216"/>
      <c r="DT34" s="216"/>
      <c r="DU34" s="216"/>
      <c r="DV34" s="216"/>
      <c r="DW34" s="1371">
        <f t="shared" si="37"/>
        <v>0</v>
      </c>
      <c r="DX34" s="216">
        <f t="shared" si="38"/>
        <v>0</v>
      </c>
      <c r="DY34" s="440">
        <f t="shared" si="39"/>
        <v>0</v>
      </c>
      <c r="DZ34" s="180">
        <f t="shared" si="40"/>
        <v>0</v>
      </c>
      <c r="EA34" s="180">
        <f t="shared" si="41"/>
        <v>0</v>
      </c>
      <c r="EB34" s="180">
        <f t="shared" si="42"/>
        <v>0</v>
      </c>
      <c r="EC34" s="180">
        <f t="shared" si="43"/>
        <v>0</v>
      </c>
      <c r="ED34" s="180">
        <f t="shared" si="44"/>
        <v>0</v>
      </c>
      <c r="EE34" s="581">
        <f t="shared" si="45"/>
        <v>0</v>
      </c>
      <c r="EF34" s="554">
        <f t="shared" si="46"/>
        <v>0</v>
      </c>
      <c r="EG34" s="554">
        <f t="shared" si="47"/>
        <v>0</v>
      </c>
      <c r="EH34" s="554">
        <f t="shared" si="48"/>
        <v>0</v>
      </c>
      <c r="EI34" s="561">
        <f t="shared" si="49"/>
        <v>0</v>
      </c>
      <c r="EJ34" s="581">
        <f t="shared" si="132"/>
        <v>0</v>
      </c>
      <c r="EK34" s="554">
        <f t="shared" si="133"/>
        <v>0</v>
      </c>
      <c r="EL34" s="554">
        <f t="shared" si="134"/>
        <v>0</v>
      </c>
      <c r="EM34" s="554">
        <f t="shared" si="135"/>
        <v>0</v>
      </c>
      <c r="EN34" s="561">
        <f t="shared" si="136"/>
        <v>0</v>
      </c>
      <c r="EO34" s="180">
        <f t="shared" si="50"/>
        <v>0</v>
      </c>
      <c r="EP34" s="180">
        <f t="shared" si="51"/>
        <v>0</v>
      </c>
      <c r="EQ34" s="180">
        <f t="shared" si="52"/>
        <v>0</v>
      </c>
      <c r="ER34" s="180">
        <f t="shared" si="53"/>
        <v>0</v>
      </c>
      <c r="ES34" s="180">
        <f t="shared" si="54"/>
        <v>0</v>
      </c>
      <c r="ET34" s="1482">
        <f t="shared" si="55"/>
        <v>0</v>
      </c>
      <c r="EU34" s="180">
        <f t="shared" si="56"/>
        <v>0</v>
      </c>
      <c r="EV34" s="180">
        <f t="shared" si="57"/>
        <v>0</v>
      </c>
      <c r="EW34" s="180">
        <f t="shared" si="58"/>
        <v>0</v>
      </c>
      <c r="EX34" s="555">
        <f t="shared" si="59"/>
        <v>0</v>
      </c>
      <c r="EY34" s="180">
        <f t="shared" si="137"/>
        <v>0</v>
      </c>
      <c r="EZ34" s="180">
        <f t="shared" si="138"/>
        <v>0</v>
      </c>
      <c r="FA34" s="180">
        <f t="shared" si="139"/>
        <v>0</v>
      </c>
      <c r="FB34" s="180">
        <f t="shared" si="140"/>
        <v>0</v>
      </c>
      <c r="FC34" s="180">
        <f t="shared" si="141"/>
        <v>0</v>
      </c>
      <c r="FD34" s="262">
        <f>IF(AX34,IF(VLOOKUP(C34,MAIN!$L$17:$M$28,2)="Yes",VLOOKUP(CALC!B34,MAIN!$H$17:$I$20,2),0),0)</f>
        <v>0</v>
      </c>
      <c r="FE34" s="623">
        <f t="shared" si="60"/>
        <v>0</v>
      </c>
      <c r="FF34" s="535">
        <f t="shared" si="61"/>
        <v>0</v>
      </c>
      <c r="FG34" s="535">
        <f t="shared" si="62"/>
        <v>0</v>
      </c>
      <c r="FH34" s="624">
        <f t="shared" si="63"/>
        <v>0</v>
      </c>
      <c r="FI34" s="632">
        <f>IF(AX34,VLOOKUP(CALC!B34,MAIN!$H$17:$K$20,4),0)</f>
        <v>0</v>
      </c>
      <c r="FJ34" s="535">
        <f t="shared" si="64"/>
        <v>0</v>
      </c>
      <c r="FK34" s="648">
        <f t="shared" si="142"/>
        <v>0</v>
      </c>
      <c r="FL34" s="530">
        <f t="shared" si="143"/>
        <v>0</v>
      </c>
      <c r="FM34" s="530">
        <f t="shared" si="144"/>
        <v>0</v>
      </c>
      <c r="FN34" s="530">
        <f t="shared" si="145"/>
        <v>0</v>
      </c>
      <c r="FO34" s="622">
        <f t="shared" si="146"/>
        <v>0</v>
      </c>
      <c r="FP34" s="530">
        <f t="shared" si="147"/>
        <v>0</v>
      </c>
      <c r="FQ34" s="530">
        <f t="shared" si="148"/>
        <v>0</v>
      </c>
      <c r="FR34" s="530">
        <f t="shared" si="149"/>
        <v>0</v>
      </c>
      <c r="FS34" s="625">
        <f t="shared" si="150"/>
        <v>0</v>
      </c>
      <c r="FT34" s="640">
        <f>IF(AND(Assumptions!$H$71="Yes",A34&gt;=Assumptions!$H$72,A34&lt;=Assumptions!$H$73),0,IF(AND($A34&gt;=Assumptions!$C$17,$A34&lt;=Assumptions!$C$18),MAX(AZ34*(1+VLOOKUP($C34,WeatherCapacityAdjustment,2))-FL34,0),0))</f>
        <v>0</v>
      </c>
      <c r="FU34" s="530">
        <f>IF(AND(Assumptions!$H$71="Yes",A34&gt;=Assumptions!$H$72,A34&lt;=Assumptions!$H$73),0,IF(AND($A34&gt;=Assumptions!$C$17,$A34&lt;=Assumptions!$C$18),MAX(BA34*(1+VLOOKUP($C34,WeatherCapacityAdjustment,2))-FM34,0),0))</f>
        <v>0</v>
      </c>
      <c r="FV34" s="530">
        <f>IF(AND(Assumptions!$H$71="Yes",A34&gt;=Assumptions!$H$72,A34&lt;=Assumptions!$H$73),0,IF(AND($A34&gt;=Assumptions!$C$17,$A34&lt;=Assumptions!$C$18),MAX(BB34*(1+VLOOKUP($C34,WeatherCapacityAdjustment,2))-FN34,0),0))</f>
        <v>0</v>
      </c>
      <c r="FW34" s="622">
        <f>IF(AND(Assumptions!$H$71="Yes",A34&gt;=Assumptions!$H$72,A34&lt;=Assumptions!$H$73),0,IF(AND($A34&gt;=Assumptions!$C$17,$A34&lt;=Assumptions!$C$18),MAX(BC34*(1+VLOOKUP($C34,WeatherCapacityAdjustment,3))-FO34,0),0))</f>
        <v>0</v>
      </c>
      <c r="FX34" s="621">
        <f>IF(AND(Assumptions!$H$71="Yes",A34&gt;=Assumptions!$H$72,A34&lt;=Assumptions!$H$73),0,IF(ET34&gt;0,MAX(BH34*(1+VLOOKUP($C34,WeatherCapacityAdjustment,2))-FP34,0),0))</f>
        <v>0</v>
      </c>
      <c r="FY34" s="530">
        <f>IF(AND(Assumptions!$H$71="Yes",A34&gt;=Assumptions!$H$72,A34&lt;=Assumptions!$H$73),0,IF(EU34&gt;0,MAX(BI34*(1+VLOOKUP($C34,WeatherCapacityAdjustment,3))-FQ34,0),0))</f>
        <v>0</v>
      </c>
      <c r="FZ34" s="530">
        <f>IF(AND(Assumptions!$H$71="Yes",A34&gt;=Assumptions!$H$72,A34&lt;=Assumptions!$H$73),0,IF(EV34&gt;0,MAX(BJ34*(1+VLOOKUP($C34,WeatherCapacityAdjustment,2))-FR34,0),0))</f>
        <v>0</v>
      </c>
      <c r="GA34" s="622">
        <f>IF(AND(Assumptions!$H$71="Yes",A34&gt;=Assumptions!$H$72,A34&lt;=Assumptions!$H$73),0,IF(EW34&gt;0,MAX(BK34*(1+VLOOKUP($C34,WeatherCapacityAdjustment,2))-FS34,0),0))</f>
        <v>0</v>
      </c>
      <c r="GB34" s="530">
        <f t="shared" si="65"/>
        <v>0</v>
      </c>
      <c r="GC34" s="545">
        <f t="shared" si="66"/>
        <v>0</v>
      </c>
      <c r="GD34" s="530">
        <f t="shared" si="67"/>
        <v>0</v>
      </c>
      <c r="GE34" s="1485">
        <f t="shared" si="151"/>
        <v>0</v>
      </c>
      <c r="GF34" s="1776">
        <f t="shared" si="168"/>
        <v>0</v>
      </c>
      <c r="GG34" s="545">
        <f t="shared" si="169"/>
        <v>0</v>
      </c>
      <c r="GH34" s="622">
        <f t="shared" si="170"/>
        <v>0</v>
      </c>
      <c r="GI34" s="621">
        <f t="shared" si="152"/>
        <v>0</v>
      </c>
      <c r="GJ34" s="638">
        <f t="shared" si="68"/>
        <v>0</v>
      </c>
      <c r="GK34" s="625">
        <f t="shared" si="166"/>
        <v>0</v>
      </c>
      <c r="GL34" s="640">
        <f t="shared" si="171"/>
        <v>0</v>
      </c>
      <c r="GM34" s="530">
        <f t="shared" si="172"/>
        <v>0</v>
      </c>
      <c r="GN34" s="530">
        <f t="shared" si="173"/>
        <v>0</v>
      </c>
      <c r="GO34" s="622">
        <f t="shared" si="174"/>
        <v>0</v>
      </c>
      <c r="GP34" s="530">
        <f t="shared" si="73"/>
        <v>0</v>
      </c>
      <c r="GQ34" s="545">
        <f t="shared" si="74"/>
        <v>0</v>
      </c>
      <c r="GR34" s="625">
        <f t="shared" si="75"/>
        <v>0</v>
      </c>
      <c r="GS34" s="640">
        <f>IF($A34&gt;=BegDate,Assumptions!$C$56*24*($A35-$A34)*(1-VLOOKUP($B34,MAIN!$AA$7:$AM$28,$C34+1))*(1-VLOOKUP($B34,MAIN!$AA$33:$AM$54,$C34+1)),0)*80/168</f>
        <v>0</v>
      </c>
      <c r="GT34" s="1715">
        <f t="shared" si="153"/>
        <v>31.914882000000002</v>
      </c>
      <c r="GU34" s="1715">
        <f>IF($A34&gt;=BegDate,VLOOKUP($A34,GasTable,13)+Assumptions!$C$58,0)</f>
        <v>0</v>
      </c>
      <c r="GV34" s="1715">
        <f>GU34*Assumptions!$C$57/1000</f>
        <v>0</v>
      </c>
      <c r="GW34" s="625">
        <f>IF(Assumptions!$C$60="Hourly",MAX(0,GS34*(GT34-GV34)),GS34*(GT34-GV34))</f>
        <v>0</v>
      </c>
      <c r="GX34" s="640">
        <f>IF($A34&gt;=BegDate,Assumptions!$C$56*24*($A35-$A34)*(1-VLOOKUP($B34,MAIN!$AA$7:$AM$28,$C34+1))*(1-VLOOKUP($B34,MAIN!$AA$33:$AM$54,$C34+1)),0)*16/168</f>
        <v>0</v>
      </c>
      <c r="GY34" s="1715">
        <f t="shared" si="154"/>
        <v>31.914882000000002</v>
      </c>
      <c r="GZ34" s="1715">
        <f>IF($A34&gt;=BegDate,VLOOKUP($A34,GasTable,13)+Assumptions!$C$58,0)</f>
        <v>0</v>
      </c>
      <c r="HA34" s="1715">
        <f>GZ34*Assumptions!$C$57/1000</f>
        <v>0</v>
      </c>
      <c r="HB34" s="625">
        <f>IF(Assumptions!$C$60="Hourly",MAX(0,GX34*(GY34-HA34)),GX34*(GY34-HA34))</f>
        <v>0</v>
      </c>
      <c r="HC34" s="640">
        <f>IF($A34&gt;=BegDate,Assumptions!$C$56*24*($A35-$A34)*(1-VLOOKUP($B34,MAIN!$AA$7:$AM$28,$C34+1))*(1-VLOOKUP($B34,MAIN!$AA$33:$AM$54,$C34+1)),0)*16/168</f>
        <v>0</v>
      </c>
      <c r="HD34" s="1715">
        <f t="shared" si="155"/>
        <v>21.846461999999999</v>
      </c>
      <c r="HE34" s="1715">
        <f>IF($A34&gt;=BegDate,VLOOKUP($A34,GasTable,13)+Assumptions!$C$58,0)</f>
        <v>0</v>
      </c>
      <c r="HF34" s="1715">
        <f>HE34*Assumptions!$C$57/1000</f>
        <v>0</v>
      </c>
      <c r="HG34" s="625">
        <f>IF(Assumptions!$C$60="Hourly",MAX(0,HC34*(HD34-HF34)),HC34*(HD34-HF34))</f>
        <v>0</v>
      </c>
      <c r="HH34" s="640">
        <f>IF($A34&gt;=BegDate,Assumptions!$C$56*24*($A35-$A34)*(1-VLOOKUP($B34,MAIN!$AA$7:$AM$28,$C34+1))*(1-VLOOKUP($B34,MAIN!$AA$33:$AM$54,$C34+1)),0)*56/168</f>
        <v>0</v>
      </c>
      <c r="HI34" s="1715">
        <f t="shared" si="156"/>
        <v>21.846461999999999</v>
      </c>
      <c r="HJ34" s="1715">
        <f>IF($A34&gt;=BegDate,VLOOKUP($A34,GasTable,13)+Assumptions!$C$58,0)</f>
        <v>0</v>
      </c>
      <c r="HK34" s="1715">
        <f>HJ34*Assumptions!$C$57/1000</f>
        <v>0</v>
      </c>
      <c r="HL34" s="625">
        <f>IF(Assumptions!$C$60="Hourly",MAX(0,HH34*(HI34-HK34)),HH34*(HI34-HK34))</f>
        <v>0</v>
      </c>
      <c r="HM34" s="640">
        <f>IF(AND(Assumptions!$H$71="Yes",A34&gt;=Assumptions!$H$72,A34&lt;=Assumptions!$H$73),Assumptions!$H$74*Assumptions!$C$9*1000,0)</f>
        <v>0</v>
      </c>
      <c r="HN34" s="625"/>
      <c r="HO34" s="1414">
        <f t="shared" si="167"/>
        <v>2020</v>
      </c>
      <c r="HP34" s="640">
        <f t="shared" si="76"/>
        <v>0</v>
      </c>
      <c r="HQ34" s="154">
        <f t="shared" si="157"/>
        <v>0</v>
      </c>
      <c r="HR34" s="622">
        <f t="shared" si="77"/>
        <v>0</v>
      </c>
      <c r="HS34" s="621">
        <f t="shared" ca="1" si="78"/>
        <v>6165708</v>
      </c>
      <c r="HT34" s="545">
        <f t="shared" ca="1" si="158"/>
        <v>48.316074641510312</v>
      </c>
      <c r="HU34" s="530">
        <f t="shared" ca="1" si="79"/>
        <v>297902807.94575727</v>
      </c>
      <c r="HV34" s="621">
        <f t="shared" ca="1" si="159"/>
        <v>297902807.94575727</v>
      </c>
      <c r="HW34" s="530">
        <f t="shared" ca="1" si="80"/>
        <v>3639737.8464533789</v>
      </c>
      <c r="HX34" s="530">
        <f t="shared" ca="1" si="81"/>
        <v>17943812.717332639</v>
      </c>
      <c r="HY34" s="530">
        <f>IF(Assumptions!$L$24="Yes",HW34+HX34,0)</f>
        <v>0</v>
      </c>
      <c r="HZ34" s="640">
        <f t="shared" ca="1" si="160"/>
        <v>44365896.572880007</v>
      </c>
      <c r="IA34" s="545">
        <f t="shared" ca="1" si="161"/>
        <v>-3.9312567686569149</v>
      </c>
      <c r="IB34" s="622">
        <f t="shared" ca="1" si="82"/>
        <v>-174413731.19966716</v>
      </c>
      <c r="IC34" s="621">
        <f t="shared" ca="1" si="83"/>
        <v>6165708</v>
      </c>
      <c r="ID34" s="545">
        <f t="shared" ca="1" si="162"/>
        <v>-2.5204345545463642</v>
      </c>
      <c r="IE34" s="622">
        <f t="shared" ca="1" si="84"/>
        <v>-15540263.496442955</v>
      </c>
      <c r="IF34" s="530">
        <f t="shared" ca="1" si="85"/>
        <v>0</v>
      </c>
      <c r="IG34" s="545">
        <f t="shared" ca="1" si="163"/>
        <v>0</v>
      </c>
      <c r="IH34" s="622">
        <f t="shared" ca="1" si="86"/>
        <v>0</v>
      </c>
      <c r="II34" s="1645">
        <f>(SUMIF($B$17:$B$292,HO34,$GW$17:$GW$292)+SUMIF($B$17:$B$292,HO34,$HB$17:$HB$292)+SUMIF($B$17:$B$292,HO34,$HG$17:$HG$292)+SUMIF($B$17:$B$292,HO34,$HL$17:$HL$292))*Assumptions!$C$59</f>
        <v>1241639.5859874606</v>
      </c>
      <c r="IJ34" s="1463">
        <f t="shared" si="164"/>
        <v>0</v>
      </c>
      <c r="IK34" s="1463"/>
    </row>
    <row r="35" spans="1:245">
      <c r="A35" s="177">
        <f t="shared" si="87"/>
        <v>37196</v>
      </c>
      <c r="B35" s="349">
        <f t="shared" si="88"/>
        <v>2001</v>
      </c>
      <c r="C35" s="15">
        <f t="shared" si="89"/>
        <v>11</v>
      </c>
      <c r="D35" s="612" t="str">
        <f t="shared" si="90"/>
        <v/>
      </c>
      <c r="E35" s="609" t="str">
        <f t="shared" si="91"/>
        <v/>
      </c>
      <c r="F35" s="614" t="str">
        <f t="shared" si="2"/>
        <v/>
      </c>
      <c r="G35" s="1349">
        <v>0</v>
      </c>
      <c r="H35" s="152">
        <f t="shared" si="165"/>
        <v>1</v>
      </c>
      <c r="I35" s="154">
        <f>IF(Assumptions!$L$25=4,VLOOKUP($A35,'Henwood Reference'!$E$9:$R$320,10),(VLOOKUP($A35,PriceTable,2,0)+IF(BasisNumber&lt;&gt;1,VLOOKUP($A35,BasisTable,2,0),0)+I$1)/(1-I$2))</f>
        <v>33.978954000000002</v>
      </c>
      <c r="J35" s="154">
        <f>IF(Assumptions!$L$25=4,VLOOKUP($A35,'Henwood Reference'!$E$9:$R$320,10),(VLOOKUP($A35,PriceTable,3,0)+IF(BasisNumber&lt;&gt;1,VLOOKUP($A35,BasisTable,2,0),0)+J$1)/(1-J$2))</f>
        <v>33.978954000000002</v>
      </c>
      <c r="K35" s="154">
        <f>IF(Assumptions!$L$25=4,VLOOKUP($A35,'Henwood Reference'!$E$9:$R$320,10),(VLOOKUP($A35,PriceTable,4,0)+IF(BasisNumber&lt;&gt;1,VLOOKUP($A35,BasisTable,2,0),0)+K$1)/(1-K$2))</f>
        <v>33.978954000000002</v>
      </c>
      <c r="L35" s="474">
        <f>IF(Assumptions!$L$25=4,VLOOKUP($A35,'Henwood Reference'!$E$9:$R$320,10),(VLOOKUP($A35,PriceTableWeekend,2,0)+IF(BasisNumber&lt;&gt;1,VLOOKUP($A35,BasisTable,2,0),0)+L$1)/(1-L$2))</f>
        <v>33.978954000000002</v>
      </c>
      <c r="M35" s="154">
        <f>IF(Assumptions!$L$25=4,VLOOKUP($A35,'Henwood Reference'!$E$9:$R$320,10),(VLOOKUP($A35,PriceTableWeekend,3,0)+IF(BasisNumber&lt;&gt;1,VLOOKUP($A35,BasisTable,2,0),0)+M$1)/(1-M$2))</f>
        <v>33.978954000000002</v>
      </c>
      <c r="N35" s="156">
        <f>IF(Assumptions!$L$25=4,VLOOKUP($A35,'Henwood Reference'!$E$9:$R$320,10),(VLOOKUP($A35,PriceTableWeekend,4,0)+IF(BasisNumber&lt;&gt;1,VLOOKUP($A35,BasisTable,2,0),0)+N$1)/(1-N$2))</f>
        <v>33.978954000000002</v>
      </c>
      <c r="O35" s="154">
        <f>IF(Assumptions!$L$25=4,VLOOKUP($A35,'Henwood Reference'!$E$9:$R$320,11),(VLOOKUP($A35,PriceTableWeekend,6,0)+IF(BasisNumber&lt;&gt;1,VLOOKUP($A35,BasisTable,3,0),0)+O$1)/(1-O$2))</f>
        <v>24.024264000000002</v>
      </c>
      <c r="P35" s="154">
        <f>IF(Assumptions!$L$25=4,VLOOKUP($A35,'Henwood Reference'!$E$9:$R$320,11),(VLOOKUP($A35,PriceTableWeekend,7,0)+IF(BasisNumber&lt;&gt;1,VLOOKUP($A35,BasisTable,3,0),0)+P$1)/(1-P$2))</f>
        <v>24.024264000000002</v>
      </c>
      <c r="Q35" s="156">
        <f>IF(Assumptions!$L$25=4,VLOOKUP($A35,'Henwood Reference'!$E$9:$R$320,11),(VLOOKUP($A35,PriceTableWeekend,8,0)+IF(BasisNumber&lt;&gt;1,VLOOKUP($A35,BasisTable,3,0),0)+Q$1)/(1-Q$2))</f>
        <v>24.024264000000002</v>
      </c>
      <c r="R35" s="154">
        <f>IF(Assumptions!$L$25=4,VLOOKUP($A35,'Henwood Reference'!$E$9:$R$320,11),(VLOOKUP($A35,PriceTable,6,0)+IF(BasisNumber&lt;&gt;1,VLOOKUP($A35,BasisTable,3,0),0)+R$1)/(1-R$2))</f>
        <v>24.024264000000002</v>
      </c>
      <c r="S35" s="154">
        <f>IF(Assumptions!$L$25=4,VLOOKUP($A35,'Henwood Reference'!$E$9:$R$320,11),(VLOOKUP($A35,PriceTable,7,0)+IF(BasisNumber&lt;&gt;1,VLOOKUP($A35,BasisTable,3,0),0)+S$1)/(1-S$2))</f>
        <v>24.024264000000002</v>
      </c>
      <c r="T35" s="155">
        <f>IF(Assumptions!$L$25=4,VLOOKUP($A35,'Henwood Reference'!$E$9:$R$320,11),(VLOOKUP($A35,PriceTable,8,0)+IF(BasisNumber&lt;&gt;1,VLOOKUP($A35,BasisTable,3,0),0)+T$1)/(1-T$2))</f>
        <v>24.024264000000002</v>
      </c>
      <c r="U35" s="173">
        <f t="shared" si="92"/>
        <v>0.16500000000000001</v>
      </c>
      <c r="V35" s="173">
        <f t="shared" si="93"/>
        <v>0.17499999999999999</v>
      </c>
      <c r="W35" s="174">
        <f t="shared" si="94"/>
        <v>0.185</v>
      </c>
      <c r="X35" s="173">
        <f t="shared" si="95"/>
        <v>0.16500000000000001</v>
      </c>
      <c r="Y35" s="173">
        <f t="shared" si="96"/>
        <v>0.17499999999999999</v>
      </c>
      <c r="Z35" s="174">
        <f t="shared" si="97"/>
        <v>0.185</v>
      </c>
      <c r="AA35" s="173">
        <f t="shared" si="98"/>
        <v>0.09</v>
      </c>
      <c r="AB35" s="173">
        <f t="shared" si="99"/>
        <v>0.11</v>
      </c>
      <c r="AC35" s="174">
        <f t="shared" si="100"/>
        <v>0.13</v>
      </c>
      <c r="AD35" s="173">
        <f t="shared" si="101"/>
        <v>0.09</v>
      </c>
      <c r="AE35" s="173">
        <f t="shared" si="102"/>
        <v>0.11</v>
      </c>
      <c r="AF35" s="174">
        <f t="shared" si="103"/>
        <v>0.13</v>
      </c>
      <c r="AG35" s="173">
        <f t="shared" si="104"/>
        <v>-0.1</v>
      </c>
      <c r="AH35" s="173">
        <f t="shared" si="105"/>
        <v>0.6</v>
      </c>
      <c r="AI35" s="174">
        <f t="shared" si="106"/>
        <v>0.1</v>
      </c>
      <c r="AJ35" s="173">
        <f t="shared" si="107"/>
        <v>-0.1</v>
      </c>
      <c r="AK35" s="173">
        <f t="shared" si="108"/>
        <v>0.6</v>
      </c>
      <c r="AL35" s="174">
        <f t="shared" si="109"/>
        <v>0.1</v>
      </c>
      <c r="AM35" s="173">
        <f t="shared" si="110"/>
        <v>-0.01</v>
      </c>
      <c r="AN35" s="173">
        <f t="shared" si="111"/>
        <v>0.16</v>
      </c>
      <c r="AO35" s="174">
        <f t="shared" si="112"/>
        <v>0.01</v>
      </c>
      <c r="AP35" s="173">
        <f t="shared" si="113"/>
        <v>-0.01</v>
      </c>
      <c r="AQ35" s="173">
        <f t="shared" si="114"/>
        <v>0.16</v>
      </c>
      <c r="AR35" s="175">
        <f t="shared" si="115"/>
        <v>0.01</v>
      </c>
      <c r="AS35" s="521">
        <f t="shared" si="176"/>
        <v>0.5</v>
      </c>
      <c r="AT35" s="349">
        <f t="shared" si="117"/>
        <v>0</v>
      </c>
      <c r="AU35" s="159">
        <f t="shared" si="3"/>
        <v>0</v>
      </c>
      <c r="AV35" s="159">
        <f t="shared" si="4"/>
        <v>0</v>
      </c>
      <c r="AW35" s="159">
        <f t="shared" si="177"/>
        <v>0</v>
      </c>
      <c r="AX35" s="15">
        <f t="shared" si="119"/>
        <v>0</v>
      </c>
      <c r="AY35" s="607">
        <f>IF(E35="",0,MIN((1-(1-VLOOKUP(B35,MAIN!$AA$7:$AM$28,C35+1))*(1-VLOOKUP(B35,MAIN!$AA$33:$AM$54,C35+1))),1))</f>
        <v>0</v>
      </c>
      <c r="AZ35" s="259">
        <v>0</v>
      </c>
      <c r="BA35" s="263">
        <v>0</v>
      </c>
      <c r="BB35" s="263">
        <v>0</v>
      </c>
      <c r="BC35" s="510">
        <v>0</v>
      </c>
      <c r="BD35" s="512">
        <v>0</v>
      </c>
      <c r="BE35" s="513">
        <v>0</v>
      </c>
      <c r="BF35" s="513">
        <v>0</v>
      </c>
      <c r="BG35" s="514">
        <v>0</v>
      </c>
      <c r="BH35" s="261">
        <v>0</v>
      </c>
      <c r="BI35" s="263">
        <v>0</v>
      </c>
      <c r="BJ35" s="263">
        <v>0</v>
      </c>
      <c r="BK35" s="510">
        <v>0</v>
      </c>
      <c r="BL35" s="512">
        <v>0</v>
      </c>
      <c r="BM35" s="513">
        <v>0</v>
      </c>
      <c r="BN35" s="513">
        <v>0</v>
      </c>
      <c r="BO35" s="513">
        <v>0</v>
      </c>
      <c r="BP35" s="261">
        <f t="shared" si="120"/>
        <v>0</v>
      </c>
      <c r="BQ35" s="578">
        <f t="shared" si="121"/>
        <v>0</v>
      </c>
      <c r="BR35" s="259">
        <f t="shared" si="122"/>
        <v>0</v>
      </c>
      <c r="BS35" s="578">
        <f t="shared" si="123"/>
        <v>0</v>
      </c>
      <c r="BT35" s="216">
        <f t="shared" si="124"/>
        <v>1.5496235455167693</v>
      </c>
      <c r="BU35" s="218">
        <f t="shared" si="5"/>
        <v>0</v>
      </c>
      <c r="BV35" s="216">
        <f t="shared" si="6"/>
        <v>0</v>
      </c>
      <c r="BW35" s="216">
        <f t="shared" si="7"/>
        <v>0</v>
      </c>
      <c r="BX35" s="216">
        <f t="shared" si="125"/>
        <v>0</v>
      </c>
      <c r="BY35" s="216">
        <f t="shared" si="8"/>
        <v>0</v>
      </c>
      <c r="BZ35" s="216">
        <f t="shared" si="9"/>
        <v>0</v>
      </c>
      <c r="CA35" s="264">
        <f t="shared" si="10"/>
        <v>0</v>
      </c>
      <c r="CB35" s="216">
        <f t="shared" si="11"/>
        <v>0</v>
      </c>
      <c r="CC35" s="216">
        <f t="shared" si="12"/>
        <v>0</v>
      </c>
      <c r="CD35" s="216">
        <f t="shared" si="126"/>
        <v>0</v>
      </c>
      <c r="CE35" s="216">
        <f t="shared" si="13"/>
        <v>0</v>
      </c>
      <c r="CF35" s="571">
        <f t="shared" si="14"/>
        <v>0</v>
      </c>
      <c r="CG35" s="573" t="str">
        <f t="shared" si="15"/>
        <v/>
      </c>
      <c r="CH35" s="219" t="str">
        <f t="shared" si="16"/>
        <v/>
      </c>
      <c r="CI35" s="219" t="str">
        <f t="shared" si="17"/>
        <v/>
      </c>
      <c r="CJ35" s="219" t="str">
        <f t="shared" si="18"/>
        <v/>
      </c>
      <c r="CK35" s="219" t="str">
        <f t="shared" si="19"/>
        <v/>
      </c>
      <c r="CL35" s="219" t="str">
        <f t="shared" si="20"/>
        <v/>
      </c>
      <c r="CM35" s="219" t="str">
        <f t="shared" si="21"/>
        <v/>
      </c>
      <c r="CN35" s="569" t="str">
        <f t="shared" si="22"/>
        <v/>
      </c>
      <c r="CO35" s="264">
        <f t="shared" si="175"/>
        <v>0</v>
      </c>
      <c r="CP35" s="216">
        <f t="shared" si="127"/>
        <v>0</v>
      </c>
      <c r="CQ35" s="216">
        <f t="shared" si="128"/>
        <v>0</v>
      </c>
      <c r="CR35" s="216">
        <f t="shared" si="129"/>
        <v>0</v>
      </c>
      <c r="CS35" s="1626">
        <f t="shared" si="130"/>
        <v>0</v>
      </c>
      <c r="CT35" s="216">
        <f t="shared" si="131"/>
        <v>0</v>
      </c>
      <c r="CU35" s="575" t="str">
        <f t="shared" si="23"/>
        <v/>
      </c>
      <c r="CV35" s="154" t="str">
        <f t="shared" si="24"/>
        <v/>
      </c>
      <c r="CW35" s="216">
        <f>IF(OR($BQ35,$BS35),SpreadOptPowerMargin,0)*((1+Assumptions!$C$26)^($B35-YEAR(Assumptions!$C$17)))</f>
        <v>0</v>
      </c>
      <c r="CX35" s="216">
        <f>IF(OR($BQ35,$BS35),SpreadOptPowerMargin,0)*((1+Assumptions!$C$26)^($B35-YEAR(Assumptions!$C$17)))</f>
        <v>0</v>
      </c>
      <c r="CY35" s="216">
        <f>IF(OR($BQ35,$BS35),SpreadOptPowerMargin,0)*((1+Assumptions!$C$26)^($B35-YEAR(Assumptions!$C$17)))</f>
        <v>0</v>
      </c>
      <c r="CZ35" s="216">
        <f>IF(OR($BQ35,$BS35),SpreadOptPowerMargin,0)*((1+Assumptions!$C$26)^($B35-YEAR(Assumptions!$C$17)))</f>
        <v>0</v>
      </c>
      <c r="DA35" s="440">
        <f t="shared" si="25"/>
        <v>0</v>
      </c>
      <c r="DB35" s="479" t="str">
        <f t="shared" si="26"/>
        <v/>
      </c>
      <c r="DC35" s="479" t="str">
        <f t="shared" si="27"/>
        <v/>
      </c>
      <c r="DD35" s="479" t="str">
        <f t="shared" si="28"/>
        <v/>
      </c>
      <c r="DE35" s="479" t="str">
        <f t="shared" si="29"/>
        <v/>
      </c>
      <c r="DF35" s="479" t="str">
        <f t="shared" si="30"/>
        <v/>
      </c>
      <c r="DG35" s="574" t="str">
        <f t="shared" si="31"/>
        <v/>
      </c>
      <c r="DH35" s="216">
        <f t="shared" si="32"/>
        <v>0</v>
      </c>
      <c r="DI35" s="216">
        <f t="shared" si="33"/>
        <v>0</v>
      </c>
      <c r="DJ35" s="216">
        <f t="shared" si="34"/>
        <v>0</v>
      </c>
      <c r="DK35" s="216">
        <f t="shared" si="35"/>
        <v>0</v>
      </c>
      <c r="DL35" s="216">
        <f t="shared" si="36"/>
        <v>0</v>
      </c>
      <c r="DM35" s="216"/>
      <c r="DN35" s="216"/>
      <c r="DO35" s="216"/>
      <c r="DP35" s="216"/>
      <c r="DQ35" s="216"/>
      <c r="DR35" s="216"/>
      <c r="DS35" s="216"/>
      <c r="DT35" s="216"/>
      <c r="DU35" s="216"/>
      <c r="DV35" s="216"/>
      <c r="DW35" s="1371">
        <f t="shared" si="37"/>
        <v>0</v>
      </c>
      <c r="DX35" s="216">
        <f t="shared" si="38"/>
        <v>0</v>
      </c>
      <c r="DY35" s="440">
        <f t="shared" si="39"/>
        <v>0</v>
      </c>
      <c r="DZ35" s="180">
        <f t="shared" si="40"/>
        <v>0</v>
      </c>
      <c r="EA35" s="180">
        <f t="shared" si="41"/>
        <v>0</v>
      </c>
      <c r="EB35" s="180">
        <f t="shared" si="42"/>
        <v>0</v>
      </c>
      <c r="EC35" s="180">
        <f t="shared" si="43"/>
        <v>0</v>
      </c>
      <c r="ED35" s="180">
        <f t="shared" si="44"/>
        <v>0</v>
      </c>
      <c r="EE35" s="581">
        <f t="shared" si="45"/>
        <v>0</v>
      </c>
      <c r="EF35" s="554">
        <f t="shared" si="46"/>
        <v>0</v>
      </c>
      <c r="EG35" s="554">
        <f t="shared" si="47"/>
        <v>0</v>
      </c>
      <c r="EH35" s="554">
        <f t="shared" si="48"/>
        <v>0</v>
      </c>
      <c r="EI35" s="561">
        <f t="shared" si="49"/>
        <v>0</v>
      </c>
      <c r="EJ35" s="581">
        <f t="shared" si="132"/>
        <v>0</v>
      </c>
      <c r="EK35" s="554">
        <f t="shared" si="133"/>
        <v>0</v>
      </c>
      <c r="EL35" s="554">
        <f t="shared" si="134"/>
        <v>0</v>
      </c>
      <c r="EM35" s="554">
        <f t="shared" si="135"/>
        <v>0</v>
      </c>
      <c r="EN35" s="561">
        <f t="shared" si="136"/>
        <v>0</v>
      </c>
      <c r="EO35" s="180">
        <f t="shared" si="50"/>
        <v>0</v>
      </c>
      <c r="EP35" s="180">
        <f t="shared" si="51"/>
        <v>0</v>
      </c>
      <c r="EQ35" s="180">
        <f t="shared" si="52"/>
        <v>0</v>
      </c>
      <c r="ER35" s="180">
        <f t="shared" si="53"/>
        <v>0</v>
      </c>
      <c r="ES35" s="180">
        <f t="shared" si="54"/>
        <v>0</v>
      </c>
      <c r="ET35" s="1482">
        <f t="shared" si="55"/>
        <v>0</v>
      </c>
      <c r="EU35" s="180">
        <f t="shared" si="56"/>
        <v>0</v>
      </c>
      <c r="EV35" s="180">
        <f t="shared" si="57"/>
        <v>0</v>
      </c>
      <c r="EW35" s="180">
        <f t="shared" si="58"/>
        <v>0</v>
      </c>
      <c r="EX35" s="555">
        <f t="shared" si="59"/>
        <v>0</v>
      </c>
      <c r="EY35" s="180">
        <f t="shared" si="137"/>
        <v>0</v>
      </c>
      <c r="EZ35" s="180">
        <f t="shared" si="138"/>
        <v>0</v>
      </c>
      <c r="FA35" s="180">
        <f t="shared" si="139"/>
        <v>0</v>
      </c>
      <c r="FB35" s="180">
        <f t="shared" si="140"/>
        <v>0</v>
      </c>
      <c r="FC35" s="180">
        <f t="shared" si="141"/>
        <v>0</v>
      </c>
      <c r="FD35" s="262">
        <f>IF(AX35,IF(VLOOKUP(C35,MAIN!$L$17:$M$28,2)="Yes",VLOOKUP(CALC!B35,MAIN!$H$17:$I$20,2),0),0)</f>
        <v>0</v>
      </c>
      <c r="FE35" s="623">
        <f t="shared" si="60"/>
        <v>0</v>
      </c>
      <c r="FF35" s="535">
        <f t="shared" si="61"/>
        <v>0</v>
      </c>
      <c r="FG35" s="535">
        <f t="shared" si="62"/>
        <v>0</v>
      </c>
      <c r="FH35" s="624">
        <f t="shared" si="63"/>
        <v>0</v>
      </c>
      <c r="FI35" s="632">
        <f>IF(AX35,VLOOKUP(CALC!B35,MAIN!$H$17:$K$20,4),0)</f>
        <v>0</v>
      </c>
      <c r="FJ35" s="535">
        <f t="shared" si="64"/>
        <v>0</v>
      </c>
      <c r="FK35" s="648">
        <f t="shared" si="142"/>
        <v>0</v>
      </c>
      <c r="FL35" s="530">
        <f t="shared" si="143"/>
        <v>0</v>
      </c>
      <c r="FM35" s="530">
        <f t="shared" si="144"/>
        <v>0</v>
      </c>
      <c r="FN35" s="530">
        <f t="shared" si="145"/>
        <v>0</v>
      </c>
      <c r="FO35" s="622">
        <f t="shared" si="146"/>
        <v>0</v>
      </c>
      <c r="FP35" s="530">
        <f t="shared" si="147"/>
        <v>0</v>
      </c>
      <c r="FQ35" s="530">
        <f t="shared" si="148"/>
        <v>0</v>
      </c>
      <c r="FR35" s="530">
        <f t="shared" si="149"/>
        <v>0</v>
      </c>
      <c r="FS35" s="625">
        <f t="shared" si="150"/>
        <v>0</v>
      </c>
      <c r="FT35" s="640">
        <f>IF(AND(Assumptions!$H$71="Yes",A35&gt;=Assumptions!$H$72,A35&lt;=Assumptions!$H$73),0,IF(AND($A35&gt;=Assumptions!$C$17,$A35&lt;=Assumptions!$C$18),MAX(AZ35*(1+VLOOKUP($C35,WeatherCapacityAdjustment,2))-FL35,0),0))</f>
        <v>0</v>
      </c>
      <c r="FU35" s="530">
        <f>IF(AND(Assumptions!$H$71="Yes",A35&gt;=Assumptions!$H$72,A35&lt;=Assumptions!$H$73),0,IF(AND($A35&gt;=Assumptions!$C$17,$A35&lt;=Assumptions!$C$18),MAX(BA35*(1+VLOOKUP($C35,WeatherCapacityAdjustment,2))-FM35,0),0))</f>
        <v>0</v>
      </c>
      <c r="FV35" s="530">
        <f>IF(AND(Assumptions!$H$71="Yes",A35&gt;=Assumptions!$H$72,A35&lt;=Assumptions!$H$73),0,IF(AND($A35&gt;=Assumptions!$C$17,$A35&lt;=Assumptions!$C$18),MAX(BB35*(1+VLOOKUP($C35,WeatherCapacityAdjustment,2))-FN35,0),0))</f>
        <v>0</v>
      </c>
      <c r="FW35" s="622">
        <f>IF(AND(Assumptions!$H$71="Yes",A35&gt;=Assumptions!$H$72,A35&lt;=Assumptions!$H$73),0,IF(AND($A35&gt;=Assumptions!$C$17,$A35&lt;=Assumptions!$C$18),MAX(BC35*(1+VLOOKUP($C35,WeatherCapacityAdjustment,3))-FO35,0),0))</f>
        <v>0</v>
      </c>
      <c r="FX35" s="621">
        <f>IF(AND(Assumptions!$H$71="Yes",A35&gt;=Assumptions!$H$72,A35&lt;=Assumptions!$H$73),0,IF(ET35&gt;0,MAX(BH35*(1+VLOOKUP($C35,WeatherCapacityAdjustment,2))-FP35,0),0))</f>
        <v>0</v>
      </c>
      <c r="FY35" s="530">
        <f>IF(AND(Assumptions!$H$71="Yes",A35&gt;=Assumptions!$H$72,A35&lt;=Assumptions!$H$73),0,IF(EU35&gt;0,MAX(BI35*(1+VLOOKUP($C35,WeatherCapacityAdjustment,3))-FQ35,0),0))</f>
        <v>0</v>
      </c>
      <c r="FZ35" s="530">
        <f>IF(AND(Assumptions!$H$71="Yes",A35&gt;=Assumptions!$H$72,A35&lt;=Assumptions!$H$73),0,IF(EV35&gt;0,MAX(BJ35*(1+VLOOKUP($C35,WeatherCapacityAdjustment,2))-FR35,0),0))</f>
        <v>0</v>
      </c>
      <c r="GA35" s="622">
        <f>IF(AND(Assumptions!$H$71="Yes",A35&gt;=Assumptions!$H$72,A35&lt;=Assumptions!$H$73),0,IF(EW35&gt;0,MAX(BK35*(1+VLOOKUP($C35,WeatherCapacityAdjustment,2))-FS35,0),0))</f>
        <v>0</v>
      </c>
      <c r="GB35" s="530">
        <f t="shared" si="65"/>
        <v>0</v>
      </c>
      <c r="GC35" s="545">
        <f t="shared" si="66"/>
        <v>0</v>
      </c>
      <c r="GD35" s="530">
        <f t="shared" si="67"/>
        <v>0</v>
      </c>
      <c r="GE35" s="1485">
        <f t="shared" si="151"/>
        <v>0</v>
      </c>
      <c r="GF35" s="1776">
        <f t="shared" si="168"/>
        <v>0</v>
      </c>
      <c r="GG35" s="545">
        <f t="shared" si="169"/>
        <v>0</v>
      </c>
      <c r="GH35" s="622">
        <f t="shared" si="170"/>
        <v>0</v>
      </c>
      <c r="GI35" s="621">
        <f t="shared" si="152"/>
        <v>0</v>
      </c>
      <c r="GJ35" s="638">
        <f t="shared" si="68"/>
        <v>0</v>
      </c>
      <c r="GK35" s="625">
        <f t="shared" si="166"/>
        <v>0</v>
      </c>
      <c r="GL35" s="640">
        <f t="shared" si="171"/>
        <v>0</v>
      </c>
      <c r="GM35" s="530">
        <f t="shared" si="172"/>
        <v>0</v>
      </c>
      <c r="GN35" s="530">
        <f t="shared" si="173"/>
        <v>0</v>
      </c>
      <c r="GO35" s="622">
        <f t="shared" si="174"/>
        <v>0</v>
      </c>
      <c r="GP35" s="530">
        <f t="shared" si="73"/>
        <v>0</v>
      </c>
      <c r="GQ35" s="545">
        <f t="shared" si="74"/>
        <v>0</v>
      </c>
      <c r="GR35" s="625">
        <f t="shared" si="75"/>
        <v>0</v>
      </c>
      <c r="GS35" s="640">
        <f>IF($A35&gt;=BegDate,Assumptions!$C$56*24*($A36-$A35)*(1-VLOOKUP($B35,MAIN!$AA$7:$AM$28,$C35+1))*(1-VLOOKUP($B35,MAIN!$AA$33:$AM$54,$C35+1)),0)*80/168</f>
        <v>0</v>
      </c>
      <c r="GT35" s="1715">
        <f t="shared" si="153"/>
        <v>33.978954000000002</v>
      </c>
      <c r="GU35" s="1715">
        <f>IF($A35&gt;=BegDate,VLOOKUP($A35,GasTable,13)+Assumptions!$C$58,0)</f>
        <v>0</v>
      </c>
      <c r="GV35" s="1715">
        <f>GU35*Assumptions!$C$57/1000</f>
        <v>0</v>
      </c>
      <c r="GW35" s="625">
        <f>IF(Assumptions!$C$60="Hourly",MAX(0,GS35*(GT35-GV35)),GS35*(GT35-GV35))</f>
        <v>0</v>
      </c>
      <c r="GX35" s="640">
        <f>IF($A35&gt;=BegDate,Assumptions!$C$56*24*($A36-$A35)*(1-VLOOKUP($B35,MAIN!$AA$7:$AM$28,$C35+1))*(1-VLOOKUP($B35,MAIN!$AA$33:$AM$54,$C35+1)),0)*16/168</f>
        <v>0</v>
      </c>
      <c r="GY35" s="1715">
        <f t="shared" si="154"/>
        <v>33.978954000000002</v>
      </c>
      <c r="GZ35" s="1715">
        <f>IF($A35&gt;=BegDate,VLOOKUP($A35,GasTable,13)+Assumptions!$C$58,0)</f>
        <v>0</v>
      </c>
      <c r="HA35" s="1715">
        <f>GZ35*Assumptions!$C$57/1000</f>
        <v>0</v>
      </c>
      <c r="HB35" s="625">
        <f>IF(Assumptions!$C$60="Hourly",MAX(0,GX35*(GY35-HA35)),GX35*(GY35-HA35))</f>
        <v>0</v>
      </c>
      <c r="HC35" s="640">
        <f>IF($A35&gt;=BegDate,Assumptions!$C$56*24*($A36-$A35)*(1-VLOOKUP($B35,MAIN!$AA$7:$AM$28,$C35+1))*(1-VLOOKUP($B35,MAIN!$AA$33:$AM$54,$C35+1)),0)*16/168</f>
        <v>0</v>
      </c>
      <c r="HD35" s="1715">
        <f t="shared" si="155"/>
        <v>24.024264000000002</v>
      </c>
      <c r="HE35" s="1715">
        <f>IF($A35&gt;=BegDate,VLOOKUP($A35,GasTable,13)+Assumptions!$C$58,0)</f>
        <v>0</v>
      </c>
      <c r="HF35" s="1715">
        <f>HE35*Assumptions!$C$57/1000</f>
        <v>0</v>
      </c>
      <c r="HG35" s="625">
        <f>IF(Assumptions!$C$60="Hourly",MAX(0,HC35*(HD35-HF35)),HC35*(HD35-HF35))</f>
        <v>0</v>
      </c>
      <c r="HH35" s="640">
        <f>IF($A35&gt;=BegDate,Assumptions!$C$56*24*($A36-$A35)*(1-VLOOKUP($B35,MAIN!$AA$7:$AM$28,$C35+1))*(1-VLOOKUP($B35,MAIN!$AA$33:$AM$54,$C35+1)),0)*56/168</f>
        <v>0</v>
      </c>
      <c r="HI35" s="1715">
        <f t="shared" si="156"/>
        <v>24.024264000000002</v>
      </c>
      <c r="HJ35" s="1715">
        <f>IF($A35&gt;=BegDate,VLOOKUP($A35,GasTable,13)+Assumptions!$C$58,0)</f>
        <v>0</v>
      </c>
      <c r="HK35" s="1715">
        <f>HJ35*Assumptions!$C$57/1000</f>
        <v>0</v>
      </c>
      <c r="HL35" s="625">
        <f>IF(Assumptions!$C$60="Hourly",MAX(0,HH35*(HI35-HK35)),HH35*(HI35-HK35))</f>
        <v>0</v>
      </c>
      <c r="HM35" s="640">
        <f>IF(AND(Assumptions!$H$71="Yes",A35&gt;=Assumptions!$H$72,A35&lt;=Assumptions!$H$73),Assumptions!$H$74*Assumptions!$C$9*1000,0)</f>
        <v>0</v>
      </c>
      <c r="HN35" s="625"/>
      <c r="HO35" s="1414">
        <f t="shared" si="167"/>
        <v>2021</v>
      </c>
      <c r="HP35" s="640">
        <f t="shared" si="76"/>
        <v>0</v>
      </c>
      <c r="HQ35" s="154">
        <f t="shared" si="157"/>
        <v>0</v>
      </c>
      <c r="HR35" s="622">
        <f t="shared" si="77"/>
        <v>0</v>
      </c>
      <c r="HS35" s="621">
        <f t="shared" ca="1" si="78"/>
        <v>5838624</v>
      </c>
      <c r="HT35" s="545">
        <f t="shared" ca="1" si="158"/>
        <v>49.863071812905972</v>
      </c>
      <c r="HU35" s="530">
        <f t="shared" ca="1" si="79"/>
        <v>291131727.8005563</v>
      </c>
      <c r="HV35" s="621">
        <f t="shared" ca="1" si="159"/>
        <v>291131727.8005563</v>
      </c>
      <c r="HW35" s="530">
        <f t="shared" ca="1" si="80"/>
        <v>3533100.1256500045</v>
      </c>
      <c r="HX35" s="530">
        <f t="shared" ca="1" si="81"/>
        <v>17329110.40973974</v>
      </c>
      <c r="HY35" s="530">
        <f>IF(Assumptions!$L$24="Yes",HW35+HX35,0)</f>
        <v>0</v>
      </c>
      <c r="HZ35" s="640">
        <f t="shared" ca="1" si="160"/>
        <v>41453164.082880005</v>
      </c>
      <c r="IA35" s="545">
        <f t="shared" ca="1" si="161"/>
        <v>-4.0284196341680225</v>
      </c>
      <c r="IB35" s="622">
        <f t="shared" ca="1" si="82"/>
        <v>-166990740.0898625</v>
      </c>
      <c r="IC35" s="621">
        <f t="shared" ca="1" si="83"/>
        <v>5838624</v>
      </c>
      <c r="ID35" s="545">
        <f t="shared" ca="1" si="162"/>
        <v>-2.5708432456372905</v>
      </c>
      <c r="IE35" s="622">
        <f t="shared" ca="1" si="84"/>
        <v>-15010187.074215779</v>
      </c>
      <c r="IF35" s="530">
        <f t="shared" ca="1" si="85"/>
        <v>0</v>
      </c>
      <c r="IG35" s="545">
        <f t="shared" ca="1" si="163"/>
        <v>0</v>
      </c>
      <c r="IH35" s="622">
        <f t="shared" ca="1" si="86"/>
        <v>0</v>
      </c>
      <c r="II35" s="1645">
        <f>(SUMIF($B$17:$B$292,HO35,$GW$17:$GW$292)+SUMIF($B$17:$B$292,HO35,$HB$17:$HB$292)+SUMIF($B$17:$B$292,HO35,$HG$17:$HG$292)+SUMIF($B$17:$B$292,HO35,$HL$17:$HL$292))*Assumptions!$C$59</f>
        <v>1228686.8798225205</v>
      </c>
      <c r="IJ35" s="1463">
        <f t="shared" si="164"/>
        <v>0</v>
      </c>
      <c r="IK35" s="1463"/>
    </row>
    <row r="36" spans="1:245">
      <c r="A36" s="177">
        <f t="shared" si="87"/>
        <v>37226</v>
      </c>
      <c r="B36" s="349">
        <f t="shared" si="88"/>
        <v>2001</v>
      </c>
      <c r="C36" s="15">
        <f t="shared" si="89"/>
        <v>12</v>
      </c>
      <c r="D36" s="612" t="str">
        <f t="shared" si="90"/>
        <v/>
      </c>
      <c r="E36" s="609" t="str">
        <f t="shared" si="91"/>
        <v/>
      </c>
      <c r="F36" s="614" t="str">
        <f t="shared" si="2"/>
        <v/>
      </c>
      <c r="G36" s="1349">
        <v>0</v>
      </c>
      <c r="H36" s="152">
        <f t="shared" si="165"/>
        <v>1</v>
      </c>
      <c r="I36" s="154">
        <f>IF(Assumptions!$L$25=4,VLOOKUP($A36,'Henwood Reference'!$E$9:$R$320,10),(VLOOKUP($A36,PriceTable,2,0)+IF(BasisNumber&lt;&gt;1,VLOOKUP($A36,BasisTable,2,0),0)+I$1)/(1-I$2))</f>
        <v>34.169795999999998</v>
      </c>
      <c r="J36" s="154">
        <f>IF(Assumptions!$L$25=4,VLOOKUP($A36,'Henwood Reference'!$E$9:$R$320,10),(VLOOKUP($A36,PriceTable,3,0)+IF(BasisNumber&lt;&gt;1,VLOOKUP($A36,BasisTable,2,0),0)+J$1)/(1-J$2))</f>
        <v>34.169795999999998</v>
      </c>
      <c r="K36" s="154">
        <f>IF(Assumptions!$L$25=4,VLOOKUP($A36,'Henwood Reference'!$E$9:$R$320,10),(VLOOKUP($A36,PriceTable,4,0)+IF(BasisNumber&lt;&gt;1,VLOOKUP($A36,BasisTable,2,0),0)+K$1)/(1-K$2))</f>
        <v>34.169795999999998</v>
      </c>
      <c r="L36" s="474">
        <f>IF(Assumptions!$L$25=4,VLOOKUP($A36,'Henwood Reference'!$E$9:$R$320,10),(VLOOKUP($A36,PriceTableWeekend,2,0)+IF(BasisNumber&lt;&gt;1,VLOOKUP($A36,BasisTable,2,0),0)+L$1)/(1-L$2))</f>
        <v>34.169795999999998</v>
      </c>
      <c r="M36" s="154">
        <f>IF(Assumptions!$L$25=4,VLOOKUP($A36,'Henwood Reference'!$E$9:$R$320,10),(VLOOKUP($A36,PriceTableWeekend,3,0)+IF(BasisNumber&lt;&gt;1,VLOOKUP($A36,BasisTable,2,0),0)+M$1)/(1-M$2))</f>
        <v>34.169795999999998</v>
      </c>
      <c r="N36" s="156">
        <f>IF(Assumptions!$L$25=4,VLOOKUP($A36,'Henwood Reference'!$E$9:$R$320,10),(VLOOKUP($A36,PriceTableWeekend,4,0)+IF(BasisNumber&lt;&gt;1,VLOOKUP($A36,BasisTable,2,0),0)+N$1)/(1-N$2))</f>
        <v>34.169795999999998</v>
      </c>
      <c r="O36" s="154">
        <f>IF(Assumptions!$L$25=4,VLOOKUP($A36,'Henwood Reference'!$E$9:$R$320,11),(VLOOKUP($A36,PriceTableWeekend,6,0)+IF(BasisNumber&lt;&gt;1,VLOOKUP($A36,BasisTable,3,0),0)+O$1)/(1-O$2))</f>
        <v>24.427265999999999</v>
      </c>
      <c r="P36" s="154">
        <f>IF(Assumptions!$L$25=4,VLOOKUP($A36,'Henwood Reference'!$E$9:$R$320,11),(VLOOKUP($A36,PriceTableWeekend,7,0)+IF(BasisNumber&lt;&gt;1,VLOOKUP($A36,BasisTable,3,0),0)+P$1)/(1-P$2))</f>
        <v>24.427265999999999</v>
      </c>
      <c r="Q36" s="156">
        <f>IF(Assumptions!$L$25=4,VLOOKUP($A36,'Henwood Reference'!$E$9:$R$320,11),(VLOOKUP($A36,PriceTableWeekend,8,0)+IF(BasisNumber&lt;&gt;1,VLOOKUP($A36,BasisTable,3,0),0)+Q$1)/(1-Q$2))</f>
        <v>24.427265999999999</v>
      </c>
      <c r="R36" s="154">
        <f>IF(Assumptions!$L$25=4,VLOOKUP($A36,'Henwood Reference'!$E$9:$R$320,11),(VLOOKUP($A36,PriceTable,6,0)+IF(BasisNumber&lt;&gt;1,VLOOKUP($A36,BasisTable,3,0),0)+R$1)/(1-R$2))</f>
        <v>24.427265999999999</v>
      </c>
      <c r="S36" s="154">
        <f>IF(Assumptions!$L$25=4,VLOOKUP($A36,'Henwood Reference'!$E$9:$R$320,11),(VLOOKUP($A36,PriceTable,7,0)+IF(BasisNumber&lt;&gt;1,VLOOKUP($A36,BasisTable,3,0),0)+S$1)/(1-S$2))</f>
        <v>24.427265999999999</v>
      </c>
      <c r="T36" s="155">
        <f>IF(Assumptions!$L$25=4,VLOOKUP($A36,'Henwood Reference'!$E$9:$R$320,11),(VLOOKUP($A36,PriceTable,8,0)+IF(BasisNumber&lt;&gt;1,VLOOKUP($A36,BasisTable,3,0),0)+T$1)/(1-T$2))</f>
        <v>24.427265999999999</v>
      </c>
      <c r="U36" s="173">
        <f t="shared" si="92"/>
        <v>0.16500000000000001</v>
      </c>
      <c r="V36" s="173">
        <f t="shared" si="93"/>
        <v>0.17499999999999999</v>
      </c>
      <c r="W36" s="174">
        <f t="shared" si="94"/>
        <v>0.185</v>
      </c>
      <c r="X36" s="173">
        <f t="shared" si="95"/>
        <v>0.16500000000000001</v>
      </c>
      <c r="Y36" s="173">
        <f t="shared" si="96"/>
        <v>0.17499999999999999</v>
      </c>
      <c r="Z36" s="174">
        <f t="shared" si="97"/>
        <v>0.185</v>
      </c>
      <c r="AA36" s="173">
        <f t="shared" si="98"/>
        <v>0.09</v>
      </c>
      <c r="AB36" s="173">
        <f t="shared" si="99"/>
        <v>0.11</v>
      </c>
      <c r="AC36" s="174">
        <f t="shared" si="100"/>
        <v>0.13</v>
      </c>
      <c r="AD36" s="173">
        <f t="shared" si="101"/>
        <v>0.09</v>
      </c>
      <c r="AE36" s="173">
        <f t="shared" si="102"/>
        <v>0.11</v>
      </c>
      <c r="AF36" s="174">
        <f t="shared" si="103"/>
        <v>0.13</v>
      </c>
      <c r="AG36" s="173">
        <f t="shared" si="104"/>
        <v>-0.25</v>
      </c>
      <c r="AH36" s="173">
        <f t="shared" si="105"/>
        <v>0.6</v>
      </c>
      <c r="AI36" s="174">
        <f t="shared" si="106"/>
        <v>0.25</v>
      </c>
      <c r="AJ36" s="173">
        <f t="shared" si="107"/>
        <v>-0.25</v>
      </c>
      <c r="AK36" s="173">
        <f t="shared" si="108"/>
        <v>0.6</v>
      </c>
      <c r="AL36" s="174">
        <f t="shared" si="109"/>
        <v>0.25</v>
      </c>
      <c r="AM36" s="173">
        <f t="shared" si="110"/>
        <v>-0.01</v>
      </c>
      <c r="AN36" s="173">
        <f t="shared" si="111"/>
        <v>0.16</v>
      </c>
      <c r="AO36" s="174">
        <f t="shared" si="112"/>
        <v>0.01</v>
      </c>
      <c r="AP36" s="173">
        <f t="shared" si="113"/>
        <v>-0.01</v>
      </c>
      <c r="AQ36" s="173">
        <f t="shared" si="114"/>
        <v>0.16</v>
      </c>
      <c r="AR36" s="175">
        <f t="shared" si="115"/>
        <v>0.01</v>
      </c>
      <c r="AS36" s="521">
        <f t="shared" si="176"/>
        <v>0.5</v>
      </c>
      <c r="AT36" s="349">
        <f t="shared" si="117"/>
        <v>0</v>
      </c>
      <c r="AU36" s="159">
        <f t="shared" si="3"/>
        <v>0</v>
      </c>
      <c r="AV36" s="159">
        <f t="shared" si="4"/>
        <v>0</v>
      </c>
      <c r="AW36" s="159">
        <f t="shared" si="177"/>
        <v>0</v>
      </c>
      <c r="AX36" s="15">
        <f t="shared" si="119"/>
        <v>0</v>
      </c>
      <c r="AY36" s="607">
        <f>IF(E36="",0,MIN((1-(1-VLOOKUP(B36,MAIN!$AA$7:$AM$28,C36+1))*(1-VLOOKUP(B36,MAIN!$AA$33:$AM$54,C36+1))),1))</f>
        <v>0</v>
      </c>
      <c r="AZ36" s="259">
        <v>0</v>
      </c>
      <c r="BA36" s="263">
        <v>0</v>
      </c>
      <c r="BB36" s="263">
        <v>0</v>
      </c>
      <c r="BC36" s="510">
        <v>0</v>
      </c>
      <c r="BD36" s="512">
        <v>0</v>
      </c>
      <c r="BE36" s="513">
        <v>0</v>
      </c>
      <c r="BF36" s="513">
        <v>0</v>
      </c>
      <c r="BG36" s="514">
        <v>0</v>
      </c>
      <c r="BH36" s="261">
        <v>0</v>
      </c>
      <c r="BI36" s="263">
        <v>0</v>
      </c>
      <c r="BJ36" s="263">
        <v>0</v>
      </c>
      <c r="BK36" s="510">
        <v>0</v>
      </c>
      <c r="BL36" s="512">
        <v>0</v>
      </c>
      <c r="BM36" s="513">
        <v>0</v>
      </c>
      <c r="BN36" s="513">
        <v>0</v>
      </c>
      <c r="BO36" s="513">
        <v>0</v>
      </c>
      <c r="BP36" s="261">
        <f t="shared" si="120"/>
        <v>0</v>
      </c>
      <c r="BQ36" s="578">
        <f t="shared" si="121"/>
        <v>0</v>
      </c>
      <c r="BR36" s="259">
        <f t="shared" si="122"/>
        <v>0</v>
      </c>
      <c r="BS36" s="578">
        <f t="shared" si="123"/>
        <v>0</v>
      </c>
      <c r="BT36" s="216">
        <f t="shared" si="124"/>
        <v>1.6317590691307324</v>
      </c>
      <c r="BU36" s="218">
        <f t="shared" si="5"/>
        <v>0</v>
      </c>
      <c r="BV36" s="216">
        <f t="shared" si="6"/>
        <v>0</v>
      </c>
      <c r="BW36" s="216">
        <f t="shared" si="7"/>
        <v>0</v>
      </c>
      <c r="BX36" s="216">
        <f t="shared" si="125"/>
        <v>0</v>
      </c>
      <c r="BY36" s="216">
        <f t="shared" si="8"/>
        <v>0</v>
      </c>
      <c r="BZ36" s="216">
        <f t="shared" si="9"/>
        <v>0</v>
      </c>
      <c r="CA36" s="264">
        <f t="shared" si="10"/>
        <v>0</v>
      </c>
      <c r="CB36" s="216">
        <f t="shared" si="11"/>
        <v>0</v>
      </c>
      <c r="CC36" s="216">
        <f t="shared" si="12"/>
        <v>0</v>
      </c>
      <c r="CD36" s="216">
        <f t="shared" si="126"/>
        <v>0</v>
      </c>
      <c r="CE36" s="216">
        <f t="shared" si="13"/>
        <v>0</v>
      </c>
      <c r="CF36" s="571">
        <f t="shared" si="14"/>
        <v>0</v>
      </c>
      <c r="CG36" s="573" t="str">
        <f t="shared" si="15"/>
        <v/>
      </c>
      <c r="CH36" s="219" t="str">
        <f t="shared" si="16"/>
        <v/>
      </c>
      <c r="CI36" s="219" t="str">
        <f t="shared" si="17"/>
        <v/>
      </c>
      <c r="CJ36" s="219" t="str">
        <f t="shared" si="18"/>
        <v/>
      </c>
      <c r="CK36" s="219" t="str">
        <f t="shared" si="19"/>
        <v/>
      </c>
      <c r="CL36" s="219" t="str">
        <f t="shared" si="20"/>
        <v/>
      </c>
      <c r="CM36" s="219" t="str">
        <f t="shared" si="21"/>
        <v/>
      </c>
      <c r="CN36" s="569" t="str">
        <f t="shared" si="22"/>
        <v/>
      </c>
      <c r="CO36" s="264">
        <f t="shared" si="175"/>
        <v>0</v>
      </c>
      <c r="CP36" s="216">
        <f t="shared" si="127"/>
        <v>0</v>
      </c>
      <c r="CQ36" s="216">
        <f t="shared" si="128"/>
        <v>0</v>
      </c>
      <c r="CR36" s="216">
        <f t="shared" si="129"/>
        <v>0</v>
      </c>
      <c r="CS36" s="1626">
        <f t="shared" si="130"/>
        <v>0</v>
      </c>
      <c r="CT36" s="216">
        <f t="shared" si="131"/>
        <v>0</v>
      </c>
      <c r="CU36" s="575" t="str">
        <f t="shared" si="23"/>
        <v/>
      </c>
      <c r="CV36" s="154" t="str">
        <f t="shared" si="24"/>
        <v/>
      </c>
      <c r="CW36" s="216">
        <f>IF(OR($BQ36,$BS36),SpreadOptPowerMargin,0)*((1+Assumptions!$C$26)^($B36-YEAR(Assumptions!$C$17)))</f>
        <v>0</v>
      </c>
      <c r="CX36" s="216">
        <f>IF(OR($BQ36,$BS36),SpreadOptPowerMargin,0)*((1+Assumptions!$C$26)^($B36-YEAR(Assumptions!$C$17)))</f>
        <v>0</v>
      </c>
      <c r="CY36" s="216">
        <f>IF(OR($BQ36,$BS36),SpreadOptPowerMargin,0)*((1+Assumptions!$C$26)^($B36-YEAR(Assumptions!$C$17)))</f>
        <v>0</v>
      </c>
      <c r="CZ36" s="216">
        <f>IF(OR($BQ36,$BS36),SpreadOptPowerMargin,0)*((1+Assumptions!$C$26)^($B36-YEAR(Assumptions!$C$17)))</f>
        <v>0</v>
      </c>
      <c r="DA36" s="440">
        <f t="shared" si="25"/>
        <v>0</v>
      </c>
      <c r="DB36" s="479" t="str">
        <f t="shared" si="26"/>
        <v/>
      </c>
      <c r="DC36" s="479" t="str">
        <f t="shared" si="27"/>
        <v/>
      </c>
      <c r="DD36" s="479" t="str">
        <f t="shared" si="28"/>
        <v/>
      </c>
      <c r="DE36" s="479" t="str">
        <f t="shared" si="29"/>
        <v/>
      </c>
      <c r="DF36" s="479" t="str">
        <f t="shared" si="30"/>
        <v/>
      </c>
      <c r="DG36" s="574" t="str">
        <f t="shared" si="31"/>
        <v/>
      </c>
      <c r="DH36" s="216">
        <f t="shared" si="32"/>
        <v>0</v>
      </c>
      <c r="DI36" s="216">
        <f t="shared" si="33"/>
        <v>0</v>
      </c>
      <c r="DJ36" s="216">
        <f t="shared" si="34"/>
        <v>0</v>
      </c>
      <c r="DK36" s="216">
        <f t="shared" si="35"/>
        <v>0</v>
      </c>
      <c r="DL36" s="216">
        <f t="shared" si="36"/>
        <v>0</v>
      </c>
      <c r="DM36" s="216"/>
      <c r="DN36" s="216"/>
      <c r="DO36" s="216"/>
      <c r="DP36" s="216"/>
      <c r="DQ36" s="216"/>
      <c r="DR36" s="216"/>
      <c r="DS36" s="216"/>
      <c r="DT36" s="216"/>
      <c r="DU36" s="216"/>
      <c r="DV36" s="216"/>
      <c r="DW36" s="1371">
        <f t="shared" si="37"/>
        <v>0</v>
      </c>
      <c r="DX36" s="216">
        <f t="shared" si="38"/>
        <v>0</v>
      </c>
      <c r="DY36" s="440">
        <f t="shared" si="39"/>
        <v>0</v>
      </c>
      <c r="DZ36" s="180">
        <f t="shared" si="40"/>
        <v>0</v>
      </c>
      <c r="EA36" s="180">
        <f t="shared" si="41"/>
        <v>0</v>
      </c>
      <c r="EB36" s="180">
        <f t="shared" si="42"/>
        <v>0</v>
      </c>
      <c r="EC36" s="180">
        <f t="shared" si="43"/>
        <v>0</v>
      </c>
      <c r="ED36" s="180">
        <f t="shared" si="44"/>
        <v>0</v>
      </c>
      <c r="EE36" s="581">
        <f t="shared" si="45"/>
        <v>0</v>
      </c>
      <c r="EF36" s="554">
        <f t="shared" si="46"/>
        <v>0</v>
      </c>
      <c r="EG36" s="554">
        <f t="shared" si="47"/>
        <v>0</v>
      </c>
      <c r="EH36" s="554">
        <f t="shared" si="48"/>
        <v>0</v>
      </c>
      <c r="EI36" s="561">
        <f t="shared" si="49"/>
        <v>0</v>
      </c>
      <c r="EJ36" s="581">
        <f t="shared" si="132"/>
        <v>0</v>
      </c>
      <c r="EK36" s="554">
        <f t="shared" si="133"/>
        <v>0</v>
      </c>
      <c r="EL36" s="554">
        <f t="shared" si="134"/>
        <v>0</v>
      </c>
      <c r="EM36" s="554">
        <f t="shared" si="135"/>
        <v>0</v>
      </c>
      <c r="EN36" s="561">
        <f t="shared" si="136"/>
        <v>0</v>
      </c>
      <c r="EO36" s="180">
        <f t="shared" si="50"/>
        <v>0</v>
      </c>
      <c r="EP36" s="180">
        <f t="shared" si="51"/>
        <v>0</v>
      </c>
      <c r="EQ36" s="180">
        <f t="shared" si="52"/>
        <v>0</v>
      </c>
      <c r="ER36" s="180">
        <f t="shared" si="53"/>
        <v>0</v>
      </c>
      <c r="ES36" s="180">
        <f t="shared" si="54"/>
        <v>0</v>
      </c>
      <c r="ET36" s="1482">
        <f t="shared" si="55"/>
        <v>0</v>
      </c>
      <c r="EU36" s="180">
        <f t="shared" si="56"/>
        <v>0</v>
      </c>
      <c r="EV36" s="180">
        <f t="shared" si="57"/>
        <v>0</v>
      </c>
      <c r="EW36" s="180">
        <f t="shared" si="58"/>
        <v>0</v>
      </c>
      <c r="EX36" s="555">
        <f t="shared" si="59"/>
        <v>0</v>
      </c>
      <c r="EY36" s="180">
        <f t="shared" si="137"/>
        <v>0</v>
      </c>
      <c r="EZ36" s="180">
        <f t="shared" si="138"/>
        <v>0</v>
      </c>
      <c r="FA36" s="180">
        <f t="shared" si="139"/>
        <v>0</v>
      </c>
      <c r="FB36" s="180">
        <f t="shared" si="140"/>
        <v>0</v>
      </c>
      <c r="FC36" s="180">
        <f t="shared" si="141"/>
        <v>0</v>
      </c>
      <c r="FD36" s="262">
        <f>IF(AX36,IF(VLOOKUP(C36,MAIN!$L$17:$M$28,2)="Yes",VLOOKUP(CALC!B36,MAIN!$H$17:$I$20,2),0),0)</f>
        <v>0</v>
      </c>
      <c r="FE36" s="623">
        <f t="shared" si="60"/>
        <v>0</v>
      </c>
      <c r="FF36" s="535">
        <f t="shared" si="61"/>
        <v>0</v>
      </c>
      <c r="FG36" s="535">
        <f t="shared" si="62"/>
        <v>0</v>
      </c>
      <c r="FH36" s="624">
        <f t="shared" si="63"/>
        <v>0</v>
      </c>
      <c r="FI36" s="632">
        <f>IF(AX36,VLOOKUP(CALC!B36,MAIN!$H$17:$K$20,4),0)</f>
        <v>0</v>
      </c>
      <c r="FJ36" s="535">
        <f t="shared" si="64"/>
        <v>0</v>
      </c>
      <c r="FK36" s="648">
        <f t="shared" si="142"/>
        <v>0</v>
      </c>
      <c r="FL36" s="530">
        <f t="shared" si="143"/>
        <v>0</v>
      </c>
      <c r="FM36" s="530">
        <f t="shared" si="144"/>
        <v>0</v>
      </c>
      <c r="FN36" s="530">
        <f t="shared" si="145"/>
        <v>0</v>
      </c>
      <c r="FO36" s="622">
        <f t="shared" si="146"/>
        <v>0</v>
      </c>
      <c r="FP36" s="530">
        <f t="shared" si="147"/>
        <v>0</v>
      </c>
      <c r="FQ36" s="530">
        <f t="shared" si="148"/>
        <v>0</v>
      </c>
      <c r="FR36" s="530">
        <f t="shared" si="149"/>
        <v>0</v>
      </c>
      <c r="FS36" s="625">
        <f t="shared" si="150"/>
        <v>0</v>
      </c>
      <c r="FT36" s="640">
        <f>IF(AND(Assumptions!$H$71="Yes",A36&gt;=Assumptions!$H$72,A36&lt;=Assumptions!$H$73),0,IF(AND($A36&gt;=Assumptions!$C$17,$A36&lt;=Assumptions!$C$18),MAX(AZ36*(1+VLOOKUP($C36,WeatherCapacityAdjustment,2))-FL36,0),0))</f>
        <v>0</v>
      </c>
      <c r="FU36" s="530">
        <f>IF(AND(Assumptions!$H$71="Yes",A36&gt;=Assumptions!$H$72,A36&lt;=Assumptions!$H$73),0,IF(AND($A36&gt;=Assumptions!$C$17,$A36&lt;=Assumptions!$C$18),MAX(BA36*(1+VLOOKUP($C36,WeatherCapacityAdjustment,2))-FM36,0),0))</f>
        <v>0</v>
      </c>
      <c r="FV36" s="530">
        <f>IF(AND(Assumptions!$H$71="Yes",A36&gt;=Assumptions!$H$72,A36&lt;=Assumptions!$H$73),0,IF(AND($A36&gt;=Assumptions!$C$17,$A36&lt;=Assumptions!$C$18),MAX(BB36*(1+VLOOKUP($C36,WeatherCapacityAdjustment,2))-FN36,0),0))</f>
        <v>0</v>
      </c>
      <c r="FW36" s="622">
        <f>IF(AND(Assumptions!$H$71="Yes",A36&gt;=Assumptions!$H$72,A36&lt;=Assumptions!$H$73),0,IF(AND($A36&gt;=Assumptions!$C$17,$A36&lt;=Assumptions!$C$18),MAX(BC36*(1+VLOOKUP($C36,WeatherCapacityAdjustment,3))-FO36,0),0))</f>
        <v>0</v>
      </c>
      <c r="FX36" s="621">
        <f>IF(AND(Assumptions!$H$71="Yes",A36&gt;=Assumptions!$H$72,A36&lt;=Assumptions!$H$73),0,IF(ET36&gt;0,MAX(BH36*(1+VLOOKUP($C36,WeatherCapacityAdjustment,2))-FP36,0),0))</f>
        <v>0</v>
      </c>
      <c r="FY36" s="530">
        <f>IF(AND(Assumptions!$H$71="Yes",A36&gt;=Assumptions!$H$72,A36&lt;=Assumptions!$H$73),0,IF(EU36&gt;0,MAX(BI36*(1+VLOOKUP($C36,WeatherCapacityAdjustment,3))-FQ36,0),0))</f>
        <v>0</v>
      </c>
      <c r="FZ36" s="530">
        <f>IF(AND(Assumptions!$H$71="Yes",A36&gt;=Assumptions!$H$72,A36&lt;=Assumptions!$H$73),0,IF(EV36&gt;0,MAX(BJ36*(1+VLOOKUP($C36,WeatherCapacityAdjustment,2))-FR36,0),0))</f>
        <v>0</v>
      </c>
      <c r="GA36" s="622">
        <f>IF(AND(Assumptions!$H$71="Yes",A36&gt;=Assumptions!$H$72,A36&lt;=Assumptions!$H$73),0,IF(EW36&gt;0,MAX(BK36*(1+VLOOKUP($C36,WeatherCapacityAdjustment,2))-FS36,0),0))</f>
        <v>0</v>
      </c>
      <c r="GB36" s="530">
        <f t="shared" si="65"/>
        <v>0</v>
      </c>
      <c r="GC36" s="545">
        <f t="shared" si="66"/>
        <v>0</v>
      </c>
      <c r="GD36" s="530">
        <f t="shared" si="67"/>
        <v>0</v>
      </c>
      <c r="GE36" s="1485">
        <f t="shared" si="151"/>
        <v>0</v>
      </c>
      <c r="GF36" s="1776">
        <f t="shared" si="168"/>
        <v>0</v>
      </c>
      <c r="GG36" s="545">
        <f t="shared" si="169"/>
        <v>0</v>
      </c>
      <c r="GH36" s="622">
        <f t="shared" si="170"/>
        <v>0</v>
      </c>
      <c r="GI36" s="621">
        <f t="shared" si="152"/>
        <v>0</v>
      </c>
      <c r="GJ36" s="638">
        <f t="shared" si="68"/>
        <v>0</v>
      </c>
      <c r="GK36" s="625">
        <f t="shared" si="166"/>
        <v>0</v>
      </c>
      <c r="GL36" s="640">
        <f t="shared" si="171"/>
        <v>0</v>
      </c>
      <c r="GM36" s="530">
        <f t="shared" si="172"/>
        <v>0</v>
      </c>
      <c r="GN36" s="530">
        <f t="shared" si="173"/>
        <v>0</v>
      </c>
      <c r="GO36" s="622">
        <f t="shared" si="174"/>
        <v>0</v>
      </c>
      <c r="GP36" s="530">
        <f t="shared" si="73"/>
        <v>0</v>
      </c>
      <c r="GQ36" s="545">
        <f t="shared" si="74"/>
        <v>0</v>
      </c>
      <c r="GR36" s="625">
        <f t="shared" si="75"/>
        <v>0</v>
      </c>
      <c r="GS36" s="640">
        <f>IF($A36&gt;=BegDate,Assumptions!$C$56*24*($A37-$A36)*(1-VLOOKUP($B36,MAIN!$AA$7:$AM$28,$C36+1))*(1-VLOOKUP($B36,MAIN!$AA$33:$AM$54,$C36+1)),0)*80/168</f>
        <v>0</v>
      </c>
      <c r="GT36" s="1715">
        <f t="shared" si="153"/>
        <v>34.169795999999998</v>
      </c>
      <c r="GU36" s="1715">
        <f>IF($A36&gt;=BegDate,VLOOKUP($A36,GasTable,13)+Assumptions!$C$58,0)</f>
        <v>0</v>
      </c>
      <c r="GV36" s="1715">
        <f>GU36*Assumptions!$C$57/1000</f>
        <v>0</v>
      </c>
      <c r="GW36" s="625">
        <f>IF(Assumptions!$C$60="Hourly",MAX(0,GS36*(GT36-GV36)),GS36*(GT36-GV36))</f>
        <v>0</v>
      </c>
      <c r="GX36" s="640">
        <f>IF($A36&gt;=BegDate,Assumptions!$C$56*24*($A37-$A36)*(1-VLOOKUP($B36,MAIN!$AA$7:$AM$28,$C36+1))*(1-VLOOKUP($B36,MAIN!$AA$33:$AM$54,$C36+1)),0)*16/168</f>
        <v>0</v>
      </c>
      <c r="GY36" s="1715">
        <f t="shared" si="154"/>
        <v>34.169795999999998</v>
      </c>
      <c r="GZ36" s="1715">
        <f>IF($A36&gt;=BegDate,VLOOKUP($A36,GasTable,13)+Assumptions!$C$58,0)</f>
        <v>0</v>
      </c>
      <c r="HA36" s="1715">
        <f>GZ36*Assumptions!$C$57/1000</f>
        <v>0</v>
      </c>
      <c r="HB36" s="625">
        <f>IF(Assumptions!$C$60="Hourly",MAX(0,GX36*(GY36-HA36)),GX36*(GY36-HA36))</f>
        <v>0</v>
      </c>
      <c r="HC36" s="640">
        <f>IF($A36&gt;=BegDate,Assumptions!$C$56*24*($A37-$A36)*(1-VLOOKUP($B36,MAIN!$AA$7:$AM$28,$C36+1))*(1-VLOOKUP($B36,MAIN!$AA$33:$AM$54,$C36+1)),0)*16/168</f>
        <v>0</v>
      </c>
      <c r="HD36" s="1715">
        <f t="shared" si="155"/>
        <v>24.427265999999999</v>
      </c>
      <c r="HE36" s="1715">
        <f>IF($A36&gt;=BegDate,VLOOKUP($A36,GasTable,13)+Assumptions!$C$58,0)</f>
        <v>0</v>
      </c>
      <c r="HF36" s="1715">
        <f>HE36*Assumptions!$C$57/1000</f>
        <v>0</v>
      </c>
      <c r="HG36" s="625">
        <f>IF(Assumptions!$C$60="Hourly",MAX(0,HC36*(HD36-HF36)),HC36*(HD36-HF36))</f>
        <v>0</v>
      </c>
      <c r="HH36" s="640">
        <f>IF($A36&gt;=BegDate,Assumptions!$C$56*24*($A37-$A36)*(1-VLOOKUP($B36,MAIN!$AA$7:$AM$28,$C36+1))*(1-VLOOKUP($B36,MAIN!$AA$33:$AM$54,$C36+1)),0)*56/168</f>
        <v>0</v>
      </c>
      <c r="HI36" s="1715">
        <f t="shared" si="156"/>
        <v>24.427265999999999</v>
      </c>
      <c r="HJ36" s="1715">
        <f>IF($A36&gt;=BegDate,VLOOKUP($A36,GasTable,13)+Assumptions!$C$58,0)</f>
        <v>0</v>
      </c>
      <c r="HK36" s="1715">
        <f>HJ36*Assumptions!$C$57/1000</f>
        <v>0</v>
      </c>
      <c r="HL36" s="625">
        <f>IF(Assumptions!$C$60="Hourly",MAX(0,HH36*(HI36-HK36)),HH36*(HI36-HK36))</f>
        <v>0</v>
      </c>
      <c r="HM36" s="640">
        <f>IF(AND(Assumptions!$H$71="Yes",A36&gt;=Assumptions!$H$72,A36&lt;=Assumptions!$H$73),Assumptions!$H$74*Assumptions!$C$9*1000,0)</f>
        <v>0</v>
      </c>
      <c r="HN36" s="625"/>
      <c r="HO36" s="1414">
        <f t="shared" si="167"/>
        <v>2022</v>
      </c>
      <c r="HP36" s="640">
        <f t="shared" si="76"/>
        <v>0</v>
      </c>
      <c r="HQ36" s="154">
        <f t="shared" si="157"/>
        <v>0</v>
      </c>
      <c r="HR36" s="622">
        <f t="shared" si="77"/>
        <v>0</v>
      </c>
      <c r="HS36" s="621">
        <f t="shared" ca="1" si="78"/>
        <v>5026152</v>
      </c>
      <c r="HT36" s="545">
        <f t="shared" ca="1" si="158"/>
        <v>53.858237935706761</v>
      </c>
      <c r="HU36" s="530">
        <f t="shared" ca="1" si="79"/>
        <v>270699690.3170284</v>
      </c>
      <c r="HV36" s="621">
        <f t="shared" ca="1" si="159"/>
        <v>270699690.3170284</v>
      </c>
      <c r="HW36" s="530">
        <f t="shared" ca="1" si="80"/>
        <v>6820510.6430199239</v>
      </c>
      <c r="HX36" s="530">
        <f t="shared" ca="1" si="81"/>
        <v>25443773.168106146</v>
      </c>
      <c r="HY36" s="530">
        <f>IF(Assumptions!$L$24="Yes",HW36+HX36,0)</f>
        <v>0</v>
      </c>
      <c r="HZ36" s="640">
        <f t="shared" ca="1" si="160"/>
        <v>36124039.337183997</v>
      </c>
      <c r="IA36" s="545">
        <f t="shared" ca="1" si="161"/>
        <v>-4.5871112217967056</v>
      </c>
      <c r="IB36" s="622">
        <f t="shared" ca="1" si="82"/>
        <v>-165704986.22022232</v>
      </c>
      <c r="IC36" s="621">
        <f t="shared" ca="1" si="83"/>
        <v>5026152</v>
      </c>
      <c r="ID36" s="545">
        <f t="shared" ca="1" si="162"/>
        <v>-2.6222601105500365</v>
      </c>
      <c r="IE36" s="622">
        <f t="shared" ca="1" si="84"/>
        <v>-13179877.899161287</v>
      </c>
      <c r="IF36" s="530">
        <f t="shared" ca="1" si="85"/>
        <v>0</v>
      </c>
      <c r="IG36" s="545">
        <f t="shared" ca="1" si="163"/>
        <v>0</v>
      </c>
      <c r="IH36" s="622">
        <f t="shared" ca="1" si="86"/>
        <v>0</v>
      </c>
      <c r="II36" s="1645">
        <f>(SUMIF($B$17:$B$292,HO36,$GW$17:$GW$292)+SUMIF($B$17:$B$292,HO36,$HB$17:$HB$292)+SUMIF($B$17:$B$292,HO36,$HG$17:$HG$292)+SUMIF($B$17:$B$292,HO36,$HL$17:$HL$292))*Assumptions!$C$59</f>
        <v>1089172.581472852</v>
      </c>
      <c r="IJ36" s="1463">
        <f t="shared" si="164"/>
        <v>0</v>
      </c>
      <c r="IK36" s="1463"/>
    </row>
    <row r="37" spans="1:245">
      <c r="A37" s="177">
        <f t="shared" si="87"/>
        <v>37257</v>
      </c>
      <c r="B37" s="349">
        <f t="shared" si="88"/>
        <v>2002</v>
      </c>
      <c r="C37" s="15">
        <f t="shared" si="89"/>
        <v>1</v>
      </c>
      <c r="D37" s="612" t="str">
        <f t="shared" si="90"/>
        <v/>
      </c>
      <c r="E37" s="609" t="str">
        <f t="shared" si="91"/>
        <v/>
      </c>
      <c r="F37" s="614" t="str">
        <f t="shared" si="2"/>
        <v/>
      </c>
      <c r="G37" s="1349">
        <v>0</v>
      </c>
      <c r="H37" s="152">
        <f t="shared" si="165"/>
        <v>1</v>
      </c>
      <c r="I37" s="154">
        <f>IF(Assumptions!$L$25=4,VLOOKUP($A37,'Henwood Reference'!$E$9:$R$320,10),(VLOOKUP($A37,PriceTable,2,0)+IF(BasisNumber&lt;&gt;1,VLOOKUP($A37,BasisTable,2,0),0)+I$1)/(1-I$2))</f>
        <v>38.320220880000001</v>
      </c>
      <c r="J37" s="154">
        <f>IF(Assumptions!$L$25=4,VLOOKUP($A37,'Henwood Reference'!$E$9:$R$320,10),(VLOOKUP($A37,PriceTable,3,0)+IF(BasisNumber&lt;&gt;1,VLOOKUP($A37,BasisTable,2,0),0)+J$1)/(1-J$2))</f>
        <v>38.320220880000001</v>
      </c>
      <c r="K37" s="154">
        <f>IF(Assumptions!$L$25=4,VLOOKUP($A37,'Henwood Reference'!$E$9:$R$320,10),(VLOOKUP($A37,PriceTable,4,0)+IF(BasisNumber&lt;&gt;1,VLOOKUP($A37,BasisTable,2,0),0)+K$1)/(1-K$2))</f>
        <v>38.320220880000001</v>
      </c>
      <c r="L37" s="474">
        <f>IF(Assumptions!$L$25=4,VLOOKUP($A37,'Henwood Reference'!$E$9:$R$320,10),(VLOOKUP($A37,PriceTableWeekend,2,0)+IF(BasisNumber&lt;&gt;1,VLOOKUP($A37,BasisTable,2,0),0)+L$1)/(1-L$2))</f>
        <v>38.320220880000001</v>
      </c>
      <c r="M37" s="154">
        <f>IF(Assumptions!$L$25=4,VLOOKUP($A37,'Henwood Reference'!$E$9:$R$320,10),(VLOOKUP($A37,PriceTableWeekend,3,0)+IF(BasisNumber&lt;&gt;1,VLOOKUP($A37,BasisTable,2,0),0)+M$1)/(1-M$2))</f>
        <v>38.320220880000001</v>
      </c>
      <c r="N37" s="156">
        <f>IF(Assumptions!$L$25=4,VLOOKUP($A37,'Henwood Reference'!$E$9:$R$320,10),(VLOOKUP($A37,PriceTableWeekend,4,0)+IF(BasisNumber&lt;&gt;1,VLOOKUP($A37,BasisTable,2,0),0)+N$1)/(1-N$2))</f>
        <v>38.320220880000001</v>
      </c>
      <c r="O37" s="154">
        <f>IF(Assumptions!$L$25=4,VLOOKUP($A37,'Henwood Reference'!$E$9:$R$320,11),(VLOOKUP($A37,PriceTableWeekend,6,0)+IF(BasisNumber&lt;&gt;1,VLOOKUP($A37,BasisTable,3,0),0)+O$1)/(1-O$2))</f>
        <v>26.077626000000002</v>
      </c>
      <c r="P37" s="154">
        <f>IF(Assumptions!$L$25=4,VLOOKUP($A37,'Henwood Reference'!$E$9:$R$320,11),(VLOOKUP($A37,PriceTableWeekend,7,0)+IF(BasisNumber&lt;&gt;1,VLOOKUP($A37,BasisTable,3,0),0)+P$1)/(1-P$2))</f>
        <v>26.077626000000002</v>
      </c>
      <c r="Q37" s="156">
        <f>IF(Assumptions!$L$25=4,VLOOKUP($A37,'Henwood Reference'!$E$9:$R$320,11),(VLOOKUP($A37,PriceTableWeekend,8,0)+IF(BasisNumber&lt;&gt;1,VLOOKUP($A37,BasisTable,3,0),0)+Q$1)/(1-Q$2))</f>
        <v>26.077626000000002</v>
      </c>
      <c r="R37" s="154">
        <f>IF(Assumptions!$L$25=4,VLOOKUP($A37,'Henwood Reference'!$E$9:$R$320,11),(VLOOKUP($A37,PriceTable,6,0)+IF(BasisNumber&lt;&gt;1,VLOOKUP($A37,BasisTable,3,0),0)+R$1)/(1-R$2))</f>
        <v>26.077626000000002</v>
      </c>
      <c r="S37" s="154">
        <f>IF(Assumptions!$L$25=4,VLOOKUP($A37,'Henwood Reference'!$E$9:$R$320,11),(VLOOKUP($A37,PriceTable,7,0)+IF(BasisNumber&lt;&gt;1,VLOOKUP($A37,BasisTable,3,0),0)+S$1)/(1-S$2))</f>
        <v>26.077626000000002</v>
      </c>
      <c r="T37" s="155">
        <f>IF(Assumptions!$L$25=4,VLOOKUP($A37,'Henwood Reference'!$E$9:$R$320,11),(VLOOKUP($A37,PriceTable,8,0)+IF(BasisNumber&lt;&gt;1,VLOOKUP($A37,BasisTable,3,0),0)+T$1)/(1-T$2))</f>
        <v>26.077626000000002</v>
      </c>
      <c r="U37" s="173">
        <f t="shared" si="92"/>
        <v>0.16</v>
      </c>
      <c r="V37" s="173">
        <f t="shared" si="93"/>
        <v>0.17</v>
      </c>
      <c r="W37" s="174">
        <f t="shared" si="94"/>
        <v>0.18</v>
      </c>
      <c r="X37" s="173">
        <f t="shared" si="95"/>
        <v>0.16</v>
      </c>
      <c r="Y37" s="173">
        <f t="shared" si="96"/>
        <v>0.17</v>
      </c>
      <c r="Z37" s="174">
        <f t="shared" si="97"/>
        <v>0.18</v>
      </c>
      <c r="AA37" s="173">
        <f t="shared" si="98"/>
        <v>0.09</v>
      </c>
      <c r="AB37" s="173">
        <f t="shared" si="99"/>
        <v>0.11</v>
      </c>
      <c r="AC37" s="174">
        <f t="shared" si="100"/>
        <v>0.13</v>
      </c>
      <c r="AD37" s="173">
        <f t="shared" si="101"/>
        <v>0.09</v>
      </c>
      <c r="AE37" s="173">
        <f t="shared" si="102"/>
        <v>0.11</v>
      </c>
      <c r="AF37" s="174">
        <f t="shared" si="103"/>
        <v>0.13</v>
      </c>
      <c r="AG37" s="173">
        <f t="shared" si="104"/>
        <v>-0.25</v>
      </c>
      <c r="AH37" s="173">
        <f t="shared" si="105"/>
        <v>0.65</v>
      </c>
      <c r="AI37" s="174">
        <f t="shared" si="106"/>
        <v>0.25</v>
      </c>
      <c r="AJ37" s="173">
        <f t="shared" si="107"/>
        <v>-0.25</v>
      </c>
      <c r="AK37" s="173">
        <f t="shared" si="108"/>
        <v>0.65</v>
      </c>
      <c r="AL37" s="174">
        <f t="shared" si="109"/>
        <v>0.25</v>
      </c>
      <c r="AM37" s="173">
        <f t="shared" si="110"/>
        <v>-0.01</v>
      </c>
      <c r="AN37" s="173">
        <f t="shared" si="111"/>
        <v>0.16</v>
      </c>
      <c r="AO37" s="174">
        <f t="shared" si="112"/>
        <v>0.01</v>
      </c>
      <c r="AP37" s="173">
        <f t="shared" si="113"/>
        <v>-0.01</v>
      </c>
      <c r="AQ37" s="173">
        <f t="shared" si="114"/>
        <v>0.16</v>
      </c>
      <c r="AR37" s="175">
        <f t="shared" si="115"/>
        <v>0.01</v>
      </c>
      <c r="AS37" s="521">
        <f t="shared" si="176"/>
        <v>0.5</v>
      </c>
      <c r="AT37" s="349">
        <f t="shared" si="117"/>
        <v>0</v>
      </c>
      <c r="AU37" s="159">
        <f t="shared" si="3"/>
        <v>0</v>
      </c>
      <c r="AV37" s="159">
        <f t="shared" si="4"/>
        <v>0</v>
      </c>
      <c r="AW37" s="159">
        <f t="shared" si="177"/>
        <v>0</v>
      </c>
      <c r="AX37" s="15">
        <f t="shared" si="119"/>
        <v>0</v>
      </c>
      <c r="AY37" s="607">
        <f>IF(E37="",0,MIN((1-(1-VLOOKUP(B37,MAIN!$AA$7:$AM$28,C37+1))*(1-VLOOKUP(B37,MAIN!$AA$33:$AM$54,C37+1))),1))</f>
        <v>0</v>
      </c>
      <c r="AZ37" s="259">
        <v>0</v>
      </c>
      <c r="BA37" s="263">
        <v>0</v>
      </c>
      <c r="BB37" s="263">
        <v>0</v>
      </c>
      <c r="BC37" s="510">
        <v>0</v>
      </c>
      <c r="BD37" s="512">
        <v>0</v>
      </c>
      <c r="BE37" s="513">
        <v>0</v>
      </c>
      <c r="BF37" s="513">
        <v>0</v>
      </c>
      <c r="BG37" s="514">
        <v>0</v>
      </c>
      <c r="BH37" s="261">
        <v>0</v>
      </c>
      <c r="BI37" s="263">
        <v>0</v>
      </c>
      <c r="BJ37" s="263">
        <v>0</v>
      </c>
      <c r="BK37" s="510">
        <v>0</v>
      </c>
      <c r="BL37" s="512">
        <v>0</v>
      </c>
      <c r="BM37" s="513">
        <v>0</v>
      </c>
      <c r="BN37" s="513">
        <v>0</v>
      </c>
      <c r="BO37" s="513">
        <v>0</v>
      </c>
      <c r="BP37" s="261">
        <f t="shared" si="120"/>
        <v>0</v>
      </c>
      <c r="BQ37" s="578">
        <f t="shared" si="121"/>
        <v>0</v>
      </c>
      <c r="BR37" s="259">
        <f t="shared" si="122"/>
        <v>0</v>
      </c>
      <c r="BS37" s="578">
        <f t="shared" si="123"/>
        <v>0</v>
      </c>
      <c r="BT37" s="216">
        <f t="shared" si="124"/>
        <v>1.7166324435318274</v>
      </c>
      <c r="BU37" s="218">
        <f t="shared" si="5"/>
        <v>0</v>
      </c>
      <c r="BV37" s="216">
        <f t="shared" si="6"/>
        <v>0</v>
      </c>
      <c r="BW37" s="216">
        <f t="shared" si="7"/>
        <v>0</v>
      </c>
      <c r="BX37" s="216">
        <f t="shared" si="125"/>
        <v>0</v>
      </c>
      <c r="BY37" s="216">
        <f t="shared" si="8"/>
        <v>0</v>
      </c>
      <c r="BZ37" s="216">
        <f t="shared" si="9"/>
        <v>0</v>
      </c>
      <c r="CA37" s="264">
        <f t="shared" si="10"/>
        <v>0</v>
      </c>
      <c r="CB37" s="216">
        <f t="shared" si="11"/>
        <v>0</v>
      </c>
      <c r="CC37" s="216">
        <f t="shared" si="12"/>
        <v>0</v>
      </c>
      <c r="CD37" s="216">
        <f t="shared" si="126"/>
        <v>0</v>
      </c>
      <c r="CE37" s="216">
        <f t="shared" si="13"/>
        <v>0</v>
      </c>
      <c r="CF37" s="571">
        <f t="shared" si="14"/>
        <v>0</v>
      </c>
      <c r="CG37" s="573" t="str">
        <f t="shared" si="15"/>
        <v/>
      </c>
      <c r="CH37" s="219" t="str">
        <f t="shared" si="16"/>
        <v/>
      </c>
      <c r="CI37" s="219" t="str">
        <f t="shared" si="17"/>
        <v/>
      </c>
      <c r="CJ37" s="219" t="str">
        <f t="shared" si="18"/>
        <v/>
      </c>
      <c r="CK37" s="219" t="str">
        <f t="shared" si="19"/>
        <v/>
      </c>
      <c r="CL37" s="219" t="str">
        <f t="shared" si="20"/>
        <v/>
      </c>
      <c r="CM37" s="219" t="str">
        <f t="shared" si="21"/>
        <v/>
      </c>
      <c r="CN37" s="569" t="str">
        <f t="shared" si="22"/>
        <v/>
      </c>
      <c r="CO37" s="264">
        <f t="shared" si="175"/>
        <v>0</v>
      </c>
      <c r="CP37" s="216">
        <f t="shared" si="127"/>
        <v>0</v>
      </c>
      <c r="CQ37" s="216">
        <f t="shared" si="128"/>
        <v>0</v>
      </c>
      <c r="CR37" s="216">
        <f t="shared" si="129"/>
        <v>0</v>
      </c>
      <c r="CS37" s="1626">
        <f t="shared" si="130"/>
        <v>0</v>
      </c>
      <c r="CT37" s="216">
        <f t="shared" si="131"/>
        <v>0</v>
      </c>
      <c r="CU37" s="575" t="str">
        <f t="shared" si="23"/>
        <v/>
      </c>
      <c r="CV37" s="154" t="str">
        <f t="shared" si="24"/>
        <v/>
      </c>
      <c r="CW37" s="216">
        <f>IF(OR($BQ37,$BS37),SpreadOptPowerMargin,0)*((1+Assumptions!$C$26)^($B37-YEAR(Assumptions!$C$17)))</f>
        <v>0</v>
      </c>
      <c r="CX37" s="216">
        <f>IF(OR($BQ37,$BS37),SpreadOptPowerMargin,0)*((1+Assumptions!$C$26)^($B37-YEAR(Assumptions!$C$17)))</f>
        <v>0</v>
      </c>
      <c r="CY37" s="216">
        <f>IF(OR($BQ37,$BS37),SpreadOptPowerMargin,0)*((1+Assumptions!$C$26)^($B37-YEAR(Assumptions!$C$17)))</f>
        <v>0</v>
      </c>
      <c r="CZ37" s="216">
        <f>IF(OR($BQ37,$BS37),SpreadOptPowerMargin,0)*((1+Assumptions!$C$26)^($B37-YEAR(Assumptions!$C$17)))</f>
        <v>0</v>
      </c>
      <c r="DA37" s="440">
        <f t="shared" si="25"/>
        <v>0</v>
      </c>
      <c r="DB37" s="479" t="str">
        <f t="shared" si="26"/>
        <v/>
      </c>
      <c r="DC37" s="479" t="str">
        <f t="shared" si="27"/>
        <v/>
      </c>
      <c r="DD37" s="479" t="str">
        <f t="shared" si="28"/>
        <v/>
      </c>
      <c r="DE37" s="479" t="str">
        <f t="shared" si="29"/>
        <v/>
      </c>
      <c r="DF37" s="479" t="str">
        <f t="shared" si="30"/>
        <v/>
      </c>
      <c r="DG37" s="574" t="str">
        <f t="shared" si="31"/>
        <v/>
      </c>
      <c r="DH37" s="216">
        <f t="shared" si="32"/>
        <v>0</v>
      </c>
      <c r="DI37" s="216">
        <f t="shared" si="33"/>
        <v>0</v>
      </c>
      <c r="DJ37" s="216">
        <f t="shared" si="34"/>
        <v>0</v>
      </c>
      <c r="DK37" s="216">
        <f t="shared" si="35"/>
        <v>0</v>
      </c>
      <c r="DL37" s="216">
        <f t="shared" si="36"/>
        <v>0</v>
      </c>
      <c r="DM37" s="216"/>
      <c r="DN37" s="216"/>
      <c r="DO37" s="216"/>
      <c r="DP37" s="216"/>
      <c r="DQ37" s="216"/>
      <c r="DR37" s="216"/>
      <c r="DS37" s="216"/>
      <c r="DT37" s="216"/>
      <c r="DU37" s="216"/>
      <c r="DV37" s="216"/>
      <c r="DW37" s="1371">
        <f t="shared" si="37"/>
        <v>0</v>
      </c>
      <c r="DX37" s="216">
        <f t="shared" si="38"/>
        <v>0</v>
      </c>
      <c r="DY37" s="440">
        <f t="shared" si="39"/>
        <v>0</v>
      </c>
      <c r="DZ37" s="180">
        <f t="shared" si="40"/>
        <v>0</v>
      </c>
      <c r="EA37" s="180">
        <f t="shared" si="41"/>
        <v>0</v>
      </c>
      <c r="EB37" s="180">
        <f t="shared" si="42"/>
        <v>0</v>
      </c>
      <c r="EC37" s="180">
        <f t="shared" si="43"/>
        <v>0</v>
      </c>
      <c r="ED37" s="180">
        <f t="shared" si="44"/>
        <v>0</v>
      </c>
      <c r="EE37" s="581">
        <f t="shared" si="45"/>
        <v>0</v>
      </c>
      <c r="EF37" s="554">
        <f t="shared" si="46"/>
        <v>0</v>
      </c>
      <c r="EG37" s="554">
        <f t="shared" si="47"/>
        <v>0</v>
      </c>
      <c r="EH37" s="554">
        <f t="shared" si="48"/>
        <v>0</v>
      </c>
      <c r="EI37" s="561">
        <f t="shared" si="49"/>
        <v>0</v>
      </c>
      <c r="EJ37" s="581">
        <f t="shared" si="132"/>
        <v>0</v>
      </c>
      <c r="EK37" s="554">
        <f t="shared" si="133"/>
        <v>0</v>
      </c>
      <c r="EL37" s="554">
        <f t="shared" si="134"/>
        <v>0</v>
      </c>
      <c r="EM37" s="554">
        <f t="shared" si="135"/>
        <v>0</v>
      </c>
      <c r="EN37" s="561">
        <f t="shared" si="136"/>
        <v>0</v>
      </c>
      <c r="EO37" s="180">
        <f t="shared" si="50"/>
        <v>0</v>
      </c>
      <c r="EP37" s="180">
        <f t="shared" si="51"/>
        <v>0</v>
      </c>
      <c r="EQ37" s="180">
        <f t="shared" si="52"/>
        <v>0</v>
      </c>
      <c r="ER37" s="180">
        <f t="shared" si="53"/>
        <v>0</v>
      </c>
      <c r="ES37" s="180">
        <f t="shared" si="54"/>
        <v>0</v>
      </c>
      <c r="ET37" s="1482">
        <f t="shared" si="55"/>
        <v>0</v>
      </c>
      <c r="EU37" s="180">
        <f t="shared" si="56"/>
        <v>0</v>
      </c>
      <c r="EV37" s="180">
        <f t="shared" si="57"/>
        <v>0</v>
      </c>
      <c r="EW37" s="180">
        <f t="shared" si="58"/>
        <v>0</v>
      </c>
      <c r="EX37" s="555">
        <f t="shared" si="59"/>
        <v>0</v>
      </c>
      <c r="EY37" s="180">
        <f t="shared" si="137"/>
        <v>0</v>
      </c>
      <c r="EZ37" s="180">
        <f t="shared" si="138"/>
        <v>0</v>
      </c>
      <c r="FA37" s="180">
        <f t="shared" si="139"/>
        <v>0</v>
      </c>
      <c r="FB37" s="180">
        <f t="shared" si="140"/>
        <v>0</v>
      </c>
      <c r="FC37" s="180">
        <f t="shared" si="141"/>
        <v>0</v>
      </c>
      <c r="FD37" s="262">
        <f>IF(AX37,IF(VLOOKUP(C37,MAIN!$L$17:$M$28,2)="Yes",VLOOKUP(CALC!B37,MAIN!$H$17:$I$20,2),0),0)</f>
        <v>0</v>
      </c>
      <c r="FE37" s="623">
        <f t="shared" si="60"/>
        <v>0</v>
      </c>
      <c r="FF37" s="535">
        <f t="shared" si="61"/>
        <v>0</v>
      </c>
      <c r="FG37" s="535">
        <f t="shared" si="62"/>
        <v>0</v>
      </c>
      <c r="FH37" s="624">
        <f t="shared" si="63"/>
        <v>0</v>
      </c>
      <c r="FI37" s="632">
        <f>IF(AX37,VLOOKUP(CALC!B37,MAIN!$H$17:$K$20,4),0)</f>
        <v>0</v>
      </c>
      <c r="FJ37" s="535">
        <f t="shared" si="64"/>
        <v>0</v>
      </c>
      <c r="FK37" s="648">
        <f t="shared" si="142"/>
        <v>0</v>
      </c>
      <c r="FL37" s="530">
        <f t="shared" si="143"/>
        <v>0</v>
      </c>
      <c r="FM37" s="530">
        <f t="shared" si="144"/>
        <v>0</v>
      </c>
      <c r="FN37" s="530">
        <f t="shared" si="145"/>
        <v>0</v>
      </c>
      <c r="FO37" s="622">
        <f t="shared" si="146"/>
        <v>0</v>
      </c>
      <c r="FP37" s="530">
        <f t="shared" si="147"/>
        <v>0</v>
      </c>
      <c r="FQ37" s="530">
        <f t="shared" si="148"/>
        <v>0</v>
      </c>
      <c r="FR37" s="530">
        <f t="shared" si="149"/>
        <v>0</v>
      </c>
      <c r="FS37" s="625">
        <f t="shared" si="150"/>
        <v>0</v>
      </c>
      <c r="FT37" s="640">
        <f>IF(AND(Assumptions!$H$71="Yes",A37&gt;=Assumptions!$H$72,A37&lt;=Assumptions!$H$73),0,IF(AND($A37&gt;=Assumptions!$C$17,$A37&lt;=Assumptions!$C$18),MAX(AZ37*(1+VLOOKUP($C37,WeatherCapacityAdjustment,2))-FL37,0),0))</f>
        <v>0</v>
      </c>
      <c r="FU37" s="530">
        <f>IF(AND(Assumptions!$H$71="Yes",A37&gt;=Assumptions!$H$72,A37&lt;=Assumptions!$H$73),0,IF(AND($A37&gt;=Assumptions!$C$17,$A37&lt;=Assumptions!$C$18),MAX(BA37*(1+VLOOKUP($C37,WeatherCapacityAdjustment,2))-FM37,0),0))</f>
        <v>0</v>
      </c>
      <c r="FV37" s="530">
        <f>IF(AND(Assumptions!$H$71="Yes",A37&gt;=Assumptions!$H$72,A37&lt;=Assumptions!$H$73),0,IF(AND($A37&gt;=Assumptions!$C$17,$A37&lt;=Assumptions!$C$18),MAX(BB37*(1+VLOOKUP($C37,WeatherCapacityAdjustment,2))-FN37,0),0))</f>
        <v>0</v>
      </c>
      <c r="FW37" s="622">
        <f>IF(AND(Assumptions!$H$71="Yes",A37&gt;=Assumptions!$H$72,A37&lt;=Assumptions!$H$73),0,IF(AND($A37&gt;=Assumptions!$C$17,$A37&lt;=Assumptions!$C$18),MAX(BC37*(1+VLOOKUP($C37,WeatherCapacityAdjustment,3))-FO37,0),0))</f>
        <v>0</v>
      </c>
      <c r="FX37" s="621">
        <f>IF(AND(Assumptions!$H$71="Yes",A37&gt;=Assumptions!$H$72,A37&lt;=Assumptions!$H$73),0,IF(ET37&gt;0,MAX(BH37*(1+VLOOKUP($C37,WeatherCapacityAdjustment,2))-FP37,0),0))</f>
        <v>0</v>
      </c>
      <c r="FY37" s="530">
        <f>IF(AND(Assumptions!$H$71="Yes",A37&gt;=Assumptions!$H$72,A37&lt;=Assumptions!$H$73),0,IF(EU37&gt;0,MAX(BI37*(1+VLOOKUP($C37,WeatherCapacityAdjustment,3))-FQ37,0),0))</f>
        <v>0</v>
      </c>
      <c r="FZ37" s="530">
        <f>IF(AND(Assumptions!$H$71="Yes",A37&gt;=Assumptions!$H$72,A37&lt;=Assumptions!$H$73),0,IF(EV37&gt;0,MAX(BJ37*(1+VLOOKUP($C37,WeatherCapacityAdjustment,2))-FR37,0),0))</f>
        <v>0</v>
      </c>
      <c r="GA37" s="622">
        <f>IF(AND(Assumptions!$H$71="Yes",A37&gt;=Assumptions!$H$72,A37&lt;=Assumptions!$H$73),0,IF(EW37&gt;0,MAX(BK37*(1+VLOOKUP($C37,WeatherCapacityAdjustment,2))-FS37,0),0))</f>
        <v>0</v>
      </c>
      <c r="GB37" s="530">
        <f t="shared" si="65"/>
        <v>0</v>
      </c>
      <c r="GC37" s="545">
        <f t="shared" si="66"/>
        <v>0</v>
      </c>
      <c r="GD37" s="530">
        <f t="shared" si="67"/>
        <v>0</v>
      </c>
      <c r="GE37" s="1485">
        <f t="shared" si="151"/>
        <v>0</v>
      </c>
      <c r="GF37" s="1776">
        <f t="shared" si="168"/>
        <v>0</v>
      </c>
      <c r="GG37" s="545">
        <f t="shared" si="169"/>
        <v>0</v>
      </c>
      <c r="GH37" s="622">
        <f t="shared" si="170"/>
        <v>0</v>
      </c>
      <c r="GI37" s="621">
        <f t="shared" si="152"/>
        <v>0</v>
      </c>
      <c r="GJ37" s="638">
        <f t="shared" si="68"/>
        <v>0</v>
      </c>
      <c r="GK37" s="625">
        <f t="shared" si="166"/>
        <v>0</v>
      </c>
      <c r="GL37" s="640">
        <f t="shared" si="171"/>
        <v>0</v>
      </c>
      <c r="GM37" s="530">
        <f t="shared" si="172"/>
        <v>0</v>
      </c>
      <c r="GN37" s="530">
        <f t="shared" si="173"/>
        <v>0</v>
      </c>
      <c r="GO37" s="622">
        <f t="shared" si="174"/>
        <v>0</v>
      </c>
      <c r="GP37" s="530">
        <f t="shared" si="73"/>
        <v>0</v>
      </c>
      <c r="GQ37" s="545">
        <f t="shared" si="74"/>
        <v>0</v>
      </c>
      <c r="GR37" s="625">
        <f t="shared" si="75"/>
        <v>0</v>
      </c>
      <c r="GS37" s="640">
        <f>IF($A37&gt;=BegDate,Assumptions!$C$56*24*($A38-$A37)*(1-VLOOKUP($B37,MAIN!$AA$7:$AM$28,$C37+1))*(1-VLOOKUP($B37,MAIN!$AA$33:$AM$54,$C37+1)),0)*80/168</f>
        <v>0</v>
      </c>
      <c r="GT37" s="1715">
        <f t="shared" si="153"/>
        <v>38.320220880000001</v>
      </c>
      <c r="GU37" s="1715">
        <f>IF($A37&gt;=BegDate,VLOOKUP($A37,GasTable,13)+Assumptions!$C$58,0)</f>
        <v>0</v>
      </c>
      <c r="GV37" s="1715">
        <f>GU37*Assumptions!$C$57/1000</f>
        <v>0</v>
      </c>
      <c r="GW37" s="625">
        <f>IF(Assumptions!$C$60="Hourly",MAX(0,GS37*(GT37-GV37)),GS37*(GT37-GV37))</f>
        <v>0</v>
      </c>
      <c r="GX37" s="640">
        <f>IF($A37&gt;=BegDate,Assumptions!$C$56*24*($A38-$A37)*(1-VLOOKUP($B37,MAIN!$AA$7:$AM$28,$C37+1))*(1-VLOOKUP($B37,MAIN!$AA$33:$AM$54,$C37+1)),0)*16/168</f>
        <v>0</v>
      </c>
      <c r="GY37" s="1715">
        <f t="shared" si="154"/>
        <v>38.320220880000001</v>
      </c>
      <c r="GZ37" s="1715">
        <f>IF($A37&gt;=BegDate,VLOOKUP($A37,GasTable,13)+Assumptions!$C$58,0)</f>
        <v>0</v>
      </c>
      <c r="HA37" s="1715">
        <f>GZ37*Assumptions!$C$57/1000</f>
        <v>0</v>
      </c>
      <c r="HB37" s="625">
        <f>IF(Assumptions!$C$60="Hourly",MAX(0,GX37*(GY37-HA37)),GX37*(GY37-HA37))</f>
        <v>0</v>
      </c>
      <c r="HC37" s="640">
        <f>IF($A37&gt;=BegDate,Assumptions!$C$56*24*($A38-$A37)*(1-VLOOKUP($B37,MAIN!$AA$7:$AM$28,$C37+1))*(1-VLOOKUP($B37,MAIN!$AA$33:$AM$54,$C37+1)),0)*16/168</f>
        <v>0</v>
      </c>
      <c r="HD37" s="1715">
        <f t="shared" si="155"/>
        <v>26.077626000000002</v>
      </c>
      <c r="HE37" s="1715">
        <f>IF($A37&gt;=BegDate,VLOOKUP($A37,GasTable,13)+Assumptions!$C$58,0)</f>
        <v>0</v>
      </c>
      <c r="HF37" s="1715">
        <f>HE37*Assumptions!$C$57/1000</f>
        <v>0</v>
      </c>
      <c r="HG37" s="625">
        <f>IF(Assumptions!$C$60="Hourly",MAX(0,HC37*(HD37-HF37)),HC37*(HD37-HF37))</f>
        <v>0</v>
      </c>
      <c r="HH37" s="640">
        <f>IF($A37&gt;=BegDate,Assumptions!$C$56*24*($A38-$A37)*(1-VLOOKUP($B37,MAIN!$AA$7:$AM$28,$C37+1))*(1-VLOOKUP($B37,MAIN!$AA$33:$AM$54,$C37+1)),0)*56/168</f>
        <v>0</v>
      </c>
      <c r="HI37" s="1715">
        <f t="shared" si="156"/>
        <v>26.077626000000002</v>
      </c>
      <c r="HJ37" s="1715">
        <f>IF($A37&gt;=BegDate,VLOOKUP($A37,GasTable,13)+Assumptions!$C$58,0)</f>
        <v>0</v>
      </c>
      <c r="HK37" s="1715">
        <f>HJ37*Assumptions!$C$57/1000</f>
        <v>0</v>
      </c>
      <c r="HL37" s="625">
        <f>IF(Assumptions!$C$60="Hourly",MAX(0,HH37*(HI37-HK37)),HH37*(HI37-HK37))</f>
        <v>0</v>
      </c>
      <c r="HM37" s="640">
        <f>IF(AND(Assumptions!$H$71="Yes",A37&gt;=Assumptions!$H$72,A37&lt;=Assumptions!$H$73),Assumptions!$H$74*Assumptions!$C$9*1000,0)</f>
        <v>0</v>
      </c>
      <c r="HN37" s="625"/>
      <c r="HO37" s="1414">
        <f t="shared" si="167"/>
        <v>2023</v>
      </c>
      <c r="HP37" s="640">
        <f t="shared" si="76"/>
        <v>0</v>
      </c>
      <c r="HQ37" s="154">
        <f t="shared" si="157"/>
        <v>0</v>
      </c>
      <c r="HR37" s="622">
        <f t="shared" si="77"/>
        <v>0</v>
      </c>
      <c r="HS37" s="621">
        <f t="shared" si="78"/>
        <v>0</v>
      </c>
      <c r="HT37" s="545">
        <f t="shared" si="158"/>
        <v>0</v>
      </c>
      <c r="HU37" s="530">
        <f t="shared" si="79"/>
        <v>0</v>
      </c>
      <c r="HV37" s="621">
        <f t="shared" si="159"/>
        <v>0</v>
      </c>
      <c r="HW37" s="530">
        <f t="shared" si="80"/>
        <v>0</v>
      </c>
      <c r="HX37" s="530">
        <f t="shared" si="81"/>
        <v>0</v>
      </c>
      <c r="HY37" s="530">
        <f>IF(Assumptions!$L$24="Yes",HW37+HX37,0)</f>
        <v>0</v>
      </c>
      <c r="HZ37" s="640">
        <f t="shared" si="160"/>
        <v>0</v>
      </c>
      <c r="IA37" s="545">
        <f t="shared" si="161"/>
        <v>0</v>
      </c>
      <c r="IB37" s="622">
        <f t="shared" si="82"/>
        <v>0</v>
      </c>
      <c r="IC37" s="621">
        <f t="shared" si="83"/>
        <v>0</v>
      </c>
      <c r="ID37" s="545">
        <f t="shared" si="162"/>
        <v>0</v>
      </c>
      <c r="IE37" s="622">
        <f t="shared" si="84"/>
        <v>0</v>
      </c>
      <c r="IF37" s="530">
        <f t="shared" si="85"/>
        <v>0</v>
      </c>
      <c r="IG37" s="545">
        <f t="shared" si="163"/>
        <v>0</v>
      </c>
      <c r="IH37" s="622">
        <f t="shared" si="86"/>
        <v>0</v>
      </c>
      <c r="II37" s="1645">
        <f>(SUMIF($B$17:$B$292,HO37,$GW$17:$GW$292)+SUMIF($B$17:$B$292,HO37,$HB$17:$HB$292)+SUMIF($B$17:$B$292,HO37,$HG$17:$HG$292)+SUMIF($B$17:$B$292,HO37,$HL$17:$HL$292))*Assumptions!$C$59</f>
        <v>225505.12559270742</v>
      </c>
      <c r="IJ37" s="1463">
        <f t="shared" si="164"/>
        <v>0</v>
      </c>
      <c r="IK37" s="1463"/>
    </row>
    <row r="38" spans="1:245">
      <c r="A38" s="177">
        <f t="shared" si="87"/>
        <v>37288</v>
      </c>
      <c r="B38" s="349">
        <f t="shared" si="88"/>
        <v>2002</v>
      </c>
      <c r="C38" s="15">
        <f t="shared" si="89"/>
        <v>2</v>
      </c>
      <c r="D38" s="612" t="str">
        <f t="shared" si="90"/>
        <v/>
      </c>
      <c r="E38" s="609" t="str">
        <f t="shared" si="91"/>
        <v/>
      </c>
      <c r="F38" s="614" t="str">
        <f t="shared" si="2"/>
        <v/>
      </c>
      <c r="G38" s="1349">
        <v>0</v>
      </c>
      <c r="H38" s="152">
        <f t="shared" si="165"/>
        <v>1</v>
      </c>
      <c r="I38" s="154">
        <f>IF(Assumptions!$L$25=4,VLOOKUP($A38,'Henwood Reference'!$E$9:$R$320,10),(VLOOKUP($A38,PriceTable,2,0)+IF(BasisNumber&lt;&gt;1,VLOOKUP($A38,BasisTable,2,0),0)+I$1)/(1-I$2))</f>
        <v>34.993958040000003</v>
      </c>
      <c r="J38" s="154">
        <f>IF(Assumptions!$L$25=4,VLOOKUP($A38,'Henwood Reference'!$E$9:$R$320,10),(VLOOKUP($A38,PriceTable,3,0)+IF(BasisNumber&lt;&gt;1,VLOOKUP($A38,BasisTable,2,0),0)+J$1)/(1-J$2))</f>
        <v>34.993958040000003</v>
      </c>
      <c r="K38" s="154">
        <f>IF(Assumptions!$L$25=4,VLOOKUP($A38,'Henwood Reference'!$E$9:$R$320,10),(VLOOKUP($A38,PriceTable,4,0)+IF(BasisNumber&lt;&gt;1,VLOOKUP($A38,BasisTable,2,0),0)+K$1)/(1-K$2))</f>
        <v>34.993958040000003</v>
      </c>
      <c r="L38" s="474">
        <f>IF(Assumptions!$L$25=4,VLOOKUP($A38,'Henwood Reference'!$E$9:$R$320,10),(VLOOKUP($A38,PriceTableWeekend,2,0)+IF(BasisNumber&lt;&gt;1,VLOOKUP($A38,BasisTable,2,0),0)+L$1)/(1-L$2))</f>
        <v>34.993958040000003</v>
      </c>
      <c r="M38" s="154">
        <f>IF(Assumptions!$L$25=4,VLOOKUP($A38,'Henwood Reference'!$E$9:$R$320,10),(VLOOKUP($A38,PriceTableWeekend,3,0)+IF(BasisNumber&lt;&gt;1,VLOOKUP($A38,BasisTable,2,0),0)+M$1)/(1-M$2))</f>
        <v>34.993958040000003</v>
      </c>
      <c r="N38" s="156">
        <f>IF(Assumptions!$L$25=4,VLOOKUP($A38,'Henwood Reference'!$E$9:$R$320,10),(VLOOKUP($A38,PriceTableWeekend,4,0)+IF(BasisNumber&lt;&gt;1,VLOOKUP($A38,BasisTable,2,0),0)+N$1)/(1-N$2))</f>
        <v>34.993958040000003</v>
      </c>
      <c r="O38" s="154">
        <f>IF(Assumptions!$L$25=4,VLOOKUP($A38,'Henwood Reference'!$E$9:$R$320,11),(VLOOKUP($A38,PriceTableWeekend,6,0)+IF(BasisNumber&lt;&gt;1,VLOOKUP($A38,BasisTable,3,0),0)+O$1)/(1-O$2))</f>
        <v>23.27666112</v>
      </c>
      <c r="P38" s="154">
        <f>IF(Assumptions!$L$25=4,VLOOKUP($A38,'Henwood Reference'!$E$9:$R$320,11),(VLOOKUP($A38,PriceTableWeekend,7,0)+IF(BasisNumber&lt;&gt;1,VLOOKUP($A38,BasisTable,3,0),0)+P$1)/(1-P$2))</f>
        <v>23.27666112</v>
      </c>
      <c r="Q38" s="156">
        <f>IF(Assumptions!$L$25=4,VLOOKUP($A38,'Henwood Reference'!$E$9:$R$320,11),(VLOOKUP($A38,PriceTableWeekend,8,0)+IF(BasisNumber&lt;&gt;1,VLOOKUP($A38,BasisTable,3,0),0)+Q$1)/(1-Q$2))</f>
        <v>23.27666112</v>
      </c>
      <c r="R38" s="154">
        <f>IF(Assumptions!$L$25=4,VLOOKUP($A38,'Henwood Reference'!$E$9:$R$320,11),(VLOOKUP($A38,PriceTable,6,0)+IF(BasisNumber&lt;&gt;1,VLOOKUP($A38,BasisTable,3,0),0)+R$1)/(1-R$2))</f>
        <v>23.27666112</v>
      </c>
      <c r="S38" s="154">
        <f>IF(Assumptions!$L$25=4,VLOOKUP($A38,'Henwood Reference'!$E$9:$R$320,11),(VLOOKUP($A38,PriceTable,7,0)+IF(BasisNumber&lt;&gt;1,VLOOKUP($A38,BasisTable,3,0),0)+S$1)/(1-S$2))</f>
        <v>23.27666112</v>
      </c>
      <c r="T38" s="155">
        <f>IF(Assumptions!$L$25=4,VLOOKUP($A38,'Henwood Reference'!$E$9:$R$320,11),(VLOOKUP($A38,PriceTable,8,0)+IF(BasisNumber&lt;&gt;1,VLOOKUP($A38,BasisTable,3,0),0)+T$1)/(1-T$2))</f>
        <v>23.27666112</v>
      </c>
      <c r="U38" s="173">
        <f t="shared" si="92"/>
        <v>0.16</v>
      </c>
      <c r="V38" s="173">
        <f t="shared" si="93"/>
        <v>0.17</v>
      </c>
      <c r="W38" s="174">
        <f t="shared" si="94"/>
        <v>0.18</v>
      </c>
      <c r="X38" s="173">
        <f t="shared" si="95"/>
        <v>0.16</v>
      </c>
      <c r="Y38" s="173">
        <f t="shared" si="96"/>
        <v>0.17</v>
      </c>
      <c r="Z38" s="174">
        <f t="shared" si="97"/>
        <v>0.18</v>
      </c>
      <c r="AA38" s="173">
        <f t="shared" si="98"/>
        <v>0.09</v>
      </c>
      <c r="AB38" s="173">
        <f t="shared" si="99"/>
        <v>0.11</v>
      </c>
      <c r="AC38" s="174">
        <f t="shared" si="100"/>
        <v>0.13</v>
      </c>
      <c r="AD38" s="173">
        <f t="shared" si="101"/>
        <v>0.09</v>
      </c>
      <c r="AE38" s="173">
        <f t="shared" si="102"/>
        <v>0.11</v>
      </c>
      <c r="AF38" s="174">
        <f t="shared" si="103"/>
        <v>0.13</v>
      </c>
      <c r="AG38" s="173">
        <f t="shared" si="104"/>
        <v>-0.25</v>
      </c>
      <c r="AH38" s="173">
        <f t="shared" si="105"/>
        <v>0.65</v>
      </c>
      <c r="AI38" s="174">
        <f t="shared" si="106"/>
        <v>0.25</v>
      </c>
      <c r="AJ38" s="173">
        <f t="shared" si="107"/>
        <v>-0.25</v>
      </c>
      <c r="AK38" s="173">
        <f t="shared" si="108"/>
        <v>0.65</v>
      </c>
      <c r="AL38" s="174">
        <f t="shared" si="109"/>
        <v>0.25</v>
      </c>
      <c r="AM38" s="173">
        <f t="shared" si="110"/>
        <v>-0.01</v>
      </c>
      <c r="AN38" s="173">
        <f t="shared" si="111"/>
        <v>0.16</v>
      </c>
      <c r="AO38" s="174">
        <f t="shared" si="112"/>
        <v>0.01</v>
      </c>
      <c r="AP38" s="173">
        <f t="shared" si="113"/>
        <v>-0.01</v>
      </c>
      <c r="AQ38" s="173">
        <f t="shared" si="114"/>
        <v>0.16</v>
      </c>
      <c r="AR38" s="175">
        <f t="shared" si="115"/>
        <v>0.01</v>
      </c>
      <c r="AS38" s="521">
        <f t="shared" si="176"/>
        <v>0.5</v>
      </c>
      <c r="AT38" s="349">
        <f t="shared" si="117"/>
        <v>0</v>
      </c>
      <c r="AU38" s="159">
        <f t="shared" si="3"/>
        <v>0</v>
      </c>
      <c r="AV38" s="159">
        <f t="shared" si="4"/>
        <v>0</v>
      </c>
      <c r="AW38" s="159">
        <f t="shared" si="177"/>
        <v>0</v>
      </c>
      <c r="AX38" s="15">
        <f t="shared" si="119"/>
        <v>0</v>
      </c>
      <c r="AY38" s="607">
        <f>IF(E38="",0,MIN((1-(1-VLOOKUP(B38,MAIN!$AA$7:$AM$28,C38+1))*(1-VLOOKUP(B38,MAIN!$AA$33:$AM$54,C38+1))),1))</f>
        <v>0</v>
      </c>
      <c r="AZ38" s="259">
        <v>0</v>
      </c>
      <c r="BA38" s="263">
        <v>0</v>
      </c>
      <c r="BB38" s="263">
        <v>0</v>
      </c>
      <c r="BC38" s="510">
        <v>0</v>
      </c>
      <c r="BD38" s="512">
        <v>0</v>
      </c>
      <c r="BE38" s="513">
        <v>0</v>
      </c>
      <c r="BF38" s="513">
        <v>0</v>
      </c>
      <c r="BG38" s="514">
        <v>0</v>
      </c>
      <c r="BH38" s="261">
        <v>0</v>
      </c>
      <c r="BI38" s="263">
        <v>0</v>
      </c>
      <c r="BJ38" s="263">
        <v>0</v>
      </c>
      <c r="BK38" s="510">
        <v>0</v>
      </c>
      <c r="BL38" s="512">
        <v>0</v>
      </c>
      <c r="BM38" s="513">
        <v>0</v>
      </c>
      <c r="BN38" s="513">
        <v>0</v>
      </c>
      <c r="BO38" s="513">
        <v>0</v>
      </c>
      <c r="BP38" s="261">
        <f t="shared" si="120"/>
        <v>0</v>
      </c>
      <c r="BQ38" s="578">
        <f t="shared" si="121"/>
        <v>0</v>
      </c>
      <c r="BR38" s="259">
        <f t="shared" si="122"/>
        <v>0</v>
      </c>
      <c r="BS38" s="578">
        <f t="shared" si="123"/>
        <v>0</v>
      </c>
      <c r="BT38" s="216">
        <f t="shared" si="124"/>
        <v>1.8015058179329226</v>
      </c>
      <c r="BU38" s="218">
        <f t="shared" si="5"/>
        <v>0</v>
      </c>
      <c r="BV38" s="216">
        <f t="shared" si="6"/>
        <v>0</v>
      </c>
      <c r="BW38" s="216">
        <f t="shared" si="7"/>
        <v>0</v>
      </c>
      <c r="BX38" s="216">
        <f t="shared" si="125"/>
        <v>0</v>
      </c>
      <c r="BY38" s="216">
        <f t="shared" si="8"/>
        <v>0</v>
      </c>
      <c r="BZ38" s="216">
        <f t="shared" si="9"/>
        <v>0</v>
      </c>
      <c r="CA38" s="264">
        <f t="shared" si="10"/>
        <v>0</v>
      </c>
      <c r="CB38" s="216">
        <f t="shared" si="11"/>
        <v>0</v>
      </c>
      <c r="CC38" s="216">
        <f t="shared" si="12"/>
        <v>0</v>
      </c>
      <c r="CD38" s="216">
        <f t="shared" si="126"/>
        <v>0</v>
      </c>
      <c r="CE38" s="216">
        <f t="shared" si="13"/>
        <v>0</v>
      </c>
      <c r="CF38" s="571">
        <f t="shared" si="14"/>
        <v>0</v>
      </c>
      <c r="CG38" s="573" t="str">
        <f t="shared" si="15"/>
        <v/>
      </c>
      <c r="CH38" s="219" t="str">
        <f t="shared" si="16"/>
        <v/>
      </c>
      <c r="CI38" s="219" t="str">
        <f t="shared" si="17"/>
        <v/>
      </c>
      <c r="CJ38" s="219" t="str">
        <f t="shared" si="18"/>
        <v/>
      </c>
      <c r="CK38" s="219" t="str">
        <f t="shared" si="19"/>
        <v/>
      </c>
      <c r="CL38" s="219" t="str">
        <f t="shared" si="20"/>
        <v/>
      </c>
      <c r="CM38" s="219" t="str">
        <f t="shared" si="21"/>
        <v/>
      </c>
      <c r="CN38" s="569" t="str">
        <f t="shared" si="22"/>
        <v/>
      </c>
      <c r="CO38" s="264">
        <f t="shared" si="175"/>
        <v>0</v>
      </c>
      <c r="CP38" s="216">
        <f t="shared" si="127"/>
        <v>0</v>
      </c>
      <c r="CQ38" s="216">
        <f t="shared" si="128"/>
        <v>0</v>
      </c>
      <c r="CR38" s="216">
        <f t="shared" si="129"/>
        <v>0</v>
      </c>
      <c r="CS38" s="1626">
        <f t="shared" si="130"/>
        <v>0</v>
      </c>
      <c r="CT38" s="216">
        <f t="shared" si="131"/>
        <v>0</v>
      </c>
      <c r="CU38" s="575" t="str">
        <f t="shared" si="23"/>
        <v/>
      </c>
      <c r="CV38" s="154" t="str">
        <f t="shared" si="24"/>
        <v/>
      </c>
      <c r="CW38" s="216">
        <f>IF(OR($BQ38,$BS38),SpreadOptPowerMargin,0)*((1+Assumptions!$C$26)^($B38-YEAR(Assumptions!$C$17)))</f>
        <v>0</v>
      </c>
      <c r="CX38" s="216">
        <f>IF(OR($BQ38,$BS38),SpreadOptPowerMargin,0)*((1+Assumptions!$C$26)^($B38-YEAR(Assumptions!$C$17)))</f>
        <v>0</v>
      </c>
      <c r="CY38" s="216">
        <f>IF(OR($BQ38,$BS38),SpreadOptPowerMargin,0)*((1+Assumptions!$C$26)^($B38-YEAR(Assumptions!$C$17)))</f>
        <v>0</v>
      </c>
      <c r="CZ38" s="216">
        <f>IF(OR($BQ38,$BS38),SpreadOptPowerMargin,0)*((1+Assumptions!$C$26)^($B38-YEAR(Assumptions!$C$17)))</f>
        <v>0</v>
      </c>
      <c r="DA38" s="440">
        <f t="shared" si="25"/>
        <v>0</v>
      </c>
      <c r="DB38" s="479" t="str">
        <f t="shared" si="26"/>
        <v/>
      </c>
      <c r="DC38" s="479" t="str">
        <f t="shared" si="27"/>
        <v/>
      </c>
      <c r="DD38" s="479" t="str">
        <f t="shared" si="28"/>
        <v/>
      </c>
      <c r="DE38" s="479" t="str">
        <f t="shared" si="29"/>
        <v/>
      </c>
      <c r="DF38" s="479" t="str">
        <f t="shared" si="30"/>
        <v/>
      </c>
      <c r="DG38" s="574" t="str">
        <f t="shared" si="31"/>
        <v/>
      </c>
      <c r="DH38" s="216">
        <f t="shared" si="32"/>
        <v>0</v>
      </c>
      <c r="DI38" s="216">
        <f t="shared" si="33"/>
        <v>0</v>
      </c>
      <c r="DJ38" s="216">
        <f t="shared" si="34"/>
        <v>0</v>
      </c>
      <c r="DK38" s="216">
        <f t="shared" si="35"/>
        <v>0</v>
      </c>
      <c r="DL38" s="216">
        <f t="shared" si="36"/>
        <v>0</v>
      </c>
      <c r="DM38" s="216"/>
      <c r="DN38" s="216"/>
      <c r="DO38" s="216"/>
      <c r="DP38" s="216"/>
      <c r="DQ38" s="216"/>
      <c r="DR38" s="216"/>
      <c r="DS38" s="216"/>
      <c r="DT38" s="216"/>
      <c r="DU38" s="216"/>
      <c r="DV38" s="216"/>
      <c r="DW38" s="1371">
        <f t="shared" si="37"/>
        <v>0</v>
      </c>
      <c r="DX38" s="216">
        <f t="shared" si="38"/>
        <v>0</v>
      </c>
      <c r="DY38" s="440">
        <f t="shared" si="39"/>
        <v>0</v>
      </c>
      <c r="DZ38" s="180">
        <f t="shared" si="40"/>
        <v>0</v>
      </c>
      <c r="EA38" s="180">
        <f t="shared" si="41"/>
        <v>0</v>
      </c>
      <c r="EB38" s="180">
        <f t="shared" si="42"/>
        <v>0</v>
      </c>
      <c r="EC38" s="180">
        <f t="shared" si="43"/>
        <v>0</v>
      </c>
      <c r="ED38" s="180">
        <f t="shared" si="44"/>
        <v>0</v>
      </c>
      <c r="EE38" s="581">
        <f t="shared" si="45"/>
        <v>0</v>
      </c>
      <c r="EF38" s="554">
        <f t="shared" si="46"/>
        <v>0</v>
      </c>
      <c r="EG38" s="554">
        <f t="shared" si="47"/>
        <v>0</v>
      </c>
      <c r="EH38" s="554">
        <f t="shared" si="48"/>
        <v>0</v>
      </c>
      <c r="EI38" s="561">
        <f t="shared" si="49"/>
        <v>0</v>
      </c>
      <c r="EJ38" s="581">
        <f t="shared" si="132"/>
        <v>0</v>
      </c>
      <c r="EK38" s="554">
        <f t="shared" si="133"/>
        <v>0</v>
      </c>
      <c r="EL38" s="554">
        <f t="shared" si="134"/>
        <v>0</v>
      </c>
      <c r="EM38" s="554">
        <f t="shared" si="135"/>
        <v>0</v>
      </c>
      <c r="EN38" s="561">
        <f t="shared" si="136"/>
        <v>0</v>
      </c>
      <c r="EO38" s="180">
        <f t="shared" si="50"/>
        <v>0</v>
      </c>
      <c r="EP38" s="180">
        <f t="shared" si="51"/>
        <v>0</v>
      </c>
      <c r="EQ38" s="180">
        <f t="shared" si="52"/>
        <v>0</v>
      </c>
      <c r="ER38" s="180">
        <f t="shared" si="53"/>
        <v>0</v>
      </c>
      <c r="ES38" s="180">
        <f t="shared" si="54"/>
        <v>0</v>
      </c>
      <c r="ET38" s="1482">
        <f t="shared" si="55"/>
        <v>0</v>
      </c>
      <c r="EU38" s="180">
        <f t="shared" si="56"/>
        <v>0</v>
      </c>
      <c r="EV38" s="180">
        <f t="shared" si="57"/>
        <v>0</v>
      </c>
      <c r="EW38" s="180">
        <f t="shared" si="58"/>
        <v>0</v>
      </c>
      <c r="EX38" s="555">
        <f t="shared" si="59"/>
        <v>0</v>
      </c>
      <c r="EY38" s="180">
        <f t="shared" si="137"/>
        <v>0</v>
      </c>
      <c r="EZ38" s="180">
        <f t="shared" si="138"/>
        <v>0</v>
      </c>
      <c r="FA38" s="180">
        <f t="shared" si="139"/>
        <v>0</v>
      </c>
      <c r="FB38" s="180">
        <f t="shared" si="140"/>
        <v>0</v>
      </c>
      <c r="FC38" s="180">
        <f t="shared" si="141"/>
        <v>0</v>
      </c>
      <c r="FD38" s="262">
        <f>IF(AX38,IF(VLOOKUP(C38,MAIN!$L$17:$M$28,2)="Yes",VLOOKUP(CALC!B38,MAIN!$H$17:$I$20,2),0),0)</f>
        <v>0</v>
      </c>
      <c r="FE38" s="623">
        <f t="shared" si="60"/>
        <v>0</v>
      </c>
      <c r="FF38" s="535">
        <f t="shared" si="61"/>
        <v>0</v>
      </c>
      <c r="FG38" s="535">
        <f t="shared" si="62"/>
        <v>0</v>
      </c>
      <c r="FH38" s="624">
        <f t="shared" si="63"/>
        <v>0</v>
      </c>
      <c r="FI38" s="632">
        <f>IF(AX38,VLOOKUP(CALC!B38,MAIN!$H$17:$K$20,4),0)</f>
        <v>0</v>
      </c>
      <c r="FJ38" s="535">
        <f t="shared" si="64"/>
        <v>0</v>
      </c>
      <c r="FK38" s="648">
        <f t="shared" si="142"/>
        <v>0</v>
      </c>
      <c r="FL38" s="530">
        <f t="shared" si="143"/>
        <v>0</v>
      </c>
      <c r="FM38" s="530">
        <f t="shared" si="144"/>
        <v>0</v>
      </c>
      <c r="FN38" s="530">
        <f t="shared" si="145"/>
        <v>0</v>
      </c>
      <c r="FO38" s="622">
        <f t="shared" si="146"/>
        <v>0</v>
      </c>
      <c r="FP38" s="530">
        <f t="shared" si="147"/>
        <v>0</v>
      </c>
      <c r="FQ38" s="530">
        <f t="shared" si="148"/>
        <v>0</v>
      </c>
      <c r="FR38" s="530">
        <f t="shared" si="149"/>
        <v>0</v>
      </c>
      <c r="FS38" s="625">
        <f t="shared" si="150"/>
        <v>0</v>
      </c>
      <c r="FT38" s="640">
        <f>IF(AND(Assumptions!$H$71="Yes",A38&gt;=Assumptions!$H$72,A38&lt;=Assumptions!$H$73),0,IF(AND($A38&gt;=Assumptions!$C$17,$A38&lt;=Assumptions!$C$18),MAX(AZ38*(1+VLOOKUP($C38,WeatherCapacityAdjustment,2))-FL38,0),0))</f>
        <v>0</v>
      </c>
      <c r="FU38" s="530">
        <f>IF(AND(Assumptions!$H$71="Yes",A38&gt;=Assumptions!$H$72,A38&lt;=Assumptions!$H$73),0,IF(AND($A38&gt;=Assumptions!$C$17,$A38&lt;=Assumptions!$C$18),MAX(BA38*(1+VLOOKUP($C38,WeatherCapacityAdjustment,2))-FM38,0),0))</f>
        <v>0</v>
      </c>
      <c r="FV38" s="530">
        <f>IF(AND(Assumptions!$H$71="Yes",A38&gt;=Assumptions!$H$72,A38&lt;=Assumptions!$H$73),0,IF(AND($A38&gt;=Assumptions!$C$17,$A38&lt;=Assumptions!$C$18),MAX(BB38*(1+VLOOKUP($C38,WeatherCapacityAdjustment,2))-FN38,0),0))</f>
        <v>0</v>
      </c>
      <c r="FW38" s="622">
        <f>IF(AND(Assumptions!$H$71="Yes",A38&gt;=Assumptions!$H$72,A38&lt;=Assumptions!$H$73),0,IF(AND($A38&gt;=Assumptions!$C$17,$A38&lt;=Assumptions!$C$18),MAX(BC38*(1+VLOOKUP($C38,WeatherCapacityAdjustment,3))-FO38,0),0))</f>
        <v>0</v>
      </c>
      <c r="FX38" s="621">
        <f>IF(AND(Assumptions!$H$71="Yes",A38&gt;=Assumptions!$H$72,A38&lt;=Assumptions!$H$73),0,IF(ET38&gt;0,MAX(BH38*(1+VLOOKUP($C38,WeatherCapacityAdjustment,2))-FP38,0),0))</f>
        <v>0</v>
      </c>
      <c r="FY38" s="530">
        <f>IF(AND(Assumptions!$H$71="Yes",A38&gt;=Assumptions!$H$72,A38&lt;=Assumptions!$H$73),0,IF(EU38&gt;0,MAX(BI38*(1+VLOOKUP($C38,WeatherCapacityAdjustment,3))-FQ38,0),0))</f>
        <v>0</v>
      </c>
      <c r="FZ38" s="530">
        <f>IF(AND(Assumptions!$H$71="Yes",A38&gt;=Assumptions!$H$72,A38&lt;=Assumptions!$H$73),0,IF(EV38&gt;0,MAX(BJ38*(1+VLOOKUP($C38,WeatherCapacityAdjustment,2))-FR38,0),0))</f>
        <v>0</v>
      </c>
      <c r="GA38" s="622">
        <f>IF(AND(Assumptions!$H$71="Yes",A38&gt;=Assumptions!$H$72,A38&lt;=Assumptions!$H$73),0,IF(EW38&gt;0,MAX(BK38*(1+VLOOKUP($C38,WeatherCapacityAdjustment,2))-FS38,0),0))</f>
        <v>0</v>
      </c>
      <c r="GB38" s="530">
        <f t="shared" si="65"/>
        <v>0</v>
      </c>
      <c r="GC38" s="545">
        <f t="shared" si="66"/>
        <v>0</v>
      </c>
      <c r="GD38" s="530">
        <f t="shared" si="67"/>
        <v>0</v>
      </c>
      <c r="GE38" s="1485">
        <f t="shared" si="151"/>
        <v>0</v>
      </c>
      <c r="GF38" s="1776">
        <f t="shared" si="168"/>
        <v>0</v>
      </c>
      <c r="GG38" s="545">
        <f t="shared" si="169"/>
        <v>0</v>
      </c>
      <c r="GH38" s="622">
        <f t="shared" si="170"/>
        <v>0</v>
      </c>
      <c r="GI38" s="621">
        <f t="shared" si="152"/>
        <v>0</v>
      </c>
      <c r="GJ38" s="638">
        <f t="shared" si="68"/>
        <v>0</v>
      </c>
      <c r="GK38" s="625">
        <f t="shared" si="166"/>
        <v>0</v>
      </c>
      <c r="GL38" s="640">
        <f t="shared" si="171"/>
        <v>0</v>
      </c>
      <c r="GM38" s="530">
        <f t="shared" si="172"/>
        <v>0</v>
      </c>
      <c r="GN38" s="530">
        <f t="shared" si="173"/>
        <v>0</v>
      </c>
      <c r="GO38" s="622">
        <f t="shared" si="174"/>
        <v>0</v>
      </c>
      <c r="GP38" s="530">
        <f t="shared" si="73"/>
        <v>0</v>
      </c>
      <c r="GQ38" s="545">
        <f t="shared" si="74"/>
        <v>0</v>
      </c>
      <c r="GR38" s="625">
        <f t="shared" si="75"/>
        <v>0</v>
      </c>
      <c r="GS38" s="640">
        <f>IF($A38&gt;=BegDate,Assumptions!$C$56*24*($A39-$A38)*(1-VLOOKUP($B38,MAIN!$AA$7:$AM$28,$C38+1))*(1-VLOOKUP($B38,MAIN!$AA$33:$AM$54,$C38+1)),0)*80/168</f>
        <v>0</v>
      </c>
      <c r="GT38" s="1715">
        <f t="shared" si="153"/>
        <v>34.993958040000003</v>
      </c>
      <c r="GU38" s="1715">
        <f>IF($A38&gt;=BegDate,VLOOKUP($A38,GasTable,13)+Assumptions!$C$58,0)</f>
        <v>0</v>
      </c>
      <c r="GV38" s="1715">
        <f>GU38*Assumptions!$C$57/1000</f>
        <v>0</v>
      </c>
      <c r="GW38" s="625">
        <f>IF(Assumptions!$C$60="Hourly",MAX(0,GS38*(GT38-GV38)),GS38*(GT38-GV38))</f>
        <v>0</v>
      </c>
      <c r="GX38" s="640">
        <f>IF($A38&gt;=BegDate,Assumptions!$C$56*24*($A39-$A38)*(1-VLOOKUP($B38,MAIN!$AA$7:$AM$28,$C38+1))*(1-VLOOKUP($B38,MAIN!$AA$33:$AM$54,$C38+1)),0)*16/168</f>
        <v>0</v>
      </c>
      <c r="GY38" s="1715">
        <f t="shared" si="154"/>
        <v>34.993958040000003</v>
      </c>
      <c r="GZ38" s="1715">
        <f>IF($A38&gt;=BegDate,VLOOKUP($A38,GasTable,13)+Assumptions!$C$58,0)</f>
        <v>0</v>
      </c>
      <c r="HA38" s="1715">
        <f>GZ38*Assumptions!$C$57/1000</f>
        <v>0</v>
      </c>
      <c r="HB38" s="625">
        <f>IF(Assumptions!$C$60="Hourly",MAX(0,GX38*(GY38-HA38)),GX38*(GY38-HA38))</f>
        <v>0</v>
      </c>
      <c r="HC38" s="640">
        <f>IF($A38&gt;=BegDate,Assumptions!$C$56*24*($A39-$A38)*(1-VLOOKUP($B38,MAIN!$AA$7:$AM$28,$C38+1))*(1-VLOOKUP($B38,MAIN!$AA$33:$AM$54,$C38+1)),0)*16/168</f>
        <v>0</v>
      </c>
      <c r="HD38" s="1715">
        <f t="shared" si="155"/>
        <v>23.27666112</v>
      </c>
      <c r="HE38" s="1715">
        <f>IF($A38&gt;=BegDate,VLOOKUP($A38,GasTable,13)+Assumptions!$C$58,0)</f>
        <v>0</v>
      </c>
      <c r="HF38" s="1715">
        <f>HE38*Assumptions!$C$57/1000</f>
        <v>0</v>
      </c>
      <c r="HG38" s="625">
        <f>IF(Assumptions!$C$60="Hourly",MAX(0,HC38*(HD38-HF38)),HC38*(HD38-HF38))</f>
        <v>0</v>
      </c>
      <c r="HH38" s="640">
        <f>IF($A38&gt;=BegDate,Assumptions!$C$56*24*($A39-$A38)*(1-VLOOKUP($B38,MAIN!$AA$7:$AM$28,$C38+1))*(1-VLOOKUP($B38,MAIN!$AA$33:$AM$54,$C38+1)),0)*56/168</f>
        <v>0</v>
      </c>
      <c r="HI38" s="1715">
        <f t="shared" si="156"/>
        <v>23.27666112</v>
      </c>
      <c r="HJ38" s="1715">
        <f>IF($A38&gt;=BegDate,VLOOKUP($A38,GasTable,13)+Assumptions!$C$58,0)</f>
        <v>0</v>
      </c>
      <c r="HK38" s="1715">
        <f>HJ38*Assumptions!$C$57/1000</f>
        <v>0</v>
      </c>
      <c r="HL38" s="625">
        <f>IF(Assumptions!$C$60="Hourly",MAX(0,HH38*(HI38-HK38)),HH38*(HI38-HK38))</f>
        <v>0</v>
      </c>
      <c r="HM38" s="640">
        <f>IF(AND(Assumptions!$H$71="Yes",A38&gt;=Assumptions!$H$72,A38&lt;=Assumptions!$H$73),Assumptions!$H$74*Assumptions!$C$9*1000,0)</f>
        <v>0</v>
      </c>
      <c r="HN38" s="625"/>
      <c r="HO38" s="1414">
        <f t="shared" si="167"/>
        <v>2024</v>
      </c>
      <c r="HP38" s="640">
        <f t="shared" si="76"/>
        <v>0</v>
      </c>
      <c r="HQ38" s="154">
        <f t="shared" si="157"/>
        <v>0</v>
      </c>
      <c r="HR38" s="622">
        <f t="shared" si="77"/>
        <v>0</v>
      </c>
      <c r="HS38" s="621">
        <f t="shared" si="78"/>
        <v>0</v>
      </c>
      <c r="HT38" s="545">
        <f t="shared" si="158"/>
        <v>0</v>
      </c>
      <c r="HU38" s="530">
        <f t="shared" si="79"/>
        <v>0</v>
      </c>
      <c r="HV38" s="621">
        <f t="shared" si="159"/>
        <v>0</v>
      </c>
      <c r="HW38" s="530">
        <f t="shared" si="80"/>
        <v>0</v>
      </c>
      <c r="HX38" s="530">
        <f t="shared" si="81"/>
        <v>0</v>
      </c>
      <c r="HY38" s="530">
        <f>IF(Assumptions!$L$24="Yes",HW38+HX38,0)</f>
        <v>0</v>
      </c>
      <c r="HZ38" s="640">
        <f t="shared" si="160"/>
        <v>0</v>
      </c>
      <c r="IA38" s="545">
        <f t="shared" si="161"/>
        <v>0</v>
      </c>
      <c r="IB38" s="622">
        <f t="shared" si="82"/>
        <v>0</v>
      </c>
      <c r="IC38" s="621">
        <f t="shared" si="83"/>
        <v>0</v>
      </c>
      <c r="ID38" s="545">
        <f t="shared" si="162"/>
        <v>0</v>
      </c>
      <c r="IE38" s="622">
        <f t="shared" si="84"/>
        <v>0</v>
      </c>
      <c r="IF38" s="530">
        <f t="shared" si="85"/>
        <v>0</v>
      </c>
      <c r="IG38" s="545">
        <f t="shared" si="163"/>
        <v>0</v>
      </c>
      <c r="IH38" s="622">
        <f t="shared" si="86"/>
        <v>0</v>
      </c>
      <c r="II38" s="1645">
        <f>(SUMIF($B$17:$B$292,HO38,$GW$17:$GW$292)+SUMIF($B$17:$B$292,HO38,$HB$17:$HB$292)+SUMIF($B$17:$B$292,HO38,$HG$17:$HG$292)+SUMIF($B$17:$B$292,HO38,$HL$17:$HL$292))*Assumptions!$C$59</f>
        <v>0</v>
      </c>
      <c r="IJ38" s="1463">
        <f t="shared" si="164"/>
        <v>0</v>
      </c>
      <c r="IK38" s="1463"/>
    </row>
    <row r="39" spans="1:245">
      <c r="A39" s="177">
        <f t="shared" si="87"/>
        <v>37316</v>
      </c>
      <c r="B39" s="349">
        <f t="shared" si="88"/>
        <v>2002</v>
      </c>
      <c r="C39" s="15">
        <f t="shared" si="89"/>
        <v>3</v>
      </c>
      <c r="D39" s="612" t="str">
        <f t="shared" si="90"/>
        <v/>
      </c>
      <c r="E39" s="609" t="str">
        <f t="shared" si="91"/>
        <v/>
      </c>
      <c r="F39" s="614" t="str">
        <f t="shared" si="2"/>
        <v/>
      </c>
      <c r="G39" s="1349">
        <v>0</v>
      </c>
      <c r="H39" s="152">
        <f t="shared" si="165"/>
        <v>1</v>
      </c>
      <c r="I39" s="154">
        <f>IF(Assumptions!$L$25=4,VLOOKUP($A39,'Henwood Reference'!$E$9:$R$320,10),(VLOOKUP($A39,PriceTable,2,0)+IF(BasisNumber&lt;&gt;1,VLOOKUP($A39,BasisTable,2,0),0)+I$1)/(1-I$2))</f>
        <v>30.266484479999999</v>
      </c>
      <c r="J39" s="154">
        <f>IF(Assumptions!$L$25=4,VLOOKUP($A39,'Henwood Reference'!$E$9:$R$320,10),(VLOOKUP($A39,PriceTable,3,0)+IF(BasisNumber&lt;&gt;1,VLOOKUP($A39,BasisTable,2,0),0)+J$1)/(1-J$2))</f>
        <v>30.266484479999999</v>
      </c>
      <c r="K39" s="154">
        <f>IF(Assumptions!$L$25=4,VLOOKUP($A39,'Henwood Reference'!$E$9:$R$320,10),(VLOOKUP($A39,PriceTable,4,0)+IF(BasisNumber&lt;&gt;1,VLOOKUP($A39,BasisTable,2,0),0)+K$1)/(1-K$2))</f>
        <v>30.266484479999999</v>
      </c>
      <c r="L39" s="474">
        <f>IF(Assumptions!$L$25=4,VLOOKUP($A39,'Henwood Reference'!$E$9:$R$320,10),(VLOOKUP($A39,PriceTableWeekend,2,0)+IF(BasisNumber&lt;&gt;1,VLOOKUP($A39,BasisTable,2,0),0)+L$1)/(1-L$2))</f>
        <v>30.266484479999999</v>
      </c>
      <c r="M39" s="154">
        <f>IF(Assumptions!$L$25=4,VLOOKUP($A39,'Henwood Reference'!$E$9:$R$320,10),(VLOOKUP($A39,PriceTableWeekend,3,0)+IF(BasisNumber&lt;&gt;1,VLOOKUP($A39,BasisTable,2,0),0)+M$1)/(1-M$2))</f>
        <v>30.266484479999999</v>
      </c>
      <c r="N39" s="156">
        <f>IF(Assumptions!$L$25=4,VLOOKUP($A39,'Henwood Reference'!$E$9:$R$320,10),(VLOOKUP($A39,PriceTableWeekend,4,0)+IF(BasisNumber&lt;&gt;1,VLOOKUP($A39,BasisTable,2,0),0)+N$1)/(1-N$2))</f>
        <v>30.266484479999999</v>
      </c>
      <c r="O39" s="154">
        <f>IF(Assumptions!$L$25=4,VLOOKUP($A39,'Henwood Reference'!$E$9:$R$320,11),(VLOOKUP($A39,PriceTableWeekend,6,0)+IF(BasisNumber&lt;&gt;1,VLOOKUP($A39,BasisTable,3,0),0)+O$1)/(1-O$2))</f>
        <v>21.024299159999998</v>
      </c>
      <c r="P39" s="154">
        <f>IF(Assumptions!$L$25=4,VLOOKUP($A39,'Henwood Reference'!$E$9:$R$320,11),(VLOOKUP($A39,PriceTableWeekend,7,0)+IF(BasisNumber&lt;&gt;1,VLOOKUP($A39,BasisTable,3,0),0)+P$1)/(1-P$2))</f>
        <v>21.024299159999998</v>
      </c>
      <c r="Q39" s="156">
        <f>IF(Assumptions!$L$25=4,VLOOKUP($A39,'Henwood Reference'!$E$9:$R$320,11),(VLOOKUP($A39,PriceTableWeekend,8,0)+IF(BasisNumber&lt;&gt;1,VLOOKUP($A39,BasisTable,3,0),0)+Q$1)/(1-Q$2))</f>
        <v>21.024299159999998</v>
      </c>
      <c r="R39" s="154">
        <f>IF(Assumptions!$L$25=4,VLOOKUP($A39,'Henwood Reference'!$E$9:$R$320,11),(VLOOKUP($A39,PriceTable,6,0)+IF(BasisNumber&lt;&gt;1,VLOOKUP($A39,BasisTable,3,0),0)+R$1)/(1-R$2))</f>
        <v>21.024299159999998</v>
      </c>
      <c r="S39" s="154">
        <f>IF(Assumptions!$L$25=4,VLOOKUP($A39,'Henwood Reference'!$E$9:$R$320,11),(VLOOKUP($A39,PriceTable,7,0)+IF(BasisNumber&lt;&gt;1,VLOOKUP($A39,BasisTable,3,0),0)+S$1)/(1-S$2))</f>
        <v>21.024299159999998</v>
      </c>
      <c r="T39" s="155">
        <f>IF(Assumptions!$L$25=4,VLOOKUP($A39,'Henwood Reference'!$E$9:$R$320,11),(VLOOKUP($A39,PriceTable,8,0)+IF(BasisNumber&lt;&gt;1,VLOOKUP($A39,BasisTable,3,0),0)+T$1)/(1-T$2))</f>
        <v>21.024299159999998</v>
      </c>
      <c r="U39" s="173">
        <f t="shared" si="92"/>
        <v>0.16</v>
      </c>
      <c r="V39" s="173">
        <f t="shared" si="93"/>
        <v>0.17</v>
      </c>
      <c r="W39" s="174">
        <f t="shared" si="94"/>
        <v>0.18</v>
      </c>
      <c r="X39" s="173">
        <f t="shared" si="95"/>
        <v>0.16</v>
      </c>
      <c r="Y39" s="173">
        <f t="shared" si="96"/>
        <v>0.17</v>
      </c>
      <c r="Z39" s="174">
        <f t="shared" si="97"/>
        <v>0.18</v>
      </c>
      <c r="AA39" s="173">
        <f t="shared" si="98"/>
        <v>0.09</v>
      </c>
      <c r="AB39" s="173">
        <f t="shared" si="99"/>
        <v>0.11</v>
      </c>
      <c r="AC39" s="174">
        <f t="shared" si="100"/>
        <v>0.13</v>
      </c>
      <c r="AD39" s="173">
        <f t="shared" si="101"/>
        <v>0.09</v>
      </c>
      <c r="AE39" s="173">
        <f t="shared" si="102"/>
        <v>0.11</v>
      </c>
      <c r="AF39" s="174">
        <f t="shared" si="103"/>
        <v>0.13</v>
      </c>
      <c r="AG39" s="173">
        <f t="shared" si="104"/>
        <v>-0.1</v>
      </c>
      <c r="AH39" s="173">
        <f t="shared" si="105"/>
        <v>0.65</v>
      </c>
      <c r="AI39" s="174">
        <f t="shared" si="106"/>
        <v>0.1</v>
      </c>
      <c r="AJ39" s="173">
        <f t="shared" si="107"/>
        <v>-0.1</v>
      </c>
      <c r="AK39" s="173">
        <f t="shared" si="108"/>
        <v>0.65</v>
      </c>
      <c r="AL39" s="174">
        <f t="shared" si="109"/>
        <v>0.1</v>
      </c>
      <c r="AM39" s="173">
        <f t="shared" si="110"/>
        <v>-0.01</v>
      </c>
      <c r="AN39" s="173">
        <f t="shared" si="111"/>
        <v>0.16</v>
      </c>
      <c r="AO39" s="174">
        <f t="shared" si="112"/>
        <v>0.01</v>
      </c>
      <c r="AP39" s="173">
        <f t="shared" si="113"/>
        <v>-0.01</v>
      </c>
      <c r="AQ39" s="173">
        <f t="shared" si="114"/>
        <v>0.16</v>
      </c>
      <c r="AR39" s="175">
        <f t="shared" si="115"/>
        <v>0.01</v>
      </c>
      <c r="AS39" s="521">
        <f t="shared" si="176"/>
        <v>0.5</v>
      </c>
      <c r="AT39" s="349">
        <f t="shared" si="117"/>
        <v>0</v>
      </c>
      <c r="AU39" s="159">
        <f t="shared" si="3"/>
        <v>0</v>
      </c>
      <c r="AV39" s="159">
        <f t="shared" si="4"/>
        <v>0</v>
      </c>
      <c r="AW39" s="159">
        <f t="shared" si="177"/>
        <v>0</v>
      </c>
      <c r="AX39" s="15">
        <f t="shared" si="119"/>
        <v>0</v>
      </c>
      <c r="AY39" s="607">
        <f>IF(E39="",0,MIN((1-(1-VLOOKUP(B39,MAIN!$AA$7:$AM$28,C39+1))*(1-VLOOKUP(B39,MAIN!$AA$33:$AM$54,C39+1))),1))</f>
        <v>0</v>
      </c>
      <c r="AZ39" s="259">
        <v>0</v>
      </c>
      <c r="BA39" s="263">
        <v>0</v>
      </c>
      <c r="BB39" s="263">
        <v>0</v>
      </c>
      <c r="BC39" s="510">
        <v>0</v>
      </c>
      <c r="BD39" s="512">
        <v>0</v>
      </c>
      <c r="BE39" s="513">
        <v>0</v>
      </c>
      <c r="BF39" s="513">
        <v>0</v>
      </c>
      <c r="BG39" s="514">
        <v>0</v>
      </c>
      <c r="BH39" s="261">
        <v>0</v>
      </c>
      <c r="BI39" s="263">
        <v>0</v>
      </c>
      <c r="BJ39" s="263">
        <v>0</v>
      </c>
      <c r="BK39" s="510">
        <v>0</v>
      </c>
      <c r="BL39" s="512">
        <v>0</v>
      </c>
      <c r="BM39" s="513">
        <v>0</v>
      </c>
      <c r="BN39" s="513">
        <v>0</v>
      </c>
      <c r="BO39" s="513">
        <v>0</v>
      </c>
      <c r="BP39" s="261">
        <f t="shared" si="120"/>
        <v>0</v>
      </c>
      <c r="BQ39" s="578">
        <f t="shared" si="121"/>
        <v>0</v>
      </c>
      <c r="BR39" s="259">
        <f t="shared" si="122"/>
        <v>0</v>
      </c>
      <c r="BS39" s="578">
        <f t="shared" si="123"/>
        <v>0</v>
      </c>
      <c r="BT39" s="216">
        <f t="shared" si="124"/>
        <v>1.8781656399726214</v>
      </c>
      <c r="BU39" s="218">
        <f t="shared" si="5"/>
        <v>0</v>
      </c>
      <c r="BV39" s="216">
        <f t="shared" si="6"/>
        <v>0</v>
      </c>
      <c r="BW39" s="216">
        <f t="shared" si="7"/>
        <v>0</v>
      </c>
      <c r="BX39" s="216">
        <f t="shared" si="125"/>
        <v>0</v>
      </c>
      <c r="BY39" s="216">
        <f t="shared" si="8"/>
        <v>0</v>
      </c>
      <c r="BZ39" s="216">
        <f t="shared" si="9"/>
        <v>0</v>
      </c>
      <c r="CA39" s="264">
        <f t="shared" si="10"/>
        <v>0</v>
      </c>
      <c r="CB39" s="216">
        <f t="shared" si="11"/>
        <v>0</v>
      </c>
      <c r="CC39" s="216">
        <f t="shared" si="12"/>
        <v>0</v>
      </c>
      <c r="CD39" s="216">
        <f t="shared" si="126"/>
        <v>0</v>
      </c>
      <c r="CE39" s="216">
        <f t="shared" si="13"/>
        <v>0</v>
      </c>
      <c r="CF39" s="571">
        <f t="shared" si="14"/>
        <v>0</v>
      </c>
      <c r="CG39" s="573" t="str">
        <f t="shared" si="15"/>
        <v/>
      </c>
      <c r="CH39" s="219" t="str">
        <f t="shared" si="16"/>
        <v/>
      </c>
      <c r="CI39" s="219" t="str">
        <f t="shared" si="17"/>
        <v/>
      </c>
      <c r="CJ39" s="219" t="str">
        <f t="shared" si="18"/>
        <v/>
      </c>
      <c r="CK39" s="219" t="str">
        <f t="shared" si="19"/>
        <v/>
      </c>
      <c r="CL39" s="219" t="str">
        <f t="shared" si="20"/>
        <v/>
      </c>
      <c r="CM39" s="219" t="str">
        <f t="shared" si="21"/>
        <v/>
      </c>
      <c r="CN39" s="569" t="str">
        <f t="shared" si="22"/>
        <v/>
      </c>
      <c r="CO39" s="264">
        <f t="shared" si="175"/>
        <v>0</v>
      </c>
      <c r="CP39" s="216">
        <f t="shared" si="127"/>
        <v>0</v>
      </c>
      <c r="CQ39" s="216">
        <f t="shared" si="128"/>
        <v>0</v>
      </c>
      <c r="CR39" s="216">
        <f t="shared" si="129"/>
        <v>0</v>
      </c>
      <c r="CS39" s="1626">
        <f t="shared" si="130"/>
        <v>0</v>
      </c>
      <c r="CT39" s="216">
        <f t="shared" si="131"/>
        <v>0</v>
      </c>
      <c r="CU39" s="575" t="str">
        <f t="shared" si="23"/>
        <v/>
      </c>
      <c r="CV39" s="154" t="str">
        <f t="shared" si="24"/>
        <v/>
      </c>
      <c r="CW39" s="216">
        <f>IF(OR($BQ39,$BS39),SpreadOptPowerMargin,0)*((1+Assumptions!$C$26)^($B39-YEAR(Assumptions!$C$17)))</f>
        <v>0</v>
      </c>
      <c r="CX39" s="216">
        <f>IF(OR($BQ39,$BS39),SpreadOptPowerMargin,0)*((1+Assumptions!$C$26)^($B39-YEAR(Assumptions!$C$17)))</f>
        <v>0</v>
      </c>
      <c r="CY39" s="216">
        <f>IF(OR($BQ39,$BS39),SpreadOptPowerMargin,0)*((1+Assumptions!$C$26)^($B39-YEAR(Assumptions!$C$17)))</f>
        <v>0</v>
      </c>
      <c r="CZ39" s="216">
        <f>IF(OR($BQ39,$BS39),SpreadOptPowerMargin,0)*((1+Assumptions!$C$26)^($B39-YEAR(Assumptions!$C$17)))</f>
        <v>0</v>
      </c>
      <c r="DA39" s="440">
        <f t="shared" si="25"/>
        <v>0</v>
      </c>
      <c r="DB39" s="479" t="str">
        <f t="shared" si="26"/>
        <v/>
      </c>
      <c r="DC39" s="479" t="str">
        <f t="shared" si="27"/>
        <v/>
      </c>
      <c r="DD39" s="479" t="str">
        <f t="shared" si="28"/>
        <v/>
      </c>
      <c r="DE39" s="479" t="str">
        <f t="shared" si="29"/>
        <v/>
      </c>
      <c r="DF39" s="479" t="str">
        <f t="shared" si="30"/>
        <v/>
      </c>
      <c r="DG39" s="574" t="str">
        <f t="shared" si="31"/>
        <v/>
      </c>
      <c r="DH39" s="216">
        <f t="shared" si="32"/>
        <v>0</v>
      </c>
      <c r="DI39" s="216">
        <f t="shared" si="33"/>
        <v>0</v>
      </c>
      <c r="DJ39" s="216">
        <f t="shared" si="34"/>
        <v>0</v>
      </c>
      <c r="DK39" s="216">
        <f t="shared" si="35"/>
        <v>0</v>
      </c>
      <c r="DL39" s="216">
        <f t="shared" si="36"/>
        <v>0</v>
      </c>
      <c r="DM39" s="216"/>
      <c r="DN39" s="216"/>
      <c r="DO39" s="216"/>
      <c r="DP39" s="216"/>
      <c r="DQ39" s="216"/>
      <c r="DR39" s="216"/>
      <c r="DS39" s="216"/>
      <c r="DT39" s="216"/>
      <c r="DU39" s="216"/>
      <c r="DV39" s="216"/>
      <c r="DW39" s="1371">
        <f t="shared" si="37"/>
        <v>0</v>
      </c>
      <c r="DX39" s="216">
        <f t="shared" si="38"/>
        <v>0</v>
      </c>
      <c r="DY39" s="440">
        <f t="shared" si="39"/>
        <v>0</v>
      </c>
      <c r="DZ39" s="180">
        <f t="shared" si="40"/>
        <v>0</v>
      </c>
      <c r="EA39" s="180">
        <f t="shared" si="41"/>
        <v>0</v>
      </c>
      <c r="EB39" s="180">
        <f t="shared" si="42"/>
        <v>0</v>
      </c>
      <c r="EC39" s="180">
        <f t="shared" si="43"/>
        <v>0</v>
      </c>
      <c r="ED39" s="180">
        <f t="shared" si="44"/>
        <v>0</v>
      </c>
      <c r="EE39" s="581">
        <f t="shared" si="45"/>
        <v>0</v>
      </c>
      <c r="EF39" s="554">
        <f t="shared" si="46"/>
        <v>0</v>
      </c>
      <c r="EG39" s="554">
        <f t="shared" si="47"/>
        <v>0</v>
      </c>
      <c r="EH39" s="554">
        <f t="shared" si="48"/>
        <v>0</v>
      </c>
      <c r="EI39" s="561">
        <f t="shared" si="49"/>
        <v>0</v>
      </c>
      <c r="EJ39" s="581">
        <f t="shared" si="132"/>
        <v>0</v>
      </c>
      <c r="EK39" s="554">
        <f t="shared" si="133"/>
        <v>0</v>
      </c>
      <c r="EL39" s="554">
        <f t="shared" si="134"/>
        <v>0</v>
      </c>
      <c r="EM39" s="554">
        <f t="shared" si="135"/>
        <v>0</v>
      </c>
      <c r="EN39" s="561">
        <f t="shared" si="136"/>
        <v>0</v>
      </c>
      <c r="EO39" s="180">
        <f t="shared" si="50"/>
        <v>0</v>
      </c>
      <c r="EP39" s="180">
        <f t="shared" si="51"/>
        <v>0</v>
      </c>
      <c r="EQ39" s="180">
        <f t="shared" si="52"/>
        <v>0</v>
      </c>
      <c r="ER39" s="180">
        <f t="shared" si="53"/>
        <v>0</v>
      </c>
      <c r="ES39" s="180">
        <f t="shared" si="54"/>
        <v>0</v>
      </c>
      <c r="ET39" s="1482">
        <f t="shared" si="55"/>
        <v>0</v>
      </c>
      <c r="EU39" s="180">
        <f t="shared" si="56"/>
        <v>0</v>
      </c>
      <c r="EV39" s="180">
        <f t="shared" si="57"/>
        <v>0</v>
      </c>
      <c r="EW39" s="180">
        <f t="shared" si="58"/>
        <v>0</v>
      </c>
      <c r="EX39" s="555">
        <f>IF(BS39,IF(OVolType,IF(OCallPut,IF(CF39&gt;(CT39+DA39),CF39-(CT39+DA39),0),IF((CT39+DA39)&gt;CF39,(CT39+DA39)-CF39,0))*BS39,SUM(ET39:EW39)),0)</f>
        <v>0</v>
      </c>
      <c r="EY39" s="180">
        <f t="shared" si="137"/>
        <v>0</v>
      </c>
      <c r="EZ39" s="180">
        <f t="shared" si="138"/>
        <v>0</v>
      </c>
      <c r="FA39" s="180">
        <f t="shared" si="139"/>
        <v>0</v>
      </c>
      <c r="FB39" s="180">
        <f t="shared" si="140"/>
        <v>0</v>
      </c>
      <c r="FC39" s="180">
        <f t="shared" si="141"/>
        <v>0</v>
      </c>
      <c r="FD39" s="262">
        <f>IF(AX39,IF(VLOOKUP(C39,MAIN!$L$17:$M$28,2)="Yes",VLOOKUP(CALC!B39,MAIN!$H$17:$I$20,2),0),0)</f>
        <v>0</v>
      </c>
      <c r="FE39" s="623">
        <f t="shared" si="60"/>
        <v>0</v>
      </c>
      <c r="FF39" s="535">
        <f t="shared" si="61"/>
        <v>0</v>
      </c>
      <c r="FG39" s="535">
        <f t="shared" si="62"/>
        <v>0</v>
      </c>
      <c r="FH39" s="624">
        <f t="shared" si="63"/>
        <v>0</v>
      </c>
      <c r="FI39" s="632">
        <f>IF(AX39,VLOOKUP(CALC!B39,MAIN!$H$17:$K$20,4),0)</f>
        <v>0</v>
      </c>
      <c r="FJ39" s="535">
        <f t="shared" si="64"/>
        <v>0</v>
      </c>
      <c r="FK39" s="648">
        <f t="shared" si="142"/>
        <v>0</v>
      </c>
      <c r="FL39" s="530">
        <f t="shared" si="143"/>
        <v>0</v>
      </c>
      <c r="FM39" s="530">
        <f t="shared" si="144"/>
        <v>0</v>
      </c>
      <c r="FN39" s="530">
        <f t="shared" si="145"/>
        <v>0</v>
      </c>
      <c r="FO39" s="622">
        <f t="shared" si="146"/>
        <v>0</v>
      </c>
      <c r="FP39" s="530">
        <f t="shared" si="147"/>
        <v>0</v>
      </c>
      <c r="FQ39" s="530">
        <f t="shared" si="148"/>
        <v>0</v>
      </c>
      <c r="FR39" s="530">
        <f t="shared" si="149"/>
        <v>0</v>
      </c>
      <c r="FS39" s="625">
        <f t="shared" si="150"/>
        <v>0</v>
      </c>
      <c r="FT39" s="640">
        <f>IF(AND(Assumptions!$H$71="Yes",A39&gt;=Assumptions!$H$72,A39&lt;=Assumptions!$H$73),0,IF(AND($A39&gt;=Assumptions!$C$17,$A39&lt;=Assumptions!$C$18),MAX(AZ39*(1+VLOOKUP($C39,WeatherCapacityAdjustment,2))-FL39,0),0))</f>
        <v>0</v>
      </c>
      <c r="FU39" s="530">
        <f>IF(AND(Assumptions!$H$71="Yes",A39&gt;=Assumptions!$H$72,A39&lt;=Assumptions!$H$73),0,IF(AND($A39&gt;=Assumptions!$C$17,$A39&lt;=Assumptions!$C$18),MAX(BA39*(1+VLOOKUP($C39,WeatherCapacityAdjustment,2))-FM39,0),0))</f>
        <v>0</v>
      </c>
      <c r="FV39" s="530">
        <f>IF(AND(Assumptions!$H$71="Yes",A39&gt;=Assumptions!$H$72,A39&lt;=Assumptions!$H$73),0,IF(AND($A39&gt;=Assumptions!$C$17,$A39&lt;=Assumptions!$C$18),MAX(BB39*(1+VLOOKUP($C39,WeatherCapacityAdjustment,2))-FN39,0),0))</f>
        <v>0</v>
      </c>
      <c r="FW39" s="622">
        <f>IF(AND(Assumptions!$H$71="Yes",A39&gt;=Assumptions!$H$72,A39&lt;=Assumptions!$H$73),0,IF(AND($A39&gt;=Assumptions!$C$17,$A39&lt;=Assumptions!$C$18),MAX(BC39*(1+VLOOKUP($C39,WeatherCapacityAdjustment,3))-FO39,0),0))</f>
        <v>0</v>
      </c>
      <c r="FX39" s="621">
        <f>IF(AND(Assumptions!$H$71="Yes",A39&gt;=Assumptions!$H$72,A39&lt;=Assumptions!$H$73),0,IF(ET39&gt;0,MAX(BH39*(1+VLOOKUP($C39,WeatherCapacityAdjustment,2))-FP39,0),0))</f>
        <v>0</v>
      </c>
      <c r="FY39" s="530">
        <f>IF(AND(Assumptions!$H$71="Yes",A39&gt;=Assumptions!$H$72,A39&lt;=Assumptions!$H$73),0,IF(EU39&gt;0,MAX(BI39*(1+VLOOKUP($C39,WeatherCapacityAdjustment,3))-FQ39,0),0))</f>
        <v>0</v>
      </c>
      <c r="FZ39" s="530">
        <f>IF(AND(Assumptions!$H$71="Yes",A39&gt;=Assumptions!$H$72,A39&lt;=Assumptions!$H$73),0,IF(EV39&gt;0,MAX(BJ39*(1+VLOOKUP($C39,WeatherCapacityAdjustment,2))-FR39,0),0))</f>
        <v>0</v>
      </c>
      <c r="GA39" s="622">
        <f>IF(AND(Assumptions!$H$71="Yes",A39&gt;=Assumptions!$H$72,A39&lt;=Assumptions!$H$73),0,IF(EW39&gt;0,MAX(BK39*(1+VLOOKUP($C39,WeatherCapacityAdjustment,2))-FS39,0),0))</f>
        <v>0</v>
      </c>
      <c r="GB39" s="530">
        <f t="shared" si="65"/>
        <v>0</v>
      </c>
      <c r="GC39" s="545">
        <f t="shared" si="66"/>
        <v>0</v>
      </c>
      <c r="GD39" s="530">
        <f t="shared" si="67"/>
        <v>0</v>
      </c>
      <c r="GE39" s="1485">
        <f t="shared" si="151"/>
        <v>0</v>
      </c>
      <c r="GF39" s="1776">
        <f t="shared" si="168"/>
        <v>0</v>
      </c>
      <c r="GG39" s="545">
        <f t="shared" si="169"/>
        <v>0</v>
      </c>
      <c r="GH39" s="622">
        <f t="shared" si="170"/>
        <v>0</v>
      </c>
      <c r="GI39" s="621">
        <f t="shared" si="152"/>
        <v>0</v>
      </c>
      <c r="GJ39" s="638">
        <f t="shared" si="68"/>
        <v>0</v>
      </c>
      <c r="GK39" s="625">
        <f t="shared" si="166"/>
        <v>0</v>
      </c>
      <c r="GL39" s="640">
        <f t="shared" si="171"/>
        <v>0</v>
      </c>
      <c r="GM39" s="530">
        <f t="shared" si="172"/>
        <v>0</v>
      </c>
      <c r="GN39" s="530">
        <f t="shared" si="173"/>
        <v>0</v>
      </c>
      <c r="GO39" s="622">
        <f t="shared" si="174"/>
        <v>0</v>
      </c>
      <c r="GP39" s="530">
        <f t="shared" si="73"/>
        <v>0</v>
      </c>
      <c r="GQ39" s="545">
        <f t="shared" si="74"/>
        <v>0</v>
      </c>
      <c r="GR39" s="625">
        <f t="shared" si="75"/>
        <v>0</v>
      </c>
      <c r="GS39" s="640">
        <f>IF($A39&gt;=BegDate,Assumptions!$C$56*24*($A40-$A39)*(1-VLOOKUP($B39,MAIN!$AA$7:$AM$28,$C39+1))*(1-VLOOKUP($B39,MAIN!$AA$33:$AM$54,$C39+1)),0)*80/168</f>
        <v>0</v>
      </c>
      <c r="GT39" s="1715">
        <f t="shared" si="153"/>
        <v>30.266484479999999</v>
      </c>
      <c r="GU39" s="1715">
        <f>IF($A39&gt;=BegDate,VLOOKUP($A39,GasTable,13)+Assumptions!$C$58,0)</f>
        <v>0</v>
      </c>
      <c r="GV39" s="1715">
        <f>GU39*Assumptions!$C$57/1000</f>
        <v>0</v>
      </c>
      <c r="GW39" s="625">
        <f>IF(Assumptions!$C$60="Hourly",MAX(0,GS39*(GT39-GV39)),GS39*(GT39-GV39))</f>
        <v>0</v>
      </c>
      <c r="GX39" s="640">
        <f>IF($A39&gt;=BegDate,Assumptions!$C$56*24*($A40-$A39)*(1-VLOOKUP($B39,MAIN!$AA$7:$AM$28,$C39+1))*(1-VLOOKUP($B39,MAIN!$AA$33:$AM$54,$C39+1)),0)*16/168</f>
        <v>0</v>
      </c>
      <c r="GY39" s="1715">
        <f t="shared" si="154"/>
        <v>30.266484479999999</v>
      </c>
      <c r="GZ39" s="1715">
        <f>IF($A39&gt;=BegDate,VLOOKUP($A39,GasTable,13)+Assumptions!$C$58,0)</f>
        <v>0</v>
      </c>
      <c r="HA39" s="1715">
        <f>GZ39*Assumptions!$C$57/1000</f>
        <v>0</v>
      </c>
      <c r="HB39" s="625">
        <f>IF(Assumptions!$C$60="Hourly",MAX(0,GX39*(GY39-HA39)),GX39*(GY39-HA39))</f>
        <v>0</v>
      </c>
      <c r="HC39" s="640">
        <f>IF($A39&gt;=BegDate,Assumptions!$C$56*24*($A40-$A39)*(1-VLOOKUP($B39,MAIN!$AA$7:$AM$28,$C39+1))*(1-VLOOKUP($B39,MAIN!$AA$33:$AM$54,$C39+1)),0)*16/168</f>
        <v>0</v>
      </c>
      <c r="HD39" s="1715">
        <f t="shared" si="155"/>
        <v>21.024299159999998</v>
      </c>
      <c r="HE39" s="1715">
        <f>IF($A39&gt;=BegDate,VLOOKUP($A39,GasTable,13)+Assumptions!$C$58,0)</f>
        <v>0</v>
      </c>
      <c r="HF39" s="1715">
        <f>HE39*Assumptions!$C$57/1000</f>
        <v>0</v>
      </c>
      <c r="HG39" s="625">
        <f>IF(Assumptions!$C$60="Hourly",MAX(0,HC39*(HD39-HF39)),HC39*(HD39-HF39))</f>
        <v>0</v>
      </c>
      <c r="HH39" s="640">
        <f>IF($A39&gt;=BegDate,Assumptions!$C$56*24*($A40-$A39)*(1-VLOOKUP($B39,MAIN!$AA$7:$AM$28,$C39+1))*(1-VLOOKUP($B39,MAIN!$AA$33:$AM$54,$C39+1)),0)*56/168</f>
        <v>0</v>
      </c>
      <c r="HI39" s="1715">
        <f t="shared" si="156"/>
        <v>21.024299159999998</v>
      </c>
      <c r="HJ39" s="1715">
        <f>IF($A39&gt;=BegDate,VLOOKUP($A39,GasTable,13)+Assumptions!$C$58,0)</f>
        <v>0</v>
      </c>
      <c r="HK39" s="1715">
        <f>HJ39*Assumptions!$C$57/1000</f>
        <v>0</v>
      </c>
      <c r="HL39" s="625">
        <f>IF(Assumptions!$C$60="Hourly",MAX(0,HH39*(HI39-HK39)),HH39*(HI39-HK39))</f>
        <v>0</v>
      </c>
      <c r="HM39" s="640">
        <f>IF(AND(Assumptions!$H$71="Yes",A39&gt;=Assumptions!$H$72,A39&lt;=Assumptions!$H$73),Assumptions!$H$74*Assumptions!$C$9*1000,0)</f>
        <v>0</v>
      </c>
      <c r="HN39" s="625"/>
      <c r="HO39" s="1414">
        <f t="shared" si="167"/>
        <v>2025</v>
      </c>
      <c r="HP39" s="640">
        <f t="shared" si="76"/>
        <v>0</v>
      </c>
      <c r="HQ39" s="154">
        <f t="shared" si="157"/>
        <v>0</v>
      </c>
      <c r="HR39" s="622">
        <f t="shared" si="77"/>
        <v>0</v>
      </c>
      <c r="HS39" s="621">
        <f t="shared" si="78"/>
        <v>0</v>
      </c>
      <c r="HT39" s="545">
        <f t="shared" si="158"/>
        <v>0</v>
      </c>
      <c r="HU39" s="530">
        <f t="shared" si="79"/>
        <v>0</v>
      </c>
      <c r="HV39" s="621">
        <f t="shared" si="159"/>
        <v>0</v>
      </c>
      <c r="HW39" s="530">
        <f t="shared" si="80"/>
        <v>0</v>
      </c>
      <c r="HX39" s="530">
        <f t="shared" si="81"/>
        <v>0</v>
      </c>
      <c r="HY39" s="530">
        <f>IF(Assumptions!$L$24="Yes",HW39+HX39,0)</f>
        <v>0</v>
      </c>
      <c r="HZ39" s="640">
        <f t="shared" si="160"/>
        <v>0</v>
      </c>
      <c r="IA39" s="545">
        <f t="shared" si="161"/>
        <v>0</v>
      </c>
      <c r="IB39" s="622">
        <f t="shared" si="82"/>
        <v>0</v>
      </c>
      <c r="IC39" s="621">
        <f t="shared" si="83"/>
        <v>0</v>
      </c>
      <c r="ID39" s="545">
        <f t="shared" si="162"/>
        <v>0</v>
      </c>
      <c r="IE39" s="622">
        <f t="shared" si="84"/>
        <v>0</v>
      </c>
      <c r="IF39" s="530">
        <f t="shared" si="85"/>
        <v>0</v>
      </c>
      <c r="IG39" s="545">
        <f t="shared" si="163"/>
        <v>0</v>
      </c>
      <c r="IH39" s="622">
        <f t="shared" si="86"/>
        <v>0</v>
      </c>
      <c r="II39" s="1645">
        <f>(SUMIF($B$17:$B$292,HO39,$GW$17:$GW$292)+SUMIF($B$17:$B$292,HO39,$HB$17:$HB$292)+SUMIF($B$17:$B$292,HO39,$HG$17:$HG$292)+SUMIF($B$17:$B$292,HO39,$HL$17:$HL$292))*Assumptions!$C$59</f>
        <v>0</v>
      </c>
      <c r="IJ39" s="1463">
        <f t="shared" si="164"/>
        <v>0</v>
      </c>
      <c r="IK39" s="1463"/>
    </row>
    <row r="40" spans="1:245" ht="13.5" thickBot="1">
      <c r="A40" s="177">
        <f t="shared" si="87"/>
        <v>37347</v>
      </c>
      <c r="B40" s="349">
        <f t="shared" si="88"/>
        <v>2002</v>
      </c>
      <c r="C40" s="15">
        <f t="shared" si="89"/>
        <v>4</v>
      </c>
      <c r="D40" s="612" t="str">
        <f t="shared" si="90"/>
        <v/>
      </c>
      <c r="E40" s="609" t="str">
        <f t="shared" si="91"/>
        <v/>
      </c>
      <c r="F40" s="614" t="str">
        <f t="shared" si="2"/>
        <v/>
      </c>
      <c r="G40" s="1349">
        <v>0</v>
      </c>
      <c r="H40" s="152">
        <f t="shared" si="165"/>
        <v>1</v>
      </c>
      <c r="I40" s="154">
        <f>IF(Assumptions!$L$25=4,VLOOKUP($A40,'Henwood Reference'!$E$9:$R$320,10),(VLOOKUP($A40,PriceTable,2,0)+IF(BasisNumber&lt;&gt;1,VLOOKUP($A40,BasisTable,2,0),0)+I$1)/(1-I$2))</f>
        <v>28.434027959999998</v>
      </c>
      <c r="J40" s="154">
        <f>IF(Assumptions!$L$25=4,VLOOKUP($A40,'Henwood Reference'!$E$9:$R$320,10),(VLOOKUP($A40,PriceTable,3,0)+IF(BasisNumber&lt;&gt;1,VLOOKUP($A40,BasisTable,2,0),0)+J$1)/(1-J$2))</f>
        <v>28.434027959999998</v>
      </c>
      <c r="K40" s="154">
        <f>IF(Assumptions!$L$25=4,VLOOKUP($A40,'Henwood Reference'!$E$9:$R$320,10),(VLOOKUP($A40,PriceTable,4,0)+IF(BasisNumber&lt;&gt;1,VLOOKUP($A40,BasisTable,2,0),0)+K$1)/(1-K$2))</f>
        <v>28.434027959999998</v>
      </c>
      <c r="L40" s="474">
        <f>IF(Assumptions!$L$25=4,VLOOKUP($A40,'Henwood Reference'!$E$9:$R$320,10),(VLOOKUP($A40,PriceTableWeekend,2,0)+IF(BasisNumber&lt;&gt;1,VLOOKUP($A40,BasisTable,2,0),0)+L$1)/(1-L$2))</f>
        <v>28.434027959999998</v>
      </c>
      <c r="M40" s="154">
        <f>IF(Assumptions!$L$25=4,VLOOKUP($A40,'Henwood Reference'!$E$9:$R$320,10),(VLOOKUP($A40,PriceTableWeekend,3,0)+IF(BasisNumber&lt;&gt;1,VLOOKUP($A40,BasisTable,2,0),0)+M$1)/(1-M$2))</f>
        <v>28.434027959999998</v>
      </c>
      <c r="N40" s="156">
        <f>IF(Assumptions!$L$25=4,VLOOKUP($A40,'Henwood Reference'!$E$9:$R$320,10),(VLOOKUP($A40,PriceTableWeekend,4,0)+IF(BasisNumber&lt;&gt;1,VLOOKUP($A40,BasisTable,2,0),0)+N$1)/(1-N$2))</f>
        <v>28.434027959999998</v>
      </c>
      <c r="O40" s="154">
        <f>IF(Assumptions!$L$25=4,VLOOKUP($A40,'Henwood Reference'!$E$9:$R$320,11),(VLOOKUP($A40,PriceTableWeekend,6,0)+IF(BasisNumber&lt;&gt;1,VLOOKUP($A40,BasisTable,3,0),0)+O$1)/(1-O$2))</f>
        <v>19.144816559999999</v>
      </c>
      <c r="P40" s="154">
        <f>IF(Assumptions!$L$25=4,VLOOKUP($A40,'Henwood Reference'!$E$9:$R$320,11),(VLOOKUP($A40,PriceTableWeekend,7,0)+IF(BasisNumber&lt;&gt;1,VLOOKUP($A40,BasisTable,3,0),0)+P$1)/(1-P$2))</f>
        <v>19.144816559999999</v>
      </c>
      <c r="Q40" s="156">
        <f>IF(Assumptions!$L$25=4,VLOOKUP($A40,'Henwood Reference'!$E$9:$R$320,11),(VLOOKUP($A40,PriceTableWeekend,8,0)+IF(BasisNumber&lt;&gt;1,VLOOKUP($A40,BasisTable,3,0),0)+Q$1)/(1-Q$2))</f>
        <v>19.144816559999999</v>
      </c>
      <c r="R40" s="154">
        <f>IF(Assumptions!$L$25=4,VLOOKUP($A40,'Henwood Reference'!$E$9:$R$320,11),(VLOOKUP($A40,PriceTable,6,0)+IF(BasisNumber&lt;&gt;1,VLOOKUP($A40,BasisTable,3,0),0)+R$1)/(1-R$2))</f>
        <v>19.144816559999999</v>
      </c>
      <c r="S40" s="154">
        <f>IF(Assumptions!$L$25=4,VLOOKUP($A40,'Henwood Reference'!$E$9:$R$320,11),(VLOOKUP($A40,PriceTable,7,0)+IF(BasisNumber&lt;&gt;1,VLOOKUP($A40,BasisTable,3,0),0)+S$1)/(1-S$2))</f>
        <v>19.144816559999999</v>
      </c>
      <c r="T40" s="155">
        <f>IF(Assumptions!$L$25=4,VLOOKUP($A40,'Henwood Reference'!$E$9:$R$320,11),(VLOOKUP($A40,PriceTable,8,0)+IF(BasisNumber&lt;&gt;1,VLOOKUP($A40,BasisTable,3,0),0)+T$1)/(1-T$2))</f>
        <v>19.144816559999999</v>
      </c>
      <c r="U40" s="173">
        <f t="shared" si="92"/>
        <v>0.16</v>
      </c>
      <c r="V40" s="173">
        <f t="shared" si="93"/>
        <v>0.17</v>
      </c>
      <c r="W40" s="174">
        <f t="shared" si="94"/>
        <v>0.18</v>
      </c>
      <c r="X40" s="173">
        <f t="shared" si="95"/>
        <v>0.16</v>
      </c>
      <c r="Y40" s="173">
        <f t="shared" si="96"/>
        <v>0.17</v>
      </c>
      <c r="Z40" s="174">
        <f t="shared" si="97"/>
        <v>0.18</v>
      </c>
      <c r="AA40" s="173">
        <f t="shared" si="98"/>
        <v>0.09</v>
      </c>
      <c r="AB40" s="173">
        <f t="shared" si="99"/>
        <v>0.11</v>
      </c>
      <c r="AC40" s="174">
        <f t="shared" si="100"/>
        <v>0.13</v>
      </c>
      <c r="AD40" s="173">
        <f t="shared" si="101"/>
        <v>0.09</v>
      </c>
      <c r="AE40" s="173">
        <f t="shared" si="102"/>
        <v>0.11</v>
      </c>
      <c r="AF40" s="174">
        <f t="shared" si="103"/>
        <v>0.13</v>
      </c>
      <c r="AG40" s="173">
        <f t="shared" si="104"/>
        <v>-0.1</v>
      </c>
      <c r="AH40" s="173">
        <f t="shared" si="105"/>
        <v>0.65</v>
      </c>
      <c r="AI40" s="174">
        <f t="shared" si="106"/>
        <v>0.1</v>
      </c>
      <c r="AJ40" s="173">
        <f t="shared" si="107"/>
        <v>-0.1</v>
      </c>
      <c r="AK40" s="173">
        <f t="shared" si="108"/>
        <v>0.65</v>
      </c>
      <c r="AL40" s="174">
        <f t="shared" si="109"/>
        <v>0.1</v>
      </c>
      <c r="AM40" s="173">
        <f t="shared" si="110"/>
        <v>-0.01</v>
      </c>
      <c r="AN40" s="173">
        <f t="shared" si="111"/>
        <v>0.16</v>
      </c>
      <c r="AO40" s="174">
        <f t="shared" si="112"/>
        <v>0.01</v>
      </c>
      <c r="AP40" s="173">
        <f t="shared" si="113"/>
        <v>-0.01</v>
      </c>
      <c r="AQ40" s="173">
        <f t="shared" si="114"/>
        <v>0.16</v>
      </c>
      <c r="AR40" s="175">
        <f t="shared" si="115"/>
        <v>0.01</v>
      </c>
      <c r="AS40" s="521">
        <f t="shared" si="176"/>
        <v>0.5</v>
      </c>
      <c r="AT40" s="349">
        <f t="shared" si="117"/>
        <v>0</v>
      </c>
      <c r="AU40" s="159">
        <f t="shared" si="3"/>
        <v>0</v>
      </c>
      <c r="AV40" s="159">
        <f t="shared" si="4"/>
        <v>0</v>
      </c>
      <c r="AW40" s="159">
        <f t="shared" si="177"/>
        <v>0</v>
      </c>
      <c r="AX40" s="15">
        <f t="shared" si="119"/>
        <v>0</v>
      </c>
      <c r="AY40" s="607">
        <f>IF(E40="",0,MIN((1-(1-VLOOKUP(B40,MAIN!$AA$7:$AM$28,C40+1))*(1-VLOOKUP(B40,MAIN!$AA$33:$AM$54,C40+1))),1))</f>
        <v>0</v>
      </c>
      <c r="AZ40" s="259">
        <v>0</v>
      </c>
      <c r="BA40" s="263">
        <v>0</v>
      </c>
      <c r="BB40" s="263">
        <v>0</v>
      </c>
      <c r="BC40" s="510">
        <v>0</v>
      </c>
      <c r="BD40" s="512">
        <v>0</v>
      </c>
      <c r="BE40" s="513">
        <v>0</v>
      </c>
      <c r="BF40" s="513">
        <v>0</v>
      </c>
      <c r="BG40" s="514">
        <v>0</v>
      </c>
      <c r="BH40" s="261">
        <v>0</v>
      </c>
      <c r="BI40" s="263">
        <v>0</v>
      </c>
      <c r="BJ40" s="263">
        <v>0</v>
      </c>
      <c r="BK40" s="510">
        <v>0</v>
      </c>
      <c r="BL40" s="512">
        <v>0</v>
      </c>
      <c r="BM40" s="513">
        <v>0</v>
      </c>
      <c r="BN40" s="513">
        <v>0</v>
      </c>
      <c r="BO40" s="513">
        <v>0</v>
      </c>
      <c r="BP40" s="261">
        <f t="shared" si="120"/>
        <v>0</v>
      </c>
      <c r="BQ40" s="578">
        <f t="shared" si="121"/>
        <v>0</v>
      </c>
      <c r="BR40" s="259">
        <f t="shared" si="122"/>
        <v>0</v>
      </c>
      <c r="BS40" s="578">
        <f t="shared" si="123"/>
        <v>0</v>
      </c>
      <c r="BT40" s="216">
        <f t="shared" si="124"/>
        <v>1.9630390143737166</v>
      </c>
      <c r="BU40" s="218">
        <f t="shared" si="5"/>
        <v>0</v>
      </c>
      <c r="BV40" s="216">
        <f t="shared" si="6"/>
        <v>0</v>
      </c>
      <c r="BW40" s="216">
        <f t="shared" si="7"/>
        <v>0</v>
      </c>
      <c r="BX40" s="216">
        <f t="shared" si="125"/>
        <v>0</v>
      </c>
      <c r="BY40" s="216">
        <f t="shared" si="8"/>
        <v>0</v>
      </c>
      <c r="BZ40" s="216">
        <f t="shared" si="9"/>
        <v>0</v>
      </c>
      <c r="CA40" s="264">
        <f t="shared" si="10"/>
        <v>0</v>
      </c>
      <c r="CB40" s="216">
        <f t="shared" si="11"/>
        <v>0</v>
      </c>
      <c r="CC40" s="216">
        <f t="shared" si="12"/>
        <v>0</v>
      </c>
      <c r="CD40" s="216">
        <f t="shared" si="126"/>
        <v>0</v>
      </c>
      <c r="CE40" s="216">
        <f t="shared" si="13"/>
        <v>0</v>
      </c>
      <c r="CF40" s="571">
        <f t="shared" si="14"/>
        <v>0</v>
      </c>
      <c r="CG40" s="573" t="str">
        <f t="shared" si="15"/>
        <v/>
      </c>
      <c r="CH40" s="219" t="str">
        <f t="shared" si="16"/>
        <v/>
      </c>
      <c r="CI40" s="219" t="str">
        <f t="shared" si="17"/>
        <v/>
      </c>
      <c r="CJ40" s="219" t="str">
        <f t="shared" si="18"/>
        <v/>
      </c>
      <c r="CK40" s="219" t="str">
        <f t="shared" si="19"/>
        <v/>
      </c>
      <c r="CL40" s="219" t="str">
        <f t="shared" si="20"/>
        <v/>
      </c>
      <c r="CM40" s="219" t="str">
        <f t="shared" si="21"/>
        <v/>
      </c>
      <c r="CN40" s="569" t="str">
        <f t="shared" si="22"/>
        <v/>
      </c>
      <c r="CO40" s="264">
        <f t="shared" si="175"/>
        <v>0</v>
      </c>
      <c r="CP40" s="216">
        <f t="shared" si="127"/>
        <v>0</v>
      </c>
      <c r="CQ40" s="216">
        <f t="shared" si="128"/>
        <v>0</v>
      </c>
      <c r="CR40" s="216">
        <f t="shared" si="129"/>
        <v>0</v>
      </c>
      <c r="CS40" s="1626">
        <f t="shared" si="130"/>
        <v>0</v>
      </c>
      <c r="CT40" s="216">
        <f t="shared" si="131"/>
        <v>0</v>
      </c>
      <c r="CU40" s="575" t="str">
        <f t="shared" si="23"/>
        <v/>
      </c>
      <c r="CV40" s="154" t="str">
        <f t="shared" si="24"/>
        <v/>
      </c>
      <c r="CW40" s="216">
        <f>IF(OR($BQ40,$BS40),SpreadOptPowerMargin,0)*((1+Assumptions!$C$26)^($B40-YEAR(Assumptions!$C$17)))</f>
        <v>0</v>
      </c>
      <c r="CX40" s="216">
        <f>IF(OR($BQ40,$BS40),SpreadOptPowerMargin,0)*((1+Assumptions!$C$26)^($B40-YEAR(Assumptions!$C$17)))</f>
        <v>0</v>
      </c>
      <c r="CY40" s="216">
        <f>IF(OR($BQ40,$BS40),SpreadOptPowerMargin,0)*((1+Assumptions!$C$26)^($B40-YEAR(Assumptions!$C$17)))</f>
        <v>0</v>
      </c>
      <c r="CZ40" s="216">
        <f>IF(OR($BQ40,$BS40),SpreadOptPowerMargin,0)*((1+Assumptions!$C$26)^($B40-YEAR(Assumptions!$C$17)))</f>
        <v>0</v>
      </c>
      <c r="DA40" s="440">
        <f t="shared" si="25"/>
        <v>0</v>
      </c>
      <c r="DB40" s="479" t="str">
        <f t="shared" si="26"/>
        <v/>
      </c>
      <c r="DC40" s="479" t="str">
        <f t="shared" si="27"/>
        <v/>
      </c>
      <c r="DD40" s="479" t="str">
        <f t="shared" si="28"/>
        <v/>
      </c>
      <c r="DE40" s="479" t="str">
        <f t="shared" si="29"/>
        <v/>
      </c>
      <c r="DF40" s="479" t="str">
        <f t="shared" si="30"/>
        <v/>
      </c>
      <c r="DG40" s="574" t="str">
        <f t="shared" si="31"/>
        <v/>
      </c>
      <c r="DH40" s="216">
        <f t="shared" si="32"/>
        <v>0</v>
      </c>
      <c r="DI40" s="216">
        <f t="shared" si="33"/>
        <v>0</v>
      </c>
      <c r="DJ40" s="216">
        <f t="shared" si="34"/>
        <v>0</v>
      </c>
      <c r="DK40" s="216">
        <f t="shared" si="35"/>
        <v>0</v>
      </c>
      <c r="DL40" s="216">
        <f t="shared" si="36"/>
        <v>0</v>
      </c>
      <c r="DM40" s="216"/>
      <c r="DN40" s="216"/>
      <c r="DO40" s="216"/>
      <c r="DP40" s="216"/>
      <c r="DQ40" s="216"/>
      <c r="DR40" s="216"/>
      <c r="DS40" s="216"/>
      <c r="DT40" s="216"/>
      <c r="DU40" s="216"/>
      <c r="DV40" s="216"/>
      <c r="DW40" s="1371">
        <f t="shared" si="37"/>
        <v>0</v>
      </c>
      <c r="DX40" s="216">
        <f t="shared" si="38"/>
        <v>0</v>
      </c>
      <c r="DY40" s="440">
        <f t="shared" si="39"/>
        <v>0</v>
      </c>
      <c r="DZ40" s="180">
        <f t="shared" si="40"/>
        <v>0</v>
      </c>
      <c r="EA40" s="180">
        <f t="shared" si="41"/>
        <v>0</v>
      </c>
      <c r="EB40" s="180">
        <f t="shared" si="42"/>
        <v>0</v>
      </c>
      <c r="EC40" s="180">
        <f t="shared" si="43"/>
        <v>0</v>
      </c>
      <c r="ED40" s="180">
        <f t="shared" si="44"/>
        <v>0</v>
      </c>
      <c r="EE40" s="581">
        <f t="shared" si="45"/>
        <v>0</v>
      </c>
      <c r="EF40" s="554">
        <f t="shared" si="46"/>
        <v>0</v>
      </c>
      <c r="EG40" s="554">
        <f t="shared" si="47"/>
        <v>0</v>
      </c>
      <c r="EH40" s="554">
        <f t="shared" si="48"/>
        <v>0</v>
      </c>
      <c r="EI40" s="561">
        <f t="shared" si="49"/>
        <v>0</v>
      </c>
      <c r="EJ40" s="581">
        <f t="shared" si="132"/>
        <v>0</v>
      </c>
      <c r="EK40" s="554">
        <f t="shared" si="133"/>
        <v>0</v>
      </c>
      <c r="EL40" s="554">
        <f t="shared" si="134"/>
        <v>0</v>
      </c>
      <c r="EM40" s="554">
        <f t="shared" si="135"/>
        <v>0</v>
      </c>
      <c r="EN40" s="561">
        <f t="shared" si="136"/>
        <v>0</v>
      </c>
      <c r="EO40" s="180">
        <f t="shared" si="50"/>
        <v>0</v>
      </c>
      <c r="EP40" s="180">
        <f t="shared" si="51"/>
        <v>0</v>
      </c>
      <c r="EQ40" s="180">
        <f t="shared" si="52"/>
        <v>0</v>
      </c>
      <c r="ER40" s="180">
        <f t="shared" si="53"/>
        <v>0</v>
      </c>
      <c r="ES40" s="180">
        <f t="shared" si="54"/>
        <v>0</v>
      </c>
      <c r="ET40" s="1482">
        <f t="shared" si="55"/>
        <v>0</v>
      </c>
      <c r="EU40" s="180">
        <f t="shared" si="56"/>
        <v>0</v>
      </c>
      <c r="EV40" s="180">
        <f t="shared" si="57"/>
        <v>0</v>
      </c>
      <c r="EW40" s="180">
        <f t="shared" si="58"/>
        <v>0</v>
      </c>
      <c r="EX40" s="555">
        <f>IF(BS40,IF(OVolType,IF(OCallPut,IF(CF40&gt;(CT40+DA40),CF40-(CT40+DA40),0),IF((CT40+DA40)&gt;CF40,(CT40+DA40)-CF40,0))*BS40,SUM(ET40:EW40)),0)</f>
        <v>0</v>
      </c>
      <c r="EY40" s="180">
        <f t="shared" si="137"/>
        <v>0</v>
      </c>
      <c r="EZ40" s="180">
        <f t="shared" si="138"/>
        <v>0</v>
      </c>
      <c r="FA40" s="180">
        <f t="shared" si="139"/>
        <v>0</v>
      </c>
      <c r="FB40" s="180">
        <f t="shared" si="140"/>
        <v>0</v>
      </c>
      <c r="FC40" s="180">
        <f t="shared" si="141"/>
        <v>0</v>
      </c>
      <c r="FD40" s="262">
        <f>IF(AX40,IF(VLOOKUP(C40,MAIN!$L$17:$M$28,2)="Yes",VLOOKUP(CALC!B40,MAIN!$H$17:$I$20,2),0),0)</f>
        <v>0</v>
      </c>
      <c r="FE40" s="623">
        <f t="shared" si="60"/>
        <v>0</v>
      </c>
      <c r="FF40" s="535">
        <f t="shared" si="61"/>
        <v>0</v>
      </c>
      <c r="FG40" s="535">
        <f t="shared" si="62"/>
        <v>0</v>
      </c>
      <c r="FH40" s="624">
        <f t="shared" si="63"/>
        <v>0</v>
      </c>
      <c r="FI40" s="632">
        <f>IF(AX40,VLOOKUP(CALC!B40,MAIN!$H$17:$K$20,4),0)</f>
        <v>0</v>
      </c>
      <c r="FJ40" s="535">
        <f t="shared" si="64"/>
        <v>0</v>
      </c>
      <c r="FK40" s="648">
        <f t="shared" si="142"/>
        <v>0</v>
      </c>
      <c r="FL40" s="530">
        <f t="shared" si="143"/>
        <v>0</v>
      </c>
      <c r="FM40" s="530">
        <f t="shared" si="144"/>
        <v>0</v>
      </c>
      <c r="FN40" s="530">
        <f t="shared" si="145"/>
        <v>0</v>
      </c>
      <c r="FO40" s="622">
        <f t="shared" si="146"/>
        <v>0</v>
      </c>
      <c r="FP40" s="530">
        <f t="shared" si="147"/>
        <v>0</v>
      </c>
      <c r="FQ40" s="530">
        <f t="shared" si="148"/>
        <v>0</v>
      </c>
      <c r="FR40" s="530">
        <f t="shared" si="149"/>
        <v>0</v>
      </c>
      <c r="FS40" s="625">
        <f t="shared" si="150"/>
        <v>0</v>
      </c>
      <c r="FT40" s="640">
        <f>IF(AND(Assumptions!$H$71="Yes",A40&gt;=Assumptions!$H$72,A40&lt;=Assumptions!$H$73),0,IF(AND($A40&gt;=Assumptions!$C$17,$A40&lt;=Assumptions!$C$18),MAX(AZ40*(1+VLOOKUP($C40,WeatherCapacityAdjustment,2))-FL40,0),0))</f>
        <v>0</v>
      </c>
      <c r="FU40" s="530">
        <f>IF(AND(Assumptions!$H$71="Yes",A40&gt;=Assumptions!$H$72,A40&lt;=Assumptions!$H$73),0,IF(AND($A40&gt;=Assumptions!$C$17,$A40&lt;=Assumptions!$C$18),MAX(BA40*(1+VLOOKUP($C40,WeatherCapacityAdjustment,2))-FM40,0),0))</f>
        <v>0</v>
      </c>
      <c r="FV40" s="530">
        <f>IF(AND(Assumptions!$H$71="Yes",A40&gt;=Assumptions!$H$72,A40&lt;=Assumptions!$H$73),0,IF(AND($A40&gt;=Assumptions!$C$17,$A40&lt;=Assumptions!$C$18),MAX(BB40*(1+VLOOKUP($C40,WeatherCapacityAdjustment,2))-FN40,0),0))</f>
        <v>0</v>
      </c>
      <c r="FW40" s="622">
        <f>IF(AND(Assumptions!$H$71="Yes",A40&gt;=Assumptions!$H$72,A40&lt;=Assumptions!$H$73),0,IF(AND($A40&gt;=Assumptions!$C$17,$A40&lt;=Assumptions!$C$18),MAX(BC40*(1+VLOOKUP($C40,WeatherCapacityAdjustment,3))-FO40,0),0))</f>
        <v>0</v>
      </c>
      <c r="FX40" s="621">
        <f>IF(AND(Assumptions!$H$71="Yes",A40&gt;=Assumptions!$H$72,A40&lt;=Assumptions!$H$73),0,IF(ET40&gt;0,MAX(BH40*(1+VLOOKUP($C40,WeatherCapacityAdjustment,2))-FP40,0),0))</f>
        <v>0</v>
      </c>
      <c r="FY40" s="530">
        <f>IF(AND(Assumptions!$H$71="Yes",A40&gt;=Assumptions!$H$72,A40&lt;=Assumptions!$H$73),0,IF(EU40&gt;0,MAX(BI40*(1+VLOOKUP($C40,WeatherCapacityAdjustment,3))-FQ40,0),0))</f>
        <v>0</v>
      </c>
      <c r="FZ40" s="530">
        <f>IF(AND(Assumptions!$H$71="Yes",A40&gt;=Assumptions!$H$72,A40&lt;=Assumptions!$H$73),0,IF(EV40&gt;0,MAX(BJ40*(1+VLOOKUP($C40,WeatherCapacityAdjustment,2))-FR40,0),0))</f>
        <v>0</v>
      </c>
      <c r="GA40" s="622">
        <f>IF(AND(Assumptions!$H$71="Yes",A40&gt;=Assumptions!$H$72,A40&lt;=Assumptions!$H$73),0,IF(EW40&gt;0,MAX(BK40*(1+VLOOKUP($C40,WeatherCapacityAdjustment,2))-FS40,0),0))</f>
        <v>0</v>
      </c>
      <c r="GB40" s="530">
        <f t="shared" si="65"/>
        <v>0</v>
      </c>
      <c r="GC40" s="545">
        <f t="shared" si="66"/>
        <v>0</v>
      </c>
      <c r="GD40" s="530">
        <f t="shared" si="67"/>
        <v>0</v>
      </c>
      <c r="GE40" s="1485">
        <f t="shared" si="151"/>
        <v>0</v>
      </c>
      <c r="GF40" s="1776">
        <f t="shared" si="168"/>
        <v>0</v>
      </c>
      <c r="GG40" s="545">
        <f t="shared" si="169"/>
        <v>0</v>
      </c>
      <c r="GH40" s="622">
        <f t="shared" si="170"/>
        <v>0</v>
      </c>
      <c r="GI40" s="621">
        <f t="shared" si="152"/>
        <v>0</v>
      </c>
      <c r="GJ40" s="638">
        <f t="shared" si="68"/>
        <v>0</v>
      </c>
      <c r="GK40" s="625">
        <f t="shared" si="166"/>
        <v>0</v>
      </c>
      <c r="GL40" s="640">
        <f t="shared" si="171"/>
        <v>0</v>
      </c>
      <c r="GM40" s="530">
        <f t="shared" si="172"/>
        <v>0</v>
      </c>
      <c r="GN40" s="530">
        <f t="shared" si="173"/>
        <v>0</v>
      </c>
      <c r="GO40" s="622">
        <f t="shared" si="174"/>
        <v>0</v>
      </c>
      <c r="GP40" s="530">
        <f t="shared" si="73"/>
        <v>0</v>
      </c>
      <c r="GQ40" s="545">
        <f t="shared" si="74"/>
        <v>0</v>
      </c>
      <c r="GR40" s="625">
        <f t="shared" si="75"/>
        <v>0</v>
      </c>
      <c r="GS40" s="640">
        <f>IF($A40&gt;=BegDate,Assumptions!$C$56*24*($A41-$A40)*(1-VLOOKUP($B40,MAIN!$AA$7:$AM$28,$C40+1))*(1-VLOOKUP($B40,MAIN!$AA$33:$AM$54,$C40+1)),0)*80/168</f>
        <v>0</v>
      </c>
      <c r="GT40" s="1715">
        <f t="shared" si="153"/>
        <v>28.434027959999998</v>
      </c>
      <c r="GU40" s="1715">
        <f>IF($A40&gt;=BegDate,VLOOKUP($A40,GasTable,13)+Assumptions!$C$58,0)</f>
        <v>0</v>
      </c>
      <c r="GV40" s="1715">
        <f>GU40*Assumptions!$C$57/1000</f>
        <v>0</v>
      </c>
      <c r="GW40" s="625">
        <f>IF(Assumptions!$C$60="Hourly",MAX(0,GS40*(GT40-GV40)),GS40*(GT40-GV40))</f>
        <v>0</v>
      </c>
      <c r="GX40" s="640">
        <f>IF($A40&gt;=BegDate,Assumptions!$C$56*24*($A41-$A40)*(1-VLOOKUP($B40,MAIN!$AA$7:$AM$28,$C40+1))*(1-VLOOKUP($B40,MAIN!$AA$33:$AM$54,$C40+1)),0)*16/168</f>
        <v>0</v>
      </c>
      <c r="GY40" s="1715">
        <f t="shared" si="154"/>
        <v>28.434027959999998</v>
      </c>
      <c r="GZ40" s="1715">
        <f>IF($A40&gt;=BegDate,VLOOKUP($A40,GasTable,13)+Assumptions!$C$58,0)</f>
        <v>0</v>
      </c>
      <c r="HA40" s="1715">
        <f>GZ40*Assumptions!$C$57/1000</f>
        <v>0</v>
      </c>
      <c r="HB40" s="625">
        <f>IF(Assumptions!$C$60="Hourly",MAX(0,GX40*(GY40-HA40)),GX40*(GY40-HA40))</f>
        <v>0</v>
      </c>
      <c r="HC40" s="640">
        <f>IF($A40&gt;=BegDate,Assumptions!$C$56*24*($A41-$A40)*(1-VLOOKUP($B40,MAIN!$AA$7:$AM$28,$C40+1))*(1-VLOOKUP($B40,MAIN!$AA$33:$AM$54,$C40+1)),0)*16/168</f>
        <v>0</v>
      </c>
      <c r="HD40" s="1715">
        <f t="shared" si="155"/>
        <v>19.144816559999999</v>
      </c>
      <c r="HE40" s="1715">
        <f>IF($A40&gt;=BegDate,VLOOKUP($A40,GasTable,13)+Assumptions!$C$58,0)</f>
        <v>0</v>
      </c>
      <c r="HF40" s="1715">
        <f>HE40*Assumptions!$C$57/1000</f>
        <v>0</v>
      </c>
      <c r="HG40" s="625">
        <f>IF(Assumptions!$C$60="Hourly",MAX(0,HC40*(HD40-HF40)),HC40*(HD40-HF40))</f>
        <v>0</v>
      </c>
      <c r="HH40" s="640">
        <f>IF($A40&gt;=BegDate,Assumptions!$C$56*24*($A41-$A40)*(1-VLOOKUP($B40,MAIN!$AA$7:$AM$28,$C40+1))*(1-VLOOKUP($B40,MAIN!$AA$33:$AM$54,$C40+1)),0)*56/168</f>
        <v>0</v>
      </c>
      <c r="HI40" s="1715">
        <f t="shared" si="156"/>
        <v>19.144816559999999</v>
      </c>
      <c r="HJ40" s="1715">
        <f>IF($A40&gt;=BegDate,VLOOKUP($A40,GasTable,13)+Assumptions!$C$58,0)</f>
        <v>0</v>
      </c>
      <c r="HK40" s="1715">
        <f>HJ40*Assumptions!$C$57/1000</f>
        <v>0</v>
      </c>
      <c r="HL40" s="625">
        <f>IF(Assumptions!$C$60="Hourly",MAX(0,HH40*(HI40-HK40)),HH40*(HI40-HK40))</f>
        <v>0</v>
      </c>
      <c r="HM40" s="640">
        <f>IF(AND(Assumptions!$H$71="Yes",A40&gt;=Assumptions!$H$72,A40&lt;=Assumptions!$H$73),Assumptions!$H$74*Assumptions!$C$9*1000,0)</f>
        <v>0</v>
      </c>
      <c r="HN40" s="625"/>
      <c r="HO40" s="1586">
        <f t="shared" si="167"/>
        <v>2026</v>
      </c>
      <c r="HP40" s="641">
        <f t="shared" si="76"/>
        <v>0</v>
      </c>
      <c r="HQ40" s="570">
        <f t="shared" si="157"/>
        <v>0</v>
      </c>
      <c r="HR40" s="627">
        <f t="shared" si="77"/>
        <v>0</v>
      </c>
      <c r="HS40" s="626">
        <f t="shared" si="78"/>
        <v>0</v>
      </c>
      <c r="HT40" s="546">
        <f t="shared" si="158"/>
        <v>0</v>
      </c>
      <c r="HU40" s="543">
        <f t="shared" si="79"/>
        <v>0</v>
      </c>
      <c r="HV40" s="626">
        <f t="shared" si="159"/>
        <v>0</v>
      </c>
      <c r="HW40" s="543">
        <f t="shared" si="80"/>
        <v>0</v>
      </c>
      <c r="HX40" s="543">
        <f t="shared" si="81"/>
        <v>0</v>
      </c>
      <c r="HY40" s="628">
        <f>IF(Assumptions!$L$24="Yes",HW40+HX40,0)</f>
        <v>0</v>
      </c>
      <c r="HZ40" s="641">
        <f t="shared" si="160"/>
        <v>0</v>
      </c>
      <c r="IA40" s="546">
        <f t="shared" si="161"/>
        <v>0</v>
      </c>
      <c r="IB40" s="627">
        <f t="shared" si="82"/>
        <v>0</v>
      </c>
      <c r="IC40" s="626">
        <f t="shared" si="83"/>
        <v>0</v>
      </c>
      <c r="ID40" s="546">
        <f t="shared" si="162"/>
        <v>0</v>
      </c>
      <c r="IE40" s="627">
        <f t="shared" si="84"/>
        <v>0</v>
      </c>
      <c r="IF40" s="543">
        <f t="shared" si="85"/>
        <v>0</v>
      </c>
      <c r="IG40" s="546">
        <f t="shared" si="163"/>
        <v>0</v>
      </c>
      <c r="IH40" s="627">
        <f t="shared" si="86"/>
        <v>0</v>
      </c>
      <c r="II40" s="1790">
        <f>(SUMIF($B$17:$B$292,HO40,$GW$17:$GW$292)+SUMIF($B$17:$B$292,HO40,$HB$17:$HB$292)+SUMIF($B$17:$B$292,HO40,$HG$17:$HG$292)+SUMIF($B$17:$B$292,HO40,$HL$17:$HL$292))*Assumptions!$C$59</f>
        <v>0</v>
      </c>
      <c r="IJ40" s="1463">
        <f t="shared" si="164"/>
        <v>0</v>
      </c>
      <c r="IK40" s="1463"/>
    </row>
    <row r="41" spans="1:245">
      <c r="A41" s="177">
        <f t="shared" si="87"/>
        <v>37377</v>
      </c>
      <c r="B41" s="349">
        <f t="shared" si="88"/>
        <v>2002</v>
      </c>
      <c r="C41" s="15">
        <f t="shared" si="89"/>
        <v>5</v>
      </c>
      <c r="D41" s="612" t="str">
        <f t="shared" si="90"/>
        <v/>
      </c>
      <c r="E41" s="609" t="str">
        <f t="shared" si="91"/>
        <v/>
      </c>
      <c r="F41" s="614" t="str">
        <f t="shared" si="2"/>
        <v/>
      </c>
      <c r="G41" s="1349">
        <v>0</v>
      </c>
      <c r="H41" s="152">
        <f t="shared" si="165"/>
        <v>1</v>
      </c>
      <c r="I41" s="154">
        <f>IF(Assumptions!$L$25=4,VLOOKUP($A41,'Henwood Reference'!$E$9:$R$320,10),(VLOOKUP($A41,PriceTable,2,0)+IF(BasisNumber&lt;&gt;1,VLOOKUP($A41,BasisTable,2,0),0)+I$1)/(1-I$2))</f>
        <v>28.633576679999997</v>
      </c>
      <c r="J41" s="154">
        <f>IF(Assumptions!$L$25=4,VLOOKUP($A41,'Henwood Reference'!$E$9:$R$320,10),(VLOOKUP($A41,PriceTable,3,0)+IF(BasisNumber&lt;&gt;1,VLOOKUP($A41,BasisTable,2,0),0)+J$1)/(1-J$2))</f>
        <v>28.633576679999997</v>
      </c>
      <c r="K41" s="154">
        <f>IF(Assumptions!$L$25=4,VLOOKUP($A41,'Henwood Reference'!$E$9:$R$320,10),(VLOOKUP($A41,PriceTable,4,0)+IF(BasisNumber&lt;&gt;1,VLOOKUP($A41,BasisTable,2,0),0)+K$1)/(1-K$2))</f>
        <v>28.633576679999997</v>
      </c>
      <c r="L41" s="474">
        <f>IF(Assumptions!$L$25=4,VLOOKUP($A41,'Henwood Reference'!$E$9:$R$320,10),(VLOOKUP($A41,PriceTableWeekend,2,0)+IF(BasisNumber&lt;&gt;1,VLOOKUP($A41,BasisTable,2,0),0)+L$1)/(1-L$2))</f>
        <v>28.633576679999997</v>
      </c>
      <c r="M41" s="154">
        <f>IF(Assumptions!$L$25=4,VLOOKUP($A41,'Henwood Reference'!$E$9:$R$320,10),(VLOOKUP($A41,PriceTableWeekend,3,0)+IF(BasisNumber&lt;&gt;1,VLOOKUP($A41,BasisTable,2,0),0)+M$1)/(1-M$2))</f>
        <v>28.633576679999997</v>
      </c>
      <c r="N41" s="156">
        <f>IF(Assumptions!$L$25=4,VLOOKUP($A41,'Henwood Reference'!$E$9:$R$320,10),(VLOOKUP($A41,PriceTableWeekend,4,0)+IF(BasisNumber&lt;&gt;1,VLOOKUP($A41,BasisTable,2,0),0)+N$1)/(1-N$2))</f>
        <v>28.633576679999997</v>
      </c>
      <c r="O41" s="154">
        <f>IF(Assumptions!$L$25=4,VLOOKUP($A41,'Henwood Reference'!$E$9:$R$320,11),(VLOOKUP($A41,PriceTableWeekend,6,0)+IF(BasisNumber&lt;&gt;1,VLOOKUP($A41,BasisTable,3,0),0)+O$1)/(1-O$2))</f>
        <v>14.800730400000001</v>
      </c>
      <c r="P41" s="154">
        <f>IF(Assumptions!$L$25=4,VLOOKUP($A41,'Henwood Reference'!$E$9:$R$320,11),(VLOOKUP($A41,PriceTableWeekend,7,0)+IF(BasisNumber&lt;&gt;1,VLOOKUP($A41,BasisTable,3,0),0)+P$1)/(1-P$2))</f>
        <v>14.800730400000001</v>
      </c>
      <c r="Q41" s="156">
        <f>IF(Assumptions!$L$25=4,VLOOKUP($A41,'Henwood Reference'!$E$9:$R$320,11),(VLOOKUP($A41,PriceTableWeekend,8,0)+IF(BasisNumber&lt;&gt;1,VLOOKUP($A41,BasisTable,3,0),0)+Q$1)/(1-Q$2))</f>
        <v>14.800730400000001</v>
      </c>
      <c r="R41" s="154">
        <f>IF(Assumptions!$L$25=4,VLOOKUP($A41,'Henwood Reference'!$E$9:$R$320,11),(VLOOKUP($A41,PriceTable,6,0)+IF(BasisNumber&lt;&gt;1,VLOOKUP($A41,BasisTable,3,0),0)+R$1)/(1-R$2))</f>
        <v>14.800730400000001</v>
      </c>
      <c r="S41" s="154">
        <f>IF(Assumptions!$L$25=4,VLOOKUP($A41,'Henwood Reference'!$E$9:$R$320,11),(VLOOKUP($A41,PriceTable,7,0)+IF(BasisNumber&lt;&gt;1,VLOOKUP($A41,BasisTable,3,0),0)+S$1)/(1-S$2))</f>
        <v>14.800730400000001</v>
      </c>
      <c r="T41" s="155">
        <f>IF(Assumptions!$L$25=4,VLOOKUP($A41,'Henwood Reference'!$E$9:$R$320,11),(VLOOKUP($A41,PriceTable,8,0)+IF(BasisNumber&lt;&gt;1,VLOOKUP($A41,BasisTable,3,0),0)+T$1)/(1-T$2))</f>
        <v>14.800730400000001</v>
      </c>
      <c r="U41" s="173">
        <f t="shared" si="92"/>
        <v>0.16</v>
      </c>
      <c r="V41" s="173">
        <f t="shared" si="93"/>
        <v>0.17</v>
      </c>
      <c r="W41" s="174">
        <f t="shared" si="94"/>
        <v>0.18</v>
      </c>
      <c r="X41" s="173">
        <f t="shared" si="95"/>
        <v>0.16</v>
      </c>
      <c r="Y41" s="173">
        <f t="shared" si="96"/>
        <v>0.17</v>
      </c>
      <c r="Z41" s="174">
        <f t="shared" si="97"/>
        <v>0.18</v>
      </c>
      <c r="AA41" s="173">
        <f t="shared" si="98"/>
        <v>0.09</v>
      </c>
      <c r="AB41" s="173">
        <f t="shared" si="99"/>
        <v>0.11</v>
      </c>
      <c r="AC41" s="174">
        <f t="shared" si="100"/>
        <v>0.13</v>
      </c>
      <c r="AD41" s="173">
        <f t="shared" si="101"/>
        <v>0.09</v>
      </c>
      <c r="AE41" s="173">
        <f t="shared" si="102"/>
        <v>0.11</v>
      </c>
      <c r="AF41" s="174">
        <f t="shared" si="103"/>
        <v>0.13</v>
      </c>
      <c r="AG41" s="173">
        <f t="shared" si="104"/>
        <v>-0.1</v>
      </c>
      <c r="AH41" s="173">
        <f t="shared" si="105"/>
        <v>0.65</v>
      </c>
      <c r="AI41" s="174">
        <f t="shared" si="106"/>
        <v>0.1</v>
      </c>
      <c r="AJ41" s="173">
        <f t="shared" si="107"/>
        <v>-0.1</v>
      </c>
      <c r="AK41" s="173">
        <f t="shared" si="108"/>
        <v>0.65</v>
      </c>
      <c r="AL41" s="174">
        <f t="shared" si="109"/>
        <v>0.1</v>
      </c>
      <c r="AM41" s="173">
        <f t="shared" si="110"/>
        <v>-0.01</v>
      </c>
      <c r="AN41" s="173">
        <f t="shared" si="111"/>
        <v>0.16</v>
      </c>
      <c r="AO41" s="174">
        <f t="shared" si="112"/>
        <v>0.01</v>
      </c>
      <c r="AP41" s="173">
        <f t="shared" si="113"/>
        <v>-0.01</v>
      </c>
      <c r="AQ41" s="173">
        <f t="shared" si="114"/>
        <v>0.16</v>
      </c>
      <c r="AR41" s="175">
        <f t="shared" si="115"/>
        <v>0.01</v>
      </c>
      <c r="AS41" s="521">
        <f t="shared" si="176"/>
        <v>0.5</v>
      </c>
      <c r="AT41" s="349">
        <f t="shared" si="117"/>
        <v>0</v>
      </c>
      <c r="AU41" s="159">
        <f t="shared" si="3"/>
        <v>0</v>
      </c>
      <c r="AV41" s="159">
        <f t="shared" si="4"/>
        <v>0</v>
      </c>
      <c r="AW41" s="159">
        <f t="shared" si="177"/>
        <v>0</v>
      </c>
      <c r="AX41" s="15">
        <f t="shared" si="119"/>
        <v>0</v>
      </c>
      <c r="AY41" s="607">
        <f>IF(E41="",0,MIN((1-(1-VLOOKUP(B41,MAIN!$AA$7:$AM$28,C41+1))*(1-VLOOKUP(B41,MAIN!$AA$33:$AM$54,C41+1))),1))</f>
        <v>0</v>
      </c>
      <c r="AZ41" s="337">
        <v>0</v>
      </c>
      <c r="BA41" s="509">
        <v>0</v>
      </c>
      <c r="BB41" s="509">
        <v>0</v>
      </c>
      <c r="BC41" s="511">
        <v>0</v>
      </c>
      <c r="BD41" s="153">
        <v>0</v>
      </c>
      <c r="BE41" s="474">
        <v>0</v>
      </c>
      <c r="BF41" s="474">
        <v>0</v>
      </c>
      <c r="BG41" s="515">
        <v>0</v>
      </c>
      <c r="BH41" s="262">
        <v>0</v>
      </c>
      <c r="BI41" s="509">
        <v>0</v>
      </c>
      <c r="BJ41" s="509">
        <v>0</v>
      </c>
      <c r="BK41" s="511">
        <v>0</v>
      </c>
      <c r="BL41" s="153">
        <v>0</v>
      </c>
      <c r="BM41" s="474">
        <v>0</v>
      </c>
      <c r="BN41" s="474">
        <v>0</v>
      </c>
      <c r="BO41" s="474">
        <v>0</v>
      </c>
      <c r="BP41" s="261">
        <f t="shared" si="120"/>
        <v>0</v>
      </c>
      <c r="BQ41" s="578">
        <f t="shared" si="121"/>
        <v>0</v>
      </c>
      <c r="BR41" s="259">
        <f t="shared" si="122"/>
        <v>0</v>
      </c>
      <c r="BS41" s="578">
        <f t="shared" si="123"/>
        <v>0</v>
      </c>
      <c r="BT41" s="216">
        <f t="shared" si="124"/>
        <v>2.0451745379876796</v>
      </c>
      <c r="BU41" s="218">
        <f t="shared" si="5"/>
        <v>0</v>
      </c>
      <c r="BV41" s="216">
        <f t="shared" si="6"/>
        <v>0</v>
      </c>
      <c r="BW41" s="216">
        <f t="shared" si="7"/>
        <v>0</v>
      </c>
      <c r="BX41" s="216">
        <f t="shared" si="125"/>
        <v>0</v>
      </c>
      <c r="BY41" s="216">
        <f t="shared" si="8"/>
        <v>0</v>
      </c>
      <c r="BZ41" s="216">
        <f t="shared" si="9"/>
        <v>0</v>
      </c>
      <c r="CA41" s="264">
        <f t="shared" si="10"/>
        <v>0</v>
      </c>
      <c r="CB41" s="216">
        <f t="shared" si="11"/>
        <v>0</v>
      </c>
      <c r="CC41" s="216">
        <f t="shared" si="12"/>
        <v>0</v>
      </c>
      <c r="CD41" s="216">
        <f t="shared" si="126"/>
        <v>0</v>
      </c>
      <c r="CE41" s="216">
        <f t="shared" si="13"/>
        <v>0</v>
      </c>
      <c r="CF41" s="571">
        <f t="shared" si="14"/>
        <v>0</v>
      </c>
      <c r="CG41" s="573" t="str">
        <f t="shared" si="15"/>
        <v/>
      </c>
      <c r="CH41" s="219" t="str">
        <f t="shared" si="16"/>
        <v/>
      </c>
      <c r="CI41" s="219" t="str">
        <f t="shared" si="17"/>
        <v/>
      </c>
      <c r="CJ41" s="219" t="str">
        <f t="shared" si="18"/>
        <v/>
      </c>
      <c r="CK41" s="219" t="str">
        <f t="shared" si="19"/>
        <v/>
      </c>
      <c r="CL41" s="219" t="str">
        <f t="shared" si="20"/>
        <v/>
      </c>
      <c r="CM41" s="219" t="str">
        <f t="shared" si="21"/>
        <v/>
      </c>
      <c r="CN41" s="569" t="str">
        <f t="shared" si="22"/>
        <v/>
      </c>
      <c r="CO41" s="264">
        <f t="shared" si="175"/>
        <v>0</v>
      </c>
      <c r="CP41" s="216">
        <f t="shared" si="127"/>
        <v>0</v>
      </c>
      <c r="CQ41" s="216">
        <f t="shared" si="128"/>
        <v>0</v>
      </c>
      <c r="CR41" s="216">
        <f t="shared" si="129"/>
        <v>0</v>
      </c>
      <c r="CS41" s="1626">
        <f t="shared" si="130"/>
        <v>0</v>
      </c>
      <c r="CT41" s="216">
        <f t="shared" si="131"/>
        <v>0</v>
      </c>
      <c r="CU41" s="575" t="str">
        <f t="shared" si="23"/>
        <v/>
      </c>
      <c r="CV41" s="154" t="str">
        <f t="shared" si="24"/>
        <v/>
      </c>
      <c r="CW41" s="216">
        <f>IF(OR($BQ41,$BS41),SpreadOptPowerMargin,0)*((1+Assumptions!$C$26)^($B41-YEAR(Assumptions!$C$17)))</f>
        <v>0</v>
      </c>
      <c r="CX41" s="216">
        <f>IF(OR($BQ41,$BS41),SpreadOptPowerMargin,0)*((1+Assumptions!$C$26)^($B41-YEAR(Assumptions!$C$17)))</f>
        <v>0</v>
      </c>
      <c r="CY41" s="216">
        <f>IF(OR($BQ41,$BS41),SpreadOptPowerMargin,0)*((1+Assumptions!$C$26)^($B41-YEAR(Assumptions!$C$17)))</f>
        <v>0</v>
      </c>
      <c r="CZ41" s="216">
        <f>IF(OR($BQ41,$BS41),SpreadOptPowerMargin,0)*((1+Assumptions!$C$26)^($B41-YEAR(Assumptions!$C$17)))</f>
        <v>0</v>
      </c>
      <c r="DA41" s="440">
        <f t="shared" si="25"/>
        <v>0</v>
      </c>
      <c r="DB41" s="479" t="str">
        <f t="shared" si="26"/>
        <v/>
      </c>
      <c r="DC41" s="479" t="str">
        <f t="shared" si="27"/>
        <v/>
      </c>
      <c r="DD41" s="479" t="str">
        <f t="shared" si="28"/>
        <v/>
      </c>
      <c r="DE41" s="479" t="str">
        <f t="shared" si="29"/>
        <v/>
      </c>
      <c r="DF41" s="479" t="str">
        <f t="shared" si="30"/>
        <v/>
      </c>
      <c r="DG41" s="574" t="str">
        <f t="shared" si="31"/>
        <v/>
      </c>
      <c r="DH41" s="216">
        <f t="shared" si="32"/>
        <v>0</v>
      </c>
      <c r="DI41" s="216">
        <f t="shared" si="33"/>
        <v>0</v>
      </c>
      <c r="DJ41" s="216">
        <f t="shared" si="34"/>
        <v>0</v>
      </c>
      <c r="DK41" s="216">
        <f t="shared" si="35"/>
        <v>0</v>
      </c>
      <c r="DL41" s="216">
        <f t="shared" si="36"/>
        <v>0</v>
      </c>
      <c r="DM41" s="216"/>
      <c r="DN41" s="216"/>
      <c r="DO41" s="216"/>
      <c r="DP41" s="216"/>
      <c r="DQ41" s="216"/>
      <c r="DR41" s="216"/>
      <c r="DS41" s="216"/>
      <c r="DT41" s="216"/>
      <c r="DU41" s="216"/>
      <c r="DV41" s="216"/>
      <c r="DW41" s="1371">
        <f t="shared" si="37"/>
        <v>0</v>
      </c>
      <c r="DX41" s="216">
        <f t="shared" si="38"/>
        <v>0</v>
      </c>
      <c r="DY41" s="440">
        <f t="shared" si="39"/>
        <v>0</v>
      </c>
      <c r="DZ41" s="180">
        <f t="shared" si="40"/>
        <v>0</v>
      </c>
      <c r="EA41" s="180">
        <f t="shared" si="41"/>
        <v>0</v>
      </c>
      <c r="EB41" s="180">
        <f t="shared" si="42"/>
        <v>0</v>
      </c>
      <c r="EC41" s="180">
        <f t="shared" si="43"/>
        <v>0</v>
      </c>
      <c r="ED41" s="180">
        <f t="shared" si="44"/>
        <v>0</v>
      </c>
      <c r="EE41" s="581">
        <f t="shared" si="45"/>
        <v>0</v>
      </c>
      <c r="EF41" s="554">
        <f t="shared" si="46"/>
        <v>0</v>
      </c>
      <c r="EG41" s="554">
        <f t="shared" si="47"/>
        <v>0</v>
      </c>
      <c r="EH41" s="554">
        <f t="shared" si="48"/>
        <v>0</v>
      </c>
      <c r="EI41" s="561">
        <f t="shared" si="49"/>
        <v>0</v>
      </c>
      <c r="EJ41" s="581">
        <f t="shared" si="132"/>
        <v>0</v>
      </c>
      <c r="EK41" s="554">
        <f t="shared" si="133"/>
        <v>0</v>
      </c>
      <c r="EL41" s="554">
        <f t="shared" si="134"/>
        <v>0</v>
      </c>
      <c r="EM41" s="554">
        <f t="shared" si="135"/>
        <v>0</v>
      </c>
      <c r="EN41" s="561">
        <f t="shared" si="136"/>
        <v>0</v>
      </c>
      <c r="EO41" s="180">
        <f t="shared" si="50"/>
        <v>0</v>
      </c>
      <c r="EP41" s="180">
        <f t="shared" si="51"/>
        <v>0</v>
      </c>
      <c r="EQ41" s="180">
        <f t="shared" si="52"/>
        <v>0</v>
      </c>
      <c r="ER41" s="180">
        <f t="shared" si="53"/>
        <v>0</v>
      </c>
      <c r="ES41" s="180">
        <f t="shared" si="54"/>
        <v>0</v>
      </c>
      <c r="ET41" s="1482">
        <f t="shared" si="55"/>
        <v>0</v>
      </c>
      <c r="EU41" s="180">
        <f t="shared" si="56"/>
        <v>0</v>
      </c>
      <c r="EV41" s="180">
        <f t="shared" si="57"/>
        <v>0</v>
      </c>
      <c r="EW41" s="180">
        <f t="shared" si="58"/>
        <v>0</v>
      </c>
      <c r="EX41" s="555">
        <f>IF(BS41,IF(OVolType,IF(OCallPut,IF(CF41&gt;(CT41+DA41),CF41-(CT41+DA41),0),IF((CT41+DA41)&gt;CF41,(CT41+DA41)-CF41,0))*BS41,SUM(ET41:EW41)),0)</f>
        <v>0</v>
      </c>
      <c r="EY41" s="180">
        <f t="shared" si="137"/>
        <v>0</v>
      </c>
      <c r="EZ41" s="180">
        <f t="shared" si="138"/>
        <v>0</v>
      </c>
      <c r="FA41" s="180">
        <f t="shared" si="139"/>
        <v>0</v>
      </c>
      <c r="FB41" s="180">
        <f t="shared" si="140"/>
        <v>0</v>
      </c>
      <c r="FC41" s="180">
        <f t="shared" si="141"/>
        <v>0</v>
      </c>
      <c r="FD41" s="262">
        <f>IF(AX41,IF(VLOOKUP(C41,MAIN!$L$17:$M$28,2)="Yes",VLOOKUP(CALC!B41,MAIN!$H$17:$I$20,2),0),0)</f>
        <v>0</v>
      </c>
      <c r="FE41" s="623">
        <f t="shared" si="60"/>
        <v>0</v>
      </c>
      <c r="FF41" s="535">
        <f t="shared" si="61"/>
        <v>0</v>
      </c>
      <c r="FG41" s="535">
        <f t="shared" si="62"/>
        <v>0</v>
      </c>
      <c r="FH41" s="624">
        <f t="shared" si="63"/>
        <v>0</v>
      </c>
      <c r="FI41" s="632">
        <f>IF(AX41,VLOOKUP(CALC!B41,MAIN!$H$17:$K$20,4),0)</f>
        <v>0</v>
      </c>
      <c r="FJ41" s="535">
        <f t="shared" si="64"/>
        <v>0</v>
      </c>
      <c r="FK41" s="648">
        <f t="shared" si="142"/>
        <v>0</v>
      </c>
      <c r="FL41" s="530">
        <f t="shared" si="143"/>
        <v>0</v>
      </c>
      <c r="FM41" s="530">
        <f t="shared" si="144"/>
        <v>0</v>
      </c>
      <c r="FN41" s="530">
        <f t="shared" si="145"/>
        <v>0</v>
      </c>
      <c r="FO41" s="622">
        <f t="shared" si="146"/>
        <v>0</v>
      </c>
      <c r="FP41" s="530">
        <f t="shared" si="147"/>
        <v>0</v>
      </c>
      <c r="FQ41" s="530">
        <f t="shared" si="148"/>
        <v>0</v>
      </c>
      <c r="FR41" s="530">
        <f t="shared" si="149"/>
        <v>0</v>
      </c>
      <c r="FS41" s="625">
        <f t="shared" si="150"/>
        <v>0</v>
      </c>
      <c r="FT41" s="640">
        <f>IF(AND(Assumptions!$H$71="Yes",A41&gt;=Assumptions!$H$72,A41&lt;=Assumptions!$H$73),0,IF(AND($A41&gt;=Assumptions!$C$17,$A41&lt;=Assumptions!$C$18),MAX(AZ41*(1+VLOOKUP($C41,WeatherCapacityAdjustment,2))-FL41,0),0))</f>
        <v>0</v>
      </c>
      <c r="FU41" s="530">
        <f>IF(AND(Assumptions!$H$71="Yes",A41&gt;=Assumptions!$H$72,A41&lt;=Assumptions!$H$73),0,IF(AND($A41&gt;=Assumptions!$C$17,$A41&lt;=Assumptions!$C$18),MAX(BA41*(1+VLOOKUP($C41,WeatherCapacityAdjustment,2))-FM41,0),0))</f>
        <v>0</v>
      </c>
      <c r="FV41" s="530">
        <f>IF(AND(Assumptions!$H$71="Yes",A41&gt;=Assumptions!$H$72,A41&lt;=Assumptions!$H$73),0,IF(AND($A41&gt;=Assumptions!$C$17,$A41&lt;=Assumptions!$C$18),MAX(BB41*(1+VLOOKUP($C41,WeatherCapacityAdjustment,2))-FN41,0),0))</f>
        <v>0</v>
      </c>
      <c r="FW41" s="622">
        <f>IF(AND(Assumptions!$H$71="Yes",A41&gt;=Assumptions!$H$72,A41&lt;=Assumptions!$H$73),0,IF(AND($A41&gt;=Assumptions!$C$17,$A41&lt;=Assumptions!$C$18),MAX(BC41*(1+VLOOKUP($C41,WeatherCapacityAdjustment,3))-FO41,0),0))</f>
        <v>0</v>
      </c>
      <c r="FX41" s="621">
        <f>IF(AND(Assumptions!$H$71="Yes",A41&gt;=Assumptions!$H$72,A41&lt;=Assumptions!$H$73),0,IF(ET41&gt;0,MAX(BH41*(1+VLOOKUP($C41,WeatherCapacityAdjustment,2))-FP41,0),0))</f>
        <v>0</v>
      </c>
      <c r="FY41" s="530">
        <f>IF(AND(Assumptions!$H$71="Yes",A41&gt;=Assumptions!$H$72,A41&lt;=Assumptions!$H$73),0,IF(EU41&gt;0,MAX(BI41*(1+VLOOKUP($C41,WeatherCapacityAdjustment,3))-FQ41,0),0))</f>
        <v>0</v>
      </c>
      <c r="FZ41" s="530">
        <f>IF(AND(Assumptions!$H$71="Yes",A41&gt;=Assumptions!$H$72,A41&lt;=Assumptions!$H$73),0,IF(EV41&gt;0,MAX(BJ41*(1+VLOOKUP($C41,WeatherCapacityAdjustment,2))-FR41,0),0))</f>
        <v>0</v>
      </c>
      <c r="GA41" s="622">
        <f>IF(AND(Assumptions!$H$71="Yes",A41&gt;=Assumptions!$H$72,A41&lt;=Assumptions!$H$73),0,IF(EW41&gt;0,MAX(BK41*(1+VLOOKUP($C41,WeatherCapacityAdjustment,2))-FS41,0),0))</f>
        <v>0</v>
      </c>
      <c r="GB41" s="530">
        <f t="shared" si="65"/>
        <v>0</v>
      </c>
      <c r="GC41" s="545">
        <f t="shared" si="66"/>
        <v>0</v>
      </c>
      <c r="GD41" s="530">
        <f t="shared" si="67"/>
        <v>0</v>
      </c>
      <c r="GE41" s="1485">
        <f t="shared" si="151"/>
        <v>0</v>
      </c>
      <c r="GF41" s="1776">
        <f t="shared" si="168"/>
        <v>0</v>
      </c>
      <c r="GG41" s="545">
        <f t="shared" si="169"/>
        <v>0</v>
      </c>
      <c r="GH41" s="622">
        <f t="shared" si="170"/>
        <v>0</v>
      </c>
      <c r="GI41" s="621">
        <f t="shared" si="152"/>
        <v>0</v>
      </c>
      <c r="GJ41" s="638">
        <f t="shared" si="68"/>
        <v>0</v>
      </c>
      <c r="GK41" s="625">
        <f t="shared" si="166"/>
        <v>0</v>
      </c>
      <c r="GL41" s="640">
        <f t="shared" si="171"/>
        <v>0</v>
      </c>
      <c r="GM41" s="530">
        <f t="shared" si="172"/>
        <v>0</v>
      </c>
      <c r="GN41" s="530">
        <f t="shared" si="173"/>
        <v>0</v>
      </c>
      <c r="GO41" s="622">
        <f t="shared" si="174"/>
        <v>0</v>
      </c>
      <c r="GP41" s="530">
        <f t="shared" si="73"/>
        <v>0</v>
      </c>
      <c r="GQ41" s="545">
        <f t="shared" si="74"/>
        <v>0</v>
      </c>
      <c r="GR41" s="625">
        <f t="shared" si="75"/>
        <v>0</v>
      </c>
      <c r="GS41" s="640">
        <f>IF($A41&gt;=BegDate,Assumptions!$C$56*24*($A42-$A41)*(1-VLOOKUP($B41,MAIN!$AA$7:$AM$28,$C41+1))*(1-VLOOKUP($B41,MAIN!$AA$33:$AM$54,$C41+1)),0)*80/168</f>
        <v>0</v>
      </c>
      <c r="GT41" s="1715">
        <f t="shared" si="153"/>
        <v>28.633576679999997</v>
      </c>
      <c r="GU41" s="1715">
        <f>IF($A41&gt;=BegDate,VLOOKUP($A41,GasTable,13)+Assumptions!$C$58,0)</f>
        <v>0</v>
      </c>
      <c r="GV41" s="1715">
        <f>GU41*Assumptions!$C$57/1000</f>
        <v>0</v>
      </c>
      <c r="GW41" s="625">
        <f>IF(Assumptions!$C$60="Hourly",MAX(0,GS41*(GT41-GV41)),GS41*(GT41-GV41))</f>
        <v>0</v>
      </c>
      <c r="GX41" s="640">
        <f>IF($A41&gt;=BegDate,Assumptions!$C$56*24*($A42-$A41)*(1-VLOOKUP($B41,MAIN!$AA$7:$AM$28,$C41+1))*(1-VLOOKUP($B41,MAIN!$AA$33:$AM$54,$C41+1)),0)*16/168</f>
        <v>0</v>
      </c>
      <c r="GY41" s="1715">
        <f t="shared" si="154"/>
        <v>28.633576679999997</v>
      </c>
      <c r="GZ41" s="1715">
        <f>IF($A41&gt;=BegDate,VLOOKUP($A41,GasTable,13)+Assumptions!$C$58,0)</f>
        <v>0</v>
      </c>
      <c r="HA41" s="1715">
        <f>GZ41*Assumptions!$C$57/1000</f>
        <v>0</v>
      </c>
      <c r="HB41" s="625">
        <f>IF(Assumptions!$C$60="Hourly",MAX(0,GX41*(GY41-HA41)),GX41*(GY41-HA41))</f>
        <v>0</v>
      </c>
      <c r="HC41" s="640">
        <f>IF($A41&gt;=BegDate,Assumptions!$C$56*24*($A42-$A41)*(1-VLOOKUP($B41,MAIN!$AA$7:$AM$28,$C41+1))*(1-VLOOKUP($B41,MAIN!$AA$33:$AM$54,$C41+1)),0)*16/168</f>
        <v>0</v>
      </c>
      <c r="HD41" s="1715">
        <f t="shared" si="155"/>
        <v>14.800730400000001</v>
      </c>
      <c r="HE41" s="1715">
        <f>IF($A41&gt;=BegDate,VLOOKUP($A41,GasTable,13)+Assumptions!$C$58,0)</f>
        <v>0</v>
      </c>
      <c r="HF41" s="1715">
        <f>HE41*Assumptions!$C$57/1000</f>
        <v>0</v>
      </c>
      <c r="HG41" s="625">
        <f>IF(Assumptions!$C$60="Hourly",MAX(0,HC41*(HD41-HF41)),HC41*(HD41-HF41))</f>
        <v>0</v>
      </c>
      <c r="HH41" s="640">
        <f>IF($A41&gt;=BegDate,Assumptions!$C$56*24*($A42-$A41)*(1-VLOOKUP($B41,MAIN!$AA$7:$AM$28,$C41+1))*(1-VLOOKUP($B41,MAIN!$AA$33:$AM$54,$C41+1)),0)*56/168</f>
        <v>0</v>
      </c>
      <c r="HI41" s="1715">
        <f t="shared" si="156"/>
        <v>14.800730400000001</v>
      </c>
      <c r="HJ41" s="1715">
        <f>IF($A41&gt;=BegDate,VLOOKUP($A41,GasTable,13)+Assumptions!$C$58,0)</f>
        <v>0</v>
      </c>
      <c r="HK41" s="1715">
        <f>HJ41*Assumptions!$C$57/1000</f>
        <v>0</v>
      </c>
      <c r="HL41" s="625">
        <f>IF(Assumptions!$C$60="Hourly",MAX(0,HH41*(HI41-HK41)),HH41*(HI41-HK41))</f>
        <v>0</v>
      </c>
      <c r="HM41" s="640">
        <f>IF(AND(Assumptions!$H$71="Yes",A41&gt;=Assumptions!$H$72,A41&lt;=Assumptions!$H$73),Assumptions!$H$74*Assumptions!$C$9*1000,0)</f>
        <v>0</v>
      </c>
      <c r="HN41" s="530"/>
      <c r="HO41" s="545"/>
      <c r="HP41" s="545"/>
      <c r="HQ41" s="545"/>
      <c r="HR41" s="545"/>
      <c r="HS41" s="545"/>
      <c r="HT41" s="545"/>
      <c r="HU41" s="545"/>
      <c r="HV41" s="545"/>
      <c r="HW41" s="545"/>
      <c r="HX41" s="545"/>
      <c r="HY41" s="545"/>
      <c r="HZ41" s="545"/>
      <c r="IA41" s="545"/>
      <c r="IB41" s="545"/>
      <c r="IC41" s="545"/>
      <c r="ID41" s="545"/>
      <c r="IE41" s="545"/>
      <c r="IF41" s="545"/>
      <c r="IG41" s="545"/>
      <c r="IH41" s="545"/>
      <c r="II41" s="1464"/>
      <c r="IJ41" s="1463"/>
      <c r="IK41" s="1463"/>
    </row>
    <row r="42" spans="1:245">
      <c r="A42" s="177">
        <f t="shared" si="87"/>
        <v>37408</v>
      </c>
      <c r="B42" s="349">
        <f t="shared" si="88"/>
        <v>2002</v>
      </c>
      <c r="C42" s="15">
        <f t="shared" si="89"/>
        <v>6</v>
      </c>
      <c r="D42" s="612" t="str">
        <f t="shared" si="90"/>
        <v/>
      </c>
      <c r="E42" s="609" t="str">
        <f t="shared" si="91"/>
        <v/>
      </c>
      <c r="F42" s="614" t="str">
        <f t="shared" si="2"/>
        <v/>
      </c>
      <c r="G42" s="1349">
        <v>0</v>
      </c>
      <c r="H42" s="152">
        <f t="shared" si="165"/>
        <v>1</v>
      </c>
      <c r="I42" s="154">
        <f>IF(Assumptions!$L$25=4,VLOOKUP($A42,'Henwood Reference'!$E$9:$R$320,10),(VLOOKUP($A42,PriceTable,2,0)+IF(BasisNumber&lt;&gt;1,VLOOKUP($A42,BasisTable,2,0),0)+I$1)/(1-I$2))</f>
        <v>26.772613200000002</v>
      </c>
      <c r="J42" s="154">
        <f>IF(Assumptions!$L$25=4,VLOOKUP($A42,'Henwood Reference'!$E$9:$R$320,10),(VLOOKUP($A42,PriceTable,3,0)+IF(BasisNumber&lt;&gt;1,VLOOKUP($A42,BasisTable,2,0),0)+J$1)/(1-J$2))</f>
        <v>26.772613200000002</v>
      </c>
      <c r="K42" s="154">
        <f>IF(Assumptions!$L$25=4,VLOOKUP($A42,'Henwood Reference'!$E$9:$R$320,10),(VLOOKUP($A42,PriceTable,4,0)+IF(BasisNumber&lt;&gt;1,VLOOKUP($A42,BasisTable,2,0),0)+K$1)/(1-K$2))</f>
        <v>26.772613200000002</v>
      </c>
      <c r="L42" s="474">
        <f>IF(Assumptions!$L$25=4,VLOOKUP($A42,'Henwood Reference'!$E$9:$R$320,10),(VLOOKUP($A42,PriceTableWeekend,2,0)+IF(BasisNumber&lt;&gt;1,VLOOKUP($A42,BasisTable,2,0),0)+L$1)/(1-L$2))</f>
        <v>26.772613200000002</v>
      </c>
      <c r="M42" s="154">
        <f>IF(Assumptions!$L$25=4,VLOOKUP($A42,'Henwood Reference'!$E$9:$R$320,10),(VLOOKUP($A42,PriceTableWeekend,3,0)+IF(BasisNumber&lt;&gt;1,VLOOKUP($A42,BasisTable,2,0),0)+M$1)/(1-M$2))</f>
        <v>26.772613200000002</v>
      </c>
      <c r="N42" s="156">
        <f>IF(Assumptions!$L$25=4,VLOOKUP($A42,'Henwood Reference'!$E$9:$R$320,10),(VLOOKUP($A42,PriceTableWeekend,4,0)+IF(BasisNumber&lt;&gt;1,VLOOKUP($A42,BasisTable,2,0),0)+N$1)/(1-N$2))</f>
        <v>26.772613200000002</v>
      </c>
      <c r="O42" s="154">
        <f>IF(Assumptions!$L$25=4,VLOOKUP($A42,'Henwood Reference'!$E$9:$R$320,11),(VLOOKUP($A42,PriceTableWeekend,6,0)+IF(BasisNumber&lt;&gt;1,VLOOKUP($A42,BasisTable,3,0),0)+O$1)/(1-O$2))</f>
        <v>12.859968239999999</v>
      </c>
      <c r="P42" s="154">
        <f>IF(Assumptions!$L$25=4,VLOOKUP($A42,'Henwood Reference'!$E$9:$R$320,11),(VLOOKUP($A42,PriceTableWeekend,7,0)+IF(BasisNumber&lt;&gt;1,VLOOKUP($A42,BasisTable,3,0),0)+P$1)/(1-P$2))</f>
        <v>12.859968239999999</v>
      </c>
      <c r="Q42" s="156">
        <f>IF(Assumptions!$L$25=4,VLOOKUP($A42,'Henwood Reference'!$E$9:$R$320,11),(VLOOKUP($A42,PriceTableWeekend,8,0)+IF(BasisNumber&lt;&gt;1,VLOOKUP($A42,BasisTable,3,0),0)+Q$1)/(1-Q$2))</f>
        <v>12.859968239999999</v>
      </c>
      <c r="R42" s="154">
        <f>IF(Assumptions!$L$25=4,VLOOKUP($A42,'Henwood Reference'!$E$9:$R$320,11),(VLOOKUP($A42,PriceTable,6,0)+IF(BasisNumber&lt;&gt;1,VLOOKUP($A42,BasisTable,3,0),0)+R$1)/(1-R$2))</f>
        <v>12.859968239999999</v>
      </c>
      <c r="S42" s="154">
        <f>IF(Assumptions!$L$25=4,VLOOKUP($A42,'Henwood Reference'!$E$9:$R$320,11),(VLOOKUP($A42,PriceTable,7,0)+IF(BasisNumber&lt;&gt;1,VLOOKUP($A42,BasisTable,3,0),0)+S$1)/(1-S$2))</f>
        <v>12.859968239999999</v>
      </c>
      <c r="T42" s="155">
        <f>IF(Assumptions!$L$25=4,VLOOKUP($A42,'Henwood Reference'!$E$9:$R$320,11),(VLOOKUP($A42,PriceTable,8,0)+IF(BasisNumber&lt;&gt;1,VLOOKUP($A42,BasisTable,3,0),0)+T$1)/(1-T$2))</f>
        <v>12.859968239999999</v>
      </c>
      <c r="U42" s="173">
        <f t="shared" si="92"/>
        <v>0.16</v>
      </c>
      <c r="V42" s="173">
        <f t="shared" si="93"/>
        <v>0.17</v>
      </c>
      <c r="W42" s="174">
        <f t="shared" si="94"/>
        <v>0.18</v>
      </c>
      <c r="X42" s="173">
        <f t="shared" si="95"/>
        <v>0.16</v>
      </c>
      <c r="Y42" s="173">
        <f t="shared" si="96"/>
        <v>0.17</v>
      </c>
      <c r="Z42" s="174">
        <f t="shared" si="97"/>
        <v>0.18</v>
      </c>
      <c r="AA42" s="173">
        <f t="shared" si="98"/>
        <v>0.09</v>
      </c>
      <c r="AB42" s="173">
        <f t="shared" si="99"/>
        <v>0.11</v>
      </c>
      <c r="AC42" s="174">
        <f t="shared" si="100"/>
        <v>0.13</v>
      </c>
      <c r="AD42" s="173">
        <f t="shared" si="101"/>
        <v>0.09</v>
      </c>
      <c r="AE42" s="173">
        <f t="shared" si="102"/>
        <v>0.11</v>
      </c>
      <c r="AF42" s="174">
        <f t="shared" si="103"/>
        <v>0.13</v>
      </c>
      <c r="AG42" s="173">
        <f t="shared" si="104"/>
        <v>-0.35</v>
      </c>
      <c r="AH42" s="173">
        <f t="shared" si="105"/>
        <v>0.65</v>
      </c>
      <c r="AI42" s="174">
        <f t="shared" si="106"/>
        <v>0.2</v>
      </c>
      <c r="AJ42" s="173">
        <f t="shared" si="107"/>
        <v>-0.35</v>
      </c>
      <c r="AK42" s="173">
        <f t="shared" si="108"/>
        <v>0.65</v>
      </c>
      <c r="AL42" s="174">
        <f t="shared" si="109"/>
        <v>0.2</v>
      </c>
      <c r="AM42" s="173">
        <f t="shared" si="110"/>
        <v>-0.01</v>
      </c>
      <c r="AN42" s="173">
        <f t="shared" si="111"/>
        <v>0.16</v>
      </c>
      <c r="AO42" s="174">
        <f t="shared" si="112"/>
        <v>0.01</v>
      </c>
      <c r="AP42" s="173">
        <f t="shared" si="113"/>
        <v>-0.01</v>
      </c>
      <c r="AQ42" s="173">
        <f t="shared" si="114"/>
        <v>0.16</v>
      </c>
      <c r="AR42" s="175">
        <f t="shared" si="115"/>
        <v>0.01</v>
      </c>
      <c r="AS42" s="521">
        <f t="shared" si="176"/>
        <v>0.5</v>
      </c>
      <c r="AT42" s="349">
        <f t="shared" si="117"/>
        <v>0</v>
      </c>
      <c r="AU42" s="159">
        <f t="shared" si="3"/>
        <v>0</v>
      </c>
      <c r="AV42" s="159">
        <f t="shared" si="4"/>
        <v>0</v>
      </c>
      <c r="AW42" s="159">
        <f t="shared" si="177"/>
        <v>0</v>
      </c>
      <c r="AX42" s="15">
        <f t="shared" si="119"/>
        <v>0</v>
      </c>
      <c r="AY42" s="607">
        <f>IF(E42="",0,MIN((1-(1-VLOOKUP(B42,MAIN!$AA$7:$AM$28,C42+1))*(1-VLOOKUP(B42,MAIN!$AA$33:$AM$54,C42+1))),1))</f>
        <v>0</v>
      </c>
      <c r="AZ42" s="337">
        <v>0</v>
      </c>
      <c r="BA42" s="509">
        <v>0</v>
      </c>
      <c r="BB42" s="509">
        <v>0</v>
      </c>
      <c r="BC42" s="511">
        <v>0</v>
      </c>
      <c r="BD42" s="153">
        <v>0</v>
      </c>
      <c r="BE42" s="474">
        <v>0</v>
      </c>
      <c r="BF42" s="474">
        <v>0</v>
      </c>
      <c r="BG42" s="515">
        <v>0</v>
      </c>
      <c r="BH42" s="262">
        <v>0</v>
      </c>
      <c r="BI42" s="509">
        <v>0</v>
      </c>
      <c r="BJ42" s="509">
        <v>0</v>
      </c>
      <c r="BK42" s="511">
        <v>0</v>
      </c>
      <c r="BL42" s="153">
        <v>0</v>
      </c>
      <c r="BM42" s="474">
        <v>0</v>
      </c>
      <c r="BN42" s="474">
        <v>0</v>
      </c>
      <c r="BO42" s="474">
        <v>0</v>
      </c>
      <c r="BP42" s="261">
        <f t="shared" si="120"/>
        <v>0</v>
      </c>
      <c r="BQ42" s="578">
        <f t="shared" si="121"/>
        <v>0</v>
      </c>
      <c r="BR42" s="259">
        <f t="shared" si="122"/>
        <v>0</v>
      </c>
      <c r="BS42" s="578">
        <f t="shared" si="123"/>
        <v>0</v>
      </c>
      <c r="BT42" s="216">
        <f t="shared" si="124"/>
        <v>2.130047912388775</v>
      </c>
      <c r="BU42" s="218">
        <f t="shared" si="5"/>
        <v>0</v>
      </c>
      <c r="BV42" s="216">
        <f t="shared" si="6"/>
        <v>0</v>
      </c>
      <c r="BW42" s="216">
        <f t="shared" si="7"/>
        <v>0</v>
      </c>
      <c r="BX42" s="216">
        <f t="shared" si="125"/>
        <v>0</v>
      </c>
      <c r="BY42" s="216">
        <f t="shared" si="8"/>
        <v>0</v>
      </c>
      <c r="BZ42" s="216">
        <f t="shared" si="9"/>
        <v>0</v>
      </c>
      <c r="CA42" s="264">
        <f t="shared" si="10"/>
        <v>0</v>
      </c>
      <c r="CB42" s="216">
        <f t="shared" si="11"/>
        <v>0</v>
      </c>
      <c r="CC42" s="216">
        <f t="shared" si="12"/>
        <v>0</v>
      </c>
      <c r="CD42" s="216">
        <f t="shared" si="126"/>
        <v>0</v>
      </c>
      <c r="CE42" s="216">
        <f t="shared" si="13"/>
        <v>0</v>
      </c>
      <c r="CF42" s="571">
        <f t="shared" si="14"/>
        <v>0</v>
      </c>
      <c r="CG42" s="573" t="str">
        <f t="shared" si="15"/>
        <v/>
      </c>
      <c r="CH42" s="219" t="str">
        <f t="shared" si="16"/>
        <v/>
      </c>
      <c r="CI42" s="219" t="str">
        <f t="shared" si="17"/>
        <v/>
      </c>
      <c r="CJ42" s="219" t="str">
        <f t="shared" si="18"/>
        <v/>
      </c>
      <c r="CK42" s="219" t="str">
        <f t="shared" si="19"/>
        <v/>
      </c>
      <c r="CL42" s="219" t="str">
        <f t="shared" si="20"/>
        <v/>
      </c>
      <c r="CM42" s="219" t="str">
        <f t="shared" si="21"/>
        <v/>
      </c>
      <c r="CN42" s="569" t="str">
        <f t="shared" si="22"/>
        <v/>
      </c>
      <c r="CO42" s="264">
        <f t="shared" si="175"/>
        <v>0</v>
      </c>
      <c r="CP42" s="216">
        <f t="shared" si="127"/>
        <v>0</v>
      </c>
      <c r="CQ42" s="216">
        <f t="shared" si="128"/>
        <v>0</v>
      </c>
      <c r="CR42" s="216">
        <f t="shared" si="129"/>
        <v>0</v>
      </c>
      <c r="CS42" s="1626">
        <f t="shared" si="130"/>
        <v>0</v>
      </c>
      <c r="CT42" s="216">
        <f t="shared" si="131"/>
        <v>0</v>
      </c>
      <c r="CU42" s="575" t="str">
        <f t="shared" si="23"/>
        <v/>
      </c>
      <c r="CV42" s="154" t="str">
        <f t="shared" si="24"/>
        <v/>
      </c>
      <c r="CW42" s="216">
        <f>IF(OR($BQ42,$BS42),SpreadOptPowerMargin,0)*((1+Assumptions!$C$26)^($B42-YEAR(Assumptions!$C$17)))</f>
        <v>0</v>
      </c>
      <c r="CX42" s="216">
        <f>IF(OR($BQ42,$BS42),SpreadOptPowerMargin,0)*((1+Assumptions!$C$26)^($B42-YEAR(Assumptions!$C$17)))</f>
        <v>0</v>
      </c>
      <c r="CY42" s="216">
        <f>IF(OR($BQ42,$BS42),SpreadOptPowerMargin,0)*((1+Assumptions!$C$26)^($B42-YEAR(Assumptions!$C$17)))</f>
        <v>0</v>
      </c>
      <c r="CZ42" s="216">
        <f>IF(OR($BQ42,$BS42),SpreadOptPowerMargin,0)*((1+Assumptions!$C$26)^($B42-YEAR(Assumptions!$C$17)))</f>
        <v>0</v>
      </c>
      <c r="DA42" s="440">
        <f t="shared" si="25"/>
        <v>0</v>
      </c>
      <c r="DB42" s="479" t="str">
        <f t="shared" si="26"/>
        <v/>
      </c>
      <c r="DC42" s="479" t="str">
        <f t="shared" si="27"/>
        <v/>
      </c>
      <c r="DD42" s="479" t="str">
        <f t="shared" si="28"/>
        <v/>
      </c>
      <c r="DE42" s="479" t="str">
        <f t="shared" si="29"/>
        <v/>
      </c>
      <c r="DF42" s="479" t="str">
        <f t="shared" si="30"/>
        <v/>
      </c>
      <c r="DG42" s="574" t="str">
        <f t="shared" si="31"/>
        <v/>
      </c>
      <c r="DH42" s="216">
        <f t="shared" si="32"/>
        <v>0</v>
      </c>
      <c r="DI42" s="216">
        <f t="shared" si="33"/>
        <v>0</v>
      </c>
      <c r="DJ42" s="216">
        <f t="shared" si="34"/>
        <v>0</v>
      </c>
      <c r="DK42" s="216">
        <f t="shared" si="35"/>
        <v>0</v>
      </c>
      <c r="DL42" s="216">
        <f t="shared" si="36"/>
        <v>0</v>
      </c>
      <c r="DM42" s="216"/>
      <c r="DN42" s="216"/>
      <c r="DO42" s="216"/>
      <c r="DP42" s="216"/>
      <c r="DQ42" s="216"/>
      <c r="DR42" s="216"/>
      <c r="DS42" s="216"/>
      <c r="DT42" s="216"/>
      <c r="DU42" s="216"/>
      <c r="DV42" s="216"/>
      <c r="DW42" s="1371">
        <f t="shared" si="37"/>
        <v>0</v>
      </c>
      <c r="DX42" s="216">
        <f t="shared" si="38"/>
        <v>0</v>
      </c>
      <c r="DY42" s="440">
        <f t="shared" si="39"/>
        <v>0</v>
      </c>
      <c r="DZ42" s="180">
        <f t="shared" si="40"/>
        <v>0</v>
      </c>
      <c r="EA42" s="180">
        <f t="shared" si="41"/>
        <v>0</v>
      </c>
      <c r="EB42" s="180">
        <f t="shared" si="42"/>
        <v>0</v>
      </c>
      <c r="EC42" s="180">
        <f t="shared" si="43"/>
        <v>0</v>
      </c>
      <c r="ED42" s="180">
        <f t="shared" si="44"/>
        <v>0</v>
      </c>
      <c r="EE42" s="581">
        <f t="shared" si="45"/>
        <v>0</v>
      </c>
      <c r="EF42" s="554">
        <f t="shared" si="46"/>
        <v>0</v>
      </c>
      <c r="EG42" s="554">
        <f t="shared" si="47"/>
        <v>0</v>
      </c>
      <c r="EH42" s="554">
        <f t="shared" si="48"/>
        <v>0</v>
      </c>
      <c r="EI42" s="561">
        <f t="shared" si="49"/>
        <v>0</v>
      </c>
      <c r="EJ42" s="581">
        <f t="shared" si="132"/>
        <v>0</v>
      </c>
      <c r="EK42" s="554">
        <f t="shared" si="133"/>
        <v>0</v>
      </c>
      <c r="EL42" s="554">
        <f t="shared" si="134"/>
        <v>0</v>
      </c>
      <c r="EM42" s="554">
        <f t="shared" si="135"/>
        <v>0</v>
      </c>
      <c r="EN42" s="561">
        <f t="shared" si="136"/>
        <v>0</v>
      </c>
      <c r="EO42" s="180">
        <f t="shared" si="50"/>
        <v>0</v>
      </c>
      <c r="EP42" s="180">
        <f t="shared" si="51"/>
        <v>0</v>
      </c>
      <c r="EQ42" s="180">
        <f t="shared" si="52"/>
        <v>0</v>
      </c>
      <c r="ER42" s="180">
        <f t="shared" si="53"/>
        <v>0</v>
      </c>
      <c r="ES42" s="180">
        <f t="shared" si="54"/>
        <v>0</v>
      </c>
      <c r="ET42" s="1482">
        <f t="shared" ref="ET42:ET50" si="178">IF(EI42,IF(OCallPut,IF(CA42&gt;(CT42+CW42),CA42-(CT42+CW42),0),IF((CT42+CW42)&gt;CA42,(CT42+CW42)-CA42,0))*BH42,0)</f>
        <v>0</v>
      </c>
      <c r="EU42" s="180">
        <f t="shared" ref="EU42:EU50" si="179">IF(EI42,IF(OCallPut,IF(CB42&gt;(CT42+CX42),CB42-(CT42+CX42),0),IF((CT42+CX42)&gt;CB42,(CT42+CX42)-CB42,0))*BI42,0)</f>
        <v>0</v>
      </c>
      <c r="EV42" s="180">
        <f t="shared" ref="EV42:EV50" si="180">IF(EI42,IF(OCallPut,IF(CC42&gt;(CT42+CY42),CC42-(CT42+CY42),0),IF((CT42+CY42)&gt;CC42,(CT42+CY42)-CC42,0))*BJ42,0)</f>
        <v>0</v>
      </c>
      <c r="EW42" s="180">
        <f t="shared" ref="EW42:EW50" si="181">IF(EI42,IF(OCallPut,IF(CD42&gt;(CT42+CZ42),CD42-(CT42+CZ42),0),IF((CT42+CZ42)&gt;CD42,(CT42+CZ42)-CD42,0))*BK42,0)</f>
        <v>0</v>
      </c>
      <c r="EX42" s="555">
        <f t="shared" ref="EX42:EX105" si="182">IF(EI42,SUM(ET42:EW42),0)</f>
        <v>0</v>
      </c>
      <c r="EY42" s="180">
        <f t="shared" si="137"/>
        <v>0</v>
      </c>
      <c r="EZ42" s="180">
        <f t="shared" si="138"/>
        <v>0</v>
      </c>
      <c r="FA42" s="180">
        <f t="shared" si="139"/>
        <v>0</v>
      </c>
      <c r="FB42" s="180">
        <f t="shared" si="140"/>
        <v>0</v>
      </c>
      <c r="FC42" s="180">
        <f t="shared" si="141"/>
        <v>0</v>
      </c>
      <c r="FD42" s="262">
        <f>IF(AX42,IF(VLOOKUP(C42,MAIN!$L$17:$M$28,2)="Yes",VLOOKUP(CALC!B42,MAIN!$H$17:$I$20,2),0),0)</f>
        <v>0</v>
      </c>
      <c r="FE42" s="623">
        <f t="shared" si="60"/>
        <v>0</v>
      </c>
      <c r="FF42" s="535">
        <f t="shared" si="61"/>
        <v>0</v>
      </c>
      <c r="FG42" s="535">
        <f t="shared" si="62"/>
        <v>0</v>
      </c>
      <c r="FH42" s="624">
        <f t="shared" si="63"/>
        <v>0</v>
      </c>
      <c r="FI42" s="632">
        <f>IF(AX42,VLOOKUP(CALC!B42,MAIN!$H$17:$K$20,4),0)</f>
        <v>0</v>
      </c>
      <c r="FJ42" s="535">
        <f t="shared" si="64"/>
        <v>0</v>
      </c>
      <c r="FK42" s="648">
        <f t="shared" si="142"/>
        <v>0</v>
      </c>
      <c r="FL42" s="640">
        <f t="shared" si="143"/>
        <v>0</v>
      </c>
      <c r="FM42" s="530">
        <f t="shared" si="144"/>
        <v>0</v>
      </c>
      <c r="FN42" s="530">
        <f t="shared" si="145"/>
        <v>0</v>
      </c>
      <c r="FO42" s="622">
        <f t="shared" si="146"/>
        <v>0</v>
      </c>
      <c r="FP42" s="530">
        <f t="shared" si="147"/>
        <v>0</v>
      </c>
      <c r="FQ42" s="530">
        <f t="shared" si="148"/>
        <v>0</v>
      </c>
      <c r="FR42" s="530">
        <f t="shared" si="149"/>
        <v>0</v>
      </c>
      <c r="FS42" s="625">
        <f t="shared" si="150"/>
        <v>0</v>
      </c>
      <c r="FT42" s="640">
        <f>IF(AND(Assumptions!$H$71="Yes",A42&gt;=Assumptions!$H$72,A42&lt;=Assumptions!$H$73),0,IF(AND($A42&gt;=Assumptions!$C$17,$A42&lt;=Assumptions!$C$18),MAX(AZ42*(1+VLOOKUP($C42,WeatherCapacityAdjustment,2))-FL42,0),0))</f>
        <v>0</v>
      </c>
      <c r="FU42" s="530">
        <f>IF(AND(Assumptions!$H$71="Yes",A42&gt;=Assumptions!$H$72,A42&lt;=Assumptions!$H$73),0,IF(AND($A42&gt;=Assumptions!$C$17,$A42&lt;=Assumptions!$C$18),MAX(BA42*(1+VLOOKUP($C42,WeatherCapacityAdjustment,2))-FM42,0),0))</f>
        <v>0</v>
      </c>
      <c r="FV42" s="530">
        <f>IF(AND(Assumptions!$H$71="Yes",A42&gt;=Assumptions!$H$72,A42&lt;=Assumptions!$H$73),0,IF(AND($A42&gt;=Assumptions!$C$17,$A42&lt;=Assumptions!$C$18),MAX(BB42*(1+VLOOKUP($C42,WeatherCapacityAdjustment,2))-FN42,0),0))</f>
        <v>0</v>
      </c>
      <c r="FW42" s="622">
        <f>IF(AND(Assumptions!$H$71="Yes",A42&gt;=Assumptions!$H$72,A42&lt;=Assumptions!$H$73),0,IF(AND($A42&gt;=Assumptions!$C$17,$A42&lt;=Assumptions!$C$18),MAX(BC42*(1+VLOOKUP($C42,WeatherCapacityAdjustment,3))-FO42,0),0))</f>
        <v>0</v>
      </c>
      <c r="FX42" s="621">
        <f>IF(AND(Assumptions!$H$71="Yes",A42&gt;=Assumptions!$H$72,A42&lt;=Assumptions!$H$73),0,IF(ET42&gt;0,MAX(BH42*(1+VLOOKUP($C42,WeatherCapacityAdjustment,2))-FP42,0),0))</f>
        <v>0</v>
      </c>
      <c r="FY42" s="530">
        <f>IF(AND(Assumptions!$H$71="Yes",A42&gt;=Assumptions!$H$72,A42&lt;=Assumptions!$H$73),0,IF(EU42&gt;0,MAX(BI42*(1+VLOOKUP($C42,WeatherCapacityAdjustment,3))-FQ42,0),0))</f>
        <v>0</v>
      </c>
      <c r="FZ42" s="530">
        <f>IF(AND(Assumptions!$H$71="Yes",A42&gt;=Assumptions!$H$72,A42&lt;=Assumptions!$H$73),0,IF(EV42&gt;0,MAX(BJ42*(1+VLOOKUP($C42,WeatherCapacityAdjustment,2))-FR42,0),0))</f>
        <v>0</v>
      </c>
      <c r="GA42" s="622">
        <f>IF(AND(Assumptions!$H$71="Yes",A42&gt;=Assumptions!$H$72,A42&lt;=Assumptions!$H$73),0,IF(EW42&gt;0,MAX(BK42*(1+VLOOKUP($C42,WeatherCapacityAdjustment,2))-FS42,0),0))</f>
        <v>0</v>
      </c>
      <c r="GB42" s="530">
        <f t="shared" si="65"/>
        <v>0</v>
      </c>
      <c r="GC42" s="545">
        <f t="shared" si="66"/>
        <v>0</v>
      </c>
      <c r="GD42" s="530">
        <f t="shared" si="67"/>
        <v>0</v>
      </c>
      <c r="GE42" s="1485">
        <f t="shared" si="151"/>
        <v>0</v>
      </c>
      <c r="GF42" s="1776">
        <f t="shared" si="168"/>
        <v>0</v>
      </c>
      <c r="GG42" s="545">
        <f t="shared" si="169"/>
        <v>0</v>
      </c>
      <c r="GH42" s="622">
        <f t="shared" si="170"/>
        <v>0</v>
      </c>
      <c r="GI42" s="621">
        <f t="shared" si="152"/>
        <v>0</v>
      </c>
      <c r="GJ42" s="638">
        <f t="shared" si="68"/>
        <v>0</v>
      </c>
      <c r="GK42" s="625">
        <f t="shared" si="166"/>
        <v>0</v>
      </c>
      <c r="GL42" s="640">
        <f t="shared" si="171"/>
        <v>0</v>
      </c>
      <c r="GM42" s="530">
        <f t="shared" si="172"/>
        <v>0</v>
      </c>
      <c r="GN42" s="530">
        <f t="shared" si="173"/>
        <v>0</v>
      </c>
      <c r="GO42" s="622">
        <f t="shared" si="174"/>
        <v>0</v>
      </c>
      <c r="GP42" s="530">
        <f t="shared" si="73"/>
        <v>0</v>
      </c>
      <c r="GQ42" s="545">
        <f t="shared" si="74"/>
        <v>0</v>
      </c>
      <c r="GR42" s="625">
        <f t="shared" si="75"/>
        <v>0</v>
      </c>
      <c r="GS42" s="640">
        <f>IF($A42&gt;=BegDate,Assumptions!$C$56*24*($A43-$A42)*(1-VLOOKUP($B42,MAIN!$AA$7:$AM$28,$C42+1))*(1-VLOOKUP($B42,MAIN!$AA$33:$AM$54,$C42+1)),0)*80/168</f>
        <v>0</v>
      </c>
      <c r="GT42" s="1715">
        <f t="shared" si="153"/>
        <v>26.772613200000002</v>
      </c>
      <c r="GU42" s="1715">
        <f>IF($A42&gt;=BegDate,VLOOKUP($A42,GasTable,13)+Assumptions!$C$58,0)</f>
        <v>0</v>
      </c>
      <c r="GV42" s="1715">
        <f>GU42*Assumptions!$C$57/1000</f>
        <v>0</v>
      </c>
      <c r="GW42" s="625">
        <f>IF(Assumptions!$C$60="Hourly",MAX(0,GS42*(GT42-GV42)),GS42*(GT42-GV42))</f>
        <v>0</v>
      </c>
      <c r="GX42" s="640">
        <f>IF($A42&gt;=BegDate,Assumptions!$C$56*24*($A43-$A42)*(1-VLOOKUP($B42,MAIN!$AA$7:$AM$28,$C42+1))*(1-VLOOKUP($B42,MAIN!$AA$33:$AM$54,$C42+1)),0)*16/168</f>
        <v>0</v>
      </c>
      <c r="GY42" s="1715">
        <f t="shared" si="154"/>
        <v>26.772613200000002</v>
      </c>
      <c r="GZ42" s="1715">
        <f>IF($A42&gt;=BegDate,VLOOKUP($A42,GasTable,13)+Assumptions!$C$58,0)</f>
        <v>0</v>
      </c>
      <c r="HA42" s="1715">
        <f>GZ42*Assumptions!$C$57/1000</f>
        <v>0</v>
      </c>
      <c r="HB42" s="625">
        <f>IF(Assumptions!$C$60="Hourly",MAX(0,GX42*(GY42-HA42)),GX42*(GY42-HA42))</f>
        <v>0</v>
      </c>
      <c r="HC42" s="640">
        <f>IF($A42&gt;=BegDate,Assumptions!$C$56*24*($A43-$A42)*(1-VLOOKUP($B42,MAIN!$AA$7:$AM$28,$C42+1))*(1-VLOOKUP($B42,MAIN!$AA$33:$AM$54,$C42+1)),0)*16/168</f>
        <v>0</v>
      </c>
      <c r="HD42" s="1715">
        <f t="shared" si="155"/>
        <v>12.859968239999999</v>
      </c>
      <c r="HE42" s="1715">
        <f>IF($A42&gt;=BegDate,VLOOKUP($A42,GasTable,13)+Assumptions!$C$58,0)</f>
        <v>0</v>
      </c>
      <c r="HF42" s="1715">
        <f>HE42*Assumptions!$C$57/1000</f>
        <v>0</v>
      </c>
      <c r="HG42" s="625">
        <f>IF(Assumptions!$C$60="Hourly",MAX(0,HC42*(HD42-HF42)),HC42*(HD42-HF42))</f>
        <v>0</v>
      </c>
      <c r="HH42" s="640">
        <f>IF($A42&gt;=BegDate,Assumptions!$C$56*24*($A43-$A42)*(1-VLOOKUP($B42,MAIN!$AA$7:$AM$28,$C42+1))*(1-VLOOKUP($B42,MAIN!$AA$33:$AM$54,$C42+1)),0)*56/168</f>
        <v>0</v>
      </c>
      <c r="HI42" s="1715">
        <f t="shared" si="156"/>
        <v>12.859968239999999</v>
      </c>
      <c r="HJ42" s="1715">
        <f>IF($A42&gt;=BegDate,VLOOKUP($A42,GasTable,13)+Assumptions!$C$58,0)</f>
        <v>0</v>
      </c>
      <c r="HK42" s="1715">
        <f>HJ42*Assumptions!$C$57/1000</f>
        <v>0</v>
      </c>
      <c r="HL42" s="625">
        <f>IF(Assumptions!$C$60="Hourly",MAX(0,HH42*(HI42-HK42)),HH42*(HI42-HK42))</f>
        <v>0</v>
      </c>
      <c r="HM42" s="640">
        <f>IF(AND(Assumptions!$H$71="Yes",A42&gt;=Assumptions!$H$72,A42&lt;=Assumptions!$H$73),Assumptions!$H$74*Assumptions!$C$9*1000,0)</f>
        <v>0</v>
      </c>
      <c r="HN42" s="530"/>
      <c r="HO42" s="545"/>
      <c r="HP42" s="545"/>
      <c r="HQ42" s="545"/>
      <c r="HR42" s="545"/>
      <c r="HS42" s="545"/>
      <c r="HT42" s="545"/>
      <c r="HU42" s="545"/>
      <c r="HV42" s="545"/>
      <c r="HW42" s="545"/>
      <c r="HX42" s="545"/>
      <c r="HY42" s="545"/>
      <c r="HZ42" s="545"/>
      <c r="IA42" s="545"/>
      <c r="IB42" s="545"/>
      <c r="IC42" s="545"/>
      <c r="ID42" s="545"/>
      <c r="IE42" s="545"/>
      <c r="IF42" s="545"/>
      <c r="IG42" s="545"/>
      <c r="IH42" s="545"/>
      <c r="II42" s="1464"/>
      <c r="IJ42" s="1463"/>
      <c r="IK42" s="1463"/>
    </row>
    <row r="43" spans="1:245">
      <c r="A43" s="177">
        <f t="shared" si="87"/>
        <v>37438</v>
      </c>
      <c r="B43" s="349">
        <f t="shared" si="88"/>
        <v>2002</v>
      </c>
      <c r="C43" s="15">
        <f t="shared" si="89"/>
        <v>7</v>
      </c>
      <c r="D43" s="612" t="str">
        <f t="shared" si="90"/>
        <v/>
      </c>
      <c r="E43" s="609" t="str">
        <f t="shared" si="91"/>
        <v/>
      </c>
      <c r="F43" s="614" t="str">
        <f t="shared" si="2"/>
        <v/>
      </c>
      <c r="G43" s="1349">
        <v>0</v>
      </c>
      <c r="H43" s="152">
        <f t="shared" si="165"/>
        <v>1</v>
      </c>
      <c r="I43" s="154">
        <f>IF(Assumptions!$L$25=4,VLOOKUP($A43,'Henwood Reference'!$E$9:$R$320,10),(VLOOKUP($A43,PriceTable,2,0)+IF(BasisNumber&lt;&gt;1,VLOOKUP($A43,BasisTable,2,0),0)+I$1)/(1-I$2))</f>
        <v>37.555526880000002</v>
      </c>
      <c r="J43" s="154">
        <f>IF(Assumptions!$L$25=4,VLOOKUP($A43,'Henwood Reference'!$E$9:$R$320,10),(VLOOKUP($A43,PriceTable,3,0)+IF(BasisNumber&lt;&gt;1,VLOOKUP($A43,BasisTable,2,0),0)+J$1)/(1-J$2))</f>
        <v>37.555526880000002</v>
      </c>
      <c r="K43" s="154">
        <f>IF(Assumptions!$L$25=4,VLOOKUP($A43,'Henwood Reference'!$E$9:$R$320,10),(VLOOKUP($A43,PriceTable,4,0)+IF(BasisNumber&lt;&gt;1,VLOOKUP($A43,BasisTable,2,0),0)+K$1)/(1-K$2))</f>
        <v>37.555526880000002</v>
      </c>
      <c r="L43" s="474">
        <f>IF(Assumptions!$L$25=4,VLOOKUP($A43,'Henwood Reference'!$E$9:$R$320,10),(VLOOKUP($A43,PriceTableWeekend,2,0)+IF(BasisNumber&lt;&gt;1,VLOOKUP($A43,BasisTable,2,0),0)+L$1)/(1-L$2))</f>
        <v>37.555526880000002</v>
      </c>
      <c r="M43" s="154">
        <f>IF(Assumptions!$L$25=4,VLOOKUP($A43,'Henwood Reference'!$E$9:$R$320,10),(VLOOKUP($A43,PriceTableWeekend,3,0)+IF(BasisNumber&lt;&gt;1,VLOOKUP($A43,BasisTable,2,0),0)+M$1)/(1-M$2))</f>
        <v>37.555526880000002</v>
      </c>
      <c r="N43" s="156">
        <f>IF(Assumptions!$L$25=4,VLOOKUP($A43,'Henwood Reference'!$E$9:$R$320,10),(VLOOKUP($A43,PriceTableWeekend,4,0)+IF(BasisNumber&lt;&gt;1,VLOOKUP($A43,BasisTable,2,0),0)+N$1)/(1-N$2))</f>
        <v>37.555526880000002</v>
      </c>
      <c r="O43" s="154">
        <f>IF(Assumptions!$L$25=4,VLOOKUP($A43,'Henwood Reference'!$E$9:$R$320,11),(VLOOKUP($A43,PriceTableWeekend,6,0)+IF(BasisNumber&lt;&gt;1,VLOOKUP($A43,BasisTable,3,0),0)+O$1)/(1-O$2))</f>
        <v>19.219829400000002</v>
      </c>
      <c r="P43" s="154">
        <f>IF(Assumptions!$L$25=4,VLOOKUP($A43,'Henwood Reference'!$E$9:$R$320,11),(VLOOKUP($A43,PriceTableWeekend,7,0)+IF(BasisNumber&lt;&gt;1,VLOOKUP($A43,BasisTable,3,0),0)+P$1)/(1-P$2))</f>
        <v>19.219829400000002</v>
      </c>
      <c r="Q43" s="156">
        <f>IF(Assumptions!$L$25=4,VLOOKUP($A43,'Henwood Reference'!$E$9:$R$320,11),(VLOOKUP($A43,PriceTableWeekend,8,0)+IF(BasisNumber&lt;&gt;1,VLOOKUP($A43,BasisTable,3,0),0)+Q$1)/(1-Q$2))</f>
        <v>19.219829400000002</v>
      </c>
      <c r="R43" s="154">
        <f>IF(Assumptions!$L$25=4,VLOOKUP($A43,'Henwood Reference'!$E$9:$R$320,11),(VLOOKUP($A43,PriceTable,6,0)+IF(BasisNumber&lt;&gt;1,VLOOKUP($A43,BasisTable,3,0),0)+R$1)/(1-R$2))</f>
        <v>19.219829400000002</v>
      </c>
      <c r="S43" s="154">
        <f>IF(Assumptions!$L$25=4,VLOOKUP($A43,'Henwood Reference'!$E$9:$R$320,11),(VLOOKUP($A43,PriceTable,7,0)+IF(BasisNumber&lt;&gt;1,VLOOKUP($A43,BasisTable,3,0),0)+S$1)/(1-S$2))</f>
        <v>19.219829400000002</v>
      </c>
      <c r="T43" s="155">
        <f>IF(Assumptions!$L$25=4,VLOOKUP($A43,'Henwood Reference'!$E$9:$R$320,11),(VLOOKUP($A43,PriceTable,8,0)+IF(BasisNumber&lt;&gt;1,VLOOKUP($A43,BasisTable,3,0),0)+T$1)/(1-T$2))</f>
        <v>19.219829400000002</v>
      </c>
      <c r="U43" s="173">
        <f t="shared" si="92"/>
        <v>0.16</v>
      </c>
      <c r="V43" s="173">
        <f t="shared" si="93"/>
        <v>0.17</v>
      </c>
      <c r="W43" s="174">
        <f t="shared" si="94"/>
        <v>0.18</v>
      </c>
      <c r="X43" s="173">
        <f t="shared" si="95"/>
        <v>0.16</v>
      </c>
      <c r="Y43" s="173">
        <f t="shared" si="96"/>
        <v>0.17</v>
      </c>
      <c r="Z43" s="174">
        <f t="shared" si="97"/>
        <v>0.18</v>
      </c>
      <c r="AA43" s="173">
        <f t="shared" si="98"/>
        <v>0.09</v>
      </c>
      <c r="AB43" s="173">
        <f t="shared" si="99"/>
        <v>0.11</v>
      </c>
      <c r="AC43" s="174">
        <f t="shared" si="100"/>
        <v>0.13</v>
      </c>
      <c r="AD43" s="173">
        <f t="shared" si="101"/>
        <v>0.09</v>
      </c>
      <c r="AE43" s="173">
        <f t="shared" si="102"/>
        <v>0.11</v>
      </c>
      <c r="AF43" s="174">
        <f t="shared" si="103"/>
        <v>0.13</v>
      </c>
      <c r="AG43" s="173">
        <f t="shared" si="104"/>
        <v>-0.35</v>
      </c>
      <c r="AH43" s="173">
        <f t="shared" si="105"/>
        <v>3</v>
      </c>
      <c r="AI43" s="174">
        <f t="shared" si="106"/>
        <v>0.35</v>
      </c>
      <c r="AJ43" s="173">
        <f t="shared" si="107"/>
        <v>-0.35</v>
      </c>
      <c r="AK43" s="173">
        <f t="shared" si="108"/>
        <v>3</v>
      </c>
      <c r="AL43" s="174">
        <f t="shared" si="109"/>
        <v>0.35</v>
      </c>
      <c r="AM43" s="173">
        <f t="shared" si="110"/>
        <v>-0.01</v>
      </c>
      <c r="AN43" s="173">
        <f t="shared" si="111"/>
        <v>0.16</v>
      </c>
      <c r="AO43" s="174">
        <f t="shared" si="112"/>
        <v>0.01</v>
      </c>
      <c r="AP43" s="173">
        <f t="shared" si="113"/>
        <v>-0.01</v>
      </c>
      <c r="AQ43" s="173">
        <f t="shared" si="114"/>
        <v>0.16</v>
      </c>
      <c r="AR43" s="175">
        <f t="shared" si="115"/>
        <v>0.01</v>
      </c>
      <c r="AS43" s="521">
        <f t="shared" si="176"/>
        <v>0.5</v>
      </c>
      <c r="AT43" s="349">
        <f t="shared" si="117"/>
        <v>0</v>
      </c>
      <c r="AU43" s="159">
        <f t="shared" si="3"/>
        <v>0</v>
      </c>
      <c r="AV43" s="159">
        <f t="shared" si="4"/>
        <v>0</v>
      </c>
      <c r="AW43" s="159">
        <f t="shared" si="177"/>
        <v>0</v>
      </c>
      <c r="AX43" s="15">
        <f t="shared" si="119"/>
        <v>0</v>
      </c>
      <c r="AY43" s="607">
        <f>IF(E43="",0,MIN((1-(1-VLOOKUP(B43,MAIN!$AA$7:$AM$28,C43+1))*(1-VLOOKUP(B43,MAIN!$AA$33:$AM$54,C43+1))),1))</f>
        <v>0</v>
      </c>
      <c r="AZ43" s="337">
        <v>0</v>
      </c>
      <c r="BA43" s="509">
        <v>0</v>
      </c>
      <c r="BB43" s="509">
        <v>0</v>
      </c>
      <c r="BC43" s="511">
        <v>0</v>
      </c>
      <c r="BD43" s="153">
        <v>0</v>
      </c>
      <c r="BE43" s="474">
        <v>0</v>
      </c>
      <c r="BF43" s="474">
        <v>0</v>
      </c>
      <c r="BG43" s="515">
        <v>0</v>
      </c>
      <c r="BH43" s="262">
        <v>0</v>
      </c>
      <c r="BI43" s="509">
        <v>0</v>
      </c>
      <c r="BJ43" s="509">
        <v>0</v>
      </c>
      <c r="BK43" s="511">
        <v>0</v>
      </c>
      <c r="BL43" s="153">
        <v>0</v>
      </c>
      <c r="BM43" s="474">
        <v>0</v>
      </c>
      <c r="BN43" s="474">
        <v>0</v>
      </c>
      <c r="BO43" s="474">
        <v>0</v>
      </c>
      <c r="BP43" s="261">
        <f t="shared" si="120"/>
        <v>0</v>
      </c>
      <c r="BQ43" s="578">
        <f t="shared" si="121"/>
        <v>0</v>
      </c>
      <c r="BR43" s="259">
        <f t="shared" si="122"/>
        <v>0</v>
      </c>
      <c r="BS43" s="578">
        <f t="shared" si="123"/>
        <v>0</v>
      </c>
      <c r="BT43" s="216">
        <f t="shared" si="124"/>
        <v>2.2121834360027379</v>
      </c>
      <c r="BU43" s="218">
        <f t="shared" si="5"/>
        <v>0</v>
      </c>
      <c r="BV43" s="216">
        <f t="shared" si="6"/>
        <v>0</v>
      </c>
      <c r="BW43" s="216">
        <f t="shared" si="7"/>
        <v>0</v>
      </c>
      <c r="BX43" s="216">
        <f t="shared" si="125"/>
        <v>0</v>
      </c>
      <c r="BY43" s="216">
        <f t="shared" si="8"/>
        <v>0</v>
      </c>
      <c r="BZ43" s="216">
        <f t="shared" si="9"/>
        <v>0</v>
      </c>
      <c r="CA43" s="264">
        <f t="shared" si="10"/>
        <v>0</v>
      </c>
      <c r="CB43" s="216">
        <f t="shared" si="11"/>
        <v>0</v>
      </c>
      <c r="CC43" s="216">
        <f t="shared" si="12"/>
        <v>0</v>
      </c>
      <c r="CD43" s="216">
        <f t="shared" si="126"/>
        <v>0</v>
      </c>
      <c r="CE43" s="216">
        <f t="shared" si="13"/>
        <v>0</v>
      </c>
      <c r="CF43" s="571">
        <f t="shared" si="14"/>
        <v>0</v>
      </c>
      <c r="CG43" s="573" t="str">
        <f t="shared" si="15"/>
        <v/>
      </c>
      <c r="CH43" s="219" t="str">
        <f t="shared" si="16"/>
        <v/>
      </c>
      <c r="CI43" s="219" t="str">
        <f t="shared" si="17"/>
        <v/>
      </c>
      <c r="CJ43" s="219" t="str">
        <f t="shared" si="18"/>
        <v/>
      </c>
      <c r="CK43" s="219" t="str">
        <f t="shared" si="19"/>
        <v/>
      </c>
      <c r="CL43" s="219" t="str">
        <f t="shared" si="20"/>
        <v/>
      </c>
      <c r="CM43" s="219" t="str">
        <f t="shared" si="21"/>
        <v/>
      </c>
      <c r="CN43" s="569" t="str">
        <f t="shared" si="22"/>
        <v/>
      </c>
      <c r="CO43" s="264">
        <f t="shared" si="175"/>
        <v>0</v>
      </c>
      <c r="CP43" s="216">
        <f t="shared" si="127"/>
        <v>0</v>
      </c>
      <c r="CQ43" s="216">
        <f t="shared" si="128"/>
        <v>0</v>
      </c>
      <c r="CR43" s="216">
        <f t="shared" si="129"/>
        <v>0</v>
      </c>
      <c r="CS43" s="1626">
        <f t="shared" si="130"/>
        <v>0</v>
      </c>
      <c r="CT43" s="216">
        <f t="shared" si="131"/>
        <v>0</v>
      </c>
      <c r="CU43" s="575" t="str">
        <f t="shared" si="23"/>
        <v/>
      </c>
      <c r="CV43" s="154" t="str">
        <f t="shared" si="24"/>
        <v/>
      </c>
      <c r="CW43" s="216">
        <f>IF(OR($BQ43,$BS43),SpreadOptPowerMargin,0)*((1+Assumptions!$C$26)^($B43-YEAR(Assumptions!$C$17)))</f>
        <v>0</v>
      </c>
      <c r="CX43" s="216">
        <f>IF(OR($BQ43,$BS43),SpreadOptPowerMargin,0)*((1+Assumptions!$C$26)^($B43-YEAR(Assumptions!$C$17)))</f>
        <v>0</v>
      </c>
      <c r="CY43" s="216">
        <f>IF(OR($BQ43,$BS43),SpreadOptPowerMargin,0)*((1+Assumptions!$C$26)^($B43-YEAR(Assumptions!$C$17)))</f>
        <v>0</v>
      </c>
      <c r="CZ43" s="216">
        <f>IF(OR($BQ43,$BS43),SpreadOptPowerMargin,0)*((1+Assumptions!$C$26)^($B43-YEAR(Assumptions!$C$17)))</f>
        <v>0</v>
      </c>
      <c r="DA43" s="440">
        <f t="shared" si="25"/>
        <v>0</v>
      </c>
      <c r="DB43" s="479" t="str">
        <f t="shared" si="26"/>
        <v/>
      </c>
      <c r="DC43" s="479" t="str">
        <f t="shared" si="27"/>
        <v/>
      </c>
      <c r="DD43" s="479" t="str">
        <f t="shared" si="28"/>
        <v/>
      </c>
      <c r="DE43" s="479" t="str">
        <f t="shared" si="29"/>
        <v/>
      </c>
      <c r="DF43" s="479" t="str">
        <f t="shared" si="30"/>
        <v/>
      </c>
      <c r="DG43" s="574" t="str">
        <f t="shared" si="31"/>
        <v/>
      </c>
      <c r="DH43" s="216">
        <f t="shared" si="32"/>
        <v>0</v>
      </c>
      <c r="DI43" s="216">
        <f t="shared" si="33"/>
        <v>0</v>
      </c>
      <c r="DJ43" s="216">
        <f t="shared" si="34"/>
        <v>0</v>
      </c>
      <c r="DK43" s="216">
        <f t="shared" si="35"/>
        <v>0</v>
      </c>
      <c r="DL43" s="216">
        <f t="shared" si="36"/>
        <v>0</v>
      </c>
      <c r="DM43" s="216"/>
      <c r="DN43" s="216"/>
      <c r="DO43" s="216"/>
      <c r="DP43" s="216"/>
      <c r="DQ43" s="216"/>
      <c r="DR43" s="216"/>
      <c r="DS43" s="216"/>
      <c r="DT43" s="216"/>
      <c r="DU43" s="216"/>
      <c r="DV43" s="216"/>
      <c r="DW43" s="1371">
        <f t="shared" si="37"/>
        <v>0</v>
      </c>
      <c r="DX43" s="216">
        <f t="shared" si="38"/>
        <v>0</v>
      </c>
      <c r="DY43" s="440">
        <f t="shared" si="39"/>
        <v>0</v>
      </c>
      <c r="DZ43" s="180">
        <f t="shared" si="40"/>
        <v>0</v>
      </c>
      <c r="EA43" s="180">
        <f t="shared" si="41"/>
        <v>0</v>
      </c>
      <c r="EB43" s="180">
        <f t="shared" si="42"/>
        <v>0</v>
      </c>
      <c r="EC43" s="180">
        <f t="shared" si="43"/>
        <v>0</v>
      </c>
      <c r="ED43" s="180">
        <f t="shared" si="44"/>
        <v>0</v>
      </c>
      <c r="EE43" s="581">
        <f t="shared" si="45"/>
        <v>0</v>
      </c>
      <c r="EF43" s="554">
        <f t="shared" si="46"/>
        <v>0</v>
      </c>
      <c r="EG43" s="554">
        <f t="shared" si="47"/>
        <v>0</v>
      </c>
      <c r="EH43" s="554">
        <f t="shared" si="48"/>
        <v>0</v>
      </c>
      <c r="EI43" s="561">
        <f t="shared" si="49"/>
        <v>0</v>
      </c>
      <c r="EJ43" s="581">
        <f t="shared" si="132"/>
        <v>0</v>
      </c>
      <c r="EK43" s="554">
        <f t="shared" si="133"/>
        <v>0</v>
      </c>
      <c r="EL43" s="554">
        <f t="shared" si="134"/>
        <v>0</v>
      </c>
      <c r="EM43" s="554">
        <f t="shared" si="135"/>
        <v>0</v>
      </c>
      <c r="EN43" s="561">
        <f t="shared" si="136"/>
        <v>0</v>
      </c>
      <c r="EO43" s="180">
        <f t="shared" si="50"/>
        <v>0</v>
      </c>
      <c r="EP43" s="180">
        <f t="shared" si="51"/>
        <v>0</v>
      </c>
      <c r="EQ43" s="180">
        <f t="shared" si="52"/>
        <v>0</v>
      </c>
      <c r="ER43" s="180">
        <f t="shared" si="53"/>
        <v>0</v>
      </c>
      <c r="ES43" s="180">
        <f t="shared" si="54"/>
        <v>0</v>
      </c>
      <c r="ET43" s="1482">
        <f t="shared" si="178"/>
        <v>0</v>
      </c>
      <c r="EU43" s="180">
        <f t="shared" si="179"/>
        <v>0</v>
      </c>
      <c r="EV43" s="180">
        <f t="shared" si="180"/>
        <v>0</v>
      </c>
      <c r="EW43" s="180">
        <f t="shared" si="181"/>
        <v>0</v>
      </c>
      <c r="EX43" s="555">
        <f t="shared" si="182"/>
        <v>0</v>
      </c>
      <c r="EY43" s="180">
        <f t="shared" si="137"/>
        <v>0</v>
      </c>
      <c r="EZ43" s="180">
        <f t="shared" si="138"/>
        <v>0</v>
      </c>
      <c r="FA43" s="180">
        <f t="shared" si="139"/>
        <v>0</v>
      </c>
      <c r="FB43" s="180">
        <f t="shared" si="140"/>
        <v>0</v>
      </c>
      <c r="FC43" s="180">
        <f t="shared" si="141"/>
        <v>0</v>
      </c>
      <c r="FD43" s="262">
        <f>IF(AX43,IF(VLOOKUP(C43,MAIN!$L$17:$M$28,2)="Yes",VLOOKUP(CALC!B43,MAIN!$H$17:$I$20,2),0),0)</f>
        <v>0</v>
      </c>
      <c r="FE43" s="623">
        <f t="shared" si="60"/>
        <v>0</v>
      </c>
      <c r="FF43" s="535">
        <f t="shared" si="61"/>
        <v>0</v>
      </c>
      <c r="FG43" s="535">
        <f t="shared" si="62"/>
        <v>0</v>
      </c>
      <c r="FH43" s="624">
        <f t="shared" si="63"/>
        <v>0</v>
      </c>
      <c r="FI43" s="632">
        <f>IF(AX43,VLOOKUP(CALC!B43,MAIN!$H$17:$K$20,4),0)</f>
        <v>0</v>
      </c>
      <c r="FJ43" s="535">
        <f t="shared" si="64"/>
        <v>0</v>
      </c>
      <c r="FK43" s="648">
        <f t="shared" si="142"/>
        <v>0</v>
      </c>
      <c r="FL43" s="530">
        <f t="shared" si="143"/>
        <v>0</v>
      </c>
      <c r="FM43" s="530">
        <f t="shared" si="144"/>
        <v>0</v>
      </c>
      <c r="FN43" s="530">
        <f t="shared" si="145"/>
        <v>0</v>
      </c>
      <c r="FO43" s="622">
        <f t="shared" si="146"/>
        <v>0</v>
      </c>
      <c r="FP43" s="530">
        <f t="shared" si="147"/>
        <v>0</v>
      </c>
      <c r="FQ43" s="530">
        <f t="shared" si="148"/>
        <v>0</v>
      </c>
      <c r="FR43" s="530">
        <f t="shared" si="149"/>
        <v>0</v>
      </c>
      <c r="FS43" s="625">
        <f t="shared" si="150"/>
        <v>0</v>
      </c>
      <c r="FT43" s="640">
        <f>IF(AND(Assumptions!$H$71="Yes",A43&gt;=Assumptions!$H$72,A43&lt;=Assumptions!$H$73),0,IF(AND($A43&gt;=Assumptions!$C$17,$A43&lt;=Assumptions!$C$18),MAX(AZ43*(1+VLOOKUP($C43,WeatherCapacityAdjustment,2))-FL43,0),0))</f>
        <v>0</v>
      </c>
      <c r="FU43" s="530">
        <f>IF(AND(Assumptions!$H$71="Yes",A43&gt;=Assumptions!$H$72,A43&lt;=Assumptions!$H$73),0,IF(AND($A43&gt;=Assumptions!$C$17,$A43&lt;=Assumptions!$C$18),MAX(BA43*(1+VLOOKUP($C43,WeatherCapacityAdjustment,2))-FM43,0),0))</f>
        <v>0</v>
      </c>
      <c r="FV43" s="530">
        <f>IF(AND(Assumptions!$H$71="Yes",A43&gt;=Assumptions!$H$72,A43&lt;=Assumptions!$H$73),0,IF(AND($A43&gt;=Assumptions!$C$17,$A43&lt;=Assumptions!$C$18),MAX(BB43*(1+VLOOKUP($C43,WeatherCapacityAdjustment,2))-FN43,0),0))</f>
        <v>0</v>
      </c>
      <c r="FW43" s="622">
        <f>IF(AND(Assumptions!$H$71="Yes",A43&gt;=Assumptions!$H$72,A43&lt;=Assumptions!$H$73),0,IF(AND($A43&gt;=Assumptions!$C$17,$A43&lt;=Assumptions!$C$18),MAX(BC43*(1+VLOOKUP($C43,WeatherCapacityAdjustment,3))-FO43,0),0))</f>
        <v>0</v>
      </c>
      <c r="FX43" s="621">
        <f>IF(AND(Assumptions!$H$71="Yes",A43&gt;=Assumptions!$H$72,A43&lt;=Assumptions!$H$73),0,IF(ET43&gt;0,MAX(BH43*(1+VLOOKUP($C43,WeatherCapacityAdjustment,2))-FP43,0),0))</f>
        <v>0</v>
      </c>
      <c r="FY43" s="530">
        <f>IF(AND(Assumptions!$H$71="Yes",A43&gt;=Assumptions!$H$72,A43&lt;=Assumptions!$H$73),0,IF(EU43&gt;0,MAX(BI43*(1+VLOOKUP($C43,WeatherCapacityAdjustment,3))-FQ43,0),0))</f>
        <v>0</v>
      </c>
      <c r="FZ43" s="530">
        <f>IF(AND(Assumptions!$H$71="Yes",A43&gt;=Assumptions!$H$72,A43&lt;=Assumptions!$H$73),0,IF(EV43&gt;0,MAX(BJ43*(1+VLOOKUP($C43,WeatherCapacityAdjustment,2))-FR43,0),0))</f>
        <v>0</v>
      </c>
      <c r="GA43" s="622">
        <f>IF(AND(Assumptions!$H$71="Yes",A43&gt;=Assumptions!$H$72,A43&lt;=Assumptions!$H$73),0,IF(EW43&gt;0,MAX(BK43*(1+VLOOKUP($C43,WeatherCapacityAdjustment,2))-FS43,0),0))</f>
        <v>0</v>
      </c>
      <c r="GB43" s="530">
        <f t="shared" si="65"/>
        <v>0</v>
      </c>
      <c r="GC43" s="545">
        <f t="shared" si="66"/>
        <v>0</v>
      </c>
      <c r="GD43" s="530">
        <f t="shared" si="67"/>
        <v>0</v>
      </c>
      <c r="GE43" s="1485">
        <f t="shared" si="151"/>
        <v>0</v>
      </c>
      <c r="GF43" s="1776">
        <f t="shared" si="168"/>
        <v>0</v>
      </c>
      <c r="GG43" s="545">
        <f t="shared" si="169"/>
        <v>0</v>
      </c>
      <c r="GH43" s="622">
        <f t="shared" si="170"/>
        <v>0</v>
      </c>
      <c r="GI43" s="621">
        <f t="shared" si="152"/>
        <v>0</v>
      </c>
      <c r="GJ43" s="638">
        <f t="shared" si="68"/>
        <v>0</v>
      </c>
      <c r="GK43" s="625">
        <f t="shared" si="166"/>
        <v>0</v>
      </c>
      <c r="GL43" s="640">
        <f t="shared" si="171"/>
        <v>0</v>
      </c>
      <c r="GM43" s="530">
        <f t="shared" si="172"/>
        <v>0</v>
      </c>
      <c r="GN43" s="530">
        <f t="shared" si="173"/>
        <v>0</v>
      </c>
      <c r="GO43" s="622">
        <f t="shared" si="174"/>
        <v>0</v>
      </c>
      <c r="GP43" s="530">
        <f t="shared" si="73"/>
        <v>0</v>
      </c>
      <c r="GQ43" s="545">
        <f t="shared" si="74"/>
        <v>0</v>
      </c>
      <c r="GR43" s="625">
        <f t="shared" si="75"/>
        <v>0</v>
      </c>
      <c r="GS43" s="640">
        <f>IF($A43&gt;=BegDate,Assumptions!$C$56*24*($A44-$A43)*(1-VLOOKUP($B43,MAIN!$AA$7:$AM$28,$C43+1))*(1-VLOOKUP($B43,MAIN!$AA$33:$AM$54,$C43+1)),0)*80/168</f>
        <v>0</v>
      </c>
      <c r="GT43" s="1715">
        <f t="shared" si="153"/>
        <v>37.555526880000002</v>
      </c>
      <c r="GU43" s="1715">
        <f>IF($A43&gt;=BegDate,VLOOKUP($A43,GasTable,13)+Assumptions!$C$58,0)</f>
        <v>0</v>
      </c>
      <c r="GV43" s="1715">
        <f>GU43*Assumptions!$C$57/1000</f>
        <v>0</v>
      </c>
      <c r="GW43" s="625">
        <f>IF(Assumptions!$C$60="Hourly",MAX(0,GS43*(GT43-GV43)),GS43*(GT43-GV43))</f>
        <v>0</v>
      </c>
      <c r="GX43" s="640">
        <f>IF($A43&gt;=BegDate,Assumptions!$C$56*24*($A44-$A43)*(1-VLOOKUP($B43,MAIN!$AA$7:$AM$28,$C43+1))*(1-VLOOKUP($B43,MAIN!$AA$33:$AM$54,$C43+1)),0)*16/168</f>
        <v>0</v>
      </c>
      <c r="GY43" s="1715">
        <f t="shared" si="154"/>
        <v>37.555526880000002</v>
      </c>
      <c r="GZ43" s="1715">
        <f>IF($A43&gt;=BegDate,VLOOKUP($A43,GasTable,13)+Assumptions!$C$58,0)</f>
        <v>0</v>
      </c>
      <c r="HA43" s="1715">
        <f>GZ43*Assumptions!$C$57/1000</f>
        <v>0</v>
      </c>
      <c r="HB43" s="625">
        <f>IF(Assumptions!$C$60="Hourly",MAX(0,GX43*(GY43-HA43)),GX43*(GY43-HA43))</f>
        <v>0</v>
      </c>
      <c r="HC43" s="640">
        <f>IF($A43&gt;=BegDate,Assumptions!$C$56*24*($A44-$A43)*(1-VLOOKUP($B43,MAIN!$AA$7:$AM$28,$C43+1))*(1-VLOOKUP($B43,MAIN!$AA$33:$AM$54,$C43+1)),0)*16/168</f>
        <v>0</v>
      </c>
      <c r="HD43" s="1715">
        <f t="shared" si="155"/>
        <v>19.219829400000002</v>
      </c>
      <c r="HE43" s="1715">
        <f>IF($A43&gt;=BegDate,VLOOKUP($A43,GasTable,13)+Assumptions!$C$58,0)</f>
        <v>0</v>
      </c>
      <c r="HF43" s="1715">
        <f>HE43*Assumptions!$C$57/1000</f>
        <v>0</v>
      </c>
      <c r="HG43" s="625">
        <f>IF(Assumptions!$C$60="Hourly",MAX(0,HC43*(HD43-HF43)),HC43*(HD43-HF43))</f>
        <v>0</v>
      </c>
      <c r="HH43" s="640">
        <f>IF($A43&gt;=BegDate,Assumptions!$C$56*24*($A44-$A43)*(1-VLOOKUP($B43,MAIN!$AA$7:$AM$28,$C43+1))*(1-VLOOKUP($B43,MAIN!$AA$33:$AM$54,$C43+1)),0)*56/168</f>
        <v>0</v>
      </c>
      <c r="HI43" s="1715">
        <f t="shared" si="156"/>
        <v>19.219829400000002</v>
      </c>
      <c r="HJ43" s="1715">
        <f>IF($A43&gt;=BegDate,VLOOKUP($A43,GasTable,13)+Assumptions!$C$58,0)</f>
        <v>0</v>
      </c>
      <c r="HK43" s="1715">
        <f>HJ43*Assumptions!$C$57/1000</f>
        <v>0</v>
      </c>
      <c r="HL43" s="625">
        <f>IF(Assumptions!$C$60="Hourly",MAX(0,HH43*(HI43-HK43)),HH43*(HI43-HK43))</f>
        <v>0</v>
      </c>
      <c r="HM43" s="640">
        <f>IF(AND(Assumptions!$H$71="Yes",A43&gt;=Assumptions!$H$72,A43&lt;=Assumptions!$H$73),Assumptions!$H$74*Assumptions!$C$9*1000,0)</f>
        <v>0</v>
      </c>
      <c r="HN43" s="530"/>
      <c r="HO43" s="545"/>
      <c r="HP43" s="545"/>
      <c r="HQ43" s="545"/>
      <c r="HR43" s="545"/>
      <c r="HS43" s="545"/>
      <c r="HT43" s="545"/>
      <c r="HU43" s="545"/>
      <c r="HV43" s="545"/>
      <c r="HW43" s="545"/>
      <c r="HX43" s="545"/>
      <c r="HY43" s="545"/>
      <c r="HZ43" s="545"/>
      <c r="IA43" s="545"/>
      <c r="IB43" s="545"/>
      <c r="IC43" s="545"/>
      <c r="ID43" s="545"/>
      <c r="IE43" s="545"/>
      <c r="IF43" s="545"/>
      <c r="IG43" s="545"/>
      <c r="IH43" s="545"/>
      <c r="II43" s="1464"/>
      <c r="IJ43" s="1463"/>
      <c r="IK43" s="1463"/>
    </row>
    <row r="44" spans="1:245">
      <c r="A44" s="177">
        <f t="shared" si="87"/>
        <v>37469</v>
      </c>
      <c r="B44" s="349">
        <f t="shared" si="88"/>
        <v>2002</v>
      </c>
      <c r="C44" s="15">
        <f t="shared" si="89"/>
        <v>8</v>
      </c>
      <c r="D44" s="612" t="str">
        <f t="shared" si="90"/>
        <v/>
      </c>
      <c r="E44" s="609" t="str">
        <f t="shared" si="91"/>
        <v/>
      </c>
      <c r="F44" s="614" t="str">
        <f t="shared" si="2"/>
        <v/>
      </c>
      <c r="G44" s="1349">
        <v>0</v>
      </c>
      <c r="H44" s="152">
        <f t="shared" si="165"/>
        <v>1</v>
      </c>
      <c r="I44" s="154">
        <f>IF(Assumptions!$L$25=4,VLOOKUP($A44,'Henwood Reference'!$E$9:$R$320,10),(VLOOKUP($A44,PriceTable,2,0)+IF(BasisNumber&lt;&gt;1,VLOOKUP($A44,BasisTable,2,0),0)+I$1)/(1-I$2))</f>
        <v>53.951502599999998</v>
      </c>
      <c r="J44" s="154">
        <f>IF(Assumptions!$L$25=4,VLOOKUP($A44,'Henwood Reference'!$E$9:$R$320,10),(VLOOKUP($A44,PriceTable,3,0)+IF(BasisNumber&lt;&gt;1,VLOOKUP($A44,BasisTable,2,0),0)+J$1)/(1-J$2))</f>
        <v>53.951502599999998</v>
      </c>
      <c r="K44" s="154">
        <f>IF(Assumptions!$L$25=4,VLOOKUP($A44,'Henwood Reference'!$E$9:$R$320,10),(VLOOKUP($A44,PriceTable,4,0)+IF(BasisNumber&lt;&gt;1,VLOOKUP($A44,BasisTable,2,0),0)+K$1)/(1-K$2))</f>
        <v>53.951502599999998</v>
      </c>
      <c r="L44" s="474">
        <f>IF(Assumptions!$L$25=4,VLOOKUP($A44,'Henwood Reference'!$E$9:$R$320,10),(VLOOKUP($A44,PriceTableWeekend,2,0)+IF(BasisNumber&lt;&gt;1,VLOOKUP($A44,BasisTable,2,0),0)+L$1)/(1-L$2))</f>
        <v>53.951502599999998</v>
      </c>
      <c r="M44" s="154">
        <f>IF(Assumptions!$L$25=4,VLOOKUP($A44,'Henwood Reference'!$E$9:$R$320,10),(VLOOKUP($A44,PriceTableWeekend,3,0)+IF(BasisNumber&lt;&gt;1,VLOOKUP($A44,BasisTable,2,0),0)+M$1)/(1-M$2))</f>
        <v>53.951502599999998</v>
      </c>
      <c r="N44" s="156">
        <f>IF(Assumptions!$L$25=4,VLOOKUP($A44,'Henwood Reference'!$E$9:$R$320,10),(VLOOKUP($A44,PriceTableWeekend,4,0)+IF(BasisNumber&lt;&gt;1,VLOOKUP($A44,BasisTable,2,0),0)+N$1)/(1-N$2))</f>
        <v>53.951502599999998</v>
      </c>
      <c r="O44" s="154">
        <f>IF(Assumptions!$L$25=4,VLOOKUP($A44,'Henwood Reference'!$E$9:$R$320,11),(VLOOKUP($A44,PriceTableWeekend,6,0)+IF(BasisNumber&lt;&gt;1,VLOOKUP($A44,BasisTable,3,0),0)+O$1)/(1-O$2))</f>
        <v>25.99449804</v>
      </c>
      <c r="P44" s="154">
        <f>IF(Assumptions!$L$25=4,VLOOKUP($A44,'Henwood Reference'!$E$9:$R$320,11),(VLOOKUP($A44,PriceTableWeekend,7,0)+IF(BasisNumber&lt;&gt;1,VLOOKUP($A44,BasisTable,3,0),0)+P$1)/(1-P$2))</f>
        <v>25.99449804</v>
      </c>
      <c r="Q44" s="156">
        <f>IF(Assumptions!$L$25=4,VLOOKUP($A44,'Henwood Reference'!$E$9:$R$320,11),(VLOOKUP($A44,PriceTableWeekend,8,0)+IF(BasisNumber&lt;&gt;1,VLOOKUP($A44,BasisTable,3,0),0)+Q$1)/(1-Q$2))</f>
        <v>25.99449804</v>
      </c>
      <c r="R44" s="154">
        <f>IF(Assumptions!$L$25=4,VLOOKUP($A44,'Henwood Reference'!$E$9:$R$320,11),(VLOOKUP($A44,PriceTable,6,0)+IF(BasisNumber&lt;&gt;1,VLOOKUP($A44,BasisTable,3,0),0)+R$1)/(1-R$2))</f>
        <v>25.99449804</v>
      </c>
      <c r="S44" s="154">
        <f>IF(Assumptions!$L$25=4,VLOOKUP($A44,'Henwood Reference'!$E$9:$R$320,11),(VLOOKUP($A44,PriceTable,7,0)+IF(BasisNumber&lt;&gt;1,VLOOKUP($A44,BasisTable,3,0),0)+S$1)/(1-S$2))</f>
        <v>25.99449804</v>
      </c>
      <c r="T44" s="155">
        <f>IF(Assumptions!$L$25=4,VLOOKUP($A44,'Henwood Reference'!$E$9:$R$320,11),(VLOOKUP($A44,PriceTable,8,0)+IF(BasisNumber&lt;&gt;1,VLOOKUP($A44,BasisTable,3,0),0)+T$1)/(1-T$2))</f>
        <v>25.99449804</v>
      </c>
      <c r="U44" s="173">
        <f t="shared" si="92"/>
        <v>0.16</v>
      </c>
      <c r="V44" s="173">
        <f t="shared" si="93"/>
        <v>0.17</v>
      </c>
      <c r="W44" s="174">
        <f t="shared" si="94"/>
        <v>0.18</v>
      </c>
      <c r="X44" s="173">
        <f t="shared" si="95"/>
        <v>0.16</v>
      </c>
      <c r="Y44" s="173">
        <f t="shared" si="96"/>
        <v>0.17</v>
      </c>
      <c r="Z44" s="174">
        <f t="shared" si="97"/>
        <v>0.18</v>
      </c>
      <c r="AA44" s="173">
        <f t="shared" si="98"/>
        <v>0.09</v>
      </c>
      <c r="AB44" s="173">
        <f t="shared" si="99"/>
        <v>0.11</v>
      </c>
      <c r="AC44" s="174">
        <f t="shared" si="100"/>
        <v>0.13</v>
      </c>
      <c r="AD44" s="173">
        <f t="shared" si="101"/>
        <v>0.09</v>
      </c>
      <c r="AE44" s="173">
        <f t="shared" si="102"/>
        <v>0.11</v>
      </c>
      <c r="AF44" s="174">
        <f t="shared" si="103"/>
        <v>0.13</v>
      </c>
      <c r="AG44" s="173">
        <f t="shared" si="104"/>
        <v>-0.35</v>
      </c>
      <c r="AH44" s="173">
        <f t="shared" si="105"/>
        <v>3</v>
      </c>
      <c r="AI44" s="174">
        <f t="shared" si="106"/>
        <v>0.35</v>
      </c>
      <c r="AJ44" s="173">
        <f t="shared" si="107"/>
        <v>-0.35</v>
      </c>
      <c r="AK44" s="173">
        <f t="shared" si="108"/>
        <v>3</v>
      </c>
      <c r="AL44" s="174">
        <f t="shared" si="109"/>
        <v>0.35</v>
      </c>
      <c r="AM44" s="173">
        <f t="shared" si="110"/>
        <v>-0.01</v>
      </c>
      <c r="AN44" s="173">
        <f t="shared" si="111"/>
        <v>0.16</v>
      </c>
      <c r="AO44" s="174">
        <f t="shared" si="112"/>
        <v>0.01</v>
      </c>
      <c r="AP44" s="173">
        <f t="shared" si="113"/>
        <v>-0.01</v>
      </c>
      <c r="AQ44" s="173">
        <f t="shared" si="114"/>
        <v>0.16</v>
      </c>
      <c r="AR44" s="175">
        <f t="shared" si="115"/>
        <v>0.01</v>
      </c>
      <c r="AS44" s="521">
        <f t="shared" si="176"/>
        <v>0.5</v>
      </c>
      <c r="AT44" s="349">
        <f t="shared" si="117"/>
        <v>0</v>
      </c>
      <c r="AU44" s="159">
        <f t="shared" si="3"/>
        <v>0</v>
      </c>
      <c r="AV44" s="159">
        <f t="shared" si="4"/>
        <v>0</v>
      </c>
      <c r="AW44" s="159">
        <f t="shared" si="177"/>
        <v>0</v>
      </c>
      <c r="AX44" s="15">
        <f t="shared" si="119"/>
        <v>0</v>
      </c>
      <c r="AY44" s="607">
        <f>IF(E44="",0,MIN((1-(1-VLOOKUP(B44,MAIN!$AA$7:$AM$28,C44+1))*(1-VLOOKUP(B44,MAIN!$AA$33:$AM$54,C44+1))),1))</f>
        <v>0</v>
      </c>
      <c r="AZ44" s="337">
        <v>0</v>
      </c>
      <c r="BA44" s="509">
        <v>0</v>
      </c>
      <c r="BB44" s="509">
        <v>0</v>
      </c>
      <c r="BC44" s="511">
        <v>0</v>
      </c>
      <c r="BD44" s="153">
        <v>0</v>
      </c>
      <c r="BE44" s="474">
        <v>0</v>
      </c>
      <c r="BF44" s="474">
        <v>0</v>
      </c>
      <c r="BG44" s="515">
        <v>0</v>
      </c>
      <c r="BH44" s="262">
        <v>0</v>
      </c>
      <c r="BI44" s="509">
        <v>0</v>
      </c>
      <c r="BJ44" s="509">
        <v>0</v>
      </c>
      <c r="BK44" s="511">
        <v>0</v>
      </c>
      <c r="BL44" s="153">
        <v>0</v>
      </c>
      <c r="BM44" s="474">
        <v>0</v>
      </c>
      <c r="BN44" s="474">
        <v>0</v>
      </c>
      <c r="BO44" s="474">
        <v>0</v>
      </c>
      <c r="BP44" s="261">
        <f t="shared" si="120"/>
        <v>0</v>
      </c>
      <c r="BQ44" s="578">
        <f t="shared" si="121"/>
        <v>0</v>
      </c>
      <c r="BR44" s="259">
        <f t="shared" si="122"/>
        <v>0</v>
      </c>
      <c r="BS44" s="578">
        <f t="shared" si="123"/>
        <v>0</v>
      </c>
      <c r="BT44" s="216">
        <f t="shared" si="124"/>
        <v>2.2970568104038329</v>
      </c>
      <c r="BU44" s="218">
        <f t="shared" si="5"/>
        <v>0</v>
      </c>
      <c r="BV44" s="216">
        <f t="shared" si="6"/>
        <v>0</v>
      </c>
      <c r="BW44" s="216">
        <f t="shared" si="7"/>
        <v>0</v>
      </c>
      <c r="BX44" s="216">
        <f t="shared" si="125"/>
        <v>0</v>
      </c>
      <c r="BY44" s="216">
        <f t="shared" si="8"/>
        <v>0</v>
      </c>
      <c r="BZ44" s="216">
        <f t="shared" si="9"/>
        <v>0</v>
      </c>
      <c r="CA44" s="264">
        <f t="shared" si="10"/>
        <v>0</v>
      </c>
      <c r="CB44" s="216">
        <f t="shared" si="11"/>
        <v>0</v>
      </c>
      <c r="CC44" s="216">
        <f t="shared" si="12"/>
        <v>0</v>
      </c>
      <c r="CD44" s="216">
        <f t="shared" si="126"/>
        <v>0</v>
      </c>
      <c r="CE44" s="216">
        <f t="shared" si="13"/>
        <v>0</v>
      </c>
      <c r="CF44" s="571">
        <f t="shared" si="14"/>
        <v>0</v>
      </c>
      <c r="CG44" s="573" t="str">
        <f t="shared" si="15"/>
        <v/>
      </c>
      <c r="CH44" s="219" t="str">
        <f t="shared" si="16"/>
        <v/>
      </c>
      <c r="CI44" s="219" t="str">
        <f t="shared" si="17"/>
        <v/>
      </c>
      <c r="CJ44" s="219" t="str">
        <f t="shared" si="18"/>
        <v/>
      </c>
      <c r="CK44" s="219" t="str">
        <f t="shared" si="19"/>
        <v/>
      </c>
      <c r="CL44" s="219" t="str">
        <f t="shared" si="20"/>
        <v/>
      </c>
      <c r="CM44" s="219" t="str">
        <f t="shared" si="21"/>
        <v/>
      </c>
      <c r="CN44" s="569" t="str">
        <f t="shared" si="22"/>
        <v/>
      </c>
      <c r="CO44" s="264">
        <f t="shared" si="175"/>
        <v>0</v>
      </c>
      <c r="CP44" s="216">
        <f t="shared" si="127"/>
        <v>0</v>
      </c>
      <c r="CQ44" s="216">
        <f t="shared" si="128"/>
        <v>0</v>
      </c>
      <c r="CR44" s="216">
        <f t="shared" si="129"/>
        <v>0</v>
      </c>
      <c r="CS44" s="1626">
        <f t="shared" si="130"/>
        <v>0</v>
      </c>
      <c r="CT44" s="216">
        <f t="shared" si="131"/>
        <v>0</v>
      </c>
      <c r="CU44" s="575" t="str">
        <f t="shared" si="23"/>
        <v/>
      </c>
      <c r="CV44" s="154" t="str">
        <f t="shared" si="24"/>
        <v/>
      </c>
      <c r="CW44" s="216">
        <f>IF(OR($BQ44,$BS44),SpreadOptPowerMargin,0)*((1+Assumptions!$C$26)^($B44-YEAR(Assumptions!$C$17)))</f>
        <v>0</v>
      </c>
      <c r="CX44" s="216">
        <f>IF(OR($BQ44,$BS44),SpreadOptPowerMargin,0)*((1+Assumptions!$C$26)^($B44-YEAR(Assumptions!$C$17)))</f>
        <v>0</v>
      </c>
      <c r="CY44" s="216">
        <f>IF(OR($BQ44,$BS44),SpreadOptPowerMargin,0)*((1+Assumptions!$C$26)^($B44-YEAR(Assumptions!$C$17)))</f>
        <v>0</v>
      </c>
      <c r="CZ44" s="216">
        <f>IF(OR($BQ44,$BS44),SpreadOptPowerMargin,0)*((1+Assumptions!$C$26)^($B44-YEAR(Assumptions!$C$17)))</f>
        <v>0</v>
      </c>
      <c r="DA44" s="440">
        <f t="shared" si="25"/>
        <v>0</v>
      </c>
      <c r="DB44" s="479" t="str">
        <f t="shared" si="26"/>
        <v/>
      </c>
      <c r="DC44" s="479" t="str">
        <f t="shared" si="27"/>
        <v/>
      </c>
      <c r="DD44" s="479" t="str">
        <f t="shared" si="28"/>
        <v/>
      </c>
      <c r="DE44" s="479" t="str">
        <f t="shared" si="29"/>
        <v/>
      </c>
      <c r="DF44" s="479" t="str">
        <f t="shared" si="30"/>
        <v/>
      </c>
      <c r="DG44" s="574" t="str">
        <f t="shared" si="31"/>
        <v/>
      </c>
      <c r="DH44" s="216">
        <f t="shared" si="32"/>
        <v>0</v>
      </c>
      <c r="DI44" s="216">
        <f t="shared" si="33"/>
        <v>0</v>
      </c>
      <c r="DJ44" s="216">
        <f t="shared" si="34"/>
        <v>0</v>
      </c>
      <c r="DK44" s="216">
        <f t="shared" si="35"/>
        <v>0</v>
      </c>
      <c r="DL44" s="216">
        <f t="shared" si="36"/>
        <v>0</v>
      </c>
      <c r="DM44" s="216"/>
      <c r="DN44" s="216"/>
      <c r="DO44" s="216"/>
      <c r="DP44" s="216"/>
      <c r="DQ44" s="216"/>
      <c r="DR44" s="216"/>
      <c r="DS44" s="216"/>
      <c r="DT44" s="216"/>
      <c r="DU44" s="216"/>
      <c r="DV44" s="216"/>
      <c r="DW44" s="1371">
        <f t="shared" si="37"/>
        <v>0</v>
      </c>
      <c r="DX44" s="216">
        <f t="shared" si="38"/>
        <v>0</v>
      </c>
      <c r="DY44" s="440">
        <f t="shared" si="39"/>
        <v>0</v>
      </c>
      <c r="DZ44" s="180">
        <f t="shared" si="40"/>
        <v>0</v>
      </c>
      <c r="EA44" s="180">
        <f t="shared" si="41"/>
        <v>0</v>
      </c>
      <c r="EB44" s="180">
        <f t="shared" si="42"/>
        <v>0</v>
      </c>
      <c r="EC44" s="180">
        <f t="shared" si="43"/>
        <v>0</v>
      </c>
      <c r="ED44" s="180">
        <f t="shared" si="44"/>
        <v>0</v>
      </c>
      <c r="EE44" s="581">
        <f t="shared" si="45"/>
        <v>0</v>
      </c>
      <c r="EF44" s="554">
        <f t="shared" si="46"/>
        <v>0</v>
      </c>
      <c r="EG44" s="554">
        <f t="shared" si="47"/>
        <v>0</v>
      </c>
      <c r="EH44" s="554">
        <f t="shared" si="48"/>
        <v>0</v>
      </c>
      <c r="EI44" s="561">
        <f t="shared" si="49"/>
        <v>0</v>
      </c>
      <c r="EJ44" s="581">
        <f t="shared" si="132"/>
        <v>0</v>
      </c>
      <c r="EK44" s="554">
        <f t="shared" si="133"/>
        <v>0</v>
      </c>
      <c r="EL44" s="554">
        <f t="shared" si="134"/>
        <v>0</v>
      </c>
      <c r="EM44" s="554">
        <f t="shared" si="135"/>
        <v>0</v>
      </c>
      <c r="EN44" s="561">
        <f t="shared" si="136"/>
        <v>0</v>
      </c>
      <c r="EO44" s="180">
        <f t="shared" si="50"/>
        <v>0</v>
      </c>
      <c r="EP44" s="180">
        <f t="shared" si="51"/>
        <v>0</v>
      </c>
      <c r="EQ44" s="180">
        <f t="shared" si="52"/>
        <v>0</v>
      </c>
      <c r="ER44" s="180">
        <f t="shared" si="53"/>
        <v>0</v>
      </c>
      <c r="ES44" s="180">
        <f t="shared" si="54"/>
        <v>0</v>
      </c>
      <c r="ET44" s="1482">
        <f t="shared" si="178"/>
        <v>0</v>
      </c>
      <c r="EU44" s="180">
        <f t="shared" si="179"/>
        <v>0</v>
      </c>
      <c r="EV44" s="180">
        <f t="shared" si="180"/>
        <v>0</v>
      </c>
      <c r="EW44" s="180">
        <f t="shared" si="181"/>
        <v>0</v>
      </c>
      <c r="EX44" s="555">
        <f t="shared" si="182"/>
        <v>0</v>
      </c>
      <c r="EY44" s="180">
        <f t="shared" si="137"/>
        <v>0</v>
      </c>
      <c r="EZ44" s="180">
        <f t="shared" si="138"/>
        <v>0</v>
      </c>
      <c r="FA44" s="180">
        <f t="shared" si="139"/>
        <v>0</v>
      </c>
      <c r="FB44" s="180">
        <f t="shared" si="140"/>
        <v>0</v>
      </c>
      <c r="FC44" s="180">
        <f t="shared" si="141"/>
        <v>0</v>
      </c>
      <c r="FD44" s="262">
        <f>IF(AX44,IF(VLOOKUP(C44,MAIN!$L$17:$M$28,2)="Yes",VLOOKUP(CALC!B44,MAIN!$H$17:$I$20,2),0),0)</f>
        <v>0</v>
      </c>
      <c r="FE44" s="623">
        <f t="shared" si="60"/>
        <v>0</v>
      </c>
      <c r="FF44" s="535">
        <f t="shared" si="61"/>
        <v>0</v>
      </c>
      <c r="FG44" s="535">
        <f t="shared" si="62"/>
        <v>0</v>
      </c>
      <c r="FH44" s="624">
        <f t="shared" si="63"/>
        <v>0</v>
      </c>
      <c r="FI44" s="632">
        <f>IF(AX44,VLOOKUP(CALC!B44,MAIN!$H$17:$K$20,4),0)</f>
        <v>0</v>
      </c>
      <c r="FJ44" s="535">
        <f t="shared" si="64"/>
        <v>0</v>
      </c>
      <c r="FK44" s="648">
        <f t="shared" si="142"/>
        <v>0</v>
      </c>
      <c r="FL44" s="530">
        <f t="shared" si="143"/>
        <v>0</v>
      </c>
      <c r="FM44" s="530">
        <f t="shared" si="144"/>
        <v>0</v>
      </c>
      <c r="FN44" s="530">
        <f t="shared" si="145"/>
        <v>0</v>
      </c>
      <c r="FO44" s="622">
        <f t="shared" si="146"/>
        <v>0</v>
      </c>
      <c r="FP44" s="530">
        <f t="shared" si="147"/>
        <v>0</v>
      </c>
      <c r="FQ44" s="530">
        <f t="shared" si="148"/>
        <v>0</v>
      </c>
      <c r="FR44" s="530">
        <f t="shared" si="149"/>
        <v>0</v>
      </c>
      <c r="FS44" s="625">
        <f t="shared" si="150"/>
        <v>0</v>
      </c>
      <c r="FT44" s="640">
        <f>IF(AND(Assumptions!$H$71="Yes",A44&gt;=Assumptions!$H$72,A44&lt;=Assumptions!$H$73),0,IF(AND($A44&gt;=Assumptions!$C$17,$A44&lt;=Assumptions!$C$18),MAX(AZ44*(1+VLOOKUP($C44,WeatherCapacityAdjustment,2))-FL44,0),0))</f>
        <v>0</v>
      </c>
      <c r="FU44" s="530">
        <f>IF(AND(Assumptions!$H$71="Yes",A44&gt;=Assumptions!$H$72,A44&lt;=Assumptions!$H$73),0,IF(AND($A44&gt;=Assumptions!$C$17,$A44&lt;=Assumptions!$C$18),MAX(BA44*(1+VLOOKUP($C44,WeatherCapacityAdjustment,2))-FM44,0),0))</f>
        <v>0</v>
      </c>
      <c r="FV44" s="530">
        <f>IF(AND(Assumptions!$H$71="Yes",A44&gt;=Assumptions!$H$72,A44&lt;=Assumptions!$H$73),0,IF(AND($A44&gt;=Assumptions!$C$17,$A44&lt;=Assumptions!$C$18),MAX(BB44*(1+VLOOKUP($C44,WeatherCapacityAdjustment,2))-FN44,0),0))</f>
        <v>0</v>
      </c>
      <c r="FW44" s="622">
        <f>IF(AND(Assumptions!$H$71="Yes",A44&gt;=Assumptions!$H$72,A44&lt;=Assumptions!$H$73),0,IF(AND($A44&gt;=Assumptions!$C$17,$A44&lt;=Assumptions!$C$18),MAX(BC44*(1+VLOOKUP($C44,WeatherCapacityAdjustment,3))-FO44,0),0))</f>
        <v>0</v>
      </c>
      <c r="FX44" s="621">
        <f>IF(AND(Assumptions!$H$71="Yes",A44&gt;=Assumptions!$H$72,A44&lt;=Assumptions!$H$73),0,IF(ET44&gt;0,MAX(BH44*(1+VLOOKUP($C44,WeatherCapacityAdjustment,2))-FP44,0),0))</f>
        <v>0</v>
      </c>
      <c r="FY44" s="530">
        <f>IF(AND(Assumptions!$H$71="Yes",A44&gt;=Assumptions!$H$72,A44&lt;=Assumptions!$H$73),0,IF(EU44&gt;0,MAX(BI44*(1+VLOOKUP($C44,WeatherCapacityAdjustment,3))-FQ44,0),0))</f>
        <v>0</v>
      </c>
      <c r="FZ44" s="530">
        <f>IF(AND(Assumptions!$H$71="Yes",A44&gt;=Assumptions!$H$72,A44&lt;=Assumptions!$H$73),0,IF(EV44&gt;0,MAX(BJ44*(1+VLOOKUP($C44,WeatherCapacityAdjustment,2))-FR44,0),0))</f>
        <v>0</v>
      </c>
      <c r="GA44" s="622">
        <f>IF(AND(Assumptions!$H$71="Yes",A44&gt;=Assumptions!$H$72,A44&lt;=Assumptions!$H$73),0,IF(EW44&gt;0,MAX(BK44*(1+VLOOKUP($C44,WeatherCapacityAdjustment,2))-FS44,0),0))</f>
        <v>0</v>
      </c>
      <c r="GB44" s="530">
        <f t="shared" si="65"/>
        <v>0</v>
      </c>
      <c r="GC44" s="545">
        <f t="shared" si="66"/>
        <v>0</v>
      </c>
      <c r="GD44" s="530">
        <f t="shared" si="67"/>
        <v>0</v>
      </c>
      <c r="GE44" s="1485">
        <f t="shared" si="151"/>
        <v>0</v>
      </c>
      <c r="GF44" s="1776">
        <f t="shared" si="168"/>
        <v>0</v>
      </c>
      <c r="GG44" s="545">
        <f t="shared" si="169"/>
        <v>0</v>
      </c>
      <c r="GH44" s="622">
        <f t="shared" si="170"/>
        <v>0</v>
      </c>
      <c r="GI44" s="621">
        <f t="shared" si="152"/>
        <v>0</v>
      </c>
      <c r="GJ44" s="638">
        <f t="shared" si="68"/>
        <v>0</v>
      </c>
      <c r="GK44" s="625">
        <f t="shared" si="166"/>
        <v>0</v>
      </c>
      <c r="GL44" s="640">
        <f t="shared" si="171"/>
        <v>0</v>
      </c>
      <c r="GM44" s="530">
        <f t="shared" si="172"/>
        <v>0</v>
      </c>
      <c r="GN44" s="530">
        <f t="shared" si="173"/>
        <v>0</v>
      </c>
      <c r="GO44" s="622">
        <f t="shared" si="174"/>
        <v>0</v>
      </c>
      <c r="GP44" s="530">
        <f t="shared" si="73"/>
        <v>0</v>
      </c>
      <c r="GQ44" s="545">
        <f t="shared" si="74"/>
        <v>0</v>
      </c>
      <c r="GR44" s="625">
        <f t="shared" si="75"/>
        <v>0</v>
      </c>
      <c r="GS44" s="640">
        <f>IF($A44&gt;=BegDate,Assumptions!$C$56*24*($A45-$A44)*(1-VLOOKUP($B44,MAIN!$AA$7:$AM$28,$C44+1))*(1-VLOOKUP($B44,MAIN!$AA$33:$AM$54,$C44+1)),0)*80/168</f>
        <v>0</v>
      </c>
      <c r="GT44" s="1715">
        <f t="shared" si="153"/>
        <v>53.951502599999998</v>
      </c>
      <c r="GU44" s="1715">
        <f>IF($A44&gt;=BegDate,VLOOKUP($A44,GasTable,13)+Assumptions!$C$58,0)</f>
        <v>0</v>
      </c>
      <c r="GV44" s="1715">
        <f>GU44*Assumptions!$C$57/1000</f>
        <v>0</v>
      </c>
      <c r="GW44" s="625">
        <f>IF(Assumptions!$C$60="Hourly",MAX(0,GS44*(GT44-GV44)),GS44*(GT44-GV44))</f>
        <v>0</v>
      </c>
      <c r="GX44" s="640">
        <f>IF($A44&gt;=BegDate,Assumptions!$C$56*24*($A45-$A44)*(1-VLOOKUP($B44,MAIN!$AA$7:$AM$28,$C44+1))*(1-VLOOKUP($B44,MAIN!$AA$33:$AM$54,$C44+1)),0)*16/168</f>
        <v>0</v>
      </c>
      <c r="GY44" s="1715">
        <f t="shared" si="154"/>
        <v>53.951502599999998</v>
      </c>
      <c r="GZ44" s="1715">
        <f>IF($A44&gt;=BegDate,VLOOKUP($A44,GasTable,13)+Assumptions!$C$58,0)</f>
        <v>0</v>
      </c>
      <c r="HA44" s="1715">
        <f>GZ44*Assumptions!$C$57/1000</f>
        <v>0</v>
      </c>
      <c r="HB44" s="625">
        <f>IF(Assumptions!$C$60="Hourly",MAX(0,GX44*(GY44-HA44)),GX44*(GY44-HA44))</f>
        <v>0</v>
      </c>
      <c r="HC44" s="640">
        <f>IF($A44&gt;=BegDate,Assumptions!$C$56*24*($A45-$A44)*(1-VLOOKUP($B44,MAIN!$AA$7:$AM$28,$C44+1))*(1-VLOOKUP($B44,MAIN!$AA$33:$AM$54,$C44+1)),0)*16/168</f>
        <v>0</v>
      </c>
      <c r="HD44" s="1715">
        <f t="shared" si="155"/>
        <v>25.99449804</v>
      </c>
      <c r="HE44" s="1715">
        <f>IF($A44&gt;=BegDate,VLOOKUP($A44,GasTable,13)+Assumptions!$C$58,0)</f>
        <v>0</v>
      </c>
      <c r="HF44" s="1715">
        <f>HE44*Assumptions!$C$57/1000</f>
        <v>0</v>
      </c>
      <c r="HG44" s="625">
        <f>IF(Assumptions!$C$60="Hourly",MAX(0,HC44*(HD44-HF44)),HC44*(HD44-HF44))</f>
        <v>0</v>
      </c>
      <c r="HH44" s="640">
        <f>IF($A44&gt;=BegDate,Assumptions!$C$56*24*($A45-$A44)*(1-VLOOKUP($B44,MAIN!$AA$7:$AM$28,$C44+1))*(1-VLOOKUP($B44,MAIN!$AA$33:$AM$54,$C44+1)),0)*56/168</f>
        <v>0</v>
      </c>
      <c r="HI44" s="1715">
        <f t="shared" si="156"/>
        <v>25.99449804</v>
      </c>
      <c r="HJ44" s="1715">
        <f>IF($A44&gt;=BegDate,VLOOKUP($A44,GasTable,13)+Assumptions!$C$58,0)</f>
        <v>0</v>
      </c>
      <c r="HK44" s="1715">
        <f>HJ44*Assumptions!$C$57/1000</f>
        <v>0</v>
      </c>
      <c r="HL44" s="625">
        <f>IF(Assumptions!$C$60="Hourly",MAX(0,HH44*(HI44-HK44)),HH44*(HI44-HK44))</f>
        <v>0</v>
      </c>
      <c r="HM44" s="640">
        <f>IF(AND(Assumptions!$H$71="Yes",A44&gt;=Assumptions!$H$72,A44&lt;=Assumptions!$H$73),Assumptions!$H$74*Assumptions!$C$9*1000,0)</f>
        <v>0</v>
      </c>
      <c r="HN44" s="530"/>
      <c r="HO44" s="545"/>
      <c r="HP44" s="545"/>
      <c r="HQ44" s="545"/>
      <c r="HR44" s="545"/>
      <c r="HS44" s="545"/>
      <c r="HT44" s="545"/>
      <c r="HU44" s="545"/>
      <c r="HV44" s="545"/>
      <c r="HW44" s="545"/>
      <c r="HX44" s="545"/>
      <c r="HY44" s="545"/>
      <c r="HZ44" s="545"/>
      <c r="IA44" s="545"/>
      <c r="IB44" s="545"/>
      <c r="IC44" s="545"/>
      <c r="ID44" s="545"/>
      <c r="IE44" s="545"/>
      <c r="IF44" s="545"/>
      <c r="IG44" s="545"/>
      <c r="IH44" s="545"/>
      <c r="II44" s="1464"/>
      <c r="IJ44" s="1463"/>
      <c r="IK44" s="1463"/>
    </row>
    <row r="45" spans="1:245">
      <c r="A45" s="177">
        <f t="shared" si="87"/>
        <v>37500</v>
      </c>
      <c r="B45" s="349">
        <f t="shared" si="88"/>
        <v>2002</v>
      </c>
      <c r="C45" s="15">
        <f t="shared" si="89"/>
        <v>9</v>
      </c>
      <c r="D45" s="612" t="str">
        <f t="shared" si="90"/>
        <v/>
      </c>
      <c r="E45" s="609" t="str">
        <f t="shared" si="91"/>
        <v/>
      </c>
      <c r="F45" s="614" t="str">
        <f t="shared" si="2"/>
        <v/>
      </c>
      <c r="G45" s="1349">
        <v>0</v>
      </c>
      <c r="H45" s="152">
        <f t="shared" si="165"/>
        <v>1</v>
      </c>
      <c r="I45" s="154">
        <f>IF(Assumptions!$L$25=4,VLOOKUP($A45,'Henwood Reference'!$E$9:$R$320,10),(VLOOKUP($A45,PriceTable,2,0)+IF(BasisNumber&lt;&gt;1,VLOOKUP($A45,BasisTable,2,0),0)+I$1)/(1-I$2))</f>
        <v>45.541429200000003</v>
      </c>
      <c r="J45" s="154">
        <f>IF(Assumptions!$L$25=4,VLOOKUP($A45,'Henwood Reference'!$E$9:$R$320,10),(VLOOKUP($A45,PriceTable,3,0)+IF(BasisNumber&lt;&gt;1,VLOOKUP($A45,BasisTable,2,0),0)+J$1)/(1-J$2))</f>
        <v>45.541429200000003</v>
      </c>
      <c r="K45" s="154">
        <f>IF(Assumptions!$L$25=4,VLOOKUP($A45,'Henwood Reference'!$E$9:$R$320,10),(VLOOKUP($A45,PriceTable,4,0)+IF(BasisNumber&lt;&gt;1,VLOOKUP($A45,BasisTable,2,0),0)+K$1)/(1-K$2))</f>
        <v>45.541429200000003</v>
      </c>
      <c r="L45" s="474">
        <f>IF(Assumptions!$L$25=4,VLOOKUP($A45,'Henwood Reference'!$E$9:$R$320,10),(VLOOKUP($A45,PriceTableWeekend,2,0)+IF(BasisNumber&lt;&gt;1,VLOOKUP($A45,BasisTable,2,0),0)+L$1)/(1-L$2))</f>
        <v>45.541429200000003</v>
      </c>
      <c r="M45" s="154">
        <f>IF(Assumptions!$L$25=4,VLOOKUP($A45,'Henwood Reference'!$E$9:$R$320,10),(VLOOKUP($A45,PriceTableWeekend,3,0)+IF(BasisNumber&lt;&gt;1,VLOOKUP($A45,BasisTable,2,0),0)+M$1)/(1-M$2))</f>
        <v>45.541429200000003</v>
      </c>
      <c r="N45" s="156">
        <f>IF(Assumptions!$L$25=4,VLOOKUP($A45,'Henwood Reference'!$E$9:$R$320,10),(VLOOKUP($A45,PriceTableWeekend,4,0)+IF(BasisNumber&lt;&gt;1,VLOOKUP($A45,BasisTable,2,0),0)+N$1)/(1-N$2))</f>
        <v>45.541429200000003</v>
      </c>
      <c r="O45" s="154">
        <f>IF(Assumptions!$L$25=4,VLOOKUP($A45,'Henwood Reference'!$E$9:$R$320,11),(VLOOKUP($A45,PriceTableWeekend,6,0)+IF(BasisNumber&lt;&gt;1,VLOOKUP($A45,BasisTable,3,0),0)+O$1)/(1-O$2))</f>
        <v>26.213606279999997</v>
      </c>
      <c r="P45" s="154">
        <f>IF(Assumptions!$L$25=4,VLOOKUP($A45,'Henwood Reference'!$E$9:$R$320,11),(VLOOKUP($A45,PriceTableWeekend,7,0)+IF(BasisNumber&lt;&gt;1,VLOOKUP($A45,BasisTable,3,0),0)+P$1)/(1-P$2))</f>
        <v>26.213606279999997</v>
      </c>
      <c r="Q45" s="156">
        <f>IF(Assumptions!$L$25=4,VLOOKUP($A45,'Henwood Reference'!$E$9:$R$320,11),(VLOOKUP($A45,PriceTableWeekend,8,0)+IF(BasisNumber&lt;&gt;1,VLOOKUP($A45,BasisTable,3,0),0)+Q$1)/(1-Q$2))</f>
        <v>26.213606279999997</v>
      </c>
      <c r="R45" s="154">
        <f>IF(Assumptions!$L$25=4,VLOOKUP($A45,'Henwood Reference'!$E$9:$R$320,11),(VLOOKUP($A45,PriceTable,6,0)+IF(BasisNumber&lt;&gt;1,VLOOKUP($A45,BasisTable,3,0),0)+R$1)/(1-R$2))</f>
        <v>26.213606279999997</v>
      </c>
      <c r="S45" s="154">
        <f>IF(Assumptions!$L$25=4,VLOOKUP($A45,'Henwood Reference'!$E$9:$R$320,11),(VLOOKUP($A45,PriceTable,7,0)+IF(BasisNumber&lt;&gt;1,VLOOKUP($A45,BasisTable,3,0),0)+S$1)/(1-S$2))</f>
        <v>26.213606279999997</v>
      </c>
      <c r="T45" s="155">
        <f>IF(Assumptions!$L$25=4,VLOOKUP($A45,'Henwood Reference'!$E$9:$R$320,11),(VLOOKUP($A45,PriceTable,8,0)+IF(BasisNumber&lt;&gt;1,VLOOKUP($A45,BasisTable,3,0),0)+T$1)/(1-T$2))</f>
        <v>26.213606279999997</v>
      </c>
      <c r="U45" s="173">
        <f t="shared" si="92"/>
        <v>0.16</v>
      </c>
      <c r="V45" s="173">
        <f t="shared" si="93"/>
        <v>0.17</v>
      </c>
      <c r="W45" s="174">
        <f t="shared" si="94"/>
        <v>0.18</v>
      </c>
      <c r="X45" s="173">
        <f t="shared" si="95"/>
        <v>0.16</v>
      </c>
      <c r="Y45" s="173">
        <f t="shared" si="96"/>
        <v>0.17</v>
      </c>
      <c r="Z45" s="174">
        <f t="shared" si="97"/>
        <v>0.18</v>
      </c>
      <c r="AA45" s="173">
        <f t="shared" si="98"/>
        <v>0.09</v>
      </c>
      <c r="AB45" s="173">
        <f t="shared" si="99"/>
        <v>0.11</v>
      </c>
      <c r="AC45" s="174">
        <f t="shared" si="100"/>
        <v>0.13</v>
      </c>
      <c r="AD45" s="173">
        <f t="shared" si="101"/>
        <v>0.09</v>
      </c>
      <c r="AE45" s="173">
        <f t="shared" si="102"/>
        <v>0.11</v>
      </c>
      <c r="AF45" s="174">
        <f t="shared" si="103"/>
        <v>0.13</v>
      </c>
      <c r="AG45" s="173">
        <f t="shared" si="104"/>
        <v>-0.35</v>
      </c>
      <c r="AH45" s="173">
        <f t="shared" si="105"/>
        <v>3</v>
      </c>
      <c r="AI45" s="174">
        <f t="shared" si="106"/>
        <v>0.2</v>
      </c>
      <c r="AJ45" s="173">
        <f t="shared" si="107"/>
        <v>-0.35</v>
      </c>
      <c r="AK45" s="173">
        <f t="shared" si="108"/>
        <v>3</v>
      </c>
      <c r="AL45" s="174">
        <f t="shared" si="109"/>
        <v>0.2</v>
      </c>
      <c r="AM45" s="173">
        <f t="shared" si="110"/>
        <v>-0.01</v>
      </c>
      <c r="AN45" s="173">
        <f t="shared" si="111"/>
        <v>0.16</v>
      </c>
      <c r="AO45" s="174">
        <f t="shared" si="112"/>
        <v>0.01</v>
      </c>
      <c r="AP45" s="173">
        <f t="shared" si="113"/>
        <v>-0.01</v>
      </c>
      <c r="AQ45" s="173">
        <f t="shared" si="114"/>
        <v>0.16</v>
      </c>
      <c r="AR45" s="175">
        <f t="shared" si="115"/>
        <v>0.01</v>
      </c>
      <c r="AS45" s="521">
        <f t="shared" si="176"/>
        <v>0.5</v>
      </c>
      <c r="AT45" s="349">
        <f t="shared" si="117"/>
        <v>0</v>
      </c>
      <c r="AU45" s="159">
        <f t="shared" si="3"/>
        <v>0</v>
      </c>
      <c r="AV45" s="159">
        <f t="shared" si="4"/>
        <v>0</v>
      </c>
      <c r="AW45" s="159">
        <f t="shared" si="177"/>
        <v>0</v>
      </c>
      <c r="AX45" s="15">
        <f t="shared" si="119"/>
        <v>0</v>
      </c>
      <c r="AY45" s="607">
        <f>IF(E45="",0,MIN((1-(1-VLOOKUP(B45,MAIN!$AA$7:$AM$28,C45+1))*(1-VLOOKUP(B45,MAIN!$AA$33:$AM$54,C45+1))),1))</f>
        <v>0</v>
      </c>
      <c r="AZ45" s="337">
        <v>0</v>
      </c>
      <c r="BA45" s="509">
        <v>0</v>
      </c>
      <c r="BB45" s="509">
        <v>0</v>
      </c>
      <c r="BC45" s="511">
        <v>0</v>
      </c>
      <c r="BD45" s="153">
        <v>0</v>
      </c>
      <c r="BE45" s="474">
        <v>0</v>
      </c>
      <c r="BF45" s="474">
        <v>0</v>
      </c>
      <c r="BG45" s="515">
        <v>0</v>
      </c>
      <c r="BH45" s="262">
        <v>0</v>
      </c>
      <c r="BI45" s="509">
        <v>0</v>
      </c>
      <c r="BJ45" s="509">
        <v>0</v>
      </c>
      <c r="BK45" s="511">
        <v>0</v>
      </c>
      <c r="BL45" s="153">
        <v>0</v>
      </c>
      <c r="BM45" s="474">
        <v>0</v>
      </c>
      <c r="BN45" s="474">
        <v>0</v>
      </c>
      <c r="BO45" s="474">
        <v>0</v>
      </c>
      <c r="BP45" s="261">
        <f t="shared" si="120"/>
        <v>0</v>
      </c>
      <c r="BQ45" s="578">
        <f t="shared" si="121"/>
        <v>0</v>
      </c>
      <c r="BR45" s="259">
        <f t="shared" si="122"/>
        <v>0</v>
      </c>
      <c r="BS45" s="578">
        <f t="shared" si="123"/>
        <v>0</v>
      </c>
      <c r="BT45" s="216">
        <f t="shared" si="124"/>
        <v>2.3819301848049284</v>
      </c>
      <c r="BU45" s="218">
        <f t="shared" si="5"/>
        <v>0</v>
      </c>
      <c r="BV45" s="216">
        <f t="shared" si="6"/>
        <v>0</v>
      </c>
      <c r="BW45" s="216">
        <f t="shared" si="7"/>
        <v>0</v>
      </c>
      <c r="BX45" s="216">
        <f t="shared" si="125"/>
        <v>0</v>
      </c>
      <c r="BY45" s="216">
        <f t="shared" si="8"/>
        <v>0</v>
      </c>
      <c r="BZ45" s="216">
        <f t="shared" si="9"/>
        <v>0</v>
      </c>
      <c r="CA45" s="264">
        <f t="shared" si="10"/>
        <v>0</v>
      </c>
      <c r="CB45" s="216">
        <f t="shared" si="11"/>
        <v>0</v>
      </c>
      <c r="CC45" s="216">
        <f t="shared" si="12"/>
        <v>0</v>
      </c>
      <c r="CD45" s="216">
        <f t="shared" si="126"/>
        <v>0</v>
      </c>
      <c r="CE45" s="216">
        <f t="shared" si="13"/>
        <v>0</v>
      </c>
      <c r="CF45" s="571">
        <f t="shared" si="14"/>
        <v>0</v>
      </c>
      <c r="CG45" s="573" t="str">
        <f t="shared" si="15"/>
        <v/>
      </c>
      <c r="CH45" s="219" t="str">
        <f t="shared" si="16"/>
        <v/>
      </c>
      <c r="CI45" s="219" t="str">
        <f t="shared" si="17"/>
        <v/>
      </c>
      <c r="CJ45" s="219" t="str">
        <f t="shared" si="18"/>
        <v/>
      </c>
      <c r="CK45" s="219" t="str">
        <f t="shared" si="19"/>
        <v/>
      </c>
      <c r="CL45" s="219" t="str">
        <f t="shared" si="20"/>
        <v/>
      </c>
      <c r="CM45" s="219" t="str">
        <f t="shared" si="21"/>
        <v/>
      </c>
      <c r="CN45" s="569" t="str">
        <f t="shared" si="22"/>
        <v/>
      </c>
      <c r="CO45" s="264">
        <f t="shared" si="175"/>
        <v>0</v>
      </c>
      <c r="CP45" s="216">
        <f t="shared" si="127"/>
        <v>0</v>
      </c>
      <c r="CQ45" s="216">
        <f t="shared" si="128"/>
        <v>0</v>
      </c>
      <c r="CR45" s="216">
        <f t="shared" si="129"/>
        <v>0</v>
      </c>
      <c r="CS45" s="1626">
        <f t="shared" si="130"/>
        <v>0</v>
      </c>
      <c r="CT45" s="216">
        <f t="shared" si="131"/>
        <v>0</v>
      </c>
      <c r="CU45" s="575" t="str">
        <f t="shared" si="23"/>
        <v/>
      </c>
      <c r="CV45" s="154" t="str">
        <f t="shared" si="24"/>
        <v/>
      </c>
      <c r="CW45" s="216">
        <f>IF(OR($BQ45,$BS45),SpreadOptPowerMargin,0)*((1+Assumptions!$C$26)^($B45-YEAR(Assumptions!$C$17)))</f>
        <v>0</v>
      </c>
      <c r="CX45" s="216">
        <f>IF(OR($BQ45,$BS45),SpreadOptPowerMargin,0)*((1+Assumptions!$C$26)^($B45-YEAR(Assumptions!$C$17)))</f>
        <v>0</v>
      </c>
      <c r="CY45" s="216">
        <f>IF(OR($BQ45,$BS45),SpreadOptPowerMargin,0)*((1+Assumptions!$C$26)^($B45-YEAR(Assumptions!$C$17)))</f>
        <v>0</v>
      </c>
      <c r="CZ45" s="216">
        <f>IF(OR($BQ45,$BS45),SpreadOptPowerMargin,0)*((1+Assumptions!$C$26)^($B45-YEAR(Assumptions!$C$17)))</f>
        <v>0</v>
      </c>
      <c r="DA45" s="440">
        <f t="shared" si="25"/>
        <v>0</v>
      </c>
      <c r="DB45" s="479" t="str">
        <f t="shared" si="26"/>
        <v/>
      </c>
      <c r="DC45" s="479" t="str">
        <f t="shared" si="27"/>
        <v/>
      </c>
      <c r="DD45" s="479" t="str">
        <f t="shared" si="28"/>
        <v/>
      </c>
      <c r="DE45" s="479" t="str">
        <f t="shared" si="29"/>
        <v/>
      </c>
      <c r="DF45" s="479" t="str">
        <f t="shared" si="30"/>
        <v/>
      </c>
      <c r="DG45" s="574" t="str">
        <f t="shared" si="31"/>
        <v/>
      </c>
      <c r="DH45" s="216">
        <f t="shared" si="32"/>
        <v>0</v>
      </c>
      <c r="DI45" s="216">
        <f t="shared" si="33"/>
        <v>0</v>
      </c>
      <c r="DJ45" s="216">
        <f t="shared" si="34"/>
        <v>0</v>
      </c>
      <c r="DK45" s="216">
        <f t="shared" si="35"/>
        <v>0</v>
      </c>
      <c r="DL45" s="216">
        <f t="shared" si="36"/>
        <v>0</v>
      </c>
      <c r="DM45" s="216"/>
      <c r="DN45" s="216"/>
      <c r="DO45" s="216"/>
      <c r="DP45" s="216"/>
      <c r="DQ45" s="216"/>
      <c r="DR45" s="216"/>
      <c r="DS45" s="216"/>
      <c r="DT45" s="216"/>
      <c r="DU45" s="216"/>
      <c r="DV45" s="216"/>
      <c r="DW45" s="1371">
        <f t="shared" si="37"/>
        <v>0</v>
      </c>
      <c r="DX45" s="216">
        <f t="shared" si="38"/>
        <v>0</v>
      </c>
      <c r="DY45" s="440">
        <f t="shared" si="39"/>
        <v>0</v>
      </c>
      <c r="DZ45" s="180">
        <f t="shared" si="40"/>
        <v>0</v>
      </c>
      <c r="EA45" s="180">
        <f t="shared" si="41"/>
        <v>0</v>
      </c>
      <c r="EB45" s="180">
        <f t="shared" si="42"/>
        <v>0</v>
      </c>
      <c r="EC45" s="180">
        <f t="shared" si="43"/>
        <v>0</v>
      </c>
      <c r="ED45" s="180">
        <f t="shared" si="44"/>
        <v>0</v>
      </c>
      <c r="EE45" s="581">
        <f t="shared" si="45"/>
        <v>0</v>
      </c>
      <c r="EF45" s="554">
        <f t="shared" si="46"/>
        <v>0</v>
      </c>
      <c r="EG45" s="554">
        <f t="shared" si="47"/>
        <v>0</v>
      </c>
      <c r="EH45" s="554">
        <f t="shared" si="48"/>
        <v>0</v>
      </c>
      <c r="EI45" s="561">
        <f t="shared" si="49"/>
        <v>0</v>
      </c>
      <c r="EJ45" s="581">
        <f t="shared" si="132"/>
        <v>0</v>
      </c>
      <c r="EK45" s="554">
        <f t="shared" si="133"/>
        <v>0</v>
      </c>
      <c r="EL45" s="554">
        <f t="shared" si="134"/>
        <v>0</v>
      </c>
      <c r="EM45" s="554">
        <f t="shared" si="135"/>
        <v>0</v>
      </c>
      <c r="EN45" s="561">
        <f t="shared" si="136"/>
        <v>0</v>
      </c>
      <c r="EO45" s="180">
        <f t="shared" si="50"/>
        <v>0</v>
      </c>
      <c r="EP45" s="180">
        <f t="shared" si="51"/>
        <v>0</v>
      </c>
      <c r="EQ45" s="180">
        <f t="shared" si="52"/>
        <v>0</v>
      </c>
      <c r="ER45" s="180">
        <f t="shared" si="53"/>
        <v>0</v>
      </c>
      <c r="ES45" s="180">
        <f t="shared" si="54"/>
        <v>0</v>
      </c>
      <c r="ET45" s="1482">
        <f t="shared" si="178"/>
        <v>0</v>
      </c>
      <c r="EU45" s="180">
        <f t="shared" si="179"/>
        <v>0</v>
      </c>
      <c r="EV45" s="180">
        <f t="shared" si="180"/>
        <v>0</v>
      </c>
      <c r="EW45" s="180">
        <f t="shared" si="181"/>
        <v>0</v>
      </c>
      <c r="EX45" s="555">
        <f t="shared" si="182"/>
        <v>0</v>
      </c>
      <c r="EY45" s="180">
        <f t="shared" si="137"/>
        <v>0</v>
      </c>
      <c r="EZ45" s="180">
        <f t="shared" si="138"/>
        <v>0</v>
      </c>
      <c r="FA45" s="180">
        <f t="shared" si="139"/>
        <v>0</v>
      </c>
      <c r="FB45" s="180">
        <f t="shared" si="140"/>
        <v>0</v>
      </c>
      <c r="FC45" s="180">
        <f t="shared" si="141"/>
        <v>0</v>
      </c>
      <c r="FD45" s="262">
        <f>IF(AX45,IF(VLOOKUP(C45,MAIN!$L$17:$M$28,2)="Yes",VLOOKUP(CALC!B45,MAIN!$H$17:$I$20,2),0),0)</f>
        <v>0</v>
      </c>
      <c r="FE45" s="623">
        <f t="shared" si="60"/>
        <v>0</v>
      </c>
      <c r="FF45" s="535">
        <f t="shared" si="61"/>
        <v>0</v>
      </c>
      <c r="FG45" s="535">
        <f t="shared" si="62"/>
        <v>0</v>
      </c>
      <c r="FH45" s="624">
        <f t="shared" si="63"/>
        <v>0</v>
      </c>
      <c r="FI45" s="632">
        <f>IF(AX45,VLOOKUP(CALC!B45,MAIN!$H$17:$K$20,4),0)</f>
        <v>0</v>
      </c>
      <c r="FJ45" s="535">
        <f t="shared" si="64"/>
        <v>0</v>
      </c>
      <c r="FK45" s="648">
        <f t="shared" si="142"/>
        <v>0</v>
      </c>
      <c r="FL45" s="530">
        <f t="shared" si="143"/>
        <v>0</v>
      </c>
      <c r="FM45" s="530">
        <f t="shared" si="144"/>
        <v>0</v>
      </c>
      <c r="FN45" s="530">
        <f t="shared" si="145"/>
        <v>0</v>
      </c>
      <c r="FO45" s="622">
        <f t="shared" si="146"/>
        <v>0</v>
      </c>
      <c r="FP45" s="530">
        <f t="shared" si="147"/>
        <v>0</v>
      </c>
      <c r="FQ45" s="530">
        <f t="shared" si="148"/>
        <v>0</v>
      </c>
      <c r="FR45" s="530">
        <f t="shared" si="149"/>
        <v>0</v>
      </c>
      <c r="FS45" s="625">
        <f t="shared" si="150"/>
        <v>0</v>
      </c>
      <c r="FT45" s="640">
        <f>IF(AND(Assumptions!$H$71="Yes",A45&gt;=Assumptions!$H$72,A45&lt;=Assumptions!$H$73),0,IF(AND($A45&gt;=Assumptions!$C$17,$A45&lt;=Assumptions!$C$18),MAX(AZ45*(1+VLOOKUP($C45,WeatherCapacityAdjustment,2))-FL45,0),0))</f>
        <v>0</v>
      </c>
      <c r="FU45" s="530">
        <f>IF(AND(Assumptions!$H$71="Yes",A45&gt;=Assumptions!$H$72,A45&lt;=Assumptions!$H$73),0,IF(AND($A45&gt;=Assumptions!$C$17,$A45&lt;=Assumptions!$C$18),MAX(BA45*(1+VLOOKUP($C45,WeatherCapacityAdjustment,2))-FM45,0),0))</f>
        <v>0</v>
      </c>
      <c r="FV45" s="530">
        <f>IF(AND(Assumptions!$H$71="Yes",A45&gt;=Assumptions!$H$72,A45&lt;=Assumptions!$H$73),0,IF(AND($A45&gt;=Assumptions!$C$17,$A45&lt;=Assumptions!$C$18),MAX(BB45*(1+VLOOKUP($C45,WeatherCapacityAdjustment,2))-FN45,0),0))</f>
        <v>0</v>
      </c>
      <c r="FW45" s="622">
        <f>IF(AND(Assumptions!$H$71="Yes",A45&gt;=Assumptions!$H$72,A45&lt;=Assumptions!$H$73),0,IF(AND($A45&gt;=Assumptions!$C$17,$A45&lt;=Assumptions!$C$18),MAX(BC45*(1+VLOOKUP($C45,WeatherCapacityAdjustment,3))-FO45,0),0))</f>
        <v>0</v>
      </c>
      <c r="FX45" s="621">
        <f>IF(AND(Assumptions!$H$71="Yes",A45&gt;=Assumptions!$H$72,A45&lt;=Assumptions!$H$73),0,IF(ET45&gt;0,MAX(BH45*(1+VLOOKUP($C45,WeatherCapacityAdjustment,2))-FP45,0),0))</f>
        <v>0</v>
      </c>
      <c r="FY45" s="530">
        <f>IF(AND(Assumptions!$H$71="Yes",A45&gt;=Assumptions!$H$72,A45&lt;=Assumptions!$H$73),0,IF(EU45&gt;0,MAX(BI45*(1+VLOOKUP($C45,WeatherCapacityAdjustment,3))-FQ45,0),0))</f>
        <v>0</v>
      </c>
      <c r="FZ45" s="530">
        <f>IF(AND(Assumptions!$H$71="Yes",A45&gt;=Assumptions!$H$72,A45&lt;=Assumptions!$H$73),0,IF(EV45&gt;0,MAX(BJ45*(1+VLOOKUP($C45,WeatherCapacityAdjustment,2))-FR45,0),0))</f>
        <v>0</v>
      </c>
      <c r="GA45" s="622">
        <f>IF(AND(Assumptions!$H$71="Yes",A45&gt;=Assumptions!$H$72,A45&lt;=Assumptions!$H$73),0,IF(EW45&gt;0,MAX(BK45*(1+VLOOKUP($C45,WeatherCapacityAdjustment,2))-FS45,0),0))</f>
        <v>0</v>
      </c>
      <c r="GB45" s="530">
        <f t="shared" si="65"/>
        <v>0</v>
      </c>
      <c r="GC45" s="545">
        <f t="shared" si="66"/>
        <v>0</v>
      </c>
      <c r="GD45" s="530">
        <f t="shared" si="67"/>
        <v>0</v>
      </c>
      <c r="GE45" s="1485">
        <f t="shared" si="151"/>
        <v>0</v>
      </c>
      <c r="GF45" s="1776">
        <f t="shared" si="168"/>
        <v>0</v>
      </c>
      <c r="GG45" s="545">
        <f t="shared" si="169"/>
        <v>0</v>
      </c>
      <c r="GH45" s="622">
        <f t="shared" si="170"/>
        <v>0</v>
      </c>
      <c r="GI45" s="621">
        <f t="shared" si="152"/>
        <v>0</v>
      </c>
      <c r="GJ45" s="638">
        <f t="shared" si="68"/>
        <v>0</v>
      </c>
      <c r="GK45" s="625">
        <f t="shared" si="166"/>
        <v>0</v>
      </c>
      <c r="GL45" s="640">
        <f t="shared" si="171"/>
        <v>0</v>
      </c>
      <c r="GM45" s="530">
        <f t="shared" si="172"/>
        <v>0</v>
      </c>
      <c r="GN45" s="530">
        <f t="shared" si="173"/>
        <v>0</v>
      </c>
      <c r="GO45" s="622">
        <f t="shared" si="174"/>
        <v>0</v>
      </c>
      <c r="GP45" s="530">
        <f t="shared" si="73"/>
        <v>0</v>
      </c>
      <c r="GQ45" s="545">
        <f t="shared" si="74"/>
        <v>0</v>
      </c>
      <c r="GR45" s="625">
        <f t="shared" si="75"/>
        <v>0</v>
      </c>
      <c r="GS45" s="640">
        <f>IF($A45&gt;=BegDate,Assumptions!$C$56*24*($A46-$A45)*(1-VLOOKUP($B45,MAIN!$AA$7:$AM$28,$C45+1))*(1-VLOOKUP($B45,MAIN!$AA$33:$AM$54,$C45+1)),0)*80/168</f>
        <v>0</v>
      </c>
      <c r="GT45" s="1715">
        <f t="shared" si="153"/>
        <v>45.541429200000003</v>
      </c>
      <c r="GU45" s="1715">
        <f>IF($A45&gt;=BegDate,VLOOKUP($A45,GasTable,13)+Assumptions!$C$58,0)</f>
        <v>0</v>
      </c>
      <c r="GV45" s="1715">
        <f>GU45*Assumptions!$C$57/1000</f>
        <v>0</v>
      </c>
      <c r="GW45" s="625">
        <f>IF(Assumptions!$C$60="Hourly",MAX(0,GS45*(GT45-GV45)),GS45*(GT45-GV45))</f>
        <v>0</v>
      </c>
      <c r="GX45" s="640">
        <f>IF($A45&gt;=BegDate,Assumptions!$C$56*24*($A46-$A45)*(1-VLOOKUP($B45,MAIN!$AA$7:$AM$28,$C45+1))*(1-VLOOKUP($B45,MAIN!$AA$33:$AM$54,$C45+1)),0)*16/168</f>
        <v>0</v>
      </c>
      <c r="GY45" s="1715">
        <f t="shared" si="154"/>
        <v>45.541429200000003</v>
      </c>
      <c r="GZ45" s="1715">
        <f>IF($A45&gt;=BegDate,VLOOKUP($A45,GasTable,13)+Assumptions!$C$58,0)</f>
        <v>0</v>
      </c>
      <c r="HA45" s="1715">
        <f>GZ45*Assumptions!$C$57/1000</f>
        <v>0</v>
      </c>
      <c r="HB45" s="625">
        <f>IF(Assumptions!$C$60="Hourly",MAX(0,GX45*(GY45-HA45)),GX45*(GY45-HA45))</f>
        <v>0</v>
      </c>
      <c r="HC45" s="640">
        <f>IF($A45&gt;=BegDate,Assumptions!$C$56*24*($A46-$A45)*(1-VLOOKUP($B45,MAIN!$AA$7:$AM$28,$C45+1))*(1-VLOOKUP($B45,MAIN!$AA$33:$AM$54,$C45+1)),0)*16/168</f>
        <v>0</v>
      </c>
      <c r="HD45" s="1715">
        <f t="shared" si="155"/>
        <v>26.213606279999997</v>
      </c>
      <c r="HE45" s="1715">
        <f>IF($A45&gt;=BegDate,VLOOKUP($A45,GasTable,13)+Assumptions!$C$58,0)</f>
        <v>0</v>
      </c>
      <c r="HF45" s="1715">
        <f>HE45*Assumptions!$C$57/1000</f>
        <v>0</v>
      </c>
      <c r="HG45" s="625">
        <f>IF(Assumptions!$C$60="Hourly",MAX(0,HC45*(HD45-HF45)),HC45*(HD45-HF45))</f>
        <v>0</v>
      </c>
      <c r="HH45" s="640">
        <f>IF($A45&gt;=BegDate,Assumptions!$C$56*24*($A46-$A45)*(1-VLOOKUP($B45,MAIN!$AA$7:$AM$28,$C45+1))*(1-VLOOKUP($B45,MAIN!$AA$33:$AM$54,$C45+1)),0)*56/168</f>
        <v>0</v>
      </c>
      <c r="HI45" s="1715">
        <f t="shared" si="156"/>
        <v>26.213606279999997</v>
      </c>
      <c r="HJ45" s="1715">
        <f>IF($A45&gt;=BegDate,VLOOKUP($A45,GasTable,13)+Assumptions!$C$58,0)</f>
        <v>0</v>
      </c>
      <c r="HK45" s="1715">
        <f>HJ45*Assumptions!$C$57/1000</f>
        <v>0</v>
      </c>
      <c r="HL45" s="625">
        <f>IF(Assumptions!$C$60="Hourly",MAX(0,HH45*(HI45-HK45)),HH45*(HI45-HK45))</f>
        <v>0</v>
      </c>
      <c r="HM45" s="640">
        <f>IF(AND(Assumptions!$H$71="Yes",A45&gt;=Assumptions!$H$72,A45&lt;=Assumptions!$H$73),Assumptions!$H$74*Assumptions!$C$9*1000,0)</f>
        <v>0</v>
      </c>
      <c r="HN45" s="530"/>
      <c r="HO45" s="545"/>
      <c r="HP45" s="545"/>
      <c r="HQ45" s="545"/>
      <c r="HR45" s="545"/>
      <c r="HS45" s="545"/>
      <c r="HT45" s="545"/>
      <c r="HU45" s="545"/>
      <c r="HV45" s="545"/>
      <c r="HW45" s="545"/>
      <c r="HX45" s="545"/>
      <c r="HY45" s="545"/>
      <c r="HZ45" s="545"/>
      <c r="IA45" s="545"/>
      <c r="IB45" s="545"/>
      <c r="IC45" s="545"/>
      <c r="ID45" s="545"/>
      <c r="IE45" s="545"/>
      <c r="IF45" s="545"/>
      <c r="IG45" s="545"/>
      <c r="IH45" s="545"/>
      <c r="II45" s="1464"/>
      <c r="IJ45" s="1463"/>
      <c r="IK45" s="1463"/>
    </row>
    <row r="46" spans="1:245">
      <c r="A46" s="177">
        <f t="shared" si="87"/>
        <v>37530</v>
      </c>
      <c r="B46" s="349">
        <f t="shared" si="88"/>
        <v>2002</v>
      </c>
      <c r="C46" s="15">
        <f t="shared" si="89"/>
        <v>10</v>
      </c>
      <c r="D46" s="612" t="str">
        <f t="shared" si="90"/>
        <v/>
      </c>
      <c r="E46" s="609" t="str">
        <f t="shared" si="91"/>
        <v/>
      </c>
      <c r="F46" s="614" t="str">
        <f t="shared" si="2"/>
        <v/>
      </c>
      <c r="G46" s="1349">
        <v>0</v>
      </c>
      <c r="H46" s="152">
        <f t="shared" si="165"/>
        <v>1</v>
      </c>
      <c r="I46" s="154">
        <f>IF(Assumptions!$L$25=4,VLOOKUP($A46,'Henwood Reference'!$E$9:$R$320,10),(VLOOKUP($A46,PriceTable,2,0)+IF(BasisNumber&lt;&gt;1,VLOOKUP($A46,BasisTable,2,0),0)+I$1)/(1-I$2))</f>
        <v>35.521440839999997</v>
      </c>
      <c r="J46" s="154">
        <f>IF(Assumptions!$L$25=4,VLOOKUP($A46,'Henwood Reference'!$E$9:$R$320,10),(VLOOKUP($A46,PriceTable,3,0)+IF(BasisNumber&lt;&gt;1,VLOOKUP($A46,BasisTable,2,0),0)+J$1)/(1-J$2))</f>
        <v>35.521440839999997</v>
      </c>
      <c r="K46" s="154">
        <f>IF(Assumptions!$L$25=4,VLOOKUP($A46,'Henwood Reference'!$E$9:$R$320,10),(VLOOKUP($A46,PriceTable,4,0)+IF(BasisNumber&lt;&gt;1,VLOOKUP($A46,BasisTable,2,0),0)+K$1)/(1-K$2))</f>
        <v>35.521440839999997</v>
      </c>
      <c r="L46" s="474">
        <f>IF(Assumptions!$L$25=4,VLOOKUP($A46,'Henwood Reference'!$E$9:$R$320,10),(VLOOKUP($A46,PriceTableWeekend,2,0)+IF(BasisNumber&lt;&gt;1,VLOOKUP($A46,BasisTable,2,0),0)+L$1)/(1-L$2))</f>
        <v>35.521440839999997</v>
      </c>
      <c r="M46" s="154">
        <f>IF(Assumptions!$L$25=4,VLOOKUP($A46,'Henwood Reference'!$E$9:$R$320,10),(VLOOKUP($A46,PriceTableWeekend,3,0)+IF(BasisNumber&lt;&gt;1,VLOOKUP($A46,BasisTable,2,0),0)+M$1)/(1-M$2))</f>
        <v>35.521440839999997</v>
      </c>
      <c r="N46" s="156">
        <f>IF(Assumptions!$L$25=4,VLOOKUP($A46,'Henwood Reference'!$E$9:$R$320,10),(VLOOKUP($A46,PriceTableWeekend,4,0)+IF(BasisNumber&lt;&gt;1,VLOOKUP($A46,BasisTable,2,0),0)+N$1)/(1-N$2))</f>
        <v>35.521440839999997</v>
      </c>
      <c r="O46" s="154">
        <f>IF(Assumptions!$L$25=4,VLOOKUP($A46,'Henwood Reference'!$E$9:$R$320,11),(VLOOKUP($A46,PriceTableWeekend,6,0)+IF(BasisNumber&lt;&gt;1,VLOOKUP($A46,BasisTable,3,0),0)+O$1)/(1-O$2))</f>
        <v>23.297052959999998</v>
      </c>
      <c r="P46" s="154">
        <f>IF(Assumptions!$L$25=4,VLOOKUP($A46,'Henwood Reference'!$E$9:$R$320,11),(VLOOKUP($A46,PriceTableWeekend,7,0)+IF(BasisNumber&lt;&gt;1,VLOOKUP($A46,BasisTable,3,0),0)+P$1)/(1-P$2))</f>
        <v>23.297052959999998</v>
      </c>
      <c r="Q46" s="156">
        <f>IF(Assumptions!$L$25=4,VLOOKUP($A46,'Henwood Reference'!$E$9:$R$320,11),(VLOOKUP($A46,PriceTableWeekend,8,0)+IF(BasisNumber&lt;&gt;1,VLOOKUP($A46,BasisTable,3,0),0)+Q$1)/(1-Q$2))</f>
        <v>23.297052959999998</v>
      </c>
      <c r="R46" s="154">
        <f>IF(Assumptions!$L$25=4,VLOOKUP($A46,'Henwood Reference'!$E$9:$R$320,11),(VLOOKUP($A46,PriceTable,6,0)+IF(BasisNumber&lt;&gt;1,VLOOKUP($A46,BasisTable,3,0),0)+R$1)/(1-R$2))</f>
        <v>23.297052959999998</v>
      </c>
      <c r="S46" s="154">
        <f>IF(Assumptions!$L$25=4,VLOOKUP($A46,'Henwood Reference'!$E$9:$R$320,11),(VLOOKUP($A46,PriceTable,7,0)+IF(BasisNumber&lt;&gt;1,VLOOKUP($A46,BasisTable,3,0),0)+S$1)/(1-S$2))</f>
        <v>23.297052959999998</v>
      </c>
      <c r="T46" s="155">
        <f>IF(Assumptions!$L$25=4,VLOOKUP($A46,'Henwood Reference'!$E$9:$R$320,11),(VLOOKUP($A46,PriceTable,8,0)+IF(BasisNumber&lt;&gt;1,VLOOKUP($A46,BasisTable,3,0),0)+T$1)/(1-T$2))</f>
        <v>23.297052959999998</v>
      </c>
      <c r="U46" s="173">
        <f t="shared" si="92"/>
        <v>0.16</v>
      </c>
      <c r="V46" s="173">
        <f t="shared" si="93"/>
        <v>0.17</v>
      </c>
      <c r="W46" s="174">
        <f t="shared" si="94"/>
        <v>0.18</v>
      </c>
      <c r="X46" s="173">
        <f t="shared" si="95"/>
        <v>0.16</v>
      </c>
      <c r="Y46" s="173">
        <f t="shared" si="96"/>
        <v>0.17</v>
      </c>
      <c r="Z46" s="174">
        <f t="shared" si="97"/>
        <v>0.18</v>
      </c>
      <c r="AA46" s="173">
        <f t="shared" si="98"/>
        <v>0.09</v>
      </c>
      <c r="AB46" s="173">
        <f t="shared" si="99"/>
        <v>0.11</v>
      </c>
      <c r="AC46" s="174">
        <f t="shared" si="100"/>
        <v>0.13</v>
      </c>
      <c r="AD46" s="173">
        <f t="shared" si="101"/>
        <v>0.09</v>
      </c>
      <c r="AE46" s="173">
        <f t="shared" si="102"/>
        <v>0.11</v>
      </c>
      <c r="AF46" s="174">
        <f t="shared" si="103"/>
        <v>0.13</v>
      </c>
      <c r="AG46" s="173">
        <f t="shared" si="104"/>
        <v>-0.1</v>
      </c>
      <c r="AH46" s="173">
        <f t="shared" si="105"/>
        <v>0.6</v>
      </c>
      <c r="AI46" s="174">
        <f t="shared" si="106"/>
        <v>0.1</v>
      </c>
      <c r="AJ46" s="173">
        <f t="shared" si="107"/>
        <v>-0.1</v>
      </c>
      <c r="AK46" s="173">
        <f t="shared" si="108"/>
        <v>0.6</v>
      </c>
      <c r="AL46" s="174">
        <f t="shared" si="109"/>
        <v>0.1</v>
      </c>
      <c r="AM46" s="173">
        <f t="shared" si="110"/>
        <v>-0.01</v>
      </c>
      <c r="AN46" s="173">
        <f t="shared" si="111"/>
        <v>0.16</v>
      </c>
      <c r="AO46" s="174">
        <f t="shared" si="112"/>
        <v>0.01</v>
      </c>
      <c r="AP46" s="173">
        <f t="shared" si="113"/>
        <v>-0.01</v>
      </c>
      <c r="AQ46" s="173">
        <f t="shared" si="114"/>
        <v>0.16</v>
      </c>
      <c r="AR46" s="175">
        <f t="shared" si="115"/>
        <v>0.01</v>
      </c>
      <c r="AS46" s="521">
        <f t="shared" si="176"/>
        <v>0.5</v>
      </c>
      <c r="AT46" s="349">
        <f t="shared" si="117"/>
        <v>0</v>
      </c>
      <c r="AU46" s="159">
        <f t="shared" si="3"/>
        <v>0</v>
      </c>
      <c r="AV46" s="159">
        <f t="shared" si="4"/>
        <v>0</v>
      </c>
      <c r="AW46" s="159">
        <f t="shared" si="177"/>
        <v>0</v>
      </c>
      <c r="AX46" s="15">
        <f t="shared" si="119"/>
        <v>0</v>
      </c>
      <c r="AY46" s="607">
        <f>IF(E46="",0,MIN((1-(1-VLOOKUP(B46,MAIN!$AA$7:$AM$28,C46+1))*(1-VLOOKUP(B46,MAIN!$AA$33:$AM$54,C46+1))),1))</f>
        <v>0</v>
      </c>
      <c r="AZ46" s="337">
        <v>0</v>
      </c>
      <c r="BA46" s="509">
        <v>0</v>
      </c>
      <c r="BB46" s="509">
        <v>0</v>
      </c>
      <c r="BC46" s="511">
        <v>0</v>
      </c>
      <c r="BD46" s="153">
        <v>0</v>
      </c>
      <c r="BE46" s="474">
        <v>0</v>
      </c>
      <c r="BF46" s="474">
        <v>0</v>
      </c>
      <c r="BG46" s="515">
        <v>0</v>
      </c>
      <c r="BH46" s="262">
        <v>0</v>
      </c>
      <c r="BI46" s="509">
        <v>0</v>
      </c>
      <c r="BJ46" s="509">
        <v>0</v>
      </c>
      <c r="BK46" s="511">
        <v>0</v>
      </c>
      <c r="BL46" s="153">
        <v>0</v>
      </c>
      <c r="BM46" s="474">
        <v>0</v>
      </c>
      <c r="BN46" s="474">
        <v>0</v>
      </c>
      <c r="BO46" s="474">
        <v>0</v>
      </c>
      <c r="BP46" s="261">
        <f t="shared" si="120"/>
        <v>0</v>
      </c>
      <c r="BQ46" s="578">
        <f t="shared" si="121"/>
        <v>0</v>
      </c>
      <c r="BR46" s="259">
        <f t="shared" si="122"/>
        <v>0</v>
      </c>
      <c r="BS46" s="578">
        <f t="shared" si="123"/>
        <v>0</v>
      </c>
      <c r="BT46" s="216">
        <f t="shared" si="124"/>
        <v>2.4640657084188913</v>
      </c>
      <c r="BU46" s="218">
        <f t="shared" si="5"/>
        <v>0</v>
      </c>
      <c r="BV46" s="216">
        <f t="shared" si="6"/>
        <v>0</v>
      </c>
      <c r="BW46" s="216">
        <f t="shared" si="7"/>
        <v>0</v>
      </c>
      <c r="BX46" s="216">
        <f t="shared" si="125"/>
        <v>0</v>
      </c>
      <c r="BY46" s="216">
        <f t="shared" si="8"/>
        <v>0</v>
      </c>
      <c r="BZ46" s="216">
        <f t="shared" si="9"/>
        <v>0</v>
      </c>
      <c r="CA46" s="264">
        <f t="shared" si="10"/>
        <v>0</v>
      </c>
      <c r="CB46" s="216">
        <f t="shared" si="11"/>
        <v>0</v>
      </c>
      <c r="CC46" s="216">
        <f t="shared" si="12"/>
        <v>0</v>
      </c>
      <c r="CD46" s="216">
        <f t="shared" si="126"/>
        <v>0</v>
      </c>
      <c r="CE46" s="216">
        <f t="shared" si="13"/>
        <v>0</v>
      </c>
      <c r="CF46" s="571">
        <f t="shared" si="14"/>
        <v>0</v>
      </c>
      <c r="CG46" s="573" t="str">
        <f t="shared" si="15"/>
        <v/>
      </c>
      <c r="CH46" s="219" t="str">
        <f t="shared" si="16"/>
        <v/>
      </c>
      <c r="CI46" s="219" t="str">
        <f t="shared" si="17"/>
        <v/>
      </c>
      <c r="CJ46" s="219" t="str">
        <f t="shared" si="18"/>
        <v/>
      </c>
      <c r="CK46" s="219" t="str">
        <f t="shared" si="19"/>
        <v/>
      </c>
      <c r="CL46" s="219" t="str">
        <f t="shared" si="20"/>
        <v/>
      </c>
      <c r="CM46" s="219" t="str">
        <f t="shared" si="21"/>
        <v/>
      </c>
      <c r="CN46" s="569" t="str">
        <f t="shared" si="22"/>
        <v/>
      </c>
      <c r="CO46" s="264">
        <f t="shared" si="175"/>
        <v>0</v>
      </c>
      <c r="CP46" s="216">
        <f t="shared" si="127"/>
        <v>0</v>
      </c>
      <c r="CQ46" s="216">
        <f t="shared" si="128"/>
        <v>0</v>
      </c>
      <c r="CR46" s="216">
        <f t="shared" si="129"/>
        <v>0</v>
      </c>
      <c r="CS46" s="1626">
        <f t="shared" si="130"/>
        <v>0</v>
      </c>
      <c r="CT46" s="216">
        <f t="shared" si="131"/>
        <v>0</v>
      </c>
      <c r="CU46" s="575" t="str">
        <f t="shared" si="23"/>
        <v/>
      </c>
      <c r="CV46" s="154" t="str">
        <f t="shared" si="24"/>
        <v/>
      </c>
      <c r="CW46" s="216">
        <f>IF(OR($BQ46,$BS46),SpreadOptPowerMargin,0)*((1+Assumptions!$C$26)^($B46-YEAR(Assumptions!$C$17)))</f>
        <v>0</v>
      </c>
      <c r="CX46" s="216">
        <f>IF(OR($BQ46,$BS46),SpreadOptPowerMargin,0)*((1+Assumptions!$C$26)^($B46-YEAR(Assumptions!$C$17)))</f>
        <v>0</v>
      </c>
      <c r="CY46" s="216">
        <f>IF(OR($BQ46,$BS46),SpreadOptPowerMargin,0)*((1+Assumptions!$C$26)^($B46-YEAR(Assumptions!$C$17)))</f>
        <v>0</v>
      </c>
      <c r="CZ46" s="216">
        <f>IF(OR($BQ46,$BS46),SpreadOptPowerMargin,0)*((1+Assumptions!$C$26)^($B46-YEAR(Assumptions!$C$17)))</f>
        <v>0</v>
      </c>
      <c r="DA46" s="440">
        <f t="shared" si="25"/>
        <v>0</v>
      </c>
      <c r="DB46" s="479" t="str">
        <f t="shared" si="26"/>
        <v/>
      </c>
      <c r="DC46" s="479" t="str">
        <f t="shared" si="27"/>
        <v/>
      </c>
      <c r="DD46" s="479" t="str">
        <f t="shared" si="28"/>
        <v/>
      </c>
      <c r="DE46" s="479" t="str">
        <f t="shared" si="29"/>
        <v/>
      </c>
      <c r="DF46" s="479" t="str">
        <f t="shared" si="30"/>
        <v/>
      </c>
      <c r="DG46" s="574" t="str">
        <f t="shared" si="31"/>
        <v/>
      </c>
      <c r="DH46" s="216">
        <f t="shared" si="32"/>
        <v>0</v>
      </c>
      <c r="DI46" s="216">
        <f t="shared" si="33"/>
        <v>0</v>
      </c>
      <c r="DJ46" s="216">
        <f t="shared" si="34"/>
        <v>0</v>
      </c>
      <c r="DK46" s="216">
        <f t="shared" si="35"/>
        <v>0</v>
      </c>
      <c r="DL46" s="216">
        <f t="shared" si="36"/>
        <v>0</v>
      </c>
      <c r="DM46" s="216"/>
      <c r="DN46" s="216"/>
      <c r="DO46" s="216"/>
      <c r="DP46" s="216"/>
      <c r="DQ46" s="216"/>
      <c r="DR46" s="216"/>
      <c r="DS46" s="216"/>
      <c r="DT46" s="216"/>
      <c r="DU46" s="216"/>
      <c r="DV46" s="216"/>
      <c r="DW46" s="1371">
        <f t="shared" si="37"/>
        <v>0</v>
      </c>
      <c r="DX46" s="216">
        <f t="shared" si="38"/>
        <v>0</v>
      </c>
      <c r="DY46" s="440">
        <f t="shared" si="39"/>
        <v>0</v>
      </c>
      <c r="DZ46" s="180">
        <f t="shared" si="40"/>
        <v>0</v>
      </c>
      <c r="EA46" s="180">
        <f t="shared" si="41"/>
        <v>0</v>
      </c>
      <c r="EB46" s="180">
        <f t="shared" si="42"/>
        <v>0</v>
      </c>
      <c r="EC46" s="180">
        <f t="shared" si="43"/>
        <v>0</v>
      </c>
      <c r="ED46" s="180">
        <f t="shared" si="44"/>
        <v>0</v>
      </c>
      <c r="EE46" s="581">
        <f t="shared" si="45"/>
        <v>0</v>
      </c>
      <c r="EF46" s="554">
        <f t="shared" si="46"/>
        <v>0</v>
      </c>
      <c r="EG46" s="554">
        <f t="shared" si="47"/>
        <v>0</v>
      </c>
      <c r="EH46" s="554">
        <f t="shared" si="48"/>
        <v>0</v>
      </c>
      <c r="EI46" s="561">
        <f t="shared" si="49"/>
        <v>0</v>
      </c>
      <c r="EJ46" s="581">
        <f t="shared" si="132"/>
        <v>0</v>
      </c>
      <c r="EK46" s="554">
        <f t="shared" si="133"/>
        <v>0</v>
      </c>
      <c r="EL46" s="554">
        <f t="shared" si="134"/>
        <v>0</v>
      </c>
      <c r="EM46" s="554">
        <f t="shared" si="135"/>
        <v>0</v>
      </c>
      <c r="EN46" s="561">
        <f t="shared" si="136"/>
        <v>0</v>
      </c>
      <c r="EO46" s="180">
        <f t="shared" si="50"/>
        <v>0</v>
      </c>
      <c r="EP46" s="180">
        <f t="shared" si="51"/>
        <v>0</v>
      </c>
      <c r="EQ46" s="180">
        <f t="shared" si="52"/>
        <v>0</v>
      </c>
      <c r="ER46" s="180">
        <f t="shared" si="53"/>
        <v>0</v>
      </c>
      <c r="ES46" s="180">
        <f t="shared" si="54"/>
        <v>0</v>
      </c>
      <c r="ET46" s="1482">
        <f t="shared" si="178"/>
        <v>0</v>
      </c>
      <c r="EU46" s="180">
        <f t="shared" si="179"/>
        <v>0</v>
      </c>
      <c r="EV46" s="180">
        <f t="shared" si="180"/>
        <v>0</v>
      </c>
      <c r="EW46" s="180">
        <f t="shared" si="181"/>
        <v>0</v>
      </c>
      <c r="EX46" s="555">
        <f t="shared" si="182"/>
        <v>0</v>
      </c>
      <c r="EY46" s="180">
        <f t="shared" si="137"/>
        <v>0</v>
      </c>
      <c r="EZ46" s="180">
        <f t="shared" si="138"/>
        <v>0</v>
      </c>
      <c r="FA46" s="180">
        <f t="shared" si="139"/>
        <v>0</v>
      </c>
      <c r="FB46" s="180">
        <f t="shared" si="140"/>
        <v>0</v>
      </c>
      <c r="FC46" s="180">
        <f t="shared" si="141"/>
        <v>0</v>
      </c>
      <c r="FD46" s="262">
        <f>IF(AX46,IF(VLOOKUP(C46,MAIN!$L$17:$M$28,2)="Yes",VLOOKUP(CALC!B46,MAIN!$H$17:$I$20,2),0),0)</f>
        <v>0</v>
      </c>
      <c r="FE46" s="623">
        <f t="shared" si="60"/>
        <v>0</v>
      </c>
      <c r="FF46" s="535">
        <f t="shared" si="61"/>
        <v>0</v>
      </c>
      <c r="FG46" s="535">
        <f t="shared" si="62"/>
        <v>0</v>
      </c>
      <c r="FH46" s="624">
        <f t="shared" si="63"/>
        <v>0</v>
      </c>
      <c r="FI46" s="632">
        <f>IF(AX46,VLOOKUP(CALC!B46,MAIN!$H$17:$K$20,4),0)</f>
        <v>0</v>
      </c>
      <c r="FJ46" s="535">
        <f t="shared" si="64"/>
        <v>0</v>
      </c>
      <c r="FK46" s="648">
        <f t="shared" si="142"/>
        <v>0</v>
      </c>
      <c r="FL46" s="530">
        <f t="shared" si="143"/>
        <v>0</v>
      </c>
      <c r="FM46" s="530">
        <f t="shared" si="144"/>
        <v>0</v>
      </c>
      <c r="FN46" s="530">
        <f t="shared" si="145"/>
        <v>0</v>
      </c>
      <c r="FO46" s="622">
        <f t="shared" si="146"/>
        <v>0</v>
      </c>
      <c r="FP46" s="530">
        <f t="shared" si="147"/>
        <v>0</v>
      </c>
      <c r="FQ46" s="530">
        <f t="shared" si="148"/>
        <v>0</v>
      </c>
      <c r="FR46" s="530">
        <f t="shared" si="149"/>
        <v>0</v>
      </c>
      <c r="FS46" s="625">
        <f t="shared" si="150"/>
        <v>0</v>
      </c>
      <c r="FT46" s="640">
        <f>IF(AND(Assumptions!$H$71="Yes",A46&gt;=Assumptions!$H$72,A46&lt;=Assumptions!$H$73),0,IF(AND($A46&gt;=Assumptions!$C$17,$A46&lt;=Assumptions!$C$18),MAX(AZ46*(1+VLOOKUP($C46,WeatherCapacityAdjustment,2))-FL46,0),0))</f>
        <v>0</v>
      </c>
      <c r="FU46" s="530">
        <f>IF(AND(Assumptions!$H$71="Yes",A46&gt;=Assumptions!$H$72,A46&lt;=Assumptions!$H$73),0,IF(AND($A46&gt;=Assumptions!$C$17,$A46&lt;=Assumptions!$C$18),MAX(BA46*(1+VLOOKUP($C46,WeatherCapacityAdjustment,2))-FM46,0),0))</f>
        <v>0</v>
      </c>
      <c r="FV46" s="530">
        <f>IF(AND(Assumptions!$H$71="Yes",A46&gt;=Assumptions!$H$72,A46&lt;=Assumptions!$H$73),0,IF(AND($A46&gt;=Assumptions!$C$17,$A46&lt;=Assumptions!$C$18),MAX(BB46*(1+VLOOKUP($C46,WeatherCapacityAdjustment,2))-FN46,0),0))</f>
        <v>0</v>
      </c>
      <c r="FW46" s="622">
        <f>IF(AND(Assumptions!$H$71="Yes",A46&gt;=Assumptions!$H$72,A46&lt;=Assumptions!$H$73),0,IF(AND($A46&gt;=Assumptions!$C$17,$A46&lt;=Assumptions!$C$18),MAX(BC46*(1+VLOOKUP($C46,WeatherCapacityAdjustment,3))-FO46,0),0))</f>
        <v>0</v>
      </c>
      <c r="FX46" s="621">
        <f>IF(AND(Assumptions!$H$71="Yes",A46&gt;=Assumptions!$H$72,A46&lt;=Assumptions!$H$73),0,IF(ET46&gt;0,MAX(BH46*(1+VLOOKUP($C46,WeatherCapacityAdjustment,2))-FP46,0),0))</f>
        <v>0</v>
      </c>
      <c r="FY46" s="530">
        <f>IF(AND(Assumptions!$H$71="Yes",A46&gt;=Assumptions!$H$72,A46&lt;=Assumptions!$H$73),0,IF(EU46&gt;0,MAX(BI46*(1+VLOOKUP($C46,WeatherCapacityAdjustment,3))-FQ46,0),0))</f>
        <v>0</v>
      </c>
      <c r="FZ46" s="530">
        <f>IF(AND(Assumptions!$H$71="Yes",A46&gt;=Assumptions!$H$72,A46&lt;=Assumptions!$H$73),0,IF(EV46&gt;0,MAX(BJ46*(1+VLOOKUP($C46,WeatherCapacityAdjustment,2))-FR46,0),0))</f>
        <v>0</v>
      </c>
      <c r="GA46" s="622">
        <f>IF(AND(Assumptions!$H$71="Yes",A46&gt;=Assumptions!$H$72,A46&lt;=Assumptions!$H$73),0,IF(EW46&gt;0,MAX(BK46*(1+VLOOKUP($C46,WeatherCapacityAdjustment,2))-FS46,0),0))</f>
        <v>0</v>
      </c>
      <c r="GB46" s="530">
        <f t="shared" si="65"/>
        <v>0</v>
      </c>
      <c r="GC46" s="545">
        <f t="shared" si="66"/>
        <v>0</v>
      </c>
      <c r="GD46" s="530">
        <f t="shared" si="67"/>
        <v>0</v>
      </c>
      <c r="GE46" s="1485">
        <f t="shared" si="151"/>
        <v>0</v>
      </c>
      <c r="GF46" s="1776">
        <f t="shared" si="168"/>
        <v>0</v>
      </c>
      <c r="GG46" s="545">
        <f t="shared" si="169"/>
        <v>0</v>
      </c>
      <c r="GH46" s="622">
        <f t="shared" si="170"/>
        <v>0</v>
      </c>
      <c r="GI46" s="621">
        <f t="shared" si="152"/>
        <v>0</v>
      </c>
      <c r="GJ46" s="638">
        <f t="shared" si="68"/>
        <v>0</v>
      </c>
      <c r="GK46" s="625">
        <f t="shared" si="166"/>
        <v>0</v>
      </c>
      <c r="GL46" s="640">
        <f t="shared" si="171"/>
        <v>0</v>
      </c>
      <c r="GM46" s="530">
        <f t="shared" si="172"/>
        <v>0</v>
      </c>
      <c r="GN46" s="530">
        <f t="shared" si="173"/>
        <v>0</v>
      </c>
      <c r="GO46" s="622">
        <f t="shared" si="174"/>
        <v>0</v>
      </c>
      <c r="GP46" s="530">
        <f t="shared" si="73"/>
        <v>0</v>
      </c>
      <c r="GQ46" s="545">
        <f t="shared" si="74"/>
        <v>0</v>
      </c>
      <c r="GR46" s="625">
        <f t="shared" si="75"/>
        <v>0</v>
      </c>
      <c r="GS46" s="640">
        <f>IF($A46&gt;=BegDate,Assumptions!$C$56*24*($A47-$A46)*(1-VLOOKUP($B46,MAIN!$AA$7:$AM$28,$C46+1))*(1-VLOOKUP($B46,MAIN!$AA$33:$AM$54,$C46+1)),0)*80/168</f>
        <v>0</v>
      </c>
      <c r="GT46" s="1715">
        <f t="shared" si="153"/>
        <v>35.521440839999997</v>
      </c>
      <c r="GU46" s="1715">
        <f>IF($A46&gt;=BegDate,VLOOKUP($A46,GasTable,13)+Assumptions!$C$58,0)</f>
        <v>0</v>
      </c>
      <c r="GV46" s="1715">
        <f>GU46*Assumptions!$C$57/1000</f>
        <v>0</v>
      </c>
      <c r="GW46" s="625">
        <f>IF(Assumptions!$C$60="Hourly",MAX(0,GS46*(GT46-GV46)),GS46*(GT46-GV46))</f>
        <v>0</v>
      </c>
      <c r="GX46" s="640">
        <f>IF($A46&gt;=BegDate,Assumptions!$C$56*24*($A47-$A46)*(1-VLOOKUP($B46,MAIN!$AA$7:$AM$28,$C46+1))*(1-VLOOKUP($B46,MAIN!$AA$33:$AM$54,$C46+1)),0)*16/168</f>
        <v>0</v>
      </c>
      <c r="GY46" s="1715">
        <f t="shared" si="154"/>
        <v>35.521440839999997</v>
      </c>
      <c r="GZ46" s="1715">
        <f>IF($A46&gt;=BegDate,VLOOKUP($A46,GasTable,13)+Assumptions!$C$58,0)</f>
        <v>0</v>
      </c>
      <c r="HA46" s="1715">
        <f>GZ46*Assumptions!$C$57/1000</f>
        <v>0</v>
      </c>
      <c r="HB46" s="625">
        <f>IF(Assumptions!$C$60="Hourly",MAX(0,GX46*(GY46-HA46)),GX46*(GY46-HA46))</f>
        <v>0</v>
      </c>
      <c r="HC46" s="640">
        <f>IF($A46&gt;=BegDate,Assumptions!$C$56*24*($A47-$A46)*(1-VLOOKUP($B46,MAIN!$AA$7:$AM$28,$C46+1))*(1-VLOOKUP($B46,MAIN!$AA$33:$AM$54,$C46+1)),0)*16/168</f>
        <v>0</v>
      </c>
      <c r="HD46" s="1715">
        <f t="shared" si="155"/>
        <v>23.297052959999998</v>
      </c>
      <c r="HE46" s="1715">
        <f>IF($A46&gt;=BegDate,VLOOKUP($A46,GasTable,13)+Assumptions!$C$58,0)</f>
        <v>0</v>
      </c>
      <c r="HF46" s="1715">
        <f>HE46*Assumptions!$C$57/1000</f>
        <v>0</v>
      </c>
      <c r="HG46" s="625">
        <f>IF(Assumptions!$C$60="Hourly",MAX(0,HC46*(HD46-HF46)),HC46*(HD46-HF46))</f>
        <v>0</v>
      </c>
      <c r="HH46" s="640">
        <f>IF($A46&gt;=BegDate,Assumptions!$C$56*24*($A47-$A46)*(1-VLOOKUP($B46,MAIN!$AA$7:$AM$28,$C46+1))*(1-VLOOKUP($B46,MAIN!$AA$33:$AM$54,$C46+1)),0)*56/168</f>
        <v>0</v>
      </c>
      <c r="HI46" s="1715">
        <f t="shared" si="156"/>
        <v>23.297052959999998</v>
      </c>
      <c r="HJ46" s="1715">
        <f>IF($A46&gt;=BegDate,VLOOKUP($A46,GasTable,13)+Assumptions!$C$58,0)</f>
        <v>0</v>
      </c>
      <c r="HK46" s="1715">
        <f>HJ46*Assumptions!$C$57/1000</f>
        <v>0</v>
      </c>
      <c r="HL46" s="625">
        <f>IF(Assumptions!$C$60="Hourly",MAX(0,HH46*(HI46-HK46)),HH46*(HI46-HK46))</f>
        <v>0</v>
      </c>
      <c r="HM46" s="640">
        <f>IF(AND(Assumptions!$H$71="Yes",A46&gt;=Assumptions!$H$72,A46&lt;=Assumptions!$H$73),Assumptions!$H$74*Assumptions!$C$9*1000,0)</f>
        <v>0</v>
      </c>
      <c r="HN46" s="530"/>
      <c r="HO46" s="545"/>
      <c r="HP46" s="545"/>
      <c r="HQ46" s="545"/>
      <c r="HR46" s="545"/>
      <c r="HS46" s="545"/>
      <c r="HT46" s="545"/>
      <c r="HU46" s="545"/>
      <c r="HV46" s="545"/>
      <c r="HW46" s="545"/>
      <c r="HX46" s="545"/>
      <c r="HY46" s="545"/>
      <c r="HZ46" s="545"/>
      <c r="IA46" s="545"/>
      <c r="IB46" s="545"/>
      <c r="IC46" s="545"/>
      <c r="ID46" s="545"/>
      <c r="IE46" s="545"/>
      <c r="IF46" s="545"/>
      <c r="IG46" s="545"/>
      <c r="IH46" s="545"/>
      <c r="II46" s="1464"/>
      <c r="IJ46" s="1463"/>
      <c r="IK46" s="1463"/>
    </row>
    <row r="47" spans="1:245">
      <c r="A47" s="177">
        <f t="shared" si="87"/>
        <v>37561</v>
      </c>
      <c r="B47" s="349">
        <f t="shared" si="88"/>
        <v>2002</v>
      </c>
      <c r="C47" s="15">
        <f t="shared" si="89"/>
        <v>11</v>
      </c>
      <c r="D47" s="612" t="str">
        <f t="shared" si="90"/>
        <v/>
      </c>
      <c r="E47" s="609" t="str">
        <f t="shared" si="91"/>
        <v/>
      </c>
      <c r="F47" s="614" t="str">
        <f t="shared" si="2"/>
        <v/>
      </c>
      <c r="G47" s="1349">
        <v>0</v>
      </c>
      <c r="H47" s="152">
        <f t="shared" si="165"/>
        <v>1</v>
      </c>
      <c r="I47" s="154">
        <f>IF(Assumptions!$L$25=4,VLOOKUP($A47,'Henwood Reference'!$E$9:$R$320,10),(VLOOKUP($A47,PriceTable,2,0)+IF(BasisNumber&lt;&gt;1,VLOOKUP($A47,BasisTable,2,0),0)+I$1)/(1-I$2))</f>
        <v>36.48755628</v>
      </c>
      <c r="J47" s="154">
        <f>IF(Assumptions!$L$25=4,VLOOKUP($A47,'Henwood Reference'!$E$9:$R$320,10),(VLOOKUP($A47,PriceTable,3,0)+IF(BasisNumber&lt;&gt;1,VLOOKUP($A47,BasisTable,2,0),0)+J$1)/(1-J$2))</f>
        <v>36.48755628</v>
      </c>
      <c r="K47" s="154">
        <f>IF(Assumptions!$L$25=4,VLOOKUP($A47,'Henwood Reference'!$E$9:$R$320,10),(VLOOKUP($A47,PriceTable,4,0)+IF(BasisNumber&lt;&gt;1,VLOOKUP($A47,BasisTable,2,0),0)+K$1)/(1-K$2))</f>
        <v>36.48755628</v>
      </c>
      <c r="L47" s="474">
        <f>IF(Assumptions!$L$25=4,VLOOKUP($A47,'Henwood Reference'!$E$9:$R$320,10),(VLOOKUP($A47,PriceTableWeekend,2,0)+IF(BasisNumber&lt;&gt;1,VLOOKUP($A47,BasisTable,2,0),0)+L$1)/(1-L$2))</f>
        <v>36.48755628</v>
      </c>
      <c r="M47" s="154">
        <f>IF(Assumptions!$L$25=4,VLOOKUP($A47,'Henwood Reference'!$E$9:$R$320,10),(VLOOKUP($A47,PriceTableWeekend,3,0)+IF(BasisNumber&lt;&gt;1,VLOOKUP($A47,BasisTable,2,0),0)+M$1)/(1-M$2))</f>
        <v>36.48755628</v>
      </c>
      <c r="N47" s="156">
        <f>IF(Assumptions!$L$25=4,VLOOKUP($A47,'Henwood Reference'!$E$9:$R$320,10),(VLOOKUP($A47,PriceTableWeekend,4,0)+IF(BasisNumber&lt;&gt;1,VLOOKUP($A47,BasisTable,2,0),0)+N$1)/(1-N$2))</f>
        <v>36.48755628</v>
      </c>
      <c r="O47" s="154">
        <f>IF(Assumptions!$L$25=4,VLOOKUP($A47,'Henwood Reference'!$E$9:$R$320,11),(VLOOKUP($A47,PriceTableWeekend,6,0)+IF(BasisNumber&lt;&gt;1,VLOOKUP($A47,BasisTable,3,0),0)+O$1)/(1-O$2))</f>
        <v>25.9772274</v>
      </c>
      <c r="P47" s="154">
        <f>IF(Assumptions!$L$25=4,VLOOKUP($A47,'Henwood Reference'!$E$9:$R$320,11),(VLOOKUP($A47,PriceTableWeekend,7,0)+IF(BasisNumber&lt;&gt;1,VLOOKUP($A47,BasisTable,3,0),0)+P$1)/(1-P$2))</f>
        <v>25.9772274</v>
      </c>
      <c r="Q47" s="156">
        <f>IF(Assumptions!$L$25=4,VLOOKUP($A47,'Henwood Reference'!$E$9:$R$320,11),(VLOOKUP($A47,PriceTableWeekend,8,0)+IF(BasisNumber&lt;&gt;1,VLOOKUP($A47,BasisTable,3,0),0)+Q$1)/(1-Q$2))</f>
        <v>25.9772274</v>
      </c>
      <c r="R47" s="154">
        <f>IF(Assumptions!$L$25=4,VLOOKUP($A47,'Henwood Reference'!$E$9:$R$320,11),(VLOOKUP($A47,PriceTable,6,0)+IF(BasisNumber&lt;&gt;1,VLOOKUP($A47,BasisTable,3,0),0)+R$1)/(1-R$2))</f>
        <v>25.9772274</v>
      </c>
      <c r="S47" s="154">
        <f>IF(Assumptions!$L$25=4,VLOOKUP($A47,'Henwood Reference'!$E$9:$R$320,11),(VLOOKUP($A47,PriceTable,7,0)+IF(BasisNumber&lt;&gt;1,VLOOKUP($A47,BasisTable,3,0),0)+S$1)/(1-S$2))</f>
        <v>25.9772274</v>
      </c>
      <c r="T47" s="155">
        <f>IF(Assumptions!$L$25=4,VLOOKUP($A47,'Henwood Reference'!$E$9:$R$320,11),(VLOOKUP($A47,PriceTable,8,0)+IF(BasisNumber&lt;&gt;1,VLOOKUP($A47,BasisTable,3,0),0)+T$1)/(1-T$2))</f>
        <v>25.9772274</v>
      </c>
      <c r="U47" s="173">
        <f t="shared" si="92"/>
        <v>0.16</v>
      </c>
      <c r="V47" s="173">
        <f t="shared" si="93"/>
        <v>0.17</v>
      </c>
      <c r="W47" s="174">
        <f t="shared" si="94"/>
        <v>0.18</v>
      </c>
      <c r="X47" s="173">
        <f t="shared" si="95"/>
        <v>0.16</v>
      </c>
      <c r="Y47" s="173">
        <f t="shared" si="96"/>
        <v>0.17</v>
      </c>
      <c r="Z47" s="174">
        <f t="shared" si="97"/>
        <v>0.18</v>
      </c>
      <c r="AA47" s="173">
        <f t="shared" si="98"/>
        <v>0.09</v>
      </c>
      <c r="AB47" s="173">
        <f t="shared" si="99"/>
        <v>0.11</v>
      </c>
      <c r="AC47" s="174">
        <f t="shared" si="100"/>
        <v>0.13</v>
      </c>
      <c r="AD47" s="173">
        <f t="shared" si="101"/>
        <v>0.09</v>
      </c>
      <c r="AE47" s="173">
        <f t="shared" si="102"/>
        <v>0.11</v>
      </c>
      <c r="AF47" s="174">
        <f t="shared" si="103"/>
        <v>0.13</v>
      </c>
      <c r="AG47" s="173">
        <f t="shared" si="104"/>
        <v>-0.1</v>
      </c>
      <c r="AH47" s="173">
        <f t="shared" si="105"/>
        <v>0.6</v>
      </c>
      <c r="AI47" s="174">
        <f t="shared" si="106"/>
        <v>0.1</v>
      </c>
      <c r="AJ47" s="173">
        <f t="shared" si="107"/>
        <v>-0.1</v>
      </c>
      <c r="AK47" s="173">
        <f t="shared" si="108"/>
        <v>0.6</v>
      </c>
      <c r="AL47" s="174">
        <f t="shared" si="109"/>
        <v>0.1</v>
      </c>
      <c r="AM47" s="173">
        <f t="shared" si="110"/>
        <v>-0.01</v>
      </c>
      <c r="AN47" s="173">
        <f t="shared" si="111"/>
        <v>0.16</v>
      </c>
      <c r="AO47" s="174">
        <f t="shared" si="112"/>
        <v>0.01</v>
      </c>
      <c r="AP47" s="173">
        <f t="shared" si="113"/>
        <v>-0.01</v>
      </c>
      <c r="AQ47" s="173">
        <f t="shared" si="114"/>
        <v>0.16</v>
      </c>
      <c r="AR47" s="175">
        <f t="shared" si="115"/>
        <v>0.01</v>
      </c>
      <c r="AS47" s="521">
        <f t="shared" si="176"/>
        <v>0.5</v>
      </c>
      <c r="AT47" s="349">
        <f t="shared" si="117"/>
        <v>0</v>
      </c>
      <c r="AU47" s="159">
        <f t="shared" si="3"/>
        <v>0</v>
      </c>
      <c r="AV47" s="159">
        <f t="shared" si="4"/>
        <v>0</v>
      </c>
      <c r="AW47" s="159">
        <f t="shared" si="177"/>
        <v>0</v>
      </c>
      <c r="AX47" s="15">
        <f t="shared" si="119"/>
        <v>0</v>
      </c>
      <c r="AY47" s="607">
        <f>IF(E47="",0,MIN((1-(1-VLOOKUP(B47,MAIN!$AA$7:$AM$28,C47+1))*(1-VLOOKUP(B47,MAIN!$AA$33:$AM$54,C47+1))),1))</f>
        <v>0</v>
      </c>
      <c r="AZ47" s="337">
        <v>0</v>
      </c>
      <c r="BA47" s="509">
        <v>0</v>
      </c>
      <c r="BB47" s="509">
        <v>0</v>
      </c>
      <c r="BC47" s="511">
        <v>0</v>
      </c>
      <c r="BD47" s="153">
        <v>0</v>
      </c>
      <c r="BE47" s="474">
        <v>0</v>
      </c>
      <c r="BF47" s="474">
        <v>0</v>
      </c>
      <c r="BG47" s="515">
        <v>0</v>
      </c>
      <c r="BH47" s="262">
        <v>0</v>
      </c>
      <c r="BI47" s="509">
        <v>0</v>
      </c>
      <c r="BJ47" s="509">
        <v>0</v>
      </c>
      <c r="BK47" s="511">
        <v>0</v>
      </c>
      <c r="BL47" s="153">
        <v>0</v>
      </c>
      <c r="BM47" s="474">
        <v>0</v>
      </c>
      <c r="BN47" s="474">
        <v>0</v>
      </c>
      <c r="BO47" s="474">
        <v>0</v>
      </c>
      <c r="BP47" s="261">
        <f t="shared" si="120"/>
        <v>0</v>
      </c>
      <c r="BQ47" s="578">
        <f t="shared" si="121"/>
        <v>0</v>
      </c>
      <c r="BR47" s="259">
        <f t="shared" si="122"/>
        <v>0</v>
      </c>
      <c r="BS47" s="578">
        <f t="shared" si="123"/>
        <v>0</v>
      </c>
      <c r="BT47" s="216">
        <f t="shared" si="124"/>
        <v>2.5489390828199863</v>
      </c>
      <c r="BU47" s="218">
        <f t="shared" si="5"/>
        <v>0</v>
      </c>
      <c r="BV47" s="216">
        <f t="shared" si="6"/>
        <v>0</v>
      </c>
      <c r="BW47" s="216">
        <f t="shared" si="7"/>
        <v>0</v>
      </c>
      <c r="BX47" s="216">
        <f t="shared" si="125"/>
        <v>0</v>
      </c>
      <c r="BY47" s="216">
        <f t="shared" si="8"/>
        <v>0</v>
      </c>
      <c r="BZ47" s="216">
        <f t="shared" si="9"/>
        <v>0</v>
      </c>
      <c r="CA47" s="264">
        <f t="shared" si="10"/>
        <v>0</v>
      </c>
      <c r="CB47" s="216">
        <f t="shared" si="11"/>
        <v>0</v>
      </c>
      <c r="CC47" s="216">
        <f t="shared" si="12"/>
        <v>0</v>
      </c>
      <c r="CD47" s="216">
        <f t="shared" si="126"/>
        <v>0</v>
      </c>
      <c r="CE47" s="216">
        <f t="shared" si="13"/>
        <v>0</v>
      </c>
      <c r="CF47" s="571">
        <f t="shared" si="14"/>
        <v>0</v>
      </c>
      <c r="CG47" s="573" t="str">
        <f t="shared" si="15"/>
        <v/>
      </c>
      <c r="CH47" s="219" t="str">
        <f t="shared" si="16"/>
        <v/>
      </c>
      <c r="CI47" s="219" t="str">
        <f t="shared" si="17"/>
        <v/>
      </c>
      <c r="CJ47" s="219" t="str">
        <f t="shared" si="18"/>
        <v/>
      </c>
      <c r="CK47" s="219" t="str">
        <f t="shared" si="19"/>
        <v/>
      </c>
      <c r="CL47" s="219" t="str">
        <f t="shared" si="20"/>
        <v/>
      </c>
      <c r="CM47" s="219" t="str">
        <f t="shared" si="21"/>
        <v/>
      </c>
      <c r="CN47" s="569" t="str">
        <f t="shared" si="22"/>
        <v/>
      </c>
      <c r="CO47" s="264">
        <f t="shared" si="175"/>
        <v>0</v>
      </c>
      <c r="CP47" s="216">
        <f t="shared" si="127"/>
        <v>0</v>
      </c>
      <c r="CQ47" s="216">
        <f t="shared" si="128"/>
        <v>0</v>
      </c>
      <c r="CR47" s="216">
        <f t="shared" si="129"/>
        <v>0</v>
      </c>
      <c r="CS47" s="1626">
        <f t="shared" si="130"/>
        <v>0</v>
      </c>
      <c r="CT47" s="216">
        <f t="shared" si="131"/>
        <v>0</v>
      </c>
      <c r="CU47" s="575" t="str">
        <f t="shared" si="23"/>
        <v/>
      </c>
      <c r="CV47" s="154" t="str">
        <f t="shared" si="24"/>
        <v/>
      </c>
      <c r="CW47" s="216">
        <f>IF(OR($BQ47,$BS47),SpreadOptPowerMargin,0)*((1+Assumptions!$C$26)^($B47-YEAR(Assumptions!$C$17)))</f>
        <v>0</v>
      </c>
      <c r="CX47" s="216">
        <f>IF(OR($BQ47,$BS47),SpreadOptPowerMargin,0)*((1+Assumptions!$C$26)^($B47-YEAR(Assumptions!$C$17)))</f>
        <v>0</v>
      </c>
      <c r="CY47" s="216">
        <f>IF(OR($BQ47,$BS47),SpreadOptPowerMargin,0)*((1+Assumptions!$C$26)^($B47-YEAR(Assumptions!$C$17)))</f>
        <v>0</v>
      </c>
      <c r="CZ47" s="216">
        <f>IF(OR($BQ47,$BS47),SpreadOptPowerMargin,0)*((1+Assumptions!$C$26)^($B47-YEAR(Assumptions!$C$17)))</f>
        <v>0</v>
      </c>
      <c r="DA47" s="440">
        <f t="shared" si="25"/>
        <v>0</v>
      </c>
      <c r="DB47" s="479" t="str">
        <f t="shared" si="26"/>
        <v/>
      </c>
      <c r="DC47" s="479" t="str">
        <f t="shared" si="27"/>
        <v/>
      </c>
      <c r="DD47" s="479" t="str">
        <f t="shared" si="28"/>
        <v/>
      </c>
      <c r="DE47" s="479" t="str">
        <f t="shared" si="29"/>
        <v/>
      </c>
      <c r="DF47" s="479" t="str">
        <f t="shared" si="30"/>
        <v/>
      </c>
      <c r="DG47" s="574" t="str">
        <f t="shared" si="31"/>
        <v/>
      </c>
      <c r="DH47" s="216">
        <f t="shared" si="32"/>
        <v>0</v>
      </c>
      <c r="DI47" s="216">
        <f t="shared" si="33"/>
        <v>0</v>
      </c>
      <c r="DJ47" s="216">
        <f t="shared" si="34"/>
        <v>0</v>
      </c>
      <c r="DK47" s="216">
        <f t="shared" si="35"/>
        <v>0</v>
      </c>
      <c r="DL47" s="216">
        <f t="shared" si="36"/>
        <v>0</v>
      </c>
      <c r="DM47" s="216"/>
      <c r="DN47" s="216"/>
      <c r="DO47" s="216"/>
      <c r="DP47" s="216"/>
      <c r="DQ47" s="216"/>
      <c r="DR47" s="216"/>
      <c r="DS47" s="216"/>
      <c r="DT47" s="216"/>
      <c r="DU47" s="216"/>
      <c r="DV47" s="216"/>
      <c r="DW47" s="1371">
        <f t="shared" si="37"/>
        <v>0</v>
      </c>
      <c r="DX47" s="216">
        <f t="shared" si="38"/>
        <v>0</v>
      </c>
      <c r="DY47" s="440">
        <f t="shared" si="39"/>
        <v>0</v>
      </c>
      <c r="DZ47" s="180">
        <f t="shared" si="40"/>
        <v>0</v>
      </c>
      <c r="EA47" s="180">
        <f t="shared" si="41"/>
        <v>0</v>
      </c>
      <c r="EB47" s="180">
        <f t="shared" si="42"/>
        <v>0</v>
      </c>
      <c r="EC47" s="180">
        <f t="shared" si="43"/>
        <v>0</v>
      </c>
      <c r="ED47" s="180">
        <f t="shared" si="44"/>
        <v>0</v>
      </c>
      <c r="EE47" s="581">
        <f t="shared" si="45"/>
        <v>0</v>
      </c>
      <c r="EF47" s="554">
        <f t="shared" si="46"/>
        <v>0</v>
      </c>
      <c r="EG47" s="554">
        <f t="shared" si="47"/>
        <v>0</v>
      </c>
      <c r="EH47" s="554">
        <f t="shared" si="48"/>
        <v>0</v>
      </c>
      <c r="EI47" s="561">
        <f t="shared" si="49"/>
        <v>0</v>
      </c>
      <c r="EJ47" s="581">
        <f t="shared" si="132"/>
        <v>0</v>
      </c>
      <c r="EK47" s="554">
        <f t="shared" si="133"/>
        <v>0</v>
      </c>
      <c r="EL47" s="554">
        <f t="shared" si="134"/>
        <v>0</v>
      </c>
      <c r="EM47" s="554">
        <f t="shared" si="135"/>
        <v>0</v>
      </c>
      <c r="EN47" s="561">
        <f t="shared" si="136"/>
        <v>0</v>
      </c>
      <c r="EO47" s="180">
        <f t="shared" si="50"/>
        <v>0</v>
      </c>
      <c r="EP47" s="180">
        <f t="shared" si="51"/>
        <v>0</v>
      </c>
      <c r="EQ47" s="180">
        <f t="shared" si="52"/>
        <v>0</v>
      </c>
      <c r="ER47" s="180">
        <f t="shared" si="53"/>
        <v>0</v>
      </c>
      <c r="ES47" s="180">
        <f t="shared" si="54"/>
        <v>0</v>
      </c>
      <c r="ET47" s="1482">
        <f t="shared" si="178"/>
        <v>0</v>
      </c>
      <c r="EU47" s="180">
        <f t="shared" si="179"/>
        <v>0</v>
      </c>
      <c r="EV47" s="180">
        <f t="shared" si="180"/>
        <v>0</v>
      </c>
      <c r="EW47" s="180">
        <f t="shared" si="181"/>
        <v>0</v>
      </c>
      <c r="EX47" s="555">
        <f t="shared" si="182"/>
        <v>0</v>
      </c>
      <c r="EY47" s="180">
        <f t="shared" si="137"/>
        <v>0</v>
      </c>
      <c r="EZ47" s="180">
        <f t="shared" si="138"/>
        <v>0</v>
      </c>
      <c r="FA47" s="180">
        <f t="shared" si="139"/>
        <v>0</v>
      </c>
      <c r="FB47" s="180">
        <f t="shared" si="140"/>
        <v>0</v>
      </c>
      <c r="FC47" s="180">
        <f t="shared" si="141"/>
        <v>0</v>
      </c>
      <c r="FD47" s="262">
        <f>IF(AX47,IF(VLOOKUP(C47,MAIN!$L$17:$M$28,2)="Yes",VLOOKUP(CALC!B47,MAIN!$H$17:$I$20,2),0),0)</f>
        <v>0</v>
      </c>
      <c r="FE47" s="623">
        <f t="shared" si="60"/>
        <v>0</v>
      </c>
      <c r="FF47" s="535">
        <f t="shared" si="61"/>
        <v>0</v>
      </c>
      <c r="FG47" s="535">
        <f t="shared" si="62"/>
        <v>0</v>
      </c>
      <c r="FH47" s="624">
        <f t="shared" si="63"/>
        <v>0</v>
      </c>
      <c r="FI47" s="632">
        <f>IF(AX47,VLOOKUP(CALC!B47,MAIN!$H$17:$K$20,4),0)</f>
        <v>0</v>
      </c>
      <c r="FJ47" s="535">
        <f t="shared" si="64"/>
        <v>0</v>
      </c>
      <c r="FK47" s="648">
        <f t="shared" si="142"/>
        <v>0</v>
      </c>
      <c r="FL47" s="530">
        <f t="shared" si="143"/>
        <v>0</v>
      </c>
      <c r="FM47" s="530">
        <f t="shared" si="144"/>
        <v>0</v>
      </c>
      <c r="FN47" s="530">
        <f t="shared" si="145"/>
        <v>0</v>
      </c>
      <c r="FO47" s="622">
        <f t="shared" si="146"/>
        <v>0</v>
      </c>
      <c r="FP47" s="530">
        <f t="shared" si="147"/>
        <v>0</v>
      </c>
      <c r="FQ47" s="530">
        <f t="shared" si="148"/>
        <v>0</v>
      </c>
      <c r="FR47" s="530">
        <f t="shared" si="149"/>
        <v>0</v>
      </c>
      <c r="FS47" s="625">
        <f t="shared" si="150"/>
        <v>0</v>
      </c>
      <c r="FT47" s="640">
        <f>IF(AND(Assumptions!$H$71="Yes",A47&gt;=Assumptions!$H$72,A47&lt;=Assumptions!$H$73),0,IF(AND($A47&gt;=Assumptions!$C$17,$A47&lt;=Assumptions!$C$18),MAX(AZ47*(1+VLOOKUP($C47,WeatherCapacityAdjustment,2))-FL47,0),0))</f>
        <v>0</v>
      </c>
      <c r="FU47" s="530">
        <f>IF(AND(Assumptions!$H$71="Yes",A47&gt;=Assumptions!$H$72,A47&lt;=Assumptions!$H$73),0,IF(AND($A47&gt;=Assumptions!$C$17,$A47&lt;=Assumptions!$C$18),MAX(BA47*(1+VLOOKUP($C47,WeatherCapacityAdjustment,2))-FM47,0),0))</f>
        <v>0</v>
      </c>
      <c r="FV47" s="530">
        <f>IF(AND(Assumptions!$H$71="Yes",A47&gt;=Assumptions!$H$72,A47&lt;=Assumptions!$H$73),0,IF(AND($A47&gt;=Assumptions!$C$17,$A47&lt;=Assumptions!$C$18),MAX(BB47*(1+VLOOKUP($C47,WeatherCapacityAdjustment,2))-FN47,0),0))</f>
        <v>0</v>
      </c>
      <c r="FW47" s="622">
        <f>IF(AND(Assumptions!$H$71="Yes",A47&gt;=Assumptions!$H$72,A47&lt;=Assumptions!$H$73),0,IF(AND($A47&gt;=Assumptions!$C$17,$A47&lt;=Assumptions!$C$18),MAX(BC47*(1+VLOOKUP($C47,WeatherCapacityAdjustment,3))-FO47,0),0))</f>
        <v>0</v>
      </c>
      <c r="FX47" s="621">
        <f>IF(AND(Assumptions!$H$71="Yes",A47&gt;=Assumptions!$H$72,A47&lt;=Assumptions!$H$73),0,IF(ET47&gt;0,MAX(BH47*(1+VLOOKUP($C47,WeatherCapacityAdjustment,2))-FP47,0),0))</f>
        <v>0</v>
      </c>
      <c r="FY47" s="530">
        <f>IF(AND(Assumptions!$H$71="Yes",A47&gt;=Assumptions!$H$72,A47&lt;=Assumptions!$H$73),0,IF(EU47&gt;0,MAX(BI47*(1+VLOOKUP($C47,WeatherCapacityAdjustment,3))-FQ47,0),0))</f>
        <v>0</v>
      </c>
      <c r="FZ47" s="530">
        <f>IF(AND(Assumptions!$H$71="Yes",A47&gt;=Assumptions!$H$72,A47&lt;=Assumptions!$H$73),0,IF(EV47&gt;0,MAX(BJ47*(1+VLOOKUP($C47,WeatherCapacityAdjustment,2))-FR47,0),0))</f>
        <v>0</v>
      </c>
      <c r="GA47" s="622">
        <f>IF(AND(Assumptions!$H$71="Yes",A47&gt;=Assumptions!$H$72,A47&lt;=Assumptions!$H$73),0,IF(EW47&gt;0,MAX(BK47*(1+VLOOKUP($C47,WeatherCapacityAdjustment,2))-FS47,0),0))</f>
        <v>0</v>
      </c>
      <c r="GB47" s="530">
        <f t="shared" si="65"/>
        <v>0</v>
      </c>
      <c r="GC47" s="545">
        <f t="shared" si="66"/>
        <v>0</v>
      </c>
      <c r="GD47" s="530">
        <f t="shared" si="67"/>
        <v>0</v>
      </c>
      <c r="GE47" s="1485">
        <f t="shared" si="151"/>
        <v>0</v>
      </c>
      <c r="GF47" s="1776">
        <f t="shared" si="168"/>
        <v>0</v>
      </c>
      <c r="GG47" s="545">
        <f t="shared" si="169"/>
        <v>0</v>
      </c>
      <c r="GH47" s="622">
        <f t="shared" si="170"/>
        <v>0</v>
      </c>
      <c r="GI47" s="621">
        <f t="shared" si="152"/>
        <v>0</v>
      </c>
      <c r="GJ47" s="638">
        <f t="shared" si="68"/>
        <v>0</v>
      </c>
      <c r="GK47" s="625">
        <f t="shared" si="166"/>
        <v>0</v>
      </c>
      <c r="GL47" s="640">
        <f t="shared" si="171"/>
        <v>0</v>
      </c>
      <c r="GM47" s="530">
        <f t="shared" si="172"/>
        <v>0</v>
      </c>
      <c r="GN47" s="530">
        <f t="shared" si="173"/>
        <v>0</v>
      </c>
      <c r="GO47" s="622">
        <f t="shared" si="174"/>
        <v>0</v>
      </c>
      <c r="GP47" s="530">
        <f t="shared" si="73"/>
        <v>0</v>
      </c>
      <c r="GQ47" s="545">
        <f t="shared" si="74"/>
        <v>0</v>
      </c>
      <c r="GR47" s="625">
        <f t="shared" si="75"/>
        <v>0</v>
      </c>
      <c r="GS47" s="640">
        <f>IF($A47&gt;=BegDate,Assumptions!$C$56*24*($A48-$A47)*(1-VLOOKUP($B47,MAIN!$AA$7:$AM$28,$C47+1))*(1-VLOOKUP($B47,MAIN!$AA$33:$AM$54,$C47+1)),0)*80/168</f>
        <v>0</v>
      </c>
      <c r="GT47" s="1715">
        <f t="shared" si="153"/>
        <v>36.48755628</v>
      </c>
      <c r="GU47" s="1715">
        <f>IF($A47&gt;=BegDate,VLOOKUP($A47,GasTable,13)+Assumptions!$C$58,0)</f>
        <v>0</v>
      </c>
      <c r="GV47" s="1715">
        <f>GU47*Assumptions!$C$57/1000</f>
        <v>0</v>
      </c>
      <c r="GW47" s="625">
        <f>IF(Assumptions!$C$60="Hourly",MAX(0,GS47*(GT47-GV47)),GS47*(GT47-GV47))</f>
        <v>0</v>
      </c>
      <c r="GX47" s="640">
        <f>IF($A47&gt;=BegDate,Assumptions!$C$56*24*($A48-$A47)*(1-VLOOKUP($B47,MAIN!$AA$7:$AM$28,$C47+1))*(1-VLOOKUP($B47,MAIN!$AA$33:$AM$54,$C47+1)),0)*16/168</f>
        <v>0</v>
      </c>
      <c r="GY47" s="1715">
        <f t="shared" si="154"/>
        <v>36.48755628</v>
      </c>
      <c r="GZ47" s="1715">
        <f>IF($A47&gt;=BegDate,VLOOKUP($A47,GasTable,13)+Assumptions!$C$58,0)</f>
        <v>0</v>
      </c>
      <c r="HA47" s="1715">
        <f>GZ47*Assumptions!$C$57/1000</f>
        <v>0</v>
      </c>
      <c r="HB47" s="625">
        <f>IF(Assumptions!$C$60="Hourly",MAX(0,GX47*(GY47-HA47)),GX47*(GY47-HA47))</f>
        <v>0</v>
      </c>
      <c r="HC47" s="640">
        <f>IF($A47&gt;=BegDate,Assumptions!$C$56*24*($A48-$A47)*(1-VLOOKUP($B47,MAIN!$AA$7:$AM$28,$C47+1))*(1-VLOOKUP($B47,MAIN!$AA$33:$AM$54,$C47+1)),0)*16/168</f>
        <v>0</v>
      </c>
      <c r="HD47" s="1715">
        <f t="shared" si="155"/>
        <v>25.9772274</v>
      </c>
      <c r="HE47" s="1715">
        <f>IF($A47&gt;=BegDate,VLOOKUP($A47,GasTable,13)+Assumptions!$C$58,0)</f>
        <v>0</v>
      </c>
      <c r="HF47" s="1715">
        <f>HE47*Assumptions!$C$57/1000</f>
        <v>0</v>
      </c>
      <c r="HG47" s="625">
        <f>IF(Assumptions!$C$60="Hourly",MAX(0,HC47*(HD47-HF47)),HC47*(HD47-HF47))</f>
        <v>0</v>
      </c>
      <c r="HH47" s="640">
        <f>IF($A47&gt;=BegDate,Assumptions!$C$56*24*($A48-$A47)*(1-VLOOKUP($B47,MAIN!$AA$7:$AM$28,$C47+1))*(1-VLOOKUP($B47,MAIN!$AA$33:$AM$54,$C47+1)),0)*56/168</f>
        <v>0</v>
      </c>
      <c r="HI47" s="1715">
        <f t="shared" si="156"/>
        <v>25.9772274</v>
      </c>
      <c r="HJ47" s="1715">
        <f>IF($A47&gt;=BegDate,VLOOKUP($A47,GasTable,13)+Assumptions!$C$58,0)</f>
        <v>0</v>
      </c>
      <c r="HK47" s="1715">
        <f>HJ47*Assumptions!$C$57/1000</f>
        <v>0</v>
      </c>
      <c r="HL47" s="625">
        <f>IF(Assumptions!$C$60="Hourly",MAX(0,HH47*(HI47-HK47)),HH47*(HI47-HK47))</f>
        <v>0</v>
      </c>
      <c r="HM47" s="640">
        <f>IF(AND(Assumptions!$H$71="Yes",A47&gt;=Assumptions!$H$72,A47&lt;=Assumptions!$H$73),Assumptions!$H$74*Assumptions!$C$9*1000,0)</f>
        <v>0</v>
      </c>
      <c r="HN47" s="530"/>
      <c r="HO47" s="545"/>
      <c r="HP47" s="545"/>
      <c r="HQ47" s="545" t="s">
        <v>217</v>
      </c>
      <c r="HR47" s="545"/>
      <c r="HS47" s="545"/>
      <c r="HT47" s="545"/>
      <c r="HU47" s="545"/>
      <c r="HV47" s="545"/>
      <c r="HW47" s="545"/>
      <c r="HX47" s="545"/>
      <c r="HY47" s="545"/>
      <c r="HZ47" s="545"/>
      <c r="IA47" s="545"/>
      <c r="IB47" s="545"/>
      <c r="IC47" s="545"/>
      <c r="ID47" s="545"/>
      <c r="IE47" s="545"/>
      <c r="IF47" s="545"/>
      <c r="IG47" s="545"/>
      <c r="IH47" s="545"/>
      <c r="II47" s="1464"/>
      <c r="IJ47" s="1463"/>
      <c r="IK47" s="1463"/>
    </row>
    <row r="48" spans="1:245">
      <c r="A48" s="177">
        <f t="shared" si="87"/>
        <v>37591</v>
      </c>
      <c r="B48" s="349">
        <f t="shared" si="88"/>
        <v>2002</v>
      </c>
      <c r="C48" s="15">
        <f t="shared" si="89"/>
        <v>12</v>
      </c>
      <c r="D48" s="612" t="str">
        <f t="shared" si="90"/>
        <v/>
      </c>
      <c r="E48" s="609" t="str">
        <f t="shared" si="91"/>
        <v/>
      </c>
      <c r="F48" s="614" t="str">
        <f t="shared" si="2"/>
        <v/>
      </c>
      <c r="G48" s="1349">
        <v>0</v>
      </c>
      <c r="H48" s="152">
        <f t="shared" si="165"/>
        <v>1</v>
      </c>
      <c r="I48" s="154">
        <f>IF(Assumptions!$L$25=4,VLOOKUP($A48,'Henwood Reference'!$E$9:$R$320,10),(VLOOKUP($A48,PriceTable,2,0)+IF(BasisNumber&lt;&gt;1,VLOOKUP($A48,BasisTable,2,0),0)+I$1)/(1-I$2))</f>
        <v>35.948837160000004</v>
      </c>
      <c r="J48" s="154">
        <f>IF(Assumptions!$L$25=4,VLOOKUP($A48,'Henwood Reference'!$E$9:$R$320,10),(VLOOKUP($A48,PriceTable,3,0)+IF(BasisNumber&lt;&gt;1,VLOOKUP($A48,BasisTable,2,0),0)+J$1)/(1-J$2))</f>
        <v>35.948837160000004</v>
      </c>
      <c r="K48" s="154">
        <f>IF(Assumptions!$L$25=4,VLOOKUP($A48,'Henwood Reference'!$E$9:$R$320,10),(VLOOKUP($A48,PriceTable,4,0)+IF(BasisNumber&lt;&gt;1,VLOOKUP($A48,BasisTable,2,0),0)+K$1)/(1-K$2))</f>
        <v>35.948837160000004</v>
      </c>
      <c r="L48" s="474">
        <f>IF(Assumptions!$L$25=4,VLOOKUP($A48,'Henwood Reference'!$E$9:$R$320,10),(VLOOKUP($A48,PriceTableWeekend,2,0)+IF(BasisNumber&lt;&gt;1,VLOOKUP($A48,BasisTable,2,0),0)+L$1)/(1-L$2))</f>
        <v>35.948837160000004</v>
      </c>
      <c r="M48" s="154">
        <f>IF(Assumptions!$L$25=4,VLOOKUP($A48,'Henwood Reference'!$E$9:$R$320,10),(VLOOKUP($A48,PriceTableWeekend,3,0)+IF(BasisNumber&lt;&gt;1,VLOOKUP($A48,BasisTable,2,0),0)+M$1)/(1-M$2))</f>
        <v>35.948837160000004</v>
      </c>
      <c r="N48" s="156">
        <f>IF(Assumptions!$L$25=4,VLOOKUP($A48,'Henwood Reference'!$E$9:$R$320,10),(VLOOKUP($A48,PriceTableWeekend,4,0)+IF(BasisNumber&lt;&gt;1,VLOOKUP($A48,BasisTable,2,0),0)+N$1)/(1-N$2))</f>
        <v>35.948837160000004</v>
      </c>
      <c r="O48" s="154">
        <f>IF(Assumptions!$L$25=4,VLOOKUP($A48,'Henwood Reference'!$E$9:$R$320,11),(VLOOKUP($A48,PriceTableWeekend,6,0)+IF(BasisNumber&lt;&gt;1,VLOOKUP($A48,BasisTable,3,0),0)+O$1)/(1-O$2))</f>
        <v>25.81606944</v>
      </c>
      <c r="P48" s="154">
        <f>IF(Assumptions!$L$25=4,VLOOKUP($A48,'Henwood Reference'!$E$9:$R$320,11),(VLOOKUP($A48,PriceTableWeekend,7,0)+IF(BasisNumber&lt;&gt;1,VLOOKUP($A48,BasisTable,3,0),0)+P$1)/(1-P$2))</f>
        <v>25.81606944</v>
      </c>
      <c r="Q48" s="156">
        <f>IF(Assumptions!$L$25=4,VLOOKUP($A48,'Henwood Reference'!$E$9:$R$320,11),(VLOOKUP($A48,PriceTableWeekend,8,0)+IF(BasisNumber&lt;&gt;1,VLOOKUP($A48,BasisTable,3,0),0)+Q$1)/(1-Q$2))</f>
        <v>25.81606944</v>
      </c>
      <c r="R48" s="154">
        <f>IF(Assumptions!$L$25=4,VLOOKUP($A48,'Henwood Reference'!$E$9:$R$320,11),(VLOOKUP($A48,PriceTable,6,0)+IF(BasisNumber&lt;&gt;1,VLOOKUP($A48,BasisTable,3,0),0)+R$1)/(1-R$2))</f>
        <v>25.81606944</v>
      </c>
      <c r="S48" s="154">
        <f>IF(Assumptions!$L$25=4,VLOOKUP($A48,'Henwood Reference'!$E$9:$R$320,11),(VLOOKUP($A48,PriceTable,7,0)+IF(BasisNumber&lt;&gt;1,VLOOKUP($A48,BasisTable,3,0),0)+S$1)/(1-S$2))</f>
        <v>25.81606944</v>
      </c>
      <c r="T48" s="155">
        <f>IF(Assumptions!$L$25=4,VLOOKUP($A48,'Henwood Reference'!$E$9:$R$320,11),(VLOOKUP($A48,PriceTable,8,0)+IF(BasisNumber&lt;&gt;1,VLOOKUP($A48,BasisTable,3,0),0)+T$1)/(1-T$2))</f>
        <v>25.81606944</v>
      </c>
      <c r="U48" s="173">
        <f t="shared" si="92"/>
        <v>0.16</v>
      </c>
      <c r="V48" s="173">
        <f t="shared" si="93"/>
        <v>0.17</v>
      </c>
      <c r="W48" s="174">
        <f t="shared" si="94"/>
        <v>0.18</v>
      </c>
      <c r="X48" s="173">
        <f t="shared" si="95"/>
        <v>0.16</v>
      </c>
      <c r="Y48" s="173">
        <f t="shared" si="96"/>
        <v>0.17</v>
      </c>
      <c r="Z48" s="174">
        <f t="shared" si="97"/>
        <v>0.18</v>
      </c>
      <c r="AA48" s="173">
        <f t="shared" si="98"/>
        <v>0.09</v>
      </c>
      <c r="AB48" s="173">
        <f t="shared" si="99"/>
        <v>0.11</v>
      </c>
      <c r="AC48" s="174">
        <f t="shared" si="100"/>
        <v>0.13</v>
      </c>
      <c r="AD48" s="173">
        <f t="shared" si="101"/>
        <v>0.09</v>
      </c>
      <c r="AE48" s="173">
        <f t="shared" si="102"/>
        <v>0.11</v>
      </c>
      <c r="AF48" s="174">
        <f t="shared" si="103"/>
        <v>0.13</v>
      </c>
      <c r="AG48" s="173">
        <f t="shared" si="104"/>
        <v>-0.25</v>
      </c>
      <c r="AH48" s="173">
        <f t="shared" si="105"/>
        <v>0.6</v>
      </c>
      <c r="AI48" s="174">
        <f t="shared" si="106"/>
        <v>0.25</v>
      </c>
      <c r="AJ48" s="173">
        <f t="shared" si="107"/>
        <v>-0.25</v>
      </c>
      <c r="AK48" s="173">
        <f t="shared" si="108"/>
        <v>0.6</v>
      </c>
      <c r="AL48" s="174">
        <f t="shared" si="109"/>
        <v>0.25</v>
      </c>
      <c r="AM48" s="173">
        <f t="shared" si="110"/>
        <v>-0.01</v>
      </c>
      <c r="AN48" s="173">
        <f t="shared" si="111"/>
        <v>0.16</v>
      </c>
      <c r="AO48" s="174">
        <f t="shared" si="112"/>
        <v>0.01</v>
      </c>
      <c r="AP48" s="173">
        <f t="shared" si="113"/>
        <v>-0.01</v>
      </c>
      <c r="AQ48" s="173">
        <f t="shared" si="114"/>
        <v>0.16</v>
      </c>
      <c r="AR48" s="175">
        <f t="shared" si="115"/>
        <v>0.01</v>
      </c>
      <c r="AS48" s="521">
        <f t="shared" si="176"/>
        <v>0.5</v>
      </c>
      <c r="AT48" s="349">
        <f t="shared" si="117"/>
        <v>0</v>
      </c>
      <c r="AU48" s="159">
        <f t="shared" si="3"/>
        <v>0</v>
      </c>
      <c r="AV48" s="159">
        <f t="shared" si="4"/>
        <v>0</v>
      </c>
      <c r="AW48" s="159">
        <f t="shared" si="177"/>
        <v>0</v>
      </c>
      <c r="AX48" s="15">
        <f t="shared" si="119"/>
        <v>0</v>
      </c>
      <c r="AY48" s="607">
        <f>IF(E48="",0,MIN((1-(1-VLOOKUP(B48,MAIN!$AA$7:$AM$28,C48+1))*(1-VLOOKUP(B48,MAIN!$AA$33:$AM$54,C48+1))),1))</f>
        <v>0</v>
      </c>
      <c r="AZ48" s="337">
        <v>0</v>
      </c>
      <c r="BA48" s="509">
        <v>0</v>
      </c>
      <c r="BB48" s="509">
        <v>0</v>
      </c>
      <c r="BC48" s="511">
        <v>0</v>
      </c>
      <c r="BD48" s="153">
        <v>0</v>
      </c>
      <c r="BE48" s="474">
        <v>0</v>
      </c>
      <c r="BF48" s="474">
        <v>0</v>
      </c>
      <c r="BG48" s="515">
        <v>0</v>
      </c>
      <c r="BH48" s="262">
        <v>0</v>
      </c>
      <c r="BI48" s="509">
        <v>0</v>
      </c>
      <c r="BJ48" s="509">
        <v>0</v>
      </c>
      <c r="BK48" s="511">
        <v>0</v>
      </c>
      <c r="BL48" s="153">
        <v>0</v>
      </c>
      <c r="BM48" s="474">
        <v>0</v>
      </c>
      <c r="BN48" s="474">
        <v>0</v>
      </c>
      <c r="BO48" s="474">
        <v>0</v>
      </c>
      <c r="BP48" s="261">
        <f t="shared" si="120"/>
        <v>0</v>
      </c>
      <c r="BQ48" s="578">
        <f t="shared" si="121"/>
        <v>0</v>
      </c>
      <c r="BR48" s="259">
        <f t="shared" si="122"/>
        <v>0</v>
      </c>
      <c r="BS48" s="578">
        <f t="shared" si="123"/>
        <v>0</v>
      </c>
      <c r="BT48" s="216">
        <f t="shared" si="124"/>
        <v>2.6310746064339492</v>
      </c>
      <c r="BU48" s="218">
        <f t="shared" si="5"/>
        <v>0</v>
      </c>
      <c r="BV48" s="216">
        <f t="shared" si="6"/>
        <v>0</v>
      </c>
      <c r="BW48" s="216">
        <f t="shared" si="7"/>
        <v>0</v>
      </c>
      <c r="BX48" s="216">
        <f t="shared" si="125"/>
        <v>0</v>
      </c>
      <c r="BY48" s="216">
        <f t="shared" si="8"/>
        <v>0</v>
      </c>
      <c r="BZ48" s="216">
        <f t="shared" si="9"/>
        <v>0</v>
      </c>
      <c r="CA48" s="264">
        <f t="shared" si="10"/>
        <v>0</v>
      </c>
      <c r="CB48" s="216">
        <f t="shared" si="11"/>
        <v>0</v>
      </c>
      <c r="CC48" s="216">
        <f t="shared" si="12"/>
        <v>0</v>
      </c>
      <c r="CD48" s="216">
        <f t="shared" si="126"/>
        <v>0</v>
      </c>
      <c r="CE48" s="216">
        <f t="shared" si="13"/>
        <v>0</v>
      </c>
      <c r="CF48" s="571">
        <f t="shared" si="14"/>
        <v>0</v>
      </c>
      <c r="CG48" s="573" t="str">
        <f t="shared" si="15"/>
        <v/>
      </c>
      <c r="CH48" s="219" t="str">
        <f t="shared" si="16"/>
        <v/>
      </c>
      <c r="CI48" s="219" t="str">
        <f t="shared" si="17"/>
        <v/>
      </c>
      <c r="CJ48" s="219" t="str">
        <f t="shared" si="18"/>
        <v/>
      </c>
      <c r="CK48" s="219" t="str">
        <f t="shared" si="19"/>
        <v/>
      </c>
      <c r="CL48" s="219" t="str">
        <f t="shared" si="20"/>
        <v/>
      </c>
      <c r="CM48" s="219" t="str">
        <f t="shared" si="21"/>
        <v/>
      </c>
      <c r="CN48" s="569" t="str">
        <f t="shared" si="22"/>
        <v/>
      </c>
      <c r="CO48" s="264">
        <f t="shared" si="175"/>
        <v>0</v>
      </c>
      <c r="CP48" s="216">
        <f t="shared" si="127"/>
        <v>0</v>
      </c>
      <c r="CQ48" s="216">
        <f t="shared" si="128"/>
        <v>0</v>
      </c>
      <c r="CR48" s="216">
        <f t="shared" si="129"/>
        <v>0</v>
      </c>
      <c r="CS48" s="1626">
        <f t="shared" si="130"/>
        <v>0</v>
      </c>
      <c r="CT48" s="216">
        <f t="shared" si="131"/>
        <v>0</v>
      </c>
      <c r="CU48" s="575" t="str">
        <f t="shared" si="23"/>
        <v/>
      </c>
      <c r="CV48" s="154" t="str">
        <f t="shared" si="24"/>
        <v/>
      </c>
      <c r="CW48" s="216">
        <f>IF(OR($BQ48,$BS48),SpreadOptPowerMargin,0)*((1+Assumptions!$C$26)^($B48-YEAR(Assumptions!$C$17)))</f>
        <v>0</v>
      </c>
      <c r="CX48" s="216">
        <f>IF(OR($BQ48,$BS48),SpreadOptPowerMargin,0)*((1+Assumptions!$C$26)^($B48-YEAR(Assumptions!$C$17)))</f>
        <v>0</v>
      </c>
      <c r="CY48" s="216">
        <f>IF(OR($BQ48,$BS48),SpreadOptPowerMargin,0)*((1+Assumptions!$C$26)^($B48-YEAR(Assumptions!$C$17)))</f>
        <v>0</v>
      </c>
      <c r="CZ48" s="216">
        <f>IF(OR($BQ48,$BS48),SpreadOptPowerMargin,0)*((1+Assumptions!$C$26)^($B48-YEAR(Assumptions!$C$17)))</f>
        <v>0</v>
      </c>
      <c r="DA48" s="440">
        <f t="shared" si="25"/>
        <v>0</v>
      </c>
      <c r="DB48" s="479" t="str">
        <f t="shared" si="26"/>
        <v/>
      </c>
      <c r="DC48" s="479" t="str">
        <f t="shared" si="27"/>
        <v/>
      </c>
      <c r="DD48" s="479" t="str">
        <f t="shared" si="28"/>
        <v/>
      </c>
      <c r="DE48" s="479" t="str">
        <f t="shared" si="29"/>
        <v/>
      </c>
      <c r="DF48" s="479" t="str">
        <f t="shared" si="30"/>
        <v/>
      </c>
      <c r="DG48" s="574" t="str">
        <f t="shared" si="31"/>
        <v/>
      </c>
      <c r="DH48" s="216">
        <f t="shared" si="32"/>
        <v>0</v>
      </c>
      <c r="DI48" s="216">
        <f t="shared" si="33"/>
        <v>0</v>
      </c>
      <c r="DJ48" s="216">
        <f t="shared" si="34"/>
        <v>0</v>
      </c>
      <c r="DK48" s="216">
        <f t="shared" si="35"/>
        <v>0</v>
      </c>
      <c r="DL48" s="216">
        <f t="shared" si="36"/>
        <v>0</v>
      </c>
      <c r="DM48" s="216"/>
      <c r="DN48" s="216"/>
      <c r="DO48" s="216"/>
      <c r="DP48" s="216"/>
      <c r="DQ48" s="216"/>
      <c r="DR48" s="216"/>
      <c r="DS48" s="216"/>
      <c r="DT48" s="216"/>
      <c r="DU48" s="216"/>
      <c r="DV48" s="216"/>
      <c r="DW48" s="1371">
        <f t="shared" si="37"/>
        <v>0</v>
      </c>
      <c r="DX48" s="216">
        <f t="shared" si="38"/>
        <v>0</v>
      </c>
      <c r="DY48" s="440">
        <f t="shared" si="39"/>
        <v>0</v>
      </c>
      <c r="DZ48" s="180">
        <f t="shared" si="40"/>
        <v>0</v>
      </c>
      <c r="EA48" s="180">
        <f t="shared" si="41"/>
        <v>0</v>
      </c>
      <c r="EB48" s="180">
        <f t="shared" si="42"/>
        <v>0</v>
      </c>
      <c r="EC48" s="180">
        <f t="shared" si="43"/>
        <v>0</v>
      </c>
      <c r="ED48" s="180">
        <f t="shared" si="44"/>
        <v>0</v>
      </c>
      <c r="EE48" s="581">
        <f t="shared" si="45"/>
        <v>0</v>
      </c>
      <c r="EF48" s="554">
        <f t="shared" si="46"/>
        <v>0</v>
      </c>
      <c r="EG48" s="554">
        <f t="shared" si="47"/>
        <v>0</v>
      </c>
      <c r="EH48" s="554">
        <f t="shared" si="48"/>
        <v>0</v>
      </c>
      <c r="EI48" s="561">
        <f t="shared" si="49"/>
        <v>0</v>
      </c>
      <c r="EJ48" s="581">
        <f t="shared" si="132"/>
        <v>0</v>
      </c>
      <c r="EK48" s="554">
        <f t="shared" si="133"/>
        <v>0</v>
      </c>
      <c r="EL48" s="554">
        <f t="shared" si="134"/>
        <v>0</v>
      </c>
      <c r="EM48" s="554">
        <f t="shared" si="135"/>
        <v>0</v>
      </c>
      <c r="EN48" s="561">
        <f t="shared" si="136"/>
        <v>0</v>
      </c>
      <c r="EO48" s="180">
        <f t="shared" si="50"/>
        <v>0</v>
      </c>
      <c r="EP48" s="180">
        <f t="shared" si="51"/>
        <v>0</v>
      </c>
      <c r="EQ48" s="180">
        <f t="shared" si="52"/>
        <v>0</v>
      </c>
      <c r="ER48" s="180">
        <f t="shared" si="53"/>
        <v>0</v>
      </c>
      <c r="ES48" s="180">
        <f t="shared" si="54"/>
        <v>0</v>
      </c>
      <c r="ET48" s="1482">
        <f t="shared" si="178"/>
        <v>0</v>
      </c>
      <c r="EU48" s="180">
        <f t="shared" si="179"/>
        <v>0</v>
      </c>
      <c r="EV48" s="180">
        <f t="shared" si="180"/>
        <v>0</v>
      </c>
      <c r="EW48" s="180">
        <f t="shared" si="181"/>
        <v>0</v>
      </c>
      <c r="EX48" s="555">
        <f t="shared" si="182"/>
        <v>0</v>
      </c>
      <c r="EY48" s="180">
        <f t="shared" si="137"/>
        <v>0</v>
      </c>
      <c r="EZ48" s="180">
        <f t="shared" si="138"/>
        <v>0</v>
      </c>
      <c r="FA48" s="180">
        <f t="shared" si="139"/>
        <v>0</v>
      </c>
      <c r="FB48" s="180">
        <f t="shared" si="140"/>
        <v>0</v>
      </c>
      <c r="FC48" s="180">
        <f t="shared" si="141"/>
        <v>0</v>
      </c>
      <c r="FD48" s="262">
        <f>IF(AX48,IF(VLOOKUP(C48,MAIN!$L$17:$M$28,2)="Yes",VLOOKUP(CALC!B48,MAIN!$H$17:$I$20,2),0),0)</f>
        <v>0</v>
      </c>
      <c r="FE48" s="623">
        <f t="shared" si="60"/>
        <v>0</v>
      </c>
      <c r="FF48" s="535">
        <f t="shared" si="61"/>
        <v>0</v>
      </c>
      <c r="FG48" s="535">
        <f t="shared" si="62"/>
        <v>0</v>
      </c>
      <c r="FH48" s="624">
        <f t="shared" si="63"/>
        <v>0</v>
      </c>
      <c r="FI48" s="632">
        <f>IF(AX48,VLOOKUP(CALC!B48,MAIN!$H$17:$K$20,4),0)</f>
        <v>0</v>
      </c>
      <c r="FJ48" s="535">
        <f t="shared" si="64"/>
        <v>0</v>
      </c>
      <c r="FK48" s="648">
        <f t="shared" si="142"/>
        <v>0</v>
      </c>
      <c r="FL48" s="530">
        <f t="shared" si="143"/>
        <v>0</v>
      </c>
      <c r="FM48" s="530">
        <f t="shared" si="144"/>
        <v>0</v>
      </c>
      <c r="FN48" s="530">
        <f t="shared" si="145"/>
        <v>0</v>
      </c>
      <c r="FO48" s="622">
        <f t="shared" si="146"/>
        <v>0</v>
      </c>
      <c r="FP48" s="530">
        <f t="shared" si="147"/>
        <v>0</v>
      </c>
      <c r="FQ48" s="530">
        <f t="shared" si="148"/>
        <v>0</v>
      </c>
      <c r="FR48" s="530">
        <f t="shared" si="149"/>
        <v>0</v>
      </c>
      <c r="FS48" s="625">
        <f t="shared" si="150"/>
        <v>0</v>
      </c>
      <c r="FT48" s="640">
        <f>IF(AND(Assumptions!$H$71="Yes",A48&gt;=Assumptions!$H$72,A48&lt;=Assumptions!$H$73),0,IF(AND($A48&gt;=Assumptions!$C$17,$A48&lt;=Assumptions!$C$18),MAX(AZ48*(1+VLOOKUP($C48,WeatherCapacityAdjustment,2))-FL48,0),0))</f>
        <v>0</v>
      </c>
      <c r="FU48" s="530">
        <f>IF(AND(Assumptions!$H$71="Yes",A48&gt;=Assumptions!$H$72,A48&lt;=Assumptions!$H$73),0,IF(AND($A48&gt;=Assumptions!$C$17,$A48&lt;=Assumptions!$C$18),MAX(BA48*(1+VLOOKUP($C48,WeatherCapacityAdjustment,2))-FM48,0),0))</f>
        <v>0</v>
      </c>
      <c r="FV48" s="530">
        <f>IF(AND(Assumptions!$H$71="Yes",A48&gt;=Assumptions!$H$72,A48&lt;=Assumptions!$H$73),0,IF(AND($A48&gt;=Assumptions!$C$17,$A48&lt;=Assumptions!$C$18),MAX(BB48*(1+VLOOKUP($C48,WeatherCapacityAdjustment,2))-FN48,0),0))</f>
        <v>0</v>
      </c>
      <c r="FW48" s="622">
        <f>IF(AND(Assumptions!$H$71="Yes",A48&gt;=Assumptions!$H$72,A48&lt;=Assumptions!$H$73),0,IF(AND($A48&gt;=Assumptions!$C$17,$A48&lt;=Assumptions!$C$18),MAX(BC48*(1+VLOOKUP($C48,WeatherCapacityAdjustment,3))-FO48,0),0))</f>
        <v>0</v>
      </c>
      <c r="FX48" s="621">
        <f>IF(AND(Assumptions!$H$71="Yes",A48&gt;=Assumptions!$H$72,A48&lt;=Assumptions!$H$73),0,IF(ET48&gt;0,MAX(BH48*(1+VLOOKUP($C48,WeatherCapacityAdjustment,2))-FP48,0),0))</f>
        <v>0</v>
      </c>
      <c r="FY48" s="530">
        <f>IF(AND(Assumptions!$H$71="Yes",A48&gt;=Assumptions!$H$72,A48&lt;=Assumptions!$H$73),0,IF(EU48&gt;0,MAX(BI48*(1+VLOOKUP($C48,WeatherCapacityAdjustment,3))-FQ48,0),0))</f>
        <v>0</v>
      </c>
      <c r="FZ48" s="530">
        <f>IF(AND(Assumptions!$H$71="Yes",A48&gt;=Assumptions!$H$72,A48&lt;=Assumptions!$H$73),0,IF(EV48&gt;0,MAX(BJ48*(1+VLOOKUP($C48,WeatherCapacityAdjustment,2))-FR48,0),0))</f>
        <v>0</v>
      </c>
      <c r="GA48" s="622">
        <f>IF(AND(Assumptions!$H$71="Yes",A48&gt;=Assumptions!$H$72,A48&lt;=Assumptions!$H$73),0,IF(EW48&gt;0,MAX(BK48*(1+VLOOKUP($C48,WeatherCapacityAdjustment,2))-FS48,0),0))</f>
        <v>0</v>
      </c>
      <c r="GB48" s="530">
        <f t="shared" si="65"/>
        <v>0</v>
      </c>
      <c r="GC48" s="545">
        <f t="shared" si="66"/>
        <v>0</v>
      </c>
      <c r="GD48" s="530">
        <f t="shared" si="67"/>
        <v>0</v>
      </c>
      <c r="GE48" s="1485">
        <f t="shared" si="151"/>
        <v>0</v>
      </c>
      <c r="GF48" s="1776">
        <f t="shared" si="168"/>
        <v>0</v>
      </c>
      <c r="GG48" s="545">
        <f t="shared" si="169"/>
        <v>0</v>
      </c>
      <c r="GH48" s="622">
        <f t="shared" si="170"/>
        <v>0</v>
      </c>
      <c r="GI48" s="621">
        <f t="shared" si="152"/>
        <v>0</v>
      </c>
      <c r="GJ48" s="638">
        <f t="shared" si="68"/>
        <v>0</v>
      </c>
      <c r="GK48" s="625">
        <f t="shared" si="166"/>
        <v>0</v>
      </c>
      <c r="GL48" s="640">
        <f t="shared" si="171"/>
        <v>0</v>
      </c>
      <c r="GM48" s="530">
        <f t="shared" si="172"/>
        <v>0</v>
      </c>
      <c r="GN48" s="530">
        <f t="shared" si="173"/>
        <v>0</v>
      </c>
      <c r="GO48" s="622">
        <f t="shared" si="174"/>
        <v>0</v>
      </c>
      <c r="GP48" s="530">
        <f t="shared" si="73"/>
        <v>0</v>
      </c>
      <c r="GQ48" s="545">
        <f t="shared" si="74"/>
        <v>0</v>
      </c>
      <c r="GR48" s="625">
        <f t="shared" si="75"/>
        <v>0</v>
      </c>
      <c r="GS48" s="640">
        <f>IF($A48&gt;=BegDate,Assumptions!$C$56*24*($A49-$A48)*(1-VLOOKUP($B48,MAIN!$AA$7:$AM$28,$C48+1))*(1-VLOOKUP($B48,MAIN!$AA$33:$AM$54,$C48+1)),0)*80/168</f>
        <v>0</v>
      </c>
      <c r="GT48" s="1715">
        <f t="shared" si="153"/>
        <v>35.948837160000004</v>
      </c>
      <c r="GU48" s="1715">
        <f>IF($A48&gt;=BegDate,VLOOKUP($A48,GasTable,13)+Assumptions!$C$58,0)</f>
        <v>0</v>
      </c>
      <c r="GV48" s="1715">
        <f>GU48*Assumptions!$C$57/1000</f>
        <v>0</v>
      </c>
      <c r="GW48" s="625">
        <f>IF(Assumptions!$C$60="Hourly",MAX(0,GS48*(GT48-GV48)),GS48*(GT48-GV48))</f>
        <v>0</v>
      </c>
      <c r="GX48" s="640">
        <f>IF($A48&gt;=BegDate,Assumptions!$C$56*24*($A49-$A48)*(1-VLOOKUP($B48,MAIN!$AA$7:$AM$28,$C48+1))*(1-VLOOKUP($B48,MAIN!$AA$33:$AM$54,$C48+1)),0)*16/168</f>
        <v>0</v>
      </c>
      <c r="GY48" s="1715">
        <f t="shared" si="154"/>
        <v>35.948837160000004</v>
      </c>
      <c r="GZ48" s="1715">
        <f>IF($A48&gt;=BegDate,VLOOKUP($A48,GasTable,13)+Assumptions!$C$58,0)</f>
        <v>0</v>
      </c>
      <c r="HA48" s="1715">
        <f>GZ48*Assumptions!$C$57/1000</f>
        <v>0</v>
      </c>
      <c r="HB48" s="625">
        <f>IF(Assumptions!$C$60="Hourly",MAX(0,GX48*(GY48-HA48)),GX48*(GY48-HA48))</f>
        <v>0</v>
      </c>
      <c r="HC48" s="640">
        <f>IF($A48&gt;=BegDate,Assumptions!$C$56*24*($A49-$A48)*(1-VLOOKUP($B48,MAIN!$AA$7:$AM$28,$C48+1))*(1-VLOOKUP($B48,MAIN!$AA$33:$AM$54,$C48+1)),0)*16/168</f>
        <v>0</v>
      </c>
      <c r="HD48" s="1715">
        <f t="shared" si="155"/>
        <v>25.81606944</v>
      </c>
      <c r="HE48" s="1715">
        <f>IF($A48&gt;=BegDate,VLOOKUP($A48,GasTable,13)+Assumptions!$C$58,0)</f>
        <v>0</v>
      </c>
      <c r="HF48" s="1715">
        <f>HE48*Assumptions!$C$57/1000</f>
        <v>0</v>
      </c>
      <c r="HG48" s="625">
        <f>IF(Assumptions!$C$60="Hourly",MAX(0,HC48*(HD48-HF48)),HC48*(HD48-HF48))</f>
        <v>0</v>
      </c>
      <c r="HH48" s="640">
        <f>IF($A48&gt;=BegDate,Assumptions!$C$56*24*($A49-$A48)*(1-VLOOKUP($B48,MAIN!$AA$7:$AM$28,$C48+1))*(1-VLOOKUP($B48,MAIN!$AA$33:$AM$54,$C48+1)),0)*56/168</f>
        <v>0</v>
      </c>
      <c r="HI48" s="1715">
        <f t="shared" si="156"/>
        <v>25.81606944</v>
      </c>
      <c r="HJ48" s="1715">
        <f>IF($A48&gt;=BegDate,VLOOKUP($A48,GasTable,13)+Assumptions!$C$58,0)</f>
        <v>0</v>
      </c>
      <c r="HK48" s="1715">
        <f>HJ48*Assumptions!$C$57/1000</f>
        <v>0</v>
      </c>
      <c r="HL48" s="625">
        <f>IF(Assumptions!$C$60="Hourly",MAX(0,HH48*(HI48-HK48)),HH48*(HI48-HK48))</f>
        <v>0</v>
      </c>
      <c r="HM48" s="640">
        <f>IF(AND(Assumptions!$H$71="Yes",A48&gt;=Assumptions!$H$72,A48&lt;=Assumptions!$H$73),Assumptions!$H$74*Assumptions!$C$9*1000,0)</f>
        <v>0</v>
      </c>
      <c r="HN48" s="530"/>
      <c r="HO48" s="545"/>
      <c r="HP48" s="545"/>
      <c r="HQ48" s="545"/>
      <c r="HR48" s="545"/>
      <c r="HS48" s="545"/>
      <c r="HT48" s="545"/>
      <c r="HU48" s="545"/>
      <c r="HV48" s="545"/>
      <c r="HW48" s="545"/>
      <c r="HX48" s="545"/>
      <c r="HY48" s="545"/>
      <c r="HZ48" s="545"/>
      <c r="IA48" s="545"/>
      <c r="IB48" s="545"/>
      <c r="IC48" s="545"/>
      <c r="ID48" s="545"/>
      <c r="IE48" s="545"/>
      <c r="IF48" s="545"/>
      <c r="IG48" s="545"/>
      <c r="IH48" s="545"/>
      <c r="II48" s="1464"/>
      <c r="IJ48" s="1463"/>
      <c r="IK48" s="1463"/>
    </row>
    <row r="49" spans="1:245">
      <c r="A49" s="177">
        <f t="shared" si="87"/>
        <v>37622</v>
      </c>
      <c r="B49" s="349">
        <f t="shared" si="88"/>
        <v>2003</v>
      </c>
      <c r="C49" s="15">
        <f t="shared" si="89"/>
        <v>1</v>
      </c>
      <c r="D49" s="612" t="str">
        <f t="shared" si="90"/>
        <v/>
      </c>
      <c r="E49" s="609" t="str">
        <f t="shared" si="91"/>
        <v/>
      </c>
      <c r="F49" s="614" t="str">
        <f t="shared" si="2"/>
        <v/>
      </c>
      <c r="G49" s="1349">
        <v>0</v>
      </c>
      <c r="H49" s="152">
        <f t="shared" si="165"/>
        <v>1</v>
      </c>
      <c r="I49" s="154">
        <f>IF(Assumptions!$L$25=4,VLOOKUP($A49,'Henwood Reference'!$E$9:$R$320,10),(VLOOKUP($A49,PriceTable,2,0)+IF(BasisNumber&lt;&gt;1,VLOOKUP($A49,BasisTable,2,0),0)+I$1)/(1-I$2))</f>
        <v>38.292947834399996</v>
      </c>
      <c r="J49" s="154">
        <f>IF(Assumptions!$L$25=4,VLOOKUP($A49,'Henwood Reference'!$E$9:$R$320,10),(VLOOKUP($A49,PriceTable,3,0)+IF(BasisNumber&lt;&gt;1,VLOOKUP($A49,BasisTable,2,0),0)+J$1)/(1-J$2))</f>
        <v>38.292947834399996</v>
      </c>
      <c r="K49" s="154">
        <f>IF(Assumptions!$L$25=4,VLOOKUP($A49,'Henwood Reference'!$E$9:$R$320,10),(VLOOKUP($A49,PriceTable,4,0)+IF(BasisNumber&lt;&gt;1,VLOOKUP($A49,BasisTable,2,0),0)+K$1)/(1-K$2))</f>
        <v>38.292947834399996</v>
      </c>
      <c r="L49" s="474">
        <f>IF(Assumptions!$L$25=4,VLOOKUP($A49,'Henwood Reference'!$E$9:$R$320,10),(VLOOKUP($A49,PriceTableWeekend,2,0)+IF(BasisNumber&lt;&gt;1,VLOOKUP($A49,BasisTable,2,0),0)+L$1)/(1-L$2))</f>
        <v>38.292947834399996</v>
      </c>
      <c r="M49" s="154">
        <f>IF(Assumptions!$L$25=4,VLOOKUP($A49,'Henwood Reference'!$E$9:$R$320,10),(VLOOKUP($A49,PriceTableWeekend,3,0)+IF(BasisNumber&lt;&gt;1,VLOOKUP($A49,BasisTable,2,0),0)+M$1)/(1-M$2))</f>
        <v>38.292947834399996</v>
      </c>
      <c r="N49" s="156">
        <f>IF(Assumptions!$L$25=4,VLOOKUP($A49,'Henwood Reference'!$E$9:$R$320,10),(VLOOKUP($A49,PriceTableWeekend,4,0)+IF(BasisNumber&lt;&gt;1,VLOOKUP($A49,BasisTable,2,0),0)+N$1)/(1-N$2))</f>
        <v>38.292947834399996</v>
      </c>
      <c r="O49" s="154">
        <f>IF(Assumptions!$L$25=4,VLOOKUP($A49,'Henwood Reference'!$E$9:$R$320,11),(VLOOKUP($A49,PriceTableWeekend,6,0)+IF(BasisNumber&lt;&gt;1,VLOOKUP($A49,BasisTable,3,0),0)+O$1)/(1-O$2))</f>
        <v>26.424397562399999</v>
      </c>
      <c r="P49" s="154">
        <f>IF(Assumptions!$L$25=4,VLOOKUP($A49,'Henwood Reference'!$E$9:$R$320,11),(VLOOKUP($A49,PriceTableWeekend,7,0)+IF(BasisNumber&lt;&gt;1,VLOOKUP($A49,BasisTable,3,0),0)+P$1)/(1-P$2))</f>
        <v>26.424397562399999</v>
      </c>
      <c r="Q49" s="156">
        <f>IF(Assumptions!$L$25=4,VLOOKUP($A49,'Henwood Reference'!$E$9:$R$320,11),(VLOOKUP($A49,PriceTableWeekend,8,0)+IF(BasisNumber&lt;&gt;1,VLOOKUP($A49,BasisTable,3,0),0)+Q$1)/(1-Q$2))</f>
        <v>26.424397562399999</v>
      </c>
      <c r="R49" s="154">
        <f>IF(Assumptions!$L$25=4,VLOOKUP($A49,'Henwood Reference'!$E$9:$R$320,11),(VLOOKUP($A49,PriceTable,6,0)+IF(BasisNumber&lt;&gt;1,VLOOKUP($A49,BasisTable,3,0),0)+R$1)/(1-R$2))</f>
        <v>26.424397562399999</v>
      </c>
      <c r="S49" s="154">
        <f>IF(Assumptions!$L$25=4,VLOOKUP($A49,'Henwood Reference'!$E$9:$R$320,11),(VLOOKUP($A49,PriceTable,7,0)+IF(BasisNumber&lt;&gt;1,VLOOKUP($A49,BasisTable,3,0),0)+S$1)/(1-S$2))</f>
        <v>26.424397562399999</v>
      </c>
      <c r="T49" s="155">
        <f>IF(Assumptions!$L$25=4,VLOOKUP($A49,'Henwood Reference'!$E$9:$R$320,11),(VLOOKUP($A49,PriceTable,8,0)+IF(BasisNumber&lt;&gt;1,VLOOKUP($A49,BasisTable,3,0),0)+T$1)/(1-T$2))</f>
        <v>26.424397562399999</v>
      </c>
      <c r="U49" s="173">
        <f t="shared" si="92"/>
        <v>0.155</v>
      </c>
      <c r="V49" s="173">
        <f t="shared" si="93"/>
        <v>0.16500000000000001</v>
      </c>
      <c r="W49" s="174">
        <f t="shared" si="94"/>
        <v>0.17499999999999999</v>
      </c>
      <c r="X49" s="173">
        <f t="shared" si="95"/>
        <v>0.155</v>
      </c>
      <c r="Y49" s="173">
        <f t="shared" si="96"/>
        <v>0.16500000000000001</v>
      </c>
      <c r="Z49" s="174">
        <f t="shared" si="97"/>
        <v>0.17499999999999999</v>
      </c>
      <c r="AA49" s="173">
        <f t="shared" si="98"/>
        <v>0.09</v>
      </c>
      <c r="AB49" s="173">
        <f t="shared" si="99"/>
        <v>0.11</v>
      </c>
      <c r="AC49" s="174">
        <f t="shared" si="100"/>
        <v>0.13</v>
      </c>
      <c r="AD49" s="173">
        <f t="shared" si="101"/>
        <v>0.09</v>
      </c>
      <c r="AE49" s="173">
        <f t="shared" si="102"/>
        <v>0.11</v>
      </c>
      <c r="AF49" s="174">
        <f t="shared" si="103"/>
        <v>0.13</v>
      </c>
      <c r="AG49" s="173">
        <f t="shared" si="104"/>
        <v>-0.25</v>
      </c>
      <c r="AH49" s="173">
        <f t="shared" si="105"/>
        <v>0.65</v>
      </c>
      <c r="AI49" s="174">
        <f t="shared" si="106"/>
        <v>0.25</v>
      </c>
      <c r="AJ49" s="173">
        <f t="shared" si="107"/>
        <v>-0.25</v>
      </c>
      <c r="AK49" s="173">
        <f t="shared" si="108"/>
        <v>0.65</v>
      </c>
      <c r="AL49" s="174">
        <f t="shared" si="109"/>
        <v>0.25</v>
      </c>
      <c r="AM49" s="173">
        <f t="shared" si="110"/>
        <v>-0.01</v>
      </c>
      <c r="AN49" s="173">
        <f t="shared" si="111"/>
        <v>0.16</v>
      </c>
      <c r="AO49" s="174">
        <f t="shared" si="112"/>
        <v>0.01</v>
      </c>
      <c r="AP49" s="173">
        <f t="shared" si="113"/>
        <v>-0.01</v>
      </c>
      <c r="AQ49" s="173">
        <f t="shared" si="114"/>
        <v>0.16</v>
      </c>
      <c r="AR49" s="175">
        <f t="shared" si="115"/>
        <v>0.01</v>
      </c>
      <c r="AS49" s="521">
        <f t="shared" si="176"/>
        <v>0.5</v>
      </c>
      <c r="AT49" s="349">
        <f t="shared" si="117"/>
        <v>0</v>
      </c>
      <c r="AU49" s="159">
        <f t="shared" si="3"/>
        <v>0</v>
      </c>
      <c r="AV49" s="159">
        <f t="shared" si="4"/>
        <v>0</v>
      </c>
      <c r="AW49" s="159">
        <f t="shared" si="177"/>
        <v>0</v>
      </c>
      <c r="AX49" s="15">
        <f t="shared" si="119"/>
        <v>0</v>
      </c>
      <c r="AY49" s="607">
        <f>IF(E49="",0,MIN((1-(1-VLOOKUP(B49,MAIN!$AA$7:$AM$28,C49+1))*(1-VLOOKUP(B49,MAIN!$AA$33:$AM$54,C49+1))),1))</f>
        <v>0</v>
      </c>
      <c r="AZ49" s="337">
        <v>0</v>
      </c>
      <c r="BA49" s="509">
        <v>0</v>
      </c>
      <c r="BB49" s="509">
        <v>0</v>
      </c>
      <c r="BC49" s="511">
        <v>0</v>
      </c>
      <c r="BD49" s="153">
        <v>0</v>
      </c>
      <c r="BE49" s="474">
        <v>0</v>
      </c>
      <c r="BF49" s="474">
        <v>0</v>
      </c>
      <c r="BG49" s="515">
        <v>0</v>
      </c>
      <c r="BH49" s="262">
        <v>0</v>
      </c>
      <c r="BI49" s="509">
        <v>0</v>
      </c>
      <c r="BJ49" s="509">
        <v>0</v>
      </c>
      <c r="BK49" s="511">
        <v>0</v>
      </c>
      <c r="BL49" s="153">
        <v>0</v>
      </c>
      <c r="BM49" s="474">
        <v>0</v>
      </c>
      <c r="BN49" s="474">
        <v>0</v>
      </c>
      <c r="BO49" s="474">
        <v>0</v>
      </c>
      <c r="BP49" s="261">
        <f t="shared" si="120"/>
        <v>0</v>
      </c>
      <c r="BQ49" s="578">
        <f t="shared" si="121"/>
        <v>0</v>
      </c>
      <c r="BR49" s="259">
        <f t="shared" si="122"/>
        <v>0</v>
      </c>
      <c r="BS49" s="578">
        <f t="shared" si="123"/>
        <v>0</v>
      </c>
      <c r="BT49" s="216">
        <f t="shared" si="124"/>
        <v>2.7159479808350446</v>
      </c>
      <c r="BU49" s="218">
        <f t="shared" si="5"/>
        <v>0</v>
      </c>
      <c r="BV49" s="216">
        <f t="shared" si="6"/>
        <v>0</v>
      </c>
      <c r="BW49" s="216">
        <f t="shared" si="7"/>
        <v>0</v>
      </c>
      <c r="BX49" s="216">
        <f t="shared" si="125"/>
        <v>0</v>
      </c>
      <c r="BY49" s="216">
        <f t="shared" si="8"/>
        <v>0</v>
      </c>
      <c r="BZ49" s="216">
        <f t="shared" si="9"/>
        <v>0</v>
      </c>
      <c r="CA49" s="264">
        <f t="shared" si="10"/>
        <v>0</v>
      </c>
      <c r="CB49" s="216">
        <f t="shared" si="11"/>
        <v>0</v>
      </c>
      <c r="CC49" s="216">
        <f t="shared" si="12"/>
        <v>0</v>
      </c>
      <c r="CD49" s="216">
        <f t="shared" si="126"/>
        <v>0</v>
      </c>
      <c r="CE49" s="216">
        <f t="shared" si="13"/>
        <v>0</v>
      </c>
      <c r="CF49" s="571">
        <f t="shared" si="14"/>
        <v>0</v>
      </c>
      <c r="CG49" s="573" t="str">
        <f t="shared" si="15"/>
        <v/>
      </c>
      <c r="CH49" s="219" t="str">
        <f t="shared" si="16"/>
        <v/>
      </c>
      <c r="CI49" s="219" t="str">
        <f t="shared" si="17"/>
        <v/>
      </c>
      <c r="CJ49" s="219" t="str">
        <f t="shared" si="18"/>
        <v/>
      </c>
      <c r="CK49" s="219" t="str">
        <f t="shared" si="19"/>
        <v/>
      </c>
      <c r="CL49" s="219" t="str">
        <f t="shared" si="20"/>
        <v/>
      </c>
      <c r="CM49" s="219" t="str">
        <f t="shared" si="21"/>
        <v/>
      </c>
      <c r="CN49" s="569" t="str">
        <f t="shared" si="22"/>
        <v/>
      </c>
      <c r="CO49" s="264">
        <f t="shared" si="175"/>
        <v>0</v>
      </c>
      <c r="CP49" s="216">
        <f t="shared" si="127"/>
        <v>0</v>
      </c>
      <c r="CQ49" s="216">
        <f t="shared" si="128"/>
        <v>0</v>
      </c>
      <c r="CR49" s="216">
        <f t="shared" si="129"/>
        <v>0</v>
      </c>
      <c r="CS49" s="1626">
        <f t="shared" si="130"/>
        <v>0</v>
      </c>
      <c r="CT49" s="216">
        <f t="shared" si="131"/>
        <v>0</v>
      </c>
      <c r="CU49" s="575" t="str">
        <f t="shared" si="23"/>
        <v/>
      </c>
      <c r="CV49" s="154" t="str">
        <f t="shared" si="24"/>
        <v/>
      </c>
      <c r="CW49" s="216">
        <f>IF(OR($BQ49,$BS49),SpreadOptPowerMargin,0)*((1+Assumptions!$C$26)^($B49-YEAR(Assumptions!$C$17)))</f>
        <v>0</v>
      </c>
      <c r="CX49" s="216">
        <f>IF(OR($BQ49,$BS49),SpreadOptPowerMargin,0)*((1+Assumptions!$C$26)^($B49-YEAR(Assumptions!$C$17)))</f>
        <v>0</v>
      </c>
      <c r="CY49" s="216">
        <f>IF(OR($BQ49,$BS49),SpreadOptPowerMargin,0)*((1+Assumptions!$C$26)^($B49-YEAR(Assumptions!$C$17)))</f>
        <v>0</v>
      </c>
      <c r="CZ49" s="216">
        <f>IF(OR($BQ49,$BS49),SpreadOptPowerMargin,0)*((1+Assumptions!$C$26)^($B49-YEAR(Assumptions!$C$17)))</f>
        <v>0</v>
      </c>
      <c r="DA49" s="440">
        <f t="shared" si="25"/>
        <v>0</v>
      </c>
      <c r="DB49" s="479" t="str">
        <f t="shared" si="26"/>
        <v/>
      </c>
      <c r="DC49" s="479" t="str">
        <f t="shared" si="27"/>
        <v/>
      </c>
      <c r="DD49" s="479" t="str">
        <f t="shared" si="28"/>
        <v/>
      </c>
      <c r="DE49" s="479" t="str">
        <f t="shared" si="29"/>
        <v/>
      </c>
      <c r="DF49" s="479" t="str">
        <f t="shared" si="30"/>
        <v/>
      </c>
      <c r="DG49" s="574" t="str">
        <f t="shared" si="31"/>
        <v/>
      </c>
      <c r="DH49" s="216">
        <f t="shared" si="32"/>
        <v>0</v>
      </c>
      <c r="DI49" s="216">
        <f t="shared" si="33"/>
        <v>0</v>
      </c>
      <c r="DJ49" s="216">
        <f t="shared" si="34"/>
        <v>0</v>
      </c>
      <c r="DK49" s="216">
        <f t="shared" si="35"/>
        <v>0</v>
      </c>
      <c r="DL49" s="216">
        <f t="shared" si="36"/>
        <v>0</v>
      </c>
      <c r="DM49" s="216"/>
      <c r="DN49" s="216"/>
      <c r="DO49" s="216"/>
      <c r="DP49" s="216"/>
      <c r="DQ49" s="216"/>
      <c r="DR49" s="216"/>
      <c r="DS49" s="216"/>
      <c r="DT49" s="216"/>
      <c r="DU49" s="216"/>
      <c r="DV49" s="216"/>
      <c r="DW49" s="1371">
        <f t="shared" si="37"/>
        <v>0</v>
      </c>
      <c r="DX49" s="216">
        <f t="shared" si="38"/>
        <v>0</v>
      </c>
      <c r="DY49" s="440">
        <f t="shared" si="39"/>
        <v>0</v>
      </c>
      <c r="DZ49" s="180">
        <f t="shared" si="40"/>
        <v>0</v>
      </c>
      <c r="EA49" s="180">
        <f t="shared" si="41"/>
        <v>0</v>
      </c>
      <c r="EB49" s="180">
        <f t="shared" si="42"/>
        <v>0</v>
      </c>
      <c r="EC49" s="180">
        <f t="shared" si="43"/>
        <v>0</v>
      </c>
      <c r="ED49" s="180">
        <f t="shared" si="44"/>
        <v>0</v>
      </c>
      <c r="EE49" s="581">
        <f t="shared" si="45"/>
        <v>0</v>
      </c>
      <c r="EF49" s="554">
        <f t="shared" si="46"/>
        <v>0</v>
      </c>
      <c r="EG49" s="554">
        <f t="shared" si="47"/>
        <v>0</v>
      </c>
      <c r="EH49" s="554">
        <f t="shared" si="48"/>
        <v>0</v>
      </c>
      <c r="EI49" s="561">
        <f t="shared" si="49"/>
        <v>0</v>
      </c>
      <c r="EJ49" s="581">
        <f t="shared" si="132"/>
        <v>0</v>
      </c>
      <c r="EK49" s="554">
        <f t="shared" si="133"/>
        <v>0</v>
      </c>
      <c r="EL49" s="554">
        <f t="shared" si="134"/>
        <v>0</v>
      </c>
      <c r="EM49" s="554">
        <f t="shared" si="135"/>
        <v>0</v>
      </c>
      <c r="EN49" s="561">
        <f t="shared" si="136"/>
        <v>0</v>
      </c>
      <c r="EO49" s="180">
        <f t="shared" si="50"/>
        <v>0</v>
      </c>
      <c r="EP49" s="180">
        <f t="shared" si="51"/>
        <v>0</v>
      </c>
      <c r="EQ49" s="180">
        <f t="shared" si="52"/>
        <v>0</v>
      </c>
      <c r="ER49" s="180">
        <f t="shared" si="53"/>
        <v>0</v>
      </c>
      <c r="ES49" s="180">
        <f t="shared" si="54"/>
        <v>0</v>
      </c>
      <c r="ET49" s="1482">
        <f t="shared" si="178"/>
        <v>0</v>
      </c>
      <c r="EU49" s="180">
        <f t="shared" si="179"/>
        <v>0</v>
      </c>
      <c r="EV49" s="180">
        <f t="shared" si="180"/>
        <v>0</v>
      </c>
      <c r="EW49" s="180">
        <f t="shared" si="181"/>
        <v>0</v>
      </c>
      <c r="EX49" s="555">
        <f t="shared" si="182"/>
        <v>0</v>
      </c>
      <c r="EY49" s="180">
        <f t="shared" si="137"/>
        <v>0</v>
      </c>
      <c r="EZ49" s="180">
        <f t="shared" si="138"/>
        <v>0</v>
      </c>
      <c r="FA49" s="180">
        <f t="shared" si="139"/>
        <v>0</v>
      </c>
      <c r="FB49" s="180">
        <f t="shared" si="140"/>
        <v>0</v>
      </c>
      <c r="FC49" s="180">
        <f t="shared" si="141"/>
        <v>0</v>
      </c>
      <c r="FD49" s="262">
        <f>IF(AX49,IF(VLOOKUP(C49,MAIN!$L$17:$M$28,2)="Yes",VLOOKUP(CALC!B49,MAIN!$H$17:$I$20,2),0),0)</f>
        <v>0</v>
      </c>
      <c r="FE49" s="623">
        <f t="shared" si="60"/>
        <v>0</v>
      </c>
      <c r="FF49" s="535">
        <f t="shared" si="61"/>
        <v>0</v>
      </c>
      <c r="FG49" s="535">
        <f t="shared" si="62"/>
        <v>0</v>
      </c>
      <c r="FH49" s="624">
        <f t="shared" si="63"/>
        <v>0</v>
      </c>
      <c r="FI49" s="632">
        <f>IF(AX49,VLOOKUP(CALC!B49,MAIN!$H$17:$K$20,4),0)</f>
        <v>0</v>
      </c>
      <c r="FJ49" s="535">
        <f t="shared" si="64"/>
        <v>0</v>
      </c>
      <c r="FK49" s="648">
        <f t="shared" si="142"/>
        <v>0</v>
      </c>
      <c r="FL49" s="530">
        <f t="shared" ref="FL49:FN54" si="183">IF($EI49&gt;0,MIN(FE49,AZ49*(1+VLOOKUP($C49,WeatherCapacityAdjustment,2))),0)</f>
        <v>0</v>
      </c>
      <c r="FM49" s="530">
        <f t="shared" si="183"/>
        <v>0</v>
      </c>
      <c r="FN49" s="530">
        <f t="shared" si="183"/>
        <v>0</v>
      </c>
      <c r="FO49" s="622">
        <f t="shared" ref="FO49:FO54" si="184">IF($EI49&gt;0,MIN(FH49,BC49*(1+VLOOKUP($C49,WeatherCapacityAdjustment,3))),0)</f>
        <v>0</v>
      </c>
      <c r="FP49" s="530">
        <f t="shared" ref="FP49:FR54" si="185">IF(ET49&gt;0,MIN(FE49-FL49,BH49*(1+VLOOKUP($C49,WeatherCapacityAdjustment,2))),0)</f>
        <v>0</v>
      </c>
      <c r="FQ49" s="530">
        <f t="shared" si="185"/>
        <v>0</v>
      </c>
      <c r="FR49" s="530">
        <f t="shared" si="185"/>
        <v>0</v>
      </c>
      <c r="FS49" s="625">
        <f t="shared" ref="FS49:FS54" si="186">IF(EW49&gt;0,MIN(FH49-FO49,BK49*(1+VLOOKUP($C49,WeatherCapacityAdjustment,3))),0)</f>
        <v>0</v>
      </c>
      <c r="FT49" s="640">
        <f>IF(AND(Assumptions!$H$71="Yes",A49&gt;=Assumptions!$H$72,A49&lt;=Assumptions!$H$73),0,IF(AND($A49&gt;=Assumptions!$C$17,$A49&lt;=Assumptions!$C$18),MAX(AZ49*(1+VLOOKUP($C49,WeatherCapacityAdjustment,2))-FL49,0),0))</f>
        <v>0</v>
      </c>
      <c r="FU49" s="530">
        <f>IF(AND(Assumptions!$H$71="Yes",A49&gt;=Assumptions!$H$72,A49&lt;=Assumptions!$H$73),0,IF(AND($A49&gt;=Assumptions!$C$17,$A49&lt;=Assumptions!$C$18),MAX(BA49*(1+VLOOKUP($C49,WeatherCapacityAdjustment,2))-FM49,0),0))</f>
        <v>0</v>
      </c>
      <c r="FV49" s="530">
        <f>IF(AND(Assumptions!$H$71="Yes",A49&gt;=Assumptions!$H$72,A49&lt;=Assumptions!$H$73),0,IF(AND($A49&gt;=Assumptions!$C$17,$A49&lt;=Assumptions!$C$18),MAX(BB49*(1+VLOOKUP($C49,WeatherCapacityAdjustment,2))-FN49,0),0))</f>
        <v>0</v>
      </c>
      <c r="FW49" s="622">
        <f>IF(AND(Assumptions!$H$71="Yes",A49&gt;=Assumptions!$H$72,A49&lt;=Assumptions!$H$73),0,IF(AND($A49&gt;=Assumptions!$C$17,$A49&lt;=Assumptions!$C$18),MAX(BC49*(1+VLOOKUP($C49,WeatherCapacityAdjustment,3))-FO49,0),0))</f>
        <v>0</v>
      </c>
      <c r="FX49" s="621">
        <f>IF(AND(Assumptions!$H$71="Yes",A49&gt;=Assumptions!$H$72,A49&lt;=Assumptions!$H$73),0,IF(ET49&gt;0,MAX(BH49*(1+VLOOKUP($C49,WeatherCapacityAdjustment,2))-FP49,0),0))</f>
        <v>0</v>
      </c>
      <c r="FY49" s="530">
        <f>IF(AND(Assumptions!$H$71="Yes",A49&gt;=Assumptions!$H$72,A49&lt;=Assumptions!$H$73),0,IF(EU49&gt;0,MAX(BI49*(1+VLOOKUP($C49,WeatherCapacityAdjustment,3))-FQ49,0),0))</f>
        <v>0</v>
      </c>
      <c r="FZ49" s="530">
        <f>IF(AND(Assumptions!$H$71="Yes",A49&gt;=Assumptions!$H$72,A49&lt;=Assumptions!$H$73),0,IF(EV49&gt;0,MAX(BJ49*(1+VLOOKUP($C49,WeatherCapacityAdjustment,2))-FR49,0),0))</f>
        <v>0</v>
      </c>
      <c r="GA49" s="622">
        <f>IF(AND(Assumptions!$H$71="Yes",A49&gt;=Assumptions!$H$72,A49&lt;=Assumptions!$H$73),0,IF(EW49&gt;0,MAX(BK49*(1+VLOOKUP($C49,WeatherCapacityAdjustment,2))-FS49,0),0))</f>
        <v>0</v>
      </c>
      <c r="GB49" s="530">
        <f t="shared" si="65"/>
        <v>0</v>
      </c>
      <c r="GC49" s="545">
        <f t="shared" si="66"/>
        <v>0</v>
      </c>
      <c r="GD49" s="530">
        <f t="shared" si="67"/>
        <v>0</v>
      </c>
      <c r="GE49" s="1485">
        <f t="shared" si="151"/>
        <v>0</v>
      </c>
      <c r="GF49" s="1776">
        <f t="shared" ref="GF49:GF54" si="187">IF(BQ49,((FP49+FQ49+FR49+FX49+FY49+FZ49)*HeatRatePeak/1000*(1+VLOOKUP($C49,WeatherHeatRateAdjustment,2))+(FS49+GA49)*HeatRatePeak/1000*(1+VLOOKUP($C49,WeatherHeatRateAdjustment,3)))*(1+VLOOKUP($B49,HeatRateDegradation,$C49+1)),0)</f>
        <v>0</v>
      </c>
      <c r="GG49" s="545">
        <f>IF(BQ49,VLOOKUP(A49,GasTable,13),0)</f>
        <v>0</v>
      </c>
      <c r="GH49" s="622">
        <f>(GE49+GF49)*GG49</f>
        <v>0</v>
      </c>
      <c r="GI49" s="621">
        <f t="shared" si="152"/>
        <v>0</v>
      </c>
      <c r="GJ49" s="638">
        <f t="shared" si="68"/>
        <v>0</v>
      </c>
      <c r="GK49" s="625">
        <f t="shared" si="166"/>
        <v>0</v>
      </c>
      <c r="GL49" s="640">
        <f t="shared" si="171"/>
        <v>0</v>
      </c>
      <c r="GM49" s="530">
        <f t="shared" si="172"/>
        <v>0</v>
      </c>
      <c r="GN49" s="530">
        <f t="shared" si="173"/>
        <v>0</v>
      </c>
      <c r="GO49" s="622">
        <f t="shared" si="174"/>
        <v>0</v>
      </c>
      <c r="GP49" s="530">
        <f t="shared" si="73"/>
        <v>0</v>
      </c>
      <c r="GQ49" s="545">
        <f t="shared" si="74"/>
        <v>0</v>
      </c>
      <c r="GR49" s="625">
        <f t="shared" si="75"/>
        <v>0</v>
      </c>
      <c r="GS49" s="640">
        <f>IF($A49&gt;=BegDate,Assumptions!$C$56*24*($A50-$A49)*(1-VLOOKUP($B49,MAIN!$AA$7:$AM$28,$C49+1))*(1-VLOOKUP($B49,MAIN!$AA$33:$AM$54,$C49+1)),0)*80/168</f>
        <v>0</v>
      </c>
      <c r="GT49" s="1715">
        <f t="shared" si="153"/>
        <v>38.292947834399996</v>
      </c>
      <c r="GU49" s="1715">
        <f>IF($A49&gt;=BegDate,VLOOKUP($A49,GasTable,13)+Assumptions!$C$58,0)</f>
        <v>0</v>
      </c>
      <c r="GV49" s="1715">
        <f>GU49*Assumptions!$C$57/1000</f>
        <v>0</v>
      </c>
      <c r="GW49" s="625">
        <f>IF(Assumptions!$C$60="Hourly",MAX(0,GS49*(GT49-GV49)),GS49*(GT49-GV49))</f>
        <v>0</v>
      </c>
      <c r="GX49" s="640">
        <f>IF($A49&gt;=BegDate,Assumptions!$C$56*24*($A50-$A49)*(1-VLOOKUP($B49,MAIN!$AA$7:$AM$28,$C49+1))*(1-VLOOKUP($B49,MAIN!$AA$33:$AM$54,$C49+1)),0)*16/168</f>
        <v>0</v>
      </c>
      <c r="GY49" s="1715">
        <f t="shared" si="154"/>
        <v>38.292947834399996</v>
      </c>
      <c r="GZ49" s="1715">
        <f>IF($A49&gt;=BegDate,VLOOKUP($A49,GasTable,13)+Assumptions!$C$58,0)</f>
        <v>0</v>
      </c>
      <c r="HA49" s="1715">
        <f>GZ49*Assumptions!$C$57/1000</f>
        <v>0</v>
      </c>
      <c r="HB49" s="625">
        <f>IF(Assumptions!$C$60="Hourly",MAX(0,GX49*(GY49-HA49)),GX49*(GY49-HA49))</f>
        <v>0</v>
      </c>
      <c r="HC49" s="640">
        <f>IF($A49&gt;=BegDate,Assumptions!$C$56*24*($A50-$A49)*(1-VLOOKUP($B49,MAIN!$AA$7:$AM$28,$C49+1))*(1-VLOOKUP($B49,MAIN!$AA$33:$AM$54,$C49+1)),0)*16/168</f>
        <v>0</v>
      </c>
      <c r="HD49" s="1715">
        <f t="shared" si="155"/>
        <v>26.424397562399999</v>
      </c>
      <c r="HE49" s="1715">
        <f>IF($A49&gt;=BegDate,VLOOKUP($A49,GasTable,13)+Assumptions!$C$58,0)</f>
        <v>0</v>
      </c>
      <c r="HF49" s="1715">
        <f>HE49*Assumptions!$C$57/1000</f>
        <v>0</v>
      </c>
      <c r="HG49" s="625">
        <f>IF(Assumptions!$C$60="Hourly",MAX(0,HC49*(HD49-HF49)),HC49*(HD49-HF49))</f>
        <v>0</v>
      </c>
      <c r="HH49" s="640">
        <f>IF($A49&gt;=BegDate,Assumptions!$C$56*24*($A50-$A49)*(1-VLOOKUP($B49,MAIN!$AA$7:$AM$28,$C49+1))*(1-VLOOKUP($B49,MAIN!$AA$33:$AM$54,$C49+1)),0)*56/168</f>
        <v>0</v>
      </c>
      <c r="HI49" s="1715">
        <f t="shared" si="156"/>
        <v>26.424397562399999</v>
      </c>
      <c r="HJ49" s="1715">
        <f>IF($A49&gt;=BegDate,VLOOKUP($A49,GasTable,13)+Assumptions!$C$58,0)</f>
        <v>0</v>
      </c>
      <c r="HK49" s="1715">
        <f>HJ49*Assumptions!$C$57/1000</f>
        <v>0</v>
      </c>
      <c r="HL49" s="625">
        <f>IF(Assumptions!$C$60="Hourly",MAX(0,HH49*(HI49-HK49)),HH49*(HI49-HK49))</f>
        <v>0</v>
      </c>
      <c r="HM49" s="640">
        <f>IF(AND(Assumptions!$H$71="Yes",A49&gt;=Assumptions!$H$72,A49&lt;=Assumptions!$H$73),Assumptions!$H$74*Assumptions!$C$9*1000,0)</f>
        <v>0</v>
      </c>
      <c r="HN49" s="530"/>
      <c r="HO49" s="545"/>
      <c r="HP49" s="545"/>
      <c r="HQ49" s="545"/>
      <c r="HR49" s="545"/>
      <c r="HS49" s="545"/>
      <c r="HT49" s="545"/>
      <c r="HU49" s="545"/>
      <c r="HV49" s="545"/>
      <c r="HW49" s="545"/>
      <c r="HX49" s="545"/>
      <c r="HY49" s="545"/>
      <c r="HZ49" s="545"/>
      <c r="IA49" s="545"/>
      <c r="IB49" s="545"/>
      <c r="IC49" s="545"/>
      <c r="ID49" s="545"/>
      <c r="IE49" s="545"/>
      <c r="IF49" s="545"/>
      <c r="IG49" s="545"/>
      <c r="IH49" s="545"/>
      <c r="II49" s="1464"/>
      <c r="IJ49" s="1463"/>
      <c r="IK49" s="1463"/>
    </row>
    <row r="50" spans="1:245">
      <c r="A50" s="177">
        <f t="shared" si="87"/>
        <v>37653</v>
      </c>
      <c r="B50" s="349">
        <f t="shared" si="88"/>
        <v>2003</v>
      </c>
      <c r="C50" s="15">
        <f t="shared" si="89"/>
        <v>2</v>
      </c>
      <c r="D50" s="612" t="str">
        <f t="shared" si="90"/>
        <v/>
      </c>
      <c r="E50" s="609" t="str">
        <f t="shared" si="91"/>
        <v/>
      </c>
      <c r="F50" s="614" t="str">
        <f t="shared" si="2"/>
        <v/>
      </c>
      <c r="G50" s="1349">
        <v>0</v>
      </c>
      <c r="H50" s="152">
        <f t="shared" si="165"/>
        <v>1</v>
      </c>
      <c r="I50" s="154">
        <f>IF(Assumptions!$L$25=4,VLOOKUP($A50,'Henwood Reference'!$E$9:$R$320,10),(VLOOKUP($A50,PriceTable,2,0)+IF(BasisNumber&lt;&gt;1,VLOOKUP($A50,BasisTable,2,0),0)+I$1)/(1-I$2))</f>
        <v>33.789817807200002</v>
      </c>
      <c r="J50" s="154">
        <f>IF(Assumptions!$L$25=4,VLOOKUP($A50,'Henwood Reference'!$E$9:$R$320,10),(VLOOKUP($A50,PriceTable,3,0)+IF(BasisNumber&lt;&gt;1,VLOOKUP($A50,BasisTable,2,0),0)+J$1)/(1-J$2))</f>
        <v>33.789817807200002</v>
      </c>
      <c r="K50" s="154">
        <f>IF(Assumptions!$L$25=4,VLOOKUP($A50,'Henwood Reference'!$E$9:$R$320,10),(VLOOKUP($A50,PriceTable,4,0)+IF(BasisNumber&lt;&gt;1,VLOOKUP($A50,BasisTable,2,0),0)+K$1)/(1-K$2))</f>
        <v>33.789817807200002</v>
      </c>
      <c r="L50" s="474">
        <f>IF(Assumptions!$L$25=4,VLOOKUP($A50,'Henwood Reference'!$E$9:$R$320,10),(VLOOKUP($A50,PriceTableWeekend,2,0)+IF(BasisNumber&lt;&gt;1,VLOOKUP($A50,BasisTable,2,0),0)+L$1)/(1-L$2))</f>
        <v>33.789817807200002</v>
      </c>
      <c r="M50" s="154">
        <f>IF(Assumptions!$L$25=4,VLOOKUP($A50,'Henwood Reference'!$E$9:$R$320,10),(VLOOKUP($A50,PriceTableWeekend,3,0)+IF(BasisNumber&lt;&gt;1,VLOOKUP($A50,BasisTable,2,0),0)+M$1)/(1-M$2))</f>
        <v>33.789817807200002</v>
      </c>
      <c r="N50" s="156">
        <f>IF(Assumptions!$L$25=4,VLOOKUP($A50,'Henwood Reference'!$E$9:$R$320,10),(VLOOKUP($A50,PriceTableWeekend,4,0)+IF(BasisNumber&lt;&gt;1,VLOOKUP($A50,BasisTable,2,0),0)+N$1)/(1-N$2))</f>
        <v>33.789817807200002</v>
      </c>
      <c r="O50" s="154">
        <f>IF(Assumptions!$L$25=4,VLOOKUP($A50,'Henwood Reference'!$E$9:$R$320,11),(VLOOKUP($A50,PriceTableWeekend,6,0)+IF(BasisNumber&lt;&gt;1,VLOOKUP($A50,BasisTable,3,0),0)+O$1)/(1-O$2))</f>
        <v>24.001978060799999</v>
      </c>
      <c r="P50" s="154">
        <f>IF(Assumptions!$L$25=4,VLOOKUP($A50,'Henwood Reference'!$E$9:$R$320,11),(VLOOKUP($A50,PriceTableWeekend,7,0)+IF(BasisNumber&lt;&gt;1,VLOOKUP($A50,BasisTable,3,0),0)+P$1)/(1-P$2))</f>
        <v>24.001978060799999</v>
      </c>
      <c r="Q50" s="156">
        <f>IF(Assumptions!$L$25=4,VLOOKUP($A50,'Henwood Reference'!$E$9:$R$320,11),(VLOOKUP($A50,PriceTableWeekend,8,0)+IF(BasisNumber&lt;&gt;1,VLOOKUP($A50,BasisTable,3,0),0)+Q$1)/(1-Q$2))</f>
        <v>24.001978060799999</v>
      </c>
      <c r="R50" s="154">
        <f>IF(Assumptions!$L$25=4,VLOOKUP($A50,'Henwood Reference'!$E$9:$R$320,11),(VLOOKUP($A50,PriceTable,6,0)+IF(BasisNumber&lt;&gt;1,VLOOKUP($A50,BasisTable,3,0),0)+R$1)/(1-R$2))</f>
        <v>24.001978060799999</v>
      </c>
      <c r="S50" s="154">
        <f>IF(Assumptions!$L$25=4,VLOOKUP($A50,'Henwood Reference'!$E$9:$R$320,11),(VLOOKUP($A50,PriceTable,7,0)+IF(BasisNumber&lt;&gt;1,VLOOKUP($A50,BasisTable,3,0),0)+S$1)/(1-S$2))</f>
        <v>24.001978060799999</v>
      </c>
      <c r="T50" s="155">
        <f>IF(Assumptions!$L$25=4,VLOOKUP($A50,'Henwood Reference'!$E$9:$R$320,11),(VLOOKUP($A50,PriceTable,8,0)+IF(BasisNumber&lt;&gt;1,VLOOKUP($A50,BasisTable,3,0),0)+T$1)/(1-T$2))</f>
        <v>24.001978060799999</v>
      </c>
      <c r="U50" s="173">
        <f t="shared" si="92"/>
        <v>0.155</v>
      </c>
      <c r="V50" s="173">
        <f t="shared" si="93"/>
        <v>0.16500000000000001</v>
      </c>
      <c r="W50" s="174">
        <f t="shared" si="94"/>
        <v>0.17499999999999999</v>
      </c>
      <c r="X50" s="173">
        <f t="shared" si="95"/>
        <v>0.155</v>
      </c>
      <c r="Y50" s="173">
        <f t="shared" si="96"/>
        <v>0.16500000000000001</v>
      </c>
      <c r="Z50" s="174">
        <f t="shared" si="97"/>
        <v>0.17499999999999999</v>
      </c>
      <c r="AA50" s="173">
        <f t="shared" si="98"/>
        <v>0.09</v>
      </c>
      <c r="AB50" s="173">
        <f t="shared" si="99"/>
        <v>0.11</v>
      </c>
      <c r="AC50" s="174">
        <f t="shared" si="100"/>
        <v>0.13</v>
      </c>
      <c r="AD50" s="173">
        <f t="shared" si="101"/>
        <v>0.09</v>
      </c>
      <c r="AE50" s="173">
        <f t="shared" si="102"/>
        <v>0.11</v>
      </c>
      <c r="AF50" s="174">
        <f t="shared" si="103"/>
        <v>0.13</v>
      </c>
      <c r="AG50" s="173">
        <f t="shared" si="104"/>
        <v>-0.25</v>
      </c>
      <c r="AH50" s="173">
        <f t="shared" si="105"/>
        <v>0.65</v>
      </c>
      <c r="AI50" s="174">
        <f t="shared" si="106"/>
        <v>0.25</v>
      </c>
      <c r="AJ50" s="173">
        <f t="shared" si="107"/>
        <v>-0.25</v>
      </c>
      <c r="AK50" s="173">
        <f t="shared" si="108"/>
        <v>0.65</v>
      </c>
      <c r="AL50" s="174">
        <f t="shared" si="109"/>
        <v>0.25</v>
      </c>
      <c r="AM50" s="173">
        <f t="shared" si="110"/>
        <v>-0.01</v>
      </c>
      <c r="AN50" s="173">
        <f t="shared" si="111"/>
        <v>0.16</v>
      </c>
      <c r="AO50" s="174">
        <f t="shared" si="112"/>
        <v>0.01</v>
      </c>
      <c r="AP50" s="173">
        <f t="shared" si="113"/>
        <v>-0.01</v>
      </c>
      <c r="AQ50" s="173">
        <f t="shared" si="114"/>
        <v>0.16</v>
      </c>
      <c r="AR50" s="175">
        <f t="shared" si="115"/>
        <v>0.01</v>
      </c>
      <c r="AS50" s="521">
        <f t="shared" ref="AS50:AS65" si="188">IF(CorrPeakOffPeakOverFlag,INDEX(CorrPeakOffPeakOver,C50),CorrPeakOffPeak)</f>
        <v>0.5</v>
      </c>
      <c r="AT50" s="349">
        <f t="shared" si="117"/>
        <v>0</v>
      </c>
      <c r="AU50" s="159">
        <f t="shared" si="3"/>
        <v>0</v>
      </c>
      <c r="AV50" s="159">
        <f t="shared" si="4"/>
        <v>0</v>
      </c>
      <c r="AW50" s="159">
        <f t="shared" ref="AW50:AW65" si="189">IF(OR(E50="",D50="",D50&lt;BegDate,D50&gt;EndDate),0,1)</f>
        <v>0</v>
      </c>
      <c r="AX50" s="15">
        <f t="shared" si="119"/>
        <v>0</v>
      </c>
      <c r="AY50" s="607">
        <f>IF(E50="",0,MIN((1-(1-VLOOKUP(B50,MAIN!$AA$7:$AM$28,C50+1))*(1-VLOOKUP(B50,MAIN!$AA$33:$AM$54,C50+1))),1))</f>
        <v>0</v>
      </c>
      <c r="AZ50" s="337">
        <v>0</v>
      </c>
      <c r="BA50" s="509">
        <v>0</v>
      </c>
      <c r="BB50" s="509">
        <v>0</v>
      </c>
      <c r="BC50" s="511">
        <v>0</v>
      </c>
      <c r="BD50" s="153">
        <v>0</v>
      </c>
      <c r="BE50" s="474">
        <v>0</v>
      </c>
      <c r="BF50" s="474">
        <v>0</v>
      </c>
      <c r="BG50" s="515">
        <v>0</v>
      </c>
      <c r="BH50" s="262">
        <v>0</v>
      </c>
      <c r="BI50" s="509">
        <v>0</v>
      </c>
      <c r="BJ50" s="509">
        <v>0</v>
      </c>
      <c r="BK50" s="511">
        <v>0</v>
      </c>
      <c r="BL50" s="153">
        <v>0</v>
      </c>
      <c r="BM50" s="474">
        <v>0</v>
      </c>
      <c r="BN50" s="474">
        <v>0</v>
      </c>
      <c r="BO50" s="474">
        <v>0</v>
      </c>
      <c r="BP50" s="261">
        <f t="shared" si="120"/>
        <v>0</v>
      </c>
      <c r="BQ50" s="578">
        <f t="shared" si="121"/>
        <v>0</v>
      </c>
      <c r="BR50" s="259">
        <f t="shared" si="122"/>
        <v>0</v>
      </c>
      <c r="BS50" s="578">
        <f t="shared" si="123"/>
        <v>0</v>
      </c>
      <c r="BT50" s="216">
        <f t="shared" si="124"/>
        <v>2.8008213552361396</v>
      </c>
      <c r="BU50" s="218">
        <f t="shared" si="5"/>
        <v>0</v>
      </c>
      <c r="BV50" s="216">
        <f t="shared" si="6"/>
        <v>0</v>
      </c>
      <c r="BW50" s="216">
        <f t="shared" si="7"/>
        <v>0</v>
      </c>
      <c r="BX50" s="216">
        <f t="shared" si="125"/>
        <v>0</v>
      </c>
      <c r="BY50" s="216">
        <f t="shared" si="8"/>
        <v>0</v>
      </c>
      <c r="BZ50" s="216">
        <f t="shared" si="9"/>
        <v>0</v>
      </c>
      <c r="CA50" s="264">
        <f t="shared" si="10"/>
        <v>0</v>
      </c>
      <c r="CB50" s="216">
        <f t="shared" si="11"/>
        <v>0</v>
      </c>
      <c r="CC50" s="216">
        <f t="shared" si="12"/>
        <v>0</v>
      </c>
      <c r="CD50" s="216">
        <f t="shared" si="126"/>
        <v>0</v>
      </c>
      <c r="CE50" s="216">
        <f t="shared" si="13"/>
        <v>0</v>
      </c>
      <c r="CF50" s="571">
        <f t="shared" si="14"/>
        <v>0</v>
      </c>
      <c r="CG50" s="573" t="str">
        <f t="shared" si="15"/>
        <v/>
      </c>
      <c r="CH50" s="219" t="str">
        <f t="shared" si="16"/>
        <v/>
      </c>
      <c r="CI50" s="219" t="str">
        <f t="shared" si="17"/>
        <v/>
      </c>
      <c r="CJ50" s="219" t="str">
        <f t="shared" si="18"/>
        <v/>
      </c>
      <c r="CK50" s="219" t="str">
        <f t="shared" si="19"/>
        <v/>
      </c>
      <c r="CL50" s="219" t="str">
        <f t="shared" si="20"/>
        <v/>
      </c>
      <c r="CM50" s="219" t="str">
        <f t="shared" si="21"/>
        <v/>
      </c>
      <c r="CN50" s="569" t="str">
        <f t="shared" si="22"/>
        <v/>
      </c>
      <c r="CO50" s="264">
        <f t="shared" si="175"/>
        <v>0</v>
      </c>
      <c r="CP50" s="216">
        <f t="shared" si="127"/>
        <v>0</v>
      </c>
      <c r="CQ50" s="216">
        <f t="shared" si="128"/>
        <v>0</v>
      </c>
      <c r="CR50" s="216">
        <f t="shared" si="129"/>
        <v>0</v>
      </c>
      <c r="CS50" s="1626">
        <f t="shared" si="130"/>
        <v>0</v>
      </c>
      <c r="CT50" s="216">
        <f t="shared" si="131"/>
        <v>0</v>
      </c>
      <c r="CU50" s="575" t="str">
        <f t="shared" si="23"/>
        <v/>
      </c>
      <c r="CV50" s="154" t="str">
        <f t="shared" si="24"/>
        <v/>
      </c>
      <c r="CW50" s="216">
        <f>IF(OR($BQ50,$BS50),SpreadOptPowerMargin,0)*((1+Assumptions!$C$26)^($B50-YEAR(Assumptions!$C$17)))</f>
        <v>0</v>
      </c>
      <c r="CX50" s="216">
        <f>IF(OR($BQ50,$BS50),SpreadOptPowerMargin,0)*((1+Assumptions!$C$26)^($B50-YEAR(Assumptions!$C$17)))</f>
        <v>0</v>
      </c>
      <c r="CY50" s="216">
        <f>IF(OR($BQ50,$BS50),SpreadOptPowerMargin,0)*((1+Assumptions!$C$26)^($B50-YEAR(Assumptions!$C$17)))</f>
        <v>0</v>
      </c>
      <c r="CZ50" s="216">
        <f>IF(OR($BQ50,$BS50),SpreadOptPowerMargin,0)*((1+Assumptions!$C$26)^($B50-YEAR(Assumptions!$C$17)))</f>
        <v>0</v>
      </c>
      <c r="DA50" s="440">
        <f t="shared" si="25"/>
        <v>0</v>
      </c>
      <c r="DB50" s="479" t="str">
        <f t="shared" si="26"/>
        <v/>
      </c>
      <c r="DC50" s="479" t="str">
        <f t="shared" si="27"/>
        <v/>
      </c>
      <c r="DD50" s="479" t="str">
        <f t="shared" si="28"/>
        <v/>
      </c>
      <c r="DE50" s="479" t="str">
        <f t="shared" si="29"/>
        <v/>
      </c>
      <c r="DF50" s="479" t="str">
        <f t="shared" si="30"/>
        <v/>
      </c>
      <c r="DG50" s="574" t="str">
        <f t="shared" si="31"/>
        <v/>
      </c>
      <c r="DH50" s="216">
        <f t="shared" si="32"/>
        <v>0</v>
      </c>
      <c r="DI50" s="216">
        <f t="shared" si="33"/>
        <v>0</v>
      </c>
      <c r="DJ50" s="216">
        <f t="shared" si="34"/>
        <v>0</v>
      </c>
      <c r="DK50" s="216">
        <f t="shared" si="35"/>
        <v>0</v>
      </c>
      <c r="DL50" s="216">
        <f t="shared" si="36"/>
        <v>0</v>
      </c>
      <c r="DM50" s="216"/>
      <c r="DN50" s="216"/>
      <c r="DO50" s="216"/>
      <c r="DP50" s="216"/>
      <c r="DQ50" s="216"/>
      <c r="DR50" s="216"/>
      <c r="DS50" s="216"/>
      <c r="DT50" s="216"/>
      <c r="DU50" s="216"/>
      <c r="DV50" s="216"/>
      <c r="DW50" s="1371">
        <f t="shared" si="37"/>
        <v>0</v>
      </c>
      <c r="DX50" s="216">
        <f t="shared" si="38"/>
        <v>0</v>
      </c>
      <c r="DY50" s="440">
        <f t="shared" si="39"/>
        <v>0</v>
      </c>
      <c r="DZ50" s="180">
        <f t="shared" si="40"/>
        <v>0</v>
      </c>
      <c r="EA50" s="180">
        <f t="shared" si="41"/>
        <v>0</v>
      </c>
      <c r="EB50" s="180">
        <f t="shared" si="42"/>
        <v>0</v>
      </c>
      <c r="EC50" s="180">
        <f t="shared" si="43"/>
        <v>0</v>
      </c>
      <c r="ED50" s="180">
        <f t="shared" si="44"/>
        <v>0</v>
      </c>
      <c r="EE50" s="581">
        <f t="shared" si="45"/>
        <v>0</v>
      </c>
      <c r="EF50" s="554">
        <f t="shared" si="46"/>
        <v>0</v>
      </c>
      <c r="EG50" s="554">
        <f t="shared" si="47"/>
        <v>0</v>
      </c>
      <c r="EH50" s="554">
        <f t="shared" si="48"/>
        <v>0</v>
      </c>
      <c r="EI50" s="561">
        <f t="shared" si="49"/>
        <v>0</v>
      </c>
      <c r="EJ50" s="581">
        <f t="shared" si="132"/>
        <v>0</v>
      </c>
      <c r="EK50" s="554">
        <f t="shared" si="133"/>
        <v>0</v>
      </c>
      <c r="EL50" s="554">
        <f t="shared" si="134"/>
        <v>0</v>
      </c>
      <c r="EM50" s="554">
        <f t="shared" si="135"/>
        <v>0</v>
      </c>
      <c r="EN50" s="561">
        <f t="shared" si="136"/>
        <v>0</v>
      </c>
      <c r="EO50" s="180">
        <f t="shared" si="50"/>
        <v>0</v>
      </c>
      <c r="EP50" s="180">
        <f t="shared" si="51"/>
        <v>0</v>
      </c>
      <c r="EQ50" s="180">
        <f t="shared" si="52"/>
        <v>0</v>
      </c>
      <c r="ER50" s="180">
        <f t="shared" si="53"/>
        <v>0</v>
      </c>
      <c r="ES50" s="180">
        <f t="shared" si="54"/>
        <v>0</v>
      </c>
      <c r="ET50" s="1482">
        <f t="shared" si="178"/>
        <v>0</v>
      </c>
      <c r="EU50" s="180">
        <f t="shared" si="179"/>
        <v>0</v>
      </c>
      <c r="EV50" s="180">
        <f t="shared" si="180"/>
        <v>0</v>
      </c>
      <c r="EW50" s="180">
        <f t="shared" si="181"/>
        <v>0</v>
      </c>
      <c r="EX50" s="555">
        <f t="shared" si="182"/>
        <v>0</v>
      </c>
      <c r="EY50" s="180">
        <f t="shared" si="137"/>
        <v>0</v>
      </c>
      <c r="EZ50" s="180">
        <f t="shared" si="138"/>
        <v>0</v>
      </c>
      <c r="FA50" s="180">
        <f t="shared" si="139"/>
        <v>0</v>
      </c>
      <c r="FB50" s="180">
        <f t="shared" si="140"/>
        <v>0</v>
      </c>
      <c r="FC50" s="180">
        <f t="shared" si="141"/>
        <v>0</v>
      </c>
      <c r="FD50" s="262">
        <f>IF(AX50,IF(VLOOKUP(C50,MAIN!$L$17:$M$28,2)="Yes",VLOOKUP(CALC!B50,MAIN!$H$17:$I$20,2),0),0)</f>
        <v>0</v>
      </c>
      <c r="FE50" s="623">
        <f t="shared" si="60"/>
        <v>0</v>
      </c>
      <c r="FF50" s="535">
        <f t="shared" si="61"/>
        <v>0</v>
      </c>
      <c r="FG50" s="535">
        <f t="shared" si="62"/>
        <v>0</v>
      </c>
      <c r="FH50" s="624">
        <f t="shared" si="63"/>
        <v>0</v>
      </c>
      <c r="FI50" s="632">
        <f>IF(AX50,VLOOKUP(CALC!B50,MAIN!$H$17:$K$20,4),0)</f>
        <v>0</v>
      </c>
      <c r="FJ50" s="535">
        <f t="shared" si="64"/>
        <v>0</v>
      </c>
      <c r="FK50" s="648">
        <f t="shared" si="142"/>
        <v>0</v>
      </c>
      <c r="FL50" s="530">
        <f t="shared" si="183"/>
        <v>0</v>
      </c>
      <c r="FM50" s="530">
        <f t="shared" si="183"/>
        <v>0</v>
      </c>
      <c r="FN50" s="530">
        <f t="shared" si="183"/>
        <v>0</v>
      </c>
      <c r="FO50" s="622">
        <f t="shared" si="184"/>
        <v>0</v>
      </c>
      <c r="FP50" s="530">
        <f t="shared" si="185"/>
        <v>0</v>
      </c>
      <c r="FQ50" s="530">
        <f t="shared" si="185"/>
        <v>0</v>
      </c>
      <c r="FR50" s="530">
        <f t="shared" si="185"/>
        <v>0</v>
      </c>
      <c r="FS50" s="625">
        <f t="shared" si="186"/>
        <v>0</v>
      </c>
      <c r="FT50" s="640">
        <f>IF(AND(Assumptions!$H$71="Yes",A50&gt;=Assumptions!$H$72,A50&lt;=Assumptions!$H$73),0,IF(AND($A50&gt;=Assumptions!$C$17,$A50&lt;=Assumptions!$C$18),MAX(AZ50*(1+VLOOKUP($C50,WeatherCapacityAdjustment,2))-FL50,0),0))</f>
        <v>0</v>
      </c>
      <c r="FU50" s="530">
        <f>IF(AND(Assumptions!$H$71="Yes",A50&gt;=Assumptions!$H$72,A50&lt;=Assumptions!$H$73),0,IF(AND($A50&gt;=Assumptions!$C$17,$A50&lt;=Assumptions!$C$18),MAX(BA50*(1+VLOOKUP($C50,WeatherCapacityAdjustment,2))-FM50,0),0))</f>
        <v>0</v>
      </c>
      <c r="FV50" s="530">
        <f>IF(AND(Assumptions!$H$71="Yes",A50&gt;=Assumptions!$H$72,A50&lt;=Assumptions!$H$73),0,IF(AND($A50&gt;=Assumptions!$C$17,$A50&lt;=Assumptions!$C$18),MAX(BB50*(1+VLOOKUP($C50,WeatherCapacityAdjustment,2))-FN50,0),0))</f>
        <v>0</v>
      </c>
      <c r="FW50" s="622">
        <f>IF(AND(Assumptions!$H$71="Yes",A50&gt;=Assumptions!$H$72,A50&lt;=Assumptions!$H$73),0,IF(AND($A50&gt;=Assumptions!$C$17,$A50&lt;=Assumptions!$C$18),MAX(BC50*(1+VLOOKUP($C50,WeatherCapacityAdjustment,3))-FO50,0),0))</f>
        <v>0</v>
      </c>
      <c r="FX50" s="621">
        <f>IF(AND(Assumptions!$H$71="Yes",A50&gt;=Assumptions!$H$72,A50&lt;=Assumptions!$H$73),0,IF(ET50&gt;0,MAX(BH50*(1+VLOOKUP($C50,WeatherCapacityAdjustment,2))-FP50,0),0))</f>
        <v>0</v>
      </c>
      <c r="FY50" s="530">
        <f>IF(AND(Assumptions!$H$71="Yes",A50&gt;=Assumptions!$H$72,A50&lt;=Assumptions!$H$73),0,IF(EU50&gt;0,MAX(BI50*(1+VLOOKUP($C50,WeatherCapacityAdjustment,3))-FQ50,0),0))</f>
        <v>0</v>
      </c>
      <c r="FZ50" s="530">
        <f>IF(AND(Assumptions!$H$71="Yes",A50&gt;=Assumptions!$H$72,A50&lt;=Assumptions!$H$73),0,IF(EV50&gt;0,MAX(BJ50*(1+VLOOKUP($C50,WeatherCapacityAdjustment,2))-FR50,0),0))</f>
        <v>0</v>
      </c>
      <c r="GA50" s="622">
        <f>IF(AND(Assumptions!$H$71="Yes",A50&gt;=Assumptions!$H$72,A50&lt;=Assumptions!$H$73),0,IF(EW50&gt;0,MAX(BK50*(1+VLOOKUP($C50,WeatherCapacityAdjustment,2))-FS50,0),0))</f>
        <v>0</v>
      </c>
      <c r="GB50" s="530">
        <f t="shared" si="65"/>
        <v>0</v>
      </c>
      <c r="GC50" s="545">
        <f t="shared" si="66"/>
        <v>0</v>
      </c>
      <c r="GD50" s="530">
        <f t="shared" si="67"/>
        <v>0</v>
      </c>
      <c r="GE50" s="1485">
        <f t="shared" si="151"/>
        <v>0</v>
      </c>
      <c r="GF50" s="1776">
        <f t="shared" si="187"/>
        <v>0</v>
      </c>
      <c r="GG50" s="545">
        <f t="shared" ref="GG50:GG113" si="190">IF(BQ50,VLOOKUP(A50,GasTable,13),0)</f>
        <v>0</v>
      </c>
      <c r="GH50" s="622">
        <f t="shared" ref="GH50:GH113" si="191">(GE50+GF50)*GG50</f>
        <v>0</v>
      </c>
      <c r="GI50" s="621">
        <f t="shared" si="152"/>
        <v>0</v>
      </c>
      <c r="GJ50" s="638">
        <f t="shared" si="68"/>
        <v>0</v>
      </c>
      <c r="GK50" s="625">
        <f t="shared" si="166"/>
        <v>0</v>
      </c>
      <c r="GL50" s="640">
        <f t="shared" si="171"/>
        <v>0</v>
      </c>
      <c r="GM50" s="530">
        <f t="shared" si="172"/>
        <v>0</v>
      </c>
      <c r="GN50" s="530">
        <f t="shared" si="173"/>
        <v>0</v>
      </c>
      <c r="GO50" s="622">
        <f t="shared" si="174"/>
        <v>0</v>
      </c>
      <c r="GP50" s="530">
        <f t="shared" si="73"/>
        <v>0</v>
      </c>
      <c r="GQ50" s="545">
        <f t="shared" si="74"/>
        <v>0</v>
      </c>
      <c r="GR50" s="625">
        <f t="shared" si="75"/>
        <v>0</v>
      </c>
      <c r="GS50" s="640">
        <f>IF($A50&gt;=BegDate,Assumptions!$C$56*24*($A51-$A50)*(1-VLOOKUP($B50,MAIN!$AA$7:$AM$28,$C50+1))*(1-VLOOKUP($B50,MAIN!$AA$33:$AM$54,$C50+1)),0)*80/168</f>
        <v>0</v>
      </c>
      <c r="GT50" s="1715">
        <f t="shared" si="153"/>
        <v>33.789817807200002</v>
      </c>
      <c r="GU50" s="1715">
        <f>IF($A50&gt;=BegDate,VLOOKUP($A50,GasTable,13)+Assumptions!$C$58,0)</f>
        <v>0</v>
      </c>
      <c r="GV50" s="1715">
        <f>GU50*Assumptions!$C$57/1000</f>
        <v>0</v>
      </c>
      <c r="GW50" s="625">
        <f>IF(Assumptions!$C$60="Hourly",MAX(0,GS50*(GT50-GV50)),GS50*(GT50-GV50))</f>
        <v>0</v>
      </c>
      <c r="GX50" s="640">
        <f>IF($A50&gt;=BegDate,Assumptions!$C$56*24*($A51-$A50)*(1-VLOOKUP($B50,MAIN!$AA$7:$AM$28,$C50+1))*(1-VLOOKUP($B50,MAIN!$AA$33:$AM$54,$C50+1)),0)*16/168</f>
        <v>0</v>
      </c>
      <c r="GY50" s="1715">
        <f t="shared" si="154"/>
        <v>33.789817807200002</v>
      </c>
      <c r="GZ50" s="1715">
        <f>IF($A50&gt;=BegDate,VLOOKUP($A50,GasTable,13)+Assumptions!$C$58,0)</f>
        <v>0</v>
      </c>
      <c r="HA50" s="1715">
        <f>GZ50*Assumptions!$C$57/1000</f>
        <v>0</v>
      </c>
      <c r="HB50" s="625">
        <f>IF(Assumptions!$C$60="Hourly",MAX(0,GX50*(GY50-HA50)),GX50*(GY50-HA50))</f>
        <v>0</v>
      </c>
      <c r="HC50" s="640">
        <f>IF($A50&gt;=BegDate,Assumptions!$C$56*24*($A51-$A50)*(1-VLOOKUP($B50,MAIN!$AA$7:$AM$28,$C50+1))*(1-VLOOKUP($B50,MAIN!$AA$33:$AM$54,$C50+1)),0)*16/168</f>
        <v>0</v>
      </c>
      <c r="HD50" s="1715">
        <f t="shared" si="155"/>
        <v>24.001978060799999</v>
      </c>
      <c r="HE50" s="1715">
        <f>IF($A50&gt;=BegDate,VLOOKUP($A50,GasTable,13)+Assumptions!$C$58,0)</f>
        <v>0</v>
      </c>
      <c r="HF50" s="1715">
        <f>HE50*Assumptions!$C$57/1000</f>
        <v>0</v>
      </c>
      <c r="HG50" s="625">
        <f>IF(Assumptions!$C$60="Hourly",MAX(0,HC50*(HD50-HF50)),HC50*(HD50-HF50))</f>
        <v>0</v>
      </c>
      <c r="HH50" s="640">
        <f>IF($A50&gt;=BegDate,Assumptions!$C$56*24*($A51-$A50)*(1-VLOOKUP($B50,MAIN!$AA$7:$AM$28,$C50+1))*(1-VLOOKUP($B50,MAIN!$AA$33:$AM$54,$C50+1)),0)*56/168</f>
        <v>0</v>
      </c>
      <c r="HI50" s="1715">
        <f t="shared" si="156"/>
        <v>24.001978060799999</v>
      </c>
      <c r="HJ50" s="1715">
        <f>IF($A50&gt;=BegDate,VLOOKUP($A50,GasTable,13)+Assumptions!$C$58,0)</f>
        <v>0</v>
      </c>
      <c r="HK50" s="1715">
        <f>HJ50*Assumptions!$C$57/1000</f>
        <v>0</v>
      </c>
      <c r="HL50" s="625">
        <f>IF(Assumptions!$C$60="Hourly",MAX(0,HH50*(HI50-HK50)),HH50*(HI50-HK50))</f>
        <v>0</v>
      </c>
      <c r="HM50" s="640">
        <f>IF(AND(Assumptions!$H$71="Yes",A50&gt;=Assumptions!$H$72,A50&lt;=Assumptions!$H$73),Assumptions!$H$74*Assumptions!$C$9*1000,0)</f>
        <v>0</v>
      </c>
      <c r="HN50" s="530"/>
      <c r="HO50" s="545"/>
      <c r="HP50" s="545"/>
      <c r="HQ50" s="545"/>
      <c r="HR50" s="545"/>
      <c r="HS50" s="545"/>
      <c r="HT50" s="545"/>
      <c r="HU50" s="545"/>
      <c r="HV50" s="545"/>
      <c r="HW50" s="545"/>
      <c r="HX50" s="545"/>
      <c r="HY50" s="545"/>
      <c r="HZ50" s="545"/>
      <c r="IA50" s="545"/>
      <c r="IB50" s="545"/>
      <c r="IC50" s="545"/>
      <c r="ID50" s="545"/>
      <c r="IE50" s="545"/>
      <c r="IF50" s="545"/>
      <c r="IG50" s="545"/>
      <c r="IH50" s="545"/>
      <c r="II50" s="1464"/>
      <c r="IJ50" s="1463"/>
      <c r="IK50" s="1463"/>
    </row>
    <row r="51" spans="1:245">
      <c r="A51" s="177">
        <f t="shared" si="87"/>
        <v>37681</v>
      </c>
      <c r="B51" s="349">
        <f t="shared" si="88"/>
        <v>2003</v>
      </c>
      <c r="C51" s="15">
        <f t="shared" si="89"/>
        <v>3</v>
      </c>
      <c r="D51" s="612" t="str">
        <f t="shared" si="90"/>
        <v/>
      </c>
      <c r="E51" s="609" t="str">
        <f t="shared" si="91"/>
        <v/>
      </c>
      <c r="F51" s="614" t="str">
        <f t="shared" si="2"/>
        <v/>
      </c>
      <c r="G51" s="1349">
        <v>0</v>
      </c>
      <c r="H51" s="152">
        <f t="shared" si="165"/>
        <v>1</v>
      </c>
      <c r="I51" s="154">
        <f>IF(Assumptions!$L$25=4,VLOOKUP($A51,'Henwood Reference'!$E$9:$R$320,10),(VLOOKUP($A51,PriceTable,2,0)+IF(BasisNumber&lt;&gt;1,VLOOKUP($A51,BasisTable,2,0),0)+I$1)/(1-I$2))</f>
        <v>30.649915576799998</v>
      </c>
      <c r="J51" s="154">
        <f>IF(Assumptions!$L$25=4,VLOOKUP($A51,'Henwood Reference'!$E$9:$R$320,10),(VLOOKUP($A51,PriceTable,3,0)+IF(BasisNumber&lt;&gt;1,VLOOKUP($A51,BasisTable,2,0),0)+J$1)/(1-J$2))</f>
        <v>30.649915576799998</v>
      </c>
      <c r="K51" s="154">
        <f>IF(Assumptions!$L$25=4,VLOOKUP($A51,'Henwood Reference'!$E$9:$R$320,10),(VLOOKUP($A51,PriceTable,4,0)+IF(BasisNumber&lt;&gt;1,VLOOKUP($A51,BasisTable,2,0),0)+K$1)/(1-K$2))</f>
        <v>30.649915576799998</v>
      </c>
      <c r="L51" s="474">
        <f>IF(Assumptions!$L$25=4,VLOOKUP($A51,'Henwood Reference'!$E$9:$R$320,10),(VLOOKUP($A51,PriceTableWeekend,2,0)+IF(BasisNumber&lt;&gt;1,VLOOKUP($A51,BasisTable,2,0),0)+L$1)/(1-L$2))</f>
        <v>30.649915576799998</v>
      </c>
      <c r="M51" s="154">
        <f>IF(Assumptions!$L$25=4,VLOOKUP($A51,'Henwood Reference'!$E$9:$R$320,10),(VLOOKUP($A51,PriceTableWeekend,3,0)+IF(BasisNumber&lt;&gt;1,VLOOKUP($A51,BasisTable,2,0),0)+M$1)/(1-M$2))</f>
        <v>30.649915576799998</v>
      </c>
      <c r="N51" s="156">
        <f>IF(Assumptions!$L$25=4,VLOOKUP($A51,'Henwood Reference'!$E$9:$R$320,10),(VLOOKUP($A51,PriceTableWeekend,4,0)+IF(BasisNumber&lt;&gt;1,VLOOKUP($A51,BasisTable,2,0),0)+N$1)/(1-N$2))</f>
        <v>30.649915576799998</v>
      </c>
      <c r="O51" s="154">
        <f>IF(Assumptions!$L$25=4,VLOOKUP($A51,'Henwood Reference'!$E$9:$R$320,11),(VLOOKUP($A51,PriceTableWeekend,6,0)+IF(BasisNumber&lt;&gt;1,VLOOKUP($A51,BasisTable,3,0),0)+O$1)/(1-O$2))</f>
        <v>21.7485028728</v>
      </c>
      <c r="P51" s="154">
        <f>IF(Assumptions!$L$25=4,VLOOKUP($A51,'Henwood Reference'!$E$9:$R$320,11),(VLOOKUP($A51,PriceTableWeekend,7,0)+IF(BasisNumber&lt;&gt;1,VLOOKUP($A51,BasisTable,3,0),0)+P$1)/(1-P$2))</f>
        <v>21.7485028728</v>
      </c>
      <c r="Q51" s="156">
        <f>IF(Assumptions!$L$25=4,VLOOKUP($A51,'Henwood Reference'!$E$9:$R$320,11),(VLOOKUP($A51,PriceTableWeekend,8,0)+IF(BasisNumber&lt;&gt;1,VLOOKUP($A51,BasisTable,3,0),0)+Q$1)/(1-Q$2))</f>
        <v>21.7485028728</v>
      </c>
      <c r="R51" s="154">
        <f>IF(Assumptions!$L$25=4,VLOOKUP($A51,'Henwood Reference'!$E$9:$R$320,11),(VLOOKUP($A51,PriceTable,6,0)+IF(BasisNumber&lt;&gt;1,VLOOKUP($A51,BasisTable,3,0),0)+R$1)/(1-R$2))</f>
        <v>21.7485028728</v>
      </c>
      <c r="S51" s="154">
        <f>IF(Assumptions!$L$25=4,VLOOKUP($A51,'Henwood Reference'!$E$9:$R$320,11),(VLOOKUP($A51,PriceTable,7,0)+IF(BasisNumber&lt;&gt;1,VLOOKUP($A51,BasisTable,3,0),0)+S$1)/(1-S$2))</f>
        <v>21.7485028728</v>
      </c>
      <c r="T51" s="155">
        <f>IF(Assumptions!$L$25=4,VLOOKUP($A51,'Henwood Reference'!$E$9:$R$320,11),(VLOOKUP($A51,PriceTable,8,0)+IF(BasisNumber&lt;&gt;1,VLOOKUP($A51,BasisTable,3,0),0)+T$1)/(1-T$2))</f>
        <v>21.7485028728</v>
      </c>
      <c r="U51" s="173">
        <f t="shared" si="92"/>
        <v>0.155</v>
      </c>
      <c r="V51" s="173">
        <f t="shared" si="93"/>
        <v>0.16500000000000001</v>
      </c>
      <c r="W51" s="174">
        <f t="shared" si="94"/>
        <v>0.17499999999999999</v>
      </c>
      <c r="X51" s="173">
        <f t="shared" si="95"/>
        <v>0.155</v>
      </c>
      <c r="Y51" s="173">
        <f t="shared" si="96"/>
        <v>0.16500000000000001</v>
      </c>
      <c r="Z51" s="174">
        <f t="shared" si="97"/>
        <v>0.17499999999999999</v>
      </c>
      <c r="AA51" s="173">
        <f t="shared" si="98"/>
        <v>0.09</v>
      </c>
      <c r="AB51" s="173">
        <f t="shared" si="99"/>
        <v>0.11</v>
      </c>
      <c r="AC51" s="174">
        <f t="shared" si="100"/>
        <v>0.13</v>
      </c>
      <c r="AD51" s="173">
        <f t="shared" si="101"/>
        <v>0.09</v>
      </c>
      <c r="AE51" s="173">
        <f t="shared" si="102"/>
        <v>0.11</v>
      </c>
      <c r="AF51" s="174">
        <f t="shared" si="103"/>
        <v>0.13</v>
      </c>
      <c r="AG51" s="173">
        <f t="shared" si="104"/>
        <v>-0.1</v>
      </c>
      <c r="AH51" s="173">
        <f t="shared" si="105"/>
        <v>0.65</v>
      </c>
      <c r="AI51" s="174">
        <f t="shared" si="106"/>
        <v>0.1</v>
      </c>
      <c r="AJ51" s="173">
        <f t="shared" si="107"/>
        <v>-0.1</v>
      </c>
      <c r="AK51" s="173">
        <f t="shared" si="108"/>
        <v>0.65</v>
      </c>
      <c r="AL51" s="174">
        <f t="shared" si="109"/>
        <v>0.1</v>
      </c>
      <c r="AM51" s="173">
        <f t="shared" si="110"/>
        <v>-0.01</v>
      </c>
      <c r="AN51" s="173">
        <f t="shared" si="111"/>
        <v>0.16</v>
      </c>
      <c r="AO51" s="174">
        <f t="shared" si="112"/>
        <v>0.01</v>
      </c>
      <c r="AP51" s="173">
        <f t="shared" si="113"/>
        <v>-0.01</v>
      </c>
      <c r="AQ51" s="173">
        <f t="shared" si="114"/>
        <v>0.16</v>
      </c>
      <c r="AR51" s="175">
        <f t="shared" si="115"/>
        <v>0.01</v>
      </c>
      <c r="AS51" s="521">
        <f t="shared" si="188"/>
        <v>0.5</v>
      </c>
      <c r="AT51" s="349">
        <f t="shared" si="117"/>
        <v>0</v>
      </c>
      <c r="AU51" s="159">
        <f t="shared" si="3"/>
        <v>0</v>
      </c>
      <c r="AV51" s="159">
        <f t="shared" si="4"/>
        <v>0</v>
      </c>
      <c r="AW51" s="159">
        <f t="shared" si="189"/>
        <v>0</v>
      </c>
      <c r="AX51" s="15">
        <f t="shared" si="119"/>
        <v>0</v>
      </c>
      <c r="AY51" s="607">
        <f>IF(E51="",0,MIN((1-(1-VLOOKUP(B51,MAIN!$AA$7:$AM$28,C51+1))*(1-VLOOKUP(B51,MAIN!$AA$33:$AM$54,C51+1))),1))</f>
        <v>0</v>
      </c>
      <c r="AZ51" s="337">
        <v>0</v>
      </c>
      <c r="BA51" s="509">
        <v>0</v>
      </c>
      <c r="BB51" s="509">
        <v>0</v>
      </c>
      <c r="BC51" s="511">
        <v>0</v>
      </c>
      <c r="BD51" s="153">
        <v>0</v>
      </c>
      <c r="BE51" s="474">
        <v>0</v>
      </c>
      <c r="BF51" s="474">
        <v>0</v>
      </c>
      <c r="BG51" s="515">
        <v>0</v>
      </c>
      <c r="BH51" s="262">
        <v>0</v>
      </c>
      <c r="BI51" s="509">
        <v>0</v>
      </c>
      <c r="BJ51" s="509">
        <v>0</v>
      </c>
      <c r="BK51" s="511">
        <v>0</v>
      </c>
      <c r="BL51" s="153">
        <v>0</v>
      </c>
      <c r="BM51" s="474">
        <v>0</v>
      </c>
      <c r="BN51" s="474">
        <v>0</v>
      </c>
      <c r="BO51" s="474">
        <v>0</v>
      </c>
      <c r="BP51" s="261">
        <f t="shared" si="120"/>
        <v>0</v>
      </c>
      <c r="BQ51" s="578">
        <f t="shared" si="121"/>
        <v>0</v>
      </c>
      <c r="BR51" s="259">
        <f t="shared" si="122"/>
        <v>0</v>
      </c>
      <c r="BS51" s="578">
        <f t="shared" si="123"/>
        <v>0</v>
      </c>
      <c r="BT51" s="216">
        <f t="shared" si="124"/>
        <v>2.8774811772758384</v>
      </c>
      <c r="BU51" s="218">
        <f t="shared" si="5"/>
        <v>0</v>
      </c>
      <c r="BV51" s="216">
        <f t="shared" si="6"/>
        <v>0</v>
      </c>
      <c r="BW51" s="216">
        <f t="shared" si="7"/>
        <v>0</v>
      </c>
      <c r="BX51" s="216">
        <f t="shared" si="125"/>
        <v>0</v>
      </c>
      <c r="BY51" s="216">
        <f t="shared" si="8"/>
        <v>0</v>
      </c>
      <c r="BZ51" s="216">
        <f t="shared" si="9"/>
        <v>0</v>
      </c>
      <c r="CA51" s="264">
        <f t="shared" si="10"/>
        <v>0</v>
      </c>
      <c r="CB51" s="216">
        <f t="shared" si="11"/>
        <v>0</v>
      </c>
      <c r="CC51" s="216">
        <f t="shared" si="12"/>
        <v>0</v>
      </c>
      <c r="CD51" s="216">
        <f t="shared" si="126"/>
        <v>0</v>
      </c>
      <c r="CE51" s="216">
        <f t="shared" si="13"/>
        <v>0</v>
      </c>
      <c r="CF51" s="571">
        <f t="shared" si="14"/>
        <v>0</v>
      </c>
      <c r="CG51" s="573" t="str">
        <f t="shared" si="15"/>
        <v/>
      </c>
      <c r="CH51" s="219" t="str">
        <f t="shared" si="16"/>
        <v/>
      </c>
      <c r="CI51" s="219" t="str">
        <f t="shared" si="17"/>
        <v/>
      </c>
      <c r="CJ51" s="219" t="str">
        <f t="shared" si="18"/>
        <v/>
      </c>
      <c r="CK51" s="219" t="str">
        <f t="shared" si="19"/>
        <v/>
      </c>
      <c r="CL51" s="219" t="str">
        <f t="shared" si="20"/>
        <v/>
      </c>
      <c r="CM51" s="219" t="str">
        <f t="shared" si="21"/>
        <v/>
      </c>
      <c r="CN51" s="569" t="str">
        <f t="shared" si="22"/>
        <v/>
      </c>
      <c r="CO51" s="264">
        <f t="shared" si="175"/>
        <v>0</v>
      </c>
      <c r="CP51" s="216">
        <f t="shared" si="127"/>
        <v>0</v>
      </c>
      <c r="CQ51" s="216">
        <f t="shared" si="128"/>
        <v>0</v>
      </c>
      <c r="CR51" s="216">
        <f t="shared" si="129"/>
        <v>0</v>
      </c>
      <c r="CS51" s="1626">
        <f t="shared" si="130"/>
        <v>0</v>
      </c>
      <c r="CT51" s="216">
        <f t="shared" si="131"/>
        <v>0</v>
      </c>
      <c r="CU51" s="575" t="str">
        <f t="shared" si="23"/>
        <v/>
      </c>
      <c r="CV51" s="154" t="str">
        <f t="shared" si="24"/>
        <v/>
      </c>
      <c r="CW51" s="216">
        <f>IF(OR($BQ51,$BS51),SpreadOptPowerMargin,0)*((1+Assumptions!$C$26)^($B51-YEAR(Assumptions!$C$17)))</f>
        <v>0</v>
      </c>
      <c r="CX51" s="216">
        <f>IF(OR($BQ51,$BS51),SpreadOptPowerMargin,0)*((1+Assumptions!$C$26)^($B51-YEAR(Assumptions!$C$17)))</f>
        <v>0</v>
      </c>
      <c r="CY51" s="216">
        <f>IF(OR($BQ51,$BS51),SpreadOptPowerMargin,0)*((1+Assumptions!$C$26)^($B51-YEAR(Assumptions!$C$17)))</f>
        <v>0</v>
      </c>
      <c r="CZ51" s="216">
        <f>IF(OR($BQ51,$BS51),SpreadOptPowerMargin,0)*((1+Assumptions!$C$26)^($B51-YEAR(Assumptions!$C$17)))</f>
        <v>0</v>
      </c>
      <c r="DA51" s="440">
        <f t="shared" si="25"/>
        <v>0</v>
      </c>
      <c r="DB51" s="479" t="str">
        <f t="shared" si="26"/>
        <v/>
      </c>
      <c r="DC51" s="479" t="str">
        <f t="shared" si="27"/>
        <v/>
      </c>
      <c r="DD51" s="479" t="str">
        <f t="shared" si="28"/>
        <v/>
      </c>
      <c r="DE51" s="479" t="str">
        <f t="shared" si="29"/>
        <v/>
      </c>
      <c r="DF51" s="479" t="str">
        <f t="shared" si="30"/>
        <v/>
      </c>
      <c r="DG51" s="574" t="str">
        <f t="shared" si="31"/>
        <v/>
      </c>
      <c r="DH51" s="216">
        <f t="shared" si="32"/>
        <v>0</v>
      </c>
      <c r="DI51" s="216">
        <f t="shared" si="33"/>
        <v>0</v>
      </c>
      <c r="DJ51" s="216">
        <f t="shared" si="34"/>
        <v>0</v>
      </c>
      <c r="DK51" s="216">
        <f t="shared" si="35"/>
        <v>0</v>
      </c>
      <c r="DL51" s="216">
        <f t="shared" si="36"/>
        <v>0</v>
      </c>
      <c r="DM51" s="216"/>
      <c r="DN51" s="216"/>
      <c r="DO51" s="216"/>
      <c r="DP51" s="216"/>
      <c r="DQ51" s="216"/>
      <c r="DR51" s="216"/>
      <c r="DS51" s="216"/>
      <c r="DT51" s="216"/>
      <c r="DU51" s="216"/>
      <c r="DV51" s="216"/>
      <c r="DW51" s="1371">
        <f t="shared" si="37"/>
        <v>0</v>
      </c>
      <c r="DX51" s="216">
        <f t="shared" si="38"/>
        <v>0</v>
      </c>
      <c r="DY51" s="440">
        <f t="shared" si="39"/>
        <v>0</v>
      </c>
      <c r="DZ51" s="180">
        <f t="shared" si="40"/>
        <v>0</v>
      </c>
      <c r="EA51" s="180">
        <f t="shared" si="41"/>
        <v>0</v>
      </c>
      <c r="EB51" s="180">
        <f t="shared" si="42"/>
        <v>0</v>
      </c>
      <c r="EC51" s="180">
        <f t="shared" si="43"/>
        <v>0</v>
      </c>
      <c r="ED51" s="180">
        <f t="shared" si="44"/>
        <v>0</v>
      </c>
      <c r="EE51" s="581">
        <f t="shared" si="45"/>
        <v>0</v>
      </c>
      <c r="EF51" s="554">
        <f t="shared" si="46"/>
        <v>0</v>
      </c>
      <c r="EG51" s="554">
        <f t="shared" si="47"/>
        <v>0</v>
      </c>
      <c r="EH51" s="554">
        <f t="shared" si="48"/>
        <v>0</v>
      </c>
      <c r="EI51" s="561">
        <f t="shared" si="49"/>
        <v>0</v>
      </c>
      <c r="EJ51" s="581">
        <f t="shared" si="132"/>
        <v>0</v>
      </c>
      <c r="EK51" s="554">
        <f t="shared" si="133"/>
        <v>0</v>
      </c>
      <c r="EL51" s="554">
        <f t="shared" si="134"/>
        <v>0</v>
      </c>
      <c r="EM51" s="554">
        <f t="shared" si="135"/>
        <v>0</v>
      </c>
      <c r="EN51" s="561">
        <f t="shared" si="136"/>
        <v>0</v>
      </c>
      <c r="EO51" s="180">
        <f t="shared" si="50"/>
        <v>0</v>
      </c>
      <c r="EP51" s="180">
        <f t="shared" si="51"/>
        <v>0</v>
      </c>
      <c r="EQ51" s="180">
        <f t="shared" si="52"/>
        <v>0</v>
      </c>
      <c r="ER51" s="180">
        <f t="shared" si="53"/>
        <v>0</v>
      </c>
      <c r="ES51" s="180">
        <f t="shared" si="54"/>
        <v>0</v>
      </c>
      <c r="ET51" s="1482">
        <f>IF(EI51,IF(OCallPut,IF(CA51&gt;(CT51+CW51),CA51-(CT51+CW51),0),IF((CT51+CW51)&gt;CA51,(CT51+CW51)-CA51,0))*BH51,0)</f>
        <v>0</v>
      </c>
      <c r="EU51" s="180">
        <f>IF(EI51,IF(OCallPut,IF(CB51&gt;(CT51+CX51),CB51-(CT51+CX51),0),IF((CT51+CX51)&gt;CB51,(CT51+CX51)-CB51,0))*BI51,0)</f>
        <v>0</v>
      </c>
      <c r="EV51" s="180">
        <f>IF(EI51,IF(OCallPut,IF(CC51&gt;(CT51+CY51),CC51-(CT51+CY51),0),IF((CT51+CY51)&gt;CC51,(CT51+CY51)-CC51,0))*BJ51,0)</f>
        <v>0</v>
      </c>
      <c r="EW51" s="180">
        <f>IF(EI51,IF(OCallPut,IF(CD51&gt;(CT51+CZ51),CD51-(CT51+CZ51),0),IF((CT51+CZ51)&gt;CD51,(CT51+CZ51)-CD51,0))*BK51,0)</f>
        <v>0</v>
      </c>
      <c r="EX51" s="555">
        <f t="shared" si="182"/>
        <v>0</v>
      </c>
      <c r="EY51" s="180">
        <f t="shared" si="137"/>
        <v>0</v>
      </c>
      <c r="EZ51" s="180">
        <f t="shared" si="138"/>
        <v>0</v>
      </c>
      <c r="FA51" s="180">
        <f t="shared" si="139"/>
        <v>0</v>
      </c>
      <c r="FB51" s="180">
        <f t="shared" si="140"/>
        <v>0</v>
      </c>
      <c r="FC51" s="180">
        <f t="shared" si="141"/>
        <v>0</v>
      </c>
      <c r="FD51" s="262">
        <f>IF(AX51,IF(VLOOKUP(C51,MAIN!$L$17:$M$28,2)="Yes",VLOOKUP(CALC!B51,MAIN!$H$17:$I$20,2),0),0)</f>
        <v>0</v>
      </c>
      <c r="FE51" s="623">
        <f t="shared" si="60"/>
        <v>0</v>
      </c>
      <c r="FF51" s="535">
        <f t="shared" si="61"/>
        <v>0</v>
      </c>
      <c r="FG51" s="535">
        <f t="shared" si="62"/>
        <v>0</v>
      </c>
      <c r="FH51" s="624">
        <f t="shared" si="63"/>
        <v>0</v>
      </c>
      <c r="FI51" s="632">
        <f>IF(AX51,VLOOKUP(CALC!B51,MAIN!$H$17:$K$20,4),0)</f>
        <v>0</v>
      </c>
      <c r="FJ51" s="535">
        <f t="shared" si="64"/>
        <v>0</v>
      </c>
      <c r="FK51" s="648">
        <f t="shared" si="142"/>
        <v>0</v>
      </c>
      <c r="FL51" s="530">
        <f t="shared" si="183"/>
        <v>0</v>
      </c>
      <c r="FM51" s="530">
        <f t="shared" si="183"/>
        <v>0</v>
      </c>
      <c r="FN51" s="530">
        <f t="shared" si="183"/>
        <v>0</v>
      </c>
      <c r="FO51" s="622">
        <f t="shared" si="184"/>
        <v>0</v>
      </c>
      <c r="FP51" s="530">
        <f t="shared" si="185"/>
        <v>0</v>
      </c>
      <c r="FQ51" s="530">
        <f t="shared" si="185"/>
        <v>0</v>
      </c>
      <c r="FR51" s="530">
        <f t="shared" si="185"/>
        <v>0</v>
      </c>
      <c r="FS51" s="625">
        <f t="shared" si="186"/>
        <v>0</v>
      </c>
      <c r="FT51" s="640">
        <f>IF(AND(Assumptions!$H$71="Yes",A51&gt;=Assumptions!$H$72,A51&lt;=Assumptions!$H$73),0,IF(AND($A51&gt;=Assumptions!$C$17,$A51&lt;=Assumptions!$C$18),MAX(AZ51*(1+VLOOKUP($C51,WeatherCapacityAdjustment,2))-FL51,0),0))</f>
        <v>0</v>
      </c>
      <c r="FU51" s="530">
        <f>IF(AND(Assumptions!$H$71="Yes",A51&gt;=Assumptions!$H$72,A51&lt;=Assumptions!$H$73),0,IF(AND($A51&gt;=Assumptions!$C$17,$A51&lt;=Assumptions!$C$18),MAX(BA51*(1+VLOOKUP($C51,WeatherCapacityAdjustment,2))-FM51,0),0))</f>
        <v>0</v>
      </c>
      <c r="FV51" s="530">
        <f>IF(AND(Assumptions!$H$71="Yes",A51&gt;=Assumptions!$H$72,A51&lt;=Assumptions!$H$73),0,IF(AND($A51&gt;=Assumptions!$C$17,$A51&lt;=Assumptions!$C$18),MAX(BB51*(1+VLOOKUP($C51,WeatherCapacityAdjustment,2))-FN51,0),0))</f>
        <v>0</v>
      </c>
      <c r="FW51" s="622">
        <f>IF(AND(Assumptions!$H$71="Yes",A51&gt;=Assumptions!$H$72,A51&lt;=Assumptions!$H$73),0,IF(AND($A51&gt;=Assumptions!$C$17,$A51&lt;=Assumptions!$C$18),MAX(BC51*(1+VLOOKUP($C51,WeatherCapacityAdjustment,3))-FO51,0),0))</f>
        <v>0</v>
      </c>
      <c r="FX51" s="621">
        <f>IF(AND(Assumptions!$H$71="Yes",A51&gt;=Assumptions!$H$72,A51&lt;=Assumptions!$H$73),0,IF(ET51&gt;0,MAX(BH51*(1+VLOOKUP($C51,WeatherCapacityAdjustment,2))-FP51,0),0))</f>
        <v>0</v>
      </c>
      <c r="FY51" s="530">
        <f>IF(AND(Assumptions!$H$71="Yes",A51&gt;=Assumptions!$H$72,A51&lt;=Assumptions!$H$73),0,IF(EU51&gt;0,MAX(BI51*(1+VLOOKUP($C51,WeatherCapacityAdjustment,3))-FQ51,0),0))</f>
        <v>0</v>
      </c>
      <c r="FZ51" s="530">
        <f>IF(AND(Assumptions!$H$71="Yes",A51&gt;=Assumptions!$H$72,A51&lt;=Assumptions!$H$73),0,IF(EV51&gt;0,MAX(BJ51*(1+VLOOKUP($C51,WeatherCapacityAdjustment,2))-FR51,0),0))</f>
        <v>0</v>
      </c>
      <c r="GA51" s="622">
        <f>IF(AND(Assumptions!$H$71="Yes",A51&gt;=Assumptions!$H$72,A51&lt;=Assumptions!$H$73),0,IF(EW51&gt;0,MAX(BK51*(1+VLOOKUP($C51,WeatherCapacityAdjustment,2))-FS51,0),0))</f>
        <v>0</v>
      </c>
      <c r="GB51" s="530">
        <f t="shared" si="65"/>
        <v>0</v>
      </c>
      <c r="GC51" s="545">
        <f t="shared" si="66"/>
        <v>0</v>
      </c>
      <c r="GD51" s="530">
        <f t="shared" si="67"/>
        <v>0</v>
      </c>
      <c r="GE51" s="1485">
        <f t="shared" si="151"/>
        <v>0</v>
      </c>
      <c r="GF51" s="1776">
        <f t="shared" si="187"/>
        <v>0</v>
      </c>
      <c r="GG51" s="545">
        <f t="shared" si="190"/>
        <v>0</v>
      </c>
      <c r="GH51" s="622">
        <f t="shared" si="191"/>
        <v>0</v>
      </c>
      <c r="GI51" s="621">
        <f t="shared" si="152"/>
        <v>0</v>
      </c>
      <c r="GJ51" s="638">
        <f t="shared" si="68"/>
        <v>0</v>
      </c>
      <c r="GK51" s="625">
        <f t="shared" si="166"/>
        <v>0</v>
      </c>
      <c r="GL51" s="640">
        <f t="shared" si="171"/>
        <v>0</v>
      </c>
      <c r="GM51" s="530">
        <f t="shared" si="172"/>
        <v>0</v>
      </c>
      <c r="GN51" s="530">
        <f t="shared" si="173"/>
        <v>0</v>
      </c>
      <c r="GO51" s="622">
        <f t="shared" si="174"/>
        <v>0</v>
      </c>
      <c r="GP51" s="530">
        <f t="shared" si="73"/>
        <v>0</v>
      </c>
      <c r="GQ51" s="545">
        <f t="shared" si="74"/>
        <v>0</v>
      </c>
      <c r="GR51" s="625">
        <f t="shared" si="75"/>
        <v>0</v>
      </c>
      <c r="GS51" s="640">
        <f>IF($A51&gt;=BegDate,Assumptions!$C$56*24*($A52-$A51)*(1-VLOOKUP($B51,MAIN!$AA$7:$AM$28,$C51+1))*(1-VLOOKUP($B51,MAIN!$AA$33:$AM$54,$C51+1)),0)*80/168</f>
        <v>0</v>
      </c>
      <c r="GT51" s="1715">
        <f t="shared" si="153"/>
        <v>30.649915576799998</v>
      </c>
      <c r="GU51" s="1715">
        <f>IF($A51&gt;=BegDate,VLOOKUP($A51,GasTable,13)+Assumptions!$C$58,0)</f>
        <v>0</v>
      </c>
      <c r="GV51" s="1715">
        <f>GU51*Assumptions!$C$57/1000</f>
        <v>0</v>
      </c>
      <c r="GW51" s="625">
        <f>IF(Assumptions!$C$60="Hourly",MAX(0,GS51*(GT51-GV51)),GS51*(GT51-GV51))</f>
        <v>0</v>
      </c>
      <c r="GX51" s="640">
        <f>IF($A51&gt;=BegDate,Assumptions!$C$56*24*($A52-$A51)*(1-VLOOKUP($B51,MAIN!$AA$7:$AM$28,$C51+1))*(1-VLOOKUP($B51,MAIN!$AA$33:$AM$54,$C51+1)),0)*16/168</f>
        <v>0</v>
      </c>
      <c r="GY51" s="1715">
        <f t="shared" si="154"/>
        <v>30.649915576799998</v>
      </c>
      <c r="GZ51" s="1715">
        <f>IF($A51&gt;=BegDate,VLOOKUP($A51,GasTable,13)+Assumptions!$C$58,0)</f>
        <v>0</v>
      </c>
      <c r="HA51" s="1715">
        <f>GZ51*Assumptions!$C$57/1000</f>
        <v>0</v>
      </c>
      <c r="HB51" s="625">
        <f>IF(Assumptions!$C$60="Hourly",MAX(0,GX51*(GY51-HA51)),GX51*(GY51-HA51))</f>
        <v>0</v>
      </c>
      <c r="HC51" s="640">
        <f>IF($A51&gt;=BegDate,Assumptions!$C$56*24*($A52-$A51)*(1-VLOOKUP($B51,MAIN!$AA$7:$AM$28,$C51+1))*(1-VLOOKUP($B51,MAIN!$AA$33:$AM$54,$C51+1)),0)*16/168</f>
        <v>0</v>
      </c>
      <c r="HD51" s="1715">
        <f t="shared" si="155"/>
        <v>21.7485028728</v>
      </c>
      <c r="HE51" s="1715">
        <f>IF($A51&gt;=BegDate,VLOOKUP($A51,GasTable,13)+Assumptions!$C$58,0)</f>
        <v>0</v>
      </c>
      <c r="HF51" s="1715">
        <f>HE51*Assumptions!$C$57/1000</f>
        <v>0</v>
      </c>
      <c r="HG51" s="625">
        <f>IF(Assumptions!$C$60="Hourly",MAX(0,HC51*(HD51-HF51)),HC51*(HD51-HF51))</f>
        <v>0</v>
      </c>
      <c r="HH51" s="640">
        <f>IF($A51&gt;=BegDate,Assumptions!$C$56*24*($A52-$A51)*(1-VLOOKUP($B51,MAIN!$AA$7:$AM$28,$C51+1))*(1-VLOOKUP($B51,MAIN!$AA$33:$AM$54,$C51+1)),0)*56/168</f>
        <v>0</v>
      </c>
      <c r="HI51" s="1715">
        <f t="shared" si="156"/>
        <v>21.7485028728</v>
      </c>
      <c r="HJ51" s="1715">
        <f>IF($A51&gt;=BegDate,VLOOKUP($A51,GasTable,13)+Assumptions!$C$58,0)</f>
        <v>0</v>
      </c>
      <c r="HK51" s="1715">
        <f>HJ51*Assumptions!$C$57/1000</f>
        <v>0</v>
      </c>
      <c r="HL51" s="625">
        <f>IF(Assumptions!$C$60="Hourly",MAX(0,HH51*(HI51-HK51)),HH51*(HI51-HK51))</f>
        <v>0</v>
      </c>
      <c r="HM51" s="640">
        <f>IF(AND(Assumptions!$H$71="Yes",A51&gt;=Assumptions!$H$72,A51&lt;=Assumptions!$H$73),Assumptions!$H$74*Assumptions!$C$9*1000,0)</f>
        <v>0</v>
      </c>
      <c r="HN51" s="530"/>
      <c r="HO51" s="545"/>
      <c r="HP51" s="545"/>
      <c r="HQ51" s="545"/>
      <c r="HR51" s="545"/>
      <c r="HS51" s="545"/>
      <c r="HT51" s="545"/>
      <c r="HU51" s="545"/>
      <c r="HV51" s="545"/>
      <c r="HW51" s="545"/>
      <c r="HX51" s="545"/>
      <c r="HY51" s="545"/>
      <c r="HZ51" s="545"/>
      <c r="IA51" s="545"/>
      <c r="IB51" s="545"/>
      <c r="IC51" s="545"/>
      <c r="ID51" s="545"/>
      <c r="IE51" s="545"/>
      <c r="IF51" s="545"/>
      <c r="IG51" s="545"/>
      <c r="IH51" s="545"/>
      <c r="II51" s="1464"/>
      <c r="IJ51" s="1463"/>
      <c r="IK51" s="1463"/>
    </row>
    <row r="52" spans="1:245">
      <c r="A52" s="177">
        <f t="shared" si="87"/>
        <v>37712</v>
      </c>
      <c r="B52" s="349">
        <f t="shared" si="88"/>
        <v>2003</v>
      </c>
      <c r="C52" s="15">
        <f t="shared" si="89"/>
        <v>4</v>
      </c>
      <c r="D52" s="612" t="str">
        <f t="shared" si="90"/>
        <v/>
      </c>
      <c r="E52" s="609" t="str">
        <f t="shared" si="91"/>
        <v/>
      </c>
      <c r="F52" s="614" t="str">
        <f t="shared" si="2"/>
        <v/>
      </c>
      <c r="G52" s="1349">
        <v>0</v>
      </c>
      <c r="H52" s="152">
        <f t="shared" si="165"/>
        <v>1</v>
      </c>
      <c r="I52" s="154">
        <f>IF(Assumptions!$L$25=4,VLOOKUP($A52,'Henwood Reference'!$E$9:$R$320,10),(VLOOKUP($A52,PriceTable,2,0)+IF(BasisNumber&lt;&gt;1,VLOOKUP($A52,BasisTable,2,0),0)+I$1)/(1-I$2))</f>
        <v>29.121669936</v>
      </c>
      <c r="J52" s="154">
        <f>IF(Assumptions!$L$25=4,VLOOKUP($A52,'Henwood Reference'!$E$9:$R$320,10),(VLOOKUP($A52,PriceTable,3,0)+IF(BasisNumber&lt;&gt;1,VLOOKUP($A52,BasisTable,2,0),0)+J$1)/(1-J$2))</f>
        <v>29.121669936</v>
      </c>
      <c r="K52" s="154">
        <f>IF(Assumptions!$L$25=4,VLOOKUP($A52,'Henwood Reference'!$E$9:$R$320,10),(VLOOKUP($A52,PriceTable,4,0)+IF(BasisNumber&lt;&gt;1,VLOOKUP($A52,BasisTable,2,0),0)+K$1)/(1-K$2))</f>
        <v>29.121669936</v>
      </c>
      <c r="L52" s="474">
        <f>IF(Assumptions!$L$25=4,VLOOKUP($A52,'Henwood Reference'!$E$9:$R$320,10),(VLOOKUP($A52,PriceTableWeekend,2,0)+IF(BasisNumber&lt;&gt;1,VLOOKUP($A52,BasisTable,2,0),0)+L$1)/(1-L$2))</f>
        <v>29.121669936</v>
      </c>
      <c r="M52" s="154">
        <f>IF(Assumptions!$L$25=4,VLOOKUP($A52,'Henwood Reference'!$E$9:$R$320,10),(VLOOKUP($A52,PriceTableWeekend,3,0)+IF(BasisNumber&lt;&gt;1,VLOOKUP($A52,BasisTable,2,0),0)+M$1)/(1-M$2))</f>
        <v>29.121669936</v>
      </c>
      <c r="N52" s="156">
        <f>IF(Assumptions!$L$25=4,VLOOKUP($A52,'Henwood Reference'!$E$9:$R$320,10),(VLOOKUP($A52,PriceTableWeekend,4,0)+IF(BasisNumber&lt;&gt;1,VLOOKUP($A52,BasisTable,2,0),0)+N$1)/(1-N$2))</f>
        <v>29.121669936</v>
      </c>
      <c r="O52" s="154">
        <f>IF(Assumptions!$L$25=4,VLOOKUP($A52,'Henwood Reference'!$E$9:$R$320,11),(VLOOKUP($A52,PriceTableWeekend,6,0)+IF(BasisNumber&lt;&gt;1,VLOOKUP($A52,BasisTable,3,0),0)+O$1)/(1-O$2))</f>
        <v>19.811798272799997</v>
      </c>
      <c r="P52" s="154">
        <f>IF(Assumptions!$L$25=4,VLOOKUP($A52,'Henwood Reference'!$E$9:$R$320,11),(VLOOKUP($A52,PriceTableWeekend,7,0)+IF(BasisNumber&lt;&gt;1,VLOOKUP($A52,BasisTable,3,0),0)+P$1)/(1-P$2))</f>
        <v>19.811798272799997</v>
      </c>
      <c r="Q52" s="156">
        <f>IF(Assumptions!$L$25=4,VLOOKUP($A52,'Henwood Reference'!$E$9:$R$320,11),(VLOOKUP($A52,PriceTableWeekend,8,0)+IF(BasisNumber&lt;&gt;1,VLOOKUP($A52,BasisTable,3,0),0)+Q$1)/(1-Q$2))</f>
        <v>19.811798272799997</v>
      </c>
      <c r="R52" s="154">
        <f>IF(Assumptions!$L$25=4,VLOOKUP($A52,'Henwood Reference'!$E$9:$R$320,11),(VLOOKUP($A52,PriceTable,6,0)+IF(BasisNumber&lt;&gt;1,VLOOKUP($A52,BasisTable,3,0),0)+R$1)/(1-R$2))</f>
        <v>19.811798272799997</v>
      </c>
      <c r="S52" s="154">
        <f>IF(Assumptions!$L$25=4,VLOOKUP($A52,'Henwood Reference'!$E$9:$R$320,11),(VLOOKUP($A52,PriceTable,7,0)+IF(BasisNumber&lt;&gt;1,VLOOKUP($A52,BasisTable,3,0),0)+S$1)/(1-S$2))</f>
        <v>19.811798272799997</v>
      </c>
      <c r="T52" s="155">
        <f>IF(Assumptions!$L$25=4,VLOOKUP($A52,'Henwood Reference'!$E$9:$R$320,11),(VLOOKUP($A52,PriceTable,8,0)+IF(BasisNumber&lt;&gt;1,VLOOKUP($A52,BasisTable,3,0),0)+T$1)/(1-T$2))</f>
        <v>19.811798272799997</v>
      </c>
      <c r="U52" s="173">
        <f t="shared" si="92"/>
        <v>0.155</v>
      </c>
      <c r="V52" s="173">
        <f t="shared" si="93"/>
        <v>0.16500000000000001</v>
      </c>
      <c r="W52" s="174">
        <f t="shared" si="94"/>
        <v>0.17499999999999999</v>
      </c>
      <c r="X52" s="173">
        <f t="shared" si="95"/>
        <v>0.155</v>
      </c>
      <c r="Y52" s="173">
        <f t="shared" si="96"/>
        <v>0.16500000000000001</v>
      </c>
      <c r="Z52" s="174">
        <f t="shared" si="97"/>
        <v>0.17499999999999999</v>
      </c>
      <c r="AA52" s="173">
        <f t="shared" si="98"/>
        <v>0.09</v>
      </c>
      <c r="AB52" s="173">
        <f t="shared" si="99"/>
        <v>0.11</v>
      </c>
      <c r="AC52" s="174">
        <f t="shared" si="100"/>
        <v>0.13</v>
      </c>
      <c r="AD52" s="173">
        <f t="shared" si="101"/>
        <v>0.09</v>
      </c>
      <c r="AE52" s="173">
        <f t="shared" si="102"/>
        <v>0.11</v>
      </c>
      <c r="AF52" s="174">
        <f t="shared" si="103"/>
        <v>0.13</v>
      </c>
      <c r="AG52" s="173">
        <f t="shared" si="104"/>
        <v>-0.1</v>
      </c>
      <c r="AH52" s="173">
        <f t="shared" si="105"/>
        <v>0.65</v>
      </c>
      <c r="AI52" s="174">
        <f t="shared" si="106"/>
        <v>0.1</v>
      </c>
      <c r="AJ52" s="173">
        <f t="shared" si="107"/>
        <v>-0.1</v>
      </c>
      <c r="AK52" s="173">
        <f t="shared" si="108"/>
        <v>0.65</v>
      </c>
      <c r="AL52" s="174">
        <f t="shared" si="109"/>
        <v>0.1</v>
      </c>
      <c r="AM52" s="173">
        <f t="shared" si="110"/>
        <v>-0.01</v>
      </c>
      <c r="AN52" s="173">
        <f t="shared" si="111"/>
        <v>0.16</v>
      </c>
      <c r="AO52" s="174">
        <f t="shared" si="112"/>
        <v>0.01</v>
      </c>
      <c r="AP52" s="173">
        <f t="shared" si="113"/>
        <v>-0.01</v>
      </c>
      <c r="AQ52" s="173">
        <f t="shared" si="114"/>
        <v>0.16</v>
      </c>
      <c r="AR52" s="175">
        <f t="shared" si="115"/>
        <v>0.01</v>
      </c>
      <c r="AS52" s="521">
        <f t="shared" si="188"/>
        <v>0.5</v>
      </c>
      <c r="AT52" s="349">
        <f t="shared" si="117"/>
        <v>0</v>
      </c>
      <c r="AU52" s="159">
        <f t="shared" si="3"/>
        <v>0</v>
      </c>
      <c r="AV52" s="159">
        <f t="shared" si="4"/>
        <v>0</v>
      </c>
      <c r="AW52" s="159">
        <f t="shared" si="189"/>
        <v>0</v>
      </c>
      <c r="AX52" s="15">
        <f t="shared" si="119"/>
        <v>0</v>
      </c>
      <c r="AY52" s="607">
        <f>IF(E52="",0,MIN((1-(1-VLOOKUP(B52,MAIN!$AA$7:$AM$28,C52+1))*(1-VLOOKUP(B52,MAIN!$AA$33:$AM$54,C52+1))),1))</f>
        <v>0</v>
      </c>
      <c r="AZ52" s="337">
        <v>0</v>
      </c>
      <c r="BA52" s="509">
        <v>0</v>
      </c>
      <c r="BB52" s="509">
        <v>0</v>
      </c>
      <c r="BC52" s="511">
        <v>0</v>
      </c>
      <c r="BD52" s="153">
        <v>0</v>
      </c>
      <c r="BE52" s="474">
        <v>0</v>
      </c>
      <c r="BF52" s="474">
        <v>0</v>
      </c>
      <c r="BG52" s="515">
        <v>0</v>
      </c>
      <c r="BH52" s="262">
        <v>0</v>
      </c>
      <c r="BI52" s="509">
        <v>0</v>
      </c>
      <c r="BJ52" s="509">
        <v>0</v>
      </c>
      <c r="BK52" s="511">
        <v>0</v>
      </c>
      <c r="BL52" s="153">
        <v>0</v>
      </c>
      <c r="BM52" s="474">
        <v>0</v>
      </c>
      <c r="BN52" s="474">
        <v>0</v>
      </c>
      <c r="BO52" s="474">
        <v>0</v>
      </c>
      <c r="BP52" s="261">
        <f t="shared" si="120"/>
        <v>0</v>
      </c>
      <c r="BQ52" s="578">
        <f t="shared" si="121"/>
        <v>0</v>
      </c>
      <c r="BR52" s="259">
        <f t="shared" si="122"/>
        <v>0</v>
      </c>
      <c r="BS52" s="578">
        <f t="shared" si="123"/>
        <v>0</v>
      </c>
      <c r="BT52" s="216">
        <f t="shared" si="124"/>
        <v>2.9623545516769334</v>
      </c>
      <c r="BU52" s="218">
        <f t="shared" si="5"/>
        <v>0</v>
      </c>
      <c r="BV52" s="216">
        <f t="shared" si="6"/>
        <v>0</v>
      </c>
      <c r="BW52" s="216">
        <f t="shared" si="7"/>
        <v>0</v>
      </c>
      <c r="BX52" s="216">
        <f t="shared" si="125"/>
        <v>0</v>
      </c>
      <c r="BY52" s="216">
        <f t="shared" si="8"/>
        <v>0</v>
      </c>
      <c r="BZ52" s="216">
        <f t="shared" si="9"/>
        <v>0</v>
      </c>
      <c r="CA52" s="264">
        <f t="shared" si="10"/>
        <v>0</v>
      </c>
      <c r="CB52" s="216">
        <f t="shared" si="11"/>
        <v>0</v>
      </c>
      <c r="CC52" s="216">
        <f t="shared" si="12"/>
        <v>0</v>
      </c>
      <c r="CD52" s="216">
        <f t="shared" si="126"/>
        <v>0</v>
      </c>
      <c r="CE52" s="216">
        <f t="shared" si="13"/>
        <v>0</v>
      </c>
      <c r="CF52" s="571">
        <f t="shared" si="14"/>
        <v>0</v>
      </c>
      <c r="CG52" s="573" t="str">
        <f t="shared" si="15"/>
        <v/>
      </c>
      <c r="CH52" s="219" t="str">
        <f t="shared" si="16"/>
        <v/>
      </c>
      <c r="CI52" s="219" t="str">
        <f t="shared" si="17"/>
        <v/>
      </c>
      <c r="CJ52" s="219" t="str">
        <f t="shared" si="18"/>
        <v/>
      </c>
      <c r="CK52" s="219" t="str">
        <f t="shared" si="19"/>
        <v/>
      </c>
      <c r="CL52" s="219" t="str">
        <f t="shared" si="20"/>
        <v/>
      </c>
      <c r="CM52" s="219" t="str">
        <f t="shared" si="21"/>
        <v/>
      </c>
      <c r="CN52" s="569" t="str">
        <f t="shared" si="22"/>
        <v/>
      </c>
      <c r="CO52" s="264">
        <f t="shared" si="175"/>
        <v>0</v>
      </c>
      <c r="CP52" s="216">
        <f t="shared" si="127"/>
        <v>0</v>
      </c>
      <c r="CQ52" s="216">
        <f t="shared" si="128"/>
        <v>0</v>
      </c>
      <c r="CR52" s="216">
        <f t="shared" si="129"/>
        <v>0</v>
      </c>
      <c r="CS52" s="1626">
        <f t="shared" si="130"/>
        <v>0</v>
      </c>
      <c r="CT52" s="216">
        <f t="shared" si="131"/>
        <v>0</v>
      </c>
      <c r="CU52" s="575" t="str">
        <f t="shared" si="23"/>
        <v/>
      </c>
      <c r="CV52" s="154" t="str">
        <f t="shared" si="24"/>
        <v/>
      </c>
      <c r="CW52" s="216">
        <f>IF(OR($BQ52,$BS52),SpreadOptPowerMargin,0)*((1+Assumptions!$C$26)^($B52-YEAR(Assumptions!$C$17)))</f>
        <v>0</v>
      </c>
      <c r="CX52" s="216">
        <f>IF(OR($BQ52,$BS52),SpreadOptPowerMargin,0)*((1+Assumptions!$C$26)^($B52-YEAR(Assumptions!$C$17)))</f>
        <v>0</v>
      </c>
      <c r="CY52" s="216">
        <f>IF(OR($BQ52,$BS52),SpreadOptPowerMargin,0)*((1+Assumptions!$C$26)^($B52-YEAR(Assumptions!$C$17)))</f>
        <v>0</v>
      </c>
      <c r="CZ52" s="216">
        <f>IF(OR($BQ52,$BS52),SpreadOptPowerMargin,0)*((1+Assumptions!$C$26)^($B52-YEAR(Assumptions!$C$17)))</f>
        <v>0</v>
      </c>
      <c r="DA52" s="440">
        <f t="shared" si="25"/>
        <v>0</v>
      </c>
      <c r="DB52" s="479" t="str">
        <f t="shared" si="26"/>
        <v/>
      </c>
      <c r="DC52" s="479" t="str">
        <f t="shared" si="27"/>
        <v/>
      </c>
      <c r="DD52" s="479" t="str">
        <f t="shared" si="28"/>
        <v/>
      </c>
      <c r="DE52" s="479" t="str">
        <f t="shared" si="29"/>
        <v/>
      </c>
      <c r="DF52" s="479" t="str">
        <f t="shared" si="30"/>
        <v/>
      </c>
      <c r="DG52" s="574" t="str">
        <f t="shared" si="31"/>
        <v/>
      </c>
      <c r="DH52" s="216">
        <f t="shared" si="32"/>
        <v>0</v>
      </c>
      <c r="DI52" s="216">
        <f t="shared" si="33"/>
        <v>0</v>
      </c>
      <c r="DJ52" s="216">
        <f t="shared" si="34"/>
        <v>0</v>
      </c>
      <c r="DK52" s="216">
        <f t="shared" si="35"/>
        <v>0</v>
      </c>
      <c r="DL52" s="216">
        <f t="shared" si="36"/>
        <v>0</v>
      </c>
      <c r="DM52" s="216"/>
      <c r="DN52" s="216"/>
      <c r="DO52" s="216"/>
      <c r="DP52" s="216"/>
      <c r="DQ52" s="216"/>
      <c r="DR52" s="216"/>
      <c r="DS52" s="216"/>
      <c r="DT52" s="216"/>
      <c r="DU52" s="216"/>
      <c r="DV52" s="216"/>
      <c r="DW52" s="1371">
        <f t="shared" si="37"/>
        <v>0</v>
      </c>
      <c r="DX52" s="216">
        <f t="shared" si="38"/>
        <v>0</v>
      </c>
      <c r="DY52" s="440">
        <f t="shared" si="39"/>
        <v>0</v>
      </c>
      <c r="DZ52" s="180">
        <f t="shared" si="40"/>
        <v>0</v>
      </c>
      <c r="EA52" s="180">
        <f t="shared" si="41"/>
        <v>0</v>
      </c>
      <c r="EB52" s="180">
        <f t="shared" si="42"/>
        <v>0</v>
      </c>
      <c r="EC52" s="180">
        <f t="shared" si="43"/>
        <v>0</v>
      </c>
      <c r="ED52" s="180">
        <f t="shared" si="44"/>
        <v>0</v>
      </c>
      <c r="EE52" s="581">
        <f t="shared" si="45"/>
        <v>0</v>
      </c>
      <c r="EF52" s="554">
        <f t="shared" si="46"/>
        <v>0</v>
      </c>
      <c r="EG52" s="554">
        <f t="shared" si="47"/>
        <v>0</v>
      </c>
      <c r="EH52" s="554">
        <f t="shared" si="48"/>
        <v>0</v>
      </c>
      <c r="EI52" s="561">
        <f t="shared" si="49"/>
        <v>0</v>
      </c>
      <c r="EJ52" s="581">
        <f t="shared" si="132"/>
        <v>0</v>
      </c>
      <c r="EK52" s="554">
        <f t="shared" si="133"/>
        <v>0</v>
      </c>
      <c r="EL52" s="554">
        <f t="shared" si="134"/>
        <v>0</v>
      </c>
      <c r="EM52" s="554">
        <f t="shared" si="135"/>
        <v>0</v>
      </c>
      <c r="EN52" s="561">
        <f t="shared" si="136"/>
        <v>0</v>
      </c>
      <c r="EO52" s="180">
        <f t="shared" si="50"/>
        <v>0</v>
      </c>
      <c r="EP52" s="180">
        <f t="shared" si="51"/>
        <v>0</v>
      </c>
      <c r="EQ52" s="180">
        <f t="shared" si="52"/>
        <v>0</v>
      </c>
      <c r="ER52" s="180">
        <f t="shared" si="53"/>
        <v>0</v>
      </c>
      <c r="ES52" s="180">
        <f t="shared" si="54"/>
        <v>0</v>
      </c>
      <c r="ET52" s="1482">
        <f>IF(EI52,IF(OCallPut,IF(CA52&gt;(CT52+CW52),CA52-(CT52+CW52),0),IF((CT52+CW52)&gt;CA52,(CT52+CW52)-CA52,0))*BH52,0)</f>
        <v>0</v>
      </c>
      <c r="EU52" s="180">
        <f>IF(EI52,IF(OCallPut,IF(CB52&gt;(CT52+CX52),CB52-(CT52+CX52),0),IF((CT52+CX52)&gt;CB52,(CT52+CX52)-CB52,0))*BI52,0)</f>
        <v>0</v>
      </c>
      <c r="EV52" s="180">
        <f>IF(EI52,IF(OCallPut,IF(CC52&gt;(CT52+CY52),CC52-(CT52+CY52),0),IF((CT52+CY52)&gt;CC52,(CT52+CY52)-CC52,0))*BJ52,0)</f>
        <v>0</v>
      </c>
      <c r="EW52" s="180">
        <f>IF(EI52,IF(OCallPut,IF(CD52&gt;(CT52+CZ52),CD52-(CT52+CZ52),0),IF((CT52+CZ52)&gt;CD52,(CT52+CZ52)-CD52,0))*BK52,0)</f>
        <v>0</v>
      </c>
      <c r="EX52" s="555">
        <f t="shared" si="182"/>
        <v>0</v>
      </c>
      <c r="EY52" s="180">
        <f t="shared" si="137"/>
        <v>0</v>
      </c>
      <c r="EZ52" s="180">
        <f t="shared" si="138"/>
        <v>0</v>
      </c>
      <c r="FA52" s="180">
        <f t="shared" si="139"/>
        <v>0</v>
      </c>
      <c r="FB52" s="180">
        <f t="shared" si="140"/>
        <v>0</v>
      </c>
      <c r="FC52" s="180">
        <f t="shared" si="141"/>
        <v>0</v>
      </c>
      <c r="FD52" s="262">
        <f>IF(AX52,IF(VLOOKUP(C52,MAIN!$L$17:$M$28,2)="Yes",VLOOKUP(CALC!B52,MAIN!$H$17:$I$20,2),0),0)</f>
        <v>0</v>
      </c>
      <c r="FE52" s="623">
        <f t="shared" si="60"/>
        <v>0</v>
      </c>
      <c r="FF52" s="535">
        <f t="shared" si="61"/>
        <v>0</v>
      </c>
      <c r="FG52" s="535">
        <f t="shared" si="62"/>
        <v>0</v>
      </c>
      <c r="FH52" s="624">
        <f t="shared" si="63"/>
        <v>0</v>
      </c>
      <c r="FI52" s="632">
        <f>IF(AX52,VLOOKUP(CALC!B52,MAIN!$H$17:$K$20,4),0)</f>
        <v>0</v>
      </c>
      <c r="FJ52" s="535">
        <f t="shared" si="64"/>
        <v>0</v>
      </c>
      <c r="FK52" s="648">
        <f t="shared" si="142"/>
        <v>0</v>
      </c>
      <c r="FL52" s="530">
        <f t="shared" si="183"/>
        <v>0</v>
      </c>
      <c r="FM52" s="530">
        <f t="shared" si="183"/>
        <v>0</v>
      </c>
      <c r="FN52" s="530">
        <f t="shared" si="183"/>
        <v>0</v>
      </c>
      <c r="FO52" s="622">
        <f t="shared" si="184"/>
        <v>0</v>
      </c>
      <c r="FP52" s="530">
        <f t="shared" si="185"/>
        <v>0</v>
      </c>
      <c r="FQ52" s="530">
        <f t="shared" si="185"/>
        <v>0</v>
      </c>
      <c r="FR52" s="530">
        <f t="shared" si="185"/>
        <v>0</v>
      </c>
      <c r="FS52" s="625">
        <f t="shared" si="186"/>
        <v>0</v>
      </c>
      <c r="FT52" s="640">
        <f>IF(AND(Assumptions!$H$71="Yes",A52&gt;=Assumptions!$H$72,A52&lt;=Assumptions!$H$73),0,IF(AND($A52&gt;=Assumptions!$C$17,$A52&lt;=Assumptions!$C$18),MAX(AZ52*(1+VLOOKUP($C52,WeatherCapacityAdjustment,2))-FL52,0),0))</f>
        <v>0</v>
      </c>
      <c r="FU52" s="530">
        <f>IF(AND(Assumptions!$H$71="Yes",A52&gt;=Assumptions!$H$72,A52&lt;=Assumptions!$H$73),0,IF(AND($A52&gt;=Assumptions!$C$17,$A52&lt;=Assumptions!$C$18),MAX(BA52*(1+VLOOKUP($C52,WeatherCapacityAdjustment,2))-FM52,0),0))</f>
        <v>0</v>
      </c>
      <c r="FV52" s="530">
        <f>IF(AND(Assumptions!$H$71="Yes",A52&gt;=Assumptions!$H$72,A52&lt;=Assumptions!$H$73),0,IF(AND($A52&gt;=Assumptions!$C$17,$A52&lt;=Assumptions!$C$18),MAX(BB52*(1+VLOOKUP($C52,WeatherCapacityAdjustment,2))-FN52,0),0))</f>
        <v>0</v>
      </c>
      <c r="FW52" s="622">
        <f>IF(AND(Assumptions!$H$71="Yes",A52&gt;=Assumptions!$H$72,A52&lt;=Assumptions!$H$73),0,IF(AND($A52&gt;=Assumptions!$C$17,$A52&lt;=Assumptions!$C$18),MAX(BC52*(1+VLOOKUP($C52,WeatherCapacityAdjustment,3))-FO52,0),0))</f>
        <v>0</v>
      </c>
      <c r="FX52" s="621">
        <f>IF(AND(Assumptions!$H$71="Yes",A52&gt;=Assumptions!$H$72,A52&lt;=Assumptions!$H$73),0,IF(ET52&gt;0,MAX(BH52*(1+VLOOKUP($C52,WeatherCapacityAdjustment,2))-FP52,0),0))</f>
        <v>0</v>
      </c>
      <c r="FY52" s="530">
        <f>IF(AND(Assumptions!$H$71="Yes",A52&gt;=Assumptions!$H$72,A52&lt;=Assumptions!$H$73),0,IF(EU52&gt;0,MAX(BI52*(1+VLOOKUP($C52,WeatherCapacityAdjustment,3))-FQ52,0),0))</f>
        <v>0</v>
      </c>
      <c r="FZ52" s="530">
        <f>IF(AND(Assumptions!$H$71="Yes",A52&gt;=Assumptions!$H$72,A52&lt;=Assumptions!$H$73),0,IF(EV52&gt;0,MAX(BJ52*(1+VLOOKUP($C52,WeatherCapacityAdjustment,2))-FR52,0),0))</f>
        <v>0</v>
      </c>
      <c r="GA52" s="622">
        <f>IF(AND(Assumptions!$H$71="Yes",A52&gt;=Assumptions!$H$72,A52&lt;=Assumptions!$H$73),0,IF(EW52&gt;0,MAX(BK52*(1+VLOOKUP($C52,WeatherCapacityAdjustment,2))-FS52,0),0))</f>
        <v>0</v>
      </c>
      <c r="GB52" s="530">
        <f t="shared" si="65"/>
        <v>0</v>
      </c>
      <c r="GC52" s="545">
        <f t="shared" si="66"/>
        <v>0</v>
      </c>
      <c r="GD52" s="530">
        <f t="shared" si="67"/>
        <v>0</v>
      </c>
      <c r="GE52" s="1485">
        <f t="shared" si="151"/>
        <v>0</v>
      </c>
      <c r="GF52" s="1776">
        <f t="shared" si="187"/>
        <v>0</v>
      </c>
      <c r="GG52" s="545">
        <f t="shared" si="190"/>
        <v>0</v>
      </c>
      <c r="GH52" s="622">
        <f t="shared" si="191"/>
        <v>0</v>
      </c>
      <c r="GI52" s="621">
        <f t="shared" si="152"/>
        <v>0</v>
      </c>
      <c r="GJ52" s="638">
        <f t="shared" si="68"/>
        <v>0</v>
      </c>
      <c r="GK52" s="625">
        <f t="shared" si="166"/>
        <v>0</v>
      </c>
      <c r="GL52" s="640">
        <f t="shared" si="171"/>
        <v>0</v>
      </c>
      <c r="GM52" s="530">
        <f t="shared" si="172"/>
        <v>0</v>
      </c>
      <c r="GN52" s="530">
        <f t="shared" si="173"/>
        <v>0</v>
      </c>
      <c r="GO52" s="622">
        <f t="shared" si="174"/>
        <v>0</v>
      </c>
      <c r="GP52" s="530">
        <f t="shared" si="73"/>
        <v>0</v>
      </c>
      <c r="GQ52" s="545">
        <f t="shared" si="74"/>
        <v>0</v>
      </c>
      <c r="GR52" s="625">
        <f t="shared" si="75"/>
        <v>0</v>
      </c>
      <c r="GS52" s="640">
        <f>IF($A52&gt;=BegDate,Assumptions!$C$56*24*($A53-$A52)*(1-VLOOKUP($B52,MAIN!$AA$7:$AM$28,$C52+1))*(1-VLOOKUP($B52,MAIN!$AA$33:$AM$54,$C52+1)),0)*80/168</f>
        <v>0</v>
      </c>
      <c r="GT52" s="1715">
        <f t="shared" si="153"/>
        <v>29.121669936</v>
      </c>
      <c r="GU52" s="1715">
        <f>IF($A52&gt;=BegDate,VLOOKUP($A52,GasTable,13)+Assumptions!$C$58,0)</f>
        <v>0</v>
      </c>
      <c r="GV52" s="1715">
        <f>GU52*Assumptions!$C$57/1000</f>
        <v>0</v>
      </c>
      <c r="GW52" s="625">
        <f>IF(Assumptions!$C$60="Hourly",MAX(0,GS52*(GT52-GV52)),GS52*(GT52-GV52))</f>
        <v>0</v>
      </c>
      <c r="GX52" s="640">
        <f>IF($A52&gt;=BegDate,Assumptions!$C$56*24*($A53-$A52)*(1-VLOOKUP($B52,MAIN!$AA$7:$AM$28,$C52+1))*(1-VLOOKUP($B52,MAIN!$AA$33:$AM$54,$C52+1)),0)*16/168</f>
        <v>0</v>
      </c>
      <c r="GY52" s="1715">
        <f t="shared" si="154"/>
        <v>29.121669936</v>
      </c>
      <c r="GZ52" s="1715">
        <f>IF($A52&gt;=BegDate,VLOOKUP($A52,GasTable,13)+Assumptions!$C$58,0)</f>
        <v>0</v>
      </c>
      <c r="HA52" s="1715">
        <f>GZ52*Assumptions!$C$57/1000</f>
        <v>0</v>
      </c>
      <c r="HB52" s="625">
        <f>IF(Assumptions!$C$60="Hourly",MAX(0,GX52*(GY52-HA52)),GX52*(GY52-HA52))</f>
        <v>0</v>
      </c>
      <c r="HC52" s="640">
        <f>IF($A52&gt;=BegDate,Assumptions!$C$56*24*($A53-$A52)*(1-VLOOKUP($B52,MAIN!$AA$7:$AM$28,$C52+1))*(1-VLOOKUP($B52,MAIN!$AA$33:$AM$54,$C52+1)),0)*16/168</f>
        <v>0</v>
      </c>
      <c r="HD52" s="1715">
        <f t="shared" si="155"/>
        <v>19.811798272799997</v>
      </c>
      <c r="HE52" s="1715">
        <f>IF($A52&gt;=BegDate,VLOOKUP($A52,GasTable,13)+Assumptions!$C$58,0)</f>
        <v>0</v>
      </c>
      <c r="HF52" s="1715">
        <f>HE52*Assumptions!$C$57/1000</f>
        <v>0</v>
      </c>
      <c r="HG52" s="625">
        <f>IF(Assumptions!$C$60="Hourly",MAX(0,HC52*(HD52-HF52)),HC52*(HD52-HF52))</f>
        <v>0</v>
      </c>
      <c r="HH52" s="640">
        <f>IF($A52&gt;=BegDate,Assumptions!$C$56*24*($A53-$A52)*(1-VLOOKUP($B52,MAIN!$AA$7:$AM$28,$C52+1))*(1-VLOOKUP($B52,MAIN!$AA$33:$AM$54,$C52+1)),0)*56/168</f>
        <v>0</v>
      </c>
      <c r="HI52" s="1715">
        <f t="shared" si="156"/>
        <v>19.811798272799997</v>
      </c>
      <c r="HJ52" s="1715">
        <f>IF($A52&gt;=BegDate,VLOOKUP($A52,GasTable,13)+Assumptions!$C$58,0)</f>
        <v>0</v>
      </c>
      <c r="HK52" s="1715">
        <f>HJ52*Assumptions!$C$57/1000</f>
        <v>0</v>
      </c>
      <c r="HL52" s="625">
        <f>IF(Assumptions!$C$60="Hourly",MAX(0,HH52*(HI52-HK52)),HH52*(HI52-HK52))</f>
        <v>0</v>
      </c>
      <c r="HM52" s="640">
        <f>IF(AND(Assumptions!$H$71="Yes",A52&gt;=Assumptions!$H$72,A52&lt;=Assumptions!$H$73),Assumptions!$H$74*Assumptions!$C$9*1000,0)</f>
        <v>0</v>
      </c>
      <c r="HN52" s="530"/>
      <c r="HO52" s="545"/>
      <c r="HP52" s="545"/>
      <c r="HQ52" s="545"/>
      <c r="HR52" s="545"/>
      <c r="HS52" s="545"/>
      <c r="HT52" s="545"/>
      <c r="HU52" s="545"/>
      <c r="HV52" s="545"/>
      <c r="HW52" s="545"/>
      <c r="HX52" s="545"/>
      <c r="HY52" s="545"/>
      <c r="HZ52" s="545"/>
      <c r="IA52" s="545"/>
      <c r="IB52" s="545"/>
      <c r="IC52" s="545"/>
      <c r="ID52" s="545"/>
      <c r="IE52" s="545"/>
      <c r="IF52" s="545"/>
      <c r="IG52" s="545"/>
      <c r="IH52" s="545"/>
      <c r="II52" s="1464"/>
      <c r="IJ52" s="1463"/>
      <c r="IK52" s="1463"/>
    </row>
    <row r="53" spans="1:245">
      <c r="A53" s="177">
        <f t="shared" si="87"/>
        <v>37742</v>
      </c>
      <c r="B53" s="349">
        <f t="shared" si="88"/>
        <v>2003</v>
      </c>
      <c r="C53" s="15">
        <f t="shared" si="89"/>
        <v>5</v>
      </c>
      <c r="D53" s="612" t="str">
        <f t="shared" si="90"/>
        <v/>
      </c>
      <c r="E53" s="609" t="str">
        <f t="shared" si="91"/>
        <v/>
      </c>
      <c r="F53" s="614" t="str">
        <f t="shared" si="2"/>
        <v/>
      </c>
      <c r="G53" s="1349">
        <v>0</v>
      </c>
      <c r="H53" s="152">
        <f t="shared" si="165"/>
        <v>1</v>
      </c>
      <c r="I53" s="154">
        <f>IF(Assumptions!$L$25=4,VLOOKUP($A53,'Henwood Reference'!$E$9:$R$320,10),(VLOOKUP($A53,PriceTable,2,0)+IF(BasisNumber&lt;&gt;1,VLOOKUP($A53,BasisTable,2,0),0)+I$1)/(1-I$2))</f>
        <v>29.584144382399998</v>
      </c>
      <c r="J53" s="154">
        <f>IF(Assumptions!$L$25=4,VLOOKUP($A53,'Henwood Reference'!$E$9:$R$320,10),(VLOOKUP($A53,PriceTable,3,0)+IF(BasisNumber&lt;&gt;1,VLOOKUP($A53,BasisTable,2,0),0)+J$1)/(1-J$2))</f>
        <v>29.584144382399998</v>
      </c>
      <c r="K53" s="154">
        <f>IF(Assumptions!$L$25=4,VLOOKUP($A53,'Henwood Reference'!$E$9:$R$320,10),(VLOOKUP($A53,PriceTable,4,0)+IF(BasisNumber&lt;&gt;1,VLOOKUP($A53,BasisTable,2,0),0)+K$1)/(1-K$2))</f>
        <v>29.584144382399998</v>
      </c>
      <c r="L53" s="474">
        <f>IF(Assumptions!$L$25=4,VLOOKUP($A53,'Henwood Reference'!$E$9:$R$320,10),(VLOOKUP($A53,PriceTableWeekend,2,0)+IF(BasisNumber&lt;&gt;1,VLOOKUP($A53,BasisTable,2,0),0)+L$1)/(1-L$2))</f>
        <v>29.584144382399998</v>
      </c>
      <c r="M53" s="154">
        <f>IF(Assumptions!$L$25=4,VLOOKUP($A53,'Henwood Reference'!$E$9:$R$320,10),(VLOOKUP($A53,PriceTableWeekend,3,0)+IF(BasisNumber&lt;&gt;1,VLOOKUP($A53,BasisTable,2,0),0)+M$1)/(1-M$2))</f>
        <v>29.584144382399998</v>
      </c>
      <c r="N53" s="156">
        <f>IF(Assumptions!$L$25=4,VLOOKUP($A53,'Henwood Reference'!$E$9:$R$320,10),(VLOOKUP($A53,PriceTableWeekend,4,0)+IF(BasisNumber&lt;&gt;1,VLOOKUP($A53,BasisTable,2,0),0)+N$1)/(1-N$2))</f>
        <v>29.584144382399998</v>
      </c>
      <c r="O53" s="154">
        <f>IF(Assumptions!$L$25=4,VLOOKUP($A53,'Henwood Reference'!$E$9:$R$320,11),(VLOOKUP($A53,PriceTableWeekend,6,0)+IF(BasisNumber&lt;&gt;1,VLOOKUP($A53,BasisTable,3,0),0)+O$1)/(1-O$2))</f>
        <v>16.227992735999997</v>
      </c>
      <c r="P53" s="154">
        <f>IF(Assumptions!$L$25=4,VLOOKUP($A53,'Henwood Reference'!$E$9:$R$320,11),(VLOOKUP($A53,PriceTableWeekend,7,0)+IF(BasisNumber&lt;&gt;1,VLOOKUP($A53,BasisTable,3,0),0)+P$1)/(1-P$2))</f>
        <v>16.227992735999997</v>
      </c>
      <c r="Q53" s="156">
        <f>IF(Assumptions!$L$25=4,VLOOKUP($A53,'Henwood Reference'!$E$9:$R$320,11),(VLOOKUP($A53,PriceTableWeekend,8,0)+IF(BasisNumber&lt;&gt;1,VLOOKUP($A53,BasisTable,3,0),0)+Q$1)/(1-Q$2))</f>
        <v>16.227992735999997</v>
      </c>
      <c r="R53" s="154">
        <f>IF(Assumptions!$L$25=4,VLOOKUP($A53,'Henwood Reference'!$E$9:$R$320,11),(VLOOKUP($A53,PriceTable,6,0)+IF(BasisNumber&lt;&gt;1,VLOOKUP($A53,BasisTable,3,0),0)+R$1)/(1-R$2))</f>
        <v>16.227992735999997</v>
      </c>
      <c r="S53" s="154">
        <f>IF(Assumptions!$L$25=4,VLOOKUP($A53,'Henwood Reference'!$E$9:$R$320,11),(VLOOKUP($A53,PriceTable,7,0)+IF(BasisNumber&lt;&gt;1,VLOOKUP($A53,BasisTable,3,0),0)+S$1)/(1-S$2))</f>
        <v>16.227992735999997</v>
      </c>
      <c r="T53" s="155">
        <f>IF(Assumptions!$L$25=4,VLOOKUP($A53,'Henwood Reference'!$E$9:$R$320,11),(VLOOKUP($A53,PriceTable,8,0)+IF(BasisNumber&lt;&gt;1,VLOOKUP($A53,BasisTable,3,0),0)+T$1)/(1-T$2))</f>
        <v>16.227992735999997</v>
      </c>
      <c r="U53" s="173">
        <f t="shared" si="92"/>
        <v>0.155</v>
      </c>
      <c r="V53" s="173">
        <f t="shared" si="93"/>
        <v>0.16500000000000001</v>
      </c>
      <c r="W53" s="174">
        <f t="shared" si="94"/>
        <v>0.17499999999999999</v>
      </c>
      <c r="X53" s="173">
        <f t="shared" si="95"/>
        <v>0.155</v>
      </c>
      <c r="Y53" s="173">
        <f t="shared" si="96"/>
        <v>0.16500000000000001</v>
      </c>
      <c r="Z53" s="174">
        <f t="shared" si="97"/>
        <v>0.17499999999999999</v>
      </c>
      <c r="AA53" s="173">
        <f t="shared" si="98"/>
        <v>0.09</v>
      </c>
      <c r="AB53" s="173">
        <f t="shared" si="99"/>
        <v>0.11</v>
      </c>
      <c r="AC53" s="174">
        <f t="shared" si="100"/>
        <v>0.13</v>
      </c>
      <c r="AD53" s="173">
        <f t="shared" si="101"/>
        <v>0.09</v>
      </c>
      <c r="AE53" s="173">
        <f t="shared" si="102"/>
        <v>0.11</v>
      </c>
      <c r="AF53" s="174">
        <f t="shared" si="103"/>
        <v>0.13</v>
      </c>
      <c r="AG53" s="173">
        <f t="shared" si="104"/>
        <v>-0.1</v>
      </c>
      <c r="AH53" s="173">
        <f t="shared" si="105"/>
        <v>0.65</v>
      </c>
      <c r="AI53" s="174">
        <f t="shared" si="106"/>
        <v>0.1</v>
      </c>
      <c r="AJ53" s="173">
        <f t="shared" si="107"/>
        <v>-0.1</v>
      </c>
      <c r="AK53" s="173">
        <f t="shared" si="108"/>
        <v>0.65</v>
      </c>
      <c r="AL53" s="174">
        <f t="shared" si="109"/>
        <v>0.1</v>
      </c>
      <c r="AM53" s="173">
        <f t="shared" si="110"/>
        <v>-0.01</v>
      </c>
      <c r="AN53" s="173">
        <f t="shared" si="111"/>
        <v>0.16</v>
      </c>
      <c r="AO53" s="174">
        <f t="shared" si="112"/>
        <v>0.01</v>
      </c>
      <c r="AP53" s="173">
        <f t="shared" si="113"/>
        <v>-0.01</v>
      </c>
      <c r="AQ53" s="173">
        <f t="shared" si="114"/>
        <v>0.16</v>
      </c>
      <c r="AR53" s="175">
        <f t="shared" si="115"/>
        <v>0.01</v>
      </c>
      <c r="AS53" s="521">
        <f t="shared" si="188"/>
        <v>0.5</v>
      </c>
      <c r="AT53" s="349">
        <f t="shared" si="117"/>
        <v>0</v>
      </c>
      <c r="AU53" s="159">
        <f t="shared" si="3"/>
        <v>0</v>
      </c>
      <c r="AV53" s="159">
        <f t="shared" si="4"/>
        <v>0</v>
      </c>
      <c r="AW53" s="159">
        <f t="shared" si="189"/>
        <v>0</v>
      </c>
      <c r="AX53" s="15">
        <f t="shared" si="119"/>
        <v>0</v>
      </c>
      <c r="AY53" s="607">
        <f>IF(E53="",0,MIN((1-(1-VLOOKUP(B53,MAIN!$AA$7:$AM$28,C53+1))*(1-VLOOKUP(B53,MAIN!$AA$33:$AM$54,C53+1))),1))</f>
        <v>0</v>
      </c>
      <c r="AZ53" s="337">
        <v>0</v>
      </c>
      <c r="BA53" s="509">
        <v>0</v>
      </c>
      <c r="BB53" s="509">
        <v>0</v>
      </c>
      <c r="BC53" s="511">
        <v>0</v>
      </c>
      <c r="BD53" s="153">
        <v>0</v>
      </c>
      <c r="BE53" s="474">
        <v>0</v>
      </c>
      <c r="BF53" s="474">
        <v>0</v>
      </c>
      <c r="BG53" s="515">
        <v>0</v>
      </c>
      <c r="BH53" s="262">
        <v>0</v>
      </c>
      <c r="BI53" s="509">
        <v>0</v>
      </c>
      <c r="BJ53" s="509">
        <v>0</v>
      </c>
      <c r="BK53" s="511">
        <v>0</v>
      </c>
      <c r="BL53" s="153">
        <v>0</v>
      </c>
      <c r="BM53" s="474">
        <v>0</v>
      </c>
      <c r="BN53" s="474">
        <v>0</v>
      </c>
      <c r="BO53" s="474">
        <v>0</v>
      </c>
      <c r="BP53" s="261">
        <f t="shared" si="120"/>
        <v>0</v>
      </c>
      <c r="BQ53" s="578">
        <f t="shared" si="121"/>
        <v>0</v>
      </c>
      <c r="BR53" s="259">
        <f t="shared" si="122"/>
        <v>0</v>
      </c>
      <c r="BS53" s="578">
        <f t="shared" si="123"/>
        <v>0</v>
      </c>
      <c r="BT53" s="216">
        <f t="shared" si="124"/>
        <v>3.0444900752908968</v>
      </c>
      <c r="BU53" s="218">
        <f t="shared" si="5"/>
        <v>0</v>
      </c>
      <c r="BV53" s="216">
        <f t="shared" si="6"/>
        <v>0</v>
      </c>
      <c r="BW53" s="216">
        <f t="shared" si="7"/>
        <v>0</v>
      </c>
      <c r="BX53" s="216">
        <f t="shared" si="125"/>
        <v>0</v>
      </c>
      <c r="BY53" s="216">
        <f t="shared" si="8"/>
        <v>0</v>
      </c>
      <c r="BZ53" s="216">
        <f t="shared" si="9"/>
        <v>0</v>
      </c>
      <c r="CA53" s="264">
        <f t="shared" si="10"/>
        <v>0</v>
      </c>
      <c r="CB53" s="216">
        <f t="shared" si="11"/>
        <v>0</v>
      </c>
      <c r="CC53" s="216">
        <f t="shared" si="12"/>
        <v>0</v>
      </c>
      <c r="CD53" s="216">
        <f t="shared" si="126"/>
        <v>0</v>
      </c>
      <c r="CE53" s="216">
        <f t="shared" si="13"/>
        <v>0</v>
      </c>
      <c r="CF53" s="571">
        <f t="shared" si="14"/>
        <v>0</v>
      </c>
      <c r="CG53" s="573" t="str">
        <f t="shared" si="15"/>
        <v/>
      </c>
      <c r="CH53" s="219" t="str">
        <f t="shared" si="16"/>
        <v/>
      </c>
      <c r="CI53" s="219" t="str">
        <f t="shared" si="17"/>
        <v/>
      </c>
      <c r="CJ53" s="219" t="str">
        <f t="shared" si="18"/>
        <v/>
      </c>
      <c r="CK53" s="219" t="str">
        <f t="shared" si="19"/>
        <v/>
      </c>
      <c r="CL53" s="219" t="str">
        <f t="shared" si="20"/>
        <v/>
      </c>
      <c r="CM53" s="219" t="str">
        <f t="shared" si="21"/>
        <v/>
      </c>
      <c r="CN53" s="569" t="str">
        <f t="shared" si="22"/>
        <v/>
      </c>
      <c r="CO53" s="264">
        <f t="shared" si="175"/>
        <v>0</v>
      </c>
      <c r="CP53" s="216">
        <f t="shared" si="127"/>
        <v>0</v>
      </c>
      <c r="CQ53" s="216">
        <f t="shared" si="128"/>
        <v>0</v>
      </c>
      <c r="CR53" s="216">
        <f t="shared" si="129"/>
        <v>0</v>
      </c>
      <c r="CS53" s="1626">
        <f t="shared" si="130"/>
        <v>0</v>
      </c>
      <c r="CT53" s="216">
        <f t="shared" si="131"/>
        <v>0</v>
      </c>
      <c r="CU53" s="575" t="str">
        <f t="shared" si="23"/>
        <v/>
      </c>
      <c r="CV53" s="154" t="str">
        <f t="shared" si="24"/>
        <v/>
      </c>
      <c r="CW53" s="216">
        <f>IF(OR($BQ53,$BS53),SpreadOptPowerMargin,0)*((1+Assumptions!$C$26)^($B53-YEAR(Assumptions!$C$17)))</f>
        <v>0</v>
      </c>
      <c r="CX53" s="216">
        <f>IF(OR($BQ53,$BS53),SpreadOptPowerMargin,0)*((1+Assumptions!$C$26)^($B53-YEAR(Assumptions!$C$17)))</f>
        <v>0</v>
      </c>
      <c r="CY53" s="216">
        <f>IF(OR($BQ53,$BS53),SpreadOptPowerMargin,0)*((1+Assumptions!$C$26)^($B53-YEAR(Assumptions!$C$17)))</f>
        <v>0</v>
      </c>
      <c r="CZ53" s="216">
        <f>IF(OR($BQ53,$BS53),SpreadOptPowerMargin,0)*((1+Assumptions!$C$26)^($B53-YEAR(Assumptions!$C$17)))</f>
        <v>0</v>
      </c>
      <c r="DA53" s="440">
        <f t="shared" si="25"/>
        <v>0</v>
      </c>
      <c r="DB53" s="479" t="str">
        <f t="shared" si="26"/>
        <v/>
      </c>
      <c r="DC53" s="479" t="str">
        <f t="shared" si="27"/>
        <v/>
      </c>
      <c r="DD53" s="479" t="str">
        <f t="shared" si="28"/>
        <v/>
      </c>
      <c r="DE53" s="479" t="str">
        <f t="shared" si="29"/>
        <v/>
      </c>
      <c r="DF53" s="479" t="str">
        <f t="shared" si="30"/>
        <v/>
      </c>
      <c r="DG53" s="574" t="str">
        <f t="shared" si="31"/>
        <v/>
      </c>
      <c r="DH53" s="216">
        <f t="shared" si="32"/>
        <v>0</v>
      </c>
      <c r="DI53" s="216">
        <f t="shared" si="33"/>
        <v>0</v>
      </c>
      <c r="DJ53" s="216">
        <f t="shared" si="34"/>
        <v>0</v>
      </c>
      <c r="DK53" s="216">
        <f t="shared" si="35"/>
        <v>0</v>
      </c>
      <c r="DL53" s="216">
        <f t="shared" si="36"/>
        <v>0</v>
      </c>
      <c r="DM53" s="216"/>
      <c r="DN53" s="216"/>
      <c r="DO53" s="216"/>
      <c r="DP53" s="216"/>
      <c r="DQ53" s="216"/>
      <c r="DR53" s="216"/>
      <c r="DS53" s="216"/>
      <c r="DT53" s="216"/>
      <c r="DU53" s="216"/>
      <c r="DV53" s="216"/>
      <c r="DW53" s="1371">
        <f t="shared" si="37"/>
        <v>0</v>
      </c>
      <c r="DX53" s="216">
        <f t="shared" si="38"/>
        <v>0</v>
      </c>
      <c r="DY53" s="440">
        <f t="shared" si="39"/>
        <v>0</v>
      </c>
      <c r="DZ53" s="180">
        <f t="shared" si="40"/>
        <v>0</v>
      </c>
      <c r="EA53" s="180">
        <f t="shared" si="41"/>
        <v>0</v>
      </c>
      <c r="EB53" s="180">
        <f t="shared" si="42"/>
        <v>0</v>
      </c>
      <c r="EC53" s="180">
        <f t="shared" si="43"/>
        <v>0</v>
      </c>
      <c r="ED53" s="180">
        <f t="shared" si="44"/>
        <v>0</v>
      </c>
      <c r="EE53" s="581">
        <f t="shared" si="45"/>
        <v>0</v>
      </c>
      <c r="EF53" s="554">
        <f t="shared" si="46"/>
        <v>0</v>
      </c>
      <c r="EG53" s="554">
        <f t="shared" si="47"/>
        <v>0</v>
      </c>
      <c r="EH53" s="554">
        <f t="shared" si="48"/>
        <v>0</v>
      </c>
      <c r="EI53" s="561">
        <f t="shared" si="49"/>
        <v>0</v>
      </c>
      <c r="EJ53" s="581">
        <f t="shared" si="132"/>
        <v>0</v>
      </c>
      <c r="EK53" s="554">
        <f t="shared" si="133"/>
        <v>0</v>
      </c>
      <c r="EL53" s="554">
        <f t="shared" si="134"/>
        <v>0</v>
      </c>
      <c r="EM53" s="554">
        <f t="shared" si="135"/>
        <v>0</v>
      </c>
      <c r="EN53" s="561">
        <f t="shared" si="136"/>
        <v>0</v>
      </c>
      <c r="EO53" s="180">
        <f t="shared" si="50"/>
        <v>0</v>
      </c>
      <c r="EP53" s="180">
        <f t="shared" si="51"/>
        <v>0</v>
      </c>
      <c r="EQ53" s="180">
        <f t="shared" si="52"/>
        <v>0</v>
      </c>
      <c r="ER53" s="180">
        <f t="shared" si="53"/>
        <v>0</v>
      </c>
      <c r="ES53" s="180">
        <f t="shared" si="54"/>
        <v>0</v>
      </c>
      <c r="ET53" s="1482">
        <f>IF(EI53,IF(OCallPut,IF(CA53&gt;(CT53+CW53),CA53-(CT53+CW53),0),IF((CT53+CW53)&gt;CA53,(CT53+CW53)-CA53,0))*BH53,0)</f>
        <v>0</v>
      </c>
      <c r="EU53" s="180">
        <f>IF(EI53,IF(OCallPut,IF(CB53&gt;(CT53+CX53),CB53-(CT53+CX53),0),IF((CT53+CX53)&gt;CB53,(CT53+CX53)-CB53,0))*BI53,0)</f>
        <v>0</v>
      </c>
      <c r="EV53" s="180">
        <f>IF(EI53,IF(OCallPut,IF(CC53&gt;(CT53+CY53),CC53-(CT53+CY53),0),IF((CT53+CY53)&gt;CC53,(CT53+CY53)-CC53,0))*BJ53,0)</f>
        <v>0</v>
      </c>
      <c r="EW53" s="180">
        <f>IF(EI53,IF(OCallPut,IF(CD53&gt;(CT53+CZ53),CD53-(CT53+CZ53),0),IF((CT53+CZ53)&gt;CD53,(CT53+CZ53)-CD53,0))*BK53,0)</f>
        <v>0</v>
      </c>
      <c r="EX53" s="555">
        <f t="shared" si="182"/>
        <v>0</v>
      </c>
      <c r="EY53" s="180">
        <f t="shared" si="137"/>
        <v>0</v>
      </c>
      <c r="EZ53" s="180">
        <f t="shared" si="138"/>
        <v>0</v>
      </c>
      <c r="FA53" s="180">
        <f t="shared" si="139"/>
        <v>0</v>
      </c>
      <c r="FB53" s="180">
        <f t="shared" si="140"/>
        <v>0</v>
      </c>
      <c r="FC53" s="180">
        <f t="shared" si="141"/>
        <v>0</v>
      </c>
      <c r="FD53" s="262">
        <f>IF(AX53,IF(VLOOKUP(C53,MAIN!$L$17:$M$28,2)="Yes",VLOOKUP(CALC!B53,MAIN!$H$17:$I$20,2),0),0)</f>
        <v>0</v>
      </c>
      <c r="FE53" s="623">
        <f t="shared" si="60"/>
        <v>0</v>
      </c>
      <c r="FF53" s="535">
        <f t="shared" si="61"/>
        <v>0</v>
      </c>
      <c r="FG53" s="535">
        <f t="shared" si="62"/>
        <v>0</v>
      </c>
      <c r="FH53" s="624">
        <f t="shared" si="63"/>
        <v>0</v>
      </c>
      <c r="FI53" s="632">
        <f>IF(AX53,VLOOKUP(CALC!B53,MAIN!$H$17:$K$20,4),0)</f>
        <v>0</v>
      </c>
      <c r="FJ53" s="535">
        <f t="shared" si="64"/>
        <v>0</v>
      </c>
      <c r="FK53" s="648">
        <f t="shared" si="142"/>
        <v>0</v>
      </c>
      <c r="FL53" s="530">
        <f t="shared" si="183"/>
        <v>0</v>
      </c>
      <c r="FM53" s="530">
        <f t="shared" si="183"/>
        <v>0</v>
      </c>
      <c r="FN53" s="530">
        <f t="shared" si="183"/>
        <v>0</v>
      </c>
      <c r="FO53" s="622">
        <f t="shared" si="184"/>
        <v>0</v>
      </c>
      <c r="FP53" s="530">
        <f t="shared" si="185"/>
        <v>0</v>
      </c>
      <c r="FQ53" s="530">
        <f t="shared" si="185"/>
        <v>0</v>
      </c>
      <c r="FR53" s="530">
        <f t="shared" si="185"/>
        <v>0</v>
      </c>
      <c r="FS53" s="625">
        <f t="shared" si="186"/>
        <v>0</v>
      </c>
      <c r="FT53" s="640">
        <f>IF(AND(Assumptions!$H$71="Yes",A53&gt;=Assumptions!$H$72,A53&lt;=Assumptions!$H$73),0,IF(AND($A53&gt;=Assumptions!$C$17,$A53&lt;=Assumptions!$C$18),MAX(AZ53*(1+VLOOKUP($C53,WeatherCapacityAdjustment,2))-FL53,0),0))</f>
        <v>0</v>
      </c>
      <c r="FU53" s="530">
        <f>IF(AND(Assumptions!$H$71="Yes",A53&gt;=Assumptions!$H$72,A53&lt;=Assumptions!$H$73),0,IF(AND($A53&gt;=Assumptions!$C$17,$A53&lt;=Assumptions!$C$18),MAX(BA53*(1+VLOOKUP($C53,WeatherCapacityAdjustment,2))-FM53,0),0))</f>
        <v>0</v>
      </c>
      <c r="FV53" s="530">
        <f>IF(AND(Assumptions!$H$71="Yes",A53&gt;=Assumptions!$H$72,A53&lt;=Assumptions!$H$73),0,IF(AND($A53&gt;=Assumptions!$C$17,$A53&lt;=Assumptions!$C$18),MAX(BB53*(1+VLOOKUP($C53,WeatherCapacityAdjustment,2))-FN53,0),0))</f>
        <v>0</v>
      </c>
      <c r="FW53" s="622">
        <f>IF(AND(Assumptions!$H$71="Yes",A53&gt;=Assumptions!$H$72,A53&lt;=Assumptions!$H$73),0,IF(AND($A53&gt;=Assumptions!$C$17,$A53&lt;=Assumptions!$C$18),MAX(BC53*(1+VLOOKUP($C53,WeatherCapacityAdjustment,3))-FO53,0),0))</f>
        <v>0</v>
      </c>
      <c r="FX53" s="621">
        <f>IF(AND(Assumptions!$H$71="Yes",A53&gt;=Assumptions!$H$72,A53&lt;=Assumptions!$H$73),0,IF(ET53&gt;0,MAX(BH53*(1+VLOOKUP($C53,WeatherCapacityAdjustment,2))-FP53,0),0))</f>
        <v>0</v>
      </c>
      <c r="FY53" s="530">
        <f>IF(AND(Assumptions!$H$71="Yes",A53&gt;=Assumptions!$H$72,A53&lt;=Assumptions!$H$73),0,IF(EU53&gt;0,MAX(BI53*(1+VLOOKUP($C53,WeatherCapacityAdjustment,3))-FQ53,0),0))</f>
        <v>0</v>
      </c>
      <c r="FZ53" s="530">
        <f>IF(AND(Assumptions!$H$71="Yes",A53&gt;=Assumptions!$H$72,A53&lt;=Assumptions!$H$73),0,IF(EV53&gt;0,MAX(BJ53*(1+VLOOKUP($C53,WeatherCapacityAdjustment,2))-FR53,0),0))</f>
        <v>0</v>
      </c>
      <c r="GA53" s="622">
        <f>IF(AND(Assumptions!$H$71="Yes",A53&gt;=Assumptions!$H$72,A53&lt;=Assumptions!$H$73),0,IF(EW53&gt;0,MAX(BK53*(1+VLOOKUP($C53,WeatherCapacityAdjustment,2))-FS53,0),0))</f>
        <v>0</v>
      </c>
      <c r="GB53" s="530">
        <f t="shared" si="65"/>
        <v>0</v>
      </c>
      <c r="GC53" s="545">
        <f t="shared" si="66"/>
        <v>0</v>
      </c>
      <c r="GD53" s="530">
        <f t="shared" si="67"/>
        <v>0</v>
      </c>
      <c r="GE53" s="1485">
        <f t="shared" si="151"/>
        <v>0</v>
      </c>
      <c r="GF53" s="1776">
        <f t="shared" si="187"/>
        <v>0</v>
      </c>
      <c r="GG53" s="545">
        <f t="shared" si="190"/>
        <v>0</v>
      </c>
      <c r="GH53" s="622">
        <f t="shared" si="191"/>
        <v>0</v>
      </c>
      <c r="GI53" s="621">
        <f t="shared" si="152"/>
        <v>0</v>
      </c>
      <c r="GJ53" s="638">
        <f t="shared" si="68"/>
        <v>0</v>
      </c>
      <c r="GK53" s="625">
        <f t="shared" si="166"/>
        <v>0</v>
      </c>
      <c r="GL53" s="640">
        <f t="shared" si="171"/>
        <v>0</v>
      </c>
      <c r="GM53" s="530">
        <f t="shared" si="172"/>
        <v>0</v>
      </c>
      <c r="GN53" s="530">
        <f t="shared" si="173"/>
        <v>0</v>
      </c>
      <c r="GO53" s="622">
        <f t="shared" si="174"/>
        <v>0</v>
      </c>
      <c r="GP53" s="530">
        <f t="shared" si="73"/>
        <v>0</v>
      </c>
      <c r="GQ53" s="545">
        <f t="shared" si="74"/>
        <v>0</v>
      </c>
      <c r="GR53" s="625">
        <f t="shared" si="75"/>
        <v>0</v>
      </c>
      <c r="GS53" s="640">
        <f>IF($A53&gt;=BegDate,Assumptions!$C$56*24*($A54-$A53)*(1-VLOOKUP($B53,MAIN!$AA$7:$AM$28,$C53+1))*(1-VLOOKUP($B53,MAIN!$AA$33:$AM$54,$C53+1)),0)*80/168</f>
        <v>0</v>
      </c>
      <c r="GT53" s="1715">
        <f t="shared" si="153"/>
        <v>29.584144382399998</v>
      </c>
      <c r="GU53" s="1715">
        <f>IF($A53&gt;=BegDate,VLOOKUP($A53,GasTable,13)+Assumptions!$C$58,0)</f>
        <v>0</v>
      </c>
      <c r="GV53" s="1715">
        <f>GU53*Assumptions!$C$57/1000</f>
        <v>0</v>
      </c>
      <c r="GW53" s="625">
        <f>IF(Assumptions!$C$60="Hourly",MAX(0,GS53*(GT53-GV53)),GS53*(GT53-GV53))</f>
        <v>0</v>
      </c>
      <c r="GX53" s="640">
        <f>IF($A53&gt;=BegDate,Assumptions!$C$56*24*($A54-$A53)*(1-VLOOKUP($B53,MAIN!$AA$7:$AM$28,$C53+1))*(1-VLOOKUP($B53,MAIN!$AA$33:$AM$54,$C53+1)),0)*16/168</f>
        <v>0</v>
      </c>
      <c r="GY53" s="1715">
        <f t="shared" si="154"/>
        <v>29.584144382399998</v>
      </c>
      <c r="GZ53" s="1715">
        <f>IF($A53&gt;=BegDate,VLOOKUP($A53,GasTable,13)+Assumptions!$C$58,0)</f>
        <v>0</v>
      </c>
      <c r="HA53" s="1715">
        <f>GZ53*Assumptions!$C$57/1000</f>
        <v>0</v>
      </c>
      <c r="HB53" s="625">
        <f>IF(Assumptions!$C$60="Hourly",MAX(0,GX53*(GY53-HA53)),GX53*(GY53-HA53))</f>
        <v>0</v>
      </c>
      <c r="HC53" s="640">
        <f>IF($A53&gt;=BegDate,Assumptions!$C$56*24*($A54-$A53)*(1-VLOOKUP($B53,MAIN!$AA$7:$AM$28,$C53+1))*(1-VLOOKUP($B53,MAIN!$AA$33:$AM$54,$C53+1)),0)*16/168</f>
        <v>0</v>
      </c>
      <c r="HD53" s="1715">
        <f t="shared" si="155"/>
        <v>16.227992735999997</v>
      </c>
      <c r="HE53" s="1715">
        <f>IF($A53&gt;=BegDate,VLOOKUP($A53,GasTable,13)+Assumptions!$C$58,0)</f>
        <v>0</v>
      </c>
      <c r="HF53" s="1715">
        <f>HE53*Assumptions!$C$57/1000</f>
        <v>0</v>
      </c>
      <c r="HG53" s="625">
        <f>IF(Assumptions!$C$60="Hourly",MAX(0,HC53*(HD53-HF53)),HC53*(HD53-HF53))</f>
        <v>0</v>
      </c>
      <c r="HH53" s="640">
        <f>IF($A53&gt;=BegDate,Assumptions!$C$56*24*($A54-$A53)*(1-VLOOKUP($B53,MAIN!$AA$7:$AM$28,$C53+1))*(1-VLOOKUP($B53,MAIN!$AA$33:$AM$54,$C53+1)),0)*56/168</f>
        <v>0</v>
      </c>
      <c r="HI53" s="1715">
        <f t="shared" si="156"/>
        <v>16.227992735999997</v>
      </c>
      <c r="HJ53" s="1715">
        <f>IF($A53&gt;=BegDate,VLOOKUP($A53,GasTable,13)+Assumptions!$C$58,0)</f>
        <v>0</v>
      </c>
      <c r="HK53" s="1715">
        <f>HJ53*Assumptions!$C$57/1000</f>
        <v>0</v>
      </c>
      <c r="HL53" s="625">
        <f>IF(Assumptions!$C$60="Hourly",MAX(0,HH53*(HI53-HK53)),HH53*(HI53-HK53))</f>
        <v>0</v>
      </c>
      <c r="HM53" s="640">
        <f>IF(AND(Assumptions!$H$71="Yes",A53&gt;=Assumptions!$H$72,A53&lt;=Assumptions!$H$73),Assumptions!$H$74*Assumptions!$C$9*1000,0)</f>
        <v>0</v>
      </c>
      <c r="HN53" s="530"/>
      <c r="HO53" s="545"/>
      <c r="HP53" s="545"/>
      <c r="HQ53" s="545"/>
      <c r="HR53" s="545"/>
      <c r="HS53" s="545"/>
      <c r="HT53" s="545"/>
      <c r="HU53" s="545"/>
      <c r="HV53" s="545"/>
      <c r="HW53" s="545"/>
      <c r="HX53" s="545"/>
      <c r="HY53" s="545"/>
      <c r="HZ53" s="545"/>
      <c r="IA53" s="545"/>
      <c r="IB53" s="545"/>
      <c r="IC53" s="545"/>
      <c r="ID53" s="545"/>
      <c r="IE53" s="545"/>
      <c r="IF53" s="545"/>
      <c r="IG53" s="545"/>
      <c r="IH53" s="545"/>
      <c r="II53" s="1464"/>
      <c r="IJ53" s="1463"/>
      <c r="IK53" s="1463"/>
    </row>
    <row r="54" spans="1:245">
      <c r="A54" s="177">
        <f t="shared" si="87"/>
        <v>37773</v>
      </c>
      <c r="B54" s="349">
        <f t="shared" si="88"/>
        <v>2003</v>
      </c>
      <c r="C54" s="15">
        <f t="shared" si="89"/>
        <v>6</v>
      </c>
      <c r="D54" s="612" t="str">
        <f t="shared" si="90"/>
        <v/>
      </c>
      <c r="E54" s="609" t="str">
        <f t="shared" si="91"/>
        <v/>
      </c>
      <c r="F54" s="614" t="str">
        <f t="shared" si="2"/>
        <v/>
      </c>
      <c r="G54" s="1349">
        <v>0</v>
      </c>
      <c r="H54" s="152">
        <f t="shared" si="165"/>
        <v>1</v>
      </c>
      <c r="I54" s="154">
        <f>IF(Assumptions!$L$25=4,VLOOKUP($A54,'Henwood Reference'!$E$9:$R$320,10),(VLOOKUP($A54,PriceTable,2,0)+IF(BasisNumber&lt;&gt;1,VLOOKUP($A54,BasisTable,2,0),0)+I$1)/(1-I$2))</f>
        <v>28.162125662399998</v>
      </c>
      <c r="J54" s="154">
        <f>IF(Assumptions!$L$25=4,VLOOKUP($A54,'Henwood Reference'!$E$9:$R$320,10),(VLOOKUP($A54,PriceTable,3,0)+IF(BasisNumber&lt;&gt;1,VLOOKUP($A54,BasisTable,2,0),0)+J$1)/(1-J$2))</f>
        <v>28.162125662399998</v>
      </c>
      <c r="K54" s="154">
        <f>IF(Assumptions!$L$25=4,VLOOKUP($A54,'Henwood Reference'!$E$9:$R$320,10),(VLOOKUP($A54,PriceTable,4,0)+IF(BasisNumber&lt;&gt;1,VLOOKUP($A54,BasisTable,2,0),0)+K$1)/(1-K$2))</f>
        <v>28.162125662399998</v>
      </c>
      <c r="L54" s="474">
        <f>IF(Assumptions!$L$25=4,VLOOKUP($A54,'Henwood Reference'!$E$9:$R$320,10),(VLOOKUP($A54,PriceTableWeekend,2,0)+IF(BasisNumber&lt;&gt;1,VLOOKUP($A54,BasisTable,2,0),0)+L$1)/(1-L$2))</f>
        <v>28.162125662399998</v>
      </c>
      <c r="M54" s="154">
        <f>IF(Assumptions!$L$25=4,VLOOKUP($A54,'Henwood Reference'!$E$9:$R$320,10),(VLOOKUP($A54,PriceTableWeekend,3,0)+IF(BasisNumber&lt;&gt;1,VLOOKUP($A54,BasisTable,2,0),0)+M$1)/(1-M$2))</f>
        <v>28.162125662399998</v>
      </c>
      <c r="N54" s="156">
        <f>IF(Assumptions!$L$25=4,VLOOKUP($A54,'Henwood Reference'!$E$9:$R$320,10),(VLOOKUP($A54,PriceTableWeekend,4,0)+IF(BasisNumber&lt;&gt;1,VLOOKUP($A54,BasisTable,2,0),0)+N$1)/(1-N$2))</f>
        <v>28.162125662399998</v>
      </c>
      <c r="O54" s="154">
        <f>IF(Assumptions!$L$25=4,VLOOKUP($A54,'Henwood Reference'!$E$9:$R$320,11),(VLOOKUP($A54,PriceTableWeekend,6,0)+IF(BasisNumber&lt;&gt;1,VLOOKUP($A54,BasisTable,3,0),0)+O$1)/(1-O$2))</f>
        <v>13.808969099999999</v>
      </c>
      <c r="P54" s="154">
        <f>IF(Assumptions!$L$25=4,VLOOKUP($A54,'Henwood Reference'!$E$9:$R$320,11),(VLOOKUP($A54,PriceTableWeekend,7,0)+IF(BasisNumber&lt;&gt;1,VLOOKUP($A54,BasisTable,3,0),0)+P$1)/(1-P$2))</f>
        <v>13.808969099999999</v>
      </c>
      <c r="Q54" s="156">
        <f>IF(Assumptions!$L$25=4,VLOOKUP($A54,'Henwood Reference'!$E$9:$R$320,11),(VLOOKUP($A54,PriceTableWeekend,8,0)+IF(BasisNumber&lt;&gt;1,VLOOKUP($A54,BasisTable,3,0),0)+Q$1)/(1-Q$2))</f>
        <v>13.808969099999999</v>
      </c>
      <c r="R54" s="154">
        <f>IF(Assumptions!$L$25=4,VLOOKUP($A54,'Henwood Reference'!$E$9:$R$320,11),(VLOOKUP($A54,PriceTable,6,0)+IF(BasisNumber&lt;&gt;1,VLOOKUP($A54,BasisTable,3,0),0)+R$1)/(1-R$2))</f>
        <v>13.808969099999999</v>
      </c>
      <c r="S54" s="154">
        <f>IF(Assumptions!$L$25=4,VLOOKUP($A54,'Henwood Reference'!$E$9:$R$320,11),(VLOOKUP($A54,PriceTable,7,0)+IF(BasisNumber&lt;&gt;1,VLOOKUP($A54,BasisTable,3,0),0)+S$1)/(1-S$2))</f>
        <v>13.808969099999999</v>
      </c>
      <c r="T54" s="155">
        <f>IF(Assumptions!$L$25=4,VLOOKUP($A54,'Henwood Reference'!$E$9:$R$320,11),(VLOOKUP($A54,PriceTable,8,0)+IF(BasisNumber&lt;&gt;1,VLOOKUP($A54,BasisTable,3,0),0)+T$1)/(1-T$2))</f>
        <v>13.808969099999999</v>
      </c>
      <c r="U54" s="173">
        <f t="shared" si="92"/>
        <v>0.155</v>
      </c>
      <c r="V54" s="173">
        <f t="shared" si="93"/>
        <v>0.16500000000000001</v>
      </c>
      <c r="W54" s="174">
        <f t="shared" si="94"/>
        <v>0.17499999999999999</v>
      </c>
      <c r="X54" s="173">
        <f t="shared" si="95"/>
        <v>0.155</v>
      </c>
      <c r="Y54" s="173">
        <f t="shared" si="96"/>
        <v>0.16500000000000001</v>
      </c>
      <c r="Z54" s="174">
        <f t="shared" si="97"/>
        <v>0.17499999999999999</v>
      </c>
      <c r="AA54" s="173">
        <f t="shared" si="98"/>
        <v>0.09</v>
      </c>
      <c r="AB54" s="173">
        <f t="shared" si="99"/>
        <v>0.11</v>
      </c>
      <c r="AC54" s="174">
        <f t="shared" si="100"/>
        <v>0.13</v>
      </c>
      <c r="AD54" s="173">
        <f t="shared" si="101"/>
        <v>0.09</v>
      </c>
      <c r="AE54" s="173">
        <f t="shared" si="102"/>
        <v>0.11</v>
      </c>
      <c r="AF54" s="174">
        <f t="shared" si="103"/>
        <v>0.13</v>
      </c>
      <c r="AG54" s="173">
        <f t="shared" si="104"/>
        <v>-0.35</v>
      </c>
      <c r="AH54" s="173">
        <f t="shared" si="105"/>
        <v>0.65</v>
      </c>
      <c r="AI54" s="174">
        <f t="shared" si="106"/>
        <v>0.2</v>
      </c>
      <c r="AJ54" s="173">
        <f t="shared" si="107"/>
        <v>-0.35</v>
      </c>
      <c r="AK54" s="173">
        <f t="shared" si="108"/>
        <v>0.65</v>
      </c>
      <c r="AL54" s="174">
        <f t="shared" si="109"/>
        <v>0.2</v>
      </c>
      <c r="AM54" s="173">
        <f t="shared" si="110"/>
        <v>-0.01</v>
      </c>
      <c r="AN54" s="173">
        <f t="shared" si="111"/>
        <v>0.16</v>
      </c>
      <c r="AO54" s="174">
        <f t="shared" si="112"/>
        <v>0.01</v>
      </c>
      <c r="AP54" s="173">
        <f t="shared" si="113"/>
        <v>-0.01</v>
      </c>
      <c r="AQ54" s="173">
        <f t="shared" si="114"/>
        <v>0.16</v>
      </c>
      <c r="AR54" s="175">
        <f t="shared" si="115"/>
        <v>0.01</v>
      </c>
      <c r="AS54" s="521">
        <f t="shared" si="188"/>
        <v>0.5</v>
      </c>
      <c r="AT54" s="349">
        <f t="shared" si="117"/>
        <v>0</v>
      </c>
      <c r="AU54" s="159">
        <f t="shared" si="3"/>
        <v>0</v>
      </c>
      <c r="AV54" s="159">
        <f t="shared" si="4"/>
        <v>0</v>
      </c>
      <c r="AW54" s="159">
        <f t="shared" si="189"/>
        <v>0</v>
      </c>
      <c r="AX54" s="15">
        <f t="shared" si="119"/>
        <v>0</v>
      </c>
      <c r="AY54" s="607">
        <f>IF(E54="",0,MIN((1-(1-VLOOKUP(B54,MAIN!$AA$7:$AM$28,C54+1))*(1-VLOOKUP(B54,MAIN!$AA$33:$AM$54,C54+1))),1))</f>
        <v>0</v>
      </c>
      <c r="AZ54" s="337">
        <v>0</v>
      </c>
      <c r="BA54" s="509">
        <v>0</v>
      </c>
      <c r="BB54" s="509">
        <v>0</v>
      </c>
      <c r="BC54" s="511">
        <v>0</v>
      </c>
      <c r="BD54" s="153">
        <v>0</v>
      </c>
      <c r="BE54" s="474">
        <v>0</v>
      </c>
      <c r="BF54" s="474">
        <v>0</v>
      </c>
      <c r="BG54" s="515">
        <v>0</v>
      </c>
      <c r="BH54" s="262">
        <v>0</v>
      </c>
      <c r="BI54" s="509">
        <v>0</v>
      </c>
      <c r="BJ54" s="509">
        <v>0</v>
      </c>
      <c r="BK54" s="511">
        <v>0</v>
      </c>
      <c r="BL54" s="153">
        <v>0</v>
      </c>
      <c r="BM54" s="474">
        <v>0</v>
      </c>
      <c r="BN54" s="474">
        <v>0</v>
      </c>
      <c r="BO54" s="474">
        <v>0</v>
      </c>
      <c r="BP54" s="261">
        <f t="shared" si="120"/>
        <v>0</v>
      </c>
      <c r="BQ54" s="578">
        <f t="shared" si="121"/>
        <v>0</v>
      </c>
      <c r="BR54" s="259">
        <f t="shared" si="122"/>
        <v>0</v>
      </c>
      <c r="BS54" s="578">
        <f t="shared" si="123"/>
        <v>0</v>
      </c>
      <c r="BT54" s="216">
        <f t="shared" si="124"/>
        <v>3.1293634496919918</v>
      </c>
      <c r="BU54" s="218">
        <f t="shared" si="5"/>
        <v>0</v>
      </c>
      <c r="BV54" s="216">
        <f t="shared" si="6"/>
        <v>0</v>
      </c>
      <c r="BW54" s="216">
        <f t="shared" si="7"/>
        <v>0</v>
      </c>
      <c r="BX54" s="216">
        <f t="shared" si="125"/>
        <v>0</v>
      </c>
      <c r="BY54" s="216">
        <f t="shared" si="8"/>
        <v>0</v>
      </c>
      <c r="BZ54" s="216">
        <f t="shared" si="9"/>
        <v>0</v>
      </c>
      <c r="CA54" s="264">
        <f t="shared" si="10"/>
        <v>0</v>
      </c>
      <c r="CB54" s="216">
        <f t="shared" si="11"/>
        <v>0</v>
      </c>
      <c r="CC54" s="216">
        <f t="shared" si="12"/>
        <v>0</v>
      </c>
      <c r="CD54" s="216">
        <f t="shared" si="126"/>
        <v>0</v>
      </c>
      <c r="CE54" s="216">
        <f t="shared" si="13"/>
        <v>0</v>
      </c>
      <c r="CF54" s="571">
        <f t="shared" si="14"/>
        <v>0</v>
      </c>
      <c r="CG54" s="573" t="str">
        <f t="shared" si="15"/>
        <v/>
      </c>
      <c r="CH54" s="219" t="str">
        <f t="shared" si="16"/>
        <v/>
      </c>
      <c r="CI54" s="219" t="str">
        <f t="shared" si="17"/>
        <v/>
      </c>
      <c r="CJ54" s="219" t="str">
        <f t="shared" si="18"/>
        <v/>
      </c>
      <c r="CK54" s="219" t="str">
        <f t="shared" si="19"/>
        <v/>
      </c>
      <c r="CL54" s="219" t="str">
        <f t="shared" si="20"/>
        <v/>
      </c>
      <c r="CM54" s="219" t="str">
        <f t="shared" si="21"/>
        <v/>
      </c>
      <c r="CN54" s="569" t="str">
        <f t="shared" si="22"/>
        <v/>
      </c>
      <c r="CO54" s="264">
        <f t="shared" si="175"/>
        <v>0</v>
      </c>
      <c r="CP54" s="216">
        <f t="shared" si="127"/>
        <v>0</v>
      </c>
      <c r="CQ54" s="216">
        <f t="shared" si="128"/>
        <v>0</v>
      </c>
      <c r="CR54" s="216">
        <f t="shared" si="129"/>
        <v>0</v>
      </c>
      <c r="CS54" s="1626">
        <f t="shared" si="130"/>
        <v>0</v>
      </c>
      <c r="CT54" s="216">
        <f t="shared" si="131"/>
        <v>0</v>
      </c>
      <c r="CU54" s="575" t="str">
        <f t="shared" si="23"/>
        <v/>
      </c>
      <c r="CV54" s="154" t="str">
        <f t="shared" si="24"/>
        <v/>
      </c>
      <c r="CW54" s="216">
        <f>IF(OR($BQ54,$BS54),SpreadOptPowerMargin,0)*((1+Assumptions!$C$26)^($B54-YEAR(Assumptions!$C$17)))</f>
        <v>0</v>
      </c>
      <c r="CX54" s="216">
        <f>IF(OR($BQ54,$BS54),SpreadOptPowerMargin,0)*((1+Assumptions!$C$26)^($B54-YEAR(Assumptions!$C$17)))</f>
        <v>0</v>
      </c>
      <c r="CY54" s="216">
        <f>IF(OR($BQ54,$BS54),SpreadOptPowerMargin,0)*((1+Assumptions!$C$26)^($B54-YEAR(Assumptions!$C$17)))</f>
        <v>0</v>
      </c>
      <c r="CZ54" s="216">
        <f>IF(OR($BQ54,$BS54),SpreadOptPowerMargin,0)*((1+Assumptions!$C$26)^($B54-YEAR(Assumptions!$C$17)))</f>
        <v>0</v>
      </c>
      <c r="DA54" s="440">
        <f t="shared" si="25"/>
        <v>0</v>
      </c>
      <c r="DB54" s="479" t="str">
        <f t="shared" si="26"/>
        <v/>
      </c>
      <c r="DC54" s="479" t="str">
        <f t="shared" si="27"/>
        <v/>
      </c>
      <c r="DD54" s="479" t="str">
        <f t="shared" si="28"/>
        <v/>
      </c>
      <c r="DE54" s="479" t="str">
        <f t="shared" si="29"/>
        <v/>
      </c>
      <c r="DF54" s="479" t="str">
        <f t="shared" si="30"/>
        <v/>
      </c>
      <c r="DG54" s="574" t="str">
        <f t="shared" si="31"/>
        <v/>
      </c>
      <c r="DH54" s="216">
        <f t="shared" si="32"/>
        <v>0</v>
      </c>
      <c r="DI54" s="216">
        <f t="shared" si="33"/>
        <v>0</v>
      </c>
      <c r="DJ54" s="216">
        <f t="shared" si="34"/>
        <v>0</v>
      </c>
      <c r="DK54" s="216">
        <f t="shared" si="35"/>
        <v>0</v>
      </c>
      <c r="DL54" s="216">
        <f t="shared" si="36"/>
        <v>0</v>
      </c>
      <c r="DM54" s="216"/>
      <c r="DN54" s="216"/>
      <c r="DO54" s="216"/>
      <c r="DP54" s="216"/>
      <c r="DQ54" s="216"/>
      <c r="DR54" s="216"/>
      <c r="DS54" s="216"/>
      <c r="DT54" s="216"/>
      <c r="DU54" s="216"/>
      <c r="DV54" s="216"/>
      <c r="DW54" s="1371">
        <f t="shared" si="37"/>
        <v>0</v>
      </c>
      <c r="DX54" s="216">
        <f t="shared" si="38"/>
        <v>0</v>
      </c>
      <c r="DY54" s="440">
        <f t="shared" si="39"/>
        <v>0</v>
      </c>
      <c r="DZ54" s="180">
        <f t="shared" si="40"/>
        <v>0</v>
      </c>
      <c r="EA54" s="180">
        <f t="shared" si="41"/>
        <v>0</v>
      </c>
      <c r="EB54" s="180">
        <f t="shared" si="42"/>
        <v>0</v>
      </c>
      <c r="EC54" s="180">
        <f t="shared" si="43"/>
        <v>0</v>
      </c>
      <c r="ED54" s="180">
        <f t="shared" si="44"/>
        <v>0</v>
      </c>
      <c r="EE54" s="581">
        <f t="shared" si="45"/>
        <v>0</v>
      </c>
      <c r="EF54" s="554">
        <f t="shared" si="46"/>
        <v>0</v>
      </c>
      <c r="EG54" s="554">
        <f t="shared" si="47"/>
        <v>0</v>
      </c>
      <c r="EH54" s="554">
        <f t="shared" si="48"/>
        <v>0</v>
      </c>
      <c r="EI54" s="561">
        <f t="shared" si="49"/>
        <v>0</v>
      </c>
      <c r="EJ54" s="581">
        <f t="shared" si="132"/>
        <v>0</v>
      </c>
      <c r="EK54" s="554">
        <f t="shared" si="133"/>
        <v>0</v>
      </c>
      <c r="EL54" s="554">
        <f t="shared" si="134"/>
        <v>0</v>
      </c>
      <c r="EM54" s="554">
        <f t="shared" si="135"/>
        <v>0</v>
      </c>
      <c r="EN54" s="561">
        <f t="shared" si="136"/>
        <v>0</v>
      </c>
      <c r="EO54" s="180">
        <f t="shared" si="50"/>
        <v>0</v>
      </c>
      <c r="EP54" s="180">
        <f t="shared" si="51"/>
        <v>0</v>
      </c>
      <c r="EQ54" s="180">
        <f t="shared" si="52"/>
        <v>0</v>
      </c>
      <c r="ER54" s="180">
        <f t="shared" si="53"/>
        <v>0</v>
      </c>
      <c r="ES54" s="180">
        <f t="shared" si="54"/>
        <v>0</v>
      </c>
      <c r="ET54" s="1482">
        <f>IF(EI54,IF(OCallPut,IF(CA54&gt;(CT54+CW54),CA54-(CT54+CW54),0),IF((CT54+CW54)&gt;CA54,(CT54+CW54)-CA54,0))*BH54,0)</f>
        <v>0</v>
      </c>
      <c r="EU54" s="180">
        <f>IF(EI54,IF(OCallPut,IF(CB54&gt;(CT54+CX54),CB54-(CT54+CX54),0),IF((CT54+CX54)&gt;CB54,(CT54+CX54)-CB54,0))*BI54,0)</f>
        <v>0</v>
      </c>
      <c r="EV54" s="180">
        <f>IF(EI54,IF(OCallPut,IF(CC54&gt;(CT54+CY54),CC54-(CT54+CY54),0),IF((CT54+CY54)&gt;CC54,(CT54+CY54)-CC54,0))*BJ54,0)</f>
        <v>0</v>
      </c>
      <c r="EW54" s="180">
        <f>IF(EI54,IF(OCallPut,IF(CD54&gt;(CT54+CZ54),CD54-(CT54+CZ54),0),IF((CT54+CZ54)&gt;CD54,(CT54+CZ54)-CD54,0))*BK54,0)</f>
        <v>0</v>
      </c>
      <c r="EX54" s="555">
        <f t="shared" si="182"/>
        <v>0</v>
      </c>
      <c r="EY54" s="180">
        <f t="shared" si="137"/>
        <v>0</v>
      </c>
      <c r="EZ54" s="180">
        <f t="shared" si="138"/>
        <v>0</v>
      </c>
      <c r="FA54" s="180">
        <f t="shared" si="139"/>
        <v>0</v>
      </c>
      <c r="FB54" s="180">
        <f t="shared" si="140"/>
        <v>0</v>
      </c>
      <c r="FC54" s="180">
        <f t="shared" si="141"/>
        <v>0</v>
      </c>
      <c r="FD54" s="262">
        <f>IF(AX54,IF(VLOOKUP(C54,MAIN!$L$17:$M$28,2)="Yes",VLOOKUP(CALC!B54,MAIN!$H$17:$I$20,2),0),0)</f>
        <v>0</v>
      </c>
      <c r="FE54" s="623">
        <f t="shared" si="60"/>
        <v>0</v>
      </c>
      <c r="FF54" s="535">
        <f t="shared" si="61"/>
        <v>0</v>
      </c>
      <c r="FG54" s="535">
        <f t="shared" si="62"/>
        <v>0</v>
      </c>
      <c r="FH54" s="624">
        <f t="shared" si="63"/>
        <v>0</v>
      </c>
      <c r="FI54" s="632">
        <f>IF(AX54,VLOOKUP(CALC!B54,MAIN!$H$17:$K$20,4),0)</f>
        <v>0</v>
      </c>
      <c r="FJ54" s="535">
        <f t="shared" si="64"/>
        <v>0</v>
      </c>
      <c r="FK54" s="648">
        <f t="shared" si="142"/>
        <v>0</v>
      </c>
      <c r="FL54" s="530">
        <f t="shared" si="183"/>
        <v>0</v>
      </c>
      <c r="FM54" s="530">
        <f t="shared" si="183"/>
        <v>0</v>
      </c>
      <c r="FN54" s="530">
        <f t="shared" si="183"/>
        <v>0</v>
      </c>
      <c r="FO54" s="622">
        <f t="shared" si="184"/>
        <v>0</v>
      </c>
      <c r="FP54" s="530">
        <f t="shared" si="185"/>
        <v>0</v>
      </c>
      <c r="FQ54" s="530">
        <f t="shared" si="185"/>
        <v>0</v>
      </c>
      <c r="FR54" s="530">
        <f t="shared" si="185"/>
        <v>0</v>
      </c>
      <c r="FS54" s="625">
        <f t="shared" si="186"/>
        <v>0</v>
      </c>
      <c r="FT54" s="640">
        <f>IF(AND(Assumptions!$H$71="Yes",A54&gt;=Assumptions!$H$72,A54&lt;=Assumptions!$H$73),0,IF(AND($A54&gt;=Assumptions!$C$17,$A54&lt;=Assumptions!$C$18),MAX(AZ54*(1+VLOOKUP($C54,WeatherCapacityAdjustment,2))-FL54,0),0))</f>
        <v>0</v>
      </c>
      <c r="FU54" s="530">
        <f>IF(AND(Assumptions!$H$71="Yes",A54&gt;=Assumptions!$H$72,A54&lt;=Assumptions!$H$73),0,IF(AND($A54&gt;=Assumptions!$C$17,$A54&lt;=Assumptions!$C$18),MAX(BA54*(1+VLOOKUP($C54,WeatherCapacityAdjustment,2))-FM54,0),0))</f>
        <v>0</v>
      </c>
      <c r="FV54" s="530">
        <f>IF(AND(Assumptions!$H$71="Yes",A54&gt;=Assumptions!$H$72,A54&lt;=Assumptions!$H$73),0,IF(AND($A54&gt;=Assumptions!$C$17,$A54&lt;=Assumptions!$C$18),MAX(BB54*(1+VLOOKUP($C54,WeatherCapacityAdjustment,2))-FN54,0),0))</f>
        <v>0</v>
      </c>
      <c r="FW54" s="622">
        <f>IF(AND(Assumptions!$H$71="Yes",A54&gt;=Assumptions!$H$72,A54&lt;=Assumptions!$H$73),0,IF(AND($A54&gt;=Assumptions!$C$17,$A54&lt;=Assumptions!$C$18),MAX(BC54*(1+VLOOKUP($C54,WeatherCapacityAdjustment,3))-FO54,0),0))</f>
        <v>0</v>
      </c>
      <c r="FX54" s="621">
        <f>IF(AND(Assumptions!$H$71="Yes",A54&gt;=Assumptions!$H$72,A54&lt;=Assumptions!$H$73),0,IF(ET54&gt;0,MAX(BH54*(1+VLOOKUP($C54,WeatherCapacityAdjustment,2))-FP54,0),0))</f>
        <v>0</v>
      </c>
      <c r="FY54" s="530">
        <f>IF(AND(Assumptions!$H$71="Yes",A54&gt;=Assumptions!$H$72,A54&lt;=Assumptions!$H$73),0,IF(EU54&gt;0,MAX(BI54*(1+VLOOKUP($C54,WeatherCapacityAdjustment,3))-FQ54,0),0))</f>
        <v>0</v>
      </c>
      <c r="FZ54" s="530">
        <f>IF(AND(Assumptions!$H$71="Yes",A54&gt;=Assumptions!$H$72,A54&lt;=Assumptions!$H$73),0,IF(EV54&gt;0,MAX(BJ54*(1+VLOOKUP($C54,WeatherCapacityAdjustment,2))-FR54,0),0))</f>
        <v>0</v>
      </c>
      <c r="GA54" s="622">
        <f>IF(AND(Assumptions!$H$71="Yes",A54&gt;=Assumptions!$H$72,A54&lt;=Assumptions!$H$73),0,IF(EW54&gt;0,MAX(BK54*(1+VLOOKUP($C54,WeatherCapacityAdjustment,2))-FS54,0),0))</f>
        <v>0</v>
      </c>
      <c r="GB54" s="530">
        <f t="shared" si="65"/>
        <v>0</v>
      </c>
      <c r="GC54" s="545">
        <f t="shared" si="66"/>
        <v>0</v>
      </c>
      <c r="GD54" s="530">
        <f t="shared" si="67"/>
        <v>0</v>
      </c>
      <c r="GE54" s="1485">
        <f t="shared" si="151"/>
        <v>0</v>
      </c>
      <c r="GF54" s="1776">
        <f t="shared" si="187"/>
        <v>0</v>
      </c>
      <c r="GG54" s="545">
        <f t="shared" si="190"/>
        <v>0</v>
      </c>
      <c r="GH54" s="622">
        <f t="shared" si="191"/>
        <v>0</v>
      </c>
      <c r="GI54" s="621">
        <f t="shared" si="152"/>
        <v>0</v>
      </c>
      <c r="GJ54" s="638">
        <f t="shared" si="68"/>
        <v>0</v>
      </c>
      <c r="GK54" s="625">
        <f t="shared" si="166"/>
        <v>0</v>
      </c>
      <c r="GL54" s="640">
        <f t="shared" si="171"/>
        <v>0</v>
      </c>
      <c r="GM54" s="530">
        <f t="shared" si="172"/>
        <v>0</v>
      </c>
      <c r="GN54" s="530">
        <f t="shared" si="173"/>
        <v>0</v>
      </c>
      <c r="GO54" s="622">
        <f t="shared" si="174"/>
        <v>0</v>
      </c>
      <c r="GP54" s="530">
        <f t="shared" si="73"/>
        <v>0</v>
      </c>
      <c r="GQ54" s="545">
        <f t="shared" si="74"/>
        <v>0</v>
      </c>
      <c r="GR54" s="625">
        <f t="shared" si="75"/>
        <v>0</v>
      </c>
      <c r="GS54" s="640">
        <f>IF($A54&gt;=BegDate,Assumptions!$C$56*24*($A55-$A54)*(1-VLOOKUP($B54,MAIN!$AA$7:$AM$28,$C54+1))*(1-VLOOKUP($B54,MAIN!$AA$33:$AM$54,$C54+1)),0)*80/168</f>
        <v>0</v>
      </c>
      <c r="GT54" s="1715">
        <f t="shared" si="153"/>
        <v>28.162125662399998</v>
      </c>
      <c r="GU54" s="1715">
        <f>IF($A54&gt;=BegDate,VLOOKUP($A54,GasTable,13)+Assumptions!$C$58,0)</f>
        <v>0</v>
      </c>
      <c r="GV54" s="1715">
        <f>GU54*Assumptions!$C$57/1000</f>
        <v>0</v>
      </c>
      <c r="GW54" s="625">
        <f>IF(Assumptions!$C$60="Hourly",MAX(0,GS54*(GT54-GV54)),GS54*(GT54-GV54))</f>
        <v>0</v>
      </c>
      <c r="GX54" s="640">
        <f>IF($A54&gt;=BegDate,Assumptions!$C$56*24*($A55-$A54)*(1-VLOOKUP($B54,MAIN!$AA$7:$AM$28,$C54+1))*(1-VLOOKUP($B54,MAIN!$AA$33:$AM$54,$C54+1)),0)*16/168</f>
        <v>0</v>
      </c>
      <c r="GY54" s="1715">
        <f t="shared" si="154"/>
        <v>28.162125662399998</v>
      </c>
      <c r="GZ54" s="1715">
        <f>IF($A54&gt;=BegDate,VLOOKUP($A54,GasTable,13)+Assumptions!$C$58,0)</f>
        <v>0</v>
      </c>
      <c r="HA54" s="1715">
        <f>GZ54*Assumptions!$C$57/1000</f>
        <v>0</v>
      </c>
      <c r="HB54" s="625">
        <f>IF(Assumptions!$C$60="Hourly",MAX(0,GX54*(GY54-HA54)),GX54*(GY54-HA54))</f>
        <v>0</v>
      </c>
      <c r="HC54" s="640">
        <f>IF($A54&gt;=BegDate,Assumptions!$C$56*24*($A55-$A54)*(1-VLOOKUP($B54,MAIN!$AA$7:$AM$28,$C54+1))*(1-VLOOKUP($B54,MAIN!$AA$33:$AM$54,$C54+1)),0)*16/168</f>
        <v>0</v>
      </c>
      <c r="HD54" s="1715">
        <f t="shared" si="155"/>
        <v>13.808969099999999</v>
      </c>
      <c r="HE54" s="1715">
        <f>IF($A54&gt;=BegDate,VLOOKUP($A54,GasTable,13)+Assumptions!$C$58,0)</f>
        <v>0</v>
      </c>
      <c r="HF54" s="1715">
        <f>HE54*Assumptions!$C$57/1000</f>
        <v>0</v>
      </c>
      <c r="HG54" s="625">
        <f>IF(Assumptions!$C$60="Hourly",MAX(0,HC54*(HD54-HF54)),HC54*(HD54-HF54))</f>
        <v>0</v>
      </c>
      <c r="HH54" s="640">
        <f>IF($A54&gt;=BegDate,Assumptions!$C$56*24*($A55-$A54)*(1-VLOOKUP($B54,MAIN!$AA$7:$AM$28,$C54+1))*(1-VLOOKUP($B54,MAIN!$AA$33:$AM$54,$C54+1)),0)*56/168</f>
        <v>0</v>
      </c>
      <c r="HI54" s="1715">
        <f t="shared" si="156"/>
        <v>13.808969099999999</v>
      </c>
      <c r="HJ54" s="1715">
        <f>IF($A54&gt;=BegDate,VLOOKUP($A54,GasTable,13)+Assumptions!$C$58,0)</f>
        <v>0</v>
      </c>
      <c r="HK54" s="1715">
        <f>HJ54*Assumptions!$C$57/1000</f>
        <v>0</v>
      </c>
      <c r="HL54" s="625">
        <f>IF(Assumptions!$C$60="Hourly",MAX(0,HH54*(HI54-HK54)),HH54*(HI54-HK54))</f>
        <v>0</v>
      </c>
      <c r="HM54" s="640">
        <f>IF(AND(Assumptions!$H$71="Yes",A54&gt;=Assumptions!$H$72,A54&lt;=Assumptions!$H$73),Assumptions!$H$74*Assumptions!$C$9*1000,0)</f>
        <v>0</v>
      </c>
      <c r="HN54" s="530"/>
      <c r="HO54" s="545"/>
      <c r="HP54" s="545"/>
      <c r="HQ54" s="545"/>
      <c r="HR54" s="545"/>
      <c r="HS54" s="545"/>
      <c r="HT54" s="545"/>
      <c r="HU54" s="545"/>
      <c r="HV54" s="545"/>
      <c r="HW54" s="545"/>
      <c r="HX54" s="545"/>
      <c r="HY54" s="545"/>
      <c r="HZ54" s="545"/>
      <c r="IA54" s="545"/>
      <c r="IB54" s="545"/>
      <c r="IC54" s="545"/>
      <c r="ID54" s="545"/>
      <c r="IE54" s="545"/>
      <c r="IF54" s="545"/>
      <c r="IG54" s="545"/>
      <c r="IH54" s="545"/>
      <c r="II54" s="1464"/>
      <c r="IJ54" s="1463"/>
      <c r="IK54" s="1463"/>
    </row>
    <row r="55" spans="1:245">
      <c r="A55" s="177">
        <f t="shared" si="87"/>
        <v>37803</v>
      </c>
      <c r="B55" s="349">
        <f t="shared" si="88"/>
        <v>2003</v>
      </c>
      <c r="C55" s="15">
        <f t="shared" si="89"/>
        <v>7</v>
      </c>
      <c r="D55" s="612">
        <f t="shared" si="90"/>
        <v>37806</v>
      </c>
      <c r="E55" s="609">
        <f t="shared" si="91"/>
        <v>37803</v>
      </c>
      <c r="F55" s="614">
        <f t="shared" si="2"/>
        <v>37833</v>
      </c>
      <c r="G55" s="1349">
        <v>0</v>
      </c>
      <c r="H55" s="152">
        <f t="shared" si="165"/>
        <v>1</v>
      </c>
      <c r="I55" s="154">
        <f>IF(Assumptions!$L$25=4,VLOOKUP($A55,'Henwood Reference'!$E$9:$R$320,10),(VLOOKUP($A55,PriceTable,2,0)+IF(BasisNumber&lt;&gt;1,VLOOKUP($A55,BasisTable,2,0),0)+I$1)/(1-I$2))</f>
        <v>40.142633378399999</v>
      </c>
      <c r="J55" s="154">
        <f>IF(Assumptions!$L$25=4,VLOOKUP($A55,'Henwood Reference'!$E$9:$R$320,10),(VLOOKUP($A55,PriceTable,3,0)+IF(BasisNumber&lt;&gt;1,VLOOKUP($A55,BasisTable,2,0),0)+J$1)/(1-J$2))</f>
        <v>40.142633378399999</v>
      </c>
      <c r="K55" s="154">
        <f>IF(Assumptions!$L$25=4,VLOOKUP($A55,'Henwood Reference'!$E$9:$R$320,10),(VLOOKUP($A55,PriceTable,4,0)+IF(BasisNumber&lt;&gt;1,VLOOKUP($A55,BasisTable,2,0),0)+K$1)/(1-K$2))</f>
        <v>40.142633378399999</v>
      </c>
      <c r="L55" s="474">
        <f>IF(Assumptions!$L$25=4,VLOOKUP($A55,'Henwood Reference'!$E$9:$R$320,10),(VLOOKUP($A55,PriceTableWeekend,2,0)+IF(BasisNumber&lt;&gt;1,VLOOKUP($A55,BasisTable,2,0),0)+L$1)/(1-L$2))</f>
        <v>40.142633378399999</v>
      </c>
      <c r="M55" s="154">
        <f>IF(Assumptions!$L$25=4,VLOOKUP($A55,'Henwood Reference'!$E$9:$R$320,10),(VLOOKUP($A55,PriceTableWeekend,3,0)+IF(BasisNumber&lt;&gt;1,VLOOKUP($A55,BasisTable,2,0),0)+M$1)/(1-M$2))</f>
        <v>40.142633378399999</v>
      </c>
      <c r="N55" s="156">
        <f>IF(Assumptions!$L$25=4,VLOOKUP($A55,'Henwood Reference'!$E$9:$R$320,10),(VLOOKUP($A55,PriceTableWeekend,4,0)+IF(BasisNumber&lt;&gt;1,VLOOKUP($A55,BasisTable,2,0),0)+N$1)/(1-N$2))</f>
        <v>40.142633378399999</v>
      </c>
      <c r="O55" s="154">
        <f>IF(Assumptions!$L$25=4,VLOOKUP($A55,'Henwood Reference'!$E$9:$R$320,11),(VLOOKUP($A55,PriceTableWeekend,6,0)+IF(BasisNumber&lt;&gt;1,VLOOKUP($A55,BasisTable,3,0),0)+O$1)/(1-O$2))</f>
        <v>20.787685149599998</v>
      </c>
      <c r="P55" s="154">
        <f>IF(Assumptions!$L$25=4,VLOOKUP($A55,'Henwood Reference'!$E$9:$R$320,11),(VLOOKUP($A55,PriceTableWeekend,7,0)+IF(BasisNumber&lt;&gt;1,VLOOKUP($A55,BasisTable,3,0),0)+P$1)/(1-P$2))</f>
        <v>20.787685149599998</v>
      </c>
      <c r="Q55" s="156">
        <f>IF(Assumptions!$L$25=4,VLOOKUP($A55,'Henwood Reference'!$E$9:$R$320,11),(VLOOKUP($A55,PriceTableWeekend,8,0)+IF(BasisNumber&lt;&gt;1,VLOOKUP($A55,BasisTable,3,0),0)+Q$1)/(1-Q$2))</f>
        <v>20.787685149599998</v>
      </c>
      <c r="R55" s="154">
        <f>IF(Assumptions!$L$25=4,VLOOKUP($A55,'Henwood Reference'!$E$9:$R$320,11),(VLOOKUP($A55,PriceTable,6,0)+IF(BasisNumber&lt;&gt;1,VLOOKUP($A55,BasisTable,3,0),0)+R$1)/(1-R$2))</f>
        <v>20.787685149599998</v>
      </c>
      <c r="S55" s="154">
        <f>IF(Assumptions!$L$25=4,VLOOKUP($A55,'Henwood Reference'!$E$9:$R$320,11),(VLOOKUP($A55,PriceTable,7,0)+IF(BasisNumber&lt;&gt;1,VLOOKUP($A55,BasisTable,3,0),0)+S$1)/(1-S$2))</f>
        <v>20.787685149599998</v>
      </c>
      <c r="T55" s="155">
        <f>IF(Assumptions!$L$25=4,VLOOKUP($A55,'Henwood Reference'!$E$9:$R$320,11),(VLOOKUP($A55,PriceTable,8,0)+IF(BasisNumber&lt;&gt;1,VLOOKUP($A55,BasisTable,3,0),0)+T$1)/(1-T$2))</f>
        <v>20.787685149599998</v>
      </c>
      <c r="U55" s="173">
        <f t="shared" si="92"/>
        <v>0.155</v>
      </c>
      <c r="V55" s="173">
        <f t="shared" si="93"/>
        <v>0.16500000000000001</v>
      </c>
      <c r="W55" s="174">
        <f t="shared" si="94"/>
        <v>0.17499999999999999</v>
      </c>
      <c r="X55" s="173">
        <f t="shared" si="95"/>
        <v>0.155</v>
      </c>
      <c r="Y55" s="173">
        <f t="shared" si="96"/>
        <v>0.16500000000000001</v>
      </c>
      <c r="Z55" s="174">
        <f t="shared" si="97"/>
        <v>0.17499999999999999</v>
      </c>
      <c r="AA55" s="173">
        <f t="shared" si="98"/>
        <v>0.09</v>
      </c>
      <c r="AB55" s="173">
        <f t="shared" si="99"/>
        <v>0.11</v>
      </c>
      <c r="AC55" s="174">
        <f t="shared" si="100"/>
        <v>0.13</v>
      </c>
      <c r="AD55" s="173">
        <f t="shared" si="101"/>
        <v>0.09</v>
      </c>
      <c r="AE55" s="173">
        <f t="shared" si="102"/>
        <v>0.11</v>
      </c>
      <c r="AF55" s="174">
        <f t="shared" si="103"/>
        <v>0.13</v>
      </c>
      <c r="AG55" s="173">
        <f t="shared" si="104"/>
        <v>-0.35</v>
      </c>
      <c r="AH55" s="173">
        <f t="shared" si="105"/>
        <v>3</v>
      </c>
      <c r="AI55" s="174">
        <f t="shared" si="106"/>
        <v>0.35</v>
      </c>
      <c r="AJ55" s="173">
        <f t="shared" si="107"/>
        <v>-0.35</v>
      </c>
      <c r="AK55" s="173">
        <f t="shared" si="108"/>
        <v>3</v>
      </c>
      <c r="AL55" s="174">
        <f t="shared" si="109"/>
        <v>0.35</v>
      </c>
      <c r="AM55" s="173">
        <f t="shared" si="110"/>
        <v>-0.01</v>
      </c>
      <c r="AN55" s="173">
        <f t="shared" si="111"/>
        <v>0.16</v>
      </c>
      <c r="AO55" s="174">
        <f t="shared" si="112"/>
        <v>0.01</v>
      </c>
      <c r="AP55" s="173">
        <f t="shared" si="113"/>
        <v>-0.01</v>
      </c>
      <c r="AQ55" s="173">
        <f t="shared" si="114"/>
        <v>0.16</v>
      </c>
      <c r="AR55" s="175">
        <f t="shared" si="115"/>
        <v>0.01</v>
      </c>
      <c r="AS55" s="521">
        <f t="shared" si="188"/>
        <v>0.5</v>
      </c>
      <c r="AT55" s="349">
        <f t="shared" si="117"/>
        <v>22</v>
      </c>
      <c r="AU55" s="159">
        <f t="shared" si="3"/>
        <v>4</v>
      </c>
      <c r="AV55" s="159">
        <f t="shared" si="4"/>
        <v>4</v>
      </c>
      <c r="AW55" s="159">
        <f t="shared" si="189"/>
        <v>1</v>
      </c>
      <c r="AX55" s="15">
        <f t="shared" si="119"/>
        <v>31</v>
      </c>
      <c r="AY55" s="607">
        <f>IF(E55="",0,MIN((1-(1-VLOOKUP(B55,MAIN!$AA$7:$AM$28,C55+1))*(1-VLOOKUP(B55,MAIN!$AA$33:$AM$54,C55+1))),1))</f>
        <v>3.0000000000000027E-2</v>
      </c>
      <c r="AZ55" s="337">
        <v>51216</v>
      </c>
      <c r="BA55" s="509">
        <v>9312</v>
      </c>
      <c r="BB55" s="509">
        <v>11640</v>
      </c>
      <c r="BC55" s="511">
        <v>36084</v>
      </c>
      <c r="BD55" s="153">
        <v>0.97000000361353156</v>
      </c>
      <c r="BE55" s="474">
        <v>0.97000000361353156</v>
      </c>
      <c r="BF55" s="474">
        <v>0.97000000361353156</v>
      </c>
      <c r="BG55" s="515">
        <v>0.96999998554587363</v>
      </c>
      <c r="BH55" s="262">
        <v>204864</v>
      </c>
      <c r="BI55" s="509">
        <v>37248</v>
      </c>
      <c r="BJ55" s="509">
        <v>46560</v>
      </c>
      <c r="BK55" s="511">
        <v>144336</v>
      </c>
      <c r="BL55" s="153">
        <v>0.97000000361353156</v>
      </c>
      <c r="BM55" s="474">
        <v>0.97000000361353156</v>
      </c>
      <c r="BN55" s="474">
        <v>0.97000000361353156</v>
      </c>
      <c r="BO55" s="474">
        <v>0.96999998554587363</v>
      </c>
      <c r="BP55" s="261">
        <f t="shared" si="120"/>
        <v>72168</v>
      </c>
      <c r="BQ55" s="578">
        <f t="shared" si="121"/>
        <v>108252</v>
      </c>
      <c r="BR55" s="259">
        <f t="shared" si="122"/>
        <v>288672</v>
      </c>
      <c r="BS55" s="578">
        <f t="shared" si="123"/>
        <v>433008</v>
      </c>
      <c r="BT55" s="216">
        <f t="shared" si="124"/>
        <v>3.2114989733059547</v>
      </c>
      <c r="BU55" s="218">
        <f t="shared" si="5"/>
        <v>40.142633527942962</v>
      </c>
      <c r="BV55" s="216">
        <f t="shared" si="6"/>
        <v>40.142633527942962</v>
      </c>
      <c r="BW55" s="216">
        <f t="shared" si="7"/>
        <v>20.787685227040161</v>
      </c>
      <c r="BX55" s="216">
        <f t="shared" si="125"/>
        <v>20.787684839839351</v>
      </c>
      <c r="BY55" s="216">
        <f t="shared" si="8"/>
        <v>37.020867672958637</v>
      </c>
      <c r="BZ55" s="216">
        <f t="shared" si="9"/>
        <v>31.609806728585543</v>
      </c>
      <c r="CA55" s="264">
        <f t="shared" si="10"/>
        <v>40.142633527942962</v>
      </c>
      <c r="CB55" s="216">
        <f t="shared" si="11"/>
        <v>40.142633527942962</v>
      </c>
      <c r="CC55" s="216">
        <f t="shared" si="12"/>
        <v>20.787685227040161</v>
      </c>
      <c r="CD55" s="216">
        <f t="shared" si="126"/>
        <v>20.787684839839351</v>
      </c>
      <c r="CE55" s="216">
        <f t="shared" si="13"/>
        <v>37.020867672958637</v>
      </c>
      <c r="CF55" s="571">
        <f t="shared" si="14"/>
        <v>31.609806728585543</v>
      </c>
      <c r="CG55" s="573">
        <f t="shared" si="15"/>
        <v>0.16500000000000001</v>
      </c>
      <c r="CH55" s="219">
        <f t="shared" si="16"/>
        <v>0.16500000000000001</v>
      </c>
      <c r="CI55" s="219">
        <f t="shared" si="17"/>
        <v>0.11</v>
      </c>
      <c r="CJ55" s="219">
        <f t="shared" si="18"/>
        <v>0.16008270265146299</v>
      </c>
      <c r="CK55" s="219">
        <f t="shared" si="19"/>
        <v>0.16008270265146299</v>
      </c>
      <c r="CL55" s="219">
        <f t="shared" si="20"/>
        <v>0.11</v>
      </c>
      <c r="CM55" s="219">
        <f t="shared" si="21"/>
        <v>0.13900130037935415</v>
      </c>
      <c r="CN55" s="569">
        <f t="shared" si="22"/>
        <v>0.13900130037935415</v>
      </c>
      <c r="CO55" s="264">
        <f t="shared" si="175"/>
        <v>16.272333611584127</v>
      </c>
      <c r="CP55" s="216">
        <f t="shared" si="127"/>
        <v>16.272333611584127</v>
      </c>
      <c r="CQ55" s="216">
        <f t="shared" ref="CQ55:CQ118" ca="1" si="192">IF(OR(BQ55,BS55),VLOOKUP(A55,GasTable,13)*IF(EV55,HeatRatePeak,HeatRateOffPeak)*(1+VLOOKUP($B55,HeatRateDegradation,$C55+1))/1000,0)</f>
        <v>16.272333611584127</v>
      </c>
      <c r="CR55" s="216">
        <f t="shared" ref="CR55:CR118" ca="1" si="193">IF(OR(BQ55,BS55),VLOOKUP(A55,GasTable,13)*IF(EW55,HeatRatePeak,HeatRateOffPeak)*(1+VLOOKUP($B55,HeatRateDegradation,$C55+1))/1000,0)</f>
        <v>16.272333611584127</v>
      </c>
      <c r="CS55" s="1626">
        <f t="shared" ref="CS55:CS118" ca="1" si="194">IF(BQ55,(CO55*AZ55+CP55*BA55+CQ55*BB55+CR55*BC55)/BQ55,0)</f>
        <v>16.272333611584127</v>
      </c>
      <c r="CT55" s="216">
        <f t="shared" si="131"/>
        <v>16.272333611584127</v>
      </c>
      <c r="CU55" s="575">
        <f t="shared" si="23"/>
        <v>0.185</v>
      </c>
      <c r="CV55" s="154">
        <f t="shared" si="24"/>
        <v>0.5</v>
      </c>
      <c r="CW55" s="216">
        <f>IF(OR($BQ55,$BS55),SpreadOptPowerMargin,0)*((1+Assumptions!$C$26)^($B55-YEAR(Assumptions!$C$17)))</f>
        <v>1.8</v>
      </c>
      <c r="CX55" s="216">
        <f>IF(OR($BQ55,$BS55),SpreadOptPowerMargin,0)*((1+Assumptions!$C$26)^($B55-YEAR(Assumptions!$C$17)))</f>
        <v>1.8</v>
      </c>
      <c r="CY55" s="216">
        <f>IF(OR($BQ55,$BS55),SpreadOptPowerMargin,0)*((1+Assumptions!$C$26)^($B55-YEAR(Assumptions!$C$17)))</f>
        <v>1.8</v>
      </c>
      <c r="CZ55" s="216">
        <f>IF(OR($BQ55,$BS55),SpreadOptPowerMargin,0)*((1+Assumptions!$C$26)^($B55-YEAR(Assumptions!$C$17)))</f>
        <v>1.8</v>
      </c>
      <c r="DA55" s="440">
        <f t="shared" si="25"/>
        <v>1.8</v>
      </c>
      <c r="DB55" s="479">
        <f t="shared" si="26"/>
        <v>0.16500000000000001</v>
      </c>
      <c r="DC55" s="479">
        <f t="shared" si="27"/>
        <v>0.16500000000000001</v>
      </c>
      <c r="DD55" s="479">
        <f t="shared" si="28"/>
        <v>0.11</v>
      </c>
      <c r="DE55" s="479">
        <f t="shared" si="29"/>
        <v>0.11</v>
      </c>
      <c r="DF55" s="479">
        <f t="shared" si="30"/>
        <v>0.13900130037935415</v>
      </c>
      <c r="DG55" s="574">
        <f t="shared" si="31"/>
        <v>0.13900130037935415</v>
      </c>
      <c r="DH55" s="216">
        <f t="shared" si="32"/>
        <v>22.080013754076589</v>
      </c>
      <c r="DI55" s="216">
        <f t="shared" si="33"/>
        <v>22.080013754076589</v>
      </c>
      <c r="DJ55" s="216">
        <f t="shared" ref="DJ55:DJ118" ca="1" si="195">IF(AND(BW55&gt;0,CQ55&gt;0,DD55&gt;0,CU55&gt;0),newSPRDOPT(BW55,CQ55,CY55,0,DD55,CU55,CV55,BT55*365.25,OCallPut,0),0)</f>
        <v>3.6777958759162694</v>
      </c>
      <c r="DK55" s="216">
        <f t="shared" ref="DK55:DK118" ca="1" si="196">IF(AND(BX55&gt;0,CR55&gt;0,DE55&gt;0,CU55&gt;0),newSPRDOPT(BX55,CR55,CZ55,0,DE55,CU55,CV55,BT55*365.25,OCallPut,0),0)</f>
        <v>3.6777955858129947</v>
      </c>
      <c r="DL55" s="216">
        <f t="shared" ref="DL55:DL118" ca="1" si="197">IF(OVolType,IF(AND(BZ55&gt;0,CS55&gt;0,DF55&gt;0,CU55&gt;0),newSPRDOPT(BZ55,CS55,DA55,0,DF55,CU55,CV55,BT55*365.25,OCallPut,0),0),IF(BQ55,(DH55*AZ55+DI55*BA55+DJ55*BB55+DK55*BC55)/BQ55,0))</f>
        <v>13.595129821990536</v>
      </c>
      <c r="DM55" s="216"/>
      <c r="DN55" s="216"/>
      <c r="DO55" s="216"/>
      <c r="DP55" s="216"/>
      <c r="DQ55" s="216"/>
      <c r="DR55" s="216"/>
      <c r="DS55" s="216"/>
      <c r="DT55" s="216"/>
      <c r="DU55" s="216"/>
      <c r="DV55" s="216"/>
      <c r="DW55" s="1371">
        <f t="shared" si="37"/>
        <v>3.6777958759162694</v>
      </c>
      <c r="DX55" s="216">
        <f t="shared" si="38"/>
        <v>3.6777955858129947</v>
      </c>
      <c r="DY55" s="440">
        <f t="shared" si="39"/>
        <v>13.96720792614353</v>
      </c>
      <c r="DZ55" s="180">
        <f t="shared" si="40"/>
        <v>1130849.9844287867</v>
      </c>
      <c r="EA55" s="180">
        <f t="shared" si="41"/>
        <v>205609.08807796121</v>
      </c>
      <c r="EB55" s="180">
        <f t="shared" ref="EB55:EB118" ca="1" si="198">DJ55*BB55</f>
        <v>42809.543995665379</v>
      </c>
      <c r="EC55" s="180">
        <f t="shared" ref="EC55:EC118" ca="1" si="199">DK55*BC55</f>
        <v>132709.5759184761</v>
      </c>
      <c r="ED55" s="180">
        <f t="shared" ref="ED55:ED118" ca="1" si="200">DL55*BQ55</f>
        <v>1471699.9934901195</v>
      </c>
      <c r="EE55" s="581">
        <f t="shared" si="45"/>
        <v>1130352.4805162342</v>
      </c>
      <c r="EF55" s="554">
        <f t="shared" si="46"/>
        <v>205518.63282113348</v>
      </c>
      <c r="EG55" s="554">
        <f t="shared" ref="EG55:EG118" ca="1" si="201">IF(BQ55,IF(OCallPut,IF(BW55&gt;(CQ55+CY55),BW55-(CQ55+CY55),0),IF((CQ55+CY55)&gt;BW55,(CQ55+CY55)-BW55,0))*BB55,0)</f>
        <v>31606.692803908223</v>
      </c>
      <c r="EH55" s="554">
        <f t="shared" ref="EH55:EH118" ca="1" si="202">IF(BQ55,IF(OCallPut,IF(BX55&gt;(CR55+CZ55),BX55-(CR55+CZ55),0),IF((CR55+CZ55)&gt;BX55,(CR55+CZ55)-BX55,0))*BC55,0)</f>
        <v>97980.733720361459</v>
      </c>
      <c r="EI55" s="561">
        <f t="shared" ca="1" si="49"/>
        <v>1465458.5398616372</v>
      </c>
      <c r="EJ55" s="581">
        <f t="shared" si="132"/>
        <v>497.50391255249269</v>
      </c>
      <c r="EK55" s="554">
        <f t="shared" si="133"/>
        <v>90.45525682772859</v>
      </c>
      <c r="EL55" s="554">
        <f t="shared" ref="EL55:EL118" ca="1" si="203">EB55-EG55</f>
        <v>11202.851191757156</v>
      </c>
      <c r="EM55" s="554">
        <f t="shared" ref="EM55:EM118" ca="1" si="204">EC55-EH55</f>
        <v>34728.842198114638</v>
      </c>
      <c r="EN55" s="561">
        <f t="shared" ref="EN55:EN118" ca="1" si="205">ED55-EI55</f>
        <v>6241.4536284822971</v>
      </c>
      <c r="EO55" s="180">
        <f t="shared" si="50"/>
        <v>4523399.9377151467</v>
      </c>
      <c r="EP55" s="180">
        <f t="shared" si="51"/>
        <v>822436.35231184482</v>
      </c>
      <c r="EQ55" s="180">
        <f t="shared" si="52"/>
        <v>171238.17598266152</v>
      </c>
      <c r="ER55" s="180">
        <f t="shared" si="53"/>
        <v>530838.30367390439</v>
      </c>
      <c r="ES55" s="180">
        <f t="shared" si="54"/>
        <v>6047912.7696835576</v>
      </c>
      <c r="ET55" s="1482">
        <f t="shared" ref="ET55:ET118" ca="1" si="206">IF(EI55,IF(OCallPut,IF(CA55&gt;(CT55+CW55),CA55-(CT55+CW55),0),IF((CT55+CW55)&gt;CA55,(CT55+CW55)-CA55,0))*BH55,0)</f>
        <v>4521409.9220649367</v>
      </c>
      <c r="EU55" s="180">
        <f t="shared" ref="EU55:EU118" ca="1" si="207">IF(EI55,IF(OCallPut,IF(CB55&gt;(CT55+CX55),CB55-(CT55+CX55),0),IF((CT55+CX55)&gt;CB55,(CT55+CX55)-CB55,0))*BI55,0)</f>
        <v>822074.53128453391</v>
      </c>
      <c r="EV55" s="180">
        <f t="shared" ref="EV55:EV118" ca="1" si="208">IF(EI55,IF(OCallPut,IF(CC55&gt;(CT55+CY55),CC55-(CT55+CY55),0),IF((CT55+CY55)&gt;CC55,(CT55+CY55)-CC55,0))*BJ55,0)</f>
        <v>126426.77121563289</v>
      </c>
      <c r="EW55" s="180">
        <f t="shared" ref="EW55:EW118" ca="1" si="209">IF(EI55,IF(OCallPut,IF(CD55&gt;(CT55+CZ55),CD55-(CT55+CZ55),0),IF((CT55+CZ55)&gt;CD55,(CT55+CZ55)-CD55,0))*BK55,0)</f>
        <v>391922.93488144584</v>
      </c>
      <c r="EX55" s="555">
        <f t="shared" ca="1" si="182"/>
        <v>5861834.1594465496</v>
      </c>
      <c r="EY55" s="180">
        <f t="shared" ref="EY55:EY118" ca="1" si="210">EO55-ET55</f>
        <v>1990.0156502099708</v>
      </c>
      <c r="EZ55" s="180">
        <f t="shared" ref="EZ55:EZ118" ca="1" si="211">EP55-EU55</f>
        <v>361.82102731091436</v>
      </c>
      <c r="FA55" s="180">
        <f t="shared" ref="FA55:FA118" ca="1" si="212">EQ55-EV55</f>
        <v>44811.404767028624</v>
      </c>
      <c r="FB55" s="180">
        <f t="shared" ref="FB55:FB118" ca="1" si="213">ER55-EW55</f>
        <v>138915.36879245855</v>
      </c>
      <c r="FC55" s="180">
        <f t="shared" ref="FC55:FC118" ca="1" si="214">ES55-EX55</f>
        <v>186078.61023700796</v>
      </c>
      <c r="FD55" s="262">
        <f>IF(AX55,IF(VLOOKUP(C55,MAIN!$L$17:$M$28,2)="Yes",VLOOKUP(CALC!B55,MAIN!$H$17:$I$20,2),0),0)</f>
        <v>0</v>
      </c>
      <c r="FE55" s="623">
        <f t="shared" si="60"/>
        <v>0</v>
      </c>
      <c r="FF55" s="535">
        <f t="shared" si="61"/>
        <v>0</v>
      </c>
      <c r="FG55" s="535">
        <f t="shared" si="62"/>
        <v>0</v>
      </c>
      <c r="FH55" s="624">
        <f t="shared" si="63"/>
        <v>0</v>
      </c>
      <c r="FI55" s="632">
        <f>IF(AX55,VLOOKUP(CALC!B55,MAIN!$H$17:$K$20,4),0)</f>
        <v>0</v>
      </c>
      <c r="FJ55" s="535">
        <f t="shared" si="64"/>
        <v>0</v>
      </c>
      <c r="FK55" s="648">
        <f t="shared" si="142"/>
        <v>0</v>
      </c>
      <c r="FL55" s="530">
        <f t="shared" ref="FL55:FL118" ca="1" si="215">IF($EI55&gt;0,MIN(FE55,AZ55*(1+VLOOKUP($C55,WeatherCapacityAdjustment,2))),0)</f>
        <v>0</v>
      </c>
      <c r="FM55" s="530">
        <f t="shared" ref="FM55:FM118" ca="1" si="216">IF($EI55&gt;0,MIN(FF55,BA55*(1+VLOOKUP($C55,WeatherCapacityAdjustment,2))),0)</f>
        <v>0</v>
      </c>
      <c r="FN55" s="530">
        <f t="shared" ref="FN55:FN118" ca="1" si="217">IF($EI55&gt;0,MIN(FG55,BB55*(1+VLOOKUP($C55,WeatherCapacityAdjustment,2))),0)</f>
        <v>0</v>
      </c>
      <c r="FO55" s="622">
        <f t="shared" ref="FO55:FO118" ca="1" si="218">IF($EI55&gt;0,MIN(FH55,BC55*(1+VLOOKUP($C55,WeatherCapacityAdjustment,3))),0)</f>
        <v>0</v>
      </c>
      <c r="FP55" s="530">
        <f t="shared" ref="FP55:FP118" ca="1" si="219">IF(ET55&gt;0,MIN(FE55-FL55,BH55*(1+VLOOKUP($C55,WeatherCapacityAdjustment,2))),0)</f>
        <v>0</v>
      </c>
      <c r="FQ55" s="530">
        <f t="shared" ref="FQ55:FQ118" ca="1" si="220">IF(EU55&gt;0,MIN(FF55-FM55,BI55*(1+VLOOKUP($C55,WeatherCapacityAdjustment,2))),0)</f>
        <v>0</v>
      </c>
      <c r="FR55" s="530">
        <f t="shared" ref="FR55:FR118" ca="1" si="221">IF(EV55&gt;0,MIN(FG55-FN55,BJ55*(1+VLOOKUP($C55,WeatherCapacityAdjustment,2))),0)</f>
        <v>0</v>
      </c>
      <c r="FS55" s="625">
        <f t="shared" ref="FS55:FS118" ca="1" si="222">IF(EW55&gt;0,MIN(FH55-FO55,BK55*(1+VLOOKUP($C55,WeatherCapacityAdjustment,3))),0)</f>
        <v>0</v>
      </c>
      <c r="FT55" s="640">
        <f ca="1">IF(AND(Assumptions!$H$71="Yes",A55&gt;=Assumptions!$H$72,A55&lt;=Assumptions!$H$73),0,IF(AND($A55&gt;=Assumptions!$C$17,$A55&lt;=Assumptions!$C$18),MAX(AZ55*(1+VLOOKUP($C55,WeatherCapacityAdjustment,2))-FL55,0),0))</f>
        <v>51216</v>
      </c>
      <c r="FU55" s="530">
        <f ca="1">IF(AND(Assumptions!$H$71="Yes",A55&gt;=Assumptions!$H$72,A55&lt;=Assumptions!$H$73),0,IF(AND($A55&gt;=Assumptions!$C$17,$A55&lt;=Assumptions!$C$18),MAX(BA55*(1+VLOOKUP($C55,WeatherCapacityAdjustment,2))-FM55,0),0))</f>
        <v>9312</v>
      </c>
      <c r="FV55" s="530">
        <f ca="1">IF(AND(Assumptions!$H$71="Yes",A55&gt;=Assumptions!$H$72,A55&lt;=Assumptions!$H$73),0,IF(AND($A55&gt;=Assumptions!$C$17,$A55&lt;=Assumptions!$C$18),MAX(BB55*(1+VLOOKUP($C55,WeatherCapacityAdjustment,2))-FN55,0),0))</f>
        <v>11640</v>
      </c>
      <c r="FW55" s="622">
        <f ca="1">IF(AND(Assumptions!$H$71="Yes",A55&gt;=Assumptions!$H$72,A55&lt;=Assumptions!$H$73),0,IF(AND($A55&gt;=Assumptions!$C$17,$A55&lt;=Assumptions!$C$18),MAX(BC55*(1+VLOOKUP($C55,WeatherCapacityAdjustment,3))-FO55,0),0))</f>
        <v>36084</v>
      </c>
      <c r="FX55" s="621">
        <f ca="1">IF(AND(Assumptions!$H$71="Yes",A55&gt;=Assumptions!$H$72,A55&lt;=Assumptions!$H$73),0,IF(ET55&gt;0,MAX(BH55*(1+VLOOKUP($C55,WeatherCapacityAdjustment,2))-FP55,0),0))</f>
        <v>204864</v>
      </c>
      <c r="FY55" s="530">
        <f ca="1">IF(AND(Assumptions!$H$71="Yes",A55&gt;=Assumptions!$H$72,A55&lt;=Assumptions!$H$73),0,IF(EU55&gt;0,MAX(BI55*(1+VLOOKUP($C55,WeatherCapacityAdjustment,3))-FQ55,0),0))</f>
        <v>37248</v>
      </c>
      <c r="FZ55" s="530">
        <f ca="1">IF(AND(Assumptions!$H$71="Yes",A55&gt;=Assumptions!$H$72,A55&lt;=Assumptions!$H$73),0,IF(EV55&gt;0,MAX(BJ55*(1+VLOOKUP($C55,WeatherCapacityAdjustment,2))-FR55,0),0))</f>
        <v>46560</v>
      </c>
      <c r="GA55" s="622">
        <f ca="1">IF(AND(Assumptions!$H$71="Yes",A55&gt;=Assumptions!$H$72,A55&lt;=Assumptions!$H$73),0,IF(EW55&gt;0,MAX(BK55*(1+VLOOKUP($C55,WeatherCapacityAdjustment,2))-FS55,0),0))</f>
        <v>144336</v>
      </c>
      <c r="GB55" s="530">
        <f t="shared" ca="1" si="65"/>
        <v>541260</v>
      </c>
      <c r="GC55" s="545">
        <f t="shared" ca="1" si="66"/>
        <v>31.609806728585546</v>
      </c>
      <c r="GD55" s="530">
        <f t="shared" ref="GD55:GD118" ca="1" si="223">(FT55*BU55+FX55*CA55+FU55*BV55+FY55*CB55+FV55*BW55+FZ55*CC55+FW55*BX55+GA55*CD55)</f>
        <v>17109123.989914212</v>
      </c>
      <c r="GE55" s="1485">
        <f t="shared" ref="GE55:GE118" ca="1" si="224">+IF(BQ55,((FL55+FM55+FT55+FU55)*HeatRatePeak/1000*(1+VLOOKUP($C55,WeatherHeatRateAdjustment,2))+(FN55+FV55)*IF(EV55&gt;0,HeatRatePeak,HeatRateOffPeak)/1000*(1+VLOOKUP($C55,WeatherHeatRateAdjustment,2))+(FO55+FW55)*IF(EW55&gt;0,HeatRatePeak,HeatRateOffPeak)/1000*(1+VLOOKUP($C55,WeatherHeatRateAdjustment,3)))*(1+VLOOKUP($B55,HeatRateDegradation,$C55+1)),0)</f>
        <v>759991.82615999994</v>
      </c>
      <c r="GF55" s="1776">
        <f t="shared" ref="GF55:GF118" ca="1" si="225">IF(BQ55,((FP55+FQ55+FR55+FX55+FY55+FZ55)*HeatRatePeak/1000*(1+VLOOKUP($C55,WeatherHeatRateAdjustment,2))+(FS55+GA55)*HeatRatePeak/1000*(1+VLOOKUP($C55,WeatherHeatRateAdjustment,3)))*(1+VLOOKUP($B55,HeatRateDegradation,$C55+1)),0)</f>
        <v>3039967.3046399998</v>
      </c>
      <c r="GG55" s="545">
        <f t="shared" si="190"/>
        <v>2.317804741429359</v>
      </c>
      <c r="GH55" s="622">
        <f t="shared" ca="1" si="191"/>
        <v>8807563.2906060237</v>
      </c>
      <c r="GI55" s="621">
        <f t="shared" ca="1" si="152"/>
        <v>541260</v>
      </c>
      <c r="GJ55" s="638">
        <f t="shared" si="68"/>
        <v>1.8</v>
      </c>
      <c r="GK55" s="625">
        <f t="shared" ca="1" si="166"/>
        <v>974268</v>
      </c>
      <c r="GL55" s="640">
        <f t="shared" ref="GL55:GL118" ca="1" si="226">MAX(FE55-FL55-FP55,0)</f>
        <v>0</v>
      </c>
      <c r="GM55" s="530">
        <f t="shared" ref="GM55:GM118" ca="1" si="227">MAX(FF55-FM55-FQ55,0)</f>
        <v>0</v>
      </c>
      <c r="GN55" s="530">
        <f t="shared" ref="GN55:GN118" ca="1" si="228">MAX(FG55-FN55-FR55,0)</f>
        <v>0</v>
      </c>
      <c r="GO55" s="622">
        <f t="shared" ref="GO55:GO118" ca="1" si="229">MAX(FH55-FO55-FS55,0)</f>
        <v>0</v>
      </c>
      <c r="GP55" s="530">
        <f t="shared" ca="1" si="73"/>
        <v>0</v>
      </c>
      <c r="GQ55" s="545">
        <f t="shared" ca="1" si="74"/>
        <v>0</v>
      </c>
      <c r="GR55" s="625">
        <f t="shared" ref="GR55:GR118" ca="1" si="230">(GL55*BU55+GM55*BV55+GN55*BW55+GO55*BX55)</f>
        <v>0</v>
      </c>
      <c r="GS55" s="640">
        <f>IF($A55&gt;=BegDate,Assumptions!$C$56*24*($A56-$A55)*(1-VLOOKUP($B55,MAIN!$AA$7:$AM$28,$C55+1))*(1-VLOOKUP($B55,MAIN!$AA$33:$AM$54,$C55+1)),0)*80/168</f>
        <v>257742.85714285713</v>
      </c>
      <c r="GT55" s="1715">
        <f t="shared" si="153"/>
        <v>40.142633378399999</v>
      </c>
      <c r="GU55" s="1715">
        <f>IF($A55&gt;=BegDate,VLOOKUP($A55,GasTable,13)+Assumptions!$C$58,0)</f>
        <v>2.317804741429359</v>
      </c>
      <c r="GV55" s="1715">
        <f>GU55*Assumptions!$C$57/1000</f>
        <v>16.804084375362855</v>
      </c>
      <c r="GW55" s="625">
        <f>IF(Assumptions!$C$60="Hourly",MAX(0,GS55*(GT55-GV55)),GS55*(GT55-GV55))</f>
        <v>6015344.3016113732</v>
      </c>
      <c r="GX55" s="640">
        <f>IF($A55&gt;=BegDate,Assumptions!$C$56*24*($A56-$A55)*(1-VLOOKUP($B55,MAIN!$AA$7:$AM$28,$C55+1))*(1-VLOOKUP($B55,MAIN!$AA$33:$AM$54,$C55+1)),0)*16/168</f>
        <v>51548.571428571428</v>
      </c>
      <c r="GY55" s="1715">
        <f t="shared" si="154"/>
        <v>40.142633378399999</v>
      </c>
      <c r="GZ55" s="1715">
        <f>IF($A55&gt;=BegDate,VLOOKUP($A55,GasTable,13)+Assumptions!$C$58,0)</f>
        <v>2.317804741429359</v>
      </c>
      <c r="HA55" s="1715">
        <f>GZ55*Assumptions!$C$57/1000</f>
        <v>16.804084375362855</v>
      </c>
      <c r="HB55" s="625">
        <f>IF(Assumptions!$C$60="Hourly",MAX(0,GX55*(GY55-HA55)),GX55*(GY55-HA55))</f>
        <v>1203068.8603222747</v>
      </c>
      <c r="HC55" s="640">
        <f>IF($A55&gt;=BegDate,Assumptions!$C$56*24*($A56-$A55)*(1-VLOOKUP($B55,MAIN!$AA$7:$AM$28,$C55+1))*(1-VLOOKUP($B55,MAIN!$AA$33:$AM$54,$C55+1)),0)*16/168</f>
        <v>51548.571428571428</v>
      </c>
      <c r="HD55" s="1715">
        <f t="shared" si="155"/>
        <v>20.787685149599998</v>
      </c>
      <c r="HE55" s="1715">
        <f>IF($A55&gt;=BegDate,VLOOKUP($A55,GasTable,13)+Assumptions!$C$58,0)</f>
        <v>2.317804741429359</v>
      </c>
      <c r="HF55" s="1715">
        <f>HE55*Assumptions!$C$57/1000</f>
        <v>16.804084375362855</v>
      </c>
      <c r="HG55" s="625">
        <f>IF(Assumptions!$C$60="Hourly",MAX(0,HC55*(HD55-HF55)),HC55*(HD55-HF55))</f>
        <v>205348.92905367579</v>
      </c>
      <c r="HH55" s="640">
        <f>IF($A55&gt;=BegDate,Assumptions!$C$56*24*($A56-$A55)*(1-VLOOKUP($B55,MAIN!$AA$7:$AM$28,$C55+1))*(1-VLOOKUP($B55,MAIN!$AA$33:$AM$54,$C55+1)),0)*56/168</f>
        <v>180420</v>
      </c>
      <c r="HI55" s="1715">
        <f t="shared" si="156"/>
        <v>20.787685149599998</v>
      </c>
      <c r="HJ55" s="1715">
        <f>IF($A55&gt;=BegDate,VLOOKUP($A55,GasTable,13)+Assumptions!$C$58,0)</f>
        <v>2.317804741429359</v>
      </c>
      <c r="HK55" s="1715">
        <f>HJ55*Assumptions!$C$57/1000</f>
        <v>16.804084375362855</v>
      </c>
      <c r="HL55" s="625">
        <f>IF(Assumptions!$C$60="Hourly",MAX(0,HH55*(HI55-HK55)),HH55*(HI55-HK55))</f>
        <v>718721.25168786536</v>
      </c>
      <c r="HM55" s="640">
        <f>IF(AND(Assumptions!$H$71="Yes",A55&gt;=Assumptions!$H$72,A55&lt;=Assumptions!$H$73),Assumptions!$H$74*Assumptions!$C$9*1000,0)</f>
        <v>0</v>
      </c>
      <c r="HN55" s="530"/>
      <c r="HO55" s="545"/>
      <c r="HP55" s="545"/>
      <c r="HQ55" s="545"/>
      <c r="HR55" s="545"/>
      <c r="HS55" s="545"/>
      <c r="HT55" s="545"/>
      <c r="HU55" s="545"/>
      <c r="HV55" s="545"/>
      <c r="HW55" s="545"/>
      <c r="HX55" s="545"/>
      <c r="HY55" s="545"/>
      <c r="HZ55" s="545"/>
      <c r="IA55" s="545"/>
      <c r="IB55" s="545"/>
      <c r="IC55" s="545"/>
      <c r="ID55" s="545"/>
      <c r="IE55" s="545"/>
      <c r="IF55" s="545"/>
      <c r="IG55" s="545"/>
      <c r="IH55" s="545"/>
      <c r="II55" s="1464"/>
      <c r="IJ55" s="1463"/>
      <c r="IK55" s="1463"/>
    </row>
    <row r="56" spans="1:245">
      <c r="A56" s="177">
        <f t="shared" si="87"/>
        <v>37834</v>
      </c>
      <c r="B56" s="349">
        <f t="shared" si="88"/>
        <v>2003</v>
      </c>
      <c r="C56" s="15">
        <f t="shared" si="89"/>
        <v>8</v>
      </c>
      <c r="D56" s="612" t="str">
        <f t="shared" si="90"/>
        <v/>
      </c>
      <c r="E56" s="609">
        <f t="shared" si="91"/>
        <v>37834</v>
      </c>
      <c r="F56" s="614">
        <f t="shared" si="2"/>
        <v>37864</v>
      </c>
      <c r="G56" s="1349">
        <v>0</v>
      </c>
      <c r="H56" s="152">
        <f t="shared" si="165"/>
        <v>1</v>
      </c>
      <c r="I56" s="154">
        <f>IF(Assumptions!$L$25=4,VLOOKUP($A56,'Henwood Reference'!$E$9:$R$320,10),(VLOOKUP($A56,PriceTable,2,0)+IF(BasisNumber&lt;&gt;1,VLOOKUP($A56,BasisTable,2,0),0)+I$1)/(1-I$2))</f>
        <v>62.6235820128</v>
      </c>
      <c r="J56" s="154">
        <f>IF(Assumptions!$L$25=4,VLOOKUP($A56,'Henwood Reference'!$E$9:$R$320,10),(VLOOKUP($A56,PriceTable,3,0)+IF(BasisNumber&lt;&gt;1,VLOOKUP($A56,BasisTable,2,0),0)+J$1)/(1-J$2))</f>
        <v>62.6235820128</v>
      </c>
      <c r="K56" s="154">
        <f>IF(Assumptions!$L$25=4,VLOOKUP($A56,'Henwood Reference'!$E$9:$R$320,10),(VLOOKUP($A56,PriceTable,4,0)+IF(BasisNumber&lt;&gt;1,VLOOKUP($A56,BasisTable,2,0),0)+K$1)/(1-K$2))</f>
        <v>62.6235820128</v>
      </c>
      <c r="L56" s="474">
        <f>IF(Assumptions!$L$25=4,VLOOKUP($A56,'Henwood Reference'!$E$9:$R$320,10),(VLOOKUP($A56,PriceTableWeekend,2,0)+IF(BasisNumber&lt;&gt;1,VLOOKUP($A56,BasisTable,2,0),0)+L$1)/(1-L$2))</f>
        <v>62.6235820128</v>
      </c>
      <c r="M56" s="154">
        <f>IF(Assumptions!$L$25=4,VLOOKUP($A56,'Henwood Reference'!$E$9:$R$320,10),(VLOOKUP($A56,PriceTableWeekend,3,0)+IF(BasisNumber&lt;&gt;1,VLOOKUP($A56,BasisTable,2,0),0)+M$1)/(1-M$2))</f>
        <v>62.6235820128</v>
      </c>
      <c r="N56" s="156">
        <f>IF(Assumptions!$L$25=4,VLOOKUP($A56,'Henwood Reference'!$E$9:$R$320,10),(VLOOKUP($A56,PriceTableWeekend,4,0)+IF(BasisNumber&lt;&gt;1,VLOOKUP($A56,BasisTable,2,0),0)+N$1)/(1-N$2))</f>
        <v>62.6235820128</v>
      </c>
      <c r="O56" s="154">
        <f>IF(Assumptions!$L$25=4,VLOOKUP($A56,'Henwood Reference'!$E$9:$R$320,11),(VLOOKUP($A56,PriceTableWeekend,6,0)+IF(BasisNumber&lt;&gt;1,VLOOKUP($A56,BasisTable,3,0),0)+O$1)/(1-O$2))</f>
        <v>26.4798987408</v>
      </c>
      <c r="P56" s="154">
        <f>IF(Assumptions!$L$25=4,VLOOKUP($A56,'Henwood Reference'!$E$9:$R$320,11),(VLOOKUP($A56,PriceTableWeekend,7,0)+IF(BasisNumber&lt;&gt;1,VLOOKUP($A56,BasisTable,3,0),0)+P$1)/(1-P$2))</f>
        <v>26.4798987408</v>
      </c>
      <c r="Q56" s="156">
        <f>IF(Assumptions!$L$25=4,VLOOKUP($A56,'Henwood Reference'!$E$9:$R$320,11),(VLOOKUP($A56,PriceTableWeekend,8,0)+IF(BasisNumber&lt;&gt;1,VLOOKUP($A56,BasisTable,3,0),0)+Q$1)/(1-Q$2))</f>
        <v>26.4798987408</v>
      </c>
      <c r="R56" s="154">
        <f>IF(Assumptions!$L$25=4,VLOOKUP($A56,'Henwood Reference'!$E$9:$R$320,11),(VLOOKUP($A56,PriceTable,6,0)+IF(BasisNumber&lt;&gt;1,VLOOKUP($A56,BasisTable,3,0),0)+R$1)/(1-R$2))</f>
        <v>26.4798987408</v>
      </c>
      <c r="S56" s="154">
        <f>IF(Assumptions!$L$25=4,VLOOKUP($A56,'Henwood Reference'!$E$9:$R$320,11),(VLOOKUP($A56,PriceTable,7,0)+IF(BasisNumber&lt;&gt;1,VLOOKUP($A56,BasisTable,3,0),0)+S$1)/(1-S$2))</f>
        <v>26.4798987408</v>
      </c>
      <c r="T56" s="155">
        <f>IF(Assumptions!$L$25=4,VLOOKUP($A56,'Henwood Reference'!$E$9:$R$320,11),(VLOOKUP($A56,PriceTable,8,0)+IF(BasisNumber&lt;&gt;1,VLOOKUP($A56,BasisTable,3,0),0)+T$1)/(1-T$2))</f>
        <v>26.4798987408</v>
      </c>
      <c r="U56" s="173">
        <f t="shared" si="92"/>
        <v>0.155</v>
      </c>
      <c r="V56" s="173">
        <f t="shared" si="93"/>
        <v>0.16500000000000001</v>
      </c>
      <c r="W56" s="174">
        <f t="shared" si="94"/>
        <v>0.17499999999999999</v>
      </c>
      <c r="X56" s="173">
        <f t="shared" si="95"/>
        <v>0.155</v>
      </c>
      <c r="Y56" s="173">
        <f t="shared" si="96"/>
        <v>0.16500000000000001</v>
      </c>
      <c r="Z56" s="174">
        <f t="shared" si="97"/>
        <v>0.17499999999999999</v>
      </c>
      <c r="AA56" s="173">
        <f t="shared" si="98"/>
        <v>0.09</v>
      </c>
      <c r="AB56" s="173">
        <f t="shared" si="99"/>
        <v>0.11</v>
      </c>
      <c r="AC56" s="174">
        <f t="shared" si="100"/>
        <v>0.13</v>
      </c>
      <c r="AD56" s="173">
        <f t="shared" si="101"/>
        <v>0.09</v>
      </c>
      <c r="AE56" s="173">
        <f t="shared" si="102"/>
        <v>0.11</v>
      </c>
      <c r="AF56" s="174">
        <f t="shared" si="103"/>
        <v>0.13</v>
      </c>
      <c r="AG56" s="173">
        <f t="shared" si="104"/>
        <v>-0.35</v>
      </c>
      <c r="AH56" s="173">
        <f t="shared" si="105"/>
        <v>3</v>
      </c>
      <c r="AI56" s="174">
        <f t="shared" si="106"/>
        <v>0.35</v>
      </c>
      <c r="AJ56" s="173">
        <f t="shared" si="107"/>
        <v>-0.35</v>
      </c>
      <c r="AK56" s="173">
        <f t="shared" si="108"/>
        <v>3</v>
      </c>
      <c r="AL56" s="174">
        <f t="shared" si="109"/>
        <v>0.35</v>
      </c>
      <c r="AM56" s="173">
        <f t="shared" si="110"/>
        <v>-0.01</v>
      </c>
      <c r="AN56" s="173">
        <f t="shared" si="111"/>
        <v>0.16</v>
      </c>
      <c r="AO56" s="174">
        <f t="shared" si="112"/>
        <v>0.01</v>
      </c>
      <c r="AP56" s="173">
        <f t="shared" si="113"/>
        <v>-0.01</v>
      </c>
      <c r="AQ56" s="173">
        <f t="shared" si="114"/>
        <v>0.16</v>
      </c>
      <c r="AR56" s="175">
        <f t="shared" si="115"/>
        <v>0.01</v>
      </c>
      <c r="AS56" s="521">
        <f t="shared" si="188"/>
        <v>0.5</v>
      </c>
      <c r="AT56" s="349">
        <f t="shared" si="117"/>
        <v>21</v>
      </c>
      <c r="AU56" s="159">
        <f t="shared" si="3"/>
        <v>5</v>
      </c>
      <c r="AV56" s="159">
        <f t="shared" si="4"/>
        <v>5</v>
      </c>
      <c r="AW56" s="159">
        <f t="shared" si="189"/>
        <v>0</v>
      </c>
      <c r="AX56" s="15">
        <f t="shared" si="119"/>
        <v>31</v>
      </c>
      <c r="AY56" s="607">
        <f>IF(E56="",0,MIN((1-(1-VLOOKUP(B56,MAIN!$AA$7:$AM$28,C56+1))*(1-VLOOKUP(B56,MAIN!$AA$33:$AM$54,C56+1))),1))</f>
        <v>3.0000000000000027E-2</v>
      </c>
      <c r="AZ56" s="337">
        <v>48888</v>
      </c>
      <c r="BA56" s="509">
        <v>11640</v>
      </c>
      <c r="BB56" s="509">
        <v>11640</v>
      </c>
      <c r="BC56" s="511">
        <v>36084</v>
      </c>
      <c r="BD56" s="153">
        <v>0.96999998915940522</v>
      </c>
      <c r="BE56" s="474">
        <v>0.96999998915940522</v>
      </c>
      <c r="BF56" s="474">
        <v>0.96999998915940522</v>
      </c>
      <c r="BG56" s="515">
        <v>0.97000000722706314</v>
      </c>
      <c r="BH56" s="262">
        <v>195552</v>
      </c>
      <c r="BI56" s="509">
        <v>46560</v>
      </c>
      <c r="BJ56" s="509">
        <v>46560</v>
      </c>
      <c r="BK56" s="511">
        <v>144336</v>
      </c>
      <c r="BL56" s="153">
        <v>0.96999998915940522</v>
      </c>
      <c r="BM56" s="474">
        <v>0.96999998915940522</v>
      </c>
      <c r="BN56" s="474">
        <v>0.96999998915940522</v>
      </c>
      <c r="BO56" s="474">
        <v>0.97000000722706314</v>
      </c>
      <c r="BP56" s="261">
        <f t="shared" si="120"/>
        <v>72168</v>
      </c>
      <c r="BQ56" s="578">
        <f t="shared" si="121"/>
        <v>108252</v>
      </c>
      <c r="BR56" s="259">
        <f t="shared" si="122"/>
        <v>288672</v>
      </c>
      <c r="BS56" s="578">
        <f t="shared" si="123"/>
        <v>433008</v>
      </c>
      <c r="BT56" s="216">
        <f t="shared" si="124"/>
        <v>3.2963723477070501</v>
      </c>
      <c r="BU56" s="218">
        <f t="shared" si="5"/>
        <v>62.623581312926937</v>
      </c>
      <c r="BV56" s="216">
        <f t="shared" si="6"/>
        <v>62.623581312926937</v>
      </c>
      <c r="BW56" s="216">
        <f t="shared" si="7"/>
        <v>26.47989844486407</v>
      </c>
      <c r="BX56" s="216">
        <f t="shared" si="125"/>
        <v>26.479898938090617</v>
      </c>
      <c r="BY56" s="216">
        <f t="shared" si="8"/>
        <v>56.793955043884537</v>
      </c>
      <c r="BZ56" s="216">
        <f t="shared" si="9"/>
        <v>46.68926967528656</v>
      </c>
      <c r="CA56" s="264">
        <f t="shared" si="10"/>
        <v>62.623581312926937</v>
      </c>
      <c r="CB56" s="216">
        <f t="shared" si="11"/>
        <v>62.623581312926937</v>
      </c>
      <c r="CC56" s="216">
        <f t="shared" si="12"/>
        <v>26.47989844486407</v>
      </c>
      <c r="CD56" s="216">
        <f t="shared" si="126"/>
        <v>26.479898938090617</v>
      </c>
      <c r="CE56" s="216">
        <f t="shared" si="13"/>
        <v>56.793955043884537</v>
      </c>
      <c r="CF56" s="571">
        <f t="shared" si="14"/>
        <v>46.68926967528656</v>
      </c>
      <c r="CG56" s="573">
        <f t="shared" si="15"/>
        <v>0.16500000000000001</v>
      </c>
      <c r="CH56" s="219">
        <f t="shared" si="16"/>
        <v>0.16500000000000001</v>
      </c>
      <c r="CI56" s="219">
        <f t="shared" si="17"/>
        <v>0.11</v>
      </c>
      <c r="CJ56" s="219">
        <f t="shared" si="18"/>
        <v>0.16091951920608091</v>
      </c>
      <c r="CK56" s="219">
        <f t="shared" si="19"/>
        <v>0.16091951920608091</v>
      </c>
      <c r="CL56" s="219">
        <f t="shared" si="20"/>
        <v>0.11</v>
      </c>
      <c r="CM56" s="219">
        <f t="shared" si="21"/>
        <v>0.14240553681013829</v>
      </c>
      <c r="CN56" s="569">
        <f t="shared" si="22"/>
        <v>0.14240553681013829</v>
      </c>
      <c r="CO56" s="264">
        <f t="shared" si="175"/>
        <v>16.865089771735306</v>
      </c>
      <c r="CP56" s="216">
        <f t="shared" si="127"/>
        <v>16.865089771735306</v>
      </c>
      <c r="CQ56" s="216">
        <f t="shared" ca="1" si="192"/>
        <v>16.865089771735306</v>
      </c>
      <c r="CR56" s="216">
        <f t="shared" ca="1" si="193"/>
        <v>16.865089771735306</v>
      </c>
      <c r="CS56" s="1626">
        <f t="shared" ca="1" si="194"/>
        <v>16.865089771735306</v>
      </c>
      <c r="CT56" s="216">
        <f t="shared" si="131"/>
        <v>16.865089771735306</v>
      </c>
      <c r="CU56" s="575">
        <f t="shared" si="23"/>
        <v>0.185</v>
      </c>
      <c r="CV56" s="154">
        <f t="shared" si="24"/>
        <v>0.5</v>
      </c>
      <c r="CW56" s="216">
        <f>IF(OR($BQ56,$BS56),SpreadOptPowerMargin,0)*((1+Assumptions!$C$26)^($B56-YEAR(Assumptions!$C$17)))</f>
        <v>1.8</v>
      </c>
      <c r="CX56" s="216">
        <f>IF(OR($BQ56,$BS56),SpreadOptPowerMargin,0)*((1+Assumptions!$C$26)^($B56-YEAR(Assumptions!$C$17)))</f>
        <v>1.8</v>
      </c>
      <c r="CY56" s="216">
        <f>IF(OR($BQ56,$BS56),SpreadOptPowerMargin,0)*((1+Assumptions!$C$26)^($B56-YEAR(Assumptions!$C$17)))</f>
        <v>1.8</v>
      </c>
      <c r="CZ56" s="216">
        <f>IF(OR($BQ56,$BS56),SpreadOptPowerMargin,0)*((1+Assumptions!$C$26)^($B56-YEAR(Assumptions!$C$17)))</f>
        <v>1.8</v>
      </c>
      <c r="DA56" s="440">
        <f t="shared" si="25"/>
        <v>1.8</v>
      </c>
      <c r="DB56" s="479">
        <f t="shared" si="26"/>
        <v>0.16500000000000001</v>
      </c>
      <c r="DC56" s="479">
        <f t="shared" si="27"/>
        <v>0.16500000000000001</v>
      </c>
      <c r="DD56" s="479">
        <f t="shared" si="28"/>
        <v>0.11</v>
      </c>
      <c r="DE56" s="479">
        <f t="shared" si="29"/>
        <v>0.11</v>
      </c>
      <c r="DF56" s="479">
        <f t="shared" si="30"/>
        <v>0.14240553681013829</v>
      </c>
      <c r="DG56" s="574">
        <f t="shared" si="31"/>
        <v>0.14240553681013829</v>
      </c>
      <c r="DH56" s="216">
        <f t="shared" si="32"/>
        <v>43.958586988326644</v>
      </c>
      <c r="DI56" s="216">
        <f t="shared" si="33"/>
        <v>43.958586988326644</v>
      </c>
      <c r="DJ56" s="216">
        <f t="shared" ca="1" si="195"/>
        <v>8.0908853856795293</v>
      </c>
      <c r="DK56" s="216">
        <f t="shared" ca="1" si="196"/>
        <v>8.0908858417634413</v>
      </c>
      <c r="DL56" s="216">
        <f t="shared" ca="1" si="197"/>
        <v>28.025900376838326</v>
      </c>
      <c r="DM56" s="216"/>
      <c r="DN56" s="216"/>
      <c r="DO56" s="216"/>
      <c r="DP56" s="216"/>
      <c r="DQ56" s="216"/>
      <c r="DR56" s="216"/>
      <c r="DS56" s="216"/>
      <c r="DT56" s="216"/>
      <c r="DU56" s="216"/>
      <c r="DV56" s="216"/>
      <c r="DW56" s="1371">
        <f t="shared" si="37"/>
        <v>8.0908853856795293</v>
      </c>
      <c r="DX56" s="216">
        <f t="shared" si="38"/>
        <v>8.0908858417634413</v>
      </c>
      <c r="DY56" s="440">
        <f t="shared" si="39"/>
        <v>28.145944498327392</v>
      </c>
      <c r="DZ56" s="180">
        <f t="shared" si="40"/>
        <v>2149047.4006853132</v>
      </c>
      <c r="EA56" s="180">
        <f t="shared" si="41"/>
        <v>511677.95254412212</v>
      </c>
      <c r="EB56" s="180">
        <f t="shared" ca="1" si="198"/>
        <v>94177.905889309724</v>
      </c>
      <c r="EC56" s="180">
        <f t="shared" ca="1" si="199"/>
        <v>291951.52471419203</v>
      </c>
      <c r="ED56" s="180">
        <f t="shared" ca="1" si="200"/>
        <v>3033859.7675935025</v>
      </c>
      <c r="EE56" s="581">
        <f t="shared" si="45"/>
        <v>2149042.7344657765</v>
      </c>
      <c r="EF56" s="554">
        <f t="shared" si="46"/>
        <v>511676.8415394706</v>
      </c>
      <c r="EG56" s="554">
        <f t="shared" ca="1" si="201"/>
        <v>90964.372955218802</v>
      </c>
      <c r="EH56" s="554">
        <f t="shared" ca="1" si="202"/>
        <v>281989.57395876502</v>
      </c>
      <c r="EI56" s="561">
        <f t="shared" ca="1" si="49"/>
        <v>3033673.5229192302</v>
      </c>
      <c r="EJ56" s="581">
        <f t="shared" si="132"/>
        <v>4.6662195366807282</v>
      </c>
      <c r="EK56" s="554">
        <f t="shared" si="133"/>
        <v>1.1110046515241265</v>
      </c>
      <c r="EL56" s="554">
        <f t="shared" ca="1" si="203"/>
        <v>3213.5329340909229</v>
      </c>
      <c r="EM56" s="554">
        <f t="shared" ca="1" si="204"/>
        <v>9961.9507554270094</v>
      </c>
      <c r="EN56" s="561">
        <f t="shared" ca="1" si="205"/>
        <v>186.24467427236959</v>
      </c>
      <c r="EO56" s="180">
        <f t="shared" si="50"/>
        <v>8596189.6027412526</v>
      </c>
      <c r="EP56" s="180">
        <f t="shared" si="51"/>
        <v>2046711.8101764885</v>
      </c>
      <c r="EQ56" s="180">
        <f t="shared" si="52"/>
        <v>376711.6235572389</v>
      </c>
      <c r="ER56" s="180">
        <f t="shared" si="53"/>
        <v>1167806.0988567681</v>
      </c>
      <c r="ES56" s="180">
        <f t="shared" si="54"/>
        <v>12187419.135331748</v>
      </c>
      <c r="ET56" s="1482">
        <f t="shared" ca="1" si="206"/>
        <v>8596170.9378631059</v>
      </c>
      <c r="EU56" s="180">
        <f t="shared" ca="1" si="207"/>
        <v>2046707.3661578824</v>
      </c>
      <c r="EV56" s="180">
        <f t="shared" ca="1" si="208"/>
        <v>363857.49182087521</v>
      </c>
      <c r="EW56" s="180">
        <f t="shared" ca="1" si="209"/>
        <v>1127958.2958350601</v>
      </c>
      <c r="EX56" s="555">
        <f t="shared" ca="1" si="182"/>
        <v>12134694.091676924</v>
      </c>
      <c r="EY56" s="180">
        <f t="shared" ca="1" si="210"/>
        <v>18.664878146722913</v>
      </c>
      <c r="EZ56" s="180">
        <f t="shared" ca="1" si="211"/>
        <v>4.4440186060965061</v>
      </c>
      <c r="FA56" s="180">
        <f t="shared" ca="1" si="212"/>
        <v>12854.131736363692</v>
      </c>
      <c r="FB56" s="180">
        <f t="shared" ca="1" si="213"/>
        <v>39847.803021708038</v>
      </c>
      <c r="FC56" s="180">
        <f t="shared" ca="1" si="214"/>
        <v>52725.043654823676</v>
      </c>
      <c r="FD56" s="262">
        <f>IF(AX56,IF(VLOOKUP(C56,MAIN!$L$17:$M$28,2)="Yes",VLOOKUP(CALC!B56,MAIN!$H$17:$I$20,2),0),0)</f>
        <v>0</v>
      </c>
      <c r="FE56" s="623">
        <f t="shared" si="60"/>
        <v>0</v>
      </c>
      <c r="FF56" s="535">
        <f t="shared" si="61"/>
        <v>0</v>
      </c>
      <c r="FG56" s="535">
        <f t="shared" si="62"/>
        <v>0</v>
      </c>
      <c r="FH56" s="624">
        <f t="shared" si="63"/>
        <v>0</v>
      </c>
      <c r="FI56" s="632">
        <f>IF(AX56,VLOOKUP(CALC!B56,MAIN!$H$17:$K$20,4),0)</f>
        <v>0</v>
      </c>
      <c r="FJ56" s="535">
        <f t="shared" si="64"/>
        <v>0</v>
      </c>
      <c r="FK56" s="648">
        <f t="shared" si="142"/>
        <v>0</v>
      </c>
      <c r="FL56" s="530">
        <f t="shared" ca="1" si="215"/>
        <v>0</v>
      </c>
      <c r="FM56" s="530">
        <f t="shared" ca="1" si="216"/>
        <v>0</v>
      </c>
      <c r="FN56" s="530">
        <f t="shared" ca="1" si="217"/>
        <v>0</v>
      </c>
      <c r="FO56" s="622">
        <f t="shared" ca="1" si="218"/>
        <v>0</v>
      </c>
      <c r="FP56" s="530">
        <f t="shared" ca="1" si="219"/>
        <v>0</v>
      </c>
      <c r="FQ56" s="530">
        <f t="shared" ca="1" si="220"/>
        <v>0</v>
      </c>
      <c r="FR56" s="530">
        <f t="shared" ca="1" si="221"/>
        <v>0</v>
      </c>
      <c r="FS56" s="625">
        <f t="shared" ca="1" si="222"/>
        <v>0</v>
      </c>
      <c r="FT56" s="640">
        <f ca="1">IF(AND(Assumptions!$H$71="Yes",A56&gt;=Assumptions!$H$72,A56&lt;=Assumptions!$H$73),0,IF(AND($A56&gt;=Assumptions!$C$17,$A56&lt;=Assumptions!$C$18),MAX(AZ56*(1+VLOOKUP($C56,WeatherCapacityAdjustment,2))-FL56,0),0))</f>
        <v>48888</v>
      </c>
      <c r="FU56" s="530">
        <f ca="1">IF(AND(Assumptions!$H$71="Yes",A56&gt;=Assumptions!$H$72,A56&lt;=Assumptions!$H$73),0,IF(AND($A56&gt;=Assumptions!$C$17,$A56&lt;=Assumptions!$C$18),MAX(BA56*(1+VLOOKUP($C56,WeatherCapacityAdjustment,2))-FM56,0),0))</f>
        <v>11640</v>
      </c>
      <c r="FV56" s="530">
        <f ca="1">IF(AND(Assumptions!$H$71="Yes",A56&gt;=Assumptions!$H$72,A56&lt;=Assumptions!$H$73),0,IF(AND($A56&gt;=Assumptions!$C$17,$A56&lt;=Assumptions!$C$18),MAX(BB56*(1+VLOOKUP($C56,WeatherCapacityAdjustment,2))-FN56,0),0))</f>
        <v>11640</v>
      </c>
      <c r="FW56" s="622">
        <f ca="1">IF(AND(Assumptions!$H$71="Yes",A56&gt;=Assumptions!$H$72,A56&lt;=Assumptions!$H$73),0,IF(AND($A56&gt;=Assumptions!$C$17,$A56&lt;=Assumptions!$C$18),MAX(BC56*(1+VLOOKUP($C56,WeatherCapacityAdjustment,3))-FO56,0),0))</f>
        <v>36084</v>
      </c>
      <c r="FX56" s="621">
        <f ca="1">IF(AND(Assumptions!$H$71="Yes",A56&gt;=Assumptions!$H$72,A56&lt;=Assumptions!$H$73),0,IF(ET56&gt;0,MAX(BH56*(1+VLOOKUP($C56,WeatherCapacityAdjustment,2))-FP56,0),0))</f>
        <v>195552</v>
      </c>
      <c r="FY56" s="530">
        <f ca="1">IF(AND(Assumptions!$H$71="Yes",A56&gt;=Assumptions!$H$72,A56&lt;=Assumptions!$H$73),0,IF(EU56&gt;0,MAX(BI56*(1+VLOOKUP($C56,WeatherCapacityAdjustment,3))-FQ56,0),0))</f>
        <v>46560</v>
      </c>
      <c r="FZ56" s="530">
        <f ca="1">IF(AND(Assumptions!$H$71="Yes",A56&gt;=Assumptions!$H$72,A56&lt;=Assumptions!$H$73),0,IF(EV56&gt;0,MAX(BJ56*(1+VLOOKUP($C56,WeatherCapacityAdjustment,2))-FR56,0),0))</f>
        <v>46560</v>
      </c>
      <c r="GA56" s="622">
        <f ca="1">IF(AND(Assumptions!$H$71="Yes",A56&gt;=Assumptions!$H$72,A56&lt;=Assumptions!$H$73),0,IF(EW56&gt;0,MAX(BK56*(1+VLOOKUP($C56,WeatherCapacityAdjustment,2))-FS56,0),0))</f>
        <v>144336</v>
      </c>
      <c r="GB56" s="530">
        <f t="shared" ca="1" si="65"/>
        <v>541260</v>
      </c>
      <c r="GC56" s="545">
        <f t="shared" ca="1" si="66"/>
        <v>46.689269675286567</v>
      </c>
      <c r="GD56" s="530">
        <f t="shared" ca="1" si="223"/>
        <v>25271034.104445603</v>
      </c>
      <c r="GE56" s="1485">
        <f t="shared" ca="1" si="224"/>
        <v>760310.08704000001</v>
      </c>
      <c r="GF56" s="1776">
        <f t="shared" ca="1" si="225"/>
        <v>3041240.3481600001</v>
      </c>
      <c r="GG56" s="545">
        <f t="shared" si="190"/>
        <v>2.4012304046596729</v>
      </c>
      <c r="GH56" s="622">
        <f t="shared" ca="1" si="191"/>
        <v>9128398.4898494519</v>
      </c>
      <c r="GI56" s="621">
        <f t="shared" ca="1" si="152"/>
        <v>541260</v>
      </c>
      <c r="GJ56" s="638">
        <f t="shared" si="68"/>
        <v>1.8</v>
      </c>
      <c r="GK56" s="625">
        <f t="shared" ca="1" si="166"/>
        <v>974268</v>
      </c>
      <c r="GL56" s="640">
        <f t="shared" ca="1" si="226"/>
        <v>0</v>
      </c>
      <c r="GM56" s="530">
        <f t="shared" ca="1" si="227"/>
        <v>0</v>
      </c>
      <c r="GN56" s="530">
        <f t="shared" ca="1" si="228"/>
        <v>0</v>
      </c>
      <c r="GO56" s="622">
        <f t="shared" ca="1" si="229"/>
        <v>0</v>
      </c>
      <c r="GP56" s="530">
        <f t="shared" ca="1" si="73"/>
        <v>0</v>
      </c>
      <c r="GQ56" s="545">
        <f t="shared" ca="1" si="74"/>
        <v>0</v>
      </c>
      <c r="GR56" s="625">
        <f t="shared" ca="1" si="230"/>
        <v>0</v>
      </c>
      <c r="GS56" s="640">
        <f>IF($A56&gt;=BegDate,Assumptions!$C$56*24*($A57-$A56)*(1-VLOOKUP($B56,MAIN!$AA$7:$AM$28,$C56+1))*(1-VLOOKUP($B56,MAIN!$AA$33:$AM$54,$C56+1)),0)*80/168</f>
        <v>257742.85714285713</v>
      </c>
      <c r="GT56" s="1715">
        <f t="shared" si="153"/>
        <v>62.6235820128</v>
      </c>
      <c r="GU56" s="1715">
        <f>IF($A56&gt;=BegDate,VLOOKUP($A56,GasTable,13)+Assumptions!$C$58,0)</f>
        <v>2.4012304046596729</v>
      </c>
      <c r="GV56" s="1715">
        <f>GU56*Assumptions!$C$57/1000</f>
        <v>17.408920433782626</v>
      </c>
      <c r="GW56" s="625">
        <f>IF(Assumptions!$C$60="Hourly",MAX(0,GS56*(GT56-GV56)),GS56*(GT56-GV56))</f>
        <v>11653756.060123306</v>
      </c>
      <c r="GX56" s="640">
        <f>IF($A56&gt;=BegDate,Assumptions!$C$56*24*($A57-$A56)*(1-VLOOKUP($B56,MAIN!$AA$7:$AM$28,$C56+1))*(1-VLOOKUP($B56,MAIN!$AA$33:$AM$54,$C56+1)),0)*16/168</f>
        <v>51548.571428571428</v>
      </c>
      <c r="GY56" s="1715">
        <f t="shared" si="154"/>
        <v>62.6235820128</v>
      </c>
      <c r="GZ56" s="1715">
        <f>IF($A56&gt;=BegDate,VLOOKUP($A56,GasTable,13)+Assumptions!$C$58,0)</f>
        <v>2.4012304046596729</v>
      </c>
      <c r="HA56" s="1715">
        <f>GZ56*Assumptions!$C$57/1000</f>
        <v>17.408920433782626</v>
      </c>
      <c r="HB56" s="625">
        <f>IF(Assumptions!$C$60="Hourly",MAX(0,GX56*(GY56-HA56)),GX56*(GY56-HA56))</f>
        <v>2330751.2120246612</v>
      </c>
      <c r="HC56" s="640">
        <f>IF($A56&gt;=BegDate,Assumptions!$C$56*24*($A57-$A56)*(1-VLOOKUP($B56,MAIN!$AA$7:$AM$28,$C56+1))*(1-VLOOKUP($B56,MAIN!$AA$33:$AM$54,$C56+1)),0)*16/168</f>
        <v>51548.571428571428</v>
      </c>
      <c r="HD56" s="1715">
        <f t="shared" si="155"/>
        <v>26.4798987408</v>
      </c>
      <c r="HE56" s="1715">
        <f>IF($A56&gt;=BegDate,VLOOKUP($A56,GasTable,13)+Assumptions!$C$58,0)</f>
        <v>2.4012304046596729</v>
      </c>
      <c r="HF56" s="1715">
        <f>HE56*Assumptions!$C$57/1000</f>
        <v>17.408920433782626</v>
      </c>
      <c r="HG56" s="625">
        <f>IF(Assumptions!$C$60="Hourly",MAX(0,HC56*(HD56-HF56)),HC56*(HD56-HF56))</f>
        <v>467595.973186307</v>
      </c>
      <c r="HH56" s="640">
        <f>IF($A56&gt;=BegDate,Assumptions!$C$56*24*($A57-$A56)*(1-VLOOKUP($B56,MAIN!$AA$7:$AM$28,$C56+1))*(1-VLOOKUP($B56,MAIN!$AA$33:$AM$54,$C56+1)),0)*56/168</f>
        <v>180420</v>
      </c>
      <c r="HI56" s="1715">
        <f t="shared" si="156"/>
        <v>26.4798987408</v>
      </c>
      <c r="HJ56" s="1715">
        <f>IF($A56&gt;=BegDate,VLOOKUP($A56,GasTable,13)+Assumptions!$C$58,0)</f>
        <v>2.4012304046596729</v>
      </c>
      <c r="HK56" s="1715">
        <f>HJ56*Assumptions!$C$57/1000</f>
        <v>17.408920433782626</v>
      </c>
      <c r="HL56" s="625">
        <f>IF(Assumptions!$C$60="Hourly",MAX(0,HH56*(HI56-HK56)),HH56*(HI56-HK56))</f>
        <v>1636585.9061520745</v>
      </c>
      <c r="HM56" s="640">
        <f>IF(AND(Assumptions!$H$71="Yes",A56&gt;=Assumptions!$H$72,A56&lt;=Assumptions!$H$73),Assumptions!$H$74*Assumptions!$C$9*1000,0)</f>
        <v>0</v>
      </c>
      <c r="HN56" s="530"/>
      <c r="HO56" s="545"/>
      <c r="HP56" s="545"/>
      <c r="HQ56" s="545"/>
      <c r="HR56" s="545"/>
      <c r="HS56" s="545"/>
      <c r="HT56" s="545"/>
      <c r="HU56" s="545"/>
      <c r="HV56" s="545"/>
      <c r="HW56" s="545"/>
      <c r="HX56" s="545"/>
      <c r="HY56" s="545"/>
      <c r="HZ56" s="545"/>
      <c r="IA56" s="545"/>
      <c r="IB56" s="545"/>
      <c r="IC56" s="545"/>
      <c r="ID56" s="545"/>
      <c r="IE56" s="545"/>
      <c r="IF56" s="545"/>
      <c r="IG56" s="545"/>
      <c r="IH56" s="545"/>
      <c r="II56" s="1464"/>
      <c r="IJ56" s="1463"/>
      <c r="IK56" s="1463"/>
    </row>
    <row r="57" spans="1:245">
      <c r="A57" s="177">
        <f t="shared" si="87"/>
        <v>37865</v>
      </c>
      <c r="B57" s="349">
        <f t="shared" si="88"/>
        <v>2003</v>
      </c>
      <c r="C57" s="15">
        <f t="shared" si="89"/>
        <v>9</v>
      </c>
      <c r="D57" s="612">
        <f t="shared" si="90"/>
        <v>37865</v>
      </c>
      <c r="E57" s="609">
        <f t="shared" si="91"/>
        <v>37865</v>
      </c>
      <c r="F57" s="614">
        <f t="shared" si="2"/>
        <v>37894</v>
      </c>
      <c r="G57" s="1349">
        <v>0</v>
      </c>
      <c r="H57" s="152">
        <f t="shared" si="165"/>
        <v>1</v>
      </c>
      <c r="I57" s="154">
        <f>IF(Assumptions!$L$25=4,VLOOKUP($A57,'Henwood Reference'!$E$9:$R$320,10),(VLOOKUP($A57,PriceTable,2,0)+IF(BasisNumber&lt;&gt;1,VLOOKUP($A57,BasisTable,2,0),0)+I$1)/(1-I$2))</f>
        <v>48.031229167199996</v>
      </c>
      <c r="J57" s="154">
        <f>IF(Assumptions!$L$25=4,VLOOKUP($A57,'Henwood Reference'!$E$9:$R$320,10),(VLOOKUP($A57,PriceTable,3,0)+IF(BasisNumber&lt;&gt;1,VLOOKUP($A57,BasisTable,2,0),0)+J$1)/(1-J$2))</f>
        <v>48.031229167199996</v>
      </c>
      <c r="K57" s="154">
        <f>IF(Assumptions!$L$25=4,VLOOKUP($A57,'Henwood Reference'!$E$9:$R$320,10),(VLOOKUP($A57,PriceTable,4,0)+IF(BasisNumber&lt;&gt;1,VLOOKUP($A57,BasisTable,2,0),0)+K$1)/(1-K$2))</f>
        <v>48.031229167199996</v>
      </c>
      <c r="L57" s="474">
        <f>IF(Assumptions!$L$25=4,VLOOKUP($A57,'Henwood Reference'!$E$9:$R$320,10),(VLOOKUP($A57,PriceTableWeekend,2,0)+IF(BasisNumber&lt;&gt;1,VLOOKUP($A57,BasisTable,2,0),0)+L$1)/(1-L$2))</f>
        <v>48.031229167199996</v>
      </c>
      <c r="M57" s="154">
        <f>IF(Assumptions!$L$25=4,VLOOKUP($A57,'Henwood Reference'!$E$9:$R$320,10),(VLOOKUP($A57,PriceTableWeekend,3,0)+IF(BasisNumber&lt;&gt;1,VLOOKUP($A57,BasisTable,2,0),0)+M$1)/(1-M$2))</f>
        <v>48.031229167199996</v>
      </c>
      <c r="N57" s="156">
        <f>IF(Assumptions!$L$25=4,VLOOKUP($A57,'Henwood Reference'!$E$9:$R$320,10),(VLOOKUP($A57,PriceTableWeekend,4,0)+IF(BasisNumber&lt;&gt;1,VLOOKUP($A57,BasisTable,2,0),0)+N$1)/(1-N$2))</f>
        <v>48.031229167199996</v>
      </c>
      <c r="O57" s="154">
        <f>IF(Assumptions!$L$25=4,VLOOKUP($A57,'Henwood Reference'!$E$9:$R$320,11),(VLOOKUP($A57,PriceTableWeekend,6,0)+IF(BasisNumber&lt;&gt;1,VLOOKUP($A57,BasisTable,3,0),0)+O$1)/(1-O$2))</f>
        <v>25.720498295999995</v>
      </c>
      <c r="P57" s="154">
        <f>IF(Assumptions!$L$25=4,VLOOKUP($A57,'Henwood Reference'!$E$9:$R$320,11),(VLOOKUP($A57,PriceTableWeekend,7,0)+IF(BasisNumber&lt;&gt;1,VLOOKUP($A57,BasisTable,3,0),0)+P$1)/(1-P$2))</f>
        <v>25.720498295999995</v>
      </c>
      <c r="Q57" s="156">
        <f>IF(Assumptions!$L$25=4,VLOOKUP($A57,'Henwood Reference'!$E$9:$R$320,11),(VLOOKUP($A57,PriceTableWeekend,8,0)+IF(BasisNumber&lt;&gt;1,VLOOKUP($A57,BasisTable,3,0),0)+Q$1)/(1-Q$2))</f>
        <v>25.720498295999995</v>
      </c>
      <c r="R57" s="154">
        <f>IF(Assumptions!$L$25=4,VLOOKUP($A57,'Henwood Reference'!$E$9:$R$320,11),(VLOOKUP($A57,PriceTable,6,0)+IF(BasisNumber&lt;&gt;1,VLOOKUP($A57,BasisTable,3,0),0)+R$1)/(1-R$2))</f>
        <v>25.720498295999995</v>
      </c>
      <c r="S57" s="154">
        <f>IF(Assumptions!$L$25=4,VLOOKUP($A57,'Henwood Reference'!$E$9:$R$320,11),(VLOOKUP($A57,PriceTable,7,0)+IF(BasisNumber&lt;&gt;1,VLOOKUP($A57,BasisTable,3,0),0)+S$1)/(1-S$2))</f>
        <v>25.720498295999995</v>
      </c>
      <c r="T57" s="155">
        <f>IF(Assumptions!$L$25=4,VLOOKUP($A57,'Henwood Reference'!$E$9:$R$320,11),(VLOOKUP($A57,PriceTable,8,0)+IF(BasisNumber&lt;&gt;1,VLOOKUP($A57,BasisTable,3,0),0)+T$1)/(1-T$2))</f>
        <v>25.720498295999995</v>
      </c>
      <c r="U57" s="173">
        <f t="shared" si="92"/>
        <v>0.155</v>
      </c>
      <c r="V57" s="173">
        <f t="shared" si="93"/>
        <v>0.16500000000000001</v>
      </c>
      <c r="W57" s="174">
        <f t="shared" si="94"/>
        <v>0.17499999999999999</v>
      </c>
      <c r="X57" s="173">
        <f t="shared" si="95"/>
        <v>0.155</v>
      </c>
      <c r="Y57" s="173">
        <f t="shared" si="96"/>
        <v>0.16500000000000001</v>
      </c>
      <c r="Z57" s="174">
        <f t="shared" si="97"/>
        <v>0.17499999999999999</v>
      </c>
      <c r="AA57" s="173">
        <f t="shared" si="98"/>
        <v>0.09</v>
      </c>
      <c r="AB57" s="173">
        <f t="shared" si="99"/>
        <v>0.11</v>
      </c>
      <c r="AC57" s="174">
        <f t="shared" si="100"/>
        <v>0.13</v>
      </c>
      <c r="AD57" s="173">
        <f t="shared" si="101"/>
        <v>0.09</v>
      </c>
      <c r="AE57" s="173">
        <f t="shared" si="102"/>
        <v>0.11</v>
      </c>
      <c r="AF57" s="174">
        <f t="shared" si="103"/>
        <v>0.13</v>
      </c>
      <c r="AG57" s="173">
        <f t="shared" si="104"/>
        <v>-0.35</v>
      </c>
      <c r="AH57" s="173">
        <f t="shared" si="105"/>
        <v>3</v>
      </c>
      <c r="AI57" s="174">
        <f t="shared" si="106"/>
        <v>0.2</v>
      </c>
      <c r="AJ57" s="173">
        <f t="shared" si="107"/>
        <v>-0.35</v>
      </c>
      <c r="AK57" s="173">
        <f t="shared" si="108"/>
        <v>3</v>
      </c>
      <c r="AL57" s="174">
        <f t="shared" si="109"/>
        <v>0.2</v>
      </c>
      <c r="AM57" s="173">
        <f t="shared" si="110"/>
        <v>-0.01</v>
      </c>
      <c r="AN57" s="173">
        <f t="shared" si="111"/>
        <v>0.16</v>
      </c>
      <c r="AO57" s="174">
        <f t="shared" si="112"/>
        <v>0.01</v>
      </c>
      <c r="AP57" s="173">
        <f t="shared" si="113"/>
        <v>-0.01</v>
      </c>
      <c r="AQ57" s="173">
        <f t="shared" si="114"/>
        <v>0.16</v>
      </c>
      <c r="AR57" s="175">
        <f t="shared" si="115"/>
        <v>0.01</v>
      </c>
      <c r="AS57" s="521">
        <f t="shared" si="188"/>
        <v>0.5</v>
      </c>
      <c r="AT57" s="349">
        <f t="shared" si="117"/>
        <v>21</v>
      </c>
      <c r="AU57" s="159">
        <f t="shared" si="3"/>
        <v>4</v>
      </c>
      <c r="AV57" s="159">
        <f t="shared" si="4"/>
        <v>4</v>
      </c>
      <c r="AW57" s="159">
        <f t="shared" si="189"/>
        <v>1</v>
      </c>
      <c r="AX57" s="15">
        <f t="shared" si="119"/>
        <v>30</v>
      </c>
      <c r="AY57" s="607">
        <f>IF(E57="",0,MIN((1-(1-VLOOKUP(B57,MAIN!$AA$7:$AM$28,C57+1))*(1-VLOOKUP(B57,MAIN!$AA$33:$AM$54,C57+1))),1))</f>
        <v>3.0000000000000027E-2</v>
      </c>
      <c r="AZ57" s="337">
        <v>48888</v>
      </c>
      <c r="BA57" s="509">
        <v>9312</v>
      </c>
      <c r="BB57" s="509">
        <v>11640</v>
      </c>
      <c r="BC57" s="511">
        <v>34920</v>
      </c>
      <c r="BD57" s="153">
        <v>0.9699999927729368</v>
      </c>
      <c r="BE57" s="474">
        <v>0.9699999927729368</v>
      </c>
      <c r="BF57" s="474">
        <v>0.9699999927729368</v>
      </c>
      <c r="BG57" s="515">
        <v>0.9699999927729368</v>
      </c>
      <c r="BH57" s="262">
        <v>195552</v>
      </c>
      <c r="BI57" s="509">
        <v>37248</v>
      </c>
      <c r="BJ57" s="509">
        <v>46560</v>
      </c>
      <c r="BK57" s="511">
        <v>139680</v>
      </c>
      <c r="BL57" s="153">
        <v>0.9699999927729368</v>
      </c>
      <c r="BM57" s="474">
        <v>0.9699999927729368</v>
      </c>
      <c r="BN57" s="474">
        <v>0.9699999927729368</v>
      </c>
      <c r="BO57" s="474">
        <v>0.9699999927729368</v>
      </c>
      <c r="BP57" s="261">
        <f t="shared" si="120"/>
        <v>69840</v>
      </c>
      <c r="BQ57" s="578">
        <f t="shared" si="121"/>
        <v>104760</v>
      </c>
      <c r="BR57" s="259">
        <f t="shared" si="122"/>
        <v>279360</v>
      </c>
      <c r="BS57" s="578">
        <f t="shared" si="123"/>
        <v>419040</v>
      </c>
      <c r="BT57" s="216">
        <f t="shared" si="124"/>
        <v>3.3812457221081451</v>
      </c>
      <c r="BU57" s="218">
        <f t="shared" si="5"/>
        <v>48.031228809339446</v>
      </c>
      <c r="BV57" s="216">
        <f t="shared" si="6"/>
        <v>48.031228809339446</v>
      </c>
      <c r="BW57" s="216">
        <f t="shared" si="7"/>
        <v>25.720498104367348</v>
      </c>
      <c r="BX57" s="216">
        <f t="shared" si="125"/>
        <v>25.720498104367348</v>
      </c>
      <c r="BY57" s="216">
        <f t="shared" si="8"/>
        <v>44.312773691844093</v>
      </c>
      <c r="BZ57" s="216">
        <f t="shared" si="9"/>
        <v>38.115348496018512</v>
      </c>
      <c r="CA57" s="264">
        <f t="shared" si="10"/>
        <v>48.031228809339446</v>
      </c>
      <c r="CB57" s="216">
        <f t="shared" si="11"/>
        <v>48.031228809339446</v>
      </c>
      <c r="CC57" s="216">
        <f t="shared" si="12"/>
        <v>25.720498104367348</v>
      </c>
      <c r="CD57" s="216">
        <f t="shared" si="126"/>
        <v>25.720498104367348</v>
      </c>
      <c r="CE57" s="216">
        <f t="shared" si="13"/>
        <v>44.312773691844093</v>
      </c>
      <c r="CF57" s="571">
        <f t="shared" si="14"/>
        <v>38.115348496018512</v>
      </c>
      <c r="CG57" s="573">
        <f t="shared" si="15"/>
        <v>0.16500000000000001</v>
      </c>
      <c r="CH57" s="219">
        <f t="shared" si="16"/>
        <v>0.16500000000000001</v>
      </c>
      <c r="CI57" s="219">
        <f t="shared" si="17"/>
        <v>0.11</v>
      </c>
      <c r="CJ57" s="219">
        <f t="shared" si="18"/>
        <v>0.15975057355023276</v>
      </c>
      <c r="CK57" s="219">
        <f t="shared" si="19"/>
        <v>0.15975057355023276</v>
      </c>
      <c r="CL57" s="219">
        <f t="shared" si="20"/>
        <v>0.11</v>
      </c>
      <c r="CM57" s="219">
        <f t="shared" si="21"/>
        <v>0.13825613075280035</v>
      </c>
      <c r="CN57" s="569">
        <f t="shared" si="22"/>
        <v>0.13825613075280035</v>
      </c>
      <c r="CO57" s="264">
        <f t="shared" si="175"/>
        <v>17.573064222438632</v>
      </c>
      <c r="CP57" s="216">
        <f t="shared" si="127"/>
        <v>17.573064222438632</v>
      </c>
      <c r="CQ57" s="216">
        <f t="shared" ca="1" si="192"/>
        <v>17.573064222438632</v>
      </c>
      <c r="CR57" s="216">
        <f t="shared" ca="1" si="193"/>
        <v>17.573064222438632</v>
      </c>
      <c r="CS57" s="1626">
        <f t="shared" ca="1" si="194"/>
        <v>17.573064222438632</v>
      </c>
      <c r="CT57" s="216">
        <f t="shared" si="131"/>
        <v>17.573064222438632</v>
      </c>
      <c r="CU57" s="575">
        <f t="shared" si="23"/>
        <v>0.185</v>
      </c>
      <c r="CV57" s="154">
        <f t="shared" si="24"/>
        <v>0.5</v>
      </c>
      <c r="CW57" s="216">
        <f>IF(OR($BQ57,$BS57),SpreadOptPowerMargin,0)*((1+Assumptions!$C$26)^($B57-YEAR(Assumptions!$C$17)))</f>
        <v>1.8</v>
      </c>
      <c r="CX57" s="216">
        <f>IF(OR($BQ57,$BS57),SpreadOptPowerMargin,0)*((1+Assumptions!$C$26)^($B57-YEAR(Assumptions!$C$17)))</f>
        <v>1.8</v>
      </c>
      <c r="CY57" s="216">
        <f>IF(OR($BQ57,$BS57),SpreadOptPowerMargin,0)*((1+Assumptions!$C$26)^($B57-YEAR(Assumptions!$C$17)))</f>
        <v>1.8</v>
      </c>
      <c r="CZ57" s="216">
        <f>IF(OR($BQ57,$BS57),SpreadOptPowerMargin,0)*((1+Assumptions!$C$26)^($B57-YEAR(Assumptions!$C$17)))</f>
        <v>1.8</v>
      </c>
      <c r="DA57" s="440">
        <f t="shared" si="25"/>
        <v>1.8</v>
      </c>
      <c r="DB57" s="479">
        <f t="shared" si="26"/>
        <v>0.16500000000000001</v>
      </c>
      <c r="DC57" s="479">
        <f t="shared" si="27"/>
        <v>0.16500000000000001</v>
      </c>
      <c r="DD57" s="479">
        <f t="shared" si="28"/>
        <v>0.11</v>
      </c>
      <c r="DE57" s="479">
        <f t="shared" si="29"/>
        <v>0.11</v>
      </c>
      <c r="DF57" s="479">
        <f t="shared" si="30"/>
        <v>0.13825613075280035</v>
      </c>
      <c r="DG57" s="574">
        <f t="shared" si="31"/>
        <v>0.13825613075280035</v>
      </c>
      <c r="DH57" s="216">
        <f t="shared" si="32"/>
        <v>28.662653701737888</v>
      </c>
      <c r="DI57" s="216">
        <f t="shared" si="33"/>
        <v>28.662653701737888</v>
      </c>
      <c r="DJ57" s="216">
        <f t="shared" ca="1" si="195"/>
        <v>6.822403739336008</v>
      </c>
      <c r="DK57" s="216">
        <f t="shared" ca="1" si="196"/>
        <v>6.822403739336008</v>
      </c>
      <c r="DL57" s="216">
        <f t="shared" ca="1" si="197"/>
        <v>18.767758504615252</v>
      </c>
      <c r="DM57" s="216"/>
      <c r="DN57" s="216"/>
      <c r="DO57" s="216"/>
      <c r="DP57" s="216"/>
      <c r="DQ57" s="216"/>
      <c r="DR57" s="216"/>
      <c r="DS57" s="216"/>
      <c r="DT57" s="216"/>
      <c r="DU57" s="216"/>
      <c r="DV57" s="216"/>
      <c r="DW57" s="1371">
        <f t="shared" si="37"/>
        <v>6.822403739336008</v>
      </c>
      <c r="DX57" s="216">
        <f t="shared" si="38"/>
        <v>6.822403739336008</v>
      </c>
      <c r="DY57" s="440">
        <f t="shared" si="39"/>
        <v>18.955875940670389</v>
      </c>
      <c r="DZ57" s="180">
        <f t="shared" si="40"/>
        <v>1401259.814170562</v>
      </c>
      <c r="EA57" s="180">
        <f t="shared" si="41"/>
        <v>266906.6312705832</v>
      </c>
      <c r="EB57" s="180">
        <f t="shared" ca="1" si="198"/>
        <v>79412.779525871127</v>
      </c>
      <c r="EC57" s="180">
        <f t="shared" ca="1" si="199"/>
        <v>238238.33857761341</v>
      </c>
      <c r="ED57" s="180">
        <f t="shared" ca="1" si="200"/>
        <v>1966110.3809434937</v>
      </c>
      <c r="EE57" s="581">
        <f t="shared" si="45"/>
        <v>1401040.350324407</v>
      </c>
      <c r="EF57" s="554">
        <f t="shared" si="46"/>
        <v>266864.8286332204</v>
      </c>
      <c r="EG57" s="554">
        <f t="shared" ca="1" si="201"/>
        <v>73884.130385650249</v>
      </c>
      <c r="EH57" s="554">
        <f t="shared" ca="1" si="202"/>
        <v>221652.39115695073</v>
      </c>
      <c r="EI57" s="561">
        <f t="shared" ca="1" si="49"/>
        <v>1963441.7005002282</v>
      </c>
      <c r="EJ57" s="581">
        <f t="shared" si="132"/>
        <v>219.46384615497664</v>
      </c>
      <c r="EK57" s="554">
        <f t="shared" si="133"/>
        <v>41.802637362794485</v>
      </c>
      <c r="EL57" s="554">
        <f t="shared" ca="1" si="203"/>
        <v>5528.6491402208776</v>
      </c>
      <c r="EM57" s="554">
        <f t="shared" ca="1" si="204"/>
        <v>16585.947420662676</v>
      </c>
      <c r="EN57" s="561">
        <f t="shared" ca="1" si="205"/>
        <v>2668.6804432654753</v>
      </c>
      <c r="EO57" s="180">
        <f t="shared" si="50"/>
        <v>5605039.2566822479</v>
      </c>
      <c r="EP57" s="180">
        <f t="shared" si="51"/>
        <v>1067626.5250823328</v>
      </c>
      <c r="EQ57" s="180">
        <f t="shared" si="52"/>
        <v>317651.11810348451</v>
      </c>
      <c r="ER57" s="180">
        <f t="shared" si="53"/>
        <v>952953.35431045364</v>
      </c>
      <c r="ES57" s="180">
        <f t="shared" si="54"/>
        <v>7943270.2541785194</v>
      </c>
      <c r="ET57" s="1482">
        <f t="shared" ca="1" si="206"/>
        <v>5604161.4012976279</v>
      </c>
      <c r="EU57" s="180">
        <f t="shared" ca="1" si="207"/>
        <v>1067459.3145328816</v>
      </c>
      <c r="EV57" s="180">
        <f t="shared" ca="1" si="208"/>
        <v>295536.521542601</v>
      </c>
      <c r="EW57" s="180">
        <f t="shared" ca="1" si="209"/>
        <v>886609.56462780293</v>
      </c>
      <c r="EX57" s="555">
        <f t="shared" ca="1" si="182"/>
        <v>7853766.8020009138</v>
      </c>
      <c r="EY57" s="180">
        <f t="shared" ca="1" si="210"/>
        <v>877.85538461990654</v>
      </c>
      <c r="EZ57" s="180">
        <f t="shared" ca="1" si="211"/>
        <v>167.21054945117794</v>
      </c>
      <c r="FA57" s="180">
        <f t="shared" ca="1" si="212"/>
        <v>22114.59656088351</v>
      </c>
      <c r="FB57" s="180">
        <f t="shared" ca="1" si="213"/>
        <v>66343.789682650706</v>
      </c>
      <c r="FC57" s="180">
        <f t="shared" ca="1" si="214"/>
        <v>89503.452177605592</v>
      </c>
      <c r="FD57" s="262">
        <f>IF(AX57,IF(VLOOKUP(C57,MAIN!$L$17:$M$28,2)="Yes",VLOOKUP(CALC!B57,MAIN!$H$17:$I$20,2),0),0)</f>
        <v>0</v>
      </c>
      <c r="FE57" s="623">
        <f t="shared" si="60"/>
        <v>0</v>
      </c>
      <c r="FF57" s="535">
        <f t="shared" si="61"/>
        <v>0</v>
      </c>
      <c r="FG57" s="535">
        <f t="shared" si="62"/>
        <v>0</v>
      </c>
      <c r="FH57" s="624">
        <f t="shared" si="63"/>
        <v>0</v>
      </c>
      <c r="FI57" s="632">
        <f>IF(AX57,VLOOKUP(CALC!B57,MAIN!$H$17:$K$20,4),0)</f>
        <v>0</v>
      </c>
      <c r="FJ57" s="535">
        <f t="shared" si="64"/>
        <v>0</v>
      </c>
      <c r="FK57" s="648">
        <f t="shared" si="142"/>
        <v>0</v>
      </c>
      <c r="FL57" s="530">
        <f t="shared" ca="1" si="215"/>
        <v>0</v>
      </c>
      <c r="FM57" s="530">
        <f t="shared" ca="1" si="216"/>
        <v>0</v>
      </c>
      <c r="FN57" s="530">
        <f t="shared" ca="1" si="217"/>
        <v>0</v>
      </c>
      <c r="FO57" s="622">
        <f t="shared" ca="1" si="218"/>
        <v>0</v>
      </c>
      <c r="FP57" s="530">
        <f t="shared" ca="1" si="219"/>
        <v>0</v>
      </c>
      <c r="FQ57" s="530">
        <f t="shared" ca="1" si="220"/>
        <v>0</v>
      </c>
      <c r="FR57" s="530">
        <f t="shared" ca="1" si="221"/>
        <v>0</v>
      </c>
      <c r="FS57" s="625">
        <f t="shared" ca="1" si="222"/>
        <v>0</v>
      </c>
      <c r="FT57" s="640">
        <f ca="1">IF(AND(Assumptions!$H$71="Yes",A57&gt;=Assumptions!$H$72,A57&lt;=Assumptions!$H$73),0,IF(AND($A57&gt;=Assumptions!$C$17,$A57&lt;=Assumptions!$C$18),MAX(AZ57*(1+VLOOKUP($C57,WeatherCapacityAdjustment,2))-FL57,0),0))</f>
        <v>48888</v>
      </c>
      <c r="FU57" s="530">
        <f ca="1">IF(AND(Assumptions!$H$71="Yes",A57&gt;=Assumptions!$H$72,A57&lt;=Assumptions!$H$73),0,IF(AND($A57&gt;=Assumptions!$C$17,$A57&lt;=Assumptions!$C$18),MAX(BA57*(1+VLOOKUP($C57,WeatherCapacityAdjustment,2))-FM57,0),0))</f>
        <v>9312</v>
      </c>
      <c r="FV57" s="530">
        <f ca="1">IF(AND(Assumptions!$H$71="Yes",A57&gt;=Assumptions!$H$72,A57&lt;=Assumptions!$H$73),0,IF(AND($A57&gt;=Assumptions!$C$17,$A57&lt;=Assumptions!$C$18),MAX(BB57*(1+VLOOKUP($C57,WeatherCapacityAdjustment,2))-FN57,0),0))</f>
        <v>11640</v>
      </c>
      <c r="FW57" s="622">
        <f ca="1">IF(AND(Assumptions!$H$71="Yes",A57&gt;=Assumptions!$H$72,A57&lt;=Assumptions!$H$73),0,IF(AND($A57&gt;=Assumptions!$C$17,$A57&lt;=Assumptions!$C$18),MAX(BC57*(1+VLOOKUP($C57,WeatherCapacityAdjustment,3))-FO57,0),0))</f>
        <v>34920</v>
      </c>
      <c r="FX57" s="621">
        <f ca="1">IF(AND(Assumptions!$H$71="Yes",A57&gt;=Assumptions!$H$72,A57&lt;=Assumptions!$H$73),0,IF(ET57&gt;0,MAX(BH57*(1+VLOOKUP($C57,WeatherCapacityAdjustment,2))-FP57,0),0))</f>
        <v>195552</v>
      </c>
      <c r="FY57" s="530">
        <f ca="1">IF(AND(Assumptions!$H$71="Yes",A57&gt;=Assumptions!$H$72,A57&lt;=Assumptions!$H$73),0,IF(EU57&gt;0,MAX(BI57*(1+VLOOKUP($C57,WeatherCapacityAdjustment,3))-FQ57,0),0))</f>
        <v>37248</v>
      </c>
      <c r="FZ57" s="530">
        <f ca="1">IF(AND(Assumptions!$H$71="Yes",A57&gt;=Assumptions!$H$72,A57&lt;=Assumptions!$H$73),0,IF(EV57&gt;0,MAX(BJ57*(1+VLOOKUP($C57,WeatherCapacityAdjustment,2))-FR57,0),0))</f>
        <v>46560</v>
      </c>
      <c r="GA57" s="622">
        <f ca="1">IF(AND(Assumptions!$H$71="Yes",A57&gt;=Assumptions!$H$72,A57&lt;=Assumptions!$H$73),0,IF(EW57&gt;0,MAX(BK57*(1+VLOOKUP($C57,WeatherCapacityAdjustment,2))-FS57,0),0))</f>
        <v>139680</v>
      </c>
      <c r="GB57" s="530">
        <f t="shared" ca="1" si="65"/>
        <v>523800</v>
      </c>
      <c r="GC57" s="545">
        <f t="shared" ca="1" si="66"/>
        <v>38.115348496018505</v>
      </c>
      <c r="GD57" s="530">
        <f t="shared" ca="1" si="223"/>
        <v>19964819.542214498</v>
      </c>
      <c r="GE57" s="1485">
        <f t="shared" ca="1" si="224"/>
        <v>736091.94959999993</v>
      </c>
      <c r="GF57" s="1776">
        <f t="shared" ca="1" si="225"/>
        <v>2944367.7983999997</v>
      </c>
      <c r="GG57" s="545">
        <f t="shared" si="190"/>
        <v>2.5009840264427083</v>
      </c>
      <c r="GH57" s="622">
        <f t="shared" ca="1" si="191"/>
        <v>9204771.0397133548</v>
      </c>
      <c r="GI57" s="621">
        <f t="shared" ca="1" si="152"/>
        <v>523800</v>
      </c>
      <c r="GJ57" s="638">
        <f t="shared" si="68"/>
        <v>1.8</v>
      </c>
      <c r="GK57" s="625">
        <f t="shared" ca="1" si="166"/>
        <v>942840</v>
      </c>
      <c r="GL57" s="640">
        <f t="shared" ca="1" si="226"/>
        <v>0</v>
      </c>
      <c r="GM57" s="530">
        <f t="shared" ca="1" si="227"/>
        <v>0</v>
      </c>
      <c r="GN57" s="530">
        <f t="shared" ca="1" si="228"/>
        <v>0</v>
      </c>
      <c r="GO57" s="622">
        <f t="shared" ca="1" si="229"/>
        <v>0</v>
      </c>
      <c r="GP57" s="530">
        <f t="shared" ca="1" si="73"/>
        <v>0</v>
      </c>
      <c r="GQ57" s="545">
        <f t="shared" ca="1" si="74"/>
        <v>0</v>
      </c>
      <c r="GR57" s="625">
        <f t="shared" ca="1" si="230"/>
        <v>0</v>
      </c>
      <c r="GS57" s="640">
        <f>IF($A57&gt;=BegDate,Assumptions!$C$56*24*($A58-$A57)*(1-VLOOKUP($B57,MAIN!$AA$7:$AM$28,$C57+1))*(1-VLOOKUP($B57,MAIN!$AA$33:$AM$54,$C57+1)),0)*80/168</f>
        <v>249428.57142857142</v>
      </c>
      <c r="GT57" s="1715">
        <f t="shared" si="153"/>
        <v>48.031229167199996</v>
      </c>
      <c r="GU57" s="1715">
        <f>IF($A57&gt;=BegDate,VLOOKUP($A57,GasTable,13)+Assumptions!$C$58,0)</f>
        <v>2.5009840264427083</v>
      </c>
      <c r="GV57" s="1715">
        <f>GU57*Assumptions!$C$57/1000</f>
        <v>18.132134191709635</v>
      </c>
      <c r="GW57" s="625">
        <f>IF(Assumptions!$C$60="Hourly",MAX(0,GS57*(GT57-GV57)),GS57*(GT57-GV57))</f>
        <v>7457688.5467437385</v>
      </c>
      <c r="GX57" s="640">
        <f>IF($A57&gt;=BegDate,Assumptions!$C$56*24*($A58-$A57)*(1-VLOOKUP($B57,MAIN!$AA$7:$AM$28,$C57+1))*(1-VLOOKUP($B57,MAIN!$AA$33:$AM$54,$C57+1)),0)*16/168</f>
        <v>49885.714285714283</v>
      </c>
      <c r="GY57" s="1715">
        <f t="shared" si="154"/>
        <v>48.031229167199996</v>
      </c>
      <c r="GZ57" s="1715">
        <f>IF($A57&gt;=BegDate,VLOOKUP($A57,GasTable,13)+Assumptions!$C$58,0)</f>
        <v>2.5009840264427083</v>
      </c>
      <c r="HA57" s="1715">
        <f>GZ57*Assumptions!$C$57/1000</f>
        <v>18.132134191709635</v>
      </c>
      <c r="HB57" s="625">
        <f>IF(Assumptions!$C$60="Hourly",MAX(0,GX57*(GY57-HA57)),GX57*(GY57-HA57))</f>
        <v>1491537.7093487475</v>
      </c>
      <c r="HC57" s="640">
        <f>IF($A57&gt;=BegDate,Assumptions!$C$56*24*($A58-$A57)*(1-VLOOKUP($B57,MAIN!$AA$7:$AM$28,$C57+1))*(1-VLOOKUP($B57,MAIN!$AA$33:$AM$54,$C57+1)),0)*16/168</f>
        <v>49885.714285714283</v>
      </c>
      <c r="HD57" s="1715">
        <f t="shared" si="155"/>
        <v>25.720498295999995</v>
      </c>
      <c r="HE57" s="1715">
        <f>IF($A57&gt;=BegDate,VLOOKUP($A57,GasTable,13)+Assumptions!$C$58,0)</f>
        <v>2.5009840264427083</v>
      </c>
      <c r="HF57" s="1715">
        <f>HE57*Assumptions!$C$57/1000</f>
        <v>18.132134191709635</v>
      </c>
      <c r="HG57" s="625">
        <f>IF(Assumptions!$C$60="Hourly",MAX(0,HC57*(HD57-HF57)),HC57*(HD57-HF57))</f>
        <v>378550.96360259905</v>
      </c>
      <c r="HH57" s="640">
        <f>IF($A57&gt;=BegDate,Assumptions!$C$56*24*($A58-$A57)*(1-VLOOKUP($B57,MAIN!$AA$7:$AM$28,$C57+1))*(1-VLOOKUP($B57,MAIN!$AA$33:$AM$54,$C57+1)),0)*56/168</f>
        <v>174600</v>
      </c>
      <c r="HI57" s="1715">
        <f t="shared" si="156"/>
        <v>25.720498295999995</v>
      </c>
      <c r="HJ57" s="1715">
        <f>IF($A57&gt;=BegDate,VLOOKUP($A57,GasTable,13)+Assumptions!$C$58,0)</f>
        <v>2.5009840264427083</v>
      </c>
      <c r="HK57" s="1715">
        <f>HJ57*Assumptions!$C$57/1000</f>
        <v>18.132134191709635</v>
      </c>
      <c r="HL57" s="625">
        <f>IF(Assumptions!$C$60="Hourly",MAX(0,HH57*(HI57-HK57)),HH57*(HI57-HK57))</f>
        <v>1324928.3726090968</v>
      </c>
      <c r="HM57" s="640">
        <f>IF(AND(Assumptions!$H$71="Yes",A57&gt;=Assumptions!$H$72,A57&lt;=Assumptions!$H$73),Assumptions!$H$74*Assumptions!$C$9*1000,0)</f>
        <v>0</v>
      </c>
      <c r="HN57" s="530"/>
      <c r="HO57" s="545"/>
      <c r="HP57" s="545"/>
      <c r="HQ57" s="545"/>
      <c r="HR57" s="545"/>
      <c r="HS57" s="545"/>
      <c r="HT57" s="545"/>
      <c r="HU57" s="545"/>
      <c r="HV57" s="545"/>
      <c r="HW57" s="545"/>
      <c r="HX57" s="545"/>
      <c r="HY57" s="545"/>
      <c r="HZ57" s="545"/>
      <c r="IA57" s="545"/>
      <c r="IB57" s="545"/>
      <c r="IC57" s="545"/>
      <c r="ID57" s="545"/>
      <c r="IE57" s="545"/>
      <c r="IF57" s="545"/>
      <c r="IG57" s="545"/>
      <c r="IH57" s="545"/>
      <c r="II57" s="1464"/>
      <c r="IJ57" s="1463"/>
      <c r="IK57" s="1463"/>
    </row>
    <row r="58" spans="1:245">
      <c r="A58" s="177">
        <f t="shared" si="87"/>
        <v>37895</v>
      </c>
      <c r="B58" s="349">
        <f t="shared" si="88"/>
        <v>2003</v>
      </c>
      <c r="C58" s="15">
        <f t="shared" si="89"/>
        <v>10</v>
      </c>
      <c r="D58" s="612" t="str">
        <f t="shared" si="90"/>
        <v/>
      </c>
      <c r="E58" s="609">
        <f t="shared" si="91"/>
        <v>37895</v>
      </c>
      <c r="F58" s="614">
        <f t="shared" si="2"/>
        <v>37925</v>
      </c>
      <c r="G58" s="1349">
        <v>0</v>
      </c>
      <c r="H58" s="152">
        <f t="shared" si="165"/>
        <v>1</v>
      </c>
      <c r="I58" s="154">
        <f>IF(Assumptions!$L$25=4,VLOOKUP($A58,'Henwood Reference'!$E$9:$R$320,10),(VLOOKUP($A58,PriceTable,2,0)+IF(BasisNumber&lt;&gt;1,VLOOKUP($A58,BasisTable,2,0),0)+I$1)/(1-I$2))</f>
        <v>37.662802523999993</v>
      </c>
      <c r="J58" s="154">
        <f>IF(Assumptions!$L$25=4,VLOOKUP($A58,'Henwood Reference'!$E$9:$R$320,10),(VLOOKUP($A58,PriceTable,3,0)+IF(BasisNumber&lt;&gt;1,VLOOKUP($A58,BasisTable,2,0),0)+J$1)/(1-J$2))</f>
        <v>37.662802523999993</v>
      </c>
      <c r="K58" s="154">
        <f>IF(Assumptions!$L$25=4,VLOOKUP($A58,'Henwood Reference'!$E$9:$R$320,10),(VLOOKUP($A58,PriceTable,4,0)+IF(BasisNumber&lt;&gt;1,VLOOKUP($A58,BasisTable,2,0),0)+K$1)/(1-K$2))</f>
        <v>37.662802523999993</v>
      </c>
      <c r="L58" s="474">
        <f>IF(Assumptions!$L$25=4,VLOOKUP($A58,'Henwood Reference'!$E$9:$R$320,10),(VLOOKUP($A58,PriceTableWeekend,2,0)+IF(BasisNumber&lt;&gt;1,VLOOKUP($A58,BasisTable,2,0),0)+L$1)/(1-L$2))</f>
        <v>37.662802523999993</v>
      </c>
      <c r="M58" s="154">
        <f>IF(Assumptions!$L$25=4,VLOOKUP($A58,'Henwood Reference'!$E$9:$R$320,10),(VLOOKUP($A58,PriceTableWeekend,3,0)+IF(BasisNumber&lt;&gt;1,VLOOKUP($A58,BasisTable,2,0),0)+M$1)/(1-M$2))</f>
        <v>37.662802523999993</v>
      </c>
      <c r="N58" s="156">
        <f>IF(Assumptions!$L$25=4,VLOOKUP($A58,'Henwood Reference'!$E$9:$R$320,10),(VLOOKUP($A58,PriceTableWeekend,4,0)+IF(BasisNumber&lt;&gt;1,VLOOKUP($A58,BasisTable,2,0),0)+N$1)/(1-N$2))</f>
        <v>37.662802523999993</v>
      </c>
      <c r="O58" s="154">
        <f>IF(Assumptions!$L$25=4,VLOOKUP($A58,'Henwood Reference'!$E$9:$R$320,11),(VLOOKUP($A58,PriceTableWeekend,6,0)+IF(BasisNumber&lt;&gt;1,VLOOKUP($A58,BasisTable,3,0),0)+O$1)/(1-O$2))</f>
        <v>24.127200604799999</v>
      </c>
      <c r="P58" s="154">
        <f>IF(Assumptions!$L$25=4,VLOOKUP($A58,'Henwood Reference'!$E$9:$R$320,11),(VLOOKUP($A58,PriceTableWeekend,7,0)+IF(BasisNumber&lt;&gt;1,VLOOKUP($A58,BasisTable,3,0),0)+P$1)/(1-P$2))</f>
        <v>24.127200604799999</v>
      </c>
      <c r="Q58" s="156">
        <f>IF(Assumptions!$L$25=4,VLOOKUP($A58,'Henwood Reference'!$E$9:$R$320,11),(VLOOKUP($A58,PriceTableWeekend,8,0)+IF(BasisNumber&lt;&gt;1,VLOOKUP($A58,BasisTable,3,0),0)+Q$1)/(1-Q$2))</f>
        <v>24.127200604799999</v>
      </c>
      <c r="R58" s="154">
        <f>IF(Assumptions!$L$25=4,VLOOKUP($A58,'Henwood Reference'!$E$9:$R$320,11),(VLOOKUP($A58,PriceTable,6,0)+IF(BasisNumber&lt;&gt;1,VLOOKUP($A58,BasisTable,3,0),0)+R$1)/(1-R$2))</f>
        <v>24.127200604799999</v>
      </c>
      <c r="S58" s="154">
        <f>IF(Assumptions!$L$25=4,VLOOKUP($A58,'Henwood Reference'!$E$9:$R$320,11),(VLOOKUP($A58,PriceTable,7,0)+IF(BasisNumber&lt;&gt;1,VLOOKUP($A58,BasisTable,3,0),0)+S$1)/(1-S$2))</f>
        <v>24.127200604799999</v>
      </c>
      <c r="T58" s="155">
        <f>IF(Assumptions!$L$25=4,VLOOKUP($A58,'Henwood Reference'!$E$9:$R$320,11),(VLOOKUP($A58,PriceTable,8,0)+IF(BasisNumber&lt;&gt;1,VLOOKUP($A58,BasisTable,3,0),0)+T$1)/(1-T$2))</f>
        <v>24.127200604799999</v>
      </c>
      <c r="U58" s="173">
        <f t="shared" si="92"/>
        <v>0.155</v>
      </c>
      <c r="V58" s="173">
        <f t="shared" si="93"/>
        <v>0.16500000000000001</v>
      </c>
      <c r="W58" s="174">
        <f t="shared" si="94"/>
        <v>0.17499999999999999</v>
      </c>
      <c r="X58" s="173">
        <f t="shared" si="95"/>
        <v>0.155</v>
      </c>
      <c r="Y58" s="173">
        <f t="shared" si="96"/>
        <v>0.16500000000000001</v>
      </c>
      <c r="Z58" s="174">
        <f t="shared" si="97"/>
        <v>0.17499999999999999</v>
      </c>
      <c r="AA58" s="173">
        <f t="shared" si="98"/>
        <v>0.09</v>
      </c>
      <c r="AB58" s="173">
        <f t="shared" si="99"/>
        <v>0.11</v>
      </c>
      <c r="AC58" s="174">
        <f t="shared" si="100"/>
        <v>0.13</v>
      </c>
      <c r="AD58" s="173">
        <f t="shared" si="101"/>
        <v>0.09</v>
      </c>
      <c r="AE58" s="173">
        <f t="shared" si="102"/>
        <v>0.11</v>
      </c>
      <c r="AF58" s="174">
        <f t="shared" si="103"/>
        <v>0.13</v>
      </c>
      <c r="AG58" s="173">
        <f t="shared" si="104"/>
        <v>-0.1</v>
      </c>
      <c r="AH58" s="173">
        <f t="shared" si="105"/>
        <v>0.6</v>
      </c>
      <c r="AI58" s="174">
        <f t="shared" si="106"/>
        <v>0.1</v>
      </c>
      <c r="AJ58" s="173">
        <f t="shared" si="107"/>
        <v>-0.1</v>
      </c>
      <c r="AK58" s="173">
        <f t="shared" si="108"/>
        <v>0.6</v>
      </c>
      <c r="AL58" s="174">
        <f t="shared" si="109"/>
        <v>0.1</v>
      </c>
      <c r="AM58" s="173">
        <f t="shared" si="110"/>
        <v>-0.01</v>
      </c>
      <c r="AN58" s="173">
        <f t="shared" si="111"/>
        <v>0.16</v>
      </c>
      <c r="AO58" s="174">
        <f t="shared" si="112"/>
        <v>0.01</v>
      </c>
      <c r="AP58" s="173">
        <f t="shared" si="113"/>
        <v>-0.01</v>
      </c>
      <c r="AQ58" s="173">
        <f t="shared" si="114"/>
        <v>0.16</v>
      </c>
      <c r="AR58" s="175">
        <f t="shared" si="115"/>
        <v>0.01</v>
      </c>
      <c r="AS58" s="521">
        <f t="shared" si="188"/>
        <v>0.5</v>
      </c>
      <c r="AT58" s="349">
        <f t="shared" si="117"/>
        <v>23</v>
      </c>
      <c r="AU58" s="159">
        <f t="shared" si="3"/>
        <v>4</v>
      </c>
      <c r="AV58" s="159">
        <f t="shared" si="4"/>
        <v>4</v>
      </c>
      <c r="AW58" s="159">
        <f t="shared" si="189"/>
        <v>0</v>
      </c>
      <c r="AX58" s="15">
        <f t="shared" si="119"/>
        <v>31</v>
      </c>
      <c r="AY58" s="607">
        <f>IF(E58="",0,MIN((1-(1-VLOOKUP(B58,MAIN!$AA$7:$AM$28,C58+1))*(1-VLOOKUP(B58,MAIN!$AA$33:$AM$54,C58+1))),1))</f>
        <v>3.0000000000000027E-2</v>
      </c>
      <c r="AZ58" s="337">
        <v>53544</v>
      </c>
      <c r="BA58" s="509">
        <v>9312</v>
      </c>
      <c r="BB58" s="509">
        <v>9312</v>
      </c>
      <c r="BC58" s="511">
        <v>36084</v>
      </c>
      <c r="BD58" s="153">
        <v>0.97000001445412631</v>
      </c>
      <c r="BE58" s="474">
        <v>0.97000001445412631</v>
      </c>
      <c r="BF58" s="474">
        <v>0.97000001445412631</v>
      </c>
      <c r="BG58" s="515">
        <v>0.9699999927729368</v>
      </c>
      <c r="BH58" s="262">
        <v>214176</v>
      </c>
      <c r="BI58" s="509">
        <v>37248</v>
      </c>
      <c r="BJ58" s="509">
        <v>37248</v>
      </c>
      <c r="BK58" s="511">
        <v>144336</v>
      </c>
      <c r="BL58" s="153">
        <v>0.97000001445412631</v>
      </c>
      <c r="BM58" s="474">
        <v>0.97000001445412631</v>
      </c>
      <c r="BN58" s="474">
        <v>0.97000001445412631</v>
      </c>
      <c r="BO58" s="474">
        <v>0.9699999927729368</v>
      </c>
      <c r="BP58" s="261">
        <f t="shared" si="120"/>
        <v>72168</v>
      </c>
      <c r="BQ58" s="578">
        <f t="shared" si="121"/>
        <v>108252</v>
      </c>
      <c r="BR58" s="259">
        <f t="shared" si="122"/>
        <v>288672</v>
      </c>
      <c r="BS58" s="578">
        <f t="shared" si="123"/>
        <v>433008</v>
      </c>
      <c r="BT58" s="216">
        <f t="shared" si="124"/>
        <v>3.463381245722108</v>
      </c>
      <c r="BU58" s="218">
        <f t="shared" si="5"/>
        <v>37.662803085219487</v>
      </c>
      <c r="BV58" s="216">
        <f t="shared" si="6"/>
        <v>37.662803085219487</v>
      </c>
      <c r="BW58" s="216">
        <f t="shared" si="7"/>
        <v>24.127200964323304</v>
      </c>
      <c r="BX58" s="216">
        <f t="shared" si="125"/>
        <v>24.127200425038346</v>
      </c>
      <c r="BY58" s="216">
        <f t="shared" si="8"/>
        <v>35.916273779297391</v>
      </c>
      <c r="BZ58" s="216">
        <f t="shared" si="9"/>
        <v>31.986582661211042</v>
      </c>
      <c r="CA58" s="264">
        <f t="shared" si="10"/>
        <v>37.662803085219487</v>
      </c>
      <c r="CB58" s="216">
        <f t="shared" si="11"/>
        <v>37.662803085219487</v>
      </c>
      <c r="CC58" s="216">
        <f t="shared" si="12"/>
        <v>24.127200964323304</v>
      </c>
      <c r="CD58" s="216">
        <f t="shared" si="126"/>
        <v>24.127200425038346</v>
      </c>
      <c r="CE58" s="216">
        <f t="shared" si="13"/>
        <v>35.916273779297391</v>
      </c>
      <c r="CF58" s="571">
        <f t="shared" si="14"/>
        <v>31.986582661211042</v>
      </c>
      <c r="CG58" s="573">
        <f t="shared" si="15"/>
        <v>0.16500000000000001</v>
      </c>
      <c r="CH58" s="219">
        <f t="shared" si="16"/>
        <v>0.16500000000000001</v>
      </c>
      <c r="CI58" s="219">
        <f t="shared" si="17"/>
        <v>0.11</v>
      </c>
      <c r="CJ58" s="219">
        <f t="shared" si="18"/>
        <v>0.16029888178748208</v>
      </c>
      <c r="CK58" s="219">
        <f t="shared" si="19"/>
        <v>0.16029888178748208</v>
      </c>
      <c r="CL58" s="219">
        <f t="shared" si="20"/>
        <v>0.11</v>
      </c>
      <c r="CM58" s="219">
        <f t="shared" si="21"/>
        <v>0.1363744194064935</v>
      </c>
      <c r="CN58" s="569">
        <f t="shared" si="22"/>
        <v>0.1363744194064935</v>
      </c>
      <c r="CO58" s="264">
        <f t="shared" si="175"/>
        <v>18.331839615872642</v>
      </c>
      <c r="CP58" s="216">
        <f t="shared" si="127"/>
        <v>18.331839615872642</v>
      </c>
      <c r="CQ58" s="216">
        <f t="shared" ca="1" si="192"/>
        <v>18.331839615872642</v>
      </c>
      <c r="CR58" s="216">
        <f t="shared" ca="1" si="193"/>
        <v>18.331839615872642</v>
      </c>
      <c r="CS58" s="1626">
        <f t="shared" ca="1" si="194"/>
        <v>18.331839615872642</v>
      </c>
      <c r="CT58" s="216">
        <f t="shared" si="131"/>
        <v>18.331839615872642</v>
      </c>
      <c r="CU58" s="575">
        <f t="shared" si="23"/>
        <v>0.185</v>
      </c>
      <c r="CV58" s="154">
        <f t="shared" si="24"/>
        <v>0.5</v>
      </c>
      <c r="CW58" s="216">
        <f>IF(OR($BQ58,$BS58),SpreadOptPowerMargin,0)*((1+Assumptions!$C$26)^($B58-YEAR(Assumptions!$C$17)))</f>
        <v>1.8</v>
      </c>
      <c r="CX58" s="216">
        <f>IF(OR($BQ58,$BS58),SpreadOptPowerMargin,0)*((1+Assumptions!$C$26)^($B58-YEAR(Assumptions!$C$17)))</f>
        <v>1.8</v>
      </c>
      <c r="CY58" s="216">
        <f>IF(OR($BQ58,$BS58),SpreadOptPowerMargin,0)*((1+Assumptions!$C$26)^($B58-YEAR(Assumptions!$C$17)))</f>
        <v>1.8</v>
      </c>
      <c r="CZ58" s="216">
        <f>IF(OR($BQ58,$BS58),SpreadOptPowerMargin,0)*((1+Assumptions!$C$26)^($B58-YEAR(Assumptions!$C$17)))</f>
        <v>1.8</v>
      </c>
      <c r="DA58" s="440">
        <f t="shared" si="25"/>
        <v>1.8</v>
      </c>
      <c r="DB58" s="479">
        <f t="shared" si="26"/>
        <v>0.16500000000000001</v>
      </c>
      <c r="DC58" s="479">
        <f t="shared" si="27"/>
        <v>0.16500000000000001</v>
      </c>
      <c r="DD58" s="479">
        <f t="shared" si="28"/>
        <v>0.11</v>
      </c>
      <c r="DE58" s="479">
        <f t="shared" si="29"/>
        <v>0.11</v>
      </c>
      <c r="DF58" s="479">
        <f t="shared" si="30"/>
        <v>0.1363744194064935</v>
      </c>
      <c r="DG58" s="574">
        <f t="shared" si="31"/>
        <v>0.1363744194064935</v>
      </c>
      <c r="DH58" s="216">
        <f t="shared" si="32"/>
        <v>17.602719176832633</v>
      </c>
      <c r="DI58" s="216">
        <f t="shared" si="33"/>
        <v>17.602719176832633</v>
      </c>
      <c r="DJ58" s="216">
        <f t="shared" ca="1" si="195"/>
        <v>4.935654590066056</v>
      </c>
      <c r="DK58" s="216">
        <f t="shared" ca="1" si="196"/>
        <v>4.9356541648913064</v>
      </c>
      <c r="DL58" s="216">
        <f t="shared" ca="1" si="197"/>
        <v>12.029187357751109</v>
      </c>
      <c r="DM58" s="216"/>
      <c r="DN58" s="216"/>
      <c r="DO58" s="216"/>
      <c r="DP58" s="216"/>
      <c r="DQ58" s="216"/>
      <c r="DR58" s="216"/>
      <c r="DS58" s="216"/>
      <c r="DT58" s="216"/>
      <c r="DU58" s="216"/>
      <c r="DV58" s="216"/>
      <c r="DW58" s="1371">
        <f t="shared" si="37"/>
        <v>4.935654590066056</v>
      </c>
      <c r="DX58" s="216">
        <f t="shared" si="38"/>
        <v>4.9356541648913064</v>
      </c>
      <c r="DY58" s="440">
        <f t="shared" si="39"/>
        <v>12.290724208399151</v>
      </c>
      <c r="DZ58" s="180">
        <f t="shared" si="40"/>
        <v>942519.99560432648</v>
      </c>
      <c r="EA58" s="180">
        <f t="shared" si="41"/>
        <v>163916.52097466547</v>
      </c>
      <c r="EB58" s="180">
        <f t="shared" ca="1" si="198"/>
        <v>45960.815542695113</v>
      </c>
      <c r="EC58" s="180">
        <f t="shared" ca="1" si="199"/>
        <v>178098.14488593789</v>
      </c>
      <c r="ED58" s="180">
        <f t="shared" ca="1" si="200"/>
        <v>1302183.589851273</v>
      </c>
      <c r="EE58" s="581">
        <f t="shared" si="45"/>
        <v>938677.90800270741</v>
      </c>
      <c r="EF58" s="554">
        <f t="shared" si="46"/>
        <v>163248.33182655781</v>
      </c>
      <c r="EG58" s="554">
        <f t="shared" ca="1" si="201"/>
        <v>37204.804876772556</v>
      </c>
      <c r="EH58" s="554">
        <f t="shared" ca="1" si="202"/>
        <v>144168.59943793522</v>
      </c>
      <c r="EI58" s="561">
        <f t="shared" ca="1" si="49"/>
        <v>1283299.6441439723</v>
      </c>
      <c r="EJ58" s="581">
        <f t="shared" si="132"/>
        <v>3842.0876016190741</v>
      </c>
      <c r="EK58" s="554">
        <f t="shared" si="133"/>
        <v>668.18914810766</v>
      </c>
      <c r="EL58" s="554">
        <f t="shared" ca="1" si="203"/>
        <v>8756.0106659225567</v>
      </c>
      <c r="EM58" s="554">
        <f t="shared" ca="1" si="204"/>
        <v>33929.545448002667</v>
      </c>
      <c r="EN58" s="561">
        <f t="shared" ca="1" si="205"/>
        <v>18883.945707300678</v>
      </c>
      <c r="EO58" s="180">
        <f t="shared" si="50"/>
        <v>3770079.9824173059</v>
      </c>
      <c r="EP58" s="180">
        <f t="shared" si="51"/>
        <v>655666.08389866189</v>
      </c>
      <c r="EQ58" s="180">
        <f t="shared" si="52"/>
        <v>183843.26217078045</v>
      </c>
      <c r="ER58" s="180">
        <f t="shared" si="53"/>
        <v>712392.57954375155</v>
      </c>
      <c r="ES58" s="180">
        <f t="shared" si="54"/>
        <v>5321981.9080304997</v>
      </c>
      <c r="ET58" s="1482">
        <f t="shared" ca="1" si="206"/>
        <v>3754711.6320108296</v>
      </c>
      <c r="EU58" s="180">
        <f t="shared" ca="1" si="207"/>
        <v>652993.32730623125</v>
      </c>
      <c r="EV58" s="180">
        <f t="shared" ca="1" si="208"/>
        <v>148819.21950709022</v>
      </c>
      <c r="EW58" s="180">
        <f t="shared" ca="1" si="209"/>
        <v>576674.39775174088</v>
      </c>
      <c r="EX58" s="555">
        <f t="shared" ca="1" si="182"/>
        <v>5133198.576575892</v>
      </c>
      <c r="EY58" s="180">
        <f t="shared" ca="1" si="210"/>
        <v>15368.350406476296</v>
      </c>
      <c r="EZ58" s="180">
        <f t="shared" ca="1" si="211"/>
        <v>2672.75659243064</v>
      </c>
      <c r="FA58" s="180">
        <f t="shared" ca="1" si="212"/>
        <v>35024.042663690227</v>
      </c>
      <c r="FB58" s="180">
        <f t="shared" ca="1" si="213"/>
        <v>135718.18179201067</v>
      </c>
      <c r="FC58" s="180">
        <f t="shared" ca="1" si="214"/>
        <v>188783.33145460766</v>
      </c>
      <c r="FD58" s="262">
        <f>IF(AX58,IF(VLOOKUP(C58,MAIN!$L$17:$M$28,2)="Yes",VLOOKUP(CALC!B58,MAIN!$H$17:$I$20,2),0),0)</f>
        <v>0</v>
      </c>
      <c r="FE58" s="623">
        <f t="shared" si="60"/>
        <v>0</v>
      </c>
      <c r="FF58" s="535">
        <f t="shared" si="61"/>
        <v>0</v>
      </c>
      <c r="FG58" s="535">
        <f t="shared" si="62"/>
        <v>0</v>
      </c>
      <c r="FH58" s="624">
        <f t="shared" si="63"/>
        <v>0</v>
      </c>
      <c r="FI58" s="632">
        <f>IF(AX58,VLOOKUP(CALC!B58,MAIN!$H$17:$K$20,4),0)</f>
        <v>0</v>
      </c>
      <c r="FJ58" s="535">
        <f t="shared" si="64"/>
        <v>0</v>
      </c>
      <c r="FK58" s="648">
        <f t="shared" si="142"/>
        <v>0</v>
      </c>
      <c r="FL58" s="530">
        <f t="shared" ca="1" si="215"/>
        <v>0</v>
      </c>
      <c r="FM58" s="530">
        <f t="shared" ca="1" si="216"/>
        <v>0</v>
      </c>
      <c r="FN58" s="530">
        <f t="shared" ca="1" si="217"/>
        <v>0</v>
      </c>
      <c r="FO58" s="622">
        <f t="shared" ca="1" si="218"/>
        <v>0</v>
      </c>
      <c r="FP58" s="530">
        <f t="shared" ca="1" si="219"/>
        <v>0</v>
      </c>
      <c r="FQ58" s="530">
        <f t="shared" ca="1" si="220"/>
        <v>0</v>
      </c>
      <c r="FR58" s="530">
        <f t="shared" ca="1" si="221"/>
        <v>0</v>
      </c>
      <c r="FS58" s="625">
        <f t="shared" ca="1" si="222"/>
        <v>0</v>
      </c>
      <c r="FT58" s="640">
        <f ca="1">IF(AND(Assumptions!$H$71="Yes",A58&gt;=Assumptions!$H$72,A58&lt;=Assumptions!$H$73),0,IF(AND($A58&gt;=Assumptions!$C$17,$A58&lt;=Assumptions!$C$18),MAX(AZ58*(1+VLOOKUP($C58,WeatherCapacityAdjustment,2))-FL58,0),0))</f>
        <v>53544</v>
      </c>
      <c r="FU58" s="530">
        <f ca="1">IF(AND(Assumptions!$H$71="Yes",A58&gt;=Assumptions!$H$72,A58&lt;=Assumptions!$H$73),0,IF(AND($A58&gt;=Assumptions!$C$17,$A58&lt;=Assumptions!$C$18),MAX(BA58*(1+VLOOKUP($C58,WeatherCapacityAdjustment,2))-FM58,0),0))</f>
        <v>9312</v>
      </c>
      <c r="FV58" s="530">
        <f ca="1">IF(AND(Assumptions!$H$71="Yes",A58&gt;=Assumptions!$H$72,A58&lt;=Assumptions!$H$73),0,IF(AND($A58&gt;=Assumptions!$C$17,$A58&lt;=Assumptions!$C$18),MAX(BB58*(1+VLOOKUP($C58,WeatherCapacityAdjustment,2))-FN58,0),0))</f>
        <v>9312</v>
      </c>
      <c r="FW58" s="622">
        <f ca="1">IF(AND(Assumptions!$H$71="Yes",A58&gt;=Assumptions!$H$72,A58&lt;=Assumptions!$H$73),0,IF(AND($A58&gt;=Assumptions!$C$17,$A58&lt;=Assumptions!$C$18),MAX(BC58*(1+VLOOKUP($C58,WeatherCapacityAdjustment,3))-FO58,0),0))</f>
        <v>36084</v>
      </c>
      <c r="FX58" s="621">
        <f ca="1">IF(AND(Assumptions!$H$71="Yes",A58&gt;=Assumptions!$H$72,A58&lt;=Assumptions!$H$73),0,IF(ET58&gt;0,MAX(BH58*(1+VLOOKUP($C58,WeatherCapacityAdjustment,2))-FP58,0),0))</f>
        <v>214176</v>
      </c>
      <c r="FY58" s="530">
        <f ca="1">IF(AND(Assumptions!$H$71="Yes",A58&gt;=Assumptions!$H$72,A58&lt;=Assumptions!$H$73),0,IF(EU58&gt;0,MAX(BI58*(1+VLOOKUP($C58,WeatherCapacityAdjustment,3))-FQ58,0),0))</f>
        <v>37248</v>
      </c>
      <c r="FZ58" s="530">
        <f ca="1">IF(AND(Assumptions!$H$71="Yes",A58&gt;=Assumptions!$H$72,A58&lt;=Assumptions!$H$73),0,IF(EV58&gt;0,MAX(BJ58*(1+VLOOKUP($C58,WeatherCapacityAdjustment,2))-FR58,0),0))</f>
        <v>37248</v>
      </c>
      <c r="GA58" s="622">
        <f ca="1">IF(AND(Assumptions!$H$71="Yes",A58&gt;=Assumptions!$H$72,A58&lt;=Assumptions!$H$73),0,IF(EW58&gt;0,MAX(BK58*(1+VLOOKUP($C58,WeatherCapacityAdjustment,2))-FS58,0),0))</f>
        <v>144336</v>
      </c>
      <c r="GB58" s="530">
        <f t="shared" ca="1" si="65"/>
        <v>541260</v>
      </c>
      <c r="GC58" s="545">
        <f t="shared" ca="1" si="66"/>
        <v>31.986582661211049</v>
      </c>
      <c r="GD58" s="530">
        <f t="shared" ca="1" si="223"/>
        <v>17313057.731207091</v>
      </c>
      <c r="GE58" s="1485">
        <f t="shared" ca="1" si="224"/>
        <v>760946.60879999993</v>
      </c>
      <c r="GF58" s="1776">
        <f t="shared" ca="1" si="225"/>
        <v>3043786.4351999997</v>
      </c>
      <c r="GG58" s="545">
        <f t="shared" si="190"/>
        <v>2.6078811300925602</v>
      </c>
      <c r="GH58" s="622">
        <f t="shared" ca="1" si="191"/>
        <v>9922291.5104872268</v>
      </c>
      <c r="GI58" s="621">
        <f t="shared" ca="1" si="152"/>
        <v>541260</v>
      </c>
      <c r="GJ58" s="638">
        <f t="shared" si="68"/>
        <v>1.8</v>
      </c>
      <c r="GK58" s="625">
        <f t="shared" ca="1" si="166"/>
        <v>974268</v>
      </c>
      <c r="GL58" s="640">
        <f t="shared" ca="1" si="226"/>
        <v>0</v>
      </c>
      <c r="GM58" s="530">
        <f t="shared" ca="1" si="227"/>
        <v>0</v>
      </c>
      <c r="GN58" s="530">
        <f t="shared" ca="1" si="228"/>
        <v>0</v>
      </c>
      <c r="GO58" s="622">
        <f t="shared" ca="1" si="229"/>
        <v>0</v>
      </c>
      <c r="GP58" s="530">
        <f t="shared" ca="1" si="73"/>
        <v>0</v>
      </c>
      <c r="GQ58" s="545">
        <f t="shared" ca="1" si="74"/>
        <v>0</v>
      </c>
      <c r="GR58" s="625">
        <f t="shared" ca="1" si="230"/>
        <v>0</v>
      </c>
      <c r="GS58" s="640">
        <f>IF($A58&gt;=BegDate,Assumptions!$C$56*24*($A59-$A58)*(1-VLOOKUP($B58,MAIN!$AA$7:$AM$28,$C58+1))*(1-VLOOKUP($B58,MAIN!$AA$33:$AM$54,$C58+1)),0)*80/168</f>
        <v>257742.85714285713</v>
      </c>
      <c r="GT58" s="1715">
        <f t="shared" si="153"/>
        <v>37.662802523999993</v>
      </c>
      <c r="GU58" s="1715">
        <f>IF($A58&gt;=BegDate,VLOOKUP($A58,GasTable,13)+Assumptions!$C$58,0)</f>
        <v>2.6078811300925602</v>
      </c>
      <c r="GV58" s="1715">
        <f>GU58*Assumptions!$C$57/1000</f>
        <v>18.907138193171061</v>
      </c>
      <c r="GW58" s="625">
        <f>IF(Assumptions!$C$60="Hourly",MAX(0,GS58*(GT58-GV58)),GS58*(GT58-GV58))</f>
        <v>4834138.5122402227</v>
      </c>
      <c r="GX58" s="640">
        <f>IF($A58&gt;=BegDate,Assumptions!$C$56*24*($A59-$A58)*(1-VLOOKUP($B58,MAIN!$AA$7:$AM$28,$C58+1))*(1-VLOOKUP($B58,MAIN!$AA$33:$AM$54,$C58+1)),0)*16/168</f>
        <v>51548.571428571428</v>
      </c>
      <c r="GY58" s="1715">
        <f t="shared" si="154"/>
        <v>37.662802523999993</v>
      </c>
      <c r="GZ58" s="1715">
        <f>IF($A58&gt;=BegDate,VLOOKUP($A58,GasTable,13)+Assumptions!$C$58,0)</f>
        <v>2.6078811300925602</v>
      </c>
      <c r="HA58" s="1715">
        <f>GZ58*Assumptions!$C$57/1000</f>
        <v>18.907138193171061</v>
      </c>
      <c r="HB58" s="625">
        <f>IF(Assumptions!$C$60="Hourly",MAX(0,GX58*(GY58-HA58)),GX58*(GY58-HA58))</f>
        <v>966827.70244804455</v>
      </c>
      <c r="HC58" s="640">
        <f>IF($A58&gt;=BegDate,Assumptions!$C$56*24*($A59-$A58)*(1-VLOOKUP($B58,MAIN!$AA$7:$AM$28,$C58+1))*(1-VLOOKUP($B58,MAIN!$AA$33:$AM$54,$C58+1)),0)*16/168</f>
        <v>51548.571428571428</v>
      </c>
      <c r="HD58" s="1715">
        <f t="shared" si="155"/>
        <v>24.127200604799999</v>
      </c>
      <c r="HE58" s="1715">
        <f>IF($A58&gt;=BegDate,VLOOKUP($A58,GasTable,13)+Assumptions!$C$58,0)</f>
        <v>2.6078811300925602</v>
      </c>
      <c r="HF58" s="1715">
        <f>HE58*Assumptions!$C$57/1000</f>
        <v>18.907138193171061</v>
      </c>
      <c r="HG58" s="625">
        <f>IF(Assumptions!$C$60="Hourly",MAX(0,HC58*(HD58-HF58)),HC58*(HD58-HF58))</f>
        <v>269086.7600874551</v>
      </c>
      <c r="HH58" s="640">
        <f>IF($A58&gt;=BegDate,Assumptions!$C$56*24*($A59-$A58)*(1-VLOOKUP($B58,MAIN!$AA$7:$AM$28,$C58+1))*(1-VLOOKUP($B58,MAIN!$AA$33:$AM$54,$C58+1)),0)*56/168</f>
        <v>180420</v>
      </c>
      <c r="HI58" s="1715">
        <f t="shared" si="156"/>
        <v>24.127200604799999</v>
      </c>
      <c r="HJ58" s="1715">
        <f>IF($A58&gt;=BegDate,VLOOKUP($A58,GasTable,13)+Assumptions!$C$58,0)</f>
        <v>2.6078811300925602</v>
      </c>
      <c r="HK58" s="1715">
        <f>HJ58*Assumptions!$C$57/1000</f>
        <v>18.907138193171061</v>
      </c>
      <c r="HL58" s="625">
        <f>IF(Assumptions!$C$60="Hourly",MAX(0,HH58*(HI58-HK58)),HH58*(HI58-HK58))</f>
        <v>941803.66030609293</v>
      </c>
      <c r="HM58" s="640">
        <f>IF(AND(Assumptions!$H$71="Yes",A58&gt;=Assumptions!$H$72,A58&lt;=Assumptions!$H$73),Assumptions!$H$74*Assumptions!$C$9*1000,0)</f>
        <v>0</v>
      </c>
      <c r="HN58" s="530"/>
      <c r="HO58" s="545"/>
      <c r="HP58" s="545"/>
      <c r="HQ58" s="545"/>
      <c r="HR58" s="545"/>
      <c r="HS58" s="545"/>
      <c r="HT58" s="545"/>
      <c r="HU58" s="545"/>
      <c r="HV58" s="545"/>
      <c r="HW58" s="545"/>
      <c r="HX58" s="545"/>
      <c r="HY58" s="545"/>
      <c r="HZ58" s="545"/>
      <c r="IA58" s="545"/>
      <c r="IB58" s="545"/>
      <c r="IC58" s="545"/>
      <c r="ID58" s="545"/>
      <c r="IE58" s="545"/>
      <c r="IF58" s="545"/>
      <c r="IG58" s="545"/>
      <c r="IH58" s="545"/>
      <c r="II58" s="1464"/>
      <c r="IJ58" s="1463"/>
      <c r="IK58" s="1463"/>
    </row>
    <row r="59" spans="1:245">
      <c r="A59" s="177">
        <f t="shared" si="87"/>
        <v>37926</v>
      </c>
      <c r="B59" s="349">
        <f t="shared" si="88"/>
        <v>2003</v>
      </c>
      <c r="C59" s="15">
        <f t="shared" si="89"/>
        <v>11</v>
      </c>
      <c r="D59" s="612">
        <f t="shared" si="90"/>
        <v>37952</v>
      </c>
      <c r="E59" s="609">
        <f t="shared" si="91"/>
        <v>37926</v>
      </c>
      <c r="F59" s="614">
        <f t="shared" si="2"/>
        <v>37955</v>
      </c>
      <c r="G59" s="1349">
        <v>0</v>
      </c>
      <c r="H59" s="152">
        <f t="shared" si="165"/>
        <v>1</v>
      </c>
      <c r="I59" s="154">
        <f>IF(Assumptions!$L$25=4,VLOOKUP($A59,'Henwood Reference'!$E$9:$R$320,10),(VLOOKUP($A59,PriceTable,2,0)+IF(BasisNumber&lt;&gt;1,VLOOKUP($A59,BasisTable,2,0),0)+I$1)/(1-I$2))</f>
        <v>39.533075503199996</v>
      </c>
      <c r="J59" s="154">
        <f>IF(Assumptions!$L$25=4,VLOOKUP($A59,'Henwood Reference'!$E$9:$R$320,10),(VLOOKUP($A59,PriceTable,3,0)+IF(BasisNumber&lt;&gt;1,VLOOKUP($A59,BasisTable,2,0),0)+J$1)/(1-J$2))</f>
        <v>39.533075503199996</v>
      </c>
      <c r="K59" s="154">
        <f>IF(Assumptions!$L$25=4,VLOOKUP($A59,'Henwood Reference'!$E$9:$R$320,10),(VLOOKUP($A59,PriceTable,4,0)+IF(BasisNumber&lt;&gt;1,VLOOKUP($A59,BasisTable,2,0),0)+K$1)/(1-K$2))</f>
        <v>39.533075503199996</v>
      </c>
      <c r="L59" s="474">
        <f>IF(Assumptions!$L$25=4,VLOOKUP($A59,'Henwood Reference'!$E$9:$R$320,10),(VLOOKUP($A59,PriceTableWeekend,2,0)+IF(BasisNumber&lt;&gt;1,VLOOKUP($A59,BasisTable,2,0),0)+L$1)/(1-L$2))</f>
        <v>39.533075503199996</v>
      </c>
      <c r="M59" s="154">
        <f>IF(Assumptions!$L$25=4,VLOOKUP($A59,'Henwood Reference'!$E$9:$R$320,10),(VLOOKUP($A59,PriceTableWeekend,3,0)+IF(BasisNumber&lt;&gt;1,VLOOKUP($A59,BasisTable,2,0),0)+M$1)/(1-M$2))</f>
        <v>39.533075503199996</v>
      </c>
      <c r="N59" s="156">
        <f>IF(Assumptions!$L$25=4,VLOOKUP($A59,'Henwood Reference'!$E$9:$R$320,10),(VLOOKUP($A59,PriceTableWeekend,4,0)+IF(BasisNumber&lt;&gt;1,VLOOKUP($A59,BasisTable,2,0),0)+N$1)/(1-N$2))</f>
        <v>39.533075503199996</v>
      </c>
      <c r="O59" s="154">
        <f>IF(Assumptions!$L$25=4,VLOOKUP($A59,'Henwood Reference'!$E$9:$R$320,11),(VLOOKUP($A59,PriceTableWeekend,6,0)+IF(BasisNumber&lt;&gt;1,VLOOKUP($A59,BasisTable,3,0),0)+O$1)/(1-O$2))</f>
        <v>26.123545094400001</v>
      </c>
      <c r="P59" s="154">
        <f>IF(Assumptions!$L$25=4,VLOOKUP($A59,'Henwood Reference'!$E$9:$R$320,11),(VLOOKUP($A59,PriceTableWeekend,7,0)+IF(BasisNumber&lt;&gt;1,VLOOKUP($A59,BasisTable,3,0),0)+P$1)/(1-P$2))</f>
        <v>26.123545094400001</v>
      </c>
      <c r="Q59" s="156">
        <f>IF(Assumptions!$L$25=4,VLOOKUP($A59,'Henwood Reference'!$E$9:$R$320,11),(VLOOKUP($A59,PriceTableWeekend,8,0)+IF(BasisNumber&lt;&gt;1,VLOOKUP($A59,BasisTable,3,0),0)+Q$1)/(1-Q$2))</f>
        <v>26.123545094400001</v>
      </c>
      <c r="R59" s="154">
        <f>IF(Assumptions!$L$25=4,VLOOKUP($A59,'Henwood Reference'!$E$9:$R$320,11),(VLOOKUP($A59,PriceTable,6,0)+IF(BasisNumber&lt;&gt;1,VLOOKUP($A59,BasisTable,3,0),0)+R$1)/(1-R$2))</f>
        <v>26.123545094400001</v>
      </c>
      <c r="S59" s="154">
        <f>IF(Assumptions!$L$25=4,VLOOKUP($A59,'Henwood Reference'!$E$9:$R$320,11),(VLOOKUP($A59,PriceTable,7,0)+IF(BasisNumber&lt;&gt;1,VLOOKUP($A59,BasisTable,3,0),0)+S$1)/(1-S$2))</f>
        <v>26.123545094400001</v>
      </c>
      <c r="T59" s="155">
        <f>IF(Assumptions!$L$25=4,VLOOKUP($A59,'Henwood Reference'!$E$9:$R$320,11),(VLOOKUP($A59,PriceTable,8,0)+IF(BasisNumber&lt;&gt;1,VLOOKUP($A59,BasisTable,3,0),0)+T$1)/(1-T$2))</f>
        <v>26.123545094400001</v>
      </c>
      <c r="U59" s="173">
        <f t="shared" si="92"/>
        <v>0.155</v>
      </c>
      <c r="V59" s="173">
        <f t="shared" si="93"/>
        <v>0.16500000000000001</v>
      </c>
      <c r="W59" s="174">
        <f t="shared" si="94"/>
        <v>0.17499999999999999</v>
      </c>
      <c r="X59" s="173">
        <f t="shared" si="95"/>
        <v>0.155</v>
      </c>
      <c r="Y59" s="173">
        <f t="shared" si="96"/>
        <v>0.16500000000000001</v>
      </c>
      <c r="Z59" s="174">
        <f t="shared" si="97"/>
        <v>0.17499999999999999</v>
      </c>
      <c r="AA59" s="173">
        <f t="shared" si="98"/>
        <v>0.09</v>
      </c>
      <c r="AB59" s="173">
        <f t="shared" si="99"/>
        <v>0.11</v>
      </c>
      <c r="AC59" s="174">
        <f t="shared" si="100"/>
        <v>0.13</v>
      </c>
      <c r="AD59" s="173">
        <f t="shared" si="101"/>
        <v>0.09</v>
      </c>
      <c r="AE59" s="173">
        <f t="shared" si="102"/>
        <v>0.11</v>
      </c>
      <c r="AF59" s="174">
        <f t="shared" si="103"/>
        <v>0.13</v>
      </c>
      <c r="AG59" s="173">
        <f t="shared" si="104"/>
        <v>-0.1</v>
      </c>
      <c r="AH59" s="173">
        <f t="shared" si="105"/>
        <v>0.6</v>
      </c>
      <c r="AI59" s="174">
        <f t="shared" si="106"/>
        <v>0.1</v>
      </c>
      <c r="AJ59" s="173">
        <f t="shared" si="107"/>
        <v>-0.1</v>
      </c>
      <c r="AK59" s="173">
        <f t="shared" si="108"/>
        <v>0.6</v>
      </c>
      <c r="AL59" s="174">
        <f t="shared" si="109"/>
        <v>0.1</v>
      </c>
      <c r="AM59" s="173">
        <f t="shared" si="110"/>
        <v>-0.01</v>
      </c>
      <c r="AN59" s="173">
        <f t="shared" si="111"/>
        <v>0.16</v>
      </c>
      <c r="AO59" s="174">
        <f t="shared" si="112"/>
        <v>0.01</v>
      </c>
      <c r="AP59" s="173">
        <f t="shared" si="113"/>
        <v>-0.01</v>
      </c>
      <c r="AQ59" s="173">
        <f t="shared" si="114"/>
        <v>0.16</v>
      </c>
      <c r="AR59" s="175">
        <f t="shared" si="115"/>
        <v>0.01</v>
      </c>
      <c r="AS59" s="521">
        <f t="shared" si="188"/>
        <v>0.5</v>
      </c>
      <c r="AT59" s="349">
        <f t="shared" si="117"/>
        <v>19</v>
      </c>
      <c r="AU59" s="159">
        <f t="shared" si="3"/>
        <v>5</v>
      </c>
      <c r="AV59" s="159">
        <f t="shared" si="4"/>
        <v>5</v>
      </c>
      <c r="AW59" s="159">
        <f t="shared" si="189"/>
        <v>1</v>
      </c>
      <c r="AX59" s="15">
        <f t="shared" si="119"/>
        <v>30</v>
      </c>
      <c r="AY59" s="607">
        <f>IF(E59="",0,MIN((1-(1-VLOOKUP(B59,MAIN!$AA$7:$AM$28,C59+1))*(1-VLOOKUP(B59,MAIN!$AA$33:$AM$54,C59+1))),1))</f>
        <v>3.0000000000000027E-2</v>
      </c>
      <c r="AZ59" s="337">
        <v>44232</v>
      </c>
      <c r="BA59" s="509">
        <v>11640</v>
      </c>
      <c r="BB59" s="509">
        <v>13968</v>
      </c>
      <c r="BC59" s="511">
        <v>34920</v>
      </c>
      <c r="BD59" s="153">
        <v>0.97</v>
      </c>
      <c r="BE59" s="474">
        <v>0.97</v>
      </c>
      <c r="BF59" s="474">
        <v>0.97</v>
      </c>
      <c r="BG59" s="515">
        <v>0.9699999927729368</v>
      </c>
      <c r="BH59" s="262">
        <v>176928</v>
      </c>
      <c r="BI59" s="509">
        <v>46560</v>
      </c>
      <c r="BJ59" s="509">
        <v>55872</v>
      </c>
      <c r="BK59" s="511">
        <v>139680</v>
      </c>
      <c r="BL59" s="153">
        <v>0.97</v>
      </c>
      <c r="BM59" s="474">
        <v>0.97</v>
      </c>
      <c r="BN59" s="474">
        <v>0.97</v>
      </c>
      <c r="BO59" s="474">
        <v>0.9699999927729368</v>
      </c>
      <c r="BP59" s="261">
        <f t="shared" si="120"/>
        <v>69840</v>
      </c>
      <c r="BQ59" s="578">
        <f t="shared" si="121"/>
        <v>104760</v>
      </c>
      <c r="BR59" s="259">
        <f t="shared" si="122"/>
        <v>279360</v>
      </c>
      <c r="BS59" s="578">
        <f t="shared" si="123"/>
        <v>419040</v>
      </c>
      <c r="BT59" s="216">
        <f t="shared" si="124"/>
        <v>3.5482546201232035</v>
      </c>
      <c r="BU59" s="218">
        <f t="shared" si="5"/>
        <v>39.533075503199996</v>
      </c>
      <c r="BV59" s="216">
        <f t="shared" si="6"/>
        <v>39.533075503199996</v>
      </c>
      <c r="BW59" s="216">
        <f t="shared" si="7"/>
        <v>26.123545094400001</v>
      </c>
      <c r="BX59" s="216">
        <f t="shared" si="125"/>
        <v>26.123544899764426</v>
      </c>
      <c r="BY59" s="216">
        <f t="shared" si="8"/>
        <v>36.851169421439998</v>
      </c>
      <c r="BZ59" s="216">
        <f t="shared" si="9"/>
        <v>33.275294580881479</v>
      </c>
      <c r="CA59" s="264">
        <f t="shared" si="10"/>
        <v>39.533075503199996</v>
      </c>
      <c r="CB59" s="216">
        <f t="shared" si="11"/>
        <v>39.533075503199996</v>
      </c>
      <c r="CC59" s="216">
        <f t="shared" si="12"/>
        <v>26.123545094400001</v>
      </c>
      <c r="CD59" s="216">
        <f t="shared" si="126"/>
        <v>26.123544899764426</v>
      </c>
      <c r="CE59" s="216">
        <f t="shared" si="13"/>
        <v>36.851169421439998</v>
      </c>
      <c r="CF59" s="571">
        <f t="shared" si="14"/>
        <v>33.275294580881479</v>
      </c>
      <c r="CG59" s="573">
        <f t="shared" si="15"/>
        <v>0.16500000000000001</v>
      </c>
      <c r="CH59" s="219">
        <f t="shared" si="16"/>
        <v>0.16500000000000001</v>
      </c>
      <c r="CI59" s="219">
        <f t="shared" si="17"/>
        <v>0.11</v>
      </c>
      <c r="CJ59" s="219">
        <f t="shared" si="18"/>
        <v>0.1573049096108024</v>
      </c>
      <c r="CK59" s="219">
        <f t="shared" si="19"/>
        <v>0.1573049096108024</v>
      </c>
      <c r="CL59" s="219">
        <f t="shared" si="20"/>
        <v>0.11</v>
      </c>
      <c r="CM59" s="219">
        <f t="shared" si="21"/>
        <v>0.13329646792804647</v>
      </c>
      <c r="CN59" s="569">
        <f t="shared" si="22"/>
        <v>0.13329646792804647</v>
      </c>
      <c r="CO59" s="264">
        <f t="shared" si="175"/>
        <v>19.076890594770031</v>
      </c>
      <c r="CP59" s="216">
        <f t="shared" si="127"/>
        <v>19.076890594770031</v>
      </c>
      <c r="CQ59" s="216">
        <f t="shared" ca="1" si="192"/>
        <v>19.076890594770031</v>
      </c>
      <c r="CR59" s="216">
        <f t="shared" ca="1" si="193"/>
        <v>19.076890594770031</v>
      </c>
      <c r="CS59" s="1626">
        <f t="shared" ca="1" si="194"/>
        <v>19.076890594770031</v>
      </c>
      <c r="CT59" s="216">
        <f t="shared" si="131"/>
        <v>19.076890594770031</v>
      </c>
      <c r="CU59" s="575">
        <f t="shared" si="23"/>
        <v>0.185</v>
      </c>
      <c r="CV59" s="154">
        <f t="shared" si="24"/>
        <v>0.5</v>
      </c>
      <c r="CW59" s="216">
        <f>IF(OR($BQ59,$BS59),SpreadOptPowerMargin,0)*((1+Assumptions!$C$26)^($B59-YEAR(Assumptions!$C$17)))</f>
        <v>1.8</v>
      </c>
      <c r="CX59" s="216">
        <f>IF(OR($BQ59,$BS59),SpreadOptPowerMargin,0)*((1+Assumptions!$C$26)^($B59-YEAR(Assumptions!$C$17)))</f>
        <v>1.8</v>
      </c>
      <c r="CY59" s="216">
        <f>IF(OR($BQ59,$BS59),SpreadOptPowerMargin,0)*((1+Assumptions!$C$26)^($B59-YEAR(Assumptions!$C$17)))</f>
        <v>1.8</v>
      </c>
      <c r="CZ59" s="216">
        <f>IF(OR($BQ59,$BS59),SpreadOptPowerMargin,0)*((1+Assumptions!$C$26)^($B59-YEAR(Assumptions!$C$17)))</f>
        <v>1.8</v>
      </c>
      <c r="DA59" s="440">
        <f t="shared" si="25"/>
        <v>1.8</v>
      </c>
      <c r="DB59" s="479">
        <f t="shared" si="26"/>
        <v>0.16500000000000001</v>
      </c>
      <c r="DC59" s="479">
        <f t="shared" si="27"/>
        <v>0.16500000000000001</v>
      </c>
      <c r="DD59" s="479">
        <f t="shared" si="28"/>
        <v>0.11</v>
      </c>
      <c r="DE59" s="479">
        <f t="shared" si="29"/>
        <v>0.11</v>
      </c>
      <c r="DF59" s="479">
        <f t="shared" si="30"/>
        <v>0.13329646792804647</v>
      </c>
      <c r="DG59" s="574">
        <f t="shared" si="31"/>
        <v>0.13329646792804647</v>
      </c>
      <c r="DH59" s="216">
        <f t="shared" si="32"/>
        <v>18.729921378220276</v>
      </c>
      <c r="DI59" s="216">
        <f t="shared" si="33"/>
        <v>18.729921378220276</v>
      </c>
      <c r="DJ59" s="216">
        <f t="shared" ca="1" si="195"/>
        <v>6.0399590753470891</v>
      </c>
      <c r="DK59" s="216">
        <f t="shared" ca="1" si="196"/>
        <v>6.039958914237717</v>
      </c>
      <c r="DL59" s="216">
        <f t="shared" ca="1" si="197"/>
        <v>12.582167681253274</v>
      </c>
      <c r="DM59" s="216"/>
      <c r="DN59" s="216"/>
      <c r="DO59" s="216"/>
      <c r="DP59" s="216"/>
      <c r="DQ59" s="216"/>
      <c r="DR59" s="216"/>
      <c r="DS59" s="216"/>
      <c r="DT59" s="216"/>
      <c r="DU59" s="216"/>
      <c r="DV59" s="216"/>
      <c r="DW59" s="1371">
        <f t="shared" si="37"/>
        <v>6.0399590753470891</v>
      </c>
      <c r="DX59" s="216">
        <f t="shared" si="38"/>
        <v>6.039958914237717</v>
      </c>
      <c r="DY59" s="440">
        <f t="shared" si="39"/>
        <v>12.807938916509665</v>
      </c>
      <c r="DZ59" s="180">
        <f t="shared" si="40"/>
        <v>828461.88240143924</v>
      </c>
      <c r="EA59" s="180">
        <f t="shared" si="41"/>
        <v>218016.28484248402</v>
      </c>
      <c r="EB59" s="180">
        <f t="shared" ca="1" si="198"/>
        <v>84366.148364448134</v>
      </c>
      <c r="EC59" s="180">
        <f t="shared" ca="1" si="199"/>
        <v>210915.36528518109</v>
      </c>
      <c r="ED59" s="180">
        <f t="shared" ca="1" si="200"/>
        <v>1318107.8862880929</v>
      </c>
      <c r="EE59" s="581">
        <f t="shared" si="45"/>
        <v>825200.37086967414</v>
      </c>
      <c r="EF59" s="554">
        <f t="shared" si="46"/>
        <v>217157.99233412478</v>
      </c>
      <c r="EG59" s="554">
        <f t="shared" ca="1" si="201"/>
        <v>73285.270050831401</v>
      </c>
      <c r="EH59" s="554">
        <f t="shared" ca="1" si="202"/>
        <v>183213.16833040424</v>
      </c>
      <c r="EI59" s="561">
        <f t="shared" ca="1" si="49"/>
        <v>1298856.8015850352</v>
      </c>
      <c r="EJ59" s="581">
        <f t="shared" si="132"/>
        <v>3261.5115317651071</v>
      </c>
      <c r="EK59" s="554">
        <f t="shared" si="133"/>
        <v>858.29250835924176</v>
      </c>
      <c r="EL59" s="554">
        <f t="shared" ca="1" si="203"/>
        <v>11080.878313616733</v>
      </c>
      <c r="EM59" s="554">
        <f t="shared" ca="1" si="204"/>
        <v>27702.196954776853</v>
      </c>
      <c r="EN59" s="561">
        <f t="shared" ca="1" si="205"/>
        <v>19251.084703057772</v>
      </c>
      <c r="EO59" s="180">
        <f t="shared" si="50"/>
        <v>3313847.529605757</v>
      </c>
      <c r="EP59" s="180">
        <f t="shared" si="51"/>
        <v>872065.13936993608</v>
      </c>
      <c r="EQ59" s="180">
        <f t="shared" si="52"/>
        <v>337464.59345779254</v>
      </c>
      <c r="ER59" s="180">
        <f t="shared" si="53"/>
        <v>843661.46114072436</v>
      </c>
      <c r="ES59" s="180">
        <f t="shared" si="54"/>
        <v>5367038.72357421</v>
      </c>
      <c r="ET59" s="1482">
        <f t="shared" ca="1" si="206"/>
        <v>3300801.4834786966</v>
      </c>
      <c r="EU59" s="180">
        <f t="shared" ca="1" si="207"/>
        <v>868631.96933649911</v>
      </c>
      <c r="EV59" s="180">
        <f t="shared" ca="1" si="208"/>
        <v>293141.0802033256</v>
      </c>
      <c r="EW59" s="180">
        <f t="shared" ca="1" si="209"/>
        <v>732852.67332161695</v>
      </c>
      <c r="EX59" s="555">
        <f t="shared" ca="1" si="182"/>
        <v>5195427.2063401379</v>
      </c>
      <c r="EY59" s="180">
        <f t="shared" ca="1" si="210"/>
        <v>13046.046127060428</v>
      </c>
      <c r="EZ59" s="180">
        <f t="shared" ca="1" si="211"/>
        <v>3433.1700334369671</v>
      </c>
      <c r="FA59" s="180">
        <f t="shared" ca="1" si="212"/>
        <v>44323.513254466932</v>
      </c>
      <c r="FB59" s="180">
        <f t="shared" ca="1" si="213"/>
        <v>110808.78781910741</v>
      </c>
      <c r="FC59" s="180">
        <f t="shared" ca="1" si="214"/>
        <v>171611.51723407209</v>
      </c>
      <c r="FD59" s="262">
        <f>IF(AX59,IF(VLOOKUP(C59,MAIN!$L$17:$M$28,2)="Yes",VLOOKUP(CALC!B59,MAIN!$H$17:$I$20,2),0),0)</f>
        <v>0</v>
      </c>
      <c r="FE59" s="623">
        <f t="shared" si="60"/>
        <v>0</v>
      </c>
      <c r="FF59" s="535">
        <f t="shared" si="61"/>
        <v>0</v>
      </c>
      <c r="FG59" s="535">
        <f t="shared" si="62"/>
        <v>0</v>
      </c>
      <c r="FH59" s="624">
        <f t="shared" si="63"/>
        <v>0</v>
      </c>
      <c r="FI59" s="632">
        <f>IF(AX59,VLOOKUP(CALC!B59,MAIN!$H$17:$K$20,4),0)</f>
        <v>0</v>
      </c>
      <c r="FJ59" s="535">
        <f t="shared" si="64"/>
        <v>0</v>
      </c>
      <c r="FK59" s="648">
        <f t="shared" si="142"/>
        <v>0</v>
      </c>
      <c r="FL59" s="530">
        <f t="shared" ca="1" si="215"/>
        <v>0</v>
      </c>
      <c r="FM59" s="530">
        <f t="shared" ca="1" si="216"/>
        <v>0</v>
      </c>
      <c r="FN59" s="530">
        <f t="shared" ca="1" si="217"/>
        <v>0</v>
      </c>
      <c r="FO59" s="622">
        <f t="shared" ca="1" si="218"/>
        <v>0</v>
      </c>
      <c r="FP59" s="530">
        <f t="shared" ca="1" si="219"/>
        <v>0</v>
      </c>
      <c r="FQ59" s="530">
        <f t="shared" ca="1" si="220"/>
        <v>0</v>
      </c>
      <c r="FR59" s="530">
        <f t="shared" ca="1" si="221"/>
        <v>0</v>
      </c>
      <c r="FS59" s="625">
        <f t="shared" ca="1" si="222"/>
        <v>0</v>
      </c>
      <c r="FT59" s="640">
        <f ca="1">IF(AND(Assumptions!$H$71="Yes",A59&gt;=Assumptions!$H$72,A59&lt;=Assumptions!$H$73),0,IF(AND($A59&gt;=Assumptions!$C$17,$A59&lt;=Assumptions!$C$18),MAX(AZ59*(1+VLOOKUP($C59,WeatherCapacityAdjustment,2))-FL59,0),0))</f>
        <v>44232</v>
      </c>
      <c r="FU59" s="530">
        <f ca="1">IF(AND(Assumptions!$H$71="Yes",A59&gt;=Assumptions!$H$72,A59&lt;=Assumptions!$H$73),0,IF(AND($A59&gt;=Assumptions!$C$17,$A59&lt;=Assumptions!$C$18),MAX(BA59*(1+VLOOKUP($C59,WeatherCapacityAdjustment,2))-FM59,0),0))</f>
        <v>11640</v>
      </c>
      <c r="FV59" s="530">
        <f ca="1">IF(AND(Assumptions!$H$71="Yes",A59&gt;=Assumptions!$H$72,A59&lt;=Assumptions!$H$73),0,IF(AND($A59&gt;=Assumptions!$C$17,$A59&lt;=Assumptions!$C$18),MAX(BB59*(1+VLOOKUP($C59,WeatherCapacityAdjustment,2))-FN59,0),0))</f>
        <v>13968</v>
      </c>
      <c r="FW59" s="622">
        <f ca="1">IF(AND(Assumptions!$H$71="Yes",A59&gt;=Assumptions!$H$72,A59&lt;=Assumptions!$H$73),0,IF(AND($A59&gt;=Assumptions!$C$17,$A59&lt;=Assumptions!$C$18),MAX(BC59*(1+VLOOKUP($C59,WeatherCapacityAdjustment,3))-FO59,0),0))</f>
        <v>34920</v>
      </c>
      <c r="FX59" s="621">
        <f ca="1">IF(AND(Assumptions!$H$71="Yes",A59&gt;=Assumptions!$H$72,A59&lt;=Assumptions!$H$73),0,IF(ET59&gt;0,MAX(BH59*(1+VLOOKUP($C59,WeatherCapacityAdjustment,2))-FP59,0),0))</f>
        <v>176928</v>
      </c>
      <c r="FY59" s="530">
        <f ca="1">IF(AND(Assumptions!$H$71="Yes",A59&gt;=Assumptions!$H$72,A59&lt;=Assumptions!$H$73),0,IF(EU59&gt;0,MAX(BI59*(1+VLOOKUP($C59,WeatherCapacityAdjustment,3))-FQ59,0),0))</f>
        <v>46560</v>
      </c>
      <c r="FZ59" s="530">
        <f ca="1">IF(AND(Assumptions!$H$71="Yes",A59&gt;=Assumptions!$H$72,A59&lt;=Assumptions!$H$73),0,IF(EV59&gt;0,MAX(BJ59*(1+VLOOKUP($C59,WeatherCapacityAdjustment,2))-FR59,0),0))</f>
        <v>55872</v>
      </c>
      <c r="GA59" s="622">
        <f ca="1">IF(AND(Assumptions!$H$71="Yes",A59&gt;=Assumptions!$H$72,A59&lt;=Assumptions!$H$73),0,IF(EW59&gt;0,MAX(BK59*(1+VLOOKUP($C59,WeatherCapacityAdjustment,2))-FS59,0),0))</f>
        <v>139680</v>
      </c>
      <c r="GB59" s="530">
        <f t="shared" ca="1" si="65"/>
        <v>523800</v>
      </c>
      <c r="GC59" s="545">
        <f t="shared" ca="1" si="66"/>
        <v>33.275294580881472</v>
      </c>
      <c r="GD59" s="530">
        <f t="shared" ca="1" si="223"/>
        <v>17429599.301465716</v>
      </c>
      <c r="GE59" s="1485">
        <f t="shared" ca="1" si="224"/>
        <v>736707.9384000001</v>
      </c>
      <c r="GF59" s="1776">
        <f t="shared" ca="1" si="225"/>
        <v>2946831.7536000004</v>
      </c>
      <c r="GG59" s="545">
        <f t="shared" si="190"/>
        <v>2.7127372389233209</v>
      </c>
      <c r="GH59" s="622">
        <f t="shared" ca="1" si="191"/>
        <v>9992475.2935405411</v>
      </c>
      <c r="GI59" s="621">
        <f t="shared" ca="1" si="152"/>
        <v>523800</v>
      </c>
      <c r="GJ59" s="638">
        <f t="shared" si="68"/>
        <v>1.8</v>
      </c>
      <c r="GK59" s="625">
        <f t="shared" ca="1" si="166"/>
        <v>942840</v>
      </c>
      <c r="GL59" s="640">
        <f t="shared" ca="1" si="226"/>
        <v>0</v>
      </c>
      <c r="GM59" s="530">
        <f t="shared" ca="1" si="227"/>
        <v>0</v>
      </c>
      <c r="GN59" s="530">
        <f t="shared" ca="1" si="228"/>
        <v>0</v>
      </c>
      <c r="GO59" s="622">
        <f t="shared" ca="1" si="229"/>
        <v>0</v>
      </c>
      <c r="GP59" s="530">
        <f t="shared" ca="1" si="73"/>
        <v>0</v>
      </c>
      <c r="GQ59" s="545">
        <f t="shared" ca="1" si="74"/>
        <v>0</v>
      </c>
      <c r="GR59" s="625">
        <f t="shared" ca="1" si="230"/>
        <v>0</v>
      </c>
      <c r="GS59" s="640">
        <f>IF($A59&gt;=BegDate,Assumptions!$C$56*24*($A60-$A59)*(1-VLOOKUP($B59,MAIN!$AA$7:$AM$28,$C59+1))*(1-VLOOKUP($B59,MAIN!$AA$33:$AM$54,$C59+1)),0)*80/168</f>
        <v>249428.57142857142</v>
      </c>
      <c r="GT59" s="1715">
        <f t="shared" si="153"/>
        <v>39.533075503199996</v>
      </c>
      <c r="GU59" s="1715">
        <f>IF($A59&gt;=BegDate,VLOOKUP($A59,GasTable,13)+Assumptions!$C$58,0)</f>
        <v>2.7127372389233209</v>
      </c>
      <c r="GV59" s="1715">
        <f>GU59*Assumptions!$C$57/1000</f>
        <v>19.667344982194077</v>
      </c>
      <c r="GW59" s="625">
        <f>IF(Assumptions!$C$60="Hourly",MAX(0,GS59*(GT59-GV59)),GS59*(GT59-GV59))</f>
        <v>4955080.7842394765</v>
      </c>
      <c r="GX59" s="640">
        <f>IF($A59&gt;=BegDate,Assumptions!$C$56*24*($A60-$A59)*(1-VLOOKUP($B59,MAIN!$AA$7:$AM$28,$C59+1))*(1-VLOOKUP($B59,MAIN!$AA$33:$AM$54,$C59+1)),0)*16/168</f>
        <v>49885.714285714283</v>
      </c>
      <c r="GY59" s="1715">
        <f t="shared" si="154"/>
        <v>39.533075503199996</v>
      </c>
      <c r="GZ59" s="1715">
        <f>IF($A59&gt;=BegDate,VLOOKUP($A59,GasTable,13)+Assumptions!$C$58,0)</f>
        <v>2.7127372389233209</v>
      </c>
      <c r="HA59" s="1715">
        <f>GZ59*Assumptions!$C$57/1000</f>
        <v>19.667344982194077</v>
      </c>
      <c r="HB59" s="625">
        <f>IF(Assumptions!$C$60="Hourly",MAX(0,GX59*(GY59-HA59)),GX59*(GY59-HA59))</f>
        <v>991016.15684789524</v>
      </c>
      <c r="HC59" s="640">
        <f>IF($A59&gt;=BegDate,Assumptions!$C$56*24*($A60-$A59)*(1-VLOOKUP($B59,MAIN!$AA$7:$AM$28,$C59+1))*(1-VLOOKUP($B59,MAIN!$AA$33:$AM$54,$C59+1)),0)*16/168</f>
        <v>49885.714285714283</v>
      </c>
      <c r="HD59" s="1715">
        <f t="shared" si="155"/>
        <v>26.123545094400001</v>
      </c>
      <c r="HE59" s="1715">
        <f>IF($A59&gt;=BegDate,VLOOKUP($A59,GasTable,13)+Assumptions!$C$58,0)</f>
        <v>2.7127372389233209</v>
      </c>
      <c r="HF59" s="1715">
        <f>HE59*Assumptions!$C$57/1000</f>
        <v>19.667344982194077</v>
      </c>
      <c r="HG59" s="625">
        <f>IF(Assumptions!$C$60="Hourly",MAX(0,HC59*(HD59-HF59)),HC59*(HD59-HF59))</f>
        <v>322072.15416890121</v>
      </c>
      <c r="HH59" s="640">
        <f>IF($A59&gt;=BegDate,Assumptions!$C$56*24*($A60-$A59)*(1-VLOOKUP($B59,MAIN!$AA$7:$AM$28,$C59+1))*(1-VLOOKUP($B59,MAIN!$AA$33:$AM$54,$C59+1)),0)*56/168</f>
        <v>174600</v>
      </c>
      <c r="HI59" s="1715">
        <f t="shared" si="156"/>
        <v>26.123545094400001</v>
      </c>
      <c r="HJ59" s="1715">
        <f>IF($A59&gt;=BegDate,VLOOKUP($A59,GasTable,13)+Assumptions!$C$58,0)</f>
        <v>2.7127372389233209</v>
      </c>
      <c r="HK59" s="1715">
        <f>HJ59*Assumptions!$C$57/1000</f>
        <v>19.667344982194077</v>
      </c>
      <c r="HL59" s="625">
        <f>IF(Assumptions!$C$60="Hourly",MAX(0,HH59*(HI59-HK59)),HH59*(HI59-HK59))</f>
        <v>1127252.5395911543</v>
      </c>
      <c r="HM59" s="640">
        <f>IF(AND(Assumptions!$H$71="Yes",A59&gt;=Assumptions!$H$72,A59&lt;=Assumptions!$H$73),Assumptions!$H$74*Assumptions!$C$9*1000,0)</f>
        <v>0</v>
      </c>
      <c r="HN59" s="530"/>
      <c r="HO59" s="545"/>
      <c r="HP59" s="545"/>
      <c r="HQ59" s="545"/>
      <c r="HR59" s="545"/>
      <c r="HS59" s="545"/>
      <c r="HT59" s="545"/>
      <c r="HU59" s="545"/>
      <c r="HV59" s="545"/>
      <c r="HW59" s="545"/>
      <c r="HX59" s="545"/>
      <c r="HY59" s="545"/>
      <c r="HZ59" s="545"/>
      <c r="IA59" s="545"/>
      <c r="IB59" s="545"/>
      <c r="IC59" s="545"/>
      <c r="ID59" s="545"/>
      <c r="IE59" s="545"/>
      <c r="IF59" s="545"/>
      <c r="IG59" s="545"/>
      <c r="IH59" s="545"/>
      <c r="II59" s="1464"/>
      <c r="IJ59" s="1463"/>
      <c r="IK59" s="1463"/>
    </row>
    <row r="60" spans="1:245">
      <c r="A60" s="177">
        <f t="shared" si="87"/>
        <v>37956</v>
      </c>
      <c r="B60" s="349">
        <f t="shared" si="88"/>
        <v>2003</v>
      </c>
      <c r="C60" s="15">
        <f t="shared" si="89"/>
        <v>12</v>
      </c>
      <c r="D60" s="612">
        <f t="shared" si="90"/>
        <v>37980</v>
      </c>
      <c r="E60" s="609">
        <f t="shared" si="91"/>
        <v>37956</v>
      </c>
      <c r="F60" s="614">
        <f t="shared" si="2"/>
        <v>37986</v>
      </c>
      <c r="G60" s="1349">
        <v>0</v>
      </c>
      <c r="H60" s="152">
        <f t="shared" si="165"/>
        <v>1</v>
      </c>
      <c r="I60" s="154">
        <f>IF(Assumptions!$L$25=4,VLOOKUP($A60,'Henwood Reference'!$E$9:$R$320,10),(VLOOKUP($A60,PriceTable,2,0)+IF(BasisNumber&lt;&gt;1,VLOOKUP($A60,BasisTable,2,0),0)+I$1)/(1-I$2))</f>
        <v>38.237658897599999</v>
      </c>
      <c r="J60" s="154">
        <f>IF(Assumptions!$L$25=4,VLOOKUP($A60,'Henwood Reference'!$E$9:$R$320,10),(VLOOKUP($A60,PriceTable,3,0)+IF(BasisNumber&lt;&gt;1,VLOOKUP($A60,BasisTable,2,0),0)+J$1)/(1-J$2))</f>
        <v>38.237658897599999</v>
      </c>
      <c r="K60" s="154">
        <f>IF(Assumptions!$L$25=4,VLOOKUP($A60,'Henwood Reference'!$E$9:$R$320,10),(VLOOKUP($A60,PriceTable,4,0)+IF(BasisNumber&lt;&gt;1,VLOOKUP($A60,BasisTable,2,0),0)+K$1)/(1-K$2))</f>
        <v>38.237658897599999</v>
      </c>
      <c r="L60" s="474">
        <f>IF(Assumptions!$L$25=4,VLOOKUP($A60,'Henwood Reference'!$E$9:$R$320,10),(VLOOKUP($A60,PriceTableWeekend,2,0)+IF(BasisNumber&lt;&gt;1,VLOOKUP($A60,BasisTable,2,0),0)+L$1)/(1-L$2))</f>
        <v>38.237658897599999</v>
      </c>
      <c r="M60" s="154">
        <f>IF(Assumptions!$L$25=4,VLOOKUP($A60,'Henwood Reference'!$E$9:$R$320,10),(VLOOKUP($A60,PriceTableWeekend,3,0)+IF(BasisNumber&lt;&gt;1,VLOOKUP($A60,BasisTable,2,0),0)+M$1)/(1-M$2))</f>
        <v>38.237658897599999</v>
      </c>
      <c r="N60" s="156">
        <f>IF(Assumptions!$L$25=4,VLOOKUP($A60,'Henwood Reference'!$E$9:$R$320,10),(VLOOKUP($A60,PriceTableWeekend,4,0)+IF(BasisNumber&lt;&gt;1,VLOOKUP($A60,BasisTable,2,0),0)+N$1)/(1-N$2))</f>
        <v>38.237658897599999</v>
      </c>
      <c r="O60" s="154">
        <f>IF(Assumptions!$L$25=4,VLOOKUP($A60,'Henwood Reference'!$E$9:$R$320,11),(VLOOKUP($A60,PriceTableWeekend,6,0)+IF(BasisNumber&lt;&gt;1,VLOOKUP($A60,BasisTable,3,0),0)+O$1)/(1-O$2))</f>
        <v>27.138696667199998</v>
      </c>
      <c r="P60" s="154">
        <f>IF(Assumptions!$L$25=4,VLOOKUP($A60,'Henwood Reference'!$E$9:$R$320,11),(VLOOKUP($A60,PriceTableWeekend,7,0)+IF(BasisNumber&lt;&gt;1,VLOOKUP($A60,BasisTable,3,0),0)+P$1)/(1-P$2))</f>
        <v>27.138696667199998</v>
      </c>
      <c r="Q60" s="156">
        <f>IF(Assumptions!$L$25=4,VLOOKUP($A60,'Henwood Reference'!$E$9:$R$320,11),(VLOOKUP($A60,PriceTableWeekend,8,0)+IF(BasisNumber&lt;&gt;1,VLOOKUP($A60,BasisTable,3,0),0)+Q$1)/(1-Q$2))</f>
        <v>27.138696667199998</v>
      </c>
      <c r="R60" s="154">
        <f>IF(Assumptions!$L$25=4,VLOOKUP($A60,'Henwood Reference'!$E$9:$R$320,11),(VLOOKUP($A60,PriceTable,6,0)+IF(BasisNumber&lt;&gt;1,VLOOKUP($A60,BasisTable,3,0),0)+R$1)/(1-R$2))</f>
        <v>27.138696667199998</v>
      </c>
      <c r="S60" s="154">
        <f>IF(Assumptions!$L$25=4,VLOOKUP($A60,'Henwood Reference'!$E$9:$R$320,11),(VLOOKUP($A60,PriceTable,7,0)+IF(BasisNumber&lt;&gt;1,VLOOKUP($A60,BasisTable,3,0),0)+S$1)/(1-S$2))</f>
        <v>27.138696667199998</v>
      </c>
      <c r="T60" s="155">
        <f>IF(Assumptions!$L$25=4,VLOOKUP($A60,'Henwood Reference'!$E$9:$R$320,11),(VLOOKUP($A60,PriceTable,8,0)+IF(BasisNumber&lt;&gt;1,VLOOKUP($A60,BasisTable,3,0),0)+T$1)/(1-T$2))</f>
        <v>27.138696667199998</v>
      </c>
      <c r="U60" s="173">
        <f t="shared" si="92"/>
        <v>0.155</v>
      </c>
      <c r="V60" s="173">
        <f t="shared" si="93"/>
        <v>0.16500000000000001</v>
      </c>
      <c r="W60" s="174">
        <f t="shared" si="94"/>
        <v>0.17499999999999999</v>
      </c>
      <c r="X60" s="173">
        <f t="shared" si="95"/>
        <v>0.155</v>
      </c>
      <c r="Y60" s="173">
        <f t="shared" si="96"/>
        <v>0.16500000000000001</v>
      </c>
      <c r="Z60" s="174">
        <f t="shared" si="97"/>
        <v>0.17499999999999999</v>
      </c>
      <c r="AA60" s="173">
        <f t="shared" si="98"/>
        <v>0.09</v>
      </c>
      <c r="AB60" s="173">
        <f t="shared" si="99"/>
        <v>0.11</v>
      </c>
      <c r="AC60" s="174">
        <f t="shared" si="100"/>
        <v>0.13</v>
      </c>
      <c r="AD60" s="173">
        <f t="shared" si="101"/>
        <v>0.09</v>
      </c>
      <c r="AE60" s="173">
        <f t="shared" si="102"/>
        <v>0.11</v>
      </c>
      <c r="AF60" s="174">
        <f t="shared" si="103"/>
        <v>0.13</v>
      </c>
      <c r="AG60" s="173">
        <f t="shared" si="104"/>
        <v>-0.25</v>
      </c>
      <c r="AH60" s="173">
        <f t="shared" si="105"/>
        <v>0.6</v>
      </c>
      <c r="AI60" s="174">
        <f t="shared" si="106"/>
        <v>0.25</v>
      </c>
      <c r="AJ60" s="173">
        <f t="shared" si="107"/>
        <v>-0.25</v>
      </c>
      <c r="AK60" s="173">
        <f t="shared" si="108"/>
        <v>0.6</v>
      </c>
      <c r="AL60" s="174">
        <f t="shared" si="109"/>
        <v>0.25</v>
      </c>
      <c r="AM60" s="173">
        <f t="shared" si="110"/>
        <v>-0.01</v>
      </c>
      <c r="AN60" s="173">
        <f t="shared" si="111"/>
        <v>0.16</v>
      </c>
      <c r="AO60" s="174">
        <f t="shared" si="112"/>
        <v>0.01</v>
      </c>
      <c r="AP60" s="173">
        <f t="shared" si="113"/>
        <v>-0.01</v>
      </c>
      <c r="AQ60" s="173">
        <f t="shared" si="114"/>
        <v>0.16</v>
      </c>
      <c r="AR60" s="175">
        <f t="shared" si="115"/>
        <v>0.01</v>
      </c>
      <c r="AS60" s="521">
        <f t="shared" si="188"/>
        <v>0.5</v>
      </c>
      <c r="AT60" s="349">
        <f t="shared" si="117"/>
        <v>22</v>
      </c>
      <c r="AU60" s="159">
        <f t="shared" si="3"/>
        <v>4</v>
      </c>
      <c r="AV60" s="159">
        <f t="shared" si="4"/>
        <v>4</v>
      </c>
      <c r="AW60" s="159">
        <f t="shared" si="189"/>
        <v>1</v>
      </c>
      <c r="AX60" s="15">
        <f t="shared" si="119"/>
        <v>31</v>
      </c>
      <c r="AY60" s="607">
        <f>IF(E60="",0,MIN((1-(1-VLOOKUP(B60,MAIN!$AA$7:$AM$28,C60+1))*(1-VLOOKUP(B60,MAIN!$AA$33:$AM$54,C60+1))),1))</f>
        <v>3.0000000000000027E-2</v>
      </c>
      <c r="AZ60" s="337">
        <v>51216</v>
      </c>
      <c r="BA60" s="509">
        <v>9312</v>
      </c>
      <c r="BB60" s="509">
        <v>11640</v>
      </c>
      <c r="BC60" s="511">
        <v>36084</v>
      </c>
      <c r="BD60" s="153">
        <v>0.97</v>
      </c>
      <c r="BE60" s="474">
        <v>0.97</v>
      </c>
      <c r="BF60" s="474">
        <v>0.97</v>
      </c>
      <c r="BG60" s="515">
        <v>0.97</v>
      </c>
      <c r="BH60" s="262">
        <v>204864</v>
      </c>
      <c r="BI60" s="509">
        <v>37248</v>
      </c>
      <c r="BJ60" s="509">
        <v>46560</v>
      </c>
      <c r="BK60" s="511">
        <v>144336</v>
      </c>
      <c r="BL60" s="153">
        <v>0.97</v>
      </c>
      <c r="BM60" s="474">
        <v>0.97</v>
      </c>
      <c r="BN60" s="474">
        <v>0.97</v>
      </c>
      <c r="BO60" s="474">
        <v>0.97</v>
      </c>
      <c r="BP60" s="261">
        <f t="shared" si="120"/>
        <v>72168</v>
      </c>
      <c r="BQ60" s="578">
        <f t="shared" si="121"/>
        <v>108252</v>
      </c>
      <c r="BR60" s="259">
        <f t="shared" si="122"/>
        <v>288672</v>
      </c>
      <c r="BS60" s="578">
        <f t="shared" si="123"/>
        <v>433008</v>
      </c>
      <c r="BT60" s="216">
        <f t="shared" si="124"/>
        <v>3.6303901437371664</v>
      </c>
      <c r="BU60" s="218">
        <f t="shared" si="5"/>
        <v>38.237658897599999</v>
      </c>
      <c r="BV60" s="216">
        <f t="shared" si="6"/>
        <v>38.237658897599999</v>
      </c>
      <c r="BW60" s="216">
        <f t="shared" si="7"/>
        <v>27.138696667199998</v>
      </c>
      <c r="BX60" s="216">
        <f t="shared" si="125"/>
        <v>27.138696667199998</v>
      </c>
      <c r="BY60" s="216">
        <f t="shared" si="8"/>
        <v>36.447503699148385</v>
      </c>
      <c r="BZ60" s="216">
        <f t="shared" si="9"/>
        <v>33.344568021832252</v>
      </c>
      <c r="CA60" s="264">
        <f t="shared" si="10"/>
        <v>38.237658897599999</v>
      </c>
      <c r="CB60" s="216">
        <f t="shared" si="11"/>
        <v>38.237658897599999</v>
      </c>
      <c r="CC60" s="216">
        <f t="shared" si="12"/>
        <v>27.138696667199998</v>
      </c>
      <c r="CD60" s="216">
        <f t="shared" si="126"/>
        <v>27.138696667199998</v>
      </c>
      <c r="CE60" s="216">
        <f t="shared" si="13"/>
        <v>36.447503699148385</v>
      </c>
      <c r="CF60" s="571">
        <f t="shared" si="14"/>
        <v>33.344568021832252</v>
      </c>
      <c r="CG60" s="573">
        <f t="shared" si="15"/>
        <v>0.16500000000000001</v>
      </c>
      <c r="CH60" s="219">
        <f t="shared" si="16"/>
        <v>0.16500000000000001</v>
      </c>
      <c r="CI60" s="219">
        <f t="shared" si="17"/>
        <v>0.11</v>
      </c>
      <c r="CJ60" s="219">
        <f t="shared" si="18"/>
        <v>0.15848651679535578</v>
      </c>
      <c r="CK60" s="219">
        <f t="shared" si="19"/>
        <v>0.15848651679535578</v>
      </c>
      <c r="CL60" s="219">
        <f t="shared" si="20"/>
        <v>0.11</v>
      </c>
      <c r="CM60" s="219">
        <f t="shared" si="21"/>
        <v>0.13337894141347251</v>
      </c>
      <c r="CN60" s="569">
        <f t="shared" si="22"/>
        <v>0.13337894141347251</v>
      </c>
      <c r="CO60" s="264">
        <f t="shared" si="175"/>
        <v>19.864307183644485</v>
      </c>
      <c r="CP60" s="216">
        <f t="shared" si="127"/>
        <v>19.864307183644485</v>
      </c>
      <c r="CQ60" s="216">
        <f t="shared" ca="1" si="192"/>
        <v>19.864307183644485</v>
      </c>
      <c r="CR60" s="216">
        <f t="shared" ca="1" si="193"/>
        <v>19.864307183644485</v>
      </c>
      <c r="CS60" s="1626">
        <f t="shared" ca="1" si="194"/>
        <v>19.864307183644485</v>
      </c>
      <c r="CT60" s="216">
        <f t="shared" si="131"/>
        <v>19.864307183644485</v>
      </c>
      <c r="CU60" s="575">
        <f t="shared" si="23"/>
        <v>0.185</v>
      </c>
      <c r="CV60" s="154">
        <f t="shared" si="24"/>
        <v>0.5</v>
      </c>
      <c r="CW60" s="216">
        <f>IF(OR($BQ60,$BS60),SpreadOptPowerMargin,0)*((1+Assumptions!$C$26)^($B60-YEAR(Assumptions!$C$17)))</f>
        <v>1.8</v>
      </c>
      <c r="CX60" s="216">
        <f>IF(OR($BQ60,$BS60),SpreadOptPowerMargin,0)*((1+Assumptions!$C$26)^($B60-YEAR(Assumptions!$C$17)))</f>
        <v>1.8</v>
      </c>
      <c r="CY60" s="216">
        <f>IF(OR($BQ60,$BS60),SpreadOptPowerMargin,0)*((1+Assumptions!$C$26)^($B60-YEAR(Assumptions!$C$17)))</f>
        <v>1.8</v>
      </c>
      <c r="CZ60" s="216">
        <f>IF(OR($BQ60,$BS60),SpreadOptPowerMargin,0)*((1+Assumptions!$C$26)^($B60-YEAR(Assumptions!$C$17)))</f>
        <v>1.8</v>
      </c>
      <c r="DA60" s="440">
        <f t="shared" si="25"/>
        <v>1.8</v>
      </c>
      <c r="DB60" s="479">
        <f t="shared" si="26"/>
        <v>0.16500000000000001</v>
      </c>
      <c r="DC60" s="479">
        <f t="shared" si="27"/>
        <v>0.16500000000000001</v>
      </c>
      <c r="DD60" s="479">
        <f t="shared" si="28"/>
        <v>0.11</v>
      </c>
      <c r="DE60" s="479">
        <f t="shared" si="29"/>
        <v>0.11</v>
      </c>
      <c r="DF60" s="479">
        <f t="shared" si="30"/>
        <v>0.13337894141347251</v>
      </c>
      <c r="DG60" s="574">
        <f t="shared" si="31"/>
        <v>0.13337894141347251</v>
      </c>
      <c r="DH60" s="216">
        <f t="shared" si="32"/>
        <v>16.714004628010617</v>
      </c>
      <c r="DI60" s="216">
        <f t="shared" si="33"/>
        <v>16.714004628010617</v>
      </c>
      <c r="DJ60" s="216">
        <f t="shared" ca="1" si="195"/>
        <v>6.3206125848369439</v>
      </c>
      <c r="DK60" s="216">
        <f t="shared" ca="1" si="196"/>
        <v>6.3206125848369439</v>
      </c>
      <c r="DL60" s="216">
        <f t="shared" ca="1" si="197"/>
        <v>11.940837445628063</v>
      </c>
      <c r="DM60" s="216"/>
      <c r="DN60" s="216"/>
      <c r="DO60" s="216"/>
      <c r="DP60" s="216"/>
      <c r="DQ60" s="216"/>
      <c r="DR60" s="216"/>
      <c r="DS60" s="216"/>
      <c r="DT60" s="216"/>
      <c r="DU60" s="216"/>
      <c r="DV60" s="216"/>
      <c r="DW60" s="1371">
        <f t="shared" si="37"/>
        <v>6.3206125848369439</v>
      </c>
      <c r="DX60" s="216">
        <f t="shared" si="38"/>
        <v>6.3206125848369439</v>
      </c>
      <c r="DY60" s="440">
        <f t="shared" si="39"/>
        <v>12.131971576718996</v>
      </c>
      <c r="DZ60" s="180">
        <f t="shared" si="40"/>
        <v>856024.46102819173</v>
      </c>
      <c r="EA60" s="180">
        <f t="shared" si="41"/>
        <v>155640.81109603486</v>
      </c>
      <c r="EB60" s="180">
        <f t="shared" ca="1" si="198"/>
        <v>73571.930487502032</v>
      </c>
      <c r="EC60" s="180">
        <f t="shared" ca="1" si="199"/>
        <v>228072.98451125628</v>
      </c>
      <c r="ED60" s="180">
        <f t="shared" ca="1" si="200"/>
        <v>1292619.535164129</v>
      </c>
      <c r="EE60" s="581">
        <f t="shared" si="45"/>
        <v>848820.78138194559</v>
      </c>
      <c r="EF60" s="554">
        <f t="shared" si="46"/>
        <v>154331.05116035376</v>
      </c>
      <c r="EG60" s="554">
        <f t="shared" ca="1" si="201"/>
        <v>63721.893588586165</v>
      </c>
      <c r="EH60" s="554">
        <f t="shared" ca="1" si="202"/>
        <v>197537.87012461713</v>
      </c>
      <c r="EI60" s="561">
        <f t="shared" ca="1" si="49"/>
        <v>1264411.5962555022</v>
      </c>
      <c r="EJ60" s="581">
        <f t="shared" si="132"/>
        <v>7203.6796462461352</v>
      </c>
      <c r="EK60" s="554">
        <f t="shared" si="133"/>
        <v>1309.759935681097</v>
      </c>
      <c r="EL60" s="554">
        <f t="shared" ca="1" si="203"/>
        <v>9850.0368989158669</v>
      </c>
      <c r="EM60" s="554">
        <f t="shared" ca="1" si="204"/>
        <v>30535.11438663915</v>
      </c>
      <c r="EN60" s="561">
        <f t="shared" ca="1" si="205"/>
        <v>28207.938908626791</v>
      </c>
      <c r="EO60" s="180">
        <f t="shared" si="50"/>
        <v>3424097.8441127669</v>
      </c>
      <c r="EP60" s="180">
        <f t="shared" si="51"/>
        <v>622563.24438413943</v>
      </c>
      <c r="EQ60" s="180">
        <f t="shared" si="52"/>
        <v>294287.72195000813</v>
      </c>
      <c r="ER60" s="180">
        <f t="shared" si="53"/>
        <v>912291.9380450251</v>
      </c>
      <c r="ES60" s="180">
        <f t="shared" si="54"/>
        <v>5253240.7484919392</v>
      </c>
      <c r="ET60" s="1482">
        <f t="shared" ca="1" si="206"/>
        <v>3395283.1255277824</v>
      </c>
      <c r="EU60" s="180">
        <f t="shared" ca="1" si="207"/>
        <v>617324.20464141504</v>
      </c>
      <c r="EV60" s="180">
        <f t="shared" ca="1" si="208"/>
        <v>254887.57435434466</v>
      </c>
      <c r="EW60" s="180">
        <f t="shared" ca="1" si="209"/>
        <v>790151.4804984685</v>
      </c>
      <c r="EX60" s="555">
        <f t="shared" ca="1" si="182"/>
        <v>5057646.3850220107</v>
      </c>
      <c r="EY60" s="180">
        <f t="shared" ca="1" si="210"/>
        <v>28814.718584984541</v>
      </c>
      <c r="EZ60" s="180">
        <f t="shared" ca="1" si="211"/>
        <v>5239.0397427243879</v>
      </c>
      <c r="FA60" s="180">
        <f t="shared" ca="1" si="212"/>
        <v>39400.147595663468</v>
      </c>
      <c r="FB60" s="180">
        <f t="shared" ca="1" si="213"/>
        <v>122140.4575465566</v>
      </c>
      <c r="FC60" s="180">
        <f t="shared" ca="1" si="214"/>
        <v>195594.3634699285</v>
      </c>
      <c r="FD60" s="262">
        <f>IF(AX60,IF(VLOOKUP(C60,MAIN!$L$17:$M$28,2)="Yes",VLOOKUP(CALC!B60,MAIN!$H$17:$I$20,2),0),0)</f>
        <v>0</v>
      </c>
      <c r="FE60" s="623">
        <f t="shared" si="60"/>
        <v>0</v>
      </c>
      <c r="FF60" s="535">
        <f t="shared" si="61"/>
        <v>0</v>
      </c>
      <c r="FG60" s="535">
        <f t="shared" si="62"/>
        <v>0</v>
      </c>
      <c r="FH60" s="624">
        <f t="shared" si="63"/>
        <v>0</v>
      </c>
      <c r="FI60" s="632">
        <f>IF(AX60,VLOOKUP(CALC!B60,MAIN!$H$17:$K$20,4),0)</f>
        <v>0</v>
      </c>
      <c r="FJ60" s="535">
        <f t="shared" si="64"/>
        <v>0</v>
      </c>
      <c r="FK60" s="648">
        <f t="shared" si="142"/>
        <v>0</v>
      </c>
      <c r="FL60" s="530">
        <f t="shared" ca="1" si="215"/>
        <v>0</v>
      </c>
      <c r="FM60" s="530">
        <f t="shared" ca="1" si="216"/>
        <v>0</v>
      </c>
      <c r="FN60" s="530">
        <f t="shared" ca="1" si="217"/>
        <v>0</v>
      </c>
      <c r="FO60" s="622">
        <f t="shared" ca="1" si="218"/>
        <v>0</v>
      </c>
      <c r="FP60" s="530">
        <f t="shared" ca="1" si="219"/>
        <v>0</v>
      </c>
      <c r="FQ60" s="530">
        <f t="shared" ca="1" si="220"/>
        <v>0</v>
      </c>
      <c r="FR60" s="530">
        <f t="shared" ca="1" si="221"/>
        <v>0</v>
      </c>
      <c r="FS60" s="625">
        <f t="shared" ca="1" si="222"/>
        <v>0</v>
      </c>
      <c r="FT60" s="640">
        <f ca="1">IF(AND(Assumptions!$H$71="Yes",A60&gt;=Assumptions!$H$72,A60&lt;=Assumptions!$H$73),0,IF(AND($A60&gt;=Assumptions!$C$17,$A60&lt;=Assumptions!$C$18),MAX(AZ60*(1+VLOOKUP($C60,WeatherCapacityAdjustment,2))-FL60,0),0))</f>
        <v>51216</v>
      </c>
      <c r="FU60" s="530">
        <f ca="1">IF(AND(Assumptions!$H$71="Yes",A60&gt;=Assumptions!$H$72,A60&lt;=Assumptions!$H$73),0,IF(AND($A60&gt;=Assumptions!$C$17,$A60&lt;=Assumptions!$C$18),MAX(BA60*(1+VLOOKUP($C60,WeatherCapacityAdjustment,2))-FM60,0),0))</f>
        <v>9312</v>
      </c>
      <c r="FV60" s="530">
        <f ca="1">IF(AND(Assumptions!$H$71="Yes",A60&gt;=Assumptions!$H$72,A60&lt;=Assumptions!$H$73),0,IF(AND($A60&gt;=Assumptions!$C$17,$A60&lt;=Assumptions!$C$18),MAX(BB60*(1+VLOOKUP($C60,WeatherCapacityAdjustment,2))-FN60,0),0))</f>
        <v>11640</v>
      </c>
      <c r="FW60" s="622">
        <f ca="1">IF(AND(Assumptions!$H$71="Yes",A60&gt;=Assumptions!$H$72,A60&lt;=Assumptions!$H$73),0,IF(AND($A60&gt;=Assumptions!$C$17,$A60&lt;=Assumptions!$C$18),MAX(BC60*(1+VLOOKUP($C60,WeatherCapacityAdjustment,3))-FO60,0),0))</f>
        <v>36084</v>
      </c>
      <c r="FX60" s="621">
        <f ca="1">IF(AND(Assumptions!$H$71="Yes",A60&gt;=Assumptions!$H$72,A60&lt;=Assumptions!$H$73),0,IF(ET60&gt;0,MAX(BH60*(1+VLOOKUP($C60,WeatherCapacityAdjustment,2))-FP60,0),0))</f>
        <v>204864</v>
      </c>
      <c r="FY60" s="530">
        <f ca="1">IF(AND(Assumptions!$H$71="Yes",A60&gt;=Assumptions!$H$72,A60&lt;=Assumptions!$H$73),0,IF(EU60&gt;0,MAX(BI60*(1+VLOOKUP($C60,WeatherCapacityAdjustment,3))-FQ60,0),0))</f>
        <v>37248</v>
      </c>
      <c r="FZ60" s="530">
        <f ca="1">IF(AND(Assumptions!$H$71="Yes",A60&gt;=Assumptions!$H$72,A60&lt;=Assumptions!$H$73),0,IF(EV60&gt;0,MAX(BJ60*(1+VLOOKUP($C60,WeatherCapacityAdjustment,2))-FR60,0),0))</f>
        <v>46560</v>
      </c>
      <c r="GA60" s="622">
        <f ca="1">IF(AND(Assumptions!$H$71="Yes",A60&gt;=Assumptions!$H$72,A60&lt;=Assumptions!$H$73),0,IF(EW60&gt;0,MAX(BK60*(1+VLOOKUP($C60,WeatherCapacityAdjustment,2))-FS60,0),0))</f>
        <v>144336</v>
      </c>
      <c r="GB60" s="530">
        <f t="shared" ca="1" si="65"/>
        <v>541260</v>
      </c>
      <c r="GC60" s="545">
        <f t="shared" ca="1" si="66"/>
        <v>33.344568021832252</v>
      </c>
      <c r="GD60" s="530">
        <f t="shared" ca="1" si="223"/>
        <v>18048080.887496926</v>
      </c>
      <c r="GE60" s="1485">
        <f t="shared" ca="1" si="224"/>
        <v>761583.13055999996</v>
      </c>
      <c r="GF60" s="1776">
        <f t="shared" ca="1" si="225"/>
        <v>3046332.5222399998</v>
      </c>
      <c r="GG60" s="545">
        <f t="shared" si="190"/>
        <v>2.8235275900382759</v>
      </c>
      <c r="GH60" s="622">
        <f t="shared" ca="1" si="191"/>
        <v>10751754.906219412</v>
      </c>
      <c r="GI60" s="621">
        <f t="shared" ca="1" si="152"/>
        <v>541260</v>
      </c>
      <c r="GJ60" s="638">
        <f t="shared" si="68"/>
        <v>1.8</v>
      </c>
      <c r="GK60" s="625">
        <f t="shared" ca="1" si="166"/>
        <v>974268</v>
      </c>
      <c r="GL60" s="640">
        <f t="shared" ca="1" si="226"/>
        <v>0</v>
      </c>
      <c r="GM60" s="530">
        <f t="shared" ca="1" si="227"/>
        <v>0</v>
      </c>
      <c r="GN60" s="530">
        <f t="shared" ca="1" si="228"/>
        <v>0</v>
      </c>
      <c r="GO60" s="622">
        <f t="shared" ca="1" si="229"/>
        <v>0</v>
      </c>
      <c r="GP60" s="530">
        <f t="shared" ca="1" si="73"/>
        <v>0</v>
      </c>
      <c r="GQ60" s="545">
        <f t="shared" ca="1" si="74"/>
        <v>0</v>
      </c>
      <c r="GR60" s="625">
        <f t="shared" ca="1" si="230"/>
        <v>0</v>
      </c>
      <c r="GS60" s="640">
        <f>IF($A60&gt;=BegDate,Assumptions!$C$56*24*($A61-$A60)*(1-VLOOKUP($B60,MAIN!$AA$7:$AM$28,$C60+1))*(1-VLOOKUP($B60,MAIN!$AA$33:$AM$54,$C60+1)),0)*80/168</f>
        <v>257742.85714285713</v>
      </c>
      <c r="GT60" s="1715">
        <f t="shared" si="153"/>
        <v>38.237658897599999</v>
      </c>
      <c r="GU60" s="1715">
        <f>IF($A60&gt;=BegDate,VLOOKUP($A60,GasTable,13)+Assumptions!$C$58,0)</f>
        <v>2.8235275900382759</v>
      </c>
      <c r="GV60" s="1715">
        <f>GU60*Assumptions!$C$57/1000</f>
        <v>20.4705750277775</v>
      </c>
      <c r="GW60" s="625">
        <f>IF(Assumptions!$C$60="Hourly",MAX(0,GS60*(GT60-GV60)),GS60*(GT60-GV60))</f>
        <v>4579338.9597048219</v>
      </c>
      <c r="GX60" s="640">
        <f>IF($A60&gt;=BegDate,Assumptions!$C$56*24*($A61-$A60)*(1-VLOOKUP($B60,MAIN!$AA$7:$AM$28,$C60+1))*(1-VLOOKUP($B60,MAIN!$AA$33:$AM$54,$C60+1)),0)*16/168</f>
        <v>51548.571428571428</v>
      </c>
      <c r="GY60" s="1715">
        <f t="shared" si="154"/>
        <v>38.237658897599999</v>
      </c>
      <c r="GZ60" s="1715">
        <f>IF($A60&gt;=BegDate,VLOOKUP($A60,GasTable,13)+Assumptions!$C$58,0)</f>
        <v>2.8235275900382759</v>
      </c>
      <c r="HA60" s="1715">
        <f>GZ60*Assumptions!$C$57/1000</f>
        <v>20.4705750277775</v>
      </c>
      <c r="HB60" s="625">
        <f>IF(Assumptions!$C$60="Hourly",MAX(0,GX60*(GY60-HA60)),GX60*(GY60-HA60))</f>
        <v>915867.79194096441</v>
      </c>
      <c r="HC60" s="640">
        <f>IF($A60&gt;=BegDate,Assumptions!$C$56*24*($A61-$A60)*(1-VLOOKUP($B60,MAIN!$AA$7:$AM$28,$C60+1))*(1-VLOOKUP($B60,MAIN!$AA$33:$AM$54,$C60+1)),0)*16/168</f>
        <v>51548.571428571428</v>
      </c>
      <c r="HD60" s="1715">
        <f t="shared" si="155"/>
        <v>27.138696667199998</v>
      </c>
      <c r="HE60" s="1715">
        <f>IF($A60&gt;=BegDate,VLOOKUP($A60,GasTable,13)+Assumptions!$C$58,0)</f>
        <v>2.8235275900382759</v>
      </c>
      <c r="HF60" s="1715">
        <f>HE60*Assumptions!$C$57/1000</f>
        <v>20.4705750277775</v>
      </c>
      <c r="HG60" s="625">
        <f>IF(Assumptions!$C$60="Hourly",MAX(0,HC60*(HD60-HF60)),HC60*(HD60-HF60))</f>
        <v>343732.14462417347</v>
      </c>
      <c r="HH60" s="640">
        <f>IF($A60&gt;=BegDate,Assumptions!$C$56*24*($A61-$A60)*(1-VLOOKUP($B60,MAIN!$AA$7:$AM$28,$C60+1))*(1-VLOOKUP($B60,MAIN!$AA$33:$AM$54,$C60+1)),0)*56/168</f>
        <v>180420</v>
      </c>
      <c r="HI60" s="1715">
        <f t="shared" si="156"/>
        <v>27.138696667199998</v>
      </c>
      <c r="HJ60" s="1715">
        <f>IF($A60&gt;=BegDate,VLOOKUP($A60,GasTable,13)+Assumptions!$C$58,0)</f>
        <v>2.8235275900382759</v>
      </c>
      <c r="HK60" s="1715">
        <f>HJ60*Assumptions!$C$57/1000</f>
        <v>20.4705750277775</v>
      </c>
      <c r="HL60" s="625">
        <f>IF(Assumptions!$C$60="Hourly",MAX(0,HH60*(HI60-HK60)),HH60*(HI60-HK60))</f>
        <v>1203062.506184607</v>
      </c>
      <c r="HM60" s="640">
        <f>IF(AND(Assumptions!$H$71="Yes",A60&gt;=Assumptions!$H$72,A60&lt;=Assumptions!$H$73),Assumptions!$H$74*Assumptions!$C$9*1000,0)</f>
        <v>0</v>
      </c>
      <c r="HN60" s="530"/>
      <c r="HO60" s="545"/>
      <c r="HP60" s="545"/>
      <c r="HQ60" s="545"/>
      <c r="HR60" s="545"/>
      <c r="HS60" s="545"/>
      <c r="HT60" s="545"/>
      <c r="HU60" s="545"/>
      <c r="HV60" s="545"/>
      <c r="HW60" s="545"/>
      <c r="HX60" s="545"/>
      <c r="HY60" s="545"/>
      <c r="HZ60" s="545"/>
      <c r="IA60" s="545"/>
      <c r="IB60" s="545"/>
      <c r="IC60" s="545"/>
      <c r="ID60" s="545"/>
      <c r="IE60" s="545"/>
      <c r="IF60" s="545"/>
      <c r="IG60" s="545"/>
      <c r="IH60" s="545"/>
      <c r="II60" s="1464"/>
      <c r="IJ60" s="1463"/>
      <c r="IK60" s="1463"/>
    </row>
    <row r="61" spans="1:245">
      <c r="A61" s="177">
        <f t="shared" si="87"/>
        <v>37987</v>
      </c>
      <c r="B61" s="349">
        <f t="shared" si="88"/>
        <v>2004</v>
      </c>
      <c r="C61" s="15">
        <f t="shared" si="89"/>
        <v>1</v>
      </c>
      <c r="D61" s="612">
        <f t="shared" si="90"/>
        <v>37987</v>
      </c>
      <c r="E61" s="609">
        <f t="shared" si="91"/>
        <v>37987</v>
      </c>
      <c r="F61" s="614">
        <f t="shared" si="2"/>
        <v>38017</v>
      </c>
      <c r="G61" s="1349">
        <v>0</v>
      </c>
      <c r="H61" s="152">
        <f t="shared" si="165"/>
        <v>1</v>
      </c>
      <c r="I61" s="154">
        <f>IF(Assumptions!$L$25=4,VLOOKUP($A61,'Henwood Reference'!$E$9:$R$320,10),(VLOOKUP($A61,PriceTable,2,0)+IF(BasisNumber&lt;&gt;1,VLOOKUP($A61,BasisTable,2,0),0)+I$1)/(1-I$2))</f>
        <v>41.251597860816005</v>
      </c>
      <c r="J61" s="154">
        <f>IF(Assumptions!$L$25=4,VLOOKUP($A61,'Henwood Reference'!$E$9:$R$320,10),(VLOOKUP($A61,PriceTable,3,0)+IF(BasisNumber&lt;&gt;1,VLOOKUP($A61,BasisTable,2,0),0)+J$1)/(1-J$2))</f>
        <v>41.251597860816005</v>
      </c>
      <c r="K61" s="154">
        <f>IF(Assumptions!$L$25=4,VLOOKUP($A61,'Henwood Reference'!$E$9:$R$320,10),(VLOOKUP($A61,PriceTable,4,0)+IF(BasisNumber&lt;&gt;1,VLOOKUP($A61,BasisTable,2,0),0)+K$1)/(1-K$2))</f>
        <v>41.251597860816005</v>
      </c>
      <c r="L61" s="474">
        <f>IF(Assumptions!$L$25=4,VLOOKUP($A61,'Henwood Reference'!$E$9:$R$320,10),(VLOOKUP($A61,PriceTableWeekend,2,0)+IF(BasisNumber&lt;&gt;1,VLOOKUP($A61,BasisTable,2,0),0)+L$1)/(1-L$2))</f>
        <v>41.251597860816005</v>
      </c>
      <c r="M61" s="154">
        <f>IF(Assumptions!$L$25=4,VLOOKUP($A61,'Henwood Reference'!$E$9:$R$320,10),(VLOOKUP($A61,PriceTableWeekend,3,0)+IF(BasisNumber&lt;&gt;1,VLOOKUP($A61,BasisTable,2,0),0)+M$1)/(1-M$2))</f>
        <v>41.251597860816005</v>
      </c>
      <c r="N61" s="156">
        <f>IF(Assumptions!$L$25=4,VLOOKUP($A61,'Henwood Reference'!$E$9:$R$320,10),(VLOOKUP($A61,PriceTableWeekend,4,0)+IF(BasisNumber&lt;&gt;1,VLOOKUP($A61,BasisTable,2,0),0)+N$1)/(1-N$2))</f>
        <v>41.251597860816005</v>
      </c>
      <c r="O61" s="154">
        <f>IF(Assumptions!$L$25=4,VLOOKUP($A61,'Henwood Reference'!$E$9:$R$320,11),(VLOOKUP($A61,PriceTableWeekend,6,0)+IF(BasisNumber&lt;&gt;1,VLOOKUP($A61,BasisTable,3,0),0)+O$1)/(1-O$2))</f>
        <v>26.86217769864</v>
      </c>
      <c r="P61" s="154">
        <f>IF(Assumptions!$L$25=4,VLOOKUP($A61,'Henwood Reference'!$E$9:$R$320,11),(VLOOKUP($A61,PriceTableWeekend,7,0)+IF(BasisNumber&lt;&gt;1,VLOOKUP($A61,BasisTable,3,0),0)+P$1)/(1-P$2))</f>
        <v>26.86217769864</v>
      </c>
      <c r="Q61" s="156">
        <f>IF(Assumptions!$L$25=4,VLOOKUP($A61,'Henwood Reference'!$E$9:$R$320,11),(VLOOKUP($A61,PriceTableWeekend,8,0)+IF(BasisNumber&lt;&gt;1,VLOOKUP($A61,BasisTable,3,0),0)+Q$1)/(1-Q$2))</f>
        <v>26.86217769864</v>
      </c>
      <c r="R61" s="154">
        <f>IF(Assumptions!$L$25=4,VLOOKUP($A61,'Henwood Reference'!$E$9:$R$320,11),(VLOOKUP($A61,PriceTable,6,0)+IF(BasisNumber&lt;&gt;1,VLOOKUP($A61,BasisTable,3,0),0)+R$1)/(1-R$2))</f>
        <v>26.86217769864</v>
      </c>
      <c r="S61" s="154">
        <f>IF(Assumptions!$L$25=4,VLOOKUP($A61,'Henwood Reference'!$E$9:$R$320,11),(VLOOKUP($A61,PriceTable,7,0)+IF(BasisNumber&lt;&gt;1,VLOOKUP($A61,BasisTable,3,0),0)+S$1)/(1-S$2))</f>
        <v>26.86217769864</v>
      </c>
      <c r="T61" s="155">
        <f>IF(Assumptions!$L$25=4,VLOOKUP($A61,'Henwood Reference'!$E$9:$R$320,11),(VLOOKUP($A61,PriceTable,8,0)+IF(BasisNumber&lt;&gt;1,VLOOKUP($A61,BasisTable,3,0),0)+T$1)/(1-T$2))</f>
        <v>26.86217769864</v>
      </c>
      <c r="U61" s="173">
        <f t="shared" si="92"/>
        <v>0.15</v>
      </c>
      <c r="V61" s="173">
        <f t="shared" si="93"/>
        <v>0.16</v>
      </c>
      <c r="W61" s="174">
        <f t="shared" si="94"/>
        <v>0.17</v>
      </c>
      <c r="X61" s="173">
        <f t="shared" si="95"/>
        <v>0.15</v>
      </c>
      <c r="Y61" s="173">
        <f t="shared" si="96"/>
        <v>0.16</v>
      </c>
      <c r="Z61" s="174">
        <f t="shared" si="97"/>
        <v>0.17</v>
      </c>
      <c r="AA61" s="173">
        <f t="shared" si="98"/>
        <v>0.09</v>
      </c>
      <c r="AB61" s="173">
        <f t="shared" si="99"/>
        <v>0.11</v>
      </c>
      <c r="AC61" s="174">
        <f t="shared" si="100"/>
        <v>0.13</v>
      </c>
      <c r="AD61" s="173">
        <f t="shared" si="101"/>
        <v>0.09</v>
      </c>
      <c r="AE61" s="173">
        <f t="shared" si="102"/>
        <v>0.11</v>
      </c>
      <c r="AF61" s="174">
        <f t="shared" si="103"/>
        <v>0.13</v>
      </c>
      <c r="AG61" s="173">
        <f t="shared" si="104"/>
        <v>-0.25</v>
      </c>
      <c r="AH61" s="173">
        <f t="shared" si="105"/>
        <v>0.65</v>
      </c>
      <c r="AI61" s="174">
        <f t="shared" si="106"/>
        <v>0.25</v>
      </c>
      <c r="AJ61" s="173">
        <f t="shared" si="107"/>
        <v>-0.25</v>
      </c>
      <c r="AK61" s="173">
        <f t="shared" si="108"/>
        <v>0.65</v>
      </c>
      <c r="AL61" s="174">
        <f t="shared" si="109"/>
        <v>0.25</v>
      </c>
      <c r="AM61" s="173">
        <f t="shared" si="110"/>
        <v>-0.01</v>
      </c>
      <c r="AN61" s="173">
        <f t="shared" si="111"/>
        <v>0.16</v>
      </c>
      <c r="AO61" s="174">
        <f t="shared" si="112"/>
        <v>0.01</v>
      </c>
      <c r="AP61" s="173">
        <f t="shared" si="113"/>
        <v>-0.01</v>
      </c>
      <c r="AQ61" s="173">
        <f t="shared" si="114"/>
        <v>0.16</v>
      </c>
      <c r="AR61" s="175">
        <f t="shared" si="115"/>
        <v>0.01</v>
      </c>
      <c r="AS61" s="521">
        <f t="shared" si="188"/>
        <v>0.5</v>
      </c>
      <c r="AT61" s="349">
        <f t="shared" si="117"/>
        <v>21</v>
      </c>
      <c r="AU61" s="159">
        <f t="shared" si="3"/>
        <v>5</v>
      </c>
      <c r="AV61" s="159">
        <f t="shared" si="4"/>
        <v>4</v>
      </c>
      <c r="AW61" s="159">
        <f t="shared" si="189"/>
        <v>1</v>
      </c>
      <c r="AX61" s="15">
        <f t="shared" si="119"/>
        <v>31</v>
      </c>
      <c r="AY61" s="607">
        <f>IF(E61="",0,MIN((1-(1-VLOOKUP(B61,MAIN!$AA$7:$AM$28,C61+1))*(1-VLOOKUP(B61,MAIN!$AA$33:$AM$54,C61+1))),1))</f>
        <v>3.0000000000000027E-2</v>
      </c>
      <c r="AZ61" s="337">
        <v>48888</v>
      </c>
      <c r="BA61" s="509">
        <v>11640</v>
      </c>
      <c r="BB61" s="509">
        <v>11640</v>
      </c>
      <c r="BC61" s="511">
        <v>36084</v>
      </c>
      <c r="BD61" s="153">
        <v>0.96999999638646839</v>
      </c>
      <c r="BE61" s="474">
        <v>0.96999999638646839</v>
      </c>
      <c r="BF61" s="474">
        <v>0.96999999638646839</v>
      </c>
      <c r="BG61" s="515">
        <v>0.9699999927729368</v>
      </c>
      <c r="BH61" s="262">
        <v>195552</v>
      </c>
      <c r="BI61" s="509">
        <v>46560</v>
      </c>
      <c r="BJ61" s="509">
        <v>46560</v>
      </c>
      <c r="BK61" s="511">
        <v>144336</v>
      </c>
      <c r="BL61" s="153">
        <v>0.96999999638646839</v>
      </c>
      <c r="BM61" s="474">
        <v>0.96999999638646839</v>
      </c>
      <c r="BN61" s="474">
        <v>0.96999999638646839</v>
      </c>
      <c r="BO61" s="474">
        <v>0.9699999927729368</v>
      </c>
      <c r="BP61" s="261">
        <f t="shared" si="120"/>
        <v>72168</v>
      </c>
      <c r="BQ61" s="578">
        <f t="shared" si="121"/>
        <v>108252</v>
      </c>
      <c r="BR61" s="259">
        <f t="shared" si="122"/>
        <v>288672</v>
      </c>
      <c r="BS61" s="578">
        <f t="shared" si="123"/>
        <v>433008</v>
      </c>
      <c r="BT61" s="216">
        <f t="shared" si="124"/>
        <v>3.7152635181382614</v>
      </c>
      <c r="BU61" s="218">
        <f t="shared" si="5"/>
        <v>41.251597707141826</v>
      </c>
      <c r="BV61" s="216">
        <f t="shared" si="6"/>
        <v>41.251597707141826</v>
      </c>
      <c r="BW61" s="216">
        <f t="shared" si="7"/>
        <v>26.86217759857059</v>
      </c>
      <c r="BX61" s="216">
        <f t="shared" si="125"/>
        <v>26.862177498501179</v>
      </c>
      <c r="BY61" s="216">
        <f t="shared" si="8"/>
        <v>38.930723496081946</v>
      </c>
      <c r="BZ61" s="216">
        <f t="shared" si="9"/>
        <v>34.907874830221687</v>
      </c>
      <c r="CA61" s="264">
        <f t="shared" si="10"/>
        <v>41.251597707141826</v>
      </c>
      <c r="CB61" s="216">
        <f t="shared" si="11"/>
        <v>41.251597707141826</v>
      </c>
      <c r="CC61" s="216">
        <f t="shared" si="12"/>
        <v>26.86217759857059</v>
      </c>
      <c r="CD61" s="216">
        <f t="shared" si="126"/>
        <v>26.862177498501179</v>
      </c>
      <c r="CE61" s="216">
        <f t="shared" si="13"/>
        <v>38.930723496081946</v>
      </c>
      <c r="CF61" s="571">
        <f t="shared" si="14"/>
        <v>34.907874830221687</v>
      </c>
      <c r="CG61" s="573">
        <f t="shared" si="15"/>
        <v>0.16</v>
      </c>
      <c r="CH61" s="219">
        <f t="shared" si="16"/>
        <v>0.16</v>
      </c>
      <c r="CI61" s="219">
        <f t="shared" si="17"/>
        <v>0.11</v>
      </c>
      <c r="CJ61" s="219">
        <f t="shared" si="18"/>
        <v>0.15450629830048604</v>
      </c>
      <c r="CK61" s="219">
        <f t="shared" si="19"/>
        <v>0.15450629830048604</v>
      </c>
      <c r="CL61" s="219">
        <f t="shared" si="20"/>
        <v>0.11</v>
      </c>
      <c r="CM61" s="219">
        <f t="shared" si="21"/>
        <v>0.13166567205115015</v>
      </c>
      <c r="CN61" s="569">
        <f t="shared" si="22"/>
        <v>0.13166567205115015</v>
      </c>
      <c r="CO61" s="264">
        <f t="shared" si="175"/>
        <v>19.374476576273537</v>
      </c>
      <c r="CP61" s="216">
        <f t="shared" si="127"/>
        <v>19.374476576273537</v>
      </c>
      <c r="CQ61" s="216">
        <f t="shared" ca="1" si="192"/>
        <v>19.374476576273537</v>
      </c>
      <c r="CR61" s="216">
        <f t="shared" ca="1" si="193"/>
        <v>19.374476576273537</v>
      </c>
      <c r="CS61" s="1626">
        <f t="shared" ca="1" si="194"/>
        <v>19.374476576273537</v>
      </c>
      <c r="CT61" s="216">
        <f t="shared" si="131"/>
        <v>19.374476576273537</v>
      </c>
      <c r="CU61" s="575">
        <f t="shared" si="23"/>
        <v>0.185</v>
      </c>
      <c r="CV61" s="154">
        <f t="shared" si="24"/>
        <v>0.5</v>
      </c>
      <c r="CW61" s="216">
        <f>IF(OR($BQ61,$BS61),SpreadOptPowerMargin,0)*((1+Assumptions!$C$26)^($B61-YEAR(Assumptions!$C$17)))</f>
        <v>1.8360000000000001</v>
      </c>
      <c r="CX61" s="216">
        <f>IF(OR($BQ61,$BS61),SpreadOptPowerMargin,0)*((1+Assumptions!$C$26)^($B61-YEAR(Assumptions!$C$17)))</f>
        <v>1.8360000000000001</v>
      </c>
      <c r="CY61" s="216">
        <f>IF(OR($BQ61,$BS61),SpreadOptPowerMargin,0)*((1+Assumptions!$C$26)^($B61-YEAR(Assumptions!$C$17)))</f>
        <v>1.8360000000000001</v>
      </c>
      <c r="CZ61" s="216">
        <f>IF(OR($BQ61,$BS61),SpreadOptPowerMargin,0)*((1+Assumptions!$C$26)^($B61-YEAR(Assumptions!$C$17)))</f>
        <v>1.8360000000000001</v>
      </c>
      <c r="DA61" s="440">
        <f t="shared" si="25"/>
        <v>1.8360000000000001</v>
      </c>
      <c r="DB61" s="479">
        <f t="shared" si="26"/>
        <v>0.16</v>
      </c>
      <c r="DC61" s="479">
        <f t="shared" si="27"/>
        <v>0.16</v>
      </c>
      <c r="DD61" s="479">
        <f t="shared" si="28"/>
        <v>0.11</v>
      </c>
      <c r="DE61" s="479">
        <f t="shared" si="29"/>
        <v>0.11</v>
      </c>
      <c r="DF61" s="479">
        <f t="shared" si="30"/>
        <v>0.13166567205115015</v>
      </c>
      <c r="DG61" s="574">
        <f t="shared" si="31"/>
        <v>0.13166567205115015</v>
      </c>
      <c r="DH61" s="216">
        <f t="shared" si="32"/>
        <v>20.105576359461665</v>
      </c>
      <c r="DI61" s="216">
        <f t="shared" si="33"/>
        <v>20.105576359461665</v>
      </c>
      <c r="DJ61" s="216">
        <f t="shared" ca="1" si="195"/>
        <v>6.4473339859487417</v>
      </c>
      <c r="DK61" s="216">
        <f t="shared" ca="1" si="196"/>
        <v>6.4473339024343845</v>
      </c>
      <c r="DL61" s="216">
        <f t="shared" ca="1" si="197"/>
        <v>13.85938420229887</v>
      </c>
      <c r="DM61" s="216"/>
      <c r="DN61" s="216"/>
      <c r="DO61" s="216"/>
      <c r="DP61" s="216"/>
      <c r="DQ61" s="216"/>
      <c r="DR61" s="216"/>
      <c r="DS61" s="216"/>
      <c r="DT61" s="216"/>
      <c r="DU61" s="216"/>
      <c r="DV61" s="216"/>
      <c r="DW61" s="1371">
        <f t="shared" si="37"/>
        <v>6.4473339859487417</v>
      </c>
      <c r="DX61" s="216">
        <f t="shared" si="38"/>
        <v>6.4473339024343845</v>
      </c>
      <c r="DY61" s="440">
        <f t="shared" si="39"/>
        <v>14.084200661580216</v>
      </c>
      <c r="DZ61" s="180">
        <f t="shared" si="40"/>
        <v>982921.41706136183</v>
      </c>
      <c r="EA61" s="180">
        <f t="shared" si="41"/>
        <v>234028.90882413377</v>
      </c>
      <c r="EB61" s="180">
        <f t="shared" ca="1" si="198"/>
        <v>75046.967596443355</v>
      </c>
      <c r="EC61" s="180">
        <f t="shared" ca="1" si="199"/>
        <v>232645.59653544234</v>
      </c>
      <c r="ED61" s="180">
        <f t="shared" ca="1" si="200"/>
        <v>1500306.0586672572</v>
      </c>
      <c r="EE61" s="581">
        <f t="shared" si="45"/>
        <v>979770.32984588901</v>
      </c>
      <c r="EF61" s="554">
        <f t="shared" si="46"/>
        <v>233278.6499633069</v>
      </c>
      <c r="EG61" s="554">
        <f t="shared" ca="1" si="201"/>
        <v>65785.799899537713</v>
      </c>
      <c r="EH61" s="554">
        <f t="shared" ca="1" si="202"/>
        <v>203935.97607766229</v>
      </c>
      <c r="EI61" s="561">
        <f t="shared" ca="1" si="49"/>
        <v>1482770.7557863952</v>
      </c>
      <c r="EJ61" s="581">
        <f t="shared" si="132"/>
        <v>3151.0872154728277</v>
      </c>
      <c r="EK61" s="554">
        <f t="shared" si="133"/>
        <v>750.25886082687066</v>
      </c>
      <c r="EL61" s="554">
        <f t="shared" ca="1" si="203"/>
        <v>9261.1676969056425</v>
      </c>
      <c r="EM61" s="554">
        <f t="shared" ca="1" si="204"/>
        <v>28709.620457780053</v>
      </c>
      <c r="EN61" s="561">
        <f t="shared" ca="1" si="205"/>
        <v>17535.302880862029</v>
      </c>
      <c r="EO61" s="180">
        <f t="shared" si="50"/>
        <v>3931685.6682454473</v>
      </c>
      <c r="EP61" s="180">
        <f t="shared" si="51"/>
        <v>936115.6352965351</v>
      </c>
      <c r="EQ61" s="180">
        <f t="shared" si="52"/>
        <v>300187.87038577342</v>
      </c>
      <c r="ER61" s="180">
        <f t="shared" si="53"/>
        <v>930582.38614176936</v>
      </c>
      <c r="ES61" s="180">
        <f t="shared" si="54"/>
        <v>6098571.5600695256</v>
      </c>
      <c r="ET61" s="1482">
        <f t="shared" ca="1" si="206"/>
        <v>3919081.319383556</v>
      </c>
      <c r="EU61" s="180">
        <f t="shared" ca="1" si="207"/>
        <v>933114.59985322761</v>
      </c>
      <c r="EV61" s="180">
        <f t="shared" ca="1" si="208"/>
        <v>263143.19959815085</v>
      </c>
      <c r="EW61" s="180">
        <f t="shared" ca="1" si="209"/>
        <v>815743.90431064914</v>
      </c>
      <c r="EX61" s="555">
        <f t="shared" ca="1" si="182"/>
        <v>5931083.0231455844</v>
      </c>
      <c r="EY61" s="180">
        <f t="shared" ca="1" si="210"/>
        <v>12604.348861891311</v>
      </c>
      <c r="EZ61" s="180">
        <f t="shared" ca="1" si="211"/>
        <v>3001.0354433074826</v>
      </c>
      <c r="FA61" s="180">
        <f t="shared" ca="1" si="212"/>
        <v>37044.67078762257</v>
      </c>
      <c r="FB61" s="180">
        <f t="shared" ca="1" si="213"/>
        <v>114838.48183112021</v>
      </c>
      <c r="FC61" s="180">
        <f t="shared" ca="1" si="214"/>
        <v>167488.53692394122</v>
      </c>
      <c r="FD61" s="262">
        <f>IF(AX61,IF(VLOOKUP(C61,MAIN!$L$17:$M$28,2)="Yes",VLOOKUP(CALC!B61,MAIN!$H$17:$I$20,2),0),0)</f>
        <v>0</v>
      </c>
      <c r="FE61" s="623">
        <f t="shared" si="60"/>
        <v>0</v>
      </c>
      <c r="FF61" s="535">
        <f t="shared" si="61"/>
        <v>0</v>
      </c>
      <c r="FG61" s="535">
        <f t="shared" si="62"/>
        <v>0</v>
      </c>
      <c r="FH61" s="624">
        <f t="shared" si="63"/>
        <v>0</v>
      </c>
      <c r="FI61" s="632">
        <f>IF(AX61,VLOOKUP(CALC!B61,MAIN!$H$17:$K$20,4),0)</f>
        <v>0</v>
      </c>
      <c r="FJ61" s="535">
        <f t="shared" si="64"/>
        <v>0</v>
      </c>
      <c r="FK61" s="648">
        <f t="shared" si="142"/>
        <v>0</v>
      </c>
      <c r="FL61" s="530">
        <f t="shared" ca="1" si="215"/>
        <v>0</v>
      </c>
      <c r="FM61" s="530">
        <f t="shared" ca="1" si="216"/>
        <v>0</v>
      </c>
      <c r="FN61" s="530">
        <f t="shared" ca="1" si="217"/>
        <v>0</v>
      </c>
      <c r="FO61" s="622">
        <f t="shared" ca="1" si="218"/>
        <v>0</v>
      </c>
      <c r="FP61" s="530">
        <f t="shared" ca="1" si="219"/>
        <v>0</v>
      </c>
      <c r="FQ61" s="530">
        <f t="shared" ca="1" si="220"/>
        <v>0</v>
      </c>
      <c r="FR61" s="530">
        <f t="shared" ca="1" si="221"/>
        <v>0</v>
      </c>
      <c r="FS61" s="625">
        <f t="shared" ca="1" si="222"/>
        <v>0</v>
      </c>
      <c r="FT61" s="640">
        <f ca="1">IF(AND(Assumptions!$H$71="Yes",A61&gt;=Assumptions!$H$72,A61&lt;=Assumptions!$H$73),0,IF(AND($A61&gt;=Assumptions!$C$17,$A61&lt;=Assumptions!$C$18),MAX(AZ61*(1+VLOOKUP($C61,WeatherCapacityAdjustment,2))-FL61,0),0))</f>
        <v>48888</v>
      </c>
      <c r="FU61" s="530">
        <f ca="1">IF(AND(Assumptions!$H$71="Yes",A61&gt;=Assumptions!$H$72,A61&lt;=Assumptions!$H$73),0,IF(AND($A61&gt;=Assumptions!$C$17,$A61&lt;=Assumptions!$C$18),MAX(BA61*(1+VLOOKUP($C61,WeatherCapacityAdjustment,2))-FM61,0),0))</f>
        <v>11640</v>
      </c>
      <c r="FV61" s="530">
        <f ca="1">IF(AND(Assumptions!$H$71="Yes",A61&gt;=Assumptions!$H$72,A61&lt;=Assumptions!$H$73),0,IF(AND($A61&gt;=Assumptions!$C$17,$A61&lt;=Assumptions!$C$18),MAX(BB61*(1+VLOOKUP($C61,WeatherCapacityAdjustment,2))-FN61,0),0))</f>
        <v>11640</v>
      </c>
      <c r="FW61" s="622">
        <f ca="1">IF(AND(Assumptions!$H$71="Yes",A61&gt;=Assumptions!$H$72,A61&lt;=Assumptions!$H$73),0,IF(AND($A61&gt;=Assumptions!$C$17,$A61&lt;=Assumptions!$C$18),MAX(BC61*(1+VLOOKUP($C61,WeatherCapacityAdjustment,3))-FO61,0),0))</f>
        <v>36084</v>
      </c>
      <c r="FX61" s="621">
        <f ca="1">IF(AND(Assumptions!$H$71="Yes",A61&gt;=Assumptions!$H$72,A61&lt;=Assumptions!$H$73),0,IF(ET61&gt;0,MAX(BH61*(1+VLOOKUP($C61,WeatherCapacityAdjustment,2))-FP61,0),0))</f>
        <v>195552</v>
      </c>
      <c r="FY61" s="530">
        <f ca="1">IF(AND(Assumptions!$H$71="Yes",A61&gt;=Assumptions!$H$72,A61&lt;=Assumptions!$H$73),0,IF(EU61&gt;0,MAX(BI61*(1+VLOOKUP($C61,WeatherCapacityAdjustment,3))-FQ61,0),0))</f>
        <v>46560</v>
      </c>
      <c r="FZ61" s="530">
        <f ca="1">IF(AND(Assumptions!$H$71="Yes",A61&gt;=Assumptions!$H$72,A61&lt;=Assumptions!$H$73),0,IF(EV61&gt;0,MAX(BJ61*(1+VLOOKUP($C61,WeatherCapacityAdjustment,2))-FR61,0),0))</f>
        <v>46560</v>
      </c>
      <c r="GA61" s="622">
        <f ca="1">IF(AND(Assumptions!$H$71="Yes",A61&gt;=Assumptions!$H$72,A61&lt;=Assumptions!$H$73),0,IF(EW61&gt;0,MAX(BK61*(1+VLOOKUP($C61,WeatherCapacityAdjustment,2))-FS61,0),0))</f>
        <v>144336</v>
      </c>
      <c r="GB61" s="530">
        <f t="shared" ca="1" si="65"/>
        <v>541260</v>
      </c>
      <c r="GC61" s="545">
        <f t="shared" ca="1" si="66"/>
        <v>34.907874830221687</v>
      </c>
      <c r="GD61" s="530">
        <f t="shared" ca="1" si="223"/>
        <v>18894236.330605794</v>
      </c>
      <c r="GE61" s="1485">
        <f t="shared" ca="1" si="224"/>
        <v>761901.39144000004</v>
      </c>
      <c r="GF61" s="1776">
        <f t="shared" ca="1" si="225"/>
        <v>3047605.5657600001</v>
      </c>
      <c r="GG61" s="545">
        <f t="shared" si="190"/>
        <v>2.7527523402612499</v>
      </c>
      <c r="GH61" s="622">
        <f t="shared" ca="1" si="191"/>
        <v>10486629.191673813</v>
      </c>
      <c r="GI61" s="621">
        <f t="shared" ca="1" si="152"/>
        <v>541260</v>
      </c>
      <c r="GJ61" s="638">
        <f t="shared" si="68"/>
        <v>1.8360000000000001</v>
      </c>
      <c r="GK61" s="625">
        <f t="shared" ca="1" si="166"/>
        <v>993753.36</v>
      </c>
      <c r="GL61" s="640">
        <f t="shared" ca="1" si="226"/>
        <v>0</v>
      </c>
      <c r="GM61" s="530">
        <f t="shared" ca="1" si="227"/>
        <v>0</v>
      </c>
      <c r="GN61" s="530">
        <f t="shared" ca="1" si="228"/>
        <v>0</v>
      </c>
      <c r="GO61" s="622">
        <f t="shared" ca="1" si="229"/>
        <v>0</v>
      </c>
      <c r="GP61" s="530">
        <f t="shared" ca="1" si="73"/>
        <v>0</v>
      </c>
      <c r="GQ61" s="545">
        <f t="shared" ca="1" si="74"/>
        <v>0</v>
      </c>
      <c r="GR61" s="625">
        <f t="shared" ca="1" si="230"/>
        <v>0</v>
      </c>
      <c r="GS61" s="640">
        <f>IF($A61&gt;=BegDate,Assumptions!$C$56*24*($A62-$A61)*(1-VLOOKUP($B61,MAIN!$AA$7:$AM$28,$C61+1))*(1-VLOOKUP($B61,MAIN!$AA$33:$AM$54,$C61+1)),0)*80/168</f>
        <v>257742.85714285713</v>
      </c>
      <c r="GT61" s="1715">
        <f t="shared" si="153"/>
        <v>41.251597860816005</v>
      </c>
      <c r="GU61" s="1715">
        <f>IF($A61&gt;=BegDate,VLOOKUP($A61,GasTable,13)+Assumptions!$C$58,0)</f>
        <v>2.7527523402612499</v>
      </c>
      <c r="GV61" s="1715">
        <f>GU61*Assumptions!$C$57/1000</f>
        <v>19.957454466894063</v>
      </c>
      <c r="GW61" s="625">
        <f>IF(Assumptions!$C$60="Hourly",MAX(0,GS61*(GT61-GV61)),GS61*(GT61-GV61))</f>
        <v>5488413.3587591378</v>
      </c>
      <c r="GX61" s="640">
        <f>IF($A61&gt;=BegDate,Assumptions!$C$56*24*($A62-$A61)*(1-VLOOKUP($B61,MAIN!$AA$7:$AM$28,$C61+1))*(1-VLOOKUP($B61,MAIN!$AA$33:$AM$54,$C61+1)),0)*16/168</f>
        <v>51548.571428571428</v>
      </c>
      <c r="GY61" s="1715">
        <f t="shared" si="154"/>
        <v>41.251597860816005</v>
      </c>
      <c r="GZ61" s="1715">
        <f>IF($A61&gt;=BegDate,VLOOKUP($A61,GasTable,13)+Assumptions!$C$58,0)</f>
        <v>2.7527523402612499</v>
      </c>
      <c r="HA61" s="1715">
        <f>GZ61*Assumptions!$C$57/1000</f>
        <v>19.957454466894063</v>
      </c>
      <c r="HB61" s="625">
        <f>IF(Assumptions!$C$60="Hourly",MAX(0,GX61*(GY61-HA61)),GX61*(GY61-HA61))</f>
        <v>1097682.6717518277</v>
      </c>
      <c r="HC61" s="640">
        <f>IF($A61&gt;=BegDate,Assumptions!$C$56*24*($A62-$A61)*(1-VLOOKUP($B61,MAIN!$AA$7:$AM$28,$C61+1))*(1-VLOOKUP($B61,MAIN!$AA$33:$AM$54,$C61+1)),0)*16/168</f>
        <v>51548.571428571428</v>
      </c>
      <c r="HD61" s="1715">
        <f t="shared" si="155"/>
        <v>26.86217769864</v>
      </c>
      <c r="HE61" s="1715">
        <f>IF($A61&gt;=BegDate,VLOOKUP($A61,GasTable,13)+Assumptions!$C$58,0)</f>
        <v>2.7527523402612499</v>
      </c>
      <c r="HF61" s="1715">
        <f>HE61*Assumptions!$C$57/1000</f>
        <v>19.957454466894063</v>
      </c>
      <c r="HG61" s="625">
        <f>IF(Assumptions!$C$60="Hourly",MAX(0,HC61*(HD61-HF61)),HC61*(HD61-HF61))</f>
        <v>355928.61870617198</v>
      </c>
      <c r="HH61" s="640">
        <f>IF($A61&gt;=BegDate,Assumptions!$C$56*24*($A62-$A61)*(1-VLOOKUP($B61,MAIN!$AA$7:$AM$28,$C61+1))*(1-VLOOKUP($B61,MAIN!$AA$33:$AM$54,$C61+1)),0)*56/168</f>
        <v>180420</v>
      </c>
      <c r="HI61" s="1715">
        <f t="shared" si="156"/>
        <v>26.86217769864</v>
      </c>
      <c r="HJ61" s="1715">
        <f>IF($A61&gt;=BegDate,VLOOKUP($A61,GasTable,13)+Assumptions!$C$58,0)</f>
        <v>2.7527523402612499</v>
      </c>
      <c r="HK61" s="1715">
        <f>HJ61*Assumptions!$C$57/1000</f>
        <v>19.957454466894063</v>
      </c>
      <c r="HL61" s="625">
        <f>IF(Assumptions!$C$60="Hourly",MAX(0,HH61*(HI61-HK61)),HH61*(HI61-HK61))</f>
        <v>1245750.165471602</v>
      </c>
      <c r="HM61" s="640">
        <f>IF(AND(Assumptions!$H$71="Yes",A61&gt;=Assumptions!$H$72,A61&lt;=Assumptions!$H$73),Assumptions!$H$74*Assumptions!$C$9*1000,0)</f>
        <v>0</v>
      </c>
      <c r="HN61" s="530"/>
      <c r="HO61" s="545"/>
      <c r="HP61" s="545"/>
      <c r="HQ61" s="545"/>
      <c r="HR61" s="545"/>
      <c r="HS61" s="545"/>
      <c r="HT61" s="545"/>
      <c r="HU61" s="545"/>
      <c r="HV61" s="545"/>
      <c r="HW61" s="545"/>
      <c r="HX61" s="545"/>
      <c r="HY61" s="545"/>
      <c r="HZ61" s="545"/>
      <c r="IA61" s="545"/>
      <c r="IB61" s="545"/>
      <c r="IC61" s="545"/>
      <c r="ID61" s="545"/>
      <c r="IE61" s="545"/>
      <c r="IF61" s="545"/>
      <c r="IG61" s="545"/>
      <c r="IH61" s="545"/>
      <c r="II61" s="1464"/>
      <c r="IJ61" s="1463"/>
      <c r="IK61" s="1463"/>
    </row>
    <row r="62" spans="1:245">
      <c r="A62" s="177">
        <f t="shared" si="87"/>
        <v>38018</v>
      </c>
      <c r="B62" s="349">
        <f t="shared" si="88"/>
        <v>2004</v>
      </c>
      <c r="C62" s="15">
        <f t="shared" si="89"/>
        <v>2</v>
      </c>
      <c r="D62" s="612" t="str">
        <f t="shared" si="90"/>
        <v/>
      </c>
      <c r="E62" s="609">
        <f t="shared" si="91"/>
        <v>38018</v>
      </c>
      <c r="F62" s="614">
        <f t="shared" si="2"/>
        <v>38046</v>
      </c>
      <c r="G62" s="1349">
        <v>0</v>
      </c>
      <c r="H62" s="152">
        <f t="shared" si="165"/>
        <v>1</v>
      </c>
      <c r="I62" s="154">
        <f>IF(Assumptions!$L$25=4,VLOOKUP($A62,'Henwood Reference'!$E$9:$R$320,10),(VLOOKUP($A62,PriceTable,2,0)+IF(BasisNumber&lt;&gt;1,VLOOKUP($A62,BasisTable,2,0),0)+I$1)/(1-I$2))</f>
        <v>33.318236073743996</v>
      </c>
      <c r="J62" s="154">
        <f>IF(Assumptions!$L$25=4,VLOOKUP($A62,'Henwood Reference'!$E$9:$R$320,10),(VLOOKUP($A62,PriceTable,3,0)+IF(BasisNumber&lt;&gt;1,VLOOKUP($A62,BasisTable,2,0),0)+J$1)/(1-J$2))</f>
        <v>33.318236073743996</v>
      </c>
      <c r="K62" s="154">
        <f>IF(Assumptions!$L$25=4,VLOOKUP($A62,'Henwood Reference'!$E$9:$R$320,10),(VLOOKUP($A62,PriceTable,4,0)+IF(BasisNumber&lt;&gt;1,VLOOKUP($A62,BasisTable,2,0),0)+K$1)/(1-K$2))</f>
        <v>33.318236073743996</v>
      </c>
      <c r="L62" s="474">
        <f>IF(Assumptions!$L$25=4,VLOOKUP($A62,'Henwood Reference'!$E$9:$R$320,10),(VLOOKUP($A62,PriceTableWeekend,2,0)+IF(BasisNumber&lt;&gt;1,VLOOKUP($A62,BasisTable,2,0),0)+L$1)/(1-L$2))</f>
        <v>33.318236073743996</v>
      </c>
      <c r="M62" s="154">
        <f>IF(Assumptions!$L$25=4,VLOOKUP($A62,'Henwood Reference'!$E$9:$R$320,10),(VLOOKUP($A62,PriceTableWeekend,3,0)+IF(BasisNumber&lt;&gt;1,VLOOKUP($A62,BasisTable,2,0),0)+M$1)/(1-M$2))</f>
        <v>33.318236073743996</v>
      </c>
      <c r="N62" s="156">
        <f>IF(Assumptions!$L$25=4,VLOOKUP($A62,'Henwood Reference'!$E$9:$R$320,10),(VLOOKUP($A62,PriceTableWeekend,4,0)+IF(BasisNumber&lt;&gt;1,VLOOKUP($A62,BasisTable,2,0),0)+N$1)/(1-N$2))</f>
        <v>33.318236073743996</v>
      </c>
      <c r="O62" s="154">
        <f>IF(Assumptions!$L$25=4,VLOOKUP($A62,'Henwood Reference'!$E$9:$R$320,11),(VLOOKUP($A62,PriceTableWeekend,6,0)+IF(BasisNumber&lt;&gt;1,VLOOKUP($A62,BasisTable,3,0),0)+O$1)/(1-O$2))</f>
        <v>22.970292867360001</v>
      </c>
      <c r="P62" s="154">
        <f>IF(Assumptions!$L$25=4,VLOOKUP($A62,'Henwood Reference'!$E$9:$R$320,11),(VLOOKUP($A62,PriceTableWeekend,7,0)+IF(BasisNumber&lt;&gt;1,VLOOKUP($A62,BasisTable,3,0),0)+P$1)/(1-P$2))</f>
        <v>22.970292867360001</v>
      </c>
      <c r="Q62" s="156">
        <f>IF(Assumptions!$L$25=4,VLOOKUP($A62,'Henwood Reference'!$E$9:$R$320,11),(VLOOKUP($A62,PriceTableWeekend,8,0)+IF(BasisNumber&lt;&gt;1,VLOOKUP($A62,BasisTable,3,0),0)+Q$1)/(1-Q$2))</f>
        <v>22.970292867360001</v>
      </c>
      <c r="R62" s="154">
        <f>IF(Assumptions!$L$25=4,VLOOKUP($A62,'Henwood Reference'!$E$9:$R$320,11),(VLOOKUP($A62,PriceTable,6,0)+IF(BasisNumber&lt;&gt;1,VLOOKUP($A62,BasisTable,3,0),0)+R$1)/(1-R$2))</f>
        <v>22.970292867360001</v>
      </c>
      <c r="S62" s="154">
        <f>IF(Assumptions!$L$25=4,VLOOKUP($A62,'Henwood Reference'!$E$9:$R$320,11),(VLOOKUP($A62,PriceTable,7,0)+IF(BasisNumber&lt;&gt;1,VLOOKUP($A62,BasisTable,3,0),0)+S$1)/(1-S$2))</f>
        <v>22.970292867360001</v>
      </c>
      <c r="T62" s="155">
        <f>IF(Assumptions!$L$25=4,VLOOKUP($A62,'Henwood Reference'!$E$9:$R$320,11),(VLOOKUP($A62,PriceTable,8,0)+IF(BasisNumber&lt;&gt;1,VLOOKUP($A62,BasisTable,3,0),0)+T$1)/(1-T$2))</f>
        <v>22.970292867360001</v>
      </c>
      <c r="U62" s="173">
        <f t="shared" si="92"/>
        <v>0.15</v>
      </c>
      <c r="V62" s="173">
        <f t="shared" si="93"/>
        <v>0.16</v>
      </c>
      <c r="W62" s="174">
        <f t="shared" si="94"/>
        <v>0.17</v>
      </c>
      <c r="X62" s="173">
        <f t="shared" si="95"/>
        <v>0.15</v>
      </c>
      <c r="Y62" s="173">
        <f t="shared" si="96"/>
        <v>0.16</v>
      </c>
      <c r="Z62" s="174">
        <f t="shared" si="97"/>
        <v>0.17</v>
      </c>
      <c r="AA62" s="173">
        <f t="shared" si="98"/>
        <v>0.09</v>
      </c>
      <c r="AB62" s="173">
        <f t="shared" si="99"/>
        <v>0.11</v>
      </c>
      <c r="AC62" s="174">
        <f t="shared" si="100"/>
        <v>0.13</v>
      </c>
      <c r="AD62" s="173">
        <f t="shared" si="101"/>
        <v>0.09</v>
      </c>
      <c r="AE62" s="173">
        <f t="shared" si="102"/>
        <v>0.11</v>
      </c>
      <c r="AF62" s="174">
        <f t="shared" si="103"/>
        <v>0.13</v>
      </c>
      <c r="AG62" s="173">
        <f t="shared" si="104"/>
        <v>-0.25</v>
      </c>
      <c r="AH62" s="173">
        <f t="shared" si="105"/>
        <v>0.65</v>
      </c>
      <c r="AI62" s="174">
        <f t="shared" si="106"/>
        <v>0.25</v>
      </c>
      <c r="AJ62" s="173">
        <f t="shared" si="107"/>
        <v>-0.25</v>
      </c>
      <c r="AK62" s="173">
        <f t="shared" si="108"/>
        <v>0.65</v>
      </c>
      <c r="AL62" s="174">
        <f t="shared" si="109"/>
        <v>0.25</v>
      </c>
      <c r="AM62" s="173">
        <f t="shared" si="110"/>
        <v>-0.01</v>
      </c>
      <c r="AN62" s="173">
        <f t="shared" si="111"/>
        <v>0.16</v>
      </c>
      <c r="AO62" s="174">
        <f t="shared" si="112"/>
        <v>0.01</v>
      </c>
      <c r="AP62" s="173">
        <f t="shared" si="113"/>
        <v>-0.01</v>
      </c>
      <c r="AQ62" s="173">
        <f t="shared" si="114"/>
        <v>0.16</v>
      </c>
      <c r="AR62" s="175">
        <f t="shared" si="115"/>
        <v>0.01</v>
      </c>
      <c r="AS62" s="521">
        <f t="shared" si="188"/>
        <v>0.5</v>
      </c>
      <c r="AT62" s="349">
        <f t="shared" si="117"/>
        <v>20</v>
      </c>
      <c r="AU62" s="159">
        <f t="shared" si="3"/>
        <v>4</v>
      </c>
      <c r="AV62" s="159">
        <f t="shared" si="4"/>
        <v>5</v>
      </c>
      <c r="AW62" s="159">
        <f t="shared" si="189"/>
        <v>0</v>
      </c>
      <c r="AX62" s="15">
        <f t="shared" si="119"/>
        <v>29</v>
      </c>
      <c r="AY62" s="607">
        <f>IF(E62="",0,MIN((1-(1-VLOOKUP(B62,MAIN!$AA$7:$AM$28,C62+1))*(1-VLOOKUP(B62,MAIN!$AA$33:$AM$54,C62+1))),1))</f>
        <v>3.0000000000000027E-2</v>
      </c>
      <c r="AZ62" s="337">
        <v>46560</v>
      </c>
      <c r="BA62" s="509">
        <v>9312</v>
      </c>
      <c r="BB62" s="509">
        <v>11640</v>
      </c>
      <c r="BC62" s="511">
        <v>33756</v>
      </c>
      <c r="BD62" s="153">
        <v>0.97</v>
      </c>
      <c r="BE62" s="474">
        <v>0.97</v>
      </c>
      <c r="BF62" s="474">
        <v>0.97</v>
      </c>
      <c r="BG62" s="515">
        <v>0.9699999927729368</v>
      </c>
      <c r="BH62" s="262">
        <v>186240</v>
      </c>
      <c r="BI62" s="509">
        <v>37248</v>
      </c>
      <c r="BJ62" s="509">
        <v>46560</v>
      </c>
      <c r="BK62" s="511">
        <v>135024</v>
      </c>
      <c r="BL62" s="153">
        <v>0.97</v>
      </c>
      <c r="BM62" s="474">
        <v>0.97</v>
      </c>
      <c r="BN62" s="474">
        <v>0.97</v>
      </c>
      <c r="BO62" s="474">
        <v>0.9699999927729368</v>
      </c>
      <c r="BP62" s="261">
        <f t="shared" si="120"/>
        <v>67512</v>
      </c>
      <c r="BQ62" s="578">
        <f t="shared" si="121"/>
        <v>101268</v>
      </c>
      <c r="BR62" s="259">
        <f t="shared" si="122"/>
        <v>270048</v>
      </c>
      <c r="BS62" s="578">
        <f t="shared" si="123"/>
        <v>405072</v>
      </c>
      <c r="BT62" s="216">
        <f t="shared" si="124"/>
        <v>3.8001368925393568</v>
      </c>
      <c r="BU62" s="218">
        <f t="shared" si="5"/>
        <v>33.318236073743996</v>
      </c>
      <c r="BV62" s="216">
        <f t="shared" si="6"/>
        <v>33.318236073743996</v>
      </c>
      <c r="BW62" s="216">
        <f t="shared" si="7"/>
        <v>22.970292867360001</v>
      </c>
      <c r="BX62" s="216">
        <f t="shared" si="125"/>
        <v>22.970292696217982</v>
      </c>
      <c r="BY62" s="216">
        <f t="shared" si="8"/>
        <v>31.534107934712267</v>
      </c>
      <c r="BZ62" s="216">
        <f t="shared" si="9"/>
        <v>28.679502855214171</v>
      </c>
      <c r="CA62" s="264">
        <f t="shared" si="10"/>
        <v>33.318236073743996</v>
      </c>
      <c r="CB62" s="216">
        <f t="shared" si="11"/>
        <v>33.318236073743996</v>
      </c>
      <c r="CC62" s="216">
        <f t="shared" si="12"/>
        <v>22.970292867360001</v>
      </c>
      <c r="CD62" s="216">
        <f t="shared" si="126"/>
        <v>22.970292696217982</v>
      </c>
      <c r="CE62" s="216">
        <f t="shared" si="13"/>
        <v>31.534107934712267</v>
      </c>
      <c r="CF62" s="571">
        <f t="shared" si="14"/>
        <v>28.679502855214171</v>
      </c>
      <c r="CG62" s="573">
        <f t="shared" si="15"/>
        <v>0.16</v>
      </c>
      <c r="CH62" s="219">
        <f t="shared" si="16"/>
        <v>0.16</v>
      </c>
      <c r="CI62" s="219">
        <f t="shared" si="17"/>
        <v>0.11</v>
      </c>
      <c r="CJ62" s="219">
        <f t="shared" si="18"/>
        <v>0.15380057143105033</v>
      </c>
      <c r="CK62" s="219">
        <f t="shared" si="19"/>
        <v>0.15380057143105033</v>
      </c>
      <c r="CL62" s="219">
        <f t="shared" si="20"/>
        <v>0.11</v>
      </c>
      <c r="CM62" s="219">
        <f t="shared" si="21"/>
        <v>0.13033026386954788</v>
      </c>
      <c r="CN62" s="569">
        <f t="shared" si="22"/>
        <v>0.13033026386954788</v>
      </c>
      <c r="CO62" s="264">
        <f t="shared" si="175"/>
        <v>17.872012344402052</v>
      </c>
      <c r="CP62" s="216">
        <f t="shared" si="127"/>
        <v>17.872012344402052</v>
      </c>
      <c r="CQ62" s="216">
        <f t="shared" ca="1" si="192"/>
        <v>17.872012344402052</v>
      </c>
      <c r="CR62" s="216">
        <f t="shared" ca="1" si="193"/>
        <v>17.872012344402052</v>
      </c>
      <c r="CS62" s="1626">
        <f t="shared" ca="1" si="194"/>
        <v>17.872012344402052</v>
      </c>
      <c r="CT62" s="216">
        <f t="shared" si="131"/>
        <v>17.872012344402052</v>
      </c>
      <c r="CU62" s="575">
        <f t="shared" si="23"/>
        <v>0.17499999999999999</v>
      </c>
      <c r="CV62" s="154">
        <f t="shared" si="24"/>
        <v>0.5</v>
      </c>
      <c r="CW62" s="216">
        <f>IF(OR($BQ62,$BS62),SpreadOptPowerMargin,0)*((1+Assumptions!$C$26)^($B62-YEAR(Assumptions!$C$17)))</f>
        <v>1.8360000000000001</v>
      </c>
      <c r="CX62" s="216">
        <f>IF(OR($BQ62,$BS62),SpreadOptPowerMargin,0)*((1+Assumptions!$C$26)^($B62-YEAR(Assumptions!$C$17)))</f>
        <v>1.8360000000000001</v>
      </c>
      <c r="CY62" s="216">
        <f>IF(OR($BQ62,$BS62),SpreadOptPowerMargin,0)*((1+Assumptions!$C$26)^($B62-YEAR(Assumptions!$C$17)))</f>
        <v>1.8360000000000001</v>
      </c>
      <c r="CZ62" s="216">
        <f>IF(OR($BQ62,$BS62),SpreadOptPowerMargin,0)*((1+Assumptions!$C$26)^($B62-YEAR(Assumptions!$C$17)))</f>
        <v>1.8360000000000001</v>
      </c>
      <c r="DA62" s="440">
        <f t="shared" si="25"/>
        <v>1.8360000000000005</v>
      </c>
      <c r="DB62" s="479">
        <f t="shared" si="26"/>
        <v>0.16</v>
      </c>
      <c r="DC62" s="479">
        <f t="shared" si="27"/>
        <v>0.16</v>
      </c>
      <c r="DD62" s="479">
        <f t="shared" si="28"/>
        <v>0.11</v>
      </c>
      <c r="DE62" s="479">
        <f t="shared" si="29"/>
        <v>0.11</v>
      </c>
      <c r="DF62" s="479">
        <f t="shared" si="30"/>
        <v>0.13033026386954788</v>
      </c>
      <c r="DG62" s="574">
        <f t="shared" si="31"/>
        <v>0.13033026386954788</v>
      </c>
      <c r="DH62" s="216">
        <f t="shared" si="32"/>
        <v>13.762426244270197</v>
      </c>
      <c r="DI62" s="216">
        <f t="shared" si="33"/>
        <v>13.762426244270197</v>
      </c>
      <c r="DJ62" s="216">
        <f t="shared" ca="1" si="195"/>
        <v>4.3204382928368377</v>
      </c>
      <c r="DK62" s="216">
        <f t="shared" ca="1" si="196"/>
        <v>4.3204381629753206</v>
      </c>
      <c r="DL62" s="216">
        <f t="shared" ca="1" si="197"/>
        <v>9.2796624803746326</v>
      </c>
      <c r="DM62" s="216"/>
      <c r="DN62" s="216"/>
      <c r="DO62" s="216"/>
      <c r="DP62" s="216"/>
      <c r="DQ62" s="216"/>
      <c r="DR62" s="216"/>
      <c r="DS62" s="216"/>
      <c r="DT62" s="216"/>
      <c r="DU62" s="216"/>
      <c r="DV62" s="216"/>
      <c r="DW62" s="1371">
        <f t="shared" si="37"/>
        <v>4.3204382928368377</v>
      </c>
      <c r="DX62" s="216">
        <f t="shared" si="38"/>
        <v>4.3204381629753206</v>
      </c>
      <c r="DY62" s="440">
        <f t="shared" si="39"/>
        <v>9.5298109124094488</v>
      </c>
      <c r="DZ62" s="180">
        <f t="shared" si="40"/>
        <v>640778.56593322032</v>
      </c>
      <c r="EA62" s="180">
        <f t="shared" si="41"/>
        <v>128155.71318664408</v>
      </c>
      <c r="EB62" s="180">
        <f t="shared" ca="1" si="198"/>
        <v>50289.901728620789</v>
      </c>
      <c r="EC62" s="180">
        <f t="shared" ca="1" si="199"/>
        <v>145840.71062939492</v>
      </c>
      <c r="ED62" s="180">
        <f t="shared" ca="1" si="200"/>
        <v>939732.86006257834</v>
      </c>
      <c r="EE62" s="581">
        <f t="shared" si="45"/>
        <v>633692.01683816104</v>
      </c>
      <c r="EF62" s="554">
        <f t="shared" si="46"/>
        <v>126738.4033676322</v>
      </c>
      <c r="EG62" s="554">
        <f t="shared" ca="1" si="201"/>
        <v>37972.945287230556</v>
      </c>
      <c r="EH62" s="554">
        <f t="shared" ca="1" si="202"/>
        <v>110121.53555589859</v>
      </c>
      <c r="EI62" s="561">
        <f t="shared" ca="1" si="49"/>
        <v>908524.90104892151</v>
      </c>
      <c r="EJ62" s="581">
        <f t="shared" si="132"/>
        <v>7086.5490950592794</v>
      </c>
      <c r="EK62" s="554">
        <f t="shared" si="133"/>
        <v>1417.3098190118762</v>
      </c>
      <c r="EL62" s="554">
        <f t="shared" ca="1" si="203"/>
        <v>12316.956441390234</v>
      </c>
      <c r="EM62" s="554">
        <f t="shared" ca="1" si="204"/>
        <v>35719.175073496328</v>
      </c>
      <c r="EN62" s="561">
        <f t="shared" ca="1" si="205"/>
        <v>31207.959013656829</v>
      </c>
      <c r="EO62" s="180">
        <f t="shared" si="50"/>
        <v>2563114.2637328813</v>
      </c>
      <c r="EP62" s="180">
        <f t="shared" si="51"/>
        <v>512622.8527465763</v>
      </c>
      <c r="EQ62" s="180">
        <f t="shared" si="52"/>
        <v>201159.60691448316</v>
      </c>
      <c r="ER62" s="180">
        <f t="shared" si="53"/>
        <v>583362.84251757967</v>
      </c>
      <c r="ES62" s="180">
        <f t="shared" si="54"/>
        <v>3860259.5659115203</v>
      </c>
      <c r="ET62" s="1482">
        <f t="shared" ca="1" si="206"/>
        <v>2534768.0673526442</v>
      </c>
      <c r="EU62" s="180">
        <f t="shared" ca="1" si="207"/>
        <v>506953.6134705288</v>
      </c>
      <c r="EV62" s="180">
        <f t="shared" ca="1" si="208"/>
        <v>151891.78114892222</v>
      </c>
      <c r="EW62" s="180">
        <f t="shared" ca="1" si="209"/>
        <v>440486.14222359436</v>
      </c>
      <c r="EX62" s="555">
        <f t="shared" ca="1" si="182"/>
        <v>3634099.6041956893</v>
      </c>
      <c r="EY62" s="180">
        <f t="shared" ca="1" si="210"/>
        <v>28346.196380237117</v>
      </c>
      <c r="EZ62" s="180">
        <f t="shared" ca="1" si="211"/>
        <v>5669.239276047505</v>
      </c>
      <c r="FA62" s="180">
        <f t="shared" ca="1" si="212"/>
        <v>49267.825765560934</v>
      </c>
      <c r="FB62" s="180">
        <f t="shared" ca="1" si="213"/>
        <v>142876.70029398531</v>
      </c>
      <c r="FC62" s="180">
        <f t="shared" ca="1" si="214"/>
        <v>226159.96171583096</v>
      </c>
      <c r="FD62" s="262">
        <f>IF(AX62,IF(VLOOKUP(C62,MAIN!$L$17:$M$28,2)="Yes",VLOOKUP(CALC!B62,MAIN!$H$17:$I$20,2),0),0)</f>
        <v>0</v>
      </c>
      <c r="FE62" s="623">
        <f t="shared" si="60"/>
        <v>0</v>
      </c>
      <c r="FF62" s="535">
        <f t="shared" si="61"/>
        <v>0</v>
      </c>
      <c r="FG62" s="535">
        <f t="shared" si="62"/>
        <v>0</v>
      </c>
      <c r="FH62" s="624">
        <f t="shared" si="63"/>
        <v>0</v>
      </c>
      <c r="FI62" s="632">
        <f>IF(AX62,VLOOKUP(CALC!B62,MAIN!$H$17:$K$20,4),0)</f>
        <v>0</v>
      </c>
      <c r="FJ62" s="535">
        <f t="shared" si="64"/>
        <v>0</v>
      </c>
      <c r="FK62" s="648">
        <f t="shared" si="142"/>
        <v>0</v>
      </c>
      <c r="FL62" s="530">
        <f t="shared" ca="1" si="215"/>
        <v>0</v>
      </c>
      <c r="FM62" s="530">
        <f t="shared" ca="1" si="216"/>
        <v>0</v>
      </c>
      <c r="FN62" s="530">
        <f t="shared" ca="1" si="217"/>
        <v>0</v>
      </c>
      <c r="FO62" s="622">
        <f t="shared" ca="1" si="218"/>
        <v>0</v>
      </c>
      <c r="FP62" s="530">
        <f t="shared" ca="1" si="219"/>
        <v>0</v>
      </c>
      <c r="FQ62" s="530">
        <f t="shared" ca="1" si="220"/>
        <v>0</v>
      </c>
      <c r="FR62" s="530">
        <f t="shared" ca="1" si="221"/>
        <v>0</v>
      </c>
      <c r="FS62" s="625">
        <f t="shared" ca="1" si="222"/>
        <v>0</v>
      </c>
      <c r="FT62" s="640">
        <f ca="1">IF(AND(Assumptions!$H$71="Yes",A62&gt;=Assumptions!$H$72,A62&lt;=Assumptions!$H$73),0,IF(AND($A62&gt;=Assumptions!$C$17,$A62&lt;=Assumptions!$C$18),MAX(AZ62*(1+VLOOKUP($C62,WeatherCapacityAdjustment,2))-FL62,0),0))</f>
        <v>46560</v>
      </c>
      <c r="FU62" s="530">
        <f ca="1">IF(AND(Assumptions!$H$71="Yes",A62&gt;=Assumptions!$H$72,A62&lt;=Assumptions!$H$73),0,IF(AND($A62&gt;=Assumptions!$C$17,$A62&lt;=Assumptions!$C$18),MAX(BA62*(1+VLOOKUP($C62,WeatherCapacityAdjustment,2))-FM62,0),0))</f>
        <v>9312</v>
      </c>
      <c r="FV62" s="530">
        <f ca="1">IF(AND(Assumptions!$H$71="Yes",A62&gt;=Assumptions!$H$72,A62&lt;=Assumptions!$H$73),0,IF(AND($A62&gt;=Assumptions!$C$17,$A62&lt;=Assumptions!$C$18),MAX(BB62*(1+VLOOKUP($C62,WeatherCapacityAdjustment,2))-FN62,0),0))</f>
        <v>11640</v>
      </c>
      <c r="FW62" s="622">
        <f ca="1">IF(AND(Assumptions!$H$71="Yes",A62&gt;=Assumptions!$H$72,A62&lt;=Assumptions!$H$73),0,IF(AND($A62&gt;=Assumptions!$C$17,$A62&lt;=Assumptions!$C$18),MAX(BC62*(1+VLOOKUP($C62,WeatherCapacityAdjustment,3))-FO62,0),0))</f>
        <v>33756</v>
      </c>
      <c r="FX62" s="621">
        <f ca="1">IF(AND(Assumptions!$H$71="Yes",A62&gt;=Assumptions!$H$72,A62&lt;=Assumptions!$H$73),0,IF(ET62&gt;0,MAX(BH62*(1+VLOOKUP($C62,WeatherCapacityAdjustment,2))-FP62,0),0))</f>
        <v>186240</v>
      </c>
      <c r="FY62" s="530">
        <f ca="1">IF(AND(Assumptions!$H$71="Yes",A62&gt;=Assumptions!$H$72,A62&lt;=Assumptions!$H$73),0,IF(EU62&gt;0,MAX(BI62*(1+VLOOKUP($C62,WeatherCapacityAdjustment,3))-FQ62,0),0))</f>
        <v>37248</v>
      </c>
      <c r="FZ62" s="530">
        <f ca="1">IF(AND(Assumptions!$H$71="Yes",A62&gt;=Assumptions!$H$72,A62&lt;=Assumptions!$H$73),0,IF(EV62&gt;0,MAX(BJ62*(1+VLOOKUP($C62,WeatherCapacityAdjustment,2))-FR62,0),0))</f>
        <v>46560</v>
      </c>
      <c r="GA62" s="622">
        <f ca="1">IF(AND(Assumptions!$H$71="Yes",A62&gt;=Assumptions!$H$72,A62&lt;=Assumptions!$H$73),0,IF(EW62&gt;0,MAX(BK62*(1+VLOOKUP($C62,WeatherCapacityAdjustment,2))-FS62,0),0))</f>
        <v>135024</v>
      </c>
      <c r="GB62" s="530">
        <f t="shared" ca="1" si="65"/>
        <v>506340</v>
      </c>
      <c r="GC62" s="545">
        <f t="shared" ca="1" si="66"/>
        <v>28.679502855214171</v>
      </c>
      <c r="GD62" s="530">
        <f t="shared" ca="1" si="223"/>
        <v>14521579.475709148</v>
      </c>
      <c r="GE62" s="1485">
        <f t="shared" ca="1" si="224"/>
        <v>713044.19088000013</v>
      </c>
      <c r="GF62" s="1776">
        <f t="shared" ca="1" si="225"/>
        <v>2852176.7635200005</v>
      </c>
      <c r="GG62" s="545">
        <f t="shared" si="190"/>
        <v>2.5382198876892512</v>
      </c>
      <c r="GH62" s="622">
        <f t="shared" ca="1" si="191"/>
        <v>9049314.7304645348</v>
      </c>
      <c r="GI62" s="621">
        <f t="shared" ca="1" si="152"/>
        <v>506340</v>
      </c>
      <c r="GJ62" s="638">
        <f t="shared" si="68"/>
        <v>1.8360000000000005</v>
      </c>
      <c r="GK62" s="625">
        <f t="shared" ca="1" si="166"/>
        <v>929640.24000000022</v>
      </c>
      <c r="GL62" s="640">
        <f t="shared" ca="1" si="226"/>
        <v>0</v>
      </c>
      <c r="GM62" s="530">
        <f t="shared" ca="1" si="227"/>
        <v>0</v>
      </c>
      <c r="GN62" s="530">
        <f t="shared" ca="1" si="228"/>
        <v>0</v>
      </c>
      <c r="GO62" s="622">
        <f t="shared" ca="1" si="229"/>
        <v>0</v>
      </c>
      <c r="GP62" s="530">
        <f t="shared" ca="1" si="73"/>
        <v>0</v>
      </c>
      <c r="GQ62" s="545">
        <f t="shared" ca="1" si="74"/>
        <v>0</v>
      </c>
      <c r="GR62" s="625">
        <f t="shared" ca="1" si="230"/>
        <v>0</v>
      </c>
      <c r="GS62" s="640">
        <f>IF($A62&gt;=BegDate,Assumptions!$C$56*24*($A63-$A62)*(1-VLOOKUP($B62,MAIN!$AA$7:$AM$28,$C62+1))*(1-VLOOKUP($B62,MAIN!$AA$33:$AM$54,$C62+1)),0)*80/168</f>
        <v>241114.28571428571</v>
      </c>
      <c r="GT62" s="1715">
        <f t="shared" si="153"/>
        <v>33.318236073743996</v>
      </c>
      <c r="GU62" s="1715">
        <f>IF($A62&gt;=BegDate,VLOOKUP($A62,GasTable,13)+Assumptions!$C$58,0)</f>
        <v>2.5382198876892512</v>
      </c>
      <c r="GV62" s="1715">
        <f>GU62*Assumptions!$C$57/1000</f>
        <v>18.402094185747071</v>
      </c>
      <c r="GW62" s="625">
        <f>IF(Assumptions!$C$60="Hourly",MAX(0,GS62*(GT62-GV62)),GS62*(GT62-GV62))</f>
        <v>3596494.8969373158</v>
      </c>
      <c r="GX62" s="640">
        <f>IF($A62&gt;=BegDate,Assumptions!$C$56*24*($A63-$A62)*(1-VLOOKUP($B62,MAIN!$AA$7:$AM$28,$C62+1))*(1-VLOOKUP($B62,MAIN!$AA$33:$AM$54,$C62+1)),0)*16/168</f>
        <v>48222.857142857145</v>
      </c>
      <c r="GY62" s="1715">
        <f t="shared" si="154"/>
        <v>33.318236073743996</v>
      </c>
      <c r="GZ62" s="1715">
        <f>IF($A62&gt;=BegDate,VLOOKUP($A62,GasTable,13)+Assumptions!$C$58,0)</f>
        <v>2.5382198876892512</v>
      </c>
      <c r="HA62" s="1715">
        <f>GZ62*Assumptions!$C$57/1000</f>
        <v>18.402094185747071</v>
      </c>
      <c r="HB62" s="625">
        <f>IF(Assumptions!$C$60="Hourly",MAX(0,GX62*(GY62-HA62)),GX62*(GY62-HA62))</f>
        <v>719298.97938746319</v>
      </c>
      <c r="HC62" s="640">
        <f>IF($A62&gt;=BegDate,Assumptions!$C$56*24*($A63-$A62)*(1-VLOOKUP($B62,MAIN!$AA$7:$AM$28,$C62+1))*(1-VLOOKUP($B62,MAIN!$AA$33:$AM$54,$C62+1)),0)*16/168</f>
        <v>48222.857142857145</v>
      </c>
      <c r="HD62" s="1715">
        <f t="shared" si="155"/>
        <v>22.970292867360001</v>
      </c>
      <c r="HE62" s="1715">
        <f>IF($A62&gt;=BegDate,VLOOKUP($A62,GasTable,13)+Assumptions!$C$58,0)</f>
        <v>2.5382198876892512</v>
      </c>
      <c r="HF62" s="1715">
        <f>HE62*Assumptions!$C$57/1000</f>
        <v>18.402094185747071</v>
      </c>
      <c r="HG62" s="625">
        <f>IF(Assumptions!$C$60="Hourly",MAX(0,HC62*(HD62-HF62)),HC62*(HD62-HF62))</f>
        <v>220291.5924236087</v>
      </c>
      <c r="HH62" s="640">
        <f>IF($A62&gt;=BegDate,Assumptions!$C$56*24*($A63-$A62)*(1-VLOOKUP($B62,MAIN!$AA$7:$AM$28,$C62+1))*(1-VLOOKUP($B62,MAIN!$AA$33:$AM$54,$C62+1)),0)*56/168</f>
        <v>168780</v>
      </c>
      <c r="HI62" s="1715">
        <f t="shared" si="156"/>
        <v>22.970292867360001</v>
      </c>
      <c r="HJ62" s="1715">
        <f>IF($A62&gt;=BegDate,VLOOKUP($A62,GasTable,13)+Assumptions!$C$58,0)</f>
        <v>2.5382198876892512</v>
      </c>
      <c r="HK62" s="1715">
        <f>HJ62*Assumptions!$C$57/1000</f>
        <v>18.402094185747071</v>
      </c>
      <c r="HL62" s="625">
        <f>IF(Assumptions!$C$60="Hourly",MAX(0,HH62*(HI62-HK62)),HH62*(HI62-HK62))</f>
        <v>771020.57348263043</v>
      </c>
      <c r="HM62" s="640">
        <f>IF(AND(Assumptions!$H$71="Yes",A62&gt;=Assumptions!$H$72,A62&lt;=Assumptions!$H$73),Assumptions!$H$74*Assumptions!$C$9*1000,0)</f>
        <v>0</v>
      </c>
      <c r="HN62" s="530"/>
      <c r="HO62" s="545"/>
      <c r="HP62" s="545"/>
      <c r="HQ62" s="545"/>
      <c r="HR62" s="545"/>
      <c r="HS62" s="545"/>
      <c r="HT62" s="545"/>
      <c r="HU62" s="545"/>
      <c r="HV62" s="545"/>
      <c r="HW62" s="545"/>
      <c r="HX62" s="545"/>
      <c r="HY62" s="545"/>
      <c r="HZ62" s="545"/>
      <c r="IA62" s="545"/>
      <c r="IB62" s="545"/>
      <c r="IC62" s="545"/>
      <c r="ID62" s="545"/>
      <c r="IE62" s="545"/>
      <c r="IF62" s="545"/>
      <c r="IG62" s="545"/>
      <c r="IH62" s="545"/>
      <c r="II62" s="1464"/>
      <c r="IJ62" s="1463"/>
      <c r="IK62" s="1463"/>
    </row>
    <row r="63" spans="1:245">
      <c r="A63" s="177">
        <f t="shared" si="87"/>
        <v>38047</v>
      </c>
      <c r="B63" s="349">
        <f t="shared" si="88"/>
        <v>2004</v>
      </c>
      <c r="C63" s="15">
        <f t="shared" si="89"/>
        <v>3</v>
      </c>
      <c r="D63" s="612" t="str">
        <f t="shared" si="90"/>
        <v/>
      </c>
      <c r="E63" s="609">
        <f t="shared" si="91"/>
        <v>38047</v>
      </c>
      <c r="F63" s="614">
        <f t="shared" si="2"/>
        <v>38077</v>
      </c>
      <c r="G63" s="1349">
        <v>0</v>
      </c>
      <c r="H63" s="152">
        <f t="shared" si="165"/>
        <v>1</v>
      </c>
      <c r="I63" s="154">
        <f>IF(Assumptions!$L$25=4,VLOOKUP($A63,'Henwood Reference'!$E$9:$R$320,10),(VLOOKUP($A63,PriceTable,2,0)+IF(BasisNumber&lt;&gt;1,VLOOKUP($A63,BasisTable,2,0),0)+I$1)/(1-I$2))</f>
        <v>31.750982549279996</v>
      </c>
      <c r="J63" s="154">
        <f>IF(Assumptions!$L$25=4,VLOOKUP($A63,'Henwood Reference'!$E$9:$R$320,10),(VLOOKUP($A63,PriceTable,3,0)+IF(BasisNumber&lt;&gt;1,VLOOKUP($A63,BasisTable,2,0),0)+J$1)/(1-J$2))</f>
        <v>31.750982549279996</v>
      </c>
      <c r="K63" s="154">
        <f>IF(Assumptions!$L$25=4,VLOOKUP($A63,'Henwood Reference'!$E$9:$R$320,10),(VLOOKUP($A63,PriceTable,4,0)+IF(BasisNumber&lt;&gt;1,VLOOKUP($A63,BasisTable,2,0),0)+K$1)/(1-K$2))</f>
        <v>31.750982549279996</v>
      </c>
      <c r="L63" s="474">
        <f>IF(Assumptions!$L$25=4,VLOOKUP($A63,'Henwood Reference'!$E$9:$R$320,10),(VLOOKUP($A63,PriceTableWeekend,2,0)+IF(BasisNumber&lt;&gt;1,VLOOKUP($A63,BasisTable,2,0),0)+L$1)/(1-L$2))</f>
        <v>31.750982549279996</v>
      </c>
      <c r="M63" s="154">
        <f>IF(Assumptions!$L$25=4,VLOOKUP($A63,'Henwood Reference'!$E$9:$R$320,10),(VLOOKUP($A63,PriceTableWeekend,3,0)+IF(BasisNumber&lt;&gt;1,VLOOKUP($A63,BasisTable,2,0),0)+M$1)/(1-M$2))</f>
        <v>31.750982549279996</v>
      </c>
      <c r="N63" s="156">
        <f>IF(Assumptions!$L$25=4,VLOOKUP($A63,'Henwood Reference'!$E$9:$R$320,10),(VLOOKUP($A63,PriceTableWeekend,4,0)+IF(BasisNumber&lt;&gt;1,VLOOKUP($A63,BasisTable,2,0),0)+N$1)/(1-N$2))</f>
        <v>31.750982549279996</v>
      </c>
      <c r="O63" s="154">
        <f>IF(Assumptions!$L$25=4,VLOOKUP($A63,'Henwood Reference'!$E$9:$R$320,11),(VLOOKUP($A63,PriceTableWeekend,6,0)+IF(BasisNumber&lt;&gt;1,VLOOKUP($A63,BasisTable,3,0),0)+O$1)/(1-O$2))</f>
        <v>22.598910393263999</v>
      </c>
      <c r="P63" s="154">
        <f>IF(Assumptions!$L$25=4,VLOOKUP($A63,'Henwood Reference'!$E$9:$R$320,11),(VLOOKUP($A63,PriceTableWeekend,7,0)+IF(BasisNumber&lt;&gt;1,VLOOKUP($A63,BasisTable,3,0),0)+P$1)/(1-P$2))</f>
        <v>22.598910393263999</v>
      </c>
      <c r="Q63" s="156">
        <f>IF(Assumptions!$L$25=4,VLOOKUP($A63,'Henwood Reference'!$E$9:$R$320,11),(VLOOKUP($A63,PriceTableWeekend,8,0)+IF(BasisNumber&lt;&gt;1,VLOOKUP($A63,BasisTable,3,0),0)+Q$1)/(1-Q$2))</f>
        <v>22.598910393263999</v>
      </c>
      <c r="R63" s="154">
        <f>IF(Assumptions!$L$25=4,VLOOKUP($A63,'Henwood Reference'!$E$9:$R$320,11),(VLOOKUP($A63,PriceTable,6,0)+IF(BasisNumber&lt;&gt;1,VLOOKUP($A63,BasisTable,3,0),0)+R$1)/(1-R$2))</f>
        <v>22.598910393263999</v>
      </c>
      <c r="S63" s="154">
        <f>IF(Assumptions!$L$25=4,VLOOKUP($A63,'Henwood Reference'!$E$9:$R$320,11),(VLOOKUP($A63,PriceTable,7,0)+IF(BasisNumber&lt;&gt;1,VLOOKUP($A63,BasisTable,3,0),0)+S$1)/(1-S$2))</f>
        <v>22.598910393263999</v>
      </c>
      <c r="T63" s="155">
        <f>IF(Assumptions!$L$25=4,VLOOKUP($A63,'Henwood Reference'!$E$9:$R$320,11),(VLOOKUP($A63,PriceTable,8,0)+IF(BasisNumber&lt;&gt;1,VLOOKUP($A63,BasisTable,3,0),0)+T$1)/(1-T$2))</f>
        <v>22.598910393263999</v>
      </c>
      <c r="U63" s="173">
        <f t="shared" si="92"/>
        <v>0.15</v>
      </c>
      <c r="V63" s="173">
        <f t="shared" si="93"/>
        <v>0.16</v>
      </c>
      <c r="W63" s="174">
        <f t="shared" si="94"/>
        <v>0.17</v>
      </c>
      <c r="X63" s="173">
        <f t="shared" si="95"/>
        <v>0.15</v>
      </c>
      <c r="Y63" s="173">
        <f t="shared" si="96"/>
        <v>0.16</v>
      </c>
      <c r="Z63" s="174">
        <f t="shared" si="97"/>
        <v>0.17</v>
      </c>
      <c r="AA63" s="173">
        <f t="shared" si="98"/>
        <v>0.09</v>
      </c>
      <c r="AB63" s="173">
        <f t="shared" si="99"/>
        <v>0.11</v>
      </c>
      <c r="AC63" s="174">
        <f t="shared" si="100"/>
        <v>0.13</v>
      </c>
      <c r="AD63" s="173">
        <f t="shared" si="101"/>
        <v>0.09</v>
      </c>
      <c r="AE63" s="173">
        <f t="shared" si="102"/>
        <v>0.11</v>
      </c>
      <c r="AF63" s="174">
        <f t="shared" si="103"/>
        <v>0.13</v>
      </c>
      <c r="AG63" s="173">
        <f t="shared" si="104"/>
        <v>-0.1</v>
      </c>
      <c r="AH63" s="173">
        <f t="shared" si="105"/>
        <v>0.65</v>
      </c>
      <c r="AI63" s="174">
        <f t="shared" si="106"/>
        <v>0.1</v>
      </c>
      <c r="AJ63" s="173">
        <f t="shared" si="107"/>
        <v>-0.1</v>
      </c>
      <c r="AK63" s="173">
        <f t="shared" si="108"/>
        <v>0.65</v>
      </c>
      <c r="AL63" s="174">
        <f t="shared" si="109"/>
        <v>0.1</v>
      </c>
      <c r="AM63" s="173">
        <f t="shared" si="110"/>
        <v>-0.01</v>
      </c>
      <c r="AN63" s="173">
        <f t="shared" si="111"/>
        <v>0.16</v>
      </c>
      <c r="AO63" s="174">
        <f t="shared" si="112"/>
        <v>0.01</v>
      </c>
      <c r="AP63" s="173">
        <f t="shared" si="113"/>
        <v>-0.01</v>
      </c>
      <c r="AQ63" s="173">
        <f t="shared" si="114"/>
        <v>0.16</v>
      </c>
      <c r="AR63" s="175">
        <f t="shared" si="115"/>
        <v>0.01</v>
      </c>
      <c r="AS63" s="521">
        <f t="shared" si="188"/>
        <v>0.5</v>
      </c>
      <c r="AT63" s="349">
        <f t="shared" si="117"/>
        <v>23</v>
      </c>
      <c r="AU63" s="159">
        <f t="shared" si="3"/>
        <v>4</v>
      </c>
      <c r="AV63" s="159">
        <f t="shared" si="4"/>
        <v>4</v>
      </c>
      <c r="AW63" s="159">
        <f t="shared" si="189"/>
        <v>0</v>
      </c>
      <c r="AX63" s="15">
        <f t="shared" si="119"/>
        <v>31</v>
      </c>
      <c r="AY63" s="607">
        <f>IF(E63="",0,MIN((1-(1-VLOOKUP(B63,MAIN!$AA$7:$AM$28,C63+1))*(1-VLOOKUP(B63,MAIN!$AA$33:$AM$54,C63+1))),1))</f>
        <v>3.0000000000000027E-2</v>
      </c>
      <c r="AZ63" s="337">
        <v>53544</v>
      </c>
      <c r="BA63" s="509">
        <v>9312</v>
      </c>
      <c r="BB63" s="509">
        <v>9312</v>
      </c>
      <c r="BC63" s="511">
        <v>36084</v>
      </c>
      <c r="BD63" s="153">
        <v>0.96999999638646839</v>
      </c>
      <c r="BE63" s="474">
        <v>0.96999999638646839</v>
      </c>
      <c r="BF63" s="474">
        <v>0.96999999638646839</v>
      </c>
      <c r="BG63" s="515">
        <v>0.97000000722706314</v>
      </c>
      <c r="BH63" s="262">
        <v>214176</v>
      </c>
      <c r="BI63" s="509">
        <v>37248</v>
      </c>
      <c r="BJ63" s="509">
        <v>37248</v>
      </c>
      <c r="BK63" s="511">
        <v>144336</v>
      </c>
      <c r="BL63" s="153">
        <v>0.96999999638646839</v>
      </c>
      <c r="BM63" s="474">
        <v>0.96999999638646839</v>
      </c>
      <c r="BN63" s="474">
        <v>0.96999999638646839</v>
      </c>
      <c r="BO63" s="474">
        <v>0.97000000722706314</v>
      </c>
      <c r="BP63" s="261">
        <f t="shared" si="120"/>
        <v>72168</v>
      </c>
      <c r="BQ63" s="578">
        <f t="shared" si="121"/>
        <v>108252</v>
      </c>
      <c r="BR63" s="259">
        <f t="shared" si="122"/>
        <v>288672</v>
      </c>
      <c r="BS63" s="578">
        <f t="shared" si="123"/>
        <v>433008</v>
      </c>
      <c r="BT63" s="216">
        <f t="shared" si="124"/>
        <v>3.8795345653661877</v>
      </c>
      <c r="BU63" s="218">
        <f t="shared" si="5"/>
        <v>31.75098243099837</v>
      </c>
      <c r="BV63" s="216">
        <f t="shared" si="6"/>
        <v>31.75098243099837</v>
      </c>
      <c r="BW63" s="216">
        <f t="shared" si="7"/>
        <v>22.598910309076498</v>
      </c>
      <c r="BX63" s="216">
        <f t="shared" si="125"/>
        <v>22.598910561639002</v>
      </c>
      <c r="BY63" s="216">
        <f t="shared" si="8"/>
        <v>30.570069899137486</v>
      </c>
      <c r="BZ63" s="216">
        <f t="shared" si="9"/>
        <v>27.913016786637993</v>
      </c>
      <c r="CA63" s="264">
        <f t="shared" si="10"/>
        <v>31.75098243099837</v>
      </c>
      <c r="CB63" s="216">
        <f t="shared" si="11"/>
        <v>31.75098243099837</v>
      </c>
      <c r="CC63" s="216">
        <f t="shared" si="12"/>
        <v>22.598910309076498</v>
      </c>
      <c r="CD63" s="216">
        <f t="shared" si="126"/>
        <v>22.598910561639002</v>
      </c>
      <c r="CE63" s="216">
        <f t="shared" si="13"/>
        <v>30.570069899137486</v>
      </c>
      <c r="CF63" s="571">
        <f t="shared" si="14"/>
        <v>27.913016786637993</v>
      </c>
      <c r="CG63" s="573">
        <f t="shared" si="15"/>
        <v>0.16</v>
      </c>
      <c r="CH63" s="219">
        <f t="shared" si="16"/>
        <v>0.16</v>
      </c>
      <c r="CI63" s="219">
        <f t="shared" si="17"/>
        <v>0.11</v>
      </c>
      <c r="CJ63" s="219">
        <f t="shared" si="18"/>
        <v>0.15529539592592162</v>
      </c>
      <c r="CK63" s="219">
        <f t="shared" si="19"/>
        <v>0.15529539592592162</v>
      </c>
      <c r="CL63" s="219">
        <f t="shared" si="20"/>
        <v>0.11</v>
      </c>
      <c r="CM63" s="219">
        <f t="shared" si="21"/>
        <v>0.131201000814373</v>
      </c>
      <c r="CN63" s="569">
        <f t="shared" si="22"/>
        <v>0.131201000814373</v>
      </c>
      <c r="CO63" s="264">
        <f t="shared" si="175"/>
        <v>16.893977294026488</v>
      </c>
      <c r="CP63" s="216">
        <f t="shared" si="127"/>
        <v>16.893977294026488</v>
      </c>
      <c r="CQ63" s="216">
        <f t="shared" ca="1" si="192"/>
        <v>16.893977294026488</v>
      </c>
      <c r="CR63" s="216">
        <f t="shared" ca="1" si="193"/>
        <v>16.893977294026488</v>
      </c>
      <c r="CS63" s="1626">
        <f t="shared" ca="1" si="194"/>
        <v>16.893977294026488</v>
      </c>
      <c r="CT63" s="216">
        <f t="shared" si="131"/>
        <v>16.893977294026488</v>
      </c>
      <c r="CU63" s="575">
        <f t="shared" si="23"/>
        <v>0.17499999999999999</v>
      </c>
      <c r="CV63" s="154">
        <f t="shared" si="24"/>
        <v>0.5</v>
      </c>
      <c r="CW63" s="216">
        <f>IF(OR($BQ63,$BS63),SpreadOptPowerMargin,0)*((1+Assumptions!$C$26)^($B63-YEAR(Assumptions!$C$17)))</f>
        <v>1.8360000000000001</v>
      </c>
      <c r="CX63" s="216">
        <f>IF(OR($BQ63,$BS63),SpreadOptPowerMargin,0)*((1+Assumptions!$C$26)^($B63-YEAR(Assumptions!$C$17)))</f>
        <v>1.8360000000000001</v>
      </c>
      <c r="CY63" s="216">
        <f>IF(OR($BQ63,$BS63),SpreadOptPowerMargin,0)*((1+Assumptions!$C$26)^($B63-YEAR(Assumptions!$C$17)))</f>
        <v>1.8360000000000001</v>
      </c>
      <c r="CZ63" s="216">
        <f>IF(OR($BQ63,$BS63),SpreadOptPowerMargin,0)*((1+Assumptions!$C$26)^($B63-YEAR(Assumptions!$C$17)))</f>
        <v>1.8360000000000001</v>
      </c>
      <c r="DA63" s="440">
        <f t="shared" si="25"/>
        <v>1.8360000000000003</v>
      </c>
      <c r="DB63" s="479">
        <f t="shared" si="26"/>
        <v>0.16</v>
      </c>
      <c r="DC63" s="479">
        <f t="shared" si="27"/>
        <v>0.16</v>
      </c>
      <c r="DD63" s="479">
        <f t="shared" si="28"/>
        <v>0.11</v>
      </c>
      <c r="DE63" s="479">
        <f t="shared" si="29"/>
        <v>0.11</v>
      </c>
      <c r="DF63" s="479">
        <f t="shared" si="30"/>
        <v>0.131201000814373</v>
      </c>
      <c r="DG63" s="574">
        <f t="shared" si="31"/>
        <v>0.131201000814373</v>
      </c>
      <c r="DH63" s="216">
        <f t="shared" si="32"/>
        <v>13.1686577417058</v>
      </c>
      <c r="DI63" s="216">
        <f t="shared" si="33"/>
        <v>13.1686577417058</v>
      </c>
      <c r="DJ63" s="216">
        <f t="shared" ca="1" si="195"/>
        <v>4.7148035868216391</v>
      </c>
      <c r="DK63" s="216">
        <f t="shared" ca="1" si="196"/>
        <v>4.7148037876389148</v>
      </c>
      <c r="DL63" s="216">
        <f t="shared" ca="1" si="197"/>
        <v>9.4405391961454654</v>
      </c>
      <c r="DM63" s="216"/>
      <c r="DN63" s="216"/>
      <c r="DO63" s="216"/>
      <c r="DP63" s="216"/>
      <c r="DQ63" s="216"/>
      <c r="DR63" s="216"/>
      <c r="DS63" s="216"/>
      <c r="DT63" s="216"/>
      <c r="DU63" s="216"/>
      <c r="DV63" s="216"/>
      <c r="DW63" s="1371">
        <f t="shared" si="37"/>
        <v>4.7148035868216391</v>
      </c>
      <c r="DX63" s="216">
        <f t="shared" si="38"/>
        <v>4.7148037876389148</v>
      </c>
      <c r="DY63" s="440">
        <f t="shared" si="39"/>
        <v>9.6234931630483072</v>
      </c>
      <c r="DZ63" s="180">
        <f t="shared" si="40"/>
        <v>705102.61012189533</v>
      </c>
      <c r="EA63" s="180">
        <f t="shared" si="41"/>
        <v>122626.54089076442</v>
      </c>
      <c r="EB63" s="180">
        <f t="shared" ca="1" si="198"/>
        <v>43904.251000483106</v>
      </c>
      <c r="EC63" s="180">
        <f t="shared" ca="1" si="199"/>
        <v>170128.97987316261</v>
      </c>
      <c r="ED63" s="180">
        <f t="shared" ca="1" si="200"/>
        <v>1021957.249061139</v>
      </c>
      <c r="EE63" s="581">
        <f t="shared" si="45"/>
        <v>697196.69905402255</v>
      </c>
      <c r="EF63" s="554">
        <f t="shared" si="46"/>
        <v>121251.59983548218</v>
      </c>
      <c r="EG63" s="554">
        <f t="shared" ca="1" si="201"/>
        <v>36027.504236145702</v>
      </c>
      <c r="EH63" s="554">
        <f t="shared" ca="1" si="202"/>
        <v>139606.58802853001</v>
      </c>
      <c r="EI63" s="561">
        <f t="shared" ca="1" si="49"/>
        <v>994082.3911541804</v>
      </c>
      <c r="EJ63" s="581">
        <f t="shared" si="132"/>
        <v>7905.9110678727739</v>
      </c>
      <c r="EK63" s="554">
        <f t="shared" si="133"/>
        <v>1374.9410552822374</v>
      </c>
      <c r="EL63" s="554">
        <f t="shared" ca="1" si="203"/>
        <v>7876.7467643374039</v>
      </c>
      <c r="EM63" s="554">
        <f t="shared" ca="1" si="204"/>
        <v>30522.391844632599</v>
      </c>
      <c r="EN63" s="561">
        <f t="shared" ca="1" si="205"/>
        <v>27874.857906958554</v>
      </c>
      <c r="EO63" s="180">
        <f t="shared" si="50"/>
        <v>2820410.4404875813</v>
      </c>
      <c r="EP63" s="180">
        <f t="shared" si="51"/>
        <v>490506.16356305766</v>
      </c>
      <c r="EQ63" s="180">
        <f t="shared" si="52"/>
        <v>175617.00400193242</v>
      </c>
      <c r="ER63" s="180">
        <f t="shared" si="53"/>
        <v>680515.91949265043</v>
      </c>
      <c r="ES63" s="180">
        <f t="shared" si="54"/>
        <v>4167049.5275452216</v>
      </c>
      <c r="ET63" s="1482">
        <f t="shared" ca="1" si="206"/>
        <v>2788786.7962160902</v>
      </c>
      <c r="EU63" s="180">
        <f t="shared" ca="1" si="207"/>
        <v>485006.39934192871</v>
      </c>
      <c r="EV63" s="180">
        <f t="shared" ca="1" si="208"/>
        <v>144110.01694458281</v>
      </c>
      <c r="EW63" s="180">
        <f t="shared" ca="1" si="209"/>
        <v>558426.35211412003</v>
      </c>
      <c r="EX63" s="555">
        <f t="shared" ca="1" si="182"/>
        <v>3976329.5646167216</v>
      </c>
      <c r="EY63" s="180">
        <f t="shared" ca="1" si="210"/>
        <v>31623.644271491095</v>
      </c>
      <c r="EZ63" s="180">
        <f t="shared" ca="1" si="211"/>
        <v>5499.7642211289494</v>
      </c>
      <c r="FA63" s="180">
        <f t="shared" ca="1" si="212"/>
        <v>31506.987057349615</v>
      </c>
      <c r="FB63" s="180">
        <f t="shared" ca="1" si="213"/>
        <v>122089.5673785304</v>
      </c>
      <c r="FC63" s="180">
        <f t="shared" ca="1" si="214"/>
        <v>190719.96292850003</v>
      </c>
      <c r="FD63" s="262">
        <f>IF(AX63,IF(VLOOKUP(C63,MAIN!$L$17:$M$28,2)="Yes",VLOOKUP(CALC!B63,MAIN!$H$17:$I$20,2),0),0)</f>
        <v>0</v>
      </c>
      <c r="FE63" s="623">
        <f t="shared" si="60"/>
        <v>0</v>
      </c>
      <c r="FF63" s="535">
        <f t="shared" si="61"/>
        <v>0</v>
      </c>
      <c r="FG63" s="535">
        <f t="shared" si="62"/>
        <v>0</v>
      </c>
      <c r="FH63" s="624">
        <f t="shared" si="63"/>
        <v>0</v>
      </c>
      <c r="FI63" s="632">
        <f>IF(AX63,VLOOKUP(CALC!B63,MAIN!$H$17:$K$20,4),0)</f>
        <v>0</v>
      </c>
      <c r="FJ63" s="535">
        <f t="shared" si="64"/>
        <v>0</v>
      </c>
      <c r="FK63" s="648">
        <f t="shared" si="142"/>
        <v>0</v>
      </c>
      <c r="FL63" s="530">
        <f t="shared" ca="1" si="215"/>
        <v>0</v>
      </c>
      <c r="FM63" s="530">
        <f t="shared" ca="1" si="216"/>
        <v>0</v>
      </c>
      <c r="FN63" s="530">
        <f t="shared" ca="1" si="217"/>
        <v>0</v>
      </c>
      <c r="FO63" s="622">
        <f t="shared" ca="1" si="218"/>
        <v>0</v>
      </c>
      <c r="FP63" s="530">
        <f t="shared" ca="1" si="219"/>
        <v>0</v>
      </c>
      <c r="FQ63" s="530">
        <f t="shared" ca="1" si="220"/>
        <v>0</v>
      </c>
      <c r="FR63" s="530">
        <f t="shared" ca="1" si="221"/>
        <v>0</v>
      </c>
      <c r="FS63" s="625">
        <f t="shared" ca="1" si="222"/>
        <v>0</v>
      </c>
      <c r="FT63" s="640">
        <f ca="1">IF(AND(Assumptions!$H$71="Yes",A63&gt;=Assumptions!$H$72,A63&lt;=Assumptions!$H$73),0,IF(AND($A63&gt;=Assumptions!$C$17,$A63&lt;=Assumptions!$C$18),MAX(AZ63*(1+VLOOKUP($C63,WeatherCapacityAdjustment,2))-FL63,0),0))</f>
        <v>53544</v>
      </c>
      <c r="FU63" s="530">
        <f ca="1">IF(AND(Assumptions!$H$71="Yes",A63&gt;=Assumptions!$H$72,A63&lt;=Assumptions!$H$73),0,IF(AND($A63&gt;=Assumptions!$C$17,$A63&lt;=Assumptions!$C$18),MAX(BA63*(1+VLOOKUP($C63,WeatherCapacityAdjustment,2))-FM63,0),0))</f>
        <v>9312</v>
      </c>
      <c r="FV63" s="530">
        <f ca="1">IF(AND(Assumptions!$H$71="Yes",A63&gt;=Assumptions!$H$72,A63&lt;=Assumptions!$H$73),0,IF(AND($A63&gt;=Assumptions!$C$17,$A63&lt;=Assumptions!$C$18),MAX(BB63*(1+VLOOKUP($C63,WeatherCapacityAdjustment,2))-FN63,0),0))</f>
        <v>9312</v>
      </c>
      <c r="FW63" s="622">
        <f ca="1">IF(AND(Assumptions!$H$71="Yes",A63&gt;=Assumptions!$H$72,A63&lt;=Assumptions!$H$73),0,IF(AND($A63&gt;=Assumptions!$C$17,$A63&lt;=Assumptions!$C$18),MAX(BC63*(1+VLOOKUP($C63,WeatherCapacityAdjustment,3))-FO63,0),0))</f>
        <v>36084</v>
      </c>
      <c r="FX63" s="621">
        <f ca="1">IF(AND(Assumptions!$H$71="Yes",A63&gt;=Assumptions!$H$72,A63&lt;=Assumptions!$H$73),0,IF(ET63&gt;0,MAX(BH63*(1+VLOOKUP($C63,WeatherCapacityAdjustment,2))-FP63,0),0))</f>
        <v>214176</v>
      </c>
      <c r="FY63" s="530">
        <f ca="1">IF(AND(Assumptions!$H$71="Yes",A63&gt;=Assumptions!$H$72,A63&lt;=Assumptions!$H$73),0,IF(EU63&gt;0,MAX(BI63*(1+VLOOKUP($C63,WeatherCapacityAdjustment,3))-FQ63,0),0))</f>
        <v>37248</v>
      </c>
      <c r="FZ63" s="530">
        <f ca="1">IF(AND(Assumptions!$H$71="Yes",A63&gt;=Assumptions!$H$72,A63&lt;=Assumptions!$H$73),0,IF(EV63&gt;0,MAX(BJ63*(1+VLOOKUP($C63,WeatherCapacityAdjustment,2))-FR63,0),0))</f>
        <v>37248</v>
      </c>
      <c r="GA63" s="622">
        <f ca="1">IF(AND(Assumptions!$H$71="Yes",A63&gt;=Assumptions!$H$72,A63&lt;=Assumptions!$H$73),0,IF(EW63&gt;0,MAX(BK63*(1+VLOOKUP($C63,WeatherCapacityAdjustment,2))-FS63,0),0))</f>
        <v>144336</v>
      </c>
      <c r="GB63" s="530">
        <f t="shared" ca="1" si="65"/>
        <v>541260</v>
      </c>
      <c r="GC63" s="545">
        <f t="shared" ca="1" si="66"/>
        <v>27.913016786637993</v>
      </c>
      <c r="GD63" s="530">
        <f t="shared" ca="1" si="223"/>
        <v>15108199.465935679</v>
      </c>
      <c r="GE63" s="1485">
        <f t="shared" ca="1" si="224"/>
        <v>762537.91319999995</v>
      </c>
      <c r="GF63" s="1776">
        <f t="shared" ca="1" si="225"/>
        <v>3050151.6527999998</v>
      </c>
      <c r="GG63" s="545">
        <f t="shared" si="190"/>
        <v>2.3983159373129981</v>
      </c>
      <c r="GH63" s="622">
        <f t="shared" ca="1" si="191"/>
        <v>9144034.1501647774</v>
      </c>
      <c r="GI63" s="621">
        <f t="shared" ca="1" si="152"/>
        <v>541260</v>
      </c>
      <c r="GJ63" s="638">
        <f t="shared" si="68"/>
        <v>1.8360000000000003</v>
      </c>
      <c r="GK63" s="625">
        <f t="shared" ca="1" si="166"/>
        <v>993753.36000000022</v>
      </c>
      <c r="GL63" s="640">
        <f t="shared" ca="1" si="226"/>
        <v>0</v>
      </c>
      <c r="GM63" s="530">
        <f t="shared" ca="1" si="227"/>
        <v>0</v>
      </c>
      <c r="GN63" s="530">
        <f t="shared" ca="1" si="228"/>
        <v>0</v>
      </c>
      <c r="GO63" s="622">
        <f t="shared" ca="1" si="229"/>
        <v>0</v>
      </c>
      <c r="GP63" s="530">
        <f t="shared" ca="1" si="73"/>
        <v>0</v>
      </c>
      <c r="GQ63" s="545">
        <f t="shared" ca="1" si="74"/>
        <v>0</v>
      </c>
      <c r="GR63" s="625">
        <f t="shared" ca="1" si="230"/>
        <v>0</v>
      </c>
      <c r="GS63" s="640">
        <f>IF($A63&gt;=BegDate,Assumptions!$C$56*24*($A64-$A63)*(1-VLOOKUP($B63,MAIN!$AA$7:$AM$28,$C63+1))*(1-VLOOKUP($B63,MAIN!$AA$33:$AM$54,$C63+1)),0)*80/168</f>
        <v>257742.85714285713</v>
      </c>
      <c r="GT63" s="1715">
        <f t="shared" si="153"/>
        <v>31.750982549279996</v>
      </c>
      <c r="GU63" s="1715">
        <f>IF($A63&gt;=BegDate,VLOOKUP($A63,GasTable,13)+Assumptions!$C$58,0)</f>
        <v>2.3983159373129981</v>
      </c>
      <c r="GV63" s="1715">
        <f>GU63*Assumptions!$C$57/1000</f>
        <v>17.387790545519238</v>
      </c>
      <c r="GW63" s="625">
        <f>IF(Assumptions!$C$60="Hourly",MAX(0,GS63*(GT63-GV63)),GS63*(GT63-GV63))</f>
        <v>3702010.144740737</v>
      </c>
      <c r="GX63" s="640">
        <f>IF($A63&gt;=BegDate,Assumptions!$C$56*24*($A64-$A63)*(1-VLOOKUP($B63,MAIN!$AA$7:$AM$28,$C63+1))*(1-VLOOKUP($B63,MAIN!$AA$33:$AM$54,$C63+1)),0)*16/168</f>
        <v>51548.571428571428</v>
      </c>
      <c r="GY63" s="1715">
        <f t="shared" si="154"/>
        <v>31.750982549279996</v>
      </c>
      <c r="GZ63" s="1715">
        <f>IF($A63&gt;=BegDate,VLOOKUP($A63,GasTable,13)+Assumptions!$C$58,0)</f>
        <v>2.3983159373129981</v>
      </c>
      <c r="HA63" s="1715">
        <f>GZ63*Assumptions!$C$57/1000</f>
        <v>17.387790545519238</v>
      </c>
      <c r="HB63" s="625">
        <f>IF(Assumptions!$C$60="Hourly",MAX(0,GX63*(GY63-HA63)),GX63*(GY63-HA63))</f>
        <v>740402.02894814743</v>
      </c>
      <c r="HC63" s="640">
        <f>IF($A63&gt;=BegDate,Assumptions!$C$56*24*($A64-$A63)*(1-VLOOKUP($B63,MAIN!$AA$7:$AM$28,$C63+1))*(1-VLOOKUP($B63,MAIN!$AA$33:$AM$54,$C63+1)),0)*16/168</f>
        <v>51548.571428571428</v>
      </c>
      <c r="HD63" s="1715">
        <f t="shared" si="155"/>
        <v>22.598910393263999</v>
      </c>
      <c r="HE63" s="1715">
        <f>IF($A63&gt;=BegDate,VLOOKUP($A63,GasTable,13)+Assumptions!$C$58,0)</f>
        <v>2.3983159373129981</v>
      </c>
      <c r="HF63" s="1715">
        <f>HE63*Assumptions!$C$57/1000</f>
        <v>17.387790545519238</v>
      </c>
      <c r="HG63" s="625">
        <f>IF(Assumptions!$C$60="Hourly",MAX(0,HC63*(HD63-HF63)),HC63*(HD63-HF63))</f>
        <v>268625.7836943171</v>
      </c>
      <c r="HH63" s="640">
        <f>IF($A63&gt;=BegDate,Assumptions!$C$56*24*($A64-$A63)*(1-VLOOKUP($B63,MAIN!$AA$7:$AM$28,$C63+1))*(1-VLOOKUP($B63,MAIN!$AA$33:$AM$54,$C63+1)),0)*56/168</f>
        <v>180420</v>
      </c>
      <c r="HI63" s="1715">
        <f t="shared" si="156"/>
        <v>22.598910393263999</v>
      </c>
      <c r="HJ63" s="1715">
        <f>IF($A63&gt;=BegDate,VLOOKUP($A63,GasTable,13)+Assumptions!$C$58,0)</f>
        <v>2.3983159373129981</v>
      </c>
      <c r="HK63" s="1715">
        <f>HJ63*Assumptions!$C$57/1000</f>
        <v>17.387790545519238</v>
      </c>
      <c r="HL63" s="625">
        <f>IF(Assumptions!$C$60="Hourly",MAX(0,HH63*(HI63-HK63)),HH63*(HI63-HK63))</f>
        <v>940190.24293010985</v>
      </c>
      <c r="HM63" s="640">
        <f>IF(AND(Assumptions!$H$71="Yes",A63&gt;=Assumptions!$H$72,A63&lt;=Assumptions!$H$73),Assumptions!$H$74*Assumptions!$C$9*1000,0)</f>
        <v>0</v>
      </c>
      <c r="HN63" s="530"/>
      <c r="HO63" s="545"/>
      <c r="HP63" s="545"/>
      <c r="HQ63" s="545"/>
      <c r="HR63" s="545"/>
      <c r="HS63" s="545"/>
      <c r="HT63" s="545"/>
      <c r="HU63" s="545"/>
      <c r="HV63" s="545"/>
      <c r="HW63" s="545"/>
      <c r="HX63" s="545"/>
      <c r="HY63" s="545"/>
      <c r="HZ63" s="545"/>
      <c r="IA63" s="545"/>
      <c r="IB63" s="545"/>
      <c r="IC63" s="545"/>
      <c r="ID63" s="545"/>
      <c r="IE63" s="545"/>
      <c r="IF63" s="545"/>
      <c r="IG63" s="545"/>
      <c r="IH63" s="545"/>
      <c r="II63" s="1464"/>
      <c r="IJ63" s="1463"/>
      <c r="IK63" s="1463"/>
    </row>
    <row r="64" spans="1:245">
      <c r="A64" s="177">
        <f t="shared" si="87"/>
        <v>38078</v>
      </c>
      <c r="B64" s="349">
        <f t="shared" si="88"/>
        <v>2004</v>
      </c>
      <c r="C64" s="15">
        <f t="shared" si="89"/>
        <v>4</v>
      </c>
      <c r="D64" s="612" t="str">
        <f t="shared" si="90"/>
        <v/>
      </c>
      <c r="E64" s="609">
        <f t="shared" si="91"/>
        <v>38078</v>
      </c>
      <c r="F64" s="614">
        <f t="shared" si="2"/>
        <v>38107</v>
      </c>
      <c r="G64" s="1349">
        <v>0</v>
      </c>
      <c r="H64" s="152">
        <f t="shared" si="165"/>
        <v>1</v>
      </c>
      <c r="I64" s="154">
        <f>IF(Assumptions!$L$25=4,VLOOKUP($A64,'Henwood Reference'!$E$9:$R$320,10),(VLOOKUP($A64,PriceTable,2,0)+IF(BasisNumber&lt;&gt;1,VLOOKUP($A64,BasisTable,2,0),0)+I$1)/(1-I$2))</f>
        <v>30.471872465807998</v>
      </c>
      <c r="J64" s="154">
        <f>IF(Assumptions!$L$25=4,VLOOKUP($A64,'Henwood Reference'!$E$9:$R$320,10),(VLOOKUP($A64,PriceTable,3,0)+IF(BasisNumber&lt;&gt;1,VLOOKUP($A64,BasisTable,2,0),0)+J$1)/(1-J$2))</f>
        <v>30.471872465807998</v>
      </c>
      <c r="K64" s="154">
        <f>IF(Assumptions!$L$25=4,VLOOKUP($A64,'Henwood Reference'!$E$9:$R$320,10),(VLOOKUP($A64,PriceTable,4,0)+IF(BasisNumber&lt;&gt;1,VLOOKUP($A64,BasisTable,2,0),0)+K$1)/(1-K$2))</f>
        <v>30.471872465807998</v>
      </c>
      <c r="L64" s="474">
        <f>IF(Assumptions!$L$25=4,VLOOKUP($A64,'Henwood Reference'!$E$9:$R$320,10),(VLOOKUP($A64,PriceTableWeekend,2,0)+IF(BasisNumber&lt;&gt;1,VLOOKUP($A64,BasisTable,2,0),0)+L$1)/(1-L$2))</f>
        <v>30.471872465807998</v>
      </c>
      <c r="M64" s="154">
        <f>IF(Assumptions!$L$25=4,VLOOKUP($A64,'Henwood Reference'!$E$9:$R$320,10),(VLOOKUP($A64,PriceTableWeekend,3,0)+IF(BasisNumber&lt;&gt;1,VLOOKUP($A64,BasisTable,2,0),0)+M$1)/(1-M$2))</f>
        <v>30.471872465807998</v>
      </c>
      <c r="N64" s="156">
        <f>IF(Assumptions!$L$25=4,VLOOKUP($A64,'Henwood Reference'!$E$9:$R$320,10),(VLOOKUP($A64,PriceTableWeekend,4,0)+IF(BasisNumber&lt;&gt;1,VLOOKUP($A64,BasisTable,2,0),0)+N$1)/(1-N$2))</f>
        <v>30.471872465807998</v>
      </c>
      <c r="O64" s="154">
        <f>IF(Assumptions!$L$25=4,VLOOKUP($A64,'Henwood Reference'!$E$9:$R$320,11),(VLOOKUP($A64,PriceTableWeekend,6,0)+IF(BasisNumber&lt;&gt;1,VLOOKUP($A64,BasisTable,3,0),0)+O$1)/(1-O$2))</f>
        <v>21.230607899808</v>
      </c>
      <c r="P64" s="154">
        <f>IF(Assumptions!$L$25=4,VLOOKUP($A64,'Henwood Reference'!$E$9:$R$320,11),(VLOOKUP($A64,PriceTableWeekend,7,0)+IF(BasisNumber&lt;&gt;1,VLOOKUP($A64,BasisTable,3,0),0)+P$1)/(1-P$2))</f>
        <v>21.230607899808</v>
      </c>
      <c r="Q64" s="156">
        <f>IF(Assumptions!$L$25=4,VLOOKUP($A64,'Henwood Reference'!$E$9:$R$320,11),(VLOOKUP($A64,PriceTableWeekend,8,0)+IF(BasisNumber&lt;&gt;1,VLOOKUP($A64,BasisTable,3,0),0)+Q$1)/(1-Q$2))</f>
        <v>21.230607899808</v>
      </c>
      <c r="R64" s="154">
        <f>IF(Assumptions!$L$25=4,VLOOKUP($A64,'Henwood Reference'!$E$9:$R$320,11),(VLOOKUP($A64,PriceTable,6,0)+IF(BasisNumber&lt;&gt;1,VLOOKUP($A64,BasisTable,3,0),0)+R$1)/(1-R$2))</f>
        <v>21.230607899808</v>
      </c>
      <c r="S64" s="154">
        <f>IF(Assumptions!$L$25=4,VLOOKUP($A64,'Henwood Reference'!$E$9:$R$320,11),(VLOOKUP($A64,PriceTable,7,0)+IF(BasisNumber&lt;&gt;1,VLOOKUP($A64,BasisTable,3,0),0)+S$1)/(1-S$2))</f>
        <v>21.230607899808</v>
      </c>
      <c r="T64" s="155">
        <f>IF(Assumptions!$L$25=4,VLOOKUP($A64,'Henwood Reference'!$E$9:$R$320,11),(VLOOKUP($A64,PriceTable,8,0)+IF(BasisNumber&lt;&gt;1,VLOOKUP($A64,BasisTable,3,0),0)+T$1)/(1-T$2))</f>
        <v>21.230607899808</v>
      </c>
      <c r="U64" s="173">
        <f t="shared" si="92"/>
        <v>0.15</v>
      </c>
      <c r="V64" s="173">
        <f t="shared" si="93"/>
        <v>0.16</v>
      </c>
      <c r="W64" s="174">
        <f t="shared" si="94"/>
        <v>0.17</v>
      </c>
      <c r="X64" s="173">
        <f t="shared" si="95"/>
        <v>0.15</v>
      </c>
      <c r="Y64" s="173">
        <f t="shared" si="96"/>
        <v>0.16</v>
      </c>
      <c r="Z64" s="174">
        <f t="shared" si="97"/>
        <v>0.17</v>
      </c>
      <c r="AA64" s="173">
        <f t="shared" si="98"/>
        <v>0.09</v>
      </c>
      <c r="AB64" s="173">
        <f t="shared" si="99"/>
        <v>0.11</v>
      </c>
      <c r="AC64" s="174">
        <f t="shared" si="100"/>
        <v>0.13</v>
      </c>
      <c r="AD64" s="173">
        <f t="shared" si="101"/>
        <v>0.09</v>
      </c>
      <c r="AE64" s="173">
        <f t="shared" si="102"/>
        <v>0.11</v>
      </c>
      <c r="AF64" s="174">
        <f t="shared" si="103"/>
        <v>0.13</v>
      </c>
      <c r="AG64" s="173">
        <f t="shared" si="104"/>
        <v>-0.1</v>
      </c>
      <c r="AH64" s="173">
        <f t="shared" si="105"/>
        <v>0.65</v>
      </c>
      <c r="AI64" s="174">
        <f t="shared" si="106"/>
        <v>0.1</v>
      </c>
      <c r="AJ64" s="173">
        <f t="shared" si="107"/>
        <v>-0.1</v>
      </c>
      <c r="AK64" s="173">
        <f t="shared" si="108"/>
        <v>0.65</v>
      </c>
      <c r="AL64" s="174">
        <f t="shared" si="109"/>
        <v>0.1</v>
      </c>
      <c r="AM64" s="173">
        <f t="shared" si="110"/>
        <v>-0.01</v>
      </c>
      <c r="AN64" s="173">
        <f t="shared" si="111"/>
        <v>0.16</v>
      </c>
      <c r="AO64" s="174">
        <f t="shared" si="112"/>
        <v>0.01</v>
      </c>
      <c r="AP64" s="173">
        <f t="shared" si="113"/>
        <v>-0.01</v>
      </c>
      <c r="AQ64" s="173">
        <f t="shared" si="114"/>
        <v>0.16</v>
      </c>
      <c r="AR64" s="175">
        <f t="shared" si="115"/>
        <v>0.01</v>
      </c>
      <c r="AS64" s="521">
        <f t="shared" si="188"/>
        <v>0.5</v>
      </c>
      <c r="AT64" s="349">
        <f t="shared" si="117"/>
        <v>22</v>
      </c>
      <c r="AU64" s="159">
        <f t="shared" si="3"/>
        <v>4</v>
      </c>
      <c r="AV64" s="159">
        <f t="shared" si="4"/>
        <v>4</v>
      </c>
      <c r="AW64" s="159">
        <f t="shared" si="189"/>
        <v>0</v>
      </c>
      <c r="AX64" s="15">
        <f t="shared" si="119"/>
        <v>30</v>
      </c>
      <c r="AY64" s="607">
        <f>IF(E64="",0,MIN((1-(1-VLOOKUP(B64,MAIN!$AA$7:$AM$28,C64+1))*(1-VLOOKUP(B64,MAIN!$AA$33:$AM$54,C64+1))),1))</f>
        <v>0.127</v>
      </c>
      <c r="AZ64" s="337">
        <v>46094.400000000001</v>
      </c>
      <c r="BA64" s="509">
        <v>8380.7999999999993</v>
      </c>
      <c r="BB64" s="509">
        <v>8380.7999999999993</v>
      </c>
      <c r="BC64" s="511">
        <v>31428</v>
      </c>
      <c r="BD64" s="153">
        <v>0.873</v>
      </c>
      <c r="BE64" s="474">
        <v>0.873</v>
      </c>
      <c r="BF64" s="474">
        <v>0.873</v>
      </c>
      <c r="BG64" s="515">
        <v>0.87300000650435683</v>
      </c>
      <c r="BH64" s="262">
        <v>184377.60000000001</v>
      </c>
      <c r="BI64" s="509">
        <v>33523.199999999997</v>
      </c>
      <c r="BJ64" s="509">
        <v>33523.199999999997</v>
      </c>
      <c r="BK64" s="511">
        <v>125712</v>
      </c>
      <c r="BL64" s="153">
        <v>0.873</v>
      </c>
      <c r="BM64" s="474">
        <v>0.873</v>
      </c>
      <c r="BN64" s="474">
        <v>0.873</v>
      </c>
      <c r="BO64" s="474">
        <v>0.87300000650435683</v>
      </c>
      <c r="BP64" s="261">
        <f t="shared" si="120"/>
        <v>62856</v>
      </c>
      <c r="BQ64" s="578">
        <f t="shared" si="121"/>
        <v>94284</v>
      </c>
      <c r="BR64" s="259">
        <f t="shared" si="122"/>
        <v>251424</v>
      </c>
      <c r="BS64" s="578">
        <f t="shared" si="123"/>
        <v>377136</v>
      </c>
      <c r="BT64" s="216">
        <f t="shared" si="124"/>
        <v>3.9644079397672827</v>
      </c>
      <c r="BU64" s="218">
        <f t="shared" si="5"/>
        <v>30.471872465807998</v>
      </c>
      <c r="BV64" s="216">
        <f t="shared" si="6"/>
        <v>30.471872465807998</v>
      </c>
      <c r="BW64" s="216">
        <f t="shared" si="7"/>
        <v>21.230607899808</v>
      </c>
      <c r="BX64" s="216">
        <f t="shared" si="125"/>
        <v>21.230608057988356</v>
      </c>
      <c r="BY64" s="216">
        <f t="shared" si="8"/>
        <v>29.239703857007996</v>
      </c>
      <c r="BZ64" s="216">
        <f t="shared" si="9"/>
        <v>26.570005257334785</v>
      </c>
      <c r="CA64" s="264">
        <f t="shared" si="10"/>
        <v>30.471872465807998</v>
      </c>
      <c r="CB64" s="216">
        <f t="shared" si="11"/>
        <v>30.471872465807998</v>
      </c>
      <c r="CC64" s="216">
        <f t="shared" si="12"/>
        <v>21.230607899808</v>
      </c>
      <c r="CD64" s="216">
        <f t="shared" si="126"/>
        <v>21.230608057988356</v>
      </c>
      <c r="CE64" s="216">
        <f t="shared" si="13"/>
        <v>29.239703857007996</v>
      </c>
      <c r="CF64" s="571">
        <f t="shared" si="14"/>
        <v>26.570005257334785</v>
      </c>
      <c r="CG64" s="573">
        <f t="shared" si="15"/>
        <v>0.16</v>
      </c>
      <c r="CH64" s="219">
        <f t="shared" si="16"/>
        <v>0.16</v>
      </c>
      <c r="CI64" s="219">
        <f t="shared" si="17"/>
        <v>0.11</v>
      </c>
      <c r="CJ64" s="219">
        <f t="shared" si="18"/>
        <v>0.15522642279238033</v>
      </c>
      <c r="CK64" s="219">
        <f t="shared" si="19"/>
        <v>0.15522642279238033</v>
      </c>
      <c r="CL64" s="219">
        <f t="shared" si="20"/>
        <v>0.11</v>
      </c>
      <c r="CM64" s="219">
        <f t="shared" si="21"/>
        <v>0.13143961958733735</v>
      </c>
      <c r="CN64" s="569">
        <f t="shared" si="22"/>
        <v>0.13143961958733735</v>
      </c>
      <c r="CO64" s="264">
        <f t="shared" si="175"/>
        <v>16.366454939019548</v>
      </c>
      <c r="CP64" s="216">
        <f t="shared" si="127"/>
        <v>16.366454939019548</v>
      </c>
      <c r="CQ64" s="216">
        <f t="shared" ca="1" si="192"/>
        <v>16.366454939019548</v>
      </c>
      <c r="CR64" s="216">
        <f t="shared" ca="1" si="193"/>
        <v>16.366454939019548</v>
      </c>
      <c r="CS64" s="1626">
        <f t="shared" ca="1" si="194"/>
        <v>16.366454939019548</v>
      </c>
      <c r="CT64" s="216">
        <f t="shared" si="131"/>
        <v>16.366454939019548</v>
      </c>
      <c r="CU64" s="575">
        <f t="shared" si="23"/>
        <v>0.17499999999999999</v>
      </c>
      <c r="CV64" s="154">
        <f t="shared" si="24"/>
        <v>0.5</v>
      </c>
      <c r="CW64" s="216">
        <f>IF(OR($BQ64,$BS64),SpreadOptPowerMargin,0)*((1+Assumptions!$C$26)^($B64-YEAR(Assumptions!$C$17)))</f>
        <v>1.8360000000000001</v>
      </c>
      <c r="CX64" s="216">
        <f>IF(OR($BQ64,$BS64),SpreadOptPowerMargin,0)*((1+Assumptions!$C$26)^($B64-YEAR(Assumptions!$C$17)))</f>
        <v>1.8360000000000001</v>
      </c>
      <c r="CY64" s="216">
        <f>IF(OR($BQ64,$BS64),SpreadOptPowerMargin,0)*((1+Assumptions!$C$26)^($B64-YEAR(Assumptions!$C$17)))</f>
        <v>1.8360000000000001</v>
      </c>
      <c r="CZ64" s="216">
        <f>IF(OR($BQ64,$BS64),SpreadOptPowerMargin,0)*((1+Assumptions!$C$26)^($B64-YEAR(Assumptions!$C$17)))</f>
        <v>1.8360000000000001</v>
      </c>
      <c r="DA64" s="440">
        <f t="shared" si="25"/>
        <v>1.8360000000000003</v>
      </c>
      <c r="DB64" s="479">
        <f t="shared" si="26"/>
        <v>0.16</v>
      </c>
      <c r="DC64" s="479">
        <f t="shared" si="27"/>
        <v>0.16</v>
      </c>
      <c r="DD64" s="479">
        <f t="shared" si="28"/>
        <v>0.11</v>
      </c>
      <c r="DE64" s="479">
        <f t="shared" si="29"/>
        <v>0.11</v>
      </c>
      <c r="DF64" s="479">
        <f t="shared" si="30"/>
        <v>0.13143961958733735</v>
      </c>
      <c r="DG64" s="574">
        <f t="shared" si="31"/>
        <v>0.13143961958733735</v>
      </c>
      <c r="DH64" s="216">
        <f t="shared" si="32"/>
        <v>12.433573717949102</v>
      </c>
      <c r="DI64" s="216">
        <f t="shared" si="33"/>
        <v>12.433573717949102</v>
      </c>
      <c r="DJ64" s="216">
        <f t="shared" ca="1" si="195"/>
        <v>4.0285807626279331</v>
      </c>
      <c r="DK64" s="216">
        <f t="shared" ca="1" si="196"/>
        <v>4.0285808825268443</v>
      </c>
      <c r="DL64" s="216">
        <f t="shared" ca="1" si="197"/>
        <v>8.6662077567368971</v>
      </c>
      <c r="DM64" s="216"/>
      <c r="DN64" s="216"/>
      <c r="DO64" s="216"/>
      <c r="DP64" s="216"/>
      <c r="DQ64" s="216"/>
      <c r="DR64" s="216"/>
      <c r="DS64" s="216"/>
      <c r="DT64" s="216"/>
      <c r="DU64" s="216"/>
      <c r="DV64" s="216"/>
      <c r="DW64" s="1371">
        <f t="shared" si="37"/>
        <v>4.0285807626279331</v>
      </c>
      <c r="DX64" s="216">
        <f t="shared" si="38"/>
        <v>4.0285808825268443</v>
      </c>
      <c r="DY64" s="440">
        <f t="shared" si="39"/>
        <v>8.8847989545575778</v>
      </c>
      <c r="DZ64" s="180">
        <f t="shared" si="40"/>
        <v>573118.12038463308</v>
      </c>
      <c r="EA64" s="180">
        <f t="shared" si="41"/>
        <v>104203.29461538783</v>
      </c>
      <c r="EB64" s="180">
        <f t="shared" ca="1" si="198"/>
        <v>33762.72965543218</v>
      </c>
      <c r="EC64" s="180">
        <f t="shared" ca="1" si="199"/>
        <v>126610.23997605366</v>
      </c>
      <c r="ED64" s="180">
        <f t="shared" ca="1" si="200"/>
        <v>817084.73213618156</v>
      </c>
      <c r="EE64" s="581">
        <f t="shared" si="45"/>
        <v>565551.43924679758</v>
      </c>
      <c r="EF64" s="554">
        <f t="shared" si="46"/>
        <v>102827.53440850865</v>
      </c>
      <c r="EG64" s="554">
        <f t="shared" ca="1" si="201"/>
        <v>25378.344333775869</v>
      </c>
      <c r="EH64" s="554">
        <f t="shared" ca="1" si="202"/>
        <v>95168.796222951743</v>
      </c>
      <c r="EI64" s="561">
        <f t="shared" ca="1" si="49"/>
        <v>788926.11421203392</v>
      </c>
      <c r="EJ64" s="581">
        <f t="shared" si="132"/>
        <v>7566.6811378354905</v>
      </c>
      <c r="EK64" s="554">
        <f t="shared" si="133"/>
        <v>1375.7602068791748</v>
      </c>
      <c r="EL64" s="554">
        <f t="shared" ca="1" si="203"/>
        <v>8384.3853216563111</v>
      </c>
      <c r="EM64" s="554">
        <f t="shared" ca="1" si="204"/>
        <v>31441.443753101921</v>
      </c>
      <c r="EN64" s="561">
        <f t="shared" ca="1" si="205"/>
        <v>28158.617924147635</v>
      </c>
      <c r="EO64" s="180">
        <f t="shared" si="50"/>
        <v>2292472.4815385323</v>
      </c>
      <c r="EP64" s="180">
        <f t="shared" si="51"/>
        <v>416813.17846155132</v>
      </c>
      <c r="EQ64" s="180">
        <f t="shared" si="52"/>
        <v>135050.91862172872</v>
      </c>
      <c r="ER64" s="180">
        <f t="shared" si="53"/>
        <v>506440.95990421466</v>
      </c>
      <c r="ES64" s="180">
        <f t="shared" si="54"/>
        <v>3350777.5385260265</v>
      </c>
      <c r="ET64" s="1482">
        <f t="shared" ca="1" si="206"/>
        <v>2262205.7569871903</v>
      </c>
      <c r="EU64" s="180">
        <f t="shared" ca="1" si="207"/>
        <v>411310.13763403462</v>
      </c>
      <c r="EV64" s="180">
        <f t="shared" ca="1" si="208"/>
        <v>101513.37733510348</v>
      </c>
      <c r="EW64" s="180">
        <f t="shared" ca="1" si="209"/>
        <v>380675.18489180697</v>
      </c>
      <c r="EX64" s="555">
        <f t="shared" ca="1" si="182"/>
        <v>3155704.4568481357</v>
      </c>
      <c r="EY64" s="180">
        <f t="shared" ca="1" si="210"/>
        <v>30266.724551341962</v>
      </c>
      <c r="EZ64" s="180">
        <f t="shared" ca="1" si="211"/>
        <v>5503.0408275166992</v>
      </c>
      <c r="FA64" s="180">
        <f t="shared" ca="1" si="212"/>
        <v>33537.541286625245</v>
      </c>
      <c r="FB64" s="180">
        <f t="shared" ca="1" si="213"/>
        <v>125765.77501240768</v>
      </c>
      <c r="FC64" s="180">
        <f t="shared" ca="1" si="214"/>
        <v>195073.08167789085</v>
      </c>
      <c r="FD64" s="262">
        <f>IF(AX64,IF(VLOOKUP(C64,MAIN!$L$17:$M$28,2)="Yes",VLOOKUP(CALC!B64,MAIN!$H$17:$I$20,2),0),0)</f>
        <v>0</v>
      </c>
      <c r="FE64" s="623">
        <f t="shared" si="60"/>
        <v>0</v>
      </c>
      <c r="FF64" s="535">
        <f t="shared" si="61"/>
        <v>0</v>
      </c>
      <c r="FG64" s="535">
        <f t="shared" si="62"/>
        <v>0</v>
      </c>
      <c r="FH64" s="624">
        <f t="shared" si="63"/>
        <v>0</v>
      </c>
      <c r="FI64" s="632">
        <f>IF(AX64,VLOOKUP(CALC!B64,MAIN!$H$17:$K$20,4),0)</f>
        <v>0</v>
      </c>
      <c r="FJ64" s="535">
        <f t="shared" si="64"/>
        <v>0</v>
      </c>
      <c r="FK64" s="648">
        <f t="shared" si="142"/>
        <v>0</v>
      </c>
      <c r="FL64" s="530">
        <f t="shared" ca="1" si="215"/>
        <v>0</v>
      </c>
      <c r="FM64" s="530">
        <f t="shared" ca="1" si="216"/>
        <v>0</v>
      </c>
      <c r="FN64" s="530">
        <f t="shared" ca="1" si="217"/>
        <v>0</v>
      </c>
      <c r="FO64" s="622">
        <f t="shared" ca="1" si="218"/>
        <v>0</v>
      </c>
      <c r="FP64" s="530">
        <f t="shared" ca="1" si="219"/>
        <v>0</v>
      </c>
      <c r="FQ64" s="530">
        <f t="shared" ca="1" si="220"/>
        <v>0</v>
      </c>
      <c r="FR64" s="530">
        <f t="shared" ca="1" si="221"/>
        <v>0</v>
      </c>
      <c r="FS64" s="625">
        <f t="shared" ca="1" si="222"/>
        <v>0</v>
      </c>
      <c r="FT64" s="640">
        <f ca="1">IF(AND(Assumptions!$H$71="Yes",A64&gt;=Assumptions!$H$72,A64&lt;=Assumptions!$H$73),0,IF(AND($A64&gt;=Assumptions!$C$17,$A64&lt;=Assumptions!$C$18),MAX(AZ64*(1+VLOOKUP($C64,WeatherCapacityAdjustment,2))-FL64,0),0))</f>
        <v>46094.400000000001</v>
      </c>
      <c r="FU64" s="530">
        <f ca="1">IF(AND(Assumptions!$H$71="Yes",A64&gt;=Assumptions!$H$72,A64&lt;=Assumptions!$H$73),0,IF(AND($A64&gt;=Assumptions!$C$17,$A64&lt;=Assumptions!$C$18),MAX(BA64*(1+VLOOKUP($C64,WeatherCapacityAdjustment,2))-FM64,0),0))</f>
        <v>8380.7999999999993</v>
      </c>
      <c r="FV64" s="530">
        <f ca="1">IF(AND(Assumptions!$H$71="Yes",A64&gt;=Assumptions!$H$72,A64&lt;=Assumptions!$H$73),0,IF(AND($A64&gt;=Assumptions!$C$17,$A64&lt;=Assumptions!$C$18),MAX(BB64*(1+VLOOKUP($C64,WeatherCapacityAdjustment,2))-FN64,0),0))</f>
        <v>8380.7999999999993</v>
      </c>
      <c r="FW64" s="622">
        <f ca="1">IF(AND(Assumptions!$H$71="Yes",A64&gt;=Assumptions!$H$72,A64&lt;=Assumptions!$H$73),0,IF(AND($A64&gt;=Assumptions!$C$17,$A64&lt;=Assumptions!$C$18),MAX(BC64*(1+VLOOKUP($C64,WeatherCapacityAdjustment,3))-FO64,0),0))</f>
        <v>31428</v>
      </c>
      <c r="FX64" s="621">
        <f ca="1">IF(AND(Assumptions!$H$71="Yes",A64&gt;=Assumptions!$H$72,A64&lt;=Assumptions!$H$73),0,IF(ET64&gt;0,MAX(BH64*(1+VLOOKUP($C64,WeatherCapacityAdjustment,2))-FP64,0),0))</f>
        <v>184377.60000000001</v>
      </c>
      <c r="FY64" s="530">
        <f ca="1">IF(AND(Assumptions!$H$71="Yes",A64&gt;=Assumptions!$H$72,A64&lt;=Assumptions!$H$73),0,IF(EU64&gt;0,MAX(BI64*(1+VLOOKUP($C64,WeatherCapacityAdjustment,3))-FQ64,0),0))</f>
        <v>33523.199999999997</v>
      </c>
      <c r="FZ64" s="530">
        <f ca="1">IF(AND(Assumptions!$H$71="Yes",A64&gt;=Assumptions!$H$72,A64&lt;=Assumptions!$H$73),0,IF(EV64&gt;0,MAX(BJ64*(1+VLOOKUP($C64,WeatherCapacityAdjustment,2))-FR64,0),0))</f>
        <v>33523.199999999997</v>
      </c>
      <c r="GA64" s="622">
        <f ca="1">IF(AND(Assumptions!$H$71="Yes",A64&gt;=Assumptions!$H$72,A64&lt;=Assumptions!$H$73),0,IF(EW64&gt;0,MAX(BK64*(1+VLOOKUP($C64,WeatherCapacityAdjustment,2))-FS64,0),0))</f>
        <v>125712</v>
      </c>
      <c r="GB64" s="530">
        <f t="shared" ca="1" si="65"/>
        <v>471420</v>
      </c>
      <c r="GC64" s="545">
        <f t="shared" ca="1" si="66"/>
        <v>26.570005257334785</v>
      </c>
      <c r="GD64" s="530">
        <f t="shared" ca="1" si="223"/>
        <v>12525631.878412765</v>
      </c>
      <c r="GE64" s="1485">
        <f t="shared" ca="1" si="224"/>
        <v>664423.11936000001</v>
      </c>
      <c r="GF64" s="1776">
        <f t="shared" ca="1" si="225"/>
        <v>2657692.47744</v>
      </c>
      <c r="GG64" s="545">
        <f t="shared" si="190"/>
        <v>2.3224580730376934</v>
      </c>
      <c r="GH64" s="622">
        <f t="shared" ca="1" si="191"/>
        <v>7715474.1873525949</v>
      </c>
      <c r="GI64" s="621">
        <f t="shared" ca="1" si="152"/>
        <v>471420</v>
      </c>
      <c r="GJ64" s="638">
        <f t="shared" si="68"/>
        <v>1.8360000000000003</v>
      </c>
      <c r="GK64" s="625">
        <f t="shared" ca="1" si="166"/>
        <v>865527.12000000011</v>
      </c>
      <c r="GL64" s="640">
        <f t="shared" ca="1" si="226"/>
        <v>0</v>
      </c>
      <c r="GM64" s="530">
        <f t="shared" ca="1" si="227"/>
        <v>0</v>
      </c>
      <c r="GN64" s="530">
        <f t="shared" ca="1" si="228"/>
        <v>0</v>
      </c>
      <c r="GO64" s="622">
        <f t="shared" ca="1" si="229"/>
        <v>0</v>
      </c>
      <c r="GP64" s="530">
        <f t="shared" ca="1" si="73"/>
        <v>0</v>
      </c>
      <c r="GQ64" s="545">
        <f t="shared" ca="1" si="74"/>
        <v>0</v>
      </c>
      <c r="GR64" s="625">
        <f t="shared" ca="1" si="230"/>
        <v>0</v>
      </c>
      <c r="GS64" s="640">
        <f>IF($A64&gt;=BegDate,Assumptions!$C$56*24*($A65-$A64)*(1-VLOOKUP($B64,MAIN!$AA$7:$AM$28,$C64+1))*(1-VLOOKUP($B64,MAIN!$AA$33:$AM$54,$C64+1)),0)*80/168</f>
        <v>224485.71428571429</v>
      </c>
      <c r="GT64" s="1715">
        <f t="shared" si="153"/>
        <v>30.471872465807998</v>
      </c>
      <c r="GU64" s="1715">
        <f>IF($A64&gt;=BegDate,VLOOKUP($A64,GasTable,13)+Assumptions!$C$58,0)</f>
        <v>2.3224580730376934</v>
      </c>
      <c r="GV64" s="1715">
        <f>GU64*Assumptions!$C$57/1000</f>
        <v>16.83782102952328</v>
      </c>
      <c r="GW64" s="625">
        <f>IF(Assumptions!$C$60="Hourly",MAX(0,GS64*(GT64-GV64)),GS64*(GT64-GV64))</f>
        <v>3060649.7752825436</v>
      </c>
      <c r="GX64" s="640">
        <f>IF($A64&gt;=BegDate,Assumptions!$C$56*24*($A65-$A64)*(1-VLOOKUP($B64,MAIN!$AA$7:$AM$28,$C64+1))*(1-VLOOKUP($B64,MAIN!$AA$33:$AM$54,$C64+1)),0)*16/168</f>
        <v>44897.142857142855</v>
      </c>
      <c r="GY64" s="1715">
        <f t="shared" si="154"/>
        <v>30.471872465807998</v>
      </c>
      <c r="GZ64" s="1715">
        <f>IF($A64&gt;=BegDate,VLOOKUP($A64,GasTable,13)+Assumptions!$C$58,0)</f>
        <v>2.3224580730376934</v>
      </c>
      <c r="HA64" s="1715">
        <f>GZ64*Assumptions!$C$57/1000</f>
        <v>16.83782102952328</v>
      </c>
      <c r="HB64" s="625">
        <f>IF(Assumptions!$C$60="Hourly",MAX(0,GX64*(GY64-HA64)),GX64*(GY64-HA64))</f>
        <v>612129.95505650877</v>
      </c>
      <c r="HC64" s="640">
        <f>IF($A64&gt;=BegDate,Assumptions!$C$56*24*($A65-$A64)*(1-VLOOKUP($B64,MAIN!$AA$7:$AM$28,$C64+1))*(1-VLOOKUP($B64,MAIN!$AA$33:$AM$54,$C64+1)),0)*16/168</f>
        <v>44897.142857142855</v>
      </c>
      <c r="HD64" s="1715">
        <f t="shared" si="155"/>
        <v>21.230607899808</v>
      </c>
      <c r="HE64" s="1715">
        <f>IF($A64&gt;=BegDate,VLOOKUP($A64,GasTable,13)+Assumptions!$C$58,0)</f>
        <v>2.3224580730376934</v>
      </c>
      <c r="HF64" s="1715">
        <f>HE64*Assumptions!$C$57/1000</f>
        <v>16.83782102952328</v>
      </c>
      <c r="HG64" s="625">
        <f>IF(Assumptions!$C$60="Hourly",MAX(0,HC64*(HD64-HF64)),HC64*(HD64-HF64))</f>
        <v>197223.57965615453</v>
      </c>
      <c r="HH64" s="640">
        <f>IF($A64&gt;=BegDate,Assumptions!$C$56*24*($A65-$A64)*(1-VLOOKUP($B64,MAIN!$AA$7:$AM$28,$C64+1))*(1-VLOOKUP($B64,MAIN!$AA$33:$AM$54,$C64+1)),0)*56/168</f>
        <v>157140</v>
      </c>
      <c r="HI64" s="1715">
        <f t="shared" si="156"/>
        <v>21.230607899808</v>
      </c>
      <c r="HJ64" s="1715">
        <f>IF($A64&gt;=BegDate,VLOOKUP($A64,GasTable,13)+Assumptions!$C$58,0)</f>
        <v>2.3224580730376934</v>
      </c>
      <c r="HK64" s="1715">
        <f>HJ64*Assumptions!$C$57/1000</f>
        <v>16.83782102952328</v>
      </c>
      <c r="HL64" s="625">
        <f>IF(Assumptions!$C$60="Hourly",MAX(0,HH64*(HI64-HK64)),HH64*(HI64-HK64))</f>
        <v>690282.52879654092</v>
      </c>
      <c r="HM64" s="640">
        <f>IF(AND(Assumptions!$H$71="Yes",A64&gt;=Assumptions!$H$72,A64&lt;=Assumptions!$H$73),Assumptions!$H$74*Assumptions!$C$9*1000,0)</f>
        <v>0</v>
      </c>
      <c r="HN64" s="530"/>
      <c r="HO64" s="545"/>
      <c r="HP64" s="545"/>
      <c r="HQ64" s="545"/>
      <c r="HR64" s="545"/>
      <c r="HS64" s="545"/>
      <c r="HT64" s="545"/>
      <c r="HU64" s="545"/>
      <c r="HV64" s="545"/>
      <c r="HW64" s="545"/>
      <c r="HX64" s="545"/>
      <c r="HY64" s="545"/>
      <c r="HZ64" s="545"/>
      <c r="IA64" s="545"/>
      <c r="IB64" s="545"/>
      <c r="IC64" s="545"/>
      <c r="ID64" s="545"/>
      <c r="IE64" s="545"/>
      <c r="IF64" s="545"/>
      <c r="IG64" s="545"/>
      <c r="IH64" s="545"/>
      <c r="II64" s="1464"/>
      <c r="IJ64" s="1463"/>
      <c r="IK64" s="1463"/>
    </row>
    <row r="65" spans="1:245">
      <c r="A65" s="177">
        <f t="shared" si="87"/>
        <v>38108</v>
      </c>
      <c r="B65" s="349">
        <f t="shared" si="88"/>
        <v>2004</v>
      </c>
      <c r="C65" s="15">
        <f t="shared" si="89"/>
        <v>5</v>
      </c>
      <c r="D65" s="612">
        <f t="shared" si="90"/>
        <v>38138</v>
      </c>
      <c r="E65" s="609">
        <f t="shared" si="91"/>
        <v>38108</v>
      </c>
      <c r="F65" s="614">
        <f t="shared" si="2"/>
        <v>38138</v>
      </c>
      <c r="G65" s="1349">
        <v>0</v>
      </c>
      <c r="H65" s="152">
        <f t="shared" si="165"/>
        <v>1</v>
      </c>
      <c r="I65" s="154">
        <f>IF(Assumptions!$L$25=4,VLOOKUP($A65,'Henwood Reference'!$E$9:$R$320,10),(VLOOKUP($A65,PriceTable,2,0)+IF(BasisNumber&lt;&gt;1,VLOOKUP($A65,BasisTable,2,0),0)+I$1)/(1-I$2))</f>
        <v>32.253555801167998</v>
      </c>
      <c r="J65" s="154">
        <f>IF(Assumptions!$L$25=4,VLOOKUP($A65,'Henwood Reference'!$E$9:$R$320,10),(VLOOKUP($A65,PriceTable,3,0)+IF(BasisNumber&lt;&gt;1,VLOOKUP($A65,BasisTable,2,0),0)+J$1)/(1-J$2))</f>
        <v>32.253555801167998</v>
      </c>
      <c r="K65" s="154">
        <f>IF(Assumptions!$L$25=4,VLOOKUP($A65,'Henwood Reference'!$E$9:$R$320,10),(VLOOKUP($A65,PriceTable,4,0)+IF(BasisNumber&lt;&gt;1,VLOOKUP($A65,BasisTable,2,0),0)+K$1)/(1-K$2))</f>
        <v>32.253555801167998</v>
      </c>
      <c r="L65" s="474">
        <f>IF(Assumptions!$L$25=4,VLOOKUP($A65,'Henwood Reference'!$E$9:$R$320,10),(VLOOKUP($A65,PriceTableWeekend,2,0)+IF(BasisNumber&lt;&gt;1,VLOOKUP($A65,BasisTable,2,0),0)+L$1)/(1-L$2))</f>
        <v>32.253555801167998</v>
      </c>
      <c r="M65" s="154">
        <f>IF(Assumptions!$L$25=4,VLOOKUP($A65,'Henwood Reference'!$E$9:$R$320,10),(VLOOKUP($A65,PriceTableWeekend,3,0)+IF(BasisNumber&lt;&gt;1,VLOOKUP($A65,BasisTable,2,0),0)+M$1)/(1-M$2))</f>
        <v>32.253555801167998</v>
      </c>
      <c r="N65" s="156">
        <f>IF(Assumptions!$L$25=4,VLOOKUP($A65,'Henwood Reference'!$E$9:$R$320,10),(VLOOKUP($A65,PriceTableWeekend,4,0)+IF(BasisNumber&lt;&gt;1,VLOOKUP($A65,BasisTable,2,0),0)+N$1)/(1-N$2))</f>
        <v>32.253555801167998</v>
      </c>
      <c r="O65" s="154">
        <f>IF(Assumptions!$L$25=4,VLOOKUP($A65,'Henwood Reference'!$E$9:$R$320,11),(VLOOKUP($A65,PriceTableWeekend,6,0)+IF(BasisNumber&lt;&gt;1,VLOOKUP($A65,BasisTable,3,0),0)+O$1)/(1-O$2))</f>
        <v>18.982721033135999</v>
      </c>
      <c r="P65" s="154">
        <f>IF(Assumptions!$L$25=4,VLOOKUP($A65,'Henwood Reference'!$E$9:$R$320,11),(VLOOKUP($A65,PriceTableWeekend,7,0)+IF(BasisNumber&lt;&gt;1,VLOOKUP($A65,BasisTable,3,0),0)+P$1)/(1-P$2))</f>
        <v>18.982721033135999</v>
      </c>
      <c r="Q65" s="156">
        <f>IF(Assumptions!$L$25=4,VLOOKUP($A65,'Henwood Reference'!$E$9:$R$320,11),(VLOOKUP($A65,PriceTableWeekend,8,0)+IF(BasisNumber&lt;&gt;1,VLOOKUP($A65,BasisTable,3,0),0)+Q$1)/(1-Q$2))</f>
        <v>18.982721033135999</v>
      </c>
      <c r="R65" s="154">
        <f>IF(Assumptions!$L$25=4,VLOOKUP($A65,'Henwood Reference'!$E$9:$R$320,11),(VLOOKUP($A65,PriceTable,6,0)+IF(BasisNumber&lt;&gt;1,VLOOKUP($A65,BasisTable,3,0),0)+R$1)/(1-R$2))</f>
        <v>18.982721033135999</v>
      </c>
      <c r="S65" s="154">
        <f>IF(Assumptions!$L$25=4,VLOOKUP($A65,'Henwood Reference'!$E$9:$R$320,11),(VLOOKUP($A65,PriceTable,7,0)+IF(BasisNumber&lt;&gt;1,VLOOKUP($A65,BasisTable,3,0),0)+S$1)/(1-S$2))</f>
        <v>18.982721033135999</v>
      </c>
      <c r="T65" s="155">
        <f>IF(Assumptions!$L$25=4,VLOOKUP($A65,'Henwood Reference'!$E$9:$R$320,11),(VLOOKUP($A65,PriceTable,8,0)+IF(BasisNumber&lt;&gt;1,VLOOKUP($A65,BasisTable,3,0),0)+T$1)/(1-T$2))</f>
        <v>18.982721033135999</v>
      </c>
      <c r="U65" s="173">
        <f t="shared" si="92"/>
        <v>0.15</v>
      </c>
      <c r="V65" s="173">
        <f t="shared" si="93"/>
        <v>0.16</v>
      </c>
      <c r="W65" s="174">
        <f t="shared" si="94"/>
        <v>0.17</v>
      </c>
      <c r="X65" s="173">
        <f t="shared" si="95"/>
        <v>0.15</v>
      </c>
      <c r="Y65" s="173">
        <f t="shared" si="96"/>
        <v>0.16</v>
      </c>
      <c r="Z65" s="174">
        <f t="shared" si="97"/>
        <v>0.17</v>
      </c>
      <c r="AA65" s="173">
        <f t="shared" si="98"/>
        <v>0.09</v>
      </c>
      <c r="AB65" s="173">
        <f t="shared" si="99"/>
        <v>0.11</v>
      </c>
      <c r="AC65" s="174">
        <f t="shared" si="100"/>
        <v>0.13</v>
      </c>
      <c r="AD65" s="173">
        <f t="shared" si="101"/>
        <v>0.09</v>
      </c>
      <c r="AE65" s="173">
        <f t="shared" si="102"/>
        <v>0.11</v>
      </c>
      <c r="AF65" s="174">
        <f t="shared" si="103"/>
        <v>0.13</v>
      </c>
      <c r="AG65" s="173">
        <f t="shared" si="104"/>
        <v>-0.1</v>
      </c>
      <c r="AH65" s="173">
        <f t="shared" si="105"/>
        <v>0.65</v>
      </c>
      <c r="AI65" s="174">
        <f t="shared" si="106"/>
        <v>0.1</v>
      </c>
      <c r="AJ65" s="173">
        <f t="shared" si="107"/>
        <v>-0.1</v>
      </c>
      <c r="AK65" s="173">
        <f t="shared" si="108"/>
        <v>0.65</v>
      </c>
      <c r="AL65" s="174">
        <f t="shared" si="109"/>
        <v>0.1</v>
      </c>
      <c r="AM65" s="173">
        <f t="shared" si="110"/>
        <v>-0.01</v>
      </c>
      <c r="AN65" s="173">
        <f t="shared" si="111"/>
        <v>0.16</v>
      </c>
      <c r="AO65" s="174">
        <f t="shared" si="112"/>
        <v>0.01</v>
      </c>
      <c r="AP65" s="173">
        <f t="shared" si="113"/>
        <v>-0.01</v>
      </c>
      <c r="AQ65" s="173">
        <f t="shared" si="114"/>
        <v>0.16</v>
      </c>
      <c r="AR65" s="175">
        <f t="shared" si="115"/>
        <v>0.01</v>
      </c>
      <c r="AS65" s="521">
        <f t="shared" si="188"/>
        <v>0.5</v>
      </c>
      <c r="AT65" s="349">
        <f t="shared" si="117"/>
        <v>20</v>
      </c>
      <c r="AU65" s="159">
        <f t="shared" si="3"/>
        <v>5</v>
      </c>
      <c r="AV65" s="159">
        <f t="shared" si="4"/>
        <v>5</v>
      </c>
      <c r="AW65" s="159">
        <f t="shared" si="189"/>
        <v>1</v>
      </c>
      <c r="AX65" s="15">
        <f t="shared" si="119"/>
        <v>31</v>
      </c>
      <c r="AY65" s="607">
        <f>IF(E65="",0,MIN((1-(1-VLOOKUP(B65,MAIN!$AA$7:$AM$28,C65+1))*(1-VLOOKUP(B65,MAIN!$AA$33:$AM$54,C65+1))),1))</f>
        <v>3.0000000000000027E-2</v>
      </c>
      <c r="AZ65" s="337">
        <v>46560</v>
      </c>
      <c r="BA65" s="509">
        <v>11640</v>
      </c>
      <c r="BB65" s="509">
        <v>13968</v>
      </c>
      <c r="BC65" s="511">
        <v>36084</v>
      </c>
      <c r="BD65" s="153">
        <v>0.97</v>
      </c>
      <c r="BE65" s="474">
        <v>0.97</v>
      </c>
      <c r="BF65" s="474">
        <v>0.97</v>
      </c>
      <c r="BG65" s="515">
        <v>0.97</v>
      </c>
      <c r="BH65" s="262">
        <v>186240</v>
      </c>
      <c r="BI65" s="509">
        <v>46560</v>
      </c>
      <c r="BJ65" s="509">
        <v>55872</v>
      </c>
      <c r="BK65" s="511">
        <v>144336</v>
      </c>
      <c r="BL65" s="153">
        <v>0.97</v>
      </c>
      <c r="BM65" s="474">
        <v>0.97</v>
      </c>
      <c r="BN65" s="474">
        <v>0.97</v>
      </c>
      <c r="BO65" s="474">
        <v>0.97</v>
      </c>
      <c r="BP65" s="261">
        <f t="shared" si="120"/>
        <v>72168</v>
      </c>
      <c r="BQ65" s="578">
        <f t="shared" si="121"/>
        <v>108252</v>
      </c>
      <c r="BR65" s="259">
        <f t="shared" si="122"/>
        <v>288672</v>
      </c>
      <c r="BS65" s="578">
        <f t="shared" si="123"/>
        <v>433008</v>
      </c>
      <c r="BT65" s="216">
        <f t="shared" si="124"/>
        <v>4.046543463381246</v>
      </c>
      <c r="BU65" s="218">
        <f t="shared" si="5"/>
        <v>32.253555801167998</v>
      </c>
      <c r="BV65" s="216">
        <f t="shared" si="6"/>
        <v>32.253555801167998</v>
      </c>
      <c r="BW65" s="216">
        <f t="shared" si="7"/>
        <v>18.982721033135999</v>
      </c>
      <c r="BX65" s="216">
        <f t="shared" si="125"/>
        <v>18.982721033135999</v>
      </c>
      <c r="BY65" s="216">
        <f t="shared" si="8"/>
        <v>29.685007136387608</v>
      </c>
      <c r="BZ65" s="216">
        <f t="shared" si="9"/>
        <v>26.117578435303738</v>
      </c>
      <c r="CA65" s="264">
        <f t="shared" si="10"/>
        <v>32.253555801167998</v>
      </c>
      <c r="CB65" s="216">
        <f t="shared" si="11"/>
        <v>32.253555801167998</v>
      </c>
      <c r="CC65" s="216">
        <f t="shared" si="12"/>
        <v>18.982721033135999</v>
      </c>
      <c r="CD65" s="216">
        <f t="shared" si="126"/>
        <v>18.982721033135999</v>
      </c>
      <c r="CE65" s="216">
        <f t="shared" si="13"/>
        <v>29.685007136387608</v>
      </c>
      <c r="CF65" s="571">
        <f t="shared" si="14"/>
        <v>26.117578435303738</v>
      </c>
      <c r="CG65" s="573">
        <f t="shared" si="15"/>
        <v>0.16</v>
      </c>
      <c r="CH65" s="219">
        <f t="shared" si="16"/>
        <v>0.16</v>
      </c>
      <c r="CI65" s="219">
        <f t="shared" si="17"/>
        <v>0.11</v>
      </c>
      <c r="CJ65" s="219">
        <f t="shared" si="18"/>
        <v>0.15389581268935648</v>
      </c>
      <c r="CK65" s="219">
        <f t="shared" si="19"/>
        <v>0.15389581268935648</v>
      </c>
      <c r="CL65" s="219">
        <f t="shared" si="20"/>
        <v>0.11</v>
      </c>
      <c r="CM65" s="219">
        <f t="shared" si="21"/>
        <v>0.13237899201068293</v>
      </c>
      <c r="CN65" s="569">
        <f t="shared" si="22"/>
        <v>0.13237899201068293</v>
      </c>
      <c r="CO65" s="264">
        <f t="shared" si="175"/>
        <v>16.22339192594572</v>
      </c>
      <c r="CP65" s="216">
        <f t="shared" si="127"/>
        <v>16.22339192594572</v>
      </c>
      <c r="CQ65" s="216">
        <f t="shared" ca="1" si="192"/>
        <v>16.22339192594572</v>
      </c>
      <c r="CR65" s="216">
        <f t="shared" ca="1" si="193"/>
        <v>16.22339192594572</v>
      </c>
      <c r="CS65" s="1626">
        <f t="shared" ca="1" si="194"/>
        <v>16.22339192594572</v>
      </c>
      <c r="CT65" s="216">
        <f t="shared" si="131"/>
        <v>16.22339192594572</v>
      </c>
      <c r="CU65" s="575">
        <f t="shared" si="23"/>
        <v>0.17499999999999999</v>
      </c>
      <c r="CV65" s="154">
        <f t="shared" si="24"/>
        <v>0.5</v>
      </c>
      <c r="CW65" s="216">
        <f>IF(OR($BQ65,$BS65),SpreadOptPowerMargin,0)*((1+Assumptions!$C$26)^($B65-YEAR(Assumptions!$C$17)))</f>
        <v>1.8360000000000001</v>
      </c>
      <c r="CX65" s="216">
        <f>IF(OR($BQ65,$BS65),SpreadOptPowerMargin,0)*((1+Assumptions!$C$26)^($B65-YEAR(Assumptions!$C$17)))</f>
        <v>1.8360000000000001</v>
      </c>
      <c r="CY65" s="216">
        <f>IF(OR($BQ65,$BS65),SpreadOptPowerMargin,0)*((1+Assumptions!$C$26)^($B65-YEAR(Assumptions!$C$17)))</f>
        <v>1.8360000000000001</v>
      </c>
      <c r="CZ65" s="216">
        <f>IF(OR($BQ65,$BS65),SpreadOptPowerMargin,0)*((1+Assumptions!$C$26)^($B65-YEAR(Assumptions!$C$17)))</f>
        <v>1.8360000000000001</v>
      </c>
      <c r="DA65" s="440">
        <f t="shared" si="25"/>
        <v>1.8360000000000001</v>
      </c>
      <c r="DB65" s="479">
        <f t="shared" si="26"/>
        <v>0.16</v>
      </c>
      <c r="DC65" s="479">
        <f t="shared" si="27"/>
        <v>0.16</v>
      </c>
      <c r="DD65" s="479">
        <f t="shared" si="28"/>
        <v>0.11</v>
      </c>
      <c r="DE65" s="479">
        <f t="shared" si="29"/>
        <v>0.11</v>
      </c>
      <c r="DF65" s="479">
        <f t="shared" si="30"/>
        <v>0.13237899201068293</v>
      </c>
      <c r="DG65" s="574">
        <f t="shared" si="31"/>
        <v>0.13237899201068293</v>
      </c>
      <c r="DH65" s="216">
        <f t="shared" si="32"/>
        <v>14.302409438629068</v>
      </c>
      <c r="DI65" s="216">
        <f t="shared" si="33"/>
        <v>14.302409438629068</v>
      </c>
      <c r="DJ65" s="216">
        <f t="shared" ca="1" si="195"/>
        <v>2.5663882144364432</v>
      </c>
      <c r="DK65" s="216">
        <f t="shared" ca="1" si="196"/>
        <v>2.5663882144364432</v>
      </c>
      <c r="DL65" s="216">
        <f t="shared" ca="1" si="197"/>
        <v>8.3869837857713385</v>
      </c>
      <c r="DM65" s="216"/>
      <c r="DN65" s="216"/>
      <c r="DO65" s="216"/>
      <c r="DP65" s="216"/>
      <c r="DQ65" s="216"/>
      <c r="DR65" s="216"/>
      <c r="DS65" s="216"/>
      <c r="DT65" s="216"/>
      <c r="DU65" s="216"/>
      <c r="DV65" s="216"/>
      <c r="DW65" s="1371">
        <f t="shared" si="37"/>
        <v>2.5663882144364432</v>
      </c>
      <c r="DX65" s="216">
        <f t="shared" si="38"/>
        <v>2.5663882144364432</v>
      </c>
      <c r="DY65" s="440">
        <f t="shared" si="39"/>
        <v>8.8760770446475323</v>
      </c>
      <c r="DZ65" s="180">
        <f t="shared" si="40"/>
        <v>665920.18346256937</v>
      </c>
      <c r="EA65" s="180">
        <f t="shared" si="41"/>
        <v>166480.04586564234</v>
      </c>
      <c r="EB65" s="180">
        <f t="shared" ca="1" si="198"/>
        <v>35847.310579248238</v>
      </c>
      <c r="EC65" s="180">
        <f t="shared" ca="1" si="199"/>
        <v>92605.552329724611</v>
      </c>
      <c r="ED65" s="180">
        <f t="shared" ca="1" si="200"/>
        <v>907907.76877731888</v>
      </c>
      <c r="EE65" s="581">
        <f t="shared" si="45"/>
        <v>660880.27003034938</v>
      </c>
      <c r="EF65" s="554">
        <f t="shared" si="46"/>
        <v>165220.06750758734</v>
      </c>
      <c r="EG65" s="554">
        <f t="shared" ca="1" si="201"/>
        <v>12897.060969233838</v>
      </c>
      <c r="EH65" s="554">
        <f t="shared" ca="1" si="202"/>
        <v>33317.407503854083</v>
      </c>
      <c r="EI65" s="561">
        <f t="shared" ca="1" si="49"/>
        <v>872314.8060110244</v>
      </c>
      <c r="EJ65" s="581">
        <f t="shared" si="132"/>
        <v>5039.913432219997</v>
      </c>
      <c r="EK65" s="554">
        <f t="shared" si="133"/>
        <v>1259.9783580549993</v>
      </c>
      <c r="EL65" s="554">
        <f t="shared" ca="1" si="203"/>
        <v>22950.249610014398</v>
      </c>
      <c r="EM65" s="554">
        <f t="shared" ca="1" si="204"/>
        <v>59288.144825870528</v>
      </c>
      <c r="EN65" s="561">
        <f t="shared" ca="1" si="205"/>
        <v>35592.962766294484</v>
      </c>
      <c r="EO65" s="180">
        <f t="shared" si="50"/>
        <v>2663680.7338502775</v>
      </c>
      <c r="EP65" s="180">
        <f t="shared" si="51"/>
        <v>665920.18346256937</v>
      </c>
      <c r="EQ65" s="180">
        <f t="shared" si="52"/>
        <v>143389.24231699295</v>
      </c>
      <c r="ER65" s="180">
        <f t="shared" si="53"/>
        <v>370422.20931889844</v>
      </c>
      <c r="ES65" s="180">
        <f t="shared" si="54"/>
        <v>3843412.3689487386</v>
      </c>
      <c r="ET65" s="1482">
        <f t="shared" ca="1" si="206"/>
        <v>2643521.0801213975</v>
      </c>
      <c r="EU65" s="180">
        <f t="shared" ca="1" si="207"/>
        <v>660880.27003034938</v>
      </c>
      <c r="EV65" s="180">
        <f t="shared" ca="1" si="208"/>
        <v>51588.243876935354</v>
      </c>
      <c r="EW65" s="180">
        <f t="shared" ca="1" si="209"/>
        <v>133269.63001541633</v>
      </c>
      <c r="EX65" s="555">
        <f t="shared" ca="1" si="182"/>
        <v>3489259.224044099</v>
      </c>
      <c r="EY65" s="180">
        <f t="shared" ca="1" si="210"/>
        <v>20159.653728879988</v>
      </c>
      <c r="EZ65" s="180">
        <f t="shared" ca="1" si="211"/>
        <v>5039.913432219997</v>
      </c>
      <c r="FA65" s="180">
        <f t="shared" ca="1" si="212"/>
        <v>91800.998440057592</v>
      </c>
      <c r="FB65" s="180">
        <f t="shared" ca="1" si="213"/>
        <v>237152.57930348211</v>
      </c>
      <c r="FC65" s="180">
        <f t="shared" ca="1" si="214"/>
        <v>354153.14490463957</v>
      </c>
      <c r="FD65" s="262">
        <f>IF(AX65,IF(VLOOKUP(C65,MAIN!$L$17:$M$28,2)="Yes",VLOOKUP(CALC!B65,MAIN!$H$17:$I$20,2),0),0)</f>
        <v>0</v>
      </c>
      <c r="FE65" s="623">
        <f t="shared" si="60"/>
        <v>0</v>
      </c>
      <c r="FF65" s="535">
        <f t="shared" si="61"/>
        <v>0</v>
      </c>
      <c r="FG65" s="535">
        <f t="shared" si="62"/>
        <v>0</v>
      </c>
      <c r="FH65" s="624">
        <f t="shared" si="63"/>
        <v>0</v>
      </c>
      <c r="FI65" s="632">
        <f>IF(AX65,VLOOKUP(CALC!B65,MAIN!$H$17:$K$20,4),0)</f>
        <v>0</v>
      </c>
      <c r="FJ65" s="535">
        <f t="shared" si="64"/>
        <v>0</v>
      </c>
      <c r="FK65" s="648">
        <f t="shared" si="142"/>
        <v>0</v>
      </c>
      <c r="FL65" s="530">
        <f t="shared" ca="1" si="215"/>
        <v>0</v>
      </c>
      <c r="FM65" s="530">
        <f t="shared" ca="1" si="216"/>
        <v>0</v>
      </c>
      <c r="FN65" s="530">
        <f t="shared" ca="1" si="217"/>
        <v>0</v>
      </c>
      <c r="FO65" s="622">
        <f t="shared" ca="1" si="218"/>
        <v>0</v>
      </c>
      <c r="FP65" s="530">
        <f t="shared" ca="1" si="219"/>
        <v>0</v>
      </c>
      <c r="FQ65" s="530">
        <f t="shared" ca="1" si="220"/>
        <v>0</v>
      </c>
      <c r="FR65" s="530">
        <f t="shared" ca="1" si="221"/>
        <v>0</v>
      </c>
      <c r="FS65" s="625">
        <f t="shared" ca="1" si="222"/>
        <v>0</v>
      </c>
      <c r="FT65" s="640">
        <f ca="1">IF(AND(Assumptions!$H$71="Yes",A65&gt;=Assumptions!$H$72,A65&lt;=Assumptions!$H$73),0,IF(AND($A65&gt;=Assumptions!$C$17,$A65&lt;=Assumptions!$C$18),MAX(AZ65*(1+VLOOKUP($C65,WeatherCapacityAdjustment,2))-FL65,0),0))</f>
        <v>46560</v>
      </c>
      <c r="FU65" s="530">
        <f ca="1">IF(AND(Assumptions!$H$71="Yes",A65&gt;=Assumptions!$H$72,A65&lt;=Assumptions!$H$73),0,IF(AND($A65&gt;=Assumptions!$C$17,$A65&lt;=Assumptions!$C$18),MAX(BA65*(1+VLOOKUP($C65,WeatherCapacityAdjustment,2))-FM65,0),0))</f>
        <v>11640</v>
      </c>
      <c r="FV65" s="530">
        <f ca="1">IF(AND(Assumptions!$H$71="Yes",A65&gt;=Assumptions!$H$72,A65&lt;=Assumptions!$H$73),0,IF(AND($A65&gt;=Assumptions!$C$17,$A65&lt;=Assumptions!$C$18),MAX(BB65*(1+VLOOKUP($C65,WeatherCapacityAdjustment,2))-FN65,0),0))</f>
        <v>13968</v>
      </c>
      <c r="FW65" s="622">
        <f ca="1">IF(AND(Assumptions!$H$71="Yes",A65&gt;=Assumptions!$H$72,A65&lt;=Assumptions!$H$73),0,IF(AND($A65&gt;=Assumptions!$C$17,$A65&lt;=Assumptions!$C$18),MAX(BC65*(1+VLOOKUP($C65,WeatherCapacityAdjustment,3))-FO65,0),0))</f>
        <v>36084</v>
      </c>
      <c r="FX65" s="621">
        <f ca="1">IF(AND(Assumptions!$H$71="Yes",A65&gt;=Assumptions!$H$72,A65&lt;=Assumptions!$H$73),0,IF(ET65&gt;0,MAX(BH65*(1+VLOOKUP($C65,WeatherCapacityAdjustment,2))-FP65,0),0))</f>
        <v>186240</v>
      </c>
      <c r="FY65" s="530">
        <f ca="1">IF(AND(Assumptions!$H$71="Yes",A65&gt;=Assumptions!$H$72,A65&lt;=Assumptions!$H$73),0,IF(EU65&gt;0,MAX(BI65*(1+VLOOKUP($C65,WeatherCapacityAdjustment,3))-FQ65,0),0))</f>
        <v>46560</v>
      </c>
      <c r="FZ65" s="530">
        <f ca="1">IF(AND(Assumptions!$H$71="Yes",A65&gt;=Assumptions!$H$72,A65&lt;=Assumptions!$H$73),0,IF(EV65&gt;0,MAX(BJ65*(1+VLOOKUP($C65,WeatherCapacityAdjustment,2))-FR65,0),0))</f>
        <v>55872</v>
      </c>
      <c r="GA65" s="622">
        <f ca="1">IF(AND(Assumptions!$H$71="Yes",A65&gt;=Assumptions!$H$72,A65&lt;=Assumptions!$H$73),0,IF(EW65&gt;0,MAX(BK65*(1+VLOOKUP($C65,WeatherCapacityAdjustment,2))-FS65,0),0))</f>
        <v>144336</v>
      </c>
      <c r="GB65" s="530">
        <f t="shared" ca="1" si="65"/>
        <v>541260</v>
      </c>
      <c r="GC65" s="545">
        <f t="shared" ca="1" si="66"/>
        <v>26.117578435303734</v>
      </c>
      <c r="GD65" s="530">
        <f t="shared" ca="1" si="223"/>
        <v>14136400.503892502</v>
      </c>
      <c r="GE65" s="1485">
        <f t="shared" ca="1" si="224"/>
        <v>763174.43495999998</v>
      </c>
      <c r="GF65" s="1776">
        <f t="shared" ca="1" si="225"/>
        <v>3052697.7398399999</v>
      </c>
      <c r="GG65" s="545">
        <f t="shared" si="190"/>
        <v>2.3011968723238536</v>
      </c>
      <c r="GH65" s="622">
        <f t="shared" ca="1" si="191"/>
        <v>8781073.1138373818</v>
      </c>
      <c r="GI65" s="621">
        <f t="shared" ca="1" si="152"/>
        <v>541260</v>
      </c>
      <c r="GJ65" s="638">
        <f t="shared" si="68"/>
        <v>1.8360000000000001</v>
      </c>
      <c r="GK65" s="625">
        <f t="shared" ca="1" si="166"/>
        <v>993753.36</v>
      </c>
      <c r="GL65" s="640">
        <f t="shared" ca="1" si="226"/>
        <v>0</v>
      </c>
      <c r="GM65" s="530">
        <f t="shared" ca="1" si="227"/>
        <v>0</v>
      </c>
      <c r="GN65" s="530">
        <f t="shared" ca="1" si="228"/>
        <v>0</v>
      </c>
      <c r="GO65" s="622">
        <f t="shared" ca="1" si="229"/>
        <v>0</v>
      </c>
      <c r="GP65" s="530">
        <f t="shared" ca="1" si="73"/>
        <v>0</v>
      </c>
      <c r="GQ65" s="545">
        <f t="shared" ca="1" si="74"/>
        <v>0</v>
      </c>
      <c r="GR65" s="625">
        <f t="shared" ca="1" si="230"/>
        <v>0</v>
      </c>
      <c r="GS65" s="640">
        <f>IF($A65&gt;=BegDate,Assumptions!$C$56*24*($A66-$A65)*(1-VLOOKUP($B65,MAIN!$AA$7:$AM$28,$C65+1))*(1-VLOOKUP($B65,MAIN!$AA$33:$AM$54,$C65+1)),0)*80/168</f>
        <v>257742.85714285713</v>
      </c>
      <c r="GT65" s="1715">
        <f t="shared" si="153"/>
        <v>32.253555801167998</v>
      </c>
      <c r="GU65" s="1715">
        <f>IF($A65&gt;=BegDate,VLOOKUP($A65,GasTable,13)+Assumptions!$C$58,0)</f>
        <v>2.3011968723238536</v>
      </c>
      <c r="GV65" s="1715">
        <f>GU65*Assumptions!$C$57/1000</f>
        <v>16.68367732434794</v>
      </c>
      <c r="GW65" s="625">
        <f>IF(Assumptions!$C$60="Hourly",MAX(0,GS65*(GT65-GV65)),GS65*(GT65-GV65))</f>
        <v>4013024.963982678</v>
      </c>
      <c r="GX65" s="640">
        <f>IF($A65&gt;=BegDate,Assumptions!$C$56*24*($A66-$A65)*(1-VLOOKUP($B65,MAIN!$AA$7:$AM$28,$C65+1))*(1-VLOOKUP($B65,MAIN!$AA$33:$AM$54,$C65+1)),0)*16/168</f>
        <v>51548.571428571428</v>
      </c>
      <c r="GY65" s="1715">
        <f t="shared" si="154"/>
        <v>32.253555801167998</v>
      </c>
      <c r="GZ65" s="1715">
        <f>IF($A65&gt;=BegDate,VLOOKUP($A65,GasTable,13)+Assumptions!$C$58,0)</f>
        <v>2.3011968723238536</v>
      </c>
      <c r="HA65" s="1715">
        <f>GZ65*Assumptions!$C$57/1000</f>
        <v>16.68367732434794</v>
      </c>
      <c r="HB65" s="625">
        <f>IF(Assumptions!$C$60="Hourly",MAX(0,GX65*(GY65-HA65)),GX65*(GY65-HA65))</f>
        <v>802604.99279653572</v>
      </c>
      <c r="HC65" s="640">
        <f>IF($A65&gt;=BegDate,Assumptions!$C$56*24*($A66-$A65)*(1-VLOOKUP($B65,MAIN!$AA$7:$AM$28,$C65+1))*(1-VLOOKUP($B65,MAIN!$AA$33:$AM$54,$C65+1)),0)*16/168</f>
        <v>51548.571428571428</v>
      </c>
      <c r="HD65" s="1715">
        <f t="shared" si="155"/>
        <v>18.982721033135999</v>
      </c>
      <c r="HE65" s="1715">
        <f>IF($A65&gt;=BegDate,VLOOKUP($A65,GasTable,13)+Assumptions!$C$58,0)</f>
        <v>2.3011968723238536</v>
      </c>
      <c r="HF65" s="1715">
        <f>HE65*Assumptions!$C$57/1000</f>
        <v>16.68367732434794</v>
      </c>
      <c r="HG65" s="625">
        <f>IF(Assumptions!$C$60="Hourly",MAX(0,HC65*(HD65-HF65)),HC65*(HD65-HF65))</f>
        <v>118512.418839869</v>
      </c>
      <c r="HH65" s="640">
        <f>IF($A65&gt;=BegDate,Assumptions!$C$56*24*($A66-$A65)*(1-VLOOKUP($B65,MAIN!$AA$7:$AM$28,$C65+1))*(1-VLOOKUP($B65,MAIN!$AA$33:$AM$54,$C65+1)),0)*56/168</f>
        <v>180420</v>
      </c>
      <c r="HI65" s="1715">
        <f t="shared" si="156"/>
        <v>18.982721033135999</v>
      </c>
      <c r="HJ65" s="1715">
        <f>IF($A65&gt;=BegDate,VLOOKUP($A65,GasTable,13)+Assumptions!$C$58,0)</f>
        <v>2.3011968723238536</v>
      </c>
      <c r="HK65" s="1715">
        <f>HJ65*Assumptions!$C$57/1000</f>
        <v>16.68367732434794</v>
      </c>
      <c r="HL65" s="625">
        <f>IF(Assumptions!$C$60="Hourly",MAX(0,HH65*(HI65-HK65)),HH65*(HI65-HK65))</f>
        <v>414793.46593954152</v>
      </c>
      <c r="HM65" s="640">
        <f>IF(AND(Assumptions!$H$71="Yes",A65&gt;=Assumptions!$H$72,A65&lt;=Assumptions!$H$73),Assumptions!$H$74*Assumptions!$C$9*1000,0)</f>
        <v>0</v>
      </c>
      <c r="HN65" s="530"/>
      <c r="HO65" s="545"/>
      <c r="HP65" s="545"/>
      <c r="HQ65" s="545"/>
      <c r="HR65" s="545"/>
      <c r="HS65" s="545"/>
      <c r="HT65" s="545"/>
      <c r="HU65" s="545"/>
      <c r="HV65" s="545"/>
      <c r="HW65" s="545"/>
      <c r="HX65" s="545"/>
      <c r="HY65" s="545"/>
      <c r="HZ65" s="545"/>
      <c r="IA65" s="545"/>
      <c r="IB65" s="545"/>
      <c r="IC65" s="545"/>
      <c r="ID65" s="545"/>
      <c r="IE65" s="545"/>
      <c r="IF65" s="545"/>
      <c r="IG65" s="545"/>
      <c r="IH65" s="545"/>
      <c r="II65" s="1464"/>
      <c r="IJ65" s="1463"/>
      <c r="IK65" s="1463"/>
    </row>
    <row r="66" spans="1:245">
      <c r="A66" s="177">
        <f t="shared" si="87"/>
        <v>38139</v>
      </c>
      <c r="B66" s="349">
        <f t="shared" si="88"/>
        <v>2004</v>
      </c>
      <c r="C66" s="15">
        <f t="shared" si="89"/>
        <v>6</v>
      </c>
      <c r="D66" s="612" t="str">
        <f t="shared" si="90"/>
        <v/>
      </c>
      <c r="E66" s="609">
        <f t="shared" si="91"/>
        <v>38139</v>
      </c>
      <c r="F66" s="614">
        <f t="shared" si="2"/>
        <v>38168</v>
      </c>
      <c r="G66" s="1349">
        <v>0</v>
      </c>
      <c r="H66" s="152">
        <f t="shared" si="165"/>
        <v>1</v>
      </c>
      <c r="I66" s="154">
        <f>IF(Assumptions!$L$25=4,VLOOKUP($A66,'Henwood Reference'!$E$9:$R$320,10),(VLOOKUP($A66,PriceTable,2,0)+IF(BasisNumber&lt;&gt;1,VLOOKUP($A66,BasisTable,2,0),0)+I$1)/(1-I$2))</f>
        <v>30.358000602575999</v>
      </c>
      <c r="J66" s="154">
        <f>IF(Assumptions!$L$25=4,VLOOKUP($A66,'Henwood Reference'!$E$9:$R$320,10),(VLOOKUP($A66,PriceTable,3,0)+IF(BasisNumber&lt;&gt;1,VLOOKUP($A66,BasisTable,2,0),0)+J$1)/(1-J$2))</f>
        <v>30.358000602575999</v>
      </c>
      <c r="K66" s="154">
        <f>IF(Assumptions!$L$25=4,VLOOKUP($A66,'Henwood Reference'!$E$9:$R$320,10),(VLOOKUP($A66,PriceTable,4,0)+IF(BasisNumber&lt;&gt;1,VLOOKUP($A66,BasisTable,2,0),0)+K$1)/(1-K$2))</f>
        <v>30.358000602575999</v>
      </c>
      <c r="L66" s="474">
        <f>IF(Assumptions!$L$25=4,VLOOKUP($A66,'Henwood Reference'!$E$9:$R$320,10),(VLOOKUP($A66,PriceTableWeekend,2,0)+IF(BasisNumber&lt;&gt;1,VLOOKUP($A66,BasisTable,2,0),0)+L$1)/(1-L$2))</f>
        <v>30.358000602575999</v>
      </c>
      <c r="M66" s="154">
        <f>IF(Assumptions!$L$25=4,VLOOKUP($A66,'Henwood Reference'!$E$9:$R$320,10),(VLOOKUP($A66,PriceTableWeekend,3,0)+IF(BasisNumber&lt;&gt;1,VLOOKUP($A66,BasisTable,2,0),0)+M$1)/(1-M$2))</f>
        <v>30.358000602575999</v>
      </c>
      <c r="N66" s="156">
        <f>IF(Assumptions!$L$25=4,VLOOKUP($A66,'Henwood Reference'!$E$9:$R$320,10),(VLOOKUP($A66,PriceTableWeekend,4,0)+IF(BasisNumber&lt;&gt;1,VLOOKUP($A66,BasisTable,2,0),0)+N$1)/(1-N$2))</f>
        <v>30.358000602575999</v>
      </c>
      <c r="O66" s="154">
        <f>IF(Assumptions!$L$25=4,VLOOKUP($A66,'Henwood Reference'!$E$9:$R$320,11),(VLOOKUP($A66,PriceTableWeekend,6,0)+IF(BasisNumber&lt;&gt;1,VLOOKUP($A66,BasisTable,3,0),0)+O$1)/(1-O$2))</f>
        <v>16.81937211816</v>
      </c>
      <c r="P66" s="154">
        <f>IF(Assumptions!$L$25=4,VLOOKUP($A66,'Henwood Reference'!$E$9:$R$320,11),(VLOOKUP($A66,PriceTableWeekend,7,0)+IF(BasisNumber&lt;&gt;1,VLOOKUP($A66,BasisTable,3,0),0)+P$1)/(1-P$2))</f>
        <v>16.81937211816</v>
      </c>
      <c r="Q66" s="156">
        <f>IF(Assumptions!$L$25=4,VLOOKUP($A66,'Henwood Reference'!$E$9:$R$320,11),(VLOOKUP($A66,PriceTableWeekend,8,0)+IF(BasisNumber&lt;&gt;1,VLOOKUP($A66,BasisTable,3,0),0)+Q$1)/(1-Q$2))</f>
        <v>16.81937211816</v>
      </c>
      <c r="R66" s="154">
        <f>IF(Assumptions!$L$25=4,VLOOKUP($A66,'Henwood Reference'!$E$9:$R$320,11),(VLOOKUP($A66,PriceTable,6,0)+IF(BasisNumber&lt;&gt;1,VLOOKUP($A66,BasisTable,3,0),0)+R$1)/(1-R$2))</f>
        <v>16.81937211816</v>
      </c>
      <c r="S66" s="154">
        <f>IF(Assumptions!$L$25=4,VLOOKUP($A66,'Henwood Reference'!$E$9:$R$320,11),(VLOOKUP($A66,PriceTable,7,0)+IF(BasisNumber&lt;&gt;1,VLOOKUP($A66,BasisTable,3,0),0)+S$1)/(1-S$2))</f>
        <v>16.81937211816</v>
      </c>
      <c r="T66" s="155">
        <f>IF(Assumptions!$L$25=4,VLOOKUP($A66,'Henwood Reference'!$E$9:$R$320,11),(VLOOKUP($A66,PriceTable,8,0)+IF(BasisNumber&lt;&gt;1,VLOOKUP($A66,BasisTable,3,0),0)+T$1)/(1-T$2))</f>
        <v>16.81937211816</v>
      </c>
      <c r="U66" s="173">
        <f t="shared" si="92"/>
        <v>0.15</v>
      </c>
      <c r="V66" s="173">
        <f t="shared" si="93"/>
        <v>0.16</v>
      </c>
      <c r="W66" s="174">
        <f t="shared" si="94"/>
        <v>0.17</v>
      </c>
      <c r="X66" s="173">
        <f t="shared" si="95"/>
        <v>0.15</v>
      </c>
      <c r="Y66" s="173">
        <f t="shared" si="96"/>
        <v>0.16</v>
      </c>
      <c r="Z66" s="174">
        <f t="shared" si="97"/>
        <v>0.17</v>
      </c>
      <c r="AA66" s="173">
        <f t="shared" si="98"/>
        <v>0.09</v>
      </c>
      <c r="AB66" s="173">
        <f t="shared" si="99"/>
        <v>0.11</v>
      </c>
      <c r="AC66" s="174">
        <f t="shared" si="100"/>
        <v>0.13</v>
      </c>
      <c r="AD66" s="173">
        <f t="shared" si="101"/>
        <v>0.09</v>
      </c>
      <c r="AE66" s="173">
        <f t="shared" si="102"/>
        <v>0.11</v>
      </c>
      <c r="AF66" s="174">
        <f t="shared" si="103"/>
        <v>0.13</v>
      </c>
      <c r="AG66" s="173">
        <f t="shared" si="104"/>
        <v>-0.35</v>
      </c>
      <c r="AH66" s="173">
        <f t="shared" si="105"/>
        <v>0.65</v>
      </c>
      <c r="AI66" s="174">
        <f t="shared" si="106"/>
        <v>0.2</v>
      </c>
      <c r="AJ66" s="173">
        <f t="shared" si="107"/>
        <v>-0.35</v>
      </c>
      <c r="AK66" s="173">
        <f t="shared" si="108"/>
        <v>0.65</v>
      </c>
      <c r="AL66" s="174">
        <f t="shared" si="109"/>
        <v>0.2</v>
      </c>
      <c r="AM66" s="173">
        <f t="shared" si="110"/>
        <v>-0.01</v>
      </c>
      <c r="AN66" s="173">
        <f t="shared" si="111"/>
        <v>0.16</v>
      </c>
      <c r="AO66" s="174">
        <f t="shared" si="112"/>
        <v>0.01</v>
      </c>
      <c r="AP66" s="173">
        <f t="shared" si="113"/>
        <v>-0.01</v>
      </c>
      <c r="AQ66" s="173">
        <f t="shared" si="114"/>
        <v>0.16</v>
      </c>
      <c r="AR66" s="175">
        <f t="shared" si="115"/>
        <v>0.01</v>
      </c>
      <c r="AS66" s="521">
        <f t="shared" ref="AS66:AS81" si="231">IF(CorrPeakOffPeakOverFlag,INDEX(CorrPeakOffPeakOver,C66),CorrPeakOffPeak)</f>
        <v>0.5</v>
      </c>
      <c r="AT66" s="349">
        <f t="shared" si="117"/>
        <v>22</v>
      </c>
      <c r="AU66" s="159">
        <f t="shared" si="3"/>
        <v>4</v>
      </c>
      <c r="AV66" s="159">
        <f t="shared" si="4"/>
        <v>4</v>
      </c>
      <c r="AW66" s="159">
        <f t="shared" ref="AW66:AW81" si="232">IF(OR(E66="",D66="",D66&lt;BegDate,D66&gt;EndDate),0,1)</f>
        <v>0</v>
      </c>
      <c r="AX66" s="15">
        <f t="shared" si="119"/>
        <v>30</v>
      </c>
      <c r="AY66" s="607">
        <f>IF(E66="",0,MIN((1-(1-VLOOKUP(B66,MAIN!$AA$7:$AM$28,C66+1))*(1-VLOOKUP(B66,MAIN!$AA$33:$AM$54,C66+1))),1))</f>
        <v>3.0000000000000027E-2</v>
      </c>
      <c r="AZ66" s="337">
        <v>51216</v>
      </c>
      <c r="BA66" s="509">
        <v>9312</v>
      </c>
      <c r="BB66" s="509">
        <v>9312</v>
      </c>
      <c r="BC66" s="511">
        <v>34920</v>
      </c>
      <c r="BD66" s="153">
        <v>0.97000000722706314</v>
      </c>
      <c r="BE66" s="474">
        <v>0.97000000722706314</v>
      </c>
      <c r="BF66" s="474">
        <v>0.97000000722706314</v>
      </c>
      <c r="BG66" s="515">
        <v>0.97000000722706314</v>
      </c>
      <c r="BH66" s="262">
        <v>204864</v>
      </c>
      <c r="BI66" s="509">
        <v>37248</v>
      </c>
      <c r="BJ66" s="509">
        <v>37248</v>
      </c>
      <c r="BK66" s="511">
        <v>139680</v>
      </c>
      <c r="BL66" s="153">
        <v>0.97000000722706314</v>
      </c>
      <c r="BM66" s="474">
        <v>0.97000000722706314</v>
      </c>
      <c r="BN66" s="474">
        <v>0.97000000722706314</v>
      </c>
      <c r="BO66" s="474">
        <v>0.97000000722706314</v>
      </c>
      <c r="BP66" s="261">
        <f t="shared" si="120"/>
        <v>69840</v>
      </c>
      <c r="BQ66" s="578">
        <f t="shared" si="121"/>
        <v>104760</v>
      </c>
      <c r="BR66" s="259">
        <f t="shared" si="122"/>
        <v>279360</v>
      </c>
      <c r="BS66" s="578">
        <f t="shared" si="123"/>
        <v>419040</v>
      </c>
      <c r="BT66" s="216">
        <f t="shared" si="124"/>
        <v>4.131416837782341</v>
      </c>
      <c r="BU66" s="218">
        <f t="shared" si="5"/>
        <v>30.35800082876073</v>
      </c>
      <c r="BV66" s="216">
        <f t="shared" si="6"/>
        <v>30.35800082876073</v>
      </c>
      <c r="BW66" s="216">
        <f t="shared" si="7"/>
        <v>16.819372243474088</v>
      </c>
      <c r="BX66" s="216">
        <f t="shared" si="125"/>
        <v>16.819372243474088</v>
      </c>
      <c r="BY66" s="216">
        <f t="shared" si="8"/>
        <v>28.552850350722508</v>
      </c>
      <c r="BZ66" s="216">
        <f t="shared" si="9"/>
        <v>24.641690981639702</v>
      </c>
      <c r="CA66" s="264">
        <f t="shared" si="10"/>
        <v>30.35800082876073</v>
      </c>
      <c r="CB66" s="216">
        <f t="shared" si="11"/>
        <v>30.35800082876073</v>
      </c>
      <c r="CC66" s="216">
        <f t="shared" si="12"/>
        <v>16.819372243474088</v>
      </c>
      <c r="CD66" s="216">
        <f t="shared" si="126"/>
        <v>16.819372243474088</v>
      </c>
      <c r="CE66" s="216">
        <f t="shared" si="13"/>
        <v>28.552850350722508</v>
      </c>
      <c r="CF66" s="571">
        <f t="shared" si="14"/>
        <v>24.641690981639702</v>
      </c>
      <c r="CG66" s="573">
        <f t="shared" si="15"/>
        <v>0.16</v>
      </c>
      <c r="CH66" s="219">
        <f t="shared" si="16"/>
        <v>0.16</v>
      </c>
      <c r="CI66" s="219">
        <f t="shared" si="17"/>
        <v>0.11</v>
      </c>
      <c r="CJ66" s="219">
        <f t="shared" si="18"/>
        <v>0.15613097066038686</v>
      </c>
      <c r="CK66" s="219">
        <f t="shared" si="19"/>
        <v>0.15613097066038686</v>
      </c>
      <c r="CL66" s="219">
        <f t="shared" si="20"/>
        <v>0.11</v>
      </c>
      <c r="CM66" s="219">
        <f t="shared" si="21"/>
        <v>0.13530977747991435</v>
      </c>
      <c r="CN66" s="569">
        <f t="shared" si="22"/>
        <v>0.13530977747991435</v>
      </c>
      <c r="CO66" s="264">
        <f t="shared" si="175"/>
        <v>16.398623776160452</v>
      </c>
      <c r="CP66" s="216">
        <f t="shared" si="127"/>
        <v>16.398623776160452</v>
      </c>
      <c r="CQ66" s="216">
        <f t="shared" ca="1" si="192"/>
        <v>21.083944855063439</v>
      </c>
      <c r="CR66" s="216">
        <f t="shared" ca="1" si="193"/>
        <v>21.083944855063439</v>
      </c>
      <c r="CS66" s="1626">
        <f t="shared" ca="1" si="194"/>
        <v>18.376870453919491</v>
      </c>
      <c r="CT66" s="216">
        <f t="shared" si="131"/>
        <v>16.398623776160452</v>
      </c>
      <c r="CU66" s="575">
        <f t="shared" si="23"/>
        <v>0.17499999999999999</v>
      </c>
      <c r="CV66" s="154">
        <f t="shared" si="24"/>
        <v>0.5</v>
      </c>
      <c r="CW66" s="216">
        <f>IF(OR($BQ66,$BS66),SpreadOptPowerMargin,0)*((1+Assumptions!$C$26)^($B66-YEAR(Assumptions!$C$17)))</f>
        <v>1.8360000000000001</v>
      </c>
      <c r="CX66" s="216">
        <f>IF(OR($BQ66,$BS66),SpreadOptPowerMargin,0)*((1+Assumptions!$C$26)^($B66-YEAR(Assumptions!$C$17)))</f>
        <v>1.8360000000000001</v>
      </c>
      <c r="CY66" s="216">
        <f>IF(OR($BQ66,$BS66),SpreadOptPowerMargin,0)*((1+Assumptions!$C$26)^($B66-YEAR(Assumptions!$C$17)))</f>
        <v>1.8360000000000001</v>
      </c>
      <c r="CZ66" s="216">
        <f>IF(OR($BQ66,$BS66),SpreadOptPowerMargin,0)*((1+Assumptions!$C$26)^($B66-YEAR(Assumptions!$C$17)))</f>
        <v>1.8360000000000001</v>
      </c>
      <c r="DA66" s="440">
        <f t="shared" si="25"/>
        <v>1.8360000000000001</v>
      </c>
      <c r="DB66" s="479">
        <f t="shared" si="26"/>
        <v>0.16</v>
      </c>
      <c r="DC66" s="479">
        <f t="shared" si="27"/>
        <v>0.16</v>
      </c>
      <c r="DD66" s="479">
        <f t="shared" si="28"/>
        <v>0.11</v>
      </c>
      <c r="DE66" s="479">
        <f t="shared" si="29"/>
        <v>0.11</v>
      </c>
      <c r="DF66" s="479">
        <f t="shared" si="30"/>
        <v>0.13530977747991435</v>
      </c>
      <c r="DG66" s="574">
        <f t="shared" si="31"/>
        <v>0.13530977747991435</v>
      </c>
      <c r="DH66" s="216">
        <f t="shared" si="32"/>
        <v>12.311687768059508</v>
      </c>
      <c r="DI66" s="216">
        <f t="shared" si="33"/>
        <v>12.311687768059508</v>
      </c>
      <c r="DJ66" s="216">
        <f t="shared" ca="1" si="195"/>
        <v>0.39877772506167986</v>
      </c>
      <c r="DK66" s="216">
        <f t="shared" ca="1" si="196"/>
        <v>0.39877772506167986</v>
      </c>
      <c r="DL66" s="216">
        <f t="shared" ca="1" si="197"/>
        <v>5.467945540950188</v>
      </c>
      <c r="DM66" s="216"/>
      <c r="DN66" s="216"/>
      <c r="DO66" s="216"/>
      <c r="DP66" s="216"/>
      <c r="DQ66" s="216"/>
      <c r="DR66" s="216"/>
      <c r="DS66" s="216"/>
      <c r="DT66" s="216"/>
      <c r="DU66" s="216"/>
      <c r="DV66" s="216"/>
      <c r="DW66" s="1371">
        <f t="shared" si="37"/>
        <v>1.3450059431184049</v>
      </c>
      <c r="DX66" s="216">
        <f t="shared" si="38"/>
        <v>1.3450059431184049</v>
      </c>
      <c r="DY66" s="440">
        <f t="shared" si="39"/>
        <v>7.6813109975288212</v>
      </c>
      <c r="DZ66" s="180">
        <f t="shared" si="40"/>
        <v>630555.40072893584</v>
      </c>
      <c r="EA66" s="180">
        <f t="shared" si="41"/>
        <v>114646.43649617014</v>
      </c>
      <c r="EB66" s="180">
        <f t="shared" ca="1" si="198"/>
        <v>3713.4181757743627</v>
      </c>
      <c r="EC66" s="180">
        <f t="shared" ca="1" si="199"/>
        <v>13925.318159153861</v>
      </c>
      <c r="ED66" s="180">
        <f t="shared" ca="1" si="200"/>
        <v>572821.97486994171</v>
      </c>
      <c r="EE66" s="581">
        <f t="shared" si="45"/>
        <v>620910.87912597589</v>
      </c>
      <c r="EF66" s="554">
        <f t="shared" si="46"/>
        <v>112892.88711381381</v>
      </c>
      <c r="EG66" s="554">
        <f t="shared" ca="1" si="201"/>
        <v>0</v>
      </c>
      <c r="EH66" s="554">
        <f t="shared" ca="1" si="202"/>
        <v>0</v>
      </c>
      <c r="EI66" s="561">
        <f t="shared" ca="1" si="49"/>
        <v>463963.23848396947</v>
      </c>
      <c r="EJ66" s="581">
        <f t="shared" si="132"/>
        <v>9644.5216029599542</v>
      </c>
      <c r="EK66" s="554">
        <f t="shared" si="133"/>
        <v>1753.5493823563302</v>
      </c>
      <c r="EL66" s="554">
        <f t="shared" ca="1" si="203"/>
        <v>3713.4181757743627</v>
      </c>
      <c r="EM66" s="554">
        <f t="shared" ca="1" si="204"/>
        <v>13925.318159153861</v>
      </c>
      <c r="EN66" s="561">
        <f t="shared" ca="1" si="205"/>
        <v>108858.73638597224</v>
      </c>
      <c r="EO66" s="180">
        <f t="shared" si="50"/>
        <v>2522221.6029157434</v>
      </c>
      <c r="EP66" s="180">
        <f t="shared" si="51"/>
        <v>458585.74598468054</v>
      </c>
      <c r="EQ66" s="180">
        <f t="shared" si="52"/>
        <v>50098.781369274344</v>
      </c>
      <c r="ER66" s="180">
        <f t="shared" si="53"/>
        <v>187870.43013477881</v>
      </c>
      <c r="ES66" s="180">
        <f t="shared" si="54"/>
        <v>3218776.5604044772</v>
      </c>
      <c r="ET66" s="1482">
        <f t="shared" ca="1" si="206"/>
        <v>2483643.5165039035</v>
      </c>
      <c r="EU66" s="180">
        <f t="shared" ca="1" si="207"/>
        <v>451571.54845525522</v>
      </c>
      <c r="EV66" s="180">
        <f t="shared" ca="1" si="208"/>
        <v>0</v>
      </c>
      <c r="EW66" s="180">
        <f t="shared" ca="1" si="209"/>
        <v>0</v>
      </c>
      <c r="EX66" s="555">
        <f t="shared" ca="1" si="182"/>
        <v>2935215.0649591587</v>
      </c>
      <c r="EY66" s="180">
        <f t="shared" ca="1" si="210"/>
        <v>38578.086411839817</v>
      </c>
      <c r="EZ66" s="180">
        <f t="shared" ca="1" si="211"/>
        <v>7014.1975294253207</v>
      </c>
      <c r="FA66" s="180">
        <f t="shared" ca="1" si="212"/>
        <v>50098.781369274344</v>
      </c>
      <c r="FB66" s="180">
        <f t="shared" ca="1" si="213"/>
        <v>187870.43013477881</v>
      </c>
      <c r="FC66" s="180">
        <f t="shared" ca="1" si="214"/>
        <v>283561.49544531852</v>
      </c>
      <c r="FD66" s="262">
        <f>IF(AX66,IF(VLOOKUP(C66,MAIN!$L$17:$M$28,2)="Yes",VLOOKUP(CALC!B66,MAIN!$H$17:$I$20,2),0),0)</f>
        <v>0</v>
      </c>
      <c r="FE66" s="623">
        <f t="shared" si="60"/>
        <v>0</v>
      </c>
      <c r="FF66" s="535">
        <f t="shared" si="61"/>
        <v>0</v>
      </c>
      <c r="FG66" s="535">
        <f t="shared" si="62"/>
        <v>0</v>
      </c>
      <c r="FH66" s="624">
        <f t="shared" si="63"/>
        <v>0</v>
      </c>
      <c r="FI66" s="632">
        <f>IF(AX66,VLOOKUP(CALC!B66,MAIN!$H$17:$K$20,4),0)</f>
        <v>0</v>
      </c>
      <c r="FJ66" s="535">
        <f t="shared" si="64"/>
        <v>0</v>
      </c>
      <c r="FK66" s="648">
        <f t="shared" si="142"/>
        <v>0</v>
      </c>
      <c r="FL66" s="530">
        <f t="shared" ca="1" si="215"/>
        <v>0</v>
      </c>
      <c r="FM66" s="530">
        <f t="shared" ca="1" si="216"/>
        <v>0</v>
      </c>
      <c r="FN66" s="530">
        <f t="shared" ca="1" si="217"/>
        <v>0</v>
      </c>
      <c r="FO66" s="622">
        <f t="shared" ca="1" si="218"/>
        <v>0</v>
      </c>
      <c r="FP66" s="530">
        <f t="shared" ca="1" si="219"/>
        <v>0</v>
      </c>
      <c r="FQ66" s="530">
        <f t="shared" ca="1" si="220"/>
        <v>0</v>
      </c>
      <c r="FR66" s="530">
        <f t="shared" ca="1" si="221"/>
        <v>0</v>
      </c>
      <c r="FS66" s="625">
        <f t="shared" ca="1" si="222"/>
        <v>0</v>
      </c>
      <c r="FT66" s="640">
        <f ca="1">IF(AND(Assumptions!$H$71="Yes",A66&gt;=Assumptions!$H$72,A66&lt;=Assumptions!$H$73),0,IF(AND($A66&gt;=Assumptions!$C$17,$A66&lt;=Assumptions!$C$18),MAX(AZ66*(1+VLOOKUP($C66,WeatherCapacityAdjustment,2))-FL66,0),0))</f>
        <v>51216</v>
      </c>
      <c r="FU66" s="530">
        <f ca="1">IF(AND(Assumptions!$H$71="Yes",A66&gt;=Assumptions!$H$72,A66&lt;=Assumptions!$H$73),0,IF(AND($A66&gt;=Assumptions!$C$17,$A66&lt;=Assumptions!$C$18),MAX(BA66*(1+VLOOKUP($C66,WeatherCapacityAdjustment,2))-FM66,0),0))</f>
        <v>9312</v>
      </c>
      <c r="FV66" s="530">
        <f ca="1">IF(AND(Assumptions!$H$71="Yes",A66&gt;=Assumptions!$H$72,A66&lt;=Assumptions!$H$73),0,IF(AND($A66&gt;=Assumptions!$C$17,$A66&lt;=Assumptions!$C$18),MAX(BB66*(1+VLOOKUP($C66,WeatherCapacityAdjustment,2))-FN66,0),0))</f>
        <v>9312</v>
      </c>
      <c r="FW66" s="622">
        <f ca="1">IF(AND(Assumptions!$H$71="Yes",A66&gt;=Assumptions!$H$72,A66&lt;=Assumptions!$H$73),0,IF(AND($A66&gt;=Assumptions!$C$17,$A66&lt;=Assumptions!$C$18),MAX(BC66*(1+VLOOKUP($C66,WeatherCapacityAdjustment,3))-FO66,0),0))</f>
        <v>34920</v>
      </c>
      <c r="FX66" s="621">
        <f ca="1">IF(AND(Assumptions!$H$71="Yes",A66&gt;=Assumptions!$H$72,A66&lt;=Assumptions!$H$73),0,IF(ET66&gt;0,MAX(BH66*(1+VLOOKUP($C66,WeatherCapacityAdjustment,2))-FP66,0),0))</f>
        <v>204864</v>
      </c>
      <c r="FY66" s="530">
        <f ca="1">IF(AND(Assumptions!$H$71="Yes",A66&gt;=Assumptions!$H$72,A66&lt;=Assumptions!$H$73),0,IF(EU66&gt;0,MAX(BI66*(1+VLOOKUP($C66,WeatherCapacityAdjustment,3))-FQ66,0),0))</f>
        <v>37248</v>
      </c>
      <c r="FZ66" s="530">
        <f ca="1">IF(AND(Assumptions!$H$71="Yes",A66&gt;=Assumptions!$H$72,A66&lt;=Assumptions!$H$73),0,IF(EV66&gt;0,MAX(BJ66*(1+VLOOKUP($C66,WeatherCapacityAdjustment,2))-FR66,0),0))</f>
        <v>0</v>
      </c>
      <c r="GA66" s="622">
        <f ca="1">IF(AND(Assumptions!$H$71="Yes",A66&gt;=Assumptions!$H$72,A66&lt;=Assumptions!$H$73),0,IF(EW66&gt;0,MAX(BK66*(1+VLOOKUP($C66,WeatherCapacityAdjustment,2))-FS66,0),0))</f>
        <v>0</v>
      </c>
      <c r="GB66" s="530">
        <f t="shared" ca="1" si="65"/>
        <v>346872</v>
      </c>
      <c r="GC66" s="545">
        <f t="shared" ca="1" si="66"/>
        <v>28.631598525938944</v>
      </c>
      <c r="GD66" s="530">
        <f t="shared" ca="1" si="223"/>
        <v>9931499.8438894935</v>
      </c>
      <c r="GE66" s="1485">
        <f t="shared" ca="1" si="224"/>
        <v>827996.68703999999</v>
      </c>
      <c r="GF66" s="1776">
        <f t="shared" ca="1" si="225"/>
        <v>1707596.5670400001</v>
      </c>
      <c r="GG66" s="545">
        <f t="shared" si="190"/>
        <v>2.3250829126319954</v>
      </c>
      <c r="GH66" s="622">
        <f t="shared" ca="1" si="191"/>
        <v>5895464.5484463666</v>
      </c>
      <c r="GI66" s="621">
        <f t="shared" ca="1" si="152"/>
        <v>346872</v>
      </c>
      <c r="GJ66" s="638">
        <f t="shared" si="68"/>
        <v>1.8360000000000001</v>
      </c>
      <c r="GK66" s="625">
        <f t="shared" ca="1" si="166"/>
        <v>636856.99199999997</v>
      </c>
      <c r="GL66" s="640">
        <f t="shared" ca="1" si="226"/>
        <v>0</v>
      </c>
      <c r="GM66" s="530">
        <f t="shared" ca="1" si="227"/>
        <v>0</v>
      </c>
      <c r="GN66" s="530">
        <f t="shared" ca="1" si="228"/>
        <v>0</v>
      </c>
      <c r="GO66" s="622">
        <f t="shared" ca="1" si="229"/>
        <v>0</v>
      </c>
      <c r="GP66" s="530">
        <f t="shared" ca="1" si="73"/>
        <v>0</v>
      </c>
      <c r="GQ66" s="545">
        <f t="shared" ca="1" si="74"/>
        <v>0</v>
      </c>
      <c r="GR66" s="625">
        <f t="shared" ca="1" si="230"/>
        <v>0</v>
      </c>
      <c r="GS66" s="640">
        <f>IF($A66&gt;=BegDate,Assumptions!$C$56*24*($A67-$A66)*(1-VLOOKUP($B66,MAIN!$AA$7:$AM$28,$C66+1))*(1-VLOOKUP($B66,MAIN!$AA$33:$AM$54,$C66+1)),0)*80/168</f>
        <v>249428.57142857142</v>
      </c>
      <c r="GT66" s="1715">
        <f t="shared" si="153"/>
        <v>30.358000602575999</v>
      </c>
      <c r="GU66" s="1715">
        <f>IF($A66&gt;=BegDate,VLOOKUP($A66,GasTable,13)+Assumptions!$C$58,0)</f>
        <v>2.3250829126319954</v>
      </c>
      <c r="GV66" s="1715">
        <f>GU66*Assumptions!$C$57/1000</f>
        <v>16.856851116581964</v>
      </c>
      <c r="GW66" s="625">
        <f>IF(Assumptions!$C$60="Hourly",MAX(0,GS66*(GT66-GV66)),GS66*(GT66-GV66))</f>
        <v>3367572.4289350831</v>
      </c>
      <c r="GX66" s="640">
        <f>IF($A66&gt;=BegDate,Assumptions!$C$56*24*($A67-$A66)*(1-VLOOKUP($B66,MAIN!$AA$7:$AM$28,$C66+1))*(1-VLOOKUP($B66,MAIN!$AA$33:$AM$54,$C66+1)),0)*16/168</f>
        <v>49885.714285714283</v>
      </c>
      <c r="GY66" s="1715">
        <f t="shared" si="154"/>
        <v>30.358000602575999</v>
      </c>
      <c r="GZ66" s="1715">
        <f>IF($A66&gt;=BegDate,VLOOKUP($A66,GasTable,13)+Assumptions!$C$58,0)</f>
        <v>2.3250829126319954</v>
      </c>
      <c r="HA66" s="1715">
        <f>GZ66*Assumptions!$C$57/1000</f>
        <v>16.856851116581964</v>
      </c>
      <c r="HB66" s="625">
        <f>IF(Assumptions!$C$60="Hourly",MAX(0,GX66*(GY66-HA66)),GX66*(GY66-HA66))</f>
        <v>673514.48578701669</v>
      </c>
      <c r="HC66" s="640">
        <f>IF($A66&gt;=BegDate,Assumptions!$C$56*24*($A67-$A66)*(1-VLOOKUP($B66,MAIN!$AA$7:$AM$28,$C66+1))*(1-VLOOKUP($B66,MAIN!$AA$33:$AM$54,$C66+1)),0)*16/168</f>
        <v>49885.714285714283</v>
      </c>
      <c r="HD66" s="1715">
        <f t="shared" si="155"/>
        <v>16.81937211816</v>
      </c>
      <c r="HE66" s="1715">
        <f>IF($A66&gt;=BegDate,VLOOKUP($A66,GasTable,13)+Assumptions!$C$58,0)</f>
        <v>2.3250829126319954</v>
      </c>
      <c r="HF66" s="1715">
        <f>HE66*Assumptions!$C$57/1000</f>
        <v>16.856851116581964</v>
      </c>
      <c r="HG66" s="625">
        <f>IF(Assumptions!$C$60="Hourly",MAX(0,HC66*(HD66-HF66)),HC66*(HD66-HF66))</f>
        <v>0</v>
      </c>
      <c r="HH66" s="640">
        <f>IF($A66&gt;=BegDate,Assumptions!$C$56*24*($A67-$A66)*(1-VLOOKUP($B66,MAIN!$AA$7:$AM$28,$C66+1))*(1-VLOOKUP($B66,MAIN!$AA$33:$AM$54,$C66+1)),0)*56/168</f>
        <v>174600</v>
      </c>
      <c r="HI66" s="1715">
        <f t="shared" si="156"/>
        <v>16.81937211816</v>
      </c>
      <c r="HJ66" s="1715">
        <f>IF($A66&gt;=BegDate,VLOOKUP($A66,GasTable,13)+Assumptions!$C$58,0)</f>
        <v>2.3250829126319954</v>
      </c>
      <c r="HK66" s="1715">
        <f>HJ66*Assumptions!$C$57/1000</f>
        <v>16.856851116581964</v>
      </c>
      <c r="HL66" s="625">
        <f>IF(Assumptions!$C$60="Hourly",MAX(0,HH66*(HI66-HK66)),HH66*(HI66-HK66))</f>
        <v>0</v>
      </c>
      <c r="HM66" s="640">
        <f>IF(AND(Assumptions!$H$71="Yes",A66&gt;=Assumptions!$H$72,A66&lt;=Assumptions!$H$73),Assumptions!$H$74*Assumptions!$C$9*1000,0)</f>
        <v>0</v>
      </c>
      <c r="HN66" s="530">
        <f t="shared" ref="HN66:HN71" ca="1" si="233">GD66-GH66</f>
        <v>4036035.2954431269</v>
      </c>
      <c r="HO66" s="545"/>
      <c r="HP66" s="545"/>
      <c r="HQ66" s="545"/>
      <c r="HR66" s="545"/>
      <c r="HS66" s="545"/>
      <c r="HT66" s="545"/>
      <c r="HU66" s="545"/>
      <c r="HV66" s="545"/>
      <c r="HW66" s="545"/>
      <c r="HX66" s="545"/>
      <c r="HY66" s="545"/>
      <c r="HZ66" s="545"/>
      <c r="IA66" s="545"/>
      <c r="IB66" s="545"/>
      <c r="IC66" s="545"/>
      <c r="ID66" s="545"/>
      <c r="IE66" s="545"/>
      <c r="IF66" s="545"/>
      <c r="IG66" s="545"/>
      <c r="IH66" s="545"/>
      <c r="II66" s="1464"/>
      <c r="IJ66" s="1463"/>
      <c r="IK66" s="1463"/>
    </row>
    <row r="67" spans="1:245">
      <c r="A67" s="177">
        <f t="shared" si="87"/>
        <v>38169</v>
      </c>
      <c r="B67" s="349">
        <f t="shared" si="88"/>
        <v>2004</v>
      </c>
      <c r="C67" s="15">
        <f t="shared" si="89"/>
        <v>7</v>
      </c>
      <c r="D67" s="612">
        <f t="shared" si="90"/>
        <v>38173</v>
      </c>
      <c r="E67" s="609">
        <f t="shared" si="91"/>
        <v>38169</v>
      </c>
      <c r="F67" s="614">
        <f t="shared" si="2"/>
        <v>38199</v>
      </c>
      <c r="G67" s="1349">
        <v>0</v>
      </c>
      <c r="H67" s="152">
        <f t="shared" si="165"/>
        <v>1</v>
      </c>
      <c r="I67" s="154">
        <f>IF(Assumptions!$L$25=4,VLOOKUP($A67,'Henwood Reference'!$E$9:$R$320,10),(VLOOKUP($A67,PriceTable,2,0)+IF(BasisNumber&lt;&gt;1,VLOOKUP($A67,BasisTable,2,0),0)+I$1)/(1-I$2))</f>
        <v>50.004685522655997</v>
      </c>
      <c r="J67" s="154">
        <f>IF(Assumptions!$L$25=4,VLOOKUP($A67,'Henwood Reference'!$E$9:$R$320,10),(VLOOKUP($A67,PriceTable,3,0)+IF(BasisNumber&lt;&gt;1,VLOOKUP($A67,BasisTable,2,0),0)+J$1)/(1-J$2))</f>
        <v>50.004685522655997</v>
      </c>
      <c r="K67" s="154">
        <f>IF(Assumptions!$L$25=4,VLOOKUP($A67,'Henwood Reference'!$E$9:$R$320,10),(VLOOKUP($A67,PriceTable,4,0)+IF(BasisNumber&lt;&gt;1,VLOOKUP($A67,BasisTable,2,0),0)+K$1)/(1-K$2))</f>
        <v>50.004685522655997</v>
      </c>
      <c r="L67" s="474">
        <f>IF(Assumptions!$L$25=4,VLOOKUP($A67,'Henwood Reference'!$E$9:$R$320,10),(VLOOKUP($A67,PriceTableWeekend,2,0)+IF(BasisNumber&lt;&gt;1,VLOOKUP($A67,BasisTable,2,0),0)+L$1)/(1-L$2))</f>
        <v>50.004685522655997</v>
      </c>
      <c r="M67" s="154">
        <f>IF(Assumptions!$L$25=4,VLOOKUP($A67,'Henwood Reference'!$E$9:$R$320,10),(VLOOKUP($A67,PriceTableWeekend,3,0)+IF(BasisNumber&lt;&gt;1,VLOOKUP($A67,BasisTable,2,0),0)+M$1)/(1-M$2))</f>
        <v>50.004685522655997</v>
      </c>
      <c r="N67" s="156">
        <f>IF(Assumptions!$L$25=4,VLOOKUP($A67,'Henwood Reference'!$E$9:$R$320,10),(VLOOKUP($A67,PriceTableWeekend,4,0)+IF(BasisNumber&lt;&gt;1,VLOOKUP($A67,BasisTable,2,0),0)+N$1)/(1-N$2))</f>
        <v>50.004685522655997</v>
      </c>
      <c r="O67" s="154">
        <f>IF(Assumptions!$L$25=4,VLOOKUP($A67,'Henwood Reference'!$E$9:$R$320,11),(VLOOKUP($A67,PriceTableWeekend,6,0)+IF(BasisNumber&lt;&gt;1,VLOOKUP($A67,BasisTable,3,0),0)+O$1)/(1-O$2))</f>
        <v>22.400608821552002</v>
      </c>
      <c r="P67" s="154">
        <f>IF(Assumptions!$L$25=4,VLOOKUP($A67,'Henwood Reference'!$E$9:$R$320,11),(VLOOKUP($A67,PriceTableWeekend,7,0)+IF(BasisNumber&lt;&gt;1,VLOOKUP($A67,BasisTable,3,0),0)+P$1)/(1-P$2))</f>
        <v>22.400608821552002</v>
      </c>
      <c r="Q67" s="156">
        <f>IF(Assumptions!$L$25=4,VLOOKUP($A67,'Henwood Reference'!$E$9:$R$320,11),(VLOOKUP($A67,PriceTableWeekend,8,0)+IF(BasisNumber&lt;&gt;1,VLOOKUP($A67,BasisTable,3,0),0)+Q$1)/(1-Q$2))</f>
        <v>22.400608821552002</v>
      </c>
      <c r="R67" s="154">
        <f>IF(Assumptions!$L$25=4,VLOOKUP($A67,'Henwood Reference'!$E$9:$R$320,11),(VLOOKUP($A67,PriceTable,6,0)+IF(BasisNumber&lt;&gt;1,VLOOKUP($A67,BasisTable,3,0),0)+R$1)/(1-R$2))</f>
        <v>22.400608821552002</v>
      </c>
      <c r="S67" s="154">
        <f>IF(Assumptions!$L$25=4,VLOOKUP($A67,'Henwood Reference'!$E$9:$R$320,11),(VLOOKUP($A67,PriceTable,7,0)+IF(BasisNumber&lt;&gt;1,VLOOKUP($A67,BasisTable,3,0),0)+S$1)/(1-S$2))</f>
        <v>22.400608821552002</v>
      </c>
      <c r="T67" s="155">
        <f>IF(Assumptions!$L$25=4,VLOOKUP($A67,'Henwood Reference'!$E$9:$R$320,11),(VLOOKUP($A67,PriceTable,8,0)+IF(BasisNumber&lt;&gt;1,VLOOKUP($A67,BasisTable,3,0),0)+T$1)/(1-T$2))</f>
        <v>22.400608821552002</v>
      </c>
      <c r="U67" s="173">
        <f t="shared" si="92"/>
        <v>0.15</v>
      </c>
      <c r="V67" s="173">
        <f t="shared" si="93"/>
        <v>0.16</v>
      </c>
      <c r="W67" s="174">
        <f t="shared" si="94"/>
        <v>0.17</v>
      </c>
      <c r="X67" s="173">
        <f t="shared" si="95"/>
        <v>0.15</v>
      </c>
      <c r="Y67" s="173">
        <f t="shared" si="96"/>
        <v>0.16</v>
      </c>
      <c r="Z67" s="174">
        <f t="shared" si="97"/>
        <v>0.17</v>
      </c>
      <c r="AA67" s="173">
        <f t="shared" si="98"/>
        <v>0.09</v>
      </c>
      <c r="AB67" s="173">
        <f t="shared" si="99"/>
        <v>0.11</v>
      </c>
      <c r="AC67" s="174">
        <f t="shared" si="100"/>
        <v>0.13</v>
      </c>
      <c r="AD67" s="173">
        <f t="shared" si="101"/>
        <v>0.09</v>
      </c>
      <c r="AE67" s="173">
        <f t="shared" si="102"/>
        <v>0.11</v>
      </c>
      <c r="AF67" s="174">
        <f t="shared" si="103"/>
        <v>0.13</v>
      </c>
      <c r="AG67" s="173">
        <f t="shared" si="104"/>
        <v>-0.35</v>
      </c>
      <c r="AH67" s="173">
        <f t="shared" si="105"/>
        <v>3</v>
      </c>
      <c r="AI67" s="174">
        <f t="shared" si="106"/>
        <v>0.35</v>
      </c>
      <c r="AJ67" s="173">
        <f t="shared" si="107"/>
        <v>-0.35</v>
      </c>
      <c r="AK67" s="173">
        <f t="shared" si="108"/>
        <v>3</v>
      </c>
      <c r="AL67" s="174">
        <f t="shared" si="109"/>
        <v>0.35</v>
      </c>
      <c r="AM67" s="173">
        <f t="shared" si="110"/>
        <v>-0.01</v>
      </c>
      <c r="AN67" s="173">
        <f t="shared" si="111"/>
        <v>0.16</v>
      </c>
      <c r="AO67" s="174">
        <f t="shared" si="112"/>
        <v>0.01</v>
      </c>
      <c r="AP67" s="173">
        <f t="shared" si="113"/>
        <v>-0.01</v>
      </c>
      <c r="AQ67" s="173">
        <f t="shared" si="114"/>
        <v>0.16</v>
      </c>
      <c r="AR67" s="175">
        <f t="shared" si="115"/>
        <v>0.01</v>
      </c>
      <c r="AS67" s="521">
        <f t="shared" si="231"/>
        <v>0.5</v>
      </c>
      <c r="AT67" s="349">
        <f t="shared" si="117"/>
        <v>21</v>
      </c>
      <c r="AU67" s="159">
        <f t="shared" si="3"/>
        <v>5</v>
      </c>
      <c r="AV67" s="159">
        <f t="shared" si="4"/>
        <v>4</v>
      </c>
      <c r="AW67" s="159">
        <f t="shared" si="232"/>
        <v>1</v>
      </c>
      <c r="AX67" s="15">
        <f t="shared" si="119"/>
        <v>31</v>
      </c>
      <c r="AY67" s="607">
        <f>IF(E67="",0,MIN((1-(1-VLOOKUP(B67,MAIN!$AA$7:$AM$28,C67+1))*(1-VLOOKUP(B67,MAIN!$AA$33:$AM$54,C67+1))),1))</f>
        <v>3.0000000000000027E-2</v>
      </c>
      <c r="AZ67" s="337">
        <v>48888</v>
      </c>
      <c r="BA67" s="509">
        <v>11640</v>
      </c>
      <c r="BB67" s="509">
        <v>11640</v>
      </c>
      <c r="BC67" s="511">
        <v>36084</v>
      </c>
      <c r="BD67" s="153">
        <v>0.97000000361353156</v>
      </c>
      <c r="BE67" s="474">
        <v>0.97000000361353156</v>
      </c>
      <c r="BF67" s="474">
        <v>0.97000000361353156</v>
      </c>
      <c r="BG67" s="515">
        <v>0.96999998554587363</v>
      </c>
      <c r="BH67" s="262">
        <v>195552</v>
      </c>
      <c r="BI67" s="509">
        <v>46560</v>
      </c>
      <c r="BJ67" s="509">
        <v>46560</v>
      </c>
      <c r="BK67" s="511">
        <v>144336</v>
      </c>
      <c r="BL67" s="153">
        <v>0.97000000361353156</v>
      </c>
      <c r="BM67" s="474">
        <v>0.97000000361353156</v>
      </c>
      <c r="BN67" s="474">
        <v>0.97000000361353156</v>
      </c>
      <c r="BO67" s="474">
        <v>0.96999998554587363</v>
      </c>
      <c r="BP67" s="261">
        <f t="shared" si="120"/>
        <v>72168</v>
      </c>
      <c r="BQ67" s="578">
        <f t="shared" si="121"/>
        <v>108252</v>
      </c>
      <c r="BR67" s="259">
        <f t="shared" si="122"/>
        <v>288672</v>
      </c>
      <c r="BS67" s="578">
        <f t="shared" si="123"/>
        <v>433008</v>
      </c>
      <c r="BT67" s="216">
        <f t="shared" si="124"/>
        <v>4.213552361396304</v>
      </c>
      <c r="BU67" s="218">
        <f t="shared" si="5"/>
        <v>50.00468570893797</v>
      </c>
      <c r="BV67" s="216">
        <f t="shared" si="6"/>
        <v>50.00468570893797</v>
      </c>
      <c r="BW67" s="216">
        <f t="shared" si="7"/>
        <v>22.400608905000773</v>
      </c>
      <c r="BX67" s="216">
        <f t="shared" si="125"/>
        <v>22.400608487756919</v>
      </c>
      <c r="BY67" s="216">
        <f t="shared" si="8"/>
        <v>45.552415256690033</v>
      </c>
      <c r="BZ67" s="216">
        <f t="shared" si="9"/>
        <v>37.835146333712331</v>
      </c>
      <c r="CA67" s="264">
        <f t="shared" si="10"/>
        <v>50.00468570893797</v>
      </c>
      <c r="CB67" s="216">
        <f t="shared" si="11"/>
        <v>50.00468570893797</v>
      </c>
      <c r="CC67" s="216">
        <f t="shared" si="12"/>
        <v>22.400608905000773</v>
      </c>
      <c r="CD67" s="216">
        <f t="shared" si="126"/>
        <v>22.400608487756919</v>
      </c>
      <c r="CE67" s="216">
        <f t="shared" si="13"/>
        <v>45.552415256690033</v>
      </c>
      <c r="CF67" s="571">
        <f t="shared" si="14"/>
        <v>37.835146333712331</v>
      </c>
      <c r="CG67" s="573">
        <f t="shared" si="15"/>
        <v>0.16</v>
      </c>
      <c r="CH67" s="219">
        <f t="shared" si="16"/>
        <v>0.16</v>
      </c>
      <c r="CI67" s="219">
        <f t="shared" si="17"/>
        <v>0.11</v>
      </c>
      <c r="CJ67" s="219">
        <f t="shared" si="18"/>
        <v>0.15609394698146212</v>
      </c>
      <c r="CK67" s="219">
        <f t="shared" si="19"/>
        <v>0.15609394698146212</v>
      </c>
      <c r="CL67" s="219">
        <f t="shared" si="20"/>
        <v>0.11</v>
      </c>
      <c r="CM67" s="219">
        <f t="shared" si="21"/>
        <v>0.137850994796097</v>
      </c>
      <c r="CN67" s="569">
        <f t="shared" si="22"/>
        <v>0.137850994796097</v>
      </c>
      <c r="CO67" s="264">
        <f t="shared" si="175"/>
        <v>16.825874885810094</v>
      </c>
      <c r="CP67" s="216">
        <f t="shared" si="127"/>
        <v>16.825874885810094</v>
      </c>
      <c r="CQ67" s="216">
        <f t="shared" ca="1" si="192"/>
        <v>16.825874885810094</v>
      </c>
      <c r="CR67" s="216">
        <f t="shared" ca="1" si="193"/>
        <v>16.825874885810094</v>
      </c>
      <c r="CS67" s="1626">
        <f t="shared" ca="1" si="194"/>
        <v>16.825874885810094</v>
      </c>
      <c r="CT67" s="216">
        <f t="shared" si="131"/>
        <v>16.825874885810094</v>
      </c>
      <c r="CU67" s="575">
        <f t="shared" si="23"/>
        <v>0.17499999999999999</v>
      </c>
      <c r="CV67" s="154">
        <f t="shared" si="24"/>
        <v>0.5</v>
      </c>
      <c r="CW67" s="216">
        <f>IF(OR($BQ67,$BS67),SpreadOptPowerMargin,0)*((1+Assumptions!$C$26)^($B67-YEAR(Assumptions!$C$17)))</f>
        <v>1.8360000000000001</v>
      </c>
      <c r="CX67" s="216">
        <f>IF(OR($BQ67,$BS67),SpreadOptPowerMargin,0)*((1+Assumptions!$C$26)^($B67-YEAR(Assumptions!$C$17)))</f>
        <v>1.8360000000000001</v>
      </c>
      <c r="CY67" s="216">
        <f>IF(OR($BQ67,$BS67),SpreadOptPowerMargin,0)*((1+Assumptions!$C$26)^($B67-YEAR(Assumptions!$C$17)))</f>
        <v>1.8360000000000001</v>
      </c>
      <c r="CZ67" s="216">
        <f>IF(OR($BQ67,$BS67),SpreadOptPowerMargin,0)*((1+Assumptions!$C$26)^($B67-YEAR(Assumptions!$C$17)))</f>
        <v>1.8360000000000001</v>
      </c>
      <c r="DA67" s="440">
        <f t="shared" si="25"/>
        <v>1.8360000000000001</v>
      </c>
      <c r="DB67" s="479">
        <f t="shared" si="26"/>
        <v>0.16</v>
      </c>
      <c r="DC67" s="479">
        <f t="shared" si="27"/>
        <v>0.16</v>
      </c>
      <c r="DD67" s="479">
        <f t="shared" si="28"/>
        <v>0.11</v>
      </c>
      <c r="DE67" s="479">
        <f t="shared" si="29"/>
        <v>0.11</v>
      </c>
      <c r="DF67" s="479">
        <f t="shared" si="30"/>
        <v>0.137850994796097</v>
      </c>
      <c r="DG67" s="574">
        <f t="shared" si="31"/>
        <v>0.137850994796097</v>
      </c>
      <c r="DH67" s="216">
        <f t="shared" si="32"/>
        <v>31.346783575227363</v>
      </c>
      <c r="DI67" s="216">
        <f t="shared" si="33"/>
        <v>31.346783575227363</v>
      </c>
      <c r="DJ67" s="216">
        <f t="shared" ca="1" si="195"/>
        <v>4.6818004863381262</v>
      </c>
      <c r="DK67" s="216">
        <f t="shared" ca="1" si="196"/>
        <v>4.6818001592303871</v>
      </c>
      <c r="DL67" s="216">
        <f t="shared" ca="1" si="197"/>
        <v>19.204650243806455</v>
      </c>
      <c r="DM67" s="216"/>
      <c r="DN67" s="216"/>
      <c r="DO67" s="216"/>
      <c r="DP67" s="216"/>
      <c r="DQ67" s="216"/>
      <c r="DR67" s="216"/>
      <c r="DS67" s="216"/>
      <c r="DT67" s="216"/>
      <c r="DU67" s="216"/>
      <c r="DV67" s="216"/>
      <c r="DW67" s="1371">
        <f t="shared" si="37"/>
        <v>4.6818004863381262</v>
      </c>
      <c r="DX67" s="216">
        <f t="shared" si="38"/>
        <v>4.6818001592303871</v>
      </c>
      <c r="DY67" s="440">
        <f t="shared" si="39"/>
        <v>19.591253287218777</v>
      </c>
      <c r="DZ67" s="180">
        <f t="shared" si="40"/>
        <v>1532481.5554257154</v>
      </c>
      <c r="EA67" s="180">
        <f t="shared" si="41"/>
        <v>364876.56081564649</v>
      </c>
      <c r="EB67" s="180">
        <f t="shared" ca="1" si="198"/>
        <v>54496.15766097579</v>
      </c>
      <c r="EC67" s="180">
        <f t="shared" ca="1" si="199"/>
        <v>168938.07694566928</v>
      </c>
      <c r="ED67" s="180">
        <f t="shared" ca="1" si="200"/>
        <v>2078941.7981925365</v>
      </c>
      <c r="EE67" s="581">
        <f t="shared" si="45"/>
        <v>1532287.3355210756</v>
      </c>
      <c r="EF67" s="554">
        <f t="shared" si="46"/>
        <v>364830.3179812085</v>
      </c>
      <c r="EG67" s="554">
        <f t="shared" ca="1" si="201"/>
        <v>43518.863983379517</v>
      </c>
      <c r="EH67" s="554">
        <f t="shared" ca="1" si="202"/>
        <v>134908.46329264928</v>
      </c>
      <c r="EI67" s="561">
        <f t="shared" ca="1" si="49"/>
        <v>2075544.980778313</v>
      </c>
      <c r="EJ67" s="581">
        <f t="shared" si="132"/>
        <v>194.21990463975817</v>
      </c>
      <c r="EK67" s="554">
        <f t="shared" si="133"/>
        <v>46.242834437987767</v>
      </c>
      <c r="EL67" s="554">
        <f t="shared" ca="1" si="203"/>
        <v>10977.293677596273</v>
      </c>
      <c r="EM67" s="554">
        <f t="shared" ca="1" si="204"/>
        <v>34029.613653020002</v>
      </c>
      <c r="EN67" s="561">
        <f t="shared" ca="1" si="205"/>
        <v>3396.8174142234493</v>
      </c>
      <c r="EO67" s="180">
        <f t="shared" si="50"/>
        <v>6129926.2217028616</v>
      </c>
      <c r="EP67" s="180">
        <f t="shared" si="51"/>
        <v>1459506.243262586</v>
      </c>
      <c r="EQ67" s="180">
        <f t="shared" si="52"/>
        <v>217984.63064390316</v>
      </c>
      <c r="ER67" s="180">
        <f t="shared" si="53"/>
        <v>675752.30778267712</v>
      </c>
      <c r="ES67" s="180">
        <f t="shared" si="54"/>
        <v>8483169.4033920281</v>
      </c>
      <c r="ET67" s="1482">
        <f t="shared" ca="1" si="206"/>
        <v>6129149.3420843026</v>
      </c>
      <c r="EU67" s="180">
        <f t="shared" ca="1" si="207"/>
        <v>1459321.271924834</v>
      </c>
      <c r="EV67" s="180">
        <f t="shared" ca="1" si="208"/>
        <v>174075.45593351807</v>
      </c>
      <c r="EW67" s="180">
        <f t="shared" ca="1" si="209"/>
        <v>539633.85317059711</v>
      </c>
      <c r="EX67" s="555">
        <f t="shared" ca="1" si="182"/>
        <v>8302179.9231132511</v>
      </c>
      <c r="EY67" s="180">
        <f t="shared" ca="1" si="210"/>
        <v>776.87961855903268</v>
      </c>
      <c r="EZ67" s="180">
        <f t="shared" ca="1" si="211"/>
        <v>184.97133775195107</v>
      </c>
      <c r="FA67" s="180">
        <f t="shared" ca="1" si="212"/>
        <v>43909.174710385094</v>
      </c>
      <c r="FB67" s="180">
        <f t="shared" ca="1" si="213"/>
        <v>136118.45461208001</v>
      </c>
      <c r="FC67" s="180">
        <f t="shared" ca="1" si="214"/>
        <v>180989.48027877696</v>
      </c>
      <c r="FD67" s="262">
        <f>IF(AX67,IF(VLOOKUP(C67,MAIN!$L$17:$M$28,2)="Yes",VLOOKUP(CALC!B67,MAIN!$H$17:$I$20,2),0),0)</f>
        <v>0</v>
      </c>
      <c r="FE67" s="623">
        <f t="shared" si="60"/>
        <v>0</v>
      </c>
      <c r="FF67" s="535">
        <f t="shared" si="61"/>
        <v>0</v>
      </c>
      <c r="FG67" s="535">
        <f t="shared" si="62"/>
        <v>0</v>
      </c>
      <c r="FH67" s="624">
        <f t="shared" si="63"/>
        <v>0</v>
      </c>
      <c r="FI67" s="632">
        <f>IF(AX67,VLOOKUP(CALC!B67,MAIN!$H$17:$K$20,4),0)</f>
        <v>0</v>
      </c>
      <c r="FJ67" s="535">
        <f t="shared" si="64"/>
        <v>0</v>
      </c>
      <c r="FK67" s="648">
        <f t="shared" si="142"/>
        <v>0</v>
      </c>
      <c r="FL67" s="530">
        <f t="shared" ca="1" si="215"/>
        <v>0</v>
      </c>
      <c r="FM67" s="530">
        <f t="shared" ca="1" si="216"/>
        <v>0</v>
      </c>
      <c r="FN67" s="530">
        <f t="shared" ca="1" si="217"/>
        <v>0</v>
      </c>
      <c r="FO67" s="622">
        <f t="shared" ca="1" si="218"/>
        <v>0</v>
      </c>
      <c r="FP67" s="530">
        <f t="shared" ca="1" si="219"/>
        <v>0</v>
      </c>
      <c r="FQ67" s="530">
        <f t="shared" ca="1" si="220"/>
        <v>0</v>
      </c>
      <c r="FR67" s="530">
        <f t="shared" ca="1" si="221"/>
        <v>0</v>
      </c>
      <c r="FS67" s="625">
        <f t="shared" ca="1" si="222"/>
        <v>0</v>
      </c>
      <c r="FT67" s="640">
        <f ca="1">IF(AND(Assumptions!$H$71="Yes",A67&gt;=Assumptions!$H$72,A67&lt;=Assumptions!$H$73),0,IF(AND($A67&gt;=Assumptions!$C$17,$A67&lt;=Assumptions!$C$18),MAX(AZ67*(1+VLOOKUP($C67,WeatherCapacityAdjustment,2))-FL67,0),0))</f>
        <v>48888</v>
      </c>
      <c r="FU67" s="530">
        <f ca="1">IF(AND(Assumptions!$H$71="Yes",A67&gt;=Assumptions!$H$72,A67&lt;=Assumptions!$H$73),0,IF(AND($A67&gt;=Assumptions!$C$17,$A67&lt;=Assumptions!$C$18),MAX(BA67*(1+VLOOKUP($C67,WeatherCapacityAdjustment,2))-FM67,0),0))</f>
        <v>11640</v>
      </c>
      <c r="FV67" s="530">
        <f ca="1">IF(AND(Assumptions!$H$71="Yes",A67&gt;=Assumptions!$H$72,A67&lt;=Assumptions!$H$73),0,IF(AND($A67&gt;=Assumptions!$C$17,$A67&lt;=Assumptions!$C$18),MAX(BB67*(1+VLOOKUP($C67,WeatherCapacityAdjustment,2))-FN67,0),0))</f>
        <v>11640</v>
      </c>
      <c r="FW67" s="622">
        <f ca="1">IF(AND(Assumptions!$H$71="Yes",A67&gt;=Assumptions!$H$72,A67&lt;=Assumptions!$H$73),0,IF(AND($A67&gt;=Assumptions!$C$17,$A67&lt;=Assumptions!$C$18),MAX(BC67*(1+VLOOKUP($C67,WeatherCapacityAdjustment,3))-FO67,0),0))</f>
        <v>36084</v>
      </c>
      <c r="FX67" s="621">
        <f ca="1">IF(AND(Assumptions!$H$71="Yes",A67&gt;=Assumptions!$H$72,A67&lt;=Assumptions!$H$73),0,IF(ET67&gt;0,MAX(BH67*(1+VLOOKUP($C67,WeatherCapacityAdjustment,2))-FP67,0),0))</f>
        <v>195552</v>
      </c>
      <c r="FY67" s="530">
        <f ca="1">IF(AND(Assumptions!$H$71="Yes",A67&gt;=Assumptions!$H$72,A67&lt;=Assumptions!$H$73),0,IF(EU67&gt;0,MAX(BI67*(1+VLOOKUP($C67,WeatherCapacityAdjustment,3))-FQ67,0),0))</f>
        <v>46560</v>
      </c>
      <c r="FZ67" s="530">
        <f ca="1">IF(AND(Assumptions!$H$71="Yes",A67&gt;=Assumptions!$H$72,A67&lt;=Assumptions!$H$73),0,IF(EV67&gt;0,MAX(BJ67*(1+VLOOKUP($C67,WeatherCapacityAdjustment,2))-FR67,0),0))</f>
        <v>46560</v>
      </c>
      <c r="GA67" s="622">
        <f ca="1">IF(AND(Assumptions!$H$71="Yes",A67&gt;=Assumptions!$H$72,A67&lt;=Assumptions!$H$73),0,IF(EW67&gt;0,MAX(BK67*(1+VLOOKUP($C67,WeatherCapacityAdjustment,2))-FS67,0),0))</f>
        <v>144336</v>
      </c>
      <c r="GB67" s="530">
        <f t="shared" ca="1" si="65"/>
        <v>541260</v>
      </c>
      <c r="GC67" s="545">
        <f t="shared" ca="1" si="66"/>
        <v>37.835146333712331</v>
      </c>
      <c r="GD67" s="530">
        <f t="shared" ca="1" si="223"/>
        <v>20478651.304585136</v>
      </c>
      <c r="GE67" s="1485">
        <f t="shared" ca="1" si="224"/>
        <v>763810.95672000002</v>
      </c>
      <c r="GF67" s="1776">
        <f t="shared" ca="1" si="225"/>
        <v>3055243.8268800001</v>
      </c>
      <c r="GG67" s="545">
        <f t="shared" si="190"/>
        <v>2.3846667714226322</v>
      </c>
      <c r="GH67" s="622">
        <f t="shared" ca="1" si="191"/>
        <v>9107173.0406935718</v>
      </c>
      <c r="GI67" s="621">
        <f t="shared" ca="1" si="152"/>
        <v>541260</v>
      </c>
      <c r="GJ67" s="638">
        <f t="shared" si="68"/>
        <v>1.8360000000000001</v>
      </c>
      <c r="GK67" s="625">
        <f t="shared" ca="1" si="166"/>
        <v>993753.36</v>
      </c>
      <c r="GL67" s="640">
        <f t="shared" ca="1" si="226"/>
        <v>0</v>
      </c>
      <c r="GM67" s="530">
        <f t="shared" ca="1" si="227"/>
        <v>0</v>
      </c>
      <c r="GN67" s="530">
        <f t="shared" ca="1" si="228"/>
        <v>0</v>
      </c>
      <c r="GO67" s="622">
        <f t="shared" ca="1" si="229"/>
        <v>0</v>
      </c>
      <c r="GP67" s="530">
        <f t="shared" ca="1" si="73"/>
        <v>0</v>
      </c>
      <c r="GQ67" s="545">
        <f t="shared" ca="1" si="74"/>
        <v>0</v>
      </c>
      <c r="GR67" s="625">
        <f t="shared" ca="1" si="230"/>
        <v>0</v>
      </c>
      <c r="GS67" s="640">
        <f>IF($A67&gt;=BegDate,Assumptions!$C$56*24*($A68-$A67)*(1-VLOOKUP($B67,MAIN!$AA$7:$AM$28,$C67+1))*(1-VLOOKUP($B67,MAIN!$AA$33:$AM$54,$C67+1)),0)*80/168</f>
        <v>257742.85714285713</v>
      </c>
      <c r="GT67" s="1715">
        <f t="shared" si="153"/>
        <v>50.004685522655997</v>
      </c>
      <c r="GU67" s="1715">
        <f>IF($A67&gt;=BegDate,VLOOKUP($A67,GasTable,13)+Assumptions!$C$58,0)</f>
        <v>2.3846667714226322</v>
      </c>
      <c r="GV67" s="1715">
        <f>GU67*Assumptions!$C$57/1000</f>
        <v>17.288834092814081</v>
      </c>
      <c r="GW67" s="625">
        <f>IF(Assumptions!$C$60="Hourly",MAX(0,GS67*(GT67-GV67)),GS67*(GT67-GV67))</f>
        <v>8432277.0213886835</v>
      </c>
      <c r="GX67" s="640">
        <f>IF($A67&gt;=BegDate,Assumptions!$C$56*24*($A68-$A67)*(1-VLOOKUP($B67,MAIN!$AA$7:$AM$28,$C67+1))*(1-VLOOKUP($B67,MAIN!$AA$33:$AM$54,$C67+1)),0)*16/168</f>
        <v>51548.571428571428</v>
      </c>
      <c r="GY67" s="1715">
        <f t="shared" si="154"/>
        <v>50.004685522655997</v>
      </c>
      <c r="GZ67" s="1715">
        <f>IF($A67&gt;=BegDate,VLOOKUP($A67,GasTable,13)+Assumptions!$C$58,0)</f>
        <v>2.3846667714226322</v>
      </c>
      <c r="HA67" s="1715">
        <f>GZ67*Assumptions!$C$57/1000</f>
        <v>17.288834092814081</v>
      </c>
      <c r="HB67" s="625">
        <f>IF(Assumptions!$C$60="Hourly",MAX(0,GX67*(GY67-HA67)),GX67*(GY67-HA67))</f>
        <v>1686455.4042777368</v>
      </c>
      <c r="HC67" s="640">
        <f>IF($A67&gt;=BegDate,Assumptions!$C$56*24*($A68-$A67)*(1-VLOOKUP($B67,MAIN!$AA$7:$AM$28,$C67+1))*(1-VLOOKUP($B67,MAIN!$AA$33:$AM$54,$C67+1)),0)*16/168</f>
        <v>51548.571428571428</v>
      </c>
      <c r="HD67" s="1715">
        <f t="shared" si="155"/>
        <v>22.400608821552002</v>
      </c>
      <c r="HE67" s="1715">
        <f>IF($A67&gt;=BegDate,VLOOKUP($A67,GasTable,13)+Assumptions!$C$58,0)</f>
        <v>2.3846667714226322</v>
      </c>
      <c r="HF67" s="1715">
        <f>HE67*Assumptions!$C$57/1000</f>
        <v>17.288834092814081</v>
      </c>
      <c r="HG67" s="625">
        <f>IF(Assumptions!$C$60="Hourly",MAX(0,HC67*(HD67-HF67)),HC67*(HD67-HF67))</f>
        <v>263504.68473111303</v>
      </c>
      <c r="HH67" s="640">
        <f>IF($A67&gt;=BegDate,Assumptions!$C$56*24*($A68-$A67)*(1-VLOOKUP($B67,MAIN!$AA$7:$AM$28,$C67+1))*(1-VLOOKUP($B67,MAIN!$AA$33:$AM$54,$C67+1)),0)*56/168</f>
        <v>180420</v>
      </c>
      <c r="HI67" s="1715">
        <f t="shared" si="156"/>
        <v>22.400608821552002</v>
      </c>
      <c r="HJ67" s="1715">
        <f>IF($A67&gt;=BegDate,VLOOKUP($A67,GasTable,13)+Assumptions!$C$58,0)</f>
        <v>2.3846667714226322</v>
      </c>
      <c r="HK67" s="1715">
        <f>HJ67*Assumptions!$C$57/1000</f>
        <v>17.288834092814081</v>
      </c>
      <c r="HL67" s="625">
        <f>IF(Assumptions!$C$60="Hourly",MAX(0,HH67*(HI67-HK67)),HH67*(HI67-HK67))</f>
        <v>922266.39655889559</v>
      </c>
      <c r="HM67" s="640">
        <f>IF(AND(Assumptions!$H$71="Yes",A67&gt;=Assumptions!$H$72,A67&lt;=Assumptions!$H$73),Assumptions!$H$74*Assumptions!$C$9*1000,0)</f>
        <v>0</v>
      </c>
      <c r="HN67" s="530">
        <f t="shared" ca="1" si="233"/>
        <v>11371478.263891565</v>
      </c>
      <c r="HO67" s="545"/>
      <c r="HP67" s="545"/>
      <c r="HQ67" s="545"/>
      <c r="HR67" s="545"/>
      <c r="HS67" s="545"/>
      <c r="HT67" s="545"/>
      <c r="HU67" s="545"/>
      <c r="HV67" s="545"/>
      <c r="HW67" s="545"/>
      <c r="HX67" s="545"/>
      <c r="HY67" s="545"/>
      <c r="HZ67" s="545"/>
      <c r="IA67" s="545"/>
      <c r="IB67" s="545"/>
      <c r="IC67" s="545"/>
      <c r="ID67" s="545"/>
      <c r="IE67" s="545"/>
      <c r="IF67" s="545"/>
      <c r="IG67" s="545"/>
      <c r="IH67" s="545"/>
      <c r="II67" s="1464"/>
      <c r="IJ67" s="1463"/>
      <c r="IK67" s="1463"/>
    </row>
    <row r="68" spans="1:245">
      <c r="A68" s="177">
        <f t="shared" si="87"/>
        <v>38200</v>
      </c>
      <c r="B68" s="349">
        <f t="shared" si="88"/>
        <v>2004</v>
      </c>
      <c r="C68" s="15">
        <f t="shared" si="89"/>
        <v>8</v>
      </c>
      <c r="D68" s="612" t="str">
        <f t="shared" si="90"/>
        <v/>
      </c>
      <c r="E68" s="609">
        <f t="shared" si="91"/>
        <v>38200</v>
      </c>
      <c r="F68" s="614">
        <f t="shared" si="2"/>
        <v>38230</v>
      </c>
      <c r="G68" s="1349">
        <v>0</v>
      </c>
      <c r="H68" s="152">
        <f t="shared" si="165"/>
        <v>1</v>
      </c>
      <c r="I68" s="154">
        <f>IF(Assumptions!$L$25=4,VLOOKUP($A68,'Henwood Reference'!$E$9:$R$320,10),(VLOOKUP($A68,PriceTable,2,0)+IF(BasisNumber&lt;&gt;1,VLOOKUP($A68,BasisTable,2,0),0)+I$1)/(1-I$2))</f>
        <v>78.119994932927995</v>
      </c>
      <c r="J68" s="154">
        <f>IF(Assumptions!$L$25=4,VLOOKUP($A68,'Henwood Reference'!$E$9:$R$320,10),(VLOOKUP($A68,PriceTable,3,0)+IF(BasisNumber&lt;&gt;1,VLOOKUP($A68,BasisTable,2,0),0)+J$1)/(1-J$2))</f>
        <v>78.119994932927995</v>
      </c>
      <c r="K68" s="154">
        <f>IF(Assumptions!$L$25=4,VLOOKUP($A68,'Henwood Reference'!$E$9:$R$320,10),(VLOOKUP($A68,PriceTable,4,0)+IF(BasisNumber&lt;&gt;1,VLOOKUP($A68,BasisTable,2,0),0)+K$1)/(1-K$2))</f>
        <v>78.119994932927995</v>
      </c>
      <c r="L68" s="474">
        <f>IF(Assumptions!$L$25=4,VLOOKUP($A68,'Henwood Reference'!$E$9:$R$320,10),(VLOOKUP($A68,PriceTableWeekend,2,0)+IF(BasisNumber&lt;&gt;1,VLOOKUP($A68,BasisTable,2,0),0)+L$1)/(1-L$2))</f>
        <v>78.119994932927995</v>
      </c>
      <c r="M68" s="154">
        <f>IF(Assumptions!$L$25=4,VLOOKUP($A68,'Henwood Reference'!$E$9:$R$320,10),(VLOOKUP($A68,PriceTableWeekend,3,0)+IF(BasisNumber&lt;&gt;1,VLOOKUP($A68,BasisTable,2,0),0)+M$1)/(1-M$2))</f>
        <v>78.119994932927995</v>
      </c>
      <c r="N68" s="156">
        <f>IF(Assumptions!$L$25=4,VLOOKUP($A68,'Henwood Reference'!$E$9:$R$320,10),(VLOOKUP($A68,PriceTableWeekend,4,0)+IF(BasisNumber&lt;&gt;1,VLOOKUP($A68,BasisTable,2,0),0)+N$1)/(1-N$2))</f>
        <v>78.119994932927995</v>
      </c>
      <c r="O68" s="154">
        <f>IF(Assumptions!$L$25=4,VLOOKUP($A68,'Henwood Reference'!$E$9:$R$320,11),(VLOOKUP($A68,PriceTableWeekend,6,0)+IF(BasisNumber&lt;&gt;1,VLOOKUP($A68,BasisTable,3,0),0)+O$1)/(1-O$2))</f>
        <v>28.573935916463999</v>
      </c>
      <c r="P68" s="154">
        <f>IF(Assumptions!$L$25=4,VLOOKUP($A68,'Henwood Reference'!$E$9:$R$320,11),(VLOOKUP($A68,PriceTableWeekend,7,0)+IF(BasisNumber&lt;&gt;1,VLOOKUP($A68,BasisTable,3,0),0)+P$1)/(1-P$2))</f>
        <v>28.573935916463999</v>
      </c>
      <c r="Q68" s="156">
        <f>IF(Assumptions!$L$25=4,VLOOKUP($A68,'Henwood Reference'!$E$9:$R$320,11),(VLOOKUP($A68,PriceTableWeekend,8,0)+IF(BasisNumber&lt;&gt;1,VLOOKUP($A68,BasisTable,3,0),0)+Q$1)/(1-Q$2))</f>
        <v>28.573935916463999</v>
      </c>
      <c r="R68" s="154">
        <f>IF(Assumptions!$L$25=4,VLOOKUP($A68,'Henwood Reference'!$E$9:$R$320,11),(VLOOKUP($A68,PriceTable,6,0)+IF(BasisNumber&lt;&gt;1,VLOOKUP($A68,BasisTable,3,0),0)+R$1)/(1-R$2))</f>
        <v>28.573935916463999</v>
      </c>
      <c r="S68" s="154">
        <f>IF(Assumptions!$L$25=4,VLOOKUP($A68,'Henwood Reference'!$E$9:$R$320,11),(VLOOKUP($A68,PriceTable,7,0)+IF(BasisNumber&lt;&gt;1,VLOOKUP($A68,BasisTable,3,0),0)+S$1)/(1-S$2))</f>
        <v>28.573935916463999</v>
      </c>
      <c r="T68" s="155">
        <f>IF(Assumptions!$L$25=4,VLOOKUP($A68,'Henwood Reference'!$E$9:$R$320,11),(VLOOKUP($A68,PriceTable,8,0)+IF(BasisNumber&lt;&gt;1,VLOOKUP($A68,BasisTable,3,0),0)+T$1)/(1-T$2))</f>
        <v>28.573935916463999</v>
      </c>
      <c r="U68" s="173">
        <f t="shared" si="92"/>
        <v>0.15</v>
      </c>
      <c r="V68" s="173">
        <f t="shared" si="93"/>
        <v>0.16</v>
      </c>
      <c r="W68" s="174">
        <f t="shared" si="94"/>
        <v>0.17</v>
      </c>
      <c r="X68" s="173">
        <f t="shared" si="95"/>
        <v>0.15</v>
      </c>
      <c r="Y68" s="173">
        <f t="shared" si="96"/>
        <v>0.16</v>
      </c>
      <c r="Z68" s="174">
        <f t="shared" si="97"/>
        <v>0.17</v>
      </c>
      <c r="AA68" s="173">
        <f t="shared" si="98"/>
        <v>0.09</v>
      </c>
      <c r="AB68" s="173">
        <f t="shared" si="99"/>
        <v>0.11</v>
      </c>
      <c r="AC68" s="174">
        <f t="shared" si="100"/>
        <v>0.13</v>
      </c>
      <c r="AD68" s="173">
        <f t="shared" si="101"/>
        <v>0.09</v>
      </c>
      <c r="AE68" s="173">
        <f t="shared" si="102"/>
        <v>0.11</v>
      </c>
      <c r="AF68" s="174">
        <f t="shared" si="103"/>
        <v>0.13</v>
      </c>
      <c r="AG68" s="173">
        <f t="shared" si="104"/>
        <v>-0.35</v>
      </c>
      <c r="AH68" s="173">
        <f t="shared" si="105"/>
        <v>3</v>
      </c>
      <c r="AI68" s="174">
        <f t="shared" si="106"/>
        <v>0.35</v>
      </c>
      <c r="AJ68" s="173">
        <f t="shared" si="107"/>
        <v>-0.35</v>
      </c>
      <c r="AK68" s="173">
        <f t="shared" si="108"/>
        <v>3</v>
      </c>
      <c r="AL68" s="174">
        <f t="shared" si="109"/>
        <v>0.35</v>
      </c>
      <c r="AM68" s="173">
        <f t="shared" si="110"/>
        <v>-0.01</v>
      </c>
      <c r="AN68" s="173">
        <f t="shared" si="111"/>
        <v>0.16</v>
      </c>
      <c r="AO68" s="174">
        <f t="shared" si="112"/>
        <v>0.01</v>
      </c>
      <c r="AP68" s="173">
        <f t="shared" si="113"/>
        <v>-0.01</v>
      </c>
      <c r="AQ68" s="173">
        <f t="shared" si="114"/>
        <v>0.16</v>
      </c>
      <c r="AR68" s="175">
        <f t="shared" si="115"/>
        <v>0.01</v>
      </c>
      <c r="AS68" s="521">
        <f t="shared" si="231"/>
        <v>0.5</v>
      </c>
      <c r="AT68" s="349">
        <f t="shared" si="117"/>
        <v>22</v>
      </c>
      <c r="AU68" s="159">
        <f t="shared" si="3"/>
        <v>4</v>
      </c>
      <c r="AV68" s="159">
        <f t="shared" si="4"/>
        <v>5</v>
      </c>
      <c r="AW68" s="159">
        <f t="shared" si="232"/>
        <v>0</v>
      </c>
      <c r="AX68" s="15">
        <f t="shared" si="119"/>
        <v>31</v>
      </c>
      <c r="AY68" s="607">
        <f>IF(E68="",0,MIN((1-(1-VLOOKUP(B68,MAIN!$AA$7:$AM$28,C68+1))*(1-VLOOKUP(B68,MAIN!$AA$33:$AM$54,C68+1))),1))</f>
        <v>3.0000000000000027E-2</v>
      </c>
      <c r="AZ68" s="337">
        <v>51216</v>
      </c>
      <c r="BA68" s="509">
        <v>9312</v>
      </c>
      <c r="BB68" s="509">
        <v>11640</v>
      </c>
      <c r="BC68" s="511">
        <v>36084</v>
      </c>
      <c r="BD68" s="153">
        <v>0.96999998915940522</v>
      </c>
      <c r="BE68" s="474">
        <v>0.96999998915940522</v>
      </c>
      <c r="BF68" s="474">
        <v>0.96999998915940522</v>
      </c>
      <c r="BG68" s="515">
        <v>0.97000000722706314</v>
      </c>
      <c r="BH68" s="262">
        <v>204864</v>
      </c>
      <c r="BI68" s="509">
        <v>37248</v>
      </c>
      <c r="BJ68" s="509">
        <v>46560</v>
      </c>
      <c r="BK68" s="511">
        <v>144336</v>
      </c>
      <c r="BL68" s="153">
        <v>0.96999998915940522</v>
      </c>
      <c r="BM68" s="474">
        <v>0.96999998915940522</v>
      </c>
      <c r="BN68" s="474">
        <v>0.96999998915940522</v>
      </c>
      <c r="BO68" s="474">
        <v>0.97000000722706314</v>
      </c>
      <c r="BP68" s="261">
        <f t="shared" si="120"/>
        <v>72168</v>
      </c>
      <c r="BQ68" s="578">
        <f t="shared" si="121"/>
        <v>108252</v>
      </c>
      <c r="BR68" s="259">
        <f t="shared" si="122"/>
        <v>288672</v>
      </c>
      <c r="BS68" s="578">
        <f t="shared" si="123"/>
        <v>433008</v>
      </c>
      <c r="BT68" s="216">
        <f t="shared" si="124"/>
        <v>4.2984257357973989</v>
      </c>
      <c r="BU68" s="218">
        <f t="shared" si="5"/>
        <v>78.119994059869029</v>
      </c>
      <c r="BV68" s="216">
        <f t="shared" si="6"/>
        <v>78.119994059869029</v>
      </c>
      <c r="BW68" s="216">
        <f t="shared" si="7"/>
        <v>28.573935597125381</v>
      </c>
      <c r="BX68" s="216">
        <f t="shared" si="125"/>
        <v>28.573936129356412</v>
      </c>
      <c r="BY68" s="216">
        <f t="shared" si="8"/>
        <v>70.128694307813603</v>
      </c>
      <c r="BZ68" s="216">
        <f t="shared" si="9"/>
        <v>56.27710824832787</v>
      </c>
      <c r="CA68" s="264">
        <f t="shared" si="10"/>
        <v>78.119994059869029</v>
      </c>
      <c r="CB68" s="216">
        <f t="shared" si="11"/>
        <v>78.119994059869029</v>
      </c>
      <c r="CC68" s="216">
        <f t="shared" si="12"/>
        <v>28.573935597125381</v>
      </c>
      <c r="CD68" s="216">
        <f t="shared" si="126"/>
        <v>28.573936129356412</v>
      </c>
      <c r="CE68" s="216">
        <f t="shared" si="13"/>
        <v>70.128694307813603</v>
      </c>
      <c r="CF68" s="571">
        <f t="shared" si="14"/>
        <v>56.27710824832787</v>
      </c>
      <c r="CG68" s="573">
        <f t="shared" si="15"/>
        <v>0.16</v>
      </c>
      <c r="CH68" s="219">
        <f t="shared" si="16"/>
        <v>0.16</v>
      </c>
      <c r="CI68" s="219">
        <f t="shared" si="17"/>
        <v>0.11</v>
      </c>
      <c r="CJ68" s="219">
        <f t="shared" si="18"/>
        <v>0.15676548916905977</v>
      </c>
      <c r="CK68" s="219">
        <f t="shared" si="19"/>
        <v>0.15676548916905977</v>
      </c>
      <c r="CL68" s="219">
        <f t="shared" si="20"/>
        <v>0.11</v>
      </c>
      <c r="CM68" s="219">
        <f t="shared" si="21"/>
        <v>0.14086850527639611</v>
      </c>
      <c r="CN68" s="569">
        <f t="shared" si="22"/>
        <v>0.14086850527639611</v>
      </c>
      <c r="CO68" s="264">
        <f t="shared" si="175"/>
        <v>17.438758525831961</v>
      </c>
      <c r="CP68" s="216">
        <f t="shared" si="127"/>
        <v>17.438758525831961</v>
      </c>
      <c r="CQ68" s="216">
        <f t="shared" ca="1" si="192"/>
        <v>17.438758525831961</v>
      </c>
      <c r="CR68" s="216">
        <f t="shared" ca="1" si="193"/>
        <v>17.438758525831961</v>
      </c>
      <c r="CS68" s="1626">
        <f t="shared" ca="1" si="194"/>
        <v>17.438758525831958</v>
      </c>
      <c r="CT68" s="216">
        <f t="shared" si="131"/>
        <v>17.438758525831961</v>
      </c>
      <c r="CU68" s="575">
        <f t="shared" si="23"/>
        <v>0.17499999999999999</v>
      </c>
      <c r="CV68" s="154">
        <f t="shared" si="24"/>
        <v>0.5</v>
      </c>
      <c r="CW68" s="216">
        <f>IF(OR($BQ68,$BS68),SpreadOptPowerMargin,0)*((1+Assumptions!$C$26)^($B68-YEAR(Assumptions!$C$17)))</f>
        <v>1.8360000000000001</v>
      </c>
      <c r="CX68" s="216">
        <f>IF(OR($BQ68,$BS68),SpreadOptPowerMargin,0)*((1+Assumptions!$C$26)^($B68-YEAR(Assumptions!$C$17)))</f>
        <v>1.8360000000000001</v>
      </c>
      <c r="CY68" s="216">
        <f>IF(OR($BQ68,$BS68),SpreadOptPowerMargin,0)*((1+Assumptions!$C$26)^($B68-YEAR(Assumptions!$C$17)))</f>
        <v>1.8360000000000001</v>
      </c>
      <c r="CZ68" s="216">
        <f>IF(OR($BQ68,$BS68),SpreadOptPowerMargin,0)*((1+Assumptions!$C$26)^($B68-YEAR(Assumptions!$C$17)))</f>
        <v>1.8360000000000001</v>
      </c>
      <c r="DA68" s="440">
        <f t="shared" si="25"/>
        <v>1.8360000000000001</v>
      </c>
      <c r="DB68" s="479">
        <f t="shared" si="26"/>
        <v>0.16</v>
      </c>
      <c r="DC68" s="479">
        <f t="shared" si="27"/>
        <v>0.16</v>
      </c>
      <c r="DD68" s="479">
        <f t="shared" si="28"/>
        <v>0.11</v>
      </c>
      <c r="DE68" s="479">
        <f t="shared" si="29"/>
        <v>0.11</v>
      </c>
      <c r="DF68" s="479">
        <f t="shared" si="30"/>
        <v>0.14086850527639611</v>
      </c>
      <c r="DG68" s="574">
        <f t="shared" si="31"/>
        <v>0.14086850527639611</v>
      </c>
      <c r="DH68" s="216">
        <f t="shared" si="32"/>
        <v>58.845284275142454</v>
      </c>
      <c r="DI68" s="216">
        <f t="shared" si="33"/>
        <v>58.845284275142454</v>
      </c>
      <c r="DJ68" s="216">
        <f t="shared" ca="1" si="195"/>
        <v>9.5897037316169609</v>
      </c>
      <c r="DK68" s="216">
        <f t="shared" ca="1" si="196"/>
        <v>9.5897042276616009</v>
      </c>
      <c r="DL68" s="216">
        <f t="shared" ca="1" si="197"/>
        <v>37.003335063888478</v>
      </c>
      <c r="DM68" s="216"/>
      <c r="DN68" s="216"/>
      <c r="DO68" s="216"/>
      <c r="DP68" s="216"/>
      <c r="DQ68" s="216"/>
      <c r="DR68" s="216"/>
      <c r="DS68" s="216"/>
      <c r="DT68" s="216"/>
      <c r="DU68" s="216"/>
      <c r="DV68" s="216"/>
      <c r="DW68" s="1371">
        <f t="shared" si="37"/>
        <v>9.5897037316169609</v>
      </c>
      <c r="DX68" s="216">
        <f t="shared" si="38"/>
        <v>9.5897042276616009</v>
      </c>
      <c r="DY68" s="440">
        <f t="shared" si="39"/>
        <v>37.130458609474054</v>
      </c>
      <c r="DZ68" s="180">
        <f t="shared" si="40"/>
        <v>3013820.0794356959</v>
      </c>
      <c r="EA68" s="180">
        <f t="shared" si="41"/>
        <v>547967.28717012657</v>
      </c>
      <c r="EB68" s="180">
        <f t="shared" ca="1" si="198"/>
        <v>111624.15143602142</v>
      </c>
      <c r="EC68" s="180">
        <f t="shared" ca="1" si="199"/>
        <v>346034.88735094119</v>
      </c>
      <c r="ED68" s="180">
        <f t="shared" ca="1" si="200"/>
        <v>4005685.0273360554</v>
      </c>
      <c r="EE68" s="581">
        <f t="shared" si="45"/>
        <v>3013817.5831112429</v>
      </c>
      <c r="EF68" s="554">
        <f t="shared" si="46"/>
        <v>547966.8332929532</v>
      </c>
      <c r="EG68" s="554">
        <f t="shared" ca="1" si="201"/>
        <v>108242.42110985542</v>
      </c>
      <c r="EH68" s="554">
        <f t="shared" ca="1" si="202"/>
        <v>335551.52464557631</v>
      </c>
      <c r="EI68" s="561">
        <f t="shared" ca="1" si="49"/>
        <v>4005578.3621596275</v>
      </c>
      <c r="EJ68" s="581">
        <f t="shared" si="132"/>
        <v>2.4963244530372322</v>
      </c>
      <c r="EK68" s="554">
        <f t="shared" si="133"/>
        <v>0.45387717336416245</v>
      </c>
      <c r="EL68" s="554">
        <f t="shared" ca="1" si="203"/>
        <v>3381.7303261659981</v>
      </c>
      <c r="EM68" s="554">
        <f t="shared" ca="1" si="204"/>
        <v>10483.362705364882</v>
      </c>
      <c r="EN68" s="561">
        <f t="shared" ca="1" si="205"/>
        <v>106.66517642792314</v>
      </c>
      <c r="EO68" s="180">
        <f t="shared" si="50"/>
        <v>12055280.317742784</v>
      </c>
      <c r="EP68" s="180">
        <f t="shared" si="51"/>
        <v>2191869.1486805063</v>
      </c>
      <c r="EQ68" s="180">
        <f t="shared" si="52"/>
        <v>446496.60574408568</v>
      </c>
      <c r="ER68" s="180">
        <f t="shared" si="53"/>
        <v>1384139.5494037648</v>
      </c>
      <c r="ES68" s="180">
        <f t="shared" si="54"/>
        <v>16077785.621571142</v>
      </c>
      <c r="ET68" s="1482">
        <f t="shared" ca="1" si="206"/>
        <v>12055270.332444971</v>
      </c>
      <c r="EU68" s="180">
        <f t="shared" ca="1" si="207"/>
        <v>2191867.3331718128</v>
      </c>
      <c r="EV68" s="180">
        <f t="shared" ca="1" si="208"/>
        <v>432969.68443942169</v>
      </c>
      <c r="EW68" s="180">
        <f t="shared" ca="1" si="209"/>
        <v>1342206.0985823052</v>
      </c>
      <c r="EX68" s="555">
        <f t="shared" ca="1" si="182"/>
        <v>16022313.448638512</v>
      </c>
      <c r="EY68" s="180">
        <f t="shared" ca="1" si="210"/>
        <v>9.9852978121489286</v>
      </c>
      <c r="EZ68" s="180">
        <f t="shared" ca="1" si="211"/>
        <v>1.8155086934566498</v>
      </c>
      <c r="FA68" s="180">
        <f t="shared" ca="1" si="212"/>
        <v>13526.921304663992</v>
      </c>
      <c r="FB68" s="180">
        <f t="shared" ca="1" si="213"/>
        <v>41933.450821459526</v>
      </c>
      <c r="FC68" s="180">
        <f t="shared" ca="1" si="214"/>
        <v>55472.172932630405</v>
      </c>
      <c r="FD68" s="262">
        <f>IF(AX68,IF(VLOOKUP(C68,MAIN!$L$17:$M$28,2)="Yes",VLOOKUP(CALC!B68,MAIN!$H$17:$I$20,2),0),0)</f>
        <v>0</v>
      </c>
      <c r="FE68" s="623">
        <f t="shared" si="60"/>
        <v>0</v>
      </c>
      <c r="FF68" s="535">
        <f t="shared" si="61"/>
        <v>0</v>
      </c>
      <c r="FG68" s="535">
        <f t="shared" si="62"/>
        <v>0</v>
      </c>
      <c r="FH68" s="624">
        <f t="shared" si="63"/>
        <v>0</v>
      </c>
      <c r="FI68" s="632">
        <f>IF(AX68,VLOOKUP(CALC!B68,MAIN!$H$17:$K$20,4),0)</f>
        <v>0</v>
      </c>
      <c r="FJ68" s="535">
        <f t="shared" si="64"/>
        <v>0</v>
      </c>
      <c r="FK68" s="648">
        <f t="shared" si="142"/>
        <v>0</v>
      </c>
      <c r="FL68" s="530">
        <f t="shared" ca="1" si="215"/>
        <v>0</v>
      </c>
      <c r="FM68" s="530">
        <f t="shared" ca="1" si="216"/>
        <v>0</v>
      </c>
      <c r="FN68" s="530">
        <f t="shared" ca="1" si="217"/>
        <v>0</v>
      </c>
      <c r="FO68" s="622">
        <f t="shared" ca="1" si="218"/>
        <v>0</v>
      </c>
      <c r="FP68" s="530">
        <f t="shared" ca="1" si="219"/>
        <v>0</v>
      </c>
      <c r="FQ68" s="530">
        <f t="shared" ca="1" si="220"/>
        <v>0</v>
      </c>
      <c r="FR68" s="530">
        <f t="shared" ca="1" si="221"/>
        <v>0</v>
      </c>
      <c r="FS68" s="625">
        <f t="shared" ca="1" si="222"/>
        <v>0</v>
      </c>
      <c r="FT68" s="640">
        <f ca="1">IF(AND(Assumptions!$H$71="Yes",A68&gt;=Assumptions!$H$72,A68&lt;=Assumptions!$H$73),0,IF(AND($A68&gt;=Assumptions!$C$17,$A68&lt;=Assumptions!$C$18),MAX(AZ68*(1+VLOOKUP($C68,WeatherCapacityAdjustment,2))-FL68,0),0))</f>
        <v>51216</v>
      </c>
      <c r="FU68" s="530">
        <f ca="1">IF(AND(Assumptions!$H$71="Yes",A68&gt;=Assumptions!$H$72,A68&lt;=Assumptions!$H$73),0,IF(AND($A68&gt;=Assumptions!$C$17,$A68&lt;=Assumptions!$C$18),MAX(BA68*(1+VLOOKUP($C68,WeatherCapacityAdjustment,2))-FM68,0),0))</f>
        <v>9312</v>
      </c>
      <c r="FV68" s="530">
        <f ca="1">IF(AND(Assumptions!$H$71="Yes",A68&gt;=Assumptions!$H$72,A68&lt;=Assumptions!$H$73),0,IF(AND($A68&gt;=Assumptions!$C$17,$A68&lt;=Assumptions!$C$18),MAX(BB68*(1+VLOOKUP($C68,WeatherCapacityAdjustment,2))-FN68,0),0))</f>
        <v>11640</v>
      </c>
      <c r="FW68" s="622">
        <f ca="1">IF(AND(Assumptions!$H$71="Yes",A68&gt;=Assumptions!$H$72,A68&lt;=Assumptions!$H$73),0,IF(AND($A68&gt;=Assumptions!$C$17,$A68&lt;=Assumptions!$C$18),MAX(BC68*(1+VLOOKUP($C68,WeatherCapacityAdjustment,3))-FO68,0),0))</f>
        <v>36084</v>
      </c>
      <c r="FX68" s="621">
        <f ca="1">IF(AND(Assumptions!$H$71="Yes",A68&gt;=Assumptions!$H$72,A68&lt;=Assumptions!$H$73),0,IF(ET68&gt;0,MAX(BH68*(1+VLOOKUP($C68,WeatherCapacityAdjustment,2))-FP68,0),0))</f>
        <v>204864</v>
      </c>
      <c r="FY68" s="530">
        <f ca="1">IF(AND(Assumptions!$H$71="Yes",A68&gt;=Assumptions!$H$72,A68&lt;=Assumptions!$H$73),0,IF(EU68&gt;0,MAX(BI68*(1+VLOOKUP($C68,WeatherCapacityAdjustment,3))-FQ68,0),0))</f>
        <v>37248</v>
      </c>
      <c r="FZ68" s="530">
        <f ca="1">IF(AND(Assumptions!$H$71="Yes",A68&gt;=Assumptions!$H$72,A68&lt;=Assumptions!$H$73),0,IF(EV68&gt;0,MAX(BJ68*(1+VLOOKUP($C68,WeatherCapacityAdjustment,2))-FR68,0),0))</f>
        <v>46560</v>
      </c>
      <c r="GA68" s="622">
        <f ca="1">IF(AND(Assumptions!$H$71="Yes",A68&gt;=Assumptions!$H$72,A68&lt;=Assumptions!$H$73),0,IF(EW68&gt;0,MAX(BK68*(1+VLOOKUP($C68,WeatherCapacityAdjustment,2))-FS68,0),0))</f>
        <v>144336</v>
      </c>
      <c r="GB68" s="530">
        <f t="shared" ca="1" si="65"/>
        <v>541260</v>
      </c>
      <c r="GC68" s="545">
        <f t="shared" ca="1" si="66"/>
        <v>56.277108248327878</v>
      </c>
      <c r="GD68" s="530">
        <f t="shared" ca="1" si="223"/>
        <v>30460547.610489946</v>
      </c>
      <c r="GE68" s="1485">
        <f t="shared" ca="1" si="224"/>
        <v>764129.21759999997</v>
      </c>
      <c r="GF68" s="1776">
        <f t="shared" ca="1" si="225"/>
        <v>3056516.8703999999</v>
      </c>
      <c r="GG68" s="545">
        <f t="shared" si="190"/>
        <v>2.4704990261562814</v>
      </c>
      <c r="GH68" s="622">
        <f t="shared" ca="1" si="191"/>
        <v>9438902.4396918062</v>
      </c>
      <c r="GI68" s="621">
        <f t="shared" ca="1" si="152"/>
        <v>541260</v>
      </c>
      <c r="GJ68" s="638">
        <f t="shared" si="68"/>
        <v>1.8360000000000001</v>
      </c>
      <c r="GK68" s="625">
        <f t="shared" ca="1" si="166"/>
        <v>993753.36</v>
      </c>
      <c r="GL68" s="640">
        <f t="shared" ca="1" si="226"/>
        <v>0</v>
      </c>
      <c r="GM68" s="530">
        <f t="shared" ca="1" si="227"/>
        <v>0</v>
      </c>
      <c r="GN68" s="530">
        <f t="shared" ca="1" si="228"/>
        <v>0</v>
      </c>
      <c r="GO68" s="622">
        <f t="shared" ca="1" si="229"/>
        <v>0</v>
      </c>
      <c r="GP68" s="530">
        <f t="shared" ca="1" si="73"/>
        <v>0</v>
      </c>
      <c r="GQ68" s="545">
        <f t="shared" ca="1" si="74"/>
        <v>0</v>
      </c>
      <c r="GR68" s="625">
        <f t="shared" ca="1" si="230"/>
        <v>0</v>
      </c>
      <c r="GS68" s="640">
        <f>IF($A68&gt;=BegDate,Assumptions!$C$56*24*($A69-$A68)*(1-VLOOKUP($B68,MAIN!$AA$7:$AM$28,$C68+1))*(1-VLOOKUP($B68,MAIN!$AA$33:$AM$54,$C68+1)),0)*80/168</f>
        <v>257742.85714285713</v>
      </c>
      <c r="GT68" s="1715">
        <f t="shared" si="153"/>
        <v>78.119994932927995</v>
      </c>
      <c r="GU68" s="1715">
        <f>IF($A68&gt;=BegDate,VLOOKUP($A68,GasTable,13)+Assumptions!$C$58,0)</f>
        <v>2.4704990261562814</v>
      </c>
      <c r="GV68" s="1715">
        <f>GU68*Assumptions!$C$57/1000</f>
        <v>17.911117939633041</v>
      </c>
      <c r="GW68" s="625">
        <f>IF(Assumptions!$C$60="Hourly",MAX(0,GS68*(GT68-GV68)),GS68*(GT68-GV68))</f>
        <v>15518407.981614677</v>
      </c>
      <c r="GX68" s="640">
        <f>IF($A68&gt;=BegDate,Assumptions!$C$56*24*($A69-$A68)*(1-VLOOKUP($B68,MAIN!$AA$7:$AM$28,$C68+1))*(1-VLOOKUP($B68,MAIN!$AA$33:$AM$54,$C68+1)),0)*16/168</f>
        <v>51548.571428571428</v>
      </c>
      <c r="GY68" s="1715">
        <f t="shared" si="154"/>
        <v>78.119994932927995</v>
      </c>
      <c r="GZ68" s="1715">
        <f>IF($A68&gt;=BegDate,VLOOKUP($A68,GasTable,13)+Assumptions!$C$58,0)</f>
        <v>2.4704990261562814</v>
      </c>
      <c r="HA68" s="1715">
        <f>GZ68*Assumptions!$C$57/1000</f>
        <v>17.911117939633041</v>
      </c>
      <c r="HB68" s="625">
        <f>IF(Assumptions!$C$60="Hourly",MAX(0,GX68*(GY68-HA68)),GX68*(GY68-HA68))</f>
        <v>3103681.5963229355</v>
      </c>
      <c r="HC68" s="640">
        <f>IF($A68&gt;=BegDate,Assumptions!$C$56*24*($A69-$A68)*(1-VLOOKUP($B68,MAIN!$AA$7:$AM$28,$C68+1))*(1-VLOOKUP($B68,MAIN!$AA$33:$AM$54,$C68+1)),0)*16/168</f>
        <v>51548.571428571428</v>
      </c>
      <c r="HD68" s="1715">
        <f t="shared" si="155"/>
        <v>28.573935916463999</v>
      </c>
      <c r="HE68" s="1715">
        <f>IF($A68&gt;=BegDate,VLOOKUP($A68,GasTable,13)+Assumptions!$C$58,0)</f>
        <v>2.4704990261562814</v>
      </c>
      <c r="HF68" s="1715">
        <f>HE68*Assumptions!$C$57/1000</f>
        <v>17.911117939633041</v>
      </c>
      <c r="HG68" s="625">
        <f>IF(Assumptions!$C$60="Hourly",MAX(0,HC68*(HD68-HF68)),HC68*(HD68-HF68))</f>
        <v>549653.03410852607</v>
      </c>
      <c r="HH68" s="640">
        <f>IF($A68&gt;=BegDate,Assumptions!$C$56*24*($A69-$A68)*(1-VLOOKUP($B68,MAIN!$AA$7:$AM$28,$C68+1))*(1-VLOOKUP($B68,MAIN!$AA$33:$AM$54,$C68+1)),0)*56/168</f>
        <v>180420</v>
      </c>
      <c r="HI68" s="1715">
        <f t="shared" si="156"/>
        <v>28.573935916463999</v>
      </c>
      <c r="HJ68" s="1715">
        <f>IF($A68&gt;=BegDate,VLOOKUP($A68,GasTable,13)+Assumptions!$C$58,0)</f>
        <v>2.4704990261562814</v>
      </c>
      <c r="HK68" s="1715">
        <f>HJ68*Assumptions!$C$57/1000</f>
        <v>17.911117939633041</v>
      </c>
      <c r="HL68" s="625">
        <f>IF(Assumptions!$C$60="Hourly",MAX(0,HH68*(HI68-HK68)),HH68*(HI68-HK68))</f>
        <v>1923785.6193798415</v>
      </c>
      <c r="HM68" s="640">
        <f>IF(AND(Assumptions!$H$71="Yes",A68&gt;=Assumptions!$H$72,A68&lt;=Assumptions!$H$73),Assumptions!$H$74*Assumptions!$C$9*1000,0)</f>
        <v>0</v>
      </c>
      <c r="HN68" s="530">
        <f t="shared" ca="1" si="233"/>
        <v>21021645.170798138</v>
      </c>
      <c r="HO68" s="545"/>
      <c r="HP68" s="545"/>
      <c r="HQ68" s="545"/>
      <c r="HR68" s="545"/>
      <c r="HS68" s="545"/>
      <c r="HT68" s="545"/>
      <c r="HU68" s="545"/>
      <c r="HV68" s="545"/>
      <c r="HW68" s="545"/>
      <c r="HX68" s="545"/>
      <c r="HY68" s="545"/>
      <c r="HZ68" s="545"/>
      <c r="IA68" s="545"/>
      <c r="IB68" s="545"/>
      <c r="IC68" s="545"/>
      <c r="ID68" s="545"/>
      <c r="IE68" s="545"/>
      <c r="IF68" s="545"/>
      <c r="IG68" s="545"/>
      <c r="IH68" s="545"/>
      <c r="II68" s="1464"/>
      <c r="IJ68" s="1463"/>
      <c r="IK68" s="1463"/>
    </row>
    <row r="69" spans="1:245">
      <c r="A69" s="177">
        <f t="shared" si="87"/>
        <v>38231</v>
      </c>
      <c r="B69" s="349">
        <f t="shared" si="88"/>
        <v>2004</v>
      </c>
      <c r="C69" s="15">
        <f t="shared" si="89"/>
        <v>9</v>
      </c>
      <c r="D69" s="612">
        <f t="shared" si="90"/>
        <v>38236</v>
      </c>
      <c r="E69" s="609">
        <f t="shared" si="91"/>
        <v>38231</v>
      </c>
      <c r="F69" s="614">
        <f t="shared" si="2"/>
        <v>38260</v>
      </c>
      <c r="G69" s="1349">
        <v>0</v>
      </c>
      <c r="H69" s="152">
        <f t="shared" si="165"/>
        <v>1</v>
      </c>
      <c r="I69" s="154">
        <f>IF(Assumptions!$L$25=4,VLOOKUP($A69,'Henwood Reference'!$E$9:$R$320,10),(VLOOKUP($A69,PriceTable,2,0)+IF(BasisNumber&lt;&gt;1,VLOOKUP($A69,BasisTable,2,0),0)+I$1)/(1-I$2))</f>
        <v>60.316042522031999</v>
      </c>
      <c r="J69" s="154">
        <f>IF(Assumptions!$L$25=4,VLOOKUP($A69,'Henwood Reference'!$E$9:$R$320,10),(VLOOKUP($A69,PriceTable,3,0)+IF(BasisNumber&lt;&gt;1,VLOOKUP($A69,BasisTable,2,0),0)+J$1)/(1-J$2))</f>
        <v>60.316042522031999</v>
      </c>
      <c r="K69" s="154">
        <f>IF(Assumptions!$L$25=4,VLOOKUP($A69,'Henwood Reference'!$E$9:$R$320,10),(VLOOKUP($A69,PriceTable,4,0)+IF(BasisNumber&lt;&gt;1,VLOOKUP($A69,BasisTable,2,0),0)+K$1)/(1-K$2))</f>
        <v>60.316042522031999</v>
      </c>
      <c r="L69" s="474">
        <f>IF(Assumptions!$L$25=4,VLOOKUP($A69,'Henwood Reference'!$E$9:$R$320,10),(VLOOKUP($A69,PriceTableWeekend,2,0)+IF(BasisNumber&lt;&gt;1,VLOOKUP($A69,BasisTable,2,0),0)+L$1)/(1-L$2))</f>
        <v>60.316042522031999</v>
      </c>
      <c r="M69" s="154">
        <f>IF(Assumptions!$L$25=4,VLOOKUP($A69,'Henwood Reference'!$E$9:$R$320,10),(VLOOKUP($A69,PriceTableWeekend,3,0)+IF(BasisNumber&lt;&gt;1,VLOOKUP($A69,BasisTable,2,0),0)+M$1)/(1-M$2))</f>
        <v>60.316042522031999</v>
      </c>
      <c r="N69" s="156">
        <f>IF(Assumptions!$L$25=4,VLOOKUP($A69,'Henwood Reference'!$E$9:$R$320,10),(VLOOKUP($A69,PriceTableWeekend,4,0)+IF(BasisNumber&lt;&gt;1,VLOOKUP($A69,BasisTable,2,0),0)+N$1)/(1-N$2))</f>
        <v>60.316042522031999</v>
      </c>
      <c r="O69" s="154">
        <f>IF(Assumptions!$L$25=4,VLOOKUP($A69,'Henwood Reference'!$E$9:$R$320,11),(VLOOKUP($A69,PriceTableWeekend,6,0)+IF(BasisNumber&lt;&gt;1,VLOOKUP($A69,BasisTable,3,0),0)+O$1)/(1-O$2))</f>
        <v>27.672702900048002</v>
      </c>
      <c r="P69" s="154">
        <f>IF(Assumptions!$L$25=4,VLOOKUP($A69,'Henwood Reference'!$E$9:$R$320,11),(VLOOKUP($A69,PriceTableWeekend,7,0)+IF(BasisNumber&lt;&gt;1,VLOOKUP($A69,BasisTable,3,0),0)+P$1)/(1-P$2))</f>
        <v>27.672702900048002</v>
      </c>
      <c r="Q69" s="156">
        <f>IF(Assumptions!$L$25=4,VLOOKUP($A69,'Henwood Reference'!$E$9:$R$320,11),(VLOOKUP($A69,PriceTableWeekend,8,0)+IF(BasisNumber&lt;&gt;1,VLOOKUP($A69,BasisTable,3,0),0)+Q$1)/(1-Q$2))</f>
        <v>27.672702900048002</v>
      </c>
      <c r="R69" s="154">
        <f>IF(Assumptions!$L$25=4,VLOOKUP($A69,'Henwood Reference'!$E$9:$R$320,11),(VLOOKUP($A69,PriceTable,6,0)+IF(BasisNumber&lt;&gt;1,VLOOKUP($A69,BasisTable,3,0),0)+R$1)/(1-R$2))</f>
        <v>27.672702900048002</v>
      </c>
      <c r="S69" s="154">
        <f>IF(Assumptions!$L$25=4,VLOOKUP($A69,'Henwood Reference'!$E$9:$R$320,11),(VLOOKUP($A69,PriceTable,7,0)+IF(BasisNumber&lt;&gt;1,VLOOKUP($A69,BasisTable,3,0),0)+S$1)/(1-S$2))</f>
        <v>27.672702900048002</v>
      </c>
      <c r="T69" s="155">
        <f>IF(Assumptions!$L$25=4,VLOOKUP($A69,'Henwood Reference'!$E$9:$R$320,11),(VLOOKUP($A69,PriceTable,8,0)+IF(BasisNumber&lt;&gt;1,VLOOKUP($A69,BasisTable,3,0),0)+T$1)/(1-T$2))</f>
        <v>27.672702900048002</v>
      </c>
      <c r="U69" s="173">
        <f t="shared" si="92"/>
        <v>0.15</v>
      </c>
      <c r="V69" s="173">
        <f t="shared" si="93"/>
        <v>0.16</v>
      </c>
      <c r="W69" s="174">
        <f t="shared" si="94"/>
        <v>0.17</v>
      </c>
      <c r="X69" s="173">
        <f t="shared" si="95"/>
        <v>0.15</v>
      </c>
      <c r="Y69" s="173">
        <f t="shared" si="96"/>
        <v>0.16</v>
      </c>
      <c r="Z69" s="174">
        <f t="shared" si="97"/>
        <v>0.17</v>
      </c>
      <c r="AA69" s="173">
        <f t="shared" si="98"/>
        <v>0.09</v>
      </c>
      <c r="AB69" s="173">
        <f t="shared" si="99"/>
        <v>0.11</v>
      </c>
      <c r="AC69" s="174">
        <f t="shared" si="100"/>
        <v>0.13</v>
      </c>
      <c r="AD69" s="173">
        <f t="shared" si="101"/>
        <v>0.09</v>
      </c>
      <c r="AE69" s="173">
        <f t="shared" si="102"/>
        <v>0.11</v>
      </c>
      <c r="AF69" s="174">
        <f t="shared" si="103"/>
        <v>0.13</v>
      </c>
      <c r="AG69" s="173">
        <f t="shared" si="104"/>
        <v>-0.35</v>
      </c>
      <c r="AH69" s="173">
        <f t="shared" si="105"/>
        <v>3</v>
      </c>
      <c r="AI69" s="174">
        <f t="shared" si="106"/>
        <v>0.2</v>
      </c>
      <c r="AJ69" s="173">
        <f t="shared" si="107"/>
        <v>-0.35</v>
      </c>
      <c r="AK69" s="173">
        <f t="shared" si="108"/>
        <v>3</v>
      </c>
      <c r="AL69" s="174">
        <f t="shared" si="109"/>
        <v>0.2</v>
      </c>
      <c r="AM69" s="173">
        <f t="shared" si="110"/>
        <v>-0.01</v>
      </c>
      <c r="AN69" s="173">
        <f t="shared" si="111"/>
        <v>0.16</v>
      </c>
      <c r="AO69" s="174">
        <f t="shared" si="112"/>
        <v>0.01</v>
      </c>
      <c r="AP69" s="173">
        <f t="shared" si="113"/>
        <v>-0.01</v>
      </c>
      <c r="AQ69" s="173">
        <f t="shared" si="114"/>
        <v>0.16</v>
      </c>
      <c r="AR69" s="175">
        <f t="shared" si="115"/>
        <v>0.01</v>
      </c>
      <c r="AS69" s="521">
        <f t="shared" si="231"/>
        <v>0.5</v>
      </c>
      <c r="AT69" s="349">
        <f t="shared" si="117"/>
        <v>21</v>
      </c>
      <c r="AU69" s="159">
        <f t="shared" si="3"/>
        <v>4</v>
      </c>
      <c r="AV69" s="159">
        <f t="shared" si="4"/>
        <v>4</v>
      </c>
      <c r="AW69" s="159">
        <f t="shared" si="232"/>
        <v>1</v>
      </c>
      <c r="AX69" s="15">
        <f t="shared" si="119"/>
        <v>30</v>
      </c>
      <c r="AY69" s="607">
        <f>IF(E69="",0,MIN((1-(1-VLOOKUP(B69,MAIN!$AA$7:$AM$28,C69+1))*(1-VLOOKUP(B69,MAIN!$AA$33:$AM$54,C69+1))),1))</f>
        <v>3.0000000000000027E-2</v>
      </c>
      <c r="AZ69" s="337">
        <v>48888</v>
      </c>
      <c r="BA69" s="509">
        <v>9312</v>
      </c>
      <c r="BB69" s="509">
        <v>11640</v>
      </c>
      <c r="BC69" s="511">
        <v>34920</v>
      </c>
      <c r="BD69" s="153">
        <v>0.9699999927729368</v>
      </c>
      <c r="BE69" s="474">
        <v>0.9699999927729368</v>
      </c>
      <c r="BF69" s="474">
        <v>0.9699999927729368</v>
      </c>
      <c r="BG69" s="515">
        <v>0.9699999927729368</v>
      </c>
      <c r="BH69" s="262">
        <v>195552</v>
      </c>
      <c r="BI69" s="509">
        <v>37248</v>
      </c>
      <c r="BJ69" s="509">
        <v>46560</v>
      </c>
      <c r="BK69" s="511">
        <v>139680</v>
      </c>
      <c r="BL69" s="153">
        <v>0.9699999927729368</v>
      </c>
      <c r="BM69" s="474">
        <v>0.9699999927729368</v>
      </c>
      <c r="BN69" s="474">
        <v>0.9699999927729368</v>
      </c>
      <c r="BO69" s="474">
        <v>0.9699999927729368</v>
      </c>
      <c r="BP69" s="261">
        <f t="shared" si="120"/>
        <v>69840</v>
      </c>
      <c r="BQ69" s="578">
        <f t="shared" si="121"/>
        <v>104760</v>
      </c>
      <c r="BR69" s="259">
        <f t="shared" si="122"/>
        <v>279360</v>
      </c>
      <c r="BS69" s="578">
        <f t="shared" si="123"/>
        <v>419040</v>
      </c>
      <c r="BT69" s="216">
        <f t="shared" si="124"/>
        <v>4.3832991101984939</v>
      </c>
      <c r="BU69" s="218">
        <f t="shared" si="5"/>
        <v>60.31604207264246</v>
      </c>
      <c r="BV69" s="216">
        <f t="shared" si="6"/>
        <v>60.31604207264246</v>
      </c>
      <c r="BW69" s="216">
        <f t="shared" si="7"/>
        <v>27.672702693870299</v>
      </c>
      <c r="BX69" s="216">
        <f t="shared" si="125"/>
        <v>27.672702693870299</v>
      </c>
      <c r="BY69" s="216">
        <f t="shared" si="8"/>
        <v>54.875485509513759</v>
      </c>
      <c r="BZ69" s="216">
        <f t="shared" si="9"/>
        <v>45.807891237632603</v>
      </c>
      <c r="CA69" s="264">
        <f t="shared" si="10"/>
        <v>60.31604207264246</v>
      </c>
      <c r="CB69" s="216">
        <f t="shared" si="11"/>
        <v>60.31604207264246</v>
      </c>
      <c r="CC69" s="216">
        <f t="shared" si="12"/>
        <v>27.672702693870299</v>
      </c>
      <c r="CD69" s="216">
        <f t="shared" si="126"/>
        <v>27.672702693870299</v>
      </c>
      <c r="CE69" s="216">
        <f t="shared" si="13"/>
        <v>54.875485509513759</v>
      </c>
      <c r="CF69" s="571">
        <f t="shared" si="14"/>
        <v>45.807891237632603</v>
      </c>
      <c r="CG69" s="573">
        <f t="shared" si="15"/>
        <v>0.16</v>
      </c>
      <c r="CH69" s="219">
        <f t="shared" si="16"/>
        <v>0.16</v>
      </c>
      <c r="CI69" s="219">
        <f t="shared" si="17"/>
        <v>0.11</v>
      </c>
      <c r="CJ69" s="219">
        <f t="shared" si="18"/>
        <v>0.15586303609475544</v>
      </c>
      <c r="CK69" s="219">
        <f t="shared" si="19"/>
        <v>0.15586303609475544</v>
      </c>
      <c r="CL69" s="219">
        <f t="shared" si="20"/>
        <v>0.11</v>
      </c>
      <c r="CM69" s="219">
        <f t="shared" si="21"/>
        <v>0.1373374139660839</v>
      </c>
      <c r="CN69" s="569">
        <f t="shared" si="22"/>
        <v>0.1373374139660839</v>
      </c>
      <c r="CO69" s="264">
        <f t="shared" si="175"/>
        <v>18.170776841954286</v>
      </c>
      <c r="CP69" s="216">
        <f t="shared" si="127"/>
        <v>18.170776841954286</v>
      </c>
      <c r="CQ69" s="216">
        <f t="shared" ca="1" si="192"/>
        <v>18.170776841954286</v>
      </c>
      <c r="CR69" s="216">
        <f t="shared" ca="1" si="193"/>
        <v>18.170776841954286</v>
      </c>
      <c r="CS69" s="1626">
        <f t="shared" ca="1" si="194"/>
        <v>18.170776841954286</v>
      </c>
      <c r="CT69" s="216">
        <f t="shared" si="131"/>
        <v>18.170776841954286</v>
      </c>
      <c r="CU69" s="575">
        <f t="shared" si="23"/>
        <v>0.17499999999999999</v>
      </c>
      <c r="CV69" s="154">
        <f t="shared" si="24"/>
        <v>0.5</v>
      </c>
      <c r="CW69" s="216">
        <f>IF(OR($BQ69,$BS69),SpreadOptPowerMargin,0)*((1+Assumptions!$C$26)^($B69-YEAR(Assumptions!$C$17)))</f>
        <v>1.8360000000000001</v>
      </c>
      <c r="CX69" s="216">
        <f>IF(OR($BQ69,$BS69),SpreadOptPowerMargin,0)*((1+Assumptions!$C$26)^($B69-YEAR(Assumptions!$C$17)))</f>
        <v>1.8360000000000001</v>
      </c>
      <c r="CY69" s="216">
        <f>IF(OR($BQ69,$BS69),SpreadOptPowerMargin,0)*((1+Assumptions!$C$26)^($B69-YEAR(Assumptions!$C$17)))</f>
        <v>1.8360000000000001</v>
      </c>
      <c r="CZ69" s="216">
        <f>IF(OR($BQ69,$BS69),SpreadOptPowerMargin,0)*((1+Assumptions!$C$26)^($B69-YEAR(Assumptions!$C$17)))</f>
        <v>1.8360000000000001</v>
      </c>
      <c r="DA69" s="440">
        <f t="shared" si="25"/>
        <v>1.8360000000000001</v>
      </c>
      <c r="DB69" s="479">
        <f t="shared" si="26"/>
        <v>0.16</v>
      </c>
      <c r="DC69" s="479">
        <f t="shared" si="27"/>
        <v>0.16</v>
      </c>
      <c r="DD69" s="479">
        <f t="shared" si="28"/>
        <v>0.11</v>
      </c>
      <c r="DE69" s="479">
        <f t="shared" si="29"/>
        <v>0.11</v>
      </c>
      <c r="DF69" s="479">
        <f t="shared" si="30"/>
        <v>0.1373374139660839</v>
      </c>
      <c r="DG69" s="574">
        <f t="shared" si="31"/>
        <v>0.1373374139660839</v>
      </c>
      <c r="DH69" s="216">
        <f t="shared" si="32"/>
        <v>40.310943713617846</v>
      </c>
      <c r="DI69" s="216">
        <f t="shared" si="33"/>
        <v>40.310943713617846</v>
      </c>
      <c r="DJ69" s="216">
        <f t="shared" ca="1" si="195"/>
        <v>8.1551416302237438</v>
      </c>
      <c r="DK69" s="216">
        <f t="shared" ca="1" si="196"/>
        <v>8.1551416302237438</v>
      </c>
      <c r="DL69" s="216">
        <f t="shared" ca="1" si="197"/>
        <v>25.814541765794296</v>
      </c>
      <c r="DM69" s="216"/>
      <c r="DN69" s="216"/>
      <c r="DO69" s="216"/>
      <c r="DP69" s="216"/>
      <c r="DQ69" s="216"/>
      <c r="DR69" s="216"/>
      <c r="DS69" s="216"/>
      <c r="DT69" s="216"/>
      <c r="DU69" s="216"/>
      <c r="DV69" s="216"/>
      <c r="DW69" s="1371">
        <f t="shared" si="37"/>
        <v>8.1551416302237438</v>
      </c>
      <c r="DX69" s="216">
        <f t="shared" si="38"/>
        <v>8.1551416302237438</v>
      </c>
      <c r="DY69" s="440">
        <f t="shared" si="39"/>
        <v>26.019476120998245</v>
      </c>
      <c r="DZ69" s="180">
        <f t="shared" si="40"/>
        <v>1970721.4162713492</v>
      </c>
      <c r="EA69" s="180">
        <f t="shared" si="41"/>
        <v>375375.50786120939</v>
      </c>
      <c r="EB69" s="180">
        <f t="shared" ca="1" si="198"/>
        <v>94925.848575804383</v>
      </c>
      <c r="EC69" s="180">
        <f t="shared" ca="1" si="199"/>
        <v>284777.54572741315</v>
      </c>
      <c r="ED69" s="180">
        <f t="shared" ca="1" si="200"/>
        <v>2704331.3953846106</v>
      </c>
      <c r="EE69" s="581">
        <f t="shared" si="45"/>
        <v>1970639.3585978835</v>
      </c>
      <c r="EF69" s="554">
        <f t="shared" si="46"/>
        <v>375359.87782816828</v>
      </c>
      <c r="EG69" s="554">
        <f t="shared" ca="1" si="201"/>
        <v>89231.376916302412</v>
      </c>
      <c r="EH69" s="554">
        <f t="shared" ca="1" si="202"/>
        <v>267694.13074890722</v>
      </c>
      <c r="EI69" s="561">
        <f t="shared" ca="1" si="49"/>
        <v>2702924.7440912607</v>
      </c>
      <c r="EJ69" s="581">
        <f t="shared" si="132"/>
        <v>82.05767346569337</v>
      </c>
      <c r="EK69" s="554">
        <f t="shared" si="133"/>
        <v>15.630033041117713</v>
      </c>
      <c r="EL69" s="554">
        <f t="shared" ca="1" si="203"/>
        <v>5694.4716595019709</v>
      </c>
      <c r="EM69" s="554">
        <f t="shared" ca="1" si="204"/>
        <v>17083.414978505927</v>
      </c>
      <c r="EN69" s="561">
        <f t="shared" ca="1" si="205"/>
        <v>1406.651293349918</v>
      </c>
      <c r="EO69" s="180">
        <f t="shared" si="50"/>
        <v>7882885.6650853967</v>
      </c>
      <c r="EP69" s="180">
        <f t="shared" si="51"/>
        <v>1501502.0314448376</v>
      </c>
      <c r="EQ69" s="180">
        <f t="shared" si="52"/>
        <v>379703.39430321753</v>
      </c>
      <c r="ER69" s="180">
        <f t="shared" si="53"/>
        <v>1139110.1829096526</v>
      </c>
      <c r="ES69" s="180">
        <f t="shared" si="54"/>
        <v>10903201.273743104</v>
      </c>
      <c r="ET69" s="1482">
        <f t="shared" ca="1" si="206"/>
        <v>7882557.434391534</v>
      </c>
      <c r="EU69" s="180">
        <f t="shared" ca="1" si="207"/>
        <v>1501439.5113126731</v>
      </c>
      <c r="EV69" s="180">
        <f t="shared" ca="1" si="208"/>
        <v>356925.50766520965</v>
      </c>
      <c r="EW69" s="180">
        <f t="shared" ca="1" si="209"/>
        <v>1070776.5229956289</v>
      </c>
      <c r="EX69" s="555">
        <f t="shared" ca="1" si="182"/>
        <v>10811698.976365045</v>
      </c>
      <c r="EY69" s="180">
        <f t="shared" ca="1" si="210"/>
        <v>328.23069386277348</v>
      </c>
      <c r="EZ69" s="180">
        <f t="shared" ca="1" si="211"/>
        <v>62.520132164470851</v>
      </c>
      <c r="FA69" s="180">
        <f t="shared" ca="1" si="212"/>
        <v>22777.886638007883</v>
      </c>
      <c r="FB69" s="180">
        <f t="shared" ca="1" si="213"/>
        <v>68333.659914023709</v>
      </c>
      <c r="FC69" s="180">
        <f t="shared" ca="1" si="214"/>
        <v>91502.297378059477</v>
      </c>
      <c r="FD69" s="262">
        <f>IF(AX69,IF(VLOOKUP(C69,MAIN!$L$17:$M$28,2)="Yes",VLOOKUP(CALC!B69,MAIN!$H$17:$I$20,2),0),0)</f>
        <v>0</v>
      </c>
      <c r="FE69" s="623">
        <f t="shared" si="60"/>
        <v>0</v>
      </c>
      <c r="FF69" s="535">
        <f t="shared" si="61"/>
        <v>0</v>
      </c>
      <c r="FG69" s="535">
        <f t="shared" si="62"/>
        <v>0</v>
      </c>
      <c r="FH69" s="624">
        <f t="shared" si="63"/>
        <v>0</v>
      </c>
      <c r="FI69" s="632">
        <f>IF(AX69,VLOOKUP(CALC!B69,MAIN!$H$17:$K$20,4),0)</f>
        <v>0</v>
      </c>
      <c r="FJ69" s="535">
        <f t="shared" si="64"/>
        <v>0</v>
      </c>
      <c r="FK69" s="648">
        <f t="shared" si="142"/>
        <v>0</v>
      </c>
      <c r="FL69" s="530">
        <f t="shared" ca="1" si="215"/>
        <v>0</v>
      </c>
      <c r="FM69" s="530">
        <f t="shared" ca="1" si="216"/>
        <v>0</v>
      </c>
      <c r="FN69" s="530">
        <f t="shared" ca="1" si="217"/>
        <v>0</v>
      </c>
      <c r="FO69" s="622">
        <f t="shared" ca="1" si="218"/>
        <v>0</v>
      </c>
      <c r="FP69" s="530">
        <f t="shared" ca="1" si="219"/>
        <v>0</v>
      </c>
      <c r="FQ69" s="530">
        <f t="shared" ca="1" si="220"/>
        <v>0</v>
      </c>
      <c r="FR69" s="530">
        <f t="shared" ca="1" si="221"/>
        <v>0</v>
      </c>
      <c r="FS69" s="625">
        <f t="shared" ca="1" si="222"/>
        <v>0</v>
      </c>
      <c r="FT69" s="640">
        <f ca="1">IF(AND(Assumptions!$H$71="Yes",A69&gt;=Assumptions!$H$72,A69&lt;=Assumptions!$H$73),0,IF(AND($A69&gt;=Assumptions!$C$17,$A69&lt;=Assumptions!$C$18),MAX(AZ69*(1+VLOOKUP($C69,WeatherCapacityAdjustment,2))-FL69,0),0))</f>
        <v>48888</v>
      </c>
      <c r="FU69" s="530">
        <f ca="1">IF(AND(Assumptions!$H$71="Yes",A69&gt;=Assumptions!$H$72,A69&lt;=Assumptions!$H$73),0,IF(AND($A69&gt;=Assumptions!$C$17,$A69&lt;=Assumptions!$C$18),MAX(BA69*(1+VLOOKUP($C69,WeatherCapacityAdjustment,2))-FM69,0),0))</f>
        <v>9312</v>
      </c>
      <c r="FV69" s="530">
        <f ca="1">IF(AND(Assumptions!$H$71="Yes",A69&gt;=Assumptions!$H$72,A69&lt;=Assumptions!$H$73),0,IF(AND($A69&gt;=Assumptions!$C$17,$A69&lt;=Assumptions!$C$18),MAX(BB69*(1+VLOOKUP($C69,WeatherCapacityAdjustment,2))-FN69,0),0))</f>
        <v>11640</v>
      </c>
      <c r="FW69" s="622">
        <f ca="1">IF(AND(Assumptions!$H$71="Yes",A69&gt;=Assumptions!$H$72,A69&lt;=Assumptions!$H$73),0,IF(AND($A69&gt;=Assumptions!$C$17,$A69&lt;=Assumptions!$C$18),MAX(BC69*(1+VLOOKUP($C69,WeatherCapacityAdjustment,3))-FO69,0),0))</f>
        <v>34920</v>
      </c>
      <c r="FX69" s="621">
        <f ca="1">IF(AND(Assumptions!$H$71="Yes",A69&gt;=Assumptions!$H$72,A69&lt;=Assumptions!$H$73),0,IF(ET69&gt;0,MAX(BH69*(1+VLOOKUP($C69,WeatherCapacityAdjustment,2))-FP69,0),0))</f>
        <v>195552</v>
      </c>
      <c r="FY69" s="530">
        <f ca="1">IF(AND(Assumptions!$H$71="Yes",A69&gt;=Assumptions!$H$72,A69&lt;=Assumptions!$H$73),0,IF(EU69&gt;0,MAX(BI69*(1+VLOOKUP($C69,WeatherCapacityAdjustment,3))-FQ69,0),0))</f>
        <v>37248</v>
      </c>
      <c r="FZ69" s="530">
        <f ca="1">IF(AND(Assumptions!$H$71="Yes",A69&gt;=Assumptions!$H$72,A69&lt;=Assumptions!$H$73),0,IF(EV69&gt;0,MAX(BJ69*(1+VLOOKUP($C69,WeatherCapacityAdjustment,2))-FR69,0),0))</f>
        <v>46560</v>
      </c>
      <c r="GA69" s="622">
        <f ca="1">IF(AND(Assumptions!$H$71="Yes",A69&gt;=Assumptions!$H$72,A69&lt;=Assumptions!$H$73),0,IF(EW69&gt;0,MAX(BK69*(1+VLOOKUP($C69,WeatherCapacityAdjustment,2))-FS69,0),0))</f>
        <v>139680</v>
      </c>
      <c r="GB69" s="530">
        <f t="shared" ca="1" si="65"/>
        <v>523800</v>
      </c>
      <c r="GC69" s="545">
        <f t="shared" ca="1" si="66"/>
        <v>45.80789123763261</v>
      </c>
      <c r="GD69" s="530">
        <f t="shared" ca="1" si="223"/>
        <v>23994173.430271965</v>
      </c>
      <c r="GE69" s="1485">
        <f t="shared" ca="1" si="224"/>
        <v>739787.8824</v>
      </c>
      <c r="GF69" s="1776">
        <f t="shared" ca="1" si="225"/>
        <v>2959151.5296</v>
      </c>
      <c r="GG69" s="545">
        <f t="shared" si="190"/>
        <v>2.5731302542934578</v>
      </c>
      <c r="GH69" s="622">
        <f t="shared" ca="1" si="191"/>
        <v>9517852.9098156523</v>
      </c>
      <c r="GI69" s="621">
        <f t="shared" ca="1" si="152"/>
        <v>523800</v>
      </c>
      <c r="GJ69" s="638">
        <f t="shared" si="68"/>
        <v>1.8360000000000001</v>
      </c>
      <c r="GK69" s="625">
        <f t="shared" ca="1" si="166"/>
        <v>961696.8</v>
      </c>
      <c r="GL69" s="640">
        <f t="shared" ca="1" si="226"/>
        <v>0</v>
      </c>
      <c r="GM69" s="530">
        <f t="shared" ca="1" si="227"/>
        <v>0</v>
      </c>
      <c r="GN69" s="530">
        <f t="shared" ca="1" si="228"/>
        <v>0</v>
      </c>
      <c r="GO69" s="622">
        <f t="shared" ca="1" si="229"/>
        <v>0</v>
      </c>
      <c r="GP69" s="530">
        <f t="shared" ca="1" si="73"/>
        <v>0</v>
      </c>
      <c r="GQ69" s="545">
        <f t="shared" ca="1" si="74"/>
        <v>0</v>
      </c>
      <c r="GR69" s="625">
        <f t="shared" ca="1" si="230"/>
        <v>0</v>
      </c>
      <c r="GS69" s="640">
        <f>IF($A69&gt;=BegDate,Assumptions!$C$56*24*($A70-$A69)*(1-VLOOKUP($B69,MAIN!$AA$7:$AM$28,$C69+1))*(1-VLOOKUP($B69,MAIN!$AA$33:$AM$54,$C69+1)),0)*80/168</f>
        <v>249428.57142857142</v>
      </c>
      <c r="GT69" s="1715">
        <f t="shared" si="153"/>
        <v>60.316042522031999</v>
      </c>
      <c r="GU69" s="1715">
        <f>IF($A69&gt;=BegDate,VLOOKUP($A69,GasTable,13)+Assumptions!$C$58,0)</f>
        <v>2.5731302542934578</v>
      </c>
      <c r="GV69" s="1715">
        <f>GU69*Assumptions!$C$57/1000</f>
        <v>18.655194343627567</v>
      </c>
      <c r="GW69" s="625">
        <f>IF(Assumptions!$C$60="Hourly",MAX(0,GS69*(GT69-GV69)),GS69*(GT69-GV69))</f>
        <v>10391405.845642021</v>
      </c>
      <c r="GX69" s="640">
        <f>IF($A69&gt;=BegDate,Assumptions!$C$56*24*($A70-$A69)*(1-VLOOKUP($B69,MAIN!$AA$7:$AM$28,$C69+1))*(1-VLOOKUP($B69,MAIN!$AA$33:$AM$54,$C69+1)),0)*16/168</f>
        <v>49885.714285714283</v>
      </c>
      <c r="GY69" s="1715">
        <f t="shared" si="154"/>
        <v>60.316042522031999</v>
      </c>
      <c r="GZ69" s="1715">
        <f>IF($A69&gt;=BegDate,VLOOKUP($A69,GasTable,13)+Assumptions!$C$58,0)</f>
        <v>2.5731302542934578</v>
      </c>
      <c r="HA69" s="1715">
        <f>GZ69*Assumptions!$C$57/1000</f>
        <v>18.655194343627567</v>
      </c>
      <c r="HB69" s="625">
        <f>IF(Assumptions!$C$60="Hourly",MAX(0,GX69*(GY69-HA69)),GX69*(GY69-HA69))</f>
        <v>2078281.169128404</v>
      </c>
      <c r="HC69" s="640">
        <f>IF($A69&gt;=BegDate,Assumptions!$C$56*24*($A70-$A69)*(1-VLOOKUP($B69,MAIN!$AA$7:$AM$28,$C69+1))*(1-VLOOKUP($B69,MAIN!$AA$33:$AM$54,$C69+1)),0)*16/168</f>
        <v>49885.714285714283</v>
      </c>
      <c r="HD69" s="1715">
        <f t="shared" si="155"/>
        <v>27.672702900048002</v>
      </c>
      <c r="HE69" s="1715">
        <f>IF($A69&gt;=BegDate,VLOOKUP($A69,GasTable,13)+Assumptions!$C$58,0)</f>
        <v>2.5731302542934578</v>
      </c>
      <c r="HF69" s="1715">
        <f>HE69*Assumptions!$C$57/1000</f>
        <v>18.655194343627567</v>
      </c>
      <c r="HG69" s="625">
        <f>IF(Assumptions!$C$60="Hourly",MAX(0,HC69*(HD69-HF69)),HC69*(HD69-HF69))</f>
        <v>449844.85541457363</v>
      </c>
      <c r="HH69" s="640">
        <f>IF($A69&gt;=BegDate,Assumptions!$C$56*24*($A70-$A69)*(1-VLOOKUP($B69,MAIN!$AA$7:$AM$28,$C69+1))*(1-VLOOKUP($B69,MAIN!$AA$33:$AM$54,$C69+1)),0)*56/168</f>
        <v>174600</v>
      </c>
      <c r="HI69" s="1715">
        <f t="shared" si="156"/>
        <v>27.672702900048002</v>
      </c>
      <c r="HJ69" s="1715">
        <f>IF($A69&gt;=BegDate,VLOOKUP($A69,GasTable,13)+Assumptions!$C$58,0)</f>
        <v>2.5731302542934578</v>
      </c>
      <c r="HK69" s="1715">
        <f>HJ69*Assumptions!$C$57/1000</f>
        <v>18.655194343627567</v>
      </c>
      <c r="HL69" s="625">
        <f>IF(Assumptions!$C$60="Hourly",MAX(0,HH69*(HI69-HK69)),HH69*(HI69-HK69))</f>
        <v>1574456.993951008</v>
      </c>
      <c r="HM69" s="640">
        <f>IF(AND(Assumptions!$H$71="Yes",A69&gt;=Assumptions!$H$72,A69&lt;=Assumptions!$H$73),Assumptions!$H$74*Assumptions!$C$9*1000,0)</f>
        <v>0</v>
      </c>
      <c r="HN69" s="530">
        <f t="shared" ca="1" si="233"/>
        <v>14476320.520456312</v>
      </c>
      <c r="HO69" s="545"/>
      <c r="HP69" s="545"/>
      <c r="HQ69" s="545"/>
      <c r="HR69" s="545"/>
      <c r="HS69" s="545"/>
      <c r="HT69" s="545"/>
      <c r="HU69" s="545"/>
      <c r="HV69" s="545"/>
      <c r="HW69" s="545"/>
      <c r="HX69" s="545"/>
      <c r="HY69" s="545"/>
      <c r="HZ69" s="545"/>
      <c r="IA69" s="545"/>
      <c r="IB69" s="545"/>
      <c r="IC69" s="545"/>
      <c r="ID69" s="545"/>
      <c r="IE69" s="545"/>
      <c r="IF69" s="545"/>
      <c r="IG69" s="545"/>
      <c r="IH69" s="545"/>
      <c r="II69" s="1464"/>
      <c r="IJ69" s="1463"/>
      <c r="IK69" s="1463"/>
    </row>
    <row r="70" spans="1:245">
      <c r="A70" s="177">
        <f t="shared" si="87"/>
        <v>38261</v>
      </c>
      <c r="B70" s="349">
        <f t="shared" si="88"/>
        <v>2004</v>
      </c>
      <c r="C70" s="15">
        <f t="shared" si="89"/>
        <v>10</v>
      </c>
      <c r="D70" s="612" t="str">
        <f t="shared" si="90"/>
        <v/>
      </c>
      <c r="E70" s="609">
        <f t="shared" si="91"/>
        <v>38261</v>
      </c>
      <c r="F70" s="614">
        <f t="shared" si="2"/>
        <v>38291</v>
      </c>
      <c r="G70" s="1349">
        <v>0</v>
      </c>
      <c r="H70" s="152">
        <f t="shared" si="165"/>
        <v>1</v>
      </c>
      <c r="I70" s="154">
        <f>IF(Assumptions!$L$25=4,VLOOKUP($A70,'Henwood Reference'!$E$9:$R$320,10),(VLOOKUP($A70,PriceTable,2,0)+IF(BasisNumber&lt;&gt;1,VLOOKUP($A70,BasisTable,2,0),0)+I$1)/(1-I$2))</f>
        <v>37.453992870672003</v>
      </c>
      <c r="J70" s="154">
        <f>IF(Assumptions!$L$25=4,VLOOKUP($A70,'Henwood Reference'!$E$9:$R$320,10),(VLOOKUP($A70,PriceTable,3,0)+IF(BasisNumber&lt;&gt;1,VLOOKUP($A70,BasisTable,2,0),0)+J$1)/(1-J$2))</f>
        <v>37.453992870672003</v>
      </c>
      <c r="K70" s="154">
        <f>IF(Assumptions!$L$25=4,VLOOKUP($A70,'Henwood Reference'!$E$9:$R$320,10),(VLOOKUP($A70,PriceTable,4,0)+IF(BasisNumber&lt;&gt;1,VLOOKUP($A70,BasisTable,2,0),0)+K$1)/(1-K$2))</f>
        <v>37.453992870672003</v>
      </c>
      <c r="L70" s="474">
        <f>IF(Assumptions!$L$25=4,VLOOKUP($A70,'Henwood Reference'!$E$9:$R$320,10),(VLOOKUP($A70,PriceTableWeekend,2,0)+IF(BasisNumber&lt;&gt;1,VLOOKUP($A70,BasisTable,2,0),0)+L$1)/(1-L$2))</f>
        <v>37.453992870672003</v>
      </c>
      <c r="M70" s="154">
        <f>IF(Assumptions!$L$25=4,VLOOKUP($A70,'Henwood Reference'!$E$9:$R$320,10),(VLOOKUP($A70,PriceTableWeekend,3,0)+IF(BasisNumber&lt;&gt;1,VLOOKUP($A70,BasisTable,2,0),0)+M$1)/(1-M$2))</f>
        <v>37.453992870672003</v>
      </c>
      <c r="N70" s="156">
        <f>IF(Assumptions!$L$25=4,VLOOKUP($A70,'Henwood Reference'!$E$9:$R$320,10),(VLOOKUP($A70,PriceTableWeekend,4,0)+IF(BasisNumber&lt;&gt;1,VLOOKUP($A70,BasisTable,2,0),0)+N$1)/(1-N$2))</f>
        <v>37.453992870672003</v>
      </c>
      <c r="O70" s="154">
        <f>IF(Assumptions!$L$25=4,VLOOKUP($A70,'Henwood Reference'!$E$9:$R$320,11),(VLOOKUP($A70,PriceTableWeekend,6,0)+IF(BasisNumber&lt;&gt;1,VLOOKUP($A70,BasisTable,3,0),0)+O$1)/(1-O$2))</f>
        <v>25.070968960271998</v>
      </c>
      <c r="P70" s="154">
        <f>IF(Assumptions!$L$25=4,VLOOKUP($A70,'Henwood Reference'!$E$9:$R$320,11),(VLOOKUP($A70,PriceTableWeekend,7,0)+IF(BasisNumber&lt;&gt;1,VLOOKUP($A70,BasisTable,3,0),0)+P$1)/(1-P$2))</f>
        <v>25.070968960271998</v>
      </c>
      <c r="Q70" s="156">
        <f>IF(Assumptions!$L$25=4,VLOOKUP($A70,'Henwood Reference'!$E$9:$R$320,11),(VLOOKUP($A70,PriceTableWeekend,8,0)+IF(BasisNumber&lt;&gt;1,VLOOKUP($A70,BasisTable,3,0),0)+Q$1)/(1-Q$2))</f>
        <v>25.070968960271998</v>
      </c>
      <c r="R70" s="154">
        <f>IF(Assumptions!$L$25=4,VLOOKUP($A70,'Henwood Reference'!$E$9:$R$320,11),(VLOOKUP($A70,PriceTable,6,0)+IF(BasisNumber&lt;&gt;1,VLOOKUP($A70,BasisTable,3,0),0)+R$1)/(1-R$2))</f>
        <v>25.070968960271998</v>
      </c>
      <c r="S70" s="154">
        <f>IF(Assumptions!$L$25=4,VLOOKUP($A70,'Henwood Reference'!$E$9:$R$320,11),(VLOOKUP($A70,PriceTable,7,0)+IF(BasisNumber&lt;&gt;1,VLOOKUP($A70,BasisTable,3,0),0)+S$1)/(1-S$2))</f>
        <v>25.070968960271998</v>
      </c>
      <c r="T70" s="155">
        <f>IF(Assumptions!$L$25=4,VLOOKUP($A70,'Henwood Reference'!$E$9:$R$320,11),(VLOOKUP($A70,PriceTable,8,0)+IF(BasisNumber&lt;&gt;1,VLOOKUP($A70,BasisTable,3,0),0)+T$1)/(1-T$2))</f>
        <v>25.070968960271998</v>
      </c>
      <c r="U70" s="173">
        <f t="shared" si="92"/>
        <v>0.15</v>
      </c>
      <c r="V70" s="173">
        <f t="shared" si="93"/>
        <v>0.16</v>
      </c>
      <c r="W70" s="174">
        <f t="shared" si="94"/>
        <v>0.17</v>
      </c>
      <c r="X70" s="173">
        <f t="shared" si="95"/>
        <v>0.15</v>
      </c>
      <c r="Y70" s="173">
        <f t="shared" si="96"/>
        <v>0.16</v>
      </c>
      <c r="Z70" s="174">
        <f t="shared" si="97"/>
        <v>0.17</v>
      </c>
      <c r="AA70" s="173">
        <f t="shared" si="98"/>
        <v>0.09</v>
      </c>
      <c r="AB70" s="173">
        <f t="shared" si="99"/>
        <v>0.11</v>
      </c>
      <c r="AC70" s="174">
        <f t="shared" si="100"/>
        <v>0.13</v>
      </c>
      <c r="AD70" s="173">
        <f t="shared" si="101"/>
        <v>0.09</v>
      </c>
      <c r="AE70" s="173">
        <f t="shared" si="102"/>
        <v>0.11</v>
      </c>
      <c r="AF70" s="174">
        <f t="shared" si="103"/>
        <v>0.13</v>
      </c>
      <c r="AG70" s="173">
        <f t="shared" si="104"/>
        <v>-0.1</v>
      </c>
      <c r="AH70" s="173">
        <f t="shared" si="105"/>
        <v>0.6</v>
      </c>
      <c r="AI70" s="174">
        <f t="shared" si="106"/>
        <v>0.1</v>
      </c>
      <c r="AJ70" s="173">
        <f t="shared" si="107"/>
        <v>-0.1</v>
      </c>
      <c r="AK70" s="173">
        <f t="shared" si="108"/>
        <v>0.6</v>
      </c>
      <c r="AL70" s="174">
        <f t="shared" si="109"/>
        <v>0.1</v>
      </c>
      <c r="AM70" s="173">
        <f t="shared" si="110"/>
        <v>-0.01</v>
      </c>
      <c r="AN70" s="173">
        <f t="shared" si="111"/>
        <v>0.16</v>
      </c>
      <c r="AO70" s="174">
        <f t="shared" si="112"/>
        <v>0.01</v>
      </c>
      <c r="AP70" s="173">
        <f t="shared" si="113"/>
        <v>-0.01</v>
      </c>
      <c r="AQ70" s="173">
        <f t="shared" si="114"/>
        <v>0.16</v>
      </c>
      <c r="AR70" s="175">
        <f t="shared" si="115"/>
        <v>0.01</v>
      </c>
      <c r="AS70" s="521">
        <f t="shared" si="231"/>
        <v>0.5</v>
      </c>
      <c r="AT70" s="349">
        <f t="shared" si="117"/>
        <v>21</v>
      </c>
      <c r="AU70" s="159">
        <f t="shared" si="3"/>
        <v>5</v>
      </c>
      <c r="AV70" s="159">
        <f t="shared" si="4"/>
        <v>5</v>
      </c>
      <c r="AW70" s="159">
        <f t="shared" si="232"/>
        <v>0</v>
      </c>
      <c r="AX70" s="15">
        <f t="shared" si="119"/>
        <v>31</v>
      </c>
      <c r="AY70" s="607">
        <f>IF(E70="",0,MIN((1-(1-VLOOKUP(B70,MAIN!$AA$7:$AM$28,C70+1))*(1-VLOOKUP(B70,MAIN!$AA$33:$AM$54,C70+1))),1))</f>
        <v>3.0000000000000027E-2</v>
      </c>
      <c r="AZ70" s="337">
        <v>48888</v>
      </c>
      <c r="BA70" s="509">
        <v>11640</v>
      </c>
      <c r="BB70" s="509">
        <v>11640</v>
      </c>
      <c r="BC70" s="511">
        <v>36084</v>
      </c>
      <c r="BD70" s="153">
        <v>0.97000001445412631</v>
      </c>
      <c r="BE70" s="474">
        <v>0.97000001445412631</v>
      </c>
      <c r="BF70" s="474">
        <v>0.97000001445412631</v>
      </c>
      <c r="BG70" s="515">
        <v>0.9699999927729368</v>
      </c>
      <c r="BH70" s="262">
        <v>195552</v>
      </c>
      <c r="BI70" s="509">
        <v>46560</v>
      </c>
      <c r="BJ70" s="509">
        <v>46560</v>
      </c>
      <c r="BK70" s="511">
        <v>144336</v>
      </c>
      <c r="BL70" s="153">
        <v>0.97000001445412631</v>
      </c>
      <c r="BM70" s="474">
        <v>0.97000001445412631</v>
      </c>
      <c r="BN70" s="474">
        <v>0.97000001445412631</v>
      </c>
      <c r="BO70" s="474">
        <v>0.9699999927729368</v>
      </c>
      <c r="BP70" s="261">
        <f t="shared" si="120"/>
        <v>72168</v>
      </c>
      <c r="BQ70" s="578">
        <f t="shared" si="121"/>
        <v>108252</v>
      </c>
      <c r="BR70" s="259">
        <f t="shared" si="122"/>
        <v>288672</v>
      </c>
      <c r="BS70" s="578">
        <f t="shared" si="123"/>
        <v>433008</v>
      </c>
      <c r="BT70" s="216">
        <f t="shared" si="124"/>
        <v>4.4654346338124569</v>
      </c>
      <c r="BU70" s="218">
        <f t="shared" si="5"/>
        <v>37.453993428779988</v>
      </c>
      <c r="BV70" s="216">
        <f t="shared" si="6"/>
        <v>37.453993428779988</v>
      </c>
      <c r="BW70" s="216">
        <f t="shared" si="7"/>
        <v>25.070969333858546</v>
      </c>
      <c r="BX70" s="216">
        <f t="shared" si="125"/>
        <v>25.070968773478722</v>
      </c>
      <c r="BY70" s="216">
        <f t="shared" si="8"/>
        <v>35.45673147798621</v>
      </c>
      <c r="BZ70" s="216">
        <f t="shared" si="9"/>
        <v>31.994810576483712</v>
      </c>
      <c r="CA70" s="264">
        <f t="shared" si="10"/>
        <v>37.453993428779988</v>
      </c>
      <c r="CB70" s="216">
        <f t="shared" si="11"/>
        <v>37.453993428779988</v>
      </c>
      <c r="CC70" s="216">
        <f t="shared" si="12"/>
        <v>25.070969333858546</v>
      </c>
      <c r="CD70" s="216">
        <f t="shared" si="126"/>
        <v>25.070968773478722</v>
      </c>
      <c r="CE70" s="216">
        <f t="shared" si="13"/>
        <v>35.45673147798621</v>
      </c>
      <c r="CF70" s="571">
        <f t="shared" si="14"/>
        <v>31.994810576483712</v>
      </c>
      <c r="CG70" s="573">
        <f t="shared" si="15"/>
        <v>0.16</v>
      </c>
      <c r="CH70" s="219">
        <f t="shared" si="16"/>
        <v>0.16</v>
      </c>
      <c r="CI70" s="219">
        <f t="shared" si="17"/>
        <v>0.11</v>
      </c>
      <c r="CJ70" s="219">
        <f t="shared" si="18"/>
        <v>0.15438445416859747</v>
      </c>
      <c r="CK70" s="219">
        <f t="shared" si="19"/>
        <v>0.15438445416859747</v>
      </c>
      <c r="CL70" s="219">
        <f t="shared" si="20"/>
        <v>0.11</v>
      </c>
      <c r="CM70" s="219">
        <f t="shared" si="21"/>
        <v>0.13128155010301862</v>
      </c>
      <c r="CN70" s="569">
        <f t="shared" si="22"/>
        <v>0.13128155010301862</v>
      </c>
      <c r="CO70" s="264">
        <f t="shared" si="175"/>
        <v>18.955320854696247</v>
      </c>
      <c r="CP70" s="216">
        <f t="shared" si="127"/>
        <v>18.955320854696247</v>
      </c>
      <c r="CQ70" s="216">
        <f t="shared" ca="1" si="192"/>
        <v>18.955320854696247</v>
      </c>
      <c r="CR70" s="216">
        <f t="shared" ca="1" si="193"/>
        <v>18.955320854696247</v>
      </c>
      <c r="CS70" s="1626">
        <f t="shared" ca="1" si="194"/>
        <v>18.955320854696243</v>
      </c>
      <c r="CT70" s="216">
        <f t="shared" si="131"/>
        <v>18.955320854696247</v>
      </c>
      <c r="CU70" s="575">
        <f t="shared" si="23"/>
        <v>0.17499999999999999</v>
      </c>
      <c r="CV70" s="154">
        <f t="shared" si="24"/>
        <v>0.5</v>
      </c>
      <c r="CW70" s="216">
        <f>IF(OR($BQ70,$BS70),SpreadOptPowerMargin,0)*((1+Assumptions!$C$26)^($B70-YEAR(Assumptions!$C$17)))</f>
        <v>1.8360000000000001</v>
      </c>
      <c r="CX70" s="216">
        <f>IF(OR($BQ70,$BS70),SpreadOptPowerMargin,0)*((1+Assumptions!$C$26)^($B70-YEAR(Assumptions!$C$17)))</f>
        <v>1.8360000000000001</v>
      </c>
      <c r="CY70" s="216">
        <f>IF(OR($BQ70,$BS70),SpreadOptPowerMargin,0)*((1+Assumptions!$C$26)^($B70-YEAR(Assumptions!$C$17)))</f>
        <v>1.8360000000000001</v>
      </c>
      <c r="CZ70" s="216">
        <f>IF(OR($BQ70,$BS70),SpreadOptPowerMargin,0)*((1+Assumptions!$C$26)^($B70-YEAR(Assumptions!$C$17)))</f>
        <v>1.8360000000000001</v>
      </c>
      <c r="DA70" s="440">
        <f t="shared" si="25"/>
        <v>1.8360000000000001</v>
      </c>
      <c r="DB70" s="479">
        <f t="shared" si="26"/>
        <v>0.16</v>
      </c>
      <c r="DC70" s="479">
        <f t="shared" si="27"/>
        <v>0.16</v>
      </c>
      <c r="DD70" s="479">
        <f t="shared" si="28"/>
        <v>0.11</v>
      </c>
      <c r="DE70" s="479">
        <f t="shared" si="29"/>
        <v>0.11</v>
      </c>
      <c r="DF70" s="479">
        <f t="shared" si="30"/>
        <v>0.13128155010301862</v>
      </c>
      <c r="DG70" s="574">
        <f t="shared" si="31"/>
        <v>0.13128155010301862</v>
      </c>
      <c r="DH70" s="216">
        <f t="shared" si="32"/>
        <v>16.821125910646789</v>
      </c>
      <c r="DI70" s="216">
        <f t="shared" si="33"/>
        <v>16.821125910646789</v>
      </c>
      <c r="DJ70" s="216">
        <f t="shared" ca="1" si="195"/>
        <v>5.3876413485379837</v>
      </c>
      <c r="DK70" s="216">
        <f t="shared" ca="1" si="196"/>
        <v>5.3876409097516325</v>
      </c>
      <c r="DL70" s="216">
        <f t="shared" ca="1" si="197"/>
        <v>11.517306957442724</v>
      </c>
      <c r="DM70" s="216"/>
      <c r="DN70" s="216"/>
      <c r="DO70" s="216"/>
      <c r="DP70" s="216"/>
      <c r="DQ70" s="216"/>
      <c r="DR70" s="216"/>
      <c r="DS70" s="216"/>
      <c r="DT70" s="216"/>
      <c r="DU70" s="216"/>
      <c r="DV70" s="216"/>
      <c r="DW70" s="1371">
        <f t="shared" si="37"/>
        <v>5.3876413485379837</v>
      </c>
      <c r="DX70" s="216">
        <f t="shared" si="38"/>
        <v>5.3876409097516325</v>
      </c>
      <c r="DY70" s="440">
        <f t="shared" si="39"/>
        <v>11.780557301519497</v>
      </c>
      <c r="DZ70" s="180">
        <f t="shared" si="40"/>
        <v>822351.20351970021</v>
      </c>
      <c r="EA70" s="180">
        <f t="shared" si="41"/>
        <v>195797.90559992861</v>
      </c>
      <c r="EB70" s="180">
        <f t="shared" ca="1" si="198"/>
        <v>62712.145296982133</v>
      </c>
      <c r="EC70" s="180">
        <f t="shared" ca="1" si="199"/>
        <v>194407.63458747789</v>
      </c>
      <c r="ED70" s="180">
        <f t="shared" ca="1" si="200"/>
        <v>1246771.5127570897</v>
      </c>
      <c r="EE70" s="581">
        <f t="shared" si="45"/>
        <v>814604.73680180602</v>
      </c>
      <c r="EF70" s="554">
        <f t="shared" si="46"/>
        <v>193953.50876233476</v>
      </c>
      <c r="EG70" s="554">
        <f t="shared" ca="1" si="201"/>
        <v>49815.10829744918</v>
      </c>
      <c r="EH70" s="554">
        <f t="shared" ca="1" si="202"/>
        <v>154426.81550134689</v>
      </c>
      <c r="EI70" s="561">
        <f t="shared" ca="1" si="49"/>
        <v>1212800.1693629371</v>
      </c>
      <c r="EJ70" s="581">
        <f t="shared" si="132"/>
        <v>7746.4667178941891</v>
      </c>
      <c r="EK70" s="554">
        <f t="shared" si="133"/>
        <v>1844.3968375938421</v>
      </c>
      <c r="EL70" s="554">
        <f t="shared" ca="1" si="203"/>
        <v>12897.036999532953</v>
      </c>
      <c r="EM70" s="554">
        <f t="shared" ca="1" si="204"/>
        <v>39980.819086130999</v>
      </c>
      <c r="EN70" s="561">
        <f t="shared" ca="1" si="205"/>
        <v>33971.343394152587</v>
      </c>
      <c r="EO70" s="180">
        <f t="shared" si="50"/>
        <v>3289404.8140788008</v>
      </c>
      <c r="EP70" s="180">
        <f t="shared" si="51"/>
        <v>783191.62239971443</v>
      </c>
      <c r="EQ70" s="180">
        <f t="shared" si="52"/>
        <v>250848.58118792853</v>
      </c>
      <c r="ER70" s="180">
        <f t="shared" si="53"/>
        <v>777630.53834991157</v>
      </c>
      <c r="ES70" s="180">
        <f t="shared" si="54"/>
        <v>5101075.5560163548</v>
      </c>
      <c r="ET70" s="1482">
        <f t="shared" ca="1" si="206"/>
        <v>3258418.9472072241</v>
      </c>
      <c r="EU70" s="180">
        <f t="shared" ca="1" si="207"/>
        <v>775814.03504933906</v>
      </c>
      <c r="EV70" s="180">
        <f t="shared" ca="1" si="208"/>
        <v>199260.43318979672</v>
      </c>
      <c r="EW70" s="180">
        <f t="shared" ca="1" si="209"/>
        <v>617707.26200538757</v>
      </c>
      <c r="EX70" s="555">
        <f t="shared" ca="1" si="182"/>
        <v>4851200.6774517475</v>
      </c>
      <c r="EY70" s="180">
        <f t="shared" ca="1" si="210"/>
        <v>30985.866871576756</v>
      </c>
      <c r="EZ70" s="180">
        <f t="shared" ca="1" si="211"/>
        <v>7377.5873503753683</v>
      </c>
      <c r="FA70" s="180">
        <f t="shared" ca="1" si="212"/>
        <v>51588.147998131812</v>
      </c>
      <c r="FB70" s="180">
        <f t="shared" ca="1" si="213"/>
        <v>159923.276344524</v>
      </c>
      <c r="FC70" s="180">
        <f t="shared" ca="1" si="214"/>
        <v>249874.87856460735</v>
      </c>
      <c r="FD70" s="262">
        <f>IF(AX70,IF(VLOOKUP(C70,MAIN!$L$17:$M$28,2)="Yes",VLOOKUP(CALC!B70,MAIN!$H$17:$I$20,2),0),0)</f>
        <v>0</v>
      </c>
      <c r="FE70" s="623">
        <f t="shared" si="60"/>
        <v>0</v>
      </c>
      <c r="FF70" s="535">
        <f t="shared" si="61"/>
        <v>0</v>
      </c>
      <c r="FG70" s="535">
        <f t="shared" si="62"/>
        <v>0</v>
      </c>
      <c r="FH70" s="624">
        <f t="shared" si="63"/>
        <v>0</v>
      </c>
      <c r="FI70" s="632">
        <f>IF(AX70,VLOOKUP(CALC!B70,MAIN!$H$17:$K$20,4),0)</f>
        <v>0</v>
      </c>
      <c r="FJ70" s="535">
        <f t="shared" si="64"/>
        <v>0</v>
      </c>
      <c r="FK70" s="648">
        <f t="shared" si="142"/>
        <v>0</v>
      </c>
      <c r="FL70" s="530">
        <f t="shared" ca="1" si="215"/>
        <v>0</v>
      </c>
      <c r="FM70" s="530">
        <f t="shared" ca="1" si="216"/>
        <v>0</v>
      </c>
      <c r="FN70" s="530">
        <f t="shared" ca="1" si="217"/>
        <v>0</v>
      </c>
      <c r="FO70" s="622">
        <f t="shared" ca="1" si="218"/>
        <v>0</v>
      </c>
      <c r="FP70" s="530">
        <f t="shared" ca="1" si="219"/>
        <v>0</v>
      </c>
      <c r="FQ70" s="530">
        <f t="shared" ca="1" si="220"/>
        <v>0</v>
      </c>
      <c r="FR70" s="530">
        <f t="shared" ca="1" si="221"/>
        <v>0</v>
      </c>
      <c r="FS70" s="625">
        <f t="shared" ca="1" si="222"/>
        <v>0</v>
      </c>
      <c r="FT70" s="640">
        <f ca="1">IF(AND(Assumptions!$H$71="Yes",A70&gt;=Assumptions!$H$72,A70&lt;=Assumptions!$H$73),0,IF(AND($A70&gt;=Assumptions!$C$17,$A70&lt;=Assumptions!$C$18),MAX(AZ70*(1+VLOOKUP($C70,WeatherCapacityAdjustment,2))-FL70,0),0))</f>
        <v>48888</v>
      </c>
      <c r="FU70" s="530">
        <f ca="1">IF(AND(Assumptions!$H$71="Yes",A70&gt;=Assumptions!$H$72,A70&lt;=Assumptions!$H$73),0,IF(AND($A70&gt;=Assumptions!$C$17,$A70&lt;=Assumptions!$C$18),MAX(BA70*(1+VLOOKUP($C70,WeatherCapacityAdjustment,2))-FM70,0),0))</f>
        <v>11640</v>
      </c>
      <c r="FV70" s="530">
        <f ca="1">IF(AND(Assumptions!$H$71="Yes",A70&gt;=Assumptions!$H$72,A70&lt;=Assumptions!$H$73),0,IF(AND($A70&gt;=Assumptions!$C$17,$A70&lt;=Assumptions!$C$18),MAX(BB70*(1+VLOOKUP($C70,WeatherCapacityAdjustment,2))-FN70,0),0))</f>
        <v>11640</v>
      </c>
      <c r="FW70" s="622">
        <f ca="1">IF(AND(Assumptions!$H$71="Yes",A70&gt;=Assumptions!$H$72,A70&lt;=Assumptions!$H$73),0,IF(AND($A70&gt;=Assumptions!$C$17,$A70&lt;=Assumptions!$C$18),MAX(BC70*(1+VLOOKUP($C70,WeatherCapacityAdjustment,3))-FO70,0),0))</f>
        <v>36084</v>
      </c>
      <c r="FX70" s="621">
        <f ca="1">IF(AND(Assumptions!$H$71="Yes",A70&gt;=Assumptions!$H$72,A70&lt;=Assumptions!$H$73),0,IF(ET70&gt;0,MAX(BH70*(1+VLOOKUP($C70,WeatherCapacityAdjustment,2))-FP70,0),0))</f>
        <v>195552</v>
      </c>
      <c r="FY70" s="530">
        <f ca="1">IF(AND(Assumptions!$H$71="Yes",A70&gt;=Assumptions!$H$72,A70&lt;=Assumptions!$H$73),0,IF(EU70&gt;0,MAX(BI70*(1+VLOOKUP($C70,WeatherCapacityAdjustment,3))-FQ70,0),0))</f>
        <v>46560</v>
      </c>
      <c r="FZ70" s="530">
        <f ca="1">IF(AND(Assumptions!$H$71="Yes",A70&gt;=Assumptions!$H$72,A70&lt;=Assumptions!$H$73),0,IF(EV70&gt;0,MAX(BJ70*(1+VLOOKUP($C70,WeatherCapacityAdjustment,2))-FR70,0),0))</f>
        <v>46560</v>
      </c>
      <c r="GA70" s="622">
        <f ca="1">IF(AND(Assumptions!$H$71="Yes",A70&gt;=Assumptions!$H$72,A70&lt;=Assumptions!$H$73),0,IF(EW70&gt;0,MAX(BK70*(1+VLOOKUP($C70,WeatherCapacityAdjustment,2))-FS70,0),0))</f>
        <v>144336</v>
      </c>
      <c r="GB70" s="530">
        <f t="shared" ca="1" si="65"/>
        <v>541260</v>
      </c>
      <c r="GC70" s="545">
        <f t="shared" ca="1" si="66"/>
        <v>31.994810576483715</v>
      </c>
      <c r="GD70" s="530">
        <f t="shared" ca="1" si="223"/>
        <v>17317511.172627572</v>
      </c>
      <c r="GE70" s="1485">
        <f t="shared" ca="1" si="224"/>
        <v>764765.73935999989</v>
      </c>
      <c r="GF70" s="1776">
        <f t="shared" ca="1" si="225"/>
        <v>3059062.9574399996</v>
      </c>
      <c r="GG70" s="545">
        <f t="shared" si="190"/>
        <v>2.6831110332946784</v>
      </c>
      <c r="GH70" s="622">
        <f t="shared" ca="1" si="191"/>
        <v>10259756.96581289</v>
      </c>
      <c r="GI70" s="621">
        <f t="shared" ca="1" si="152"/>
        <v>541260</v>
      </c>
      <c r="GJ70" s="638">
        <f t="shared" si="68"/>
        <v>1.8360000000000001</v>
      </c>
      <c r="GK70" s="625">
        <f t="shared" ca="1" si="166"/>
        <v>993753.36</v>
      </c>
      <c r="GL70" s="640">
        <f t="shared" ca="1" si="226"/>
        <v>0</v>
      </c>
      <c r="GM70" s="530">
        <f t="shared" ca="1" si="227"/>
        <v>0</v>
      </c>
      <c r="GN70" s="530">
        <f t="shared" ca="1" si="228"/>
        <v>0</v>
      </c>
      <c r="GO70" s="622">
        <f t="shared" ca="1" si="229"/>
        <v>0</v>
      </c>
      <c r="GP70" s="530">
        <f t="shared" ca="1" si="73"/>
        <v>0</v>
      </c>
      <c r="GQ70" s="545">
        <f t="shared" ca="1" si="74"/>
        <v>0</v>
      </c>
      <c r="GR70" s="625">
        <f t="shared" ca="1" si="230"/>
        <v>0</v>
      </c>
      <c r="GS70" s="640">
        <f>IF($A70&gt;=BegDate,Assumptions!$C$56*24*($A71-$A70)*(1-VLOOKUP($B70,MAIN!$AA$7:$AM$28,$C70+1))*(1-VLOOKUP($B70,MAIN!$AA$33:$AM$54,$C70+1)),0)*80/168</f>
        <v>257742.85714285713</v>
      </c>
      <c r="GT70" s="1715">
        <f t="shared" si="153"/>
        <v>37.453992870672003</v>
      </c>
      <c r="GU70" s="1715">
        <f>IF($A70&gt;=BegDate,VLOOKUP($A70,GasTable,13)+Assumptions!$C$58,0)</f>
        <v>2.6831110332946784</v>
      </c>
      <c r="GV70" s="1715">
        <f>GU70*Assumptions!$C$57/1000</f>
        <v>19.452554991386421</v>
      </c>
      <c r="GW70" s="625">
        <f>IF(Assumptions!$C$60="Hourly",MAX(0,GS70*(GT70-GV70)),GS70*(GT70-GV70))</f>
        <v>4639742.0316867204</v>
      </c>
      <c r="GX70" s="640">
        <f>IF($A70&gt;=BegDate,Assumptions!$C$56*24*($A71-$A70)*(1-VLOOKUP($B70,MAIN!$AA$7:$AM$28,$C70+1))*(1-VLOOKUP($B70,MAIN!$AA$33:$AM$54,$C70+1)),0)*16/168</f>
        <v>51548.571428571428</v>
      </c>
      <c r="GY70" s="1715">
        <f t="shared" si="154"/>
        <v>37.453992870672003</v>
      </c>
      <c r="GZ70" s="1715">
        <f>IF($A70&gt;=BegDate,VLOOKUP($A70,GasTable,13)+Assumptions!$C$58,0)</f>
        <v>2.6831110332946784</v>
      </c>
      <c r="HA70" s="1715">
        <f>GZ70*Assumptions!$C$57/1000</f>
        <v>19.452554991386421</v>
      </c>
      <c r="HB70" s="625">
        <f>IF(Assumptions!$C$60="Hourly",MAX(0,GX70*(GY70-HA70)),GX70*(GY70-HA70))</f>
        <v>927948.4063373442</v>
      </c>
      <c r="HC70" s="640">
        <f>IF($A70&gt;=BegDate,Assumptions!$C$56*24*($A71-$A70)*(1-VLOOKUP($B70,MAIN!$AA$7:$AM$28,$C70+1))*(1-VLOOKUP($B70,MAIN!$AA$33:$AM$54,$C70+1)),0)*16/168</f>
        <v>51548.571428571428</v>
      </c>
      <c r="HD70" s="1715">
        <f t="shared" si="155"/>
        <v>25.070968960271998</v>
      </c>
      <c r="HE70" s="1715">
        <f>IF($A70&gt;=BegDate,VLOOKUP($A70,GasTable,13)+Assumptions!$C$58,0)</f>
        <v>2.6831110332946784</v>
      </c>
      <c r="HF70" s="1715">
        <f>HE70*Assumptions!$C$57/1000</f>
        <v>19.452554991386421</v>
      </c>
      <c r="HG70" s="625">
        <f>IF(Assumptions!$C$60="Hourly",MAX(0,HC70*(HD70-HF70)),HC70*(HD70-HF70))</f>
        <v>289621.21379038162</v>
      </c>
      <c r="HH70" s="640">
        <f>IF($A70&gt;=BegDate,Assumptions!$C$56*24*($A71-$A70)*(1-VLOOKUP($B70,MAIN!$AA$7:$AM$28,$C70+1))*(1-VLOOKUP($B70,MAIN!$AA$33:$AM$54,$C70+1)),0)*56/168</f>
        <v>180420</v>
      </c>
      <c r="HI70" s="1715">
        <f t="shared" si="156"/>
        <v>25.070968960271998</v>
      </c>
      <c r="HJ70" s="1715">
        <f>IF($A70&gt;=BegDate,VLOOKUP($A70,GasTable,13)+Assumptions!$C$58,0)</f>
        <v>2.6831110332946784</v>
      </c>
      <c r="HK70" s="1715">
        <f>HJ70*Assumptions!$C$57/1000</f>
        <v>19.452554991386421</v>
      </c>
      <c r="HL70" s="625">
        <f>IF(Assumptions!$C$60="Hourly",MAX(0,HH70*(HI70-HK70)),HH70*(HI70-HK70))</f>
        <v>1013674.2482663357</v>
      </c>
      <c r="HM70" s="640">
        <f>IF(AND(Assumptions!$H$71="Yes",A70&gt;=Assumptions!$H$72,A70&lt;=Assumptions!$H$73),Assumptions!$H$74*Assumptions!$C$9*1000,0)</f>
        <v>0</v>
      </c>
      <c r="HN70" s="530">
        <f t="shared" ca="1" si="233"/>
        <v>7057754.2068146821</v>
      </c>
      <c r="HO70" s="545"/>
      <c r="HP70" s="545"/>
      <c r="HQ70" s="545"/>
      <c r="HR70" s="545"/>
      <c r="HS70" s="545"/>
      <c r="HT70" s="545"/>
      <c r="HU70" s="545"/>
      <c r="HV70" s="545"/>
      <c r="HW70" s="545"/>
      <c r="HX70" s="545"/>
      <c r="HY70" s="545"/>
      <c r="HZ70" s="545"/>
      <c r="IA70" s="545"/>
      <c r="IB70" s="545"/>
      <c r="IC70" s="545"/>
      <c r="ID70" s="545"/>
      <c r="IE70" s="545"/>
      <c r="IF70" s="545"/>
      <c r="IG70" s="545"/>
      <c r="IH70" s="545"/>
      <c r="II70" s="1464"/>
      <c r="IJ70" s="1463"/>
      <c r="IK70" s="1463"/>
    </row>
    <row r="71" spans="1:245">
      <c r="A71" s="177">
        <f t="shared" si="87"/>
        <v>38292</v>
      </c>
      <c r="B71" s="349">
        <f t="shared" si="88"/>
        <v>2004</v>
      </c>
      <c r="C71" s="15">
        <f t="shared" si="89"/>
        <v>11</v>
      </c>
      <c r="D71" s="612">
        <f t="shared" si="90"/>
        <v>38316</v>
      </c>
      <c r="E71" s="609">
        <f t="shared" si="91"/>
        <v>38292</v>
      </c>
      <c r="F71" s="614">
        <f t="shared" si="2"/>
        <v>38321</v>
      </c>
      <c r="G71" s="1349">
        <v>0</v>
      </c>
      <c r="H71" s="152">
        <f t="shared" si="165"/>
        <v>1</v>
      </c>
      <c r="I71" s="154">
        <f>IF(Assumptions!$L$25=4,VLOOKUP($A71,'Henwood Reference'!$E$9:$R$320,10),(VLOOKUP($A71,PriceTable,2,0)+IF(BasisNumber&lt;&gt;1,VLOOKUP($A71,BasisTable,2,0),0)+I$1)/(1-I$2))</f>
        <v>41.738584089600003</v>
      </c>
      <c r="J71" s="154">
        <f>IF(Assumptions!$L$25=4,VLOOKUP($A71,'Henwood Reference'!$E$9:$R$320,10),(VLOOKUP($A71,PriceTable,3,0)+IF(BasisNumber&lt;&gt;1,VLOOKUP($A71,BasisTable,2,0),0)+J$1)/(1-J$2))</f>
        <v>41.738584089600003</v>
      </c>
      <c r="K71" s="154">
        <f>IF(Assumptions!$L$25=4,VLOOKUP($A71,'Henwood Reference'!$E$9:$R$320,10),(VLOOKUP($A71,PriceTable,4,0)+IF(BasisNumber&lt;&gt;1,VLOOKUP($A71,BasisTable,2,0),0)+K$1)/(1-K$2))</f>
        <v>41.738584089600003</v>
      </c>
      <c r="L71" s="474">
        <f>IF(Assumptions!$L$25=4,VLOOKUP($A71,'Henwood Reference'!$E$9:$R$320,10),(VLOOKUP($A71,PriceTableWeekend,2,0)+IF(BasisNumber&lt;&gt;1,VLOOKUP($A71,BasisTable,2,0),0)+L$1)/(1-L$2))</f>
        <v>41.738584089600003</v>
      </c>
      <c r="M71" s="154">
        <f>IF(Assumptions!$L$25=4,VLOOKUP($A71,'Henwood Reference'!$E$9:$R$320,10),(VLOOKUP($A71,PriceTableWeekend,3,0)+IF(BasisNumber&lt;&gt;1,VLOOKUP($A71,BasisTable,2,0),0)+M$1)/(1-M$2))</f>
        <v>41.738584089600003</v>
      </c>
      <c r="N71" s="156">
        <f>IF(Assumptions!$L$25=4,VLOOKUP($A71,'Henwood Reference'!$E$9:$R$320,10),(VLOOKUP($A71,PriceTableWeekend,4,0)+IF(BasisNumber&lt;&gt;1,VLOOKUP($A71,BasisTable,2,0),0)+N$1)/(1-N$2))</f>
        <v>41.738584089600003</v>
      </c>
      <c r="O71" s="154">
        <f>IF(Assumptions!$L$25=4,VLOOKUP($A71,'Henwood Reference'!$E$9:$R$320,11),(VLOOKUP($A71,PriceTableWeekend,6,0)+IF(BasisNumber&lt;&gt;1,VLOOKUP($A71,BasisTable,3,0),0)+O$1)/(1-O$2))</f>
        <v>26.927989573968002</v>
      </c>
      <c r="P71" s="154">
        <f>IF(Assumptions!$L$25=4,VLOOKUP($A71,'Henwood Reference'!$E$9:$R$320,11),(VLOOKUP($A71,PriceTableWeekend,7,0)+IF(BasisNumber&lt;&gt;1,VLOOKUP($A71,BasisTable,3,0),0)+P$1)/(1-P$2))</f>
        <v>26.927989573968002</v>
      </c>
      <c r="Q71" s="156">
        <f>IF(Assumptions!$L$25=4,VLOOKUP($A71,'Henwood Reference'!$E$9:$R$320,11),(VLOOKUP($A71,PriceTableWeekend,8,0)+IF(BasisNumber&lt;&gt;1,VLOOKUP($A71,BasisTable,3,0),0)+Q$1)/(1-Q$2))</f>
        <v>26.927989573968002</v>
      </c>
      <c r="R71" s="154">
        <f>IF(Assumptions!$L$25=4,VLOOKUP($A71,'Henwood Reference'!$E$9:$R$320,11),(VLOOKUP($A71,PriceTable,6,0)+IF(BasisNumber&lt;&gt;1,VLOOKUP($A71,BasisTable,3,0),0)+R$1)/(1-R$2))</f>
        <v>26.927989573968002</v>
      </c>
      <c r="S71" s="154">
        <f>IF(Assumptions!$L$25=4,VLOOKUP($A71,'Henwood Reference'!$E$9:$R$320,11),(VLOOKUP($A71,PriceTable,7,0)+IF(BasisNumber&lt;&gt;1,VLOOKUP($A71,BasisTable,3,0),0)+S$1)/(1-S$2))</f>
        <v>26.927989573968002</v>
      </c>
      <c r="T71" s="155">
        <f>IF(Assumptions!$L$25=4,VLOOKUP($A71,'Henwood Reference'!$E$9:$R$320,11),(VLOOKUP($A71,PriceTable,8,0)+IF(BasisNumber&lt;&gt;1,VLOOKUP($A71,BasisTable,3,0),0)+T$1)/(1-T$2))</f>
        <v>26.927989573968002</v>
      </c>
      <c r="U71" s="173">
        <f t="shared" si="92"/>
        <v>0.15</v>
      </c>
      <c r="V71" s="173">
        <f t="shared" si="93"/>
        <v>0.16</v>
      </c>
      <c r="W71" s="174">
        <f t="shared" si="94"/>
        <v>0.17</v>
      </c>
      <c r="X71" s="173">
        <f t="shared" si="95"/>
        <v>0.15</v>
      </c>
      <c r="Y71" s="173">
        <f t="shared" si="96"/>
        <v>0.16</v>
      </c>
      <c r="Z71" s="174">
        <f t="shared" si="97"/>
        <v>0.17</v>
      </c>
      <c r="AA71" s="173">
        <f t="shared" si="98"/>
        <v>0.09</v>
      </c>
      <c r="AB71" s="173">
        <f t="shared" si="99"/>
        <v>0.11</v>
      </c>
      <c r="AC71" s="174">
        <f t="shared" si="100"/>
        <v>0.13</v>
      </c>
      <c r="AD71" s="173">
        <f t="shared" si="101"/>
        <v>0.09</v>
      </c>
      <c r="AE71" s="173">
        <f t="shared" si="102"/>
        <v>0.11</v>
      </c>
      <c r="AF71" s="174">
        <f t="shared" si="103"/>
        <v>0.13</v>
      </c>
      <c r="AG71" s="173">
        <f t="shared" si="104"/>
        <v>-0.1</v>
      </c>
      <c r="AH71" s="173">
        <f t="shared" si="105"/>
        <v>0.6</v>
      </c>
      <c r="AI71" s="174">
        <f t="shared" si="106"/>
        <v>0.1</v>
      </c>
      <c r="AJ71" s="173">
        <f t="shared" si="107"/>
        <v>-0.1</v>
      </c>
      <c r="AK71" s="173">
        <f t="shared" si="108"/>
        <v>0.6</v>
      </c>
      <c r="AL71" s="174">
        <f t="shared" si="109"/>
        <v>0.1</v>
      </c>
      <c r="AM71" s="173">
        <f t="shared" si="110"/>
        <v>-0.01</v>
      </c>
      <c r="AN71" s="173">
        <f t="shared" si="111"/>
        <v>0.16</v>
      </c>
      <c r="AO71" s="174">
        <f t="shared" si="112"/>
        <v>0.01</v>
      </c>
      <c r="AP71" s="173">
        <f t="shared" si="113"/>
        <v>-0.01</v>
      </c>
      <c r="AQ71" s="173">
        <f t="shared" si="114"/>
        <v>0.16</v>
      </c>
      <c r="AR71" s="175">
        <f t="shared" si="115"/>
        <v>0.01</v>
      </c>
      <c r="AS71" s="521">
        <f t="shared" si="231"/>
        <v>0.5</v>
      </c>
      <c r="AT71" s="349">
        <f t="shared" si="117"/>
        <v>21</v>
      </c>
      <c r="AU71" s="159">
        <f t="shared" si="3"/>
        <v>4</v>
      </c>
      <c r="AV71" s="159">
        <f t="shared" si="4"/>
        <v>4</v>
      </c>
      <c r="AW71" s="159">
        <f t="shared" si="232"/>
        <v>1</v>
      </c>
      <c r="AX71" s="15">
        <f t="shared" si="119"/>
        <v>30</v>
      </c>
      <c r="AY71" s="607">
        <f>IF(E71="",0,MIN((1-(1-VLOOKUP(B71,MAIN!$AA$7:$AM$28,C71+1))*(1-VLOOKUP(B71,MAIN!$AA$33:$AM$54,C71+1))),1))</f>
        <v>3.0000000000000027E-2</v>
      </c>
      <c r="AZ71" s="337">
        <v>48888</v>
      </c>
      <c r="BA71" s="509">
        <v>9312</v>
      </c>
      <c r="BB71" s="509">
        <v>11640</v>
      </c>
      <c r="BC71" s="511">
        <v>34920</v>
      </c>
      <c r="BD71" s="153">
        <v>0.97</v>
      </c>
      <c r="BE71" s="474">
        <v>0.97</v>
      </c>
      <c r="BF71" s="474">
        <v>0.97</v>
      </c>
      <c r="BG71" s="515">
        <v>0.9699999927729368</v>
      </c>
      <c r="BH71" s="262">
        <v>195552</v>
      </c>
      <c r="BI71" s="509">
        <v>37248</v>
      </c>
      <c r="BJ71" s="509">
        <v>46560</v>
      </c>
      <c r="BK71" s="511">
        <v>139680</v>
      </c>
      <c r="BL71" s="153">
        <v>0.97</v>
      </c>
      <c r="BM71" s="474">
        <v>0.97</v>
      </c>
      <c r="BN71" s="474">
        <v>0.97</v>
      </c>
      <c r="BO71" s="474">
        <v>0.9699999927729368</v>
      </c>
      <c r="BP71" s="261">
        <f t="shared" si="120"/>
        <v>69840</v>
      </c>
      <c r="BQ71" s="578">
        <f t="shared" si="121"/>
        <v>104760</v>
      </c>
      <c r="BR71" s="259">
        <f t="shared" si="122"/>
        <v>279360</v>
      </c>
      <c r="BS71" s="578">
        <f t="shared" si="123"/>
        <v>419040</v>
      </c>
      <c r="BT71" s="216">
        <f t="shared" si="124"/>
        <v>4.5503080082135527</v>
      </c>
      <c r="BU71" s="218">
        <f t="shared" si="5"/>
        <v>41.738584089600003</v>
      </c>
      <c r="BV71" s="216">
        <f t="shared" si="6"/>
        <v>41.738584089600003</v>
      </c>
      <c r="BW71" s="216">
        <f t="shared" si="7"/>
        <v>26.927989573968002</v>
      </c>
      <c r="BX71" s="216">
        <f t="shared" si="125"/>
        <v>26.927989373338846</v>
      </c>
      <c r="BY71" s="216">
        <f t="shared" si="8"/>
        <v>39.270151670327998</v>
      </c>
      <c r="BZ71" s="216">
        <f t="shared" si="9"/>
        <v>35.156097571331614</v>
      </c>
      <c r="CA71" s="264">
        <f t="shared" si="10"/>
        <v>41.738584089600003</v>
      </c>
      <c r="CB71" s="216">
        <f t="shared" si="11"/>
        <v>41.738584089600003</v>
      </c>
      <c r="CC71" s="216">
        <f t="shared" si="12"/>
        <v>26.927989573968002</v>
      </c>
      <c r="CD71" s="216">
        <f t="shared" si="126"/>
        <v>26.927989373338846</v>
      </c>
      <c r="CE71" s="216">
        <f t="shared" si="13"/>
        <v>39.270151670327998</v>
      </c>
      <c r="CF71" s="571">
        <f t="shared" si="14"/>
        <v>35.156097571331614</v>
      </c>
      <c r="CG71" s="573">
        <f t="shared" si="15"/>
        <v>0.16</v>
      </c>
      <c r="CH71" s="219">
        <f t="shared" si="16"/>
        <v>0.16</v>
      </c>
      <c r="CI71" s="219">
        <f t="shared" si="17"/>
        <v>0.11</v>
      </c>
      <c r="CJ71" s="219">
        <f t="shared" si="18"/>
        <v>0.15437429296247682</v>
      </c>
      <c r="CK71" s="219">
        <f t="shared" si="19"/>
        <v>0.15437429296247682</v>
      </c>
      <c r="CL71" s="219">
        <f t="shared" si="20"/>
        <v>0.11</v>
      </c>
      <c r="CM71" s="219">
        <f t="shared" si="21"/>
        <v>0.13174874364900813</v>
      </c>
      <c r="CN71" s="569">
        <f t="shared" si="22"/>
        <v>0.13174874364900813</v>
      </c>
      <c r="CO71" s="264">
        <f t="shared" si="175"/>
        <v>19.725670459367947</v>
      </c>
      <c r="CP71" s="216">
        <f t="shared" si="127"/>
        <v>19.725670459367947</v>
      </c>
      <c r="CQ71" s="216">
        <f t="shared" ca="1" si="192"/>
        <v>19.725670459367947</v>
      </c>
      <c r="CR71" s="216">
        <f t="shared" ca="1" si="193"/>
        <v>19.725670459367947</v>
      </c>
      <c r="CS71" s="1626">
        <f t="shared" ca="1" si="194"/>
        <v>19.725670459367947</v>
      </c>
      <c r="CT71" s="216">
        <f t="shared" si="131"/>
        <v>19.725670459367947</v>
      </c>
      <c r="CU71" s="575">
        <f t="shared" si="23"/>
        <v>0.17499999999999999</v>
      </c>
      <c r="CV71" s="154">
        <f t="shared" si="24"/>
        <v>0.5</v>
      </c>
      <c r="CW71" s="216">
        <f>IF(OR($BQ71,$BS71),SpreadOptPowerMargin,0)*((1+Assumptions!$C$26)^($B71-YEAR(Assumptions!$C$17)))</f>
        <v>1.8360000000000001</v>
      </c>
      <c r="CX71" s="216">
        <f>IF(OR($BQ71,$BS71),SpreadOptPowerMargin,0)*((1+Assumptions!$C$26)^($B71-YEAR(Assumptions!$C$17)))</f>
        <v>1.8360000000000001</v>
      </c>
      <c r="CY71" s="216">
        <f>IF(OR($BQ71,$BS71),SpreadOptPowerMargin,0)*((1+Assumptions!$C$26)^($B71-YEAR(Assumptions!$C$17)))</f>
        <v>1.8360000000000001</v>
      </c>
      <c r="CZ71" s="216">
        <f>IF(OR($BQ71,$BS71),SpreadOptPowerMargin,0)*((1+Assumptions!$C$26)^($B71-YEAR(Assumptions!$C$17)))</f>
        <v>1.8360000000000001</v>
      </c>
      <c r="DA71" s="440">
        <f t="shared" si="25"/>
        <v>1.8360000000000001</v>
      </c>
      <c r="DB71" s="479">
        <f t="shared" si="26"/>
        <v>0.16</v>
      </c>
      <c r="DC71" s="479">
        <f t="shared" si="27"/>
        <v>0.16</v>
      </c>
      <c r="DD71" s="479">
        <f t="shared" si="28"/>
        <v>0.11</v>
      </c>
      <c r="DE71" s="479">
        <f t="shared" si="29"/>
        <v>0.11</v>
      </c>
      <c r="DF71" s="479">
        <f t="shared" si="30"/>
        <v>0.13174874364900813</v>
      </c>
      <c r="DG71" s="574">
        <f t="shared" si="31"/>
        <v>0.13174874364900813</v>
      </c>
      <c r="DH71" s="216">
        <f t="shared" si="32"/>
        <v>20.28347879287724</v>
      </c>
      <c r="DI71" s="216">
        <f t="shared" si="33"/>
        <v>20.28347879287724</v>
      </c>
      <c r="DJ71" s="216">
        <f t="shared" ca="1" si="195"/>
        <v>6.3558965501405646</v>
      </c>
      <c r="DK71" s="216">
        <f t="shared" ca="1" si="196"/>
        <v>6.3558963869154619</v>
      </c>
      <c r="DL71" s="216">
        <f t="shared" ca="1" si="197"/>
        <v>13.829896885778604</v>
      </c>
      <c r="DM71" s="216"/>
      <c r="DN71" s="216"/>
      <c r="DO71" s="216"/>
      <c r="DP71" s="216"/>
      <c r="DQ71" s="216"/>
      <c r="DR71" s="216"/>
      <c r="DS71" s="216"/>
      <c r="DT71" s="216"/>
      <c r="DU71" s="216"/>
      <c r="DV71" s="216"/>
      <c r="DW71" s="1371">
        <f t="shared" si="37"/>
        <v>6.3558965501405646</v>
      </c>
      <c r="DX71" s="216">
        <f t="shared" si="38"/>
        <v>6.3558963869154619</v>
      </c>
      <c r="DY71" s="440">
        <f t="shared" si="39"/>
        <v>14.093442186141461</v>
      </c>
      <c r="DZ71" s="180">
        <f t="shared" si="40"/>
        <v>991618.71122618252</v>
      </c>
      <c r="EA71" s="180">
        <f t="shared" si="41"/>
        <v>188879.75451927286</v>
      </c>
      <c r="EB71" s="180">
        <f t="shared" ca="1" si="198"/>
        <v>73982.635843636177</v>
      </c>
      <c r="EC71" s="180">
        <f t="shared" ca="1" si="199"/>
        <v>221947.90183108792</v>
      </c>
      <c r="ED71" s="180">
        <f t="shared" ca="1" si="200"/>
        <v>1448819.9977541666</v>
      </c>
      <c r="EE71" s="581">
        <f t="shared" si="45"/>
        <v>986408.95355478488</v>
      </c>
      <c r="EF71" s="554">
        <f t="shared" si="46"/>
        <v>187887.41972472091</v>
      </c>
      <c r="EG71" s="554">
        <f t="shared" ca="1" si="201"/>
        <v>62463.954493944657</v>
      </c>
      <c r="EH71" s="554">
        <f t="shared" ca="1" si="202"/>
        <v>187391.85647586384</v>
      </c>
      <c r="EI71" s="561">
        <f t="shared" ca="1" si="49"/>
        <v>1424152.1842493138</v>
      </c>
      <c r="EJ71" s="581">
        <f t="shared" si="132"/>
        <v>5209.757671397645</v>
      </c>
      <c r="EK71" s="554">
        <f t="shared" si="133"/>
        <v>992.33479455194902</v>
      </c>
      <c r="EL71" s="554">
        <f t="shared" ca="1" si="203"/>
        <v>11518.68134969152</v>
      </c>
      <c r="EM71" s="554">
        <f t="shared" ca="1" si="204"/>
        <v>34556.04535522408</v>
      </c>
      <c r="EN71" s="561">
        <f t="shared" ca="1" si="205"/>
        <v>24667.81350485282</v>
      </c>
      <c r="EO71" s="180">
        <f t="shared" si="50"/>
        <v>3966474.8449047301</v>
      </c>
      <c r="EP71" s="180">
        <f t="shared" si="51"/>
        <v>755519.01807709143</v>
      </c>
      <c r="EQ71" s="180">
        <f t="shared" si="52"/>
        <v>295930.54337454471</v>
      </c>
      <c r="ER71" s="180">
        <f t="shared" si="53"/>
        <v>887791.60732435167</v>
      </c>
      <c r="ES71" s="180">
        <f t="shared" si="54"/>
        <v>5905716.0136807179</v>
      </c>
      <c r="ET71" s="1482">
        <f t="shared" ca="1" si="206"/>
        <v>3945635.8142191395</v>
      </c>
      <c r="EU71" s="180">
        <f t="shared" ca="1" si="207"/>
        <v>751549.67889888363</v>
      </c>
      <c r="EV71" s="180">
        <f t="shared" ca="1" si="208"/>
        <v>249855.81797577863</v>
      </c>
      <c r="EW71" s="180">
        <f t="shared" ca="1" si="209"/>
        <v>749567.42590345535</v>
      </c>
      <c r="EX71" s="555">
        <f t="shared" ca="1" si="182"/>
        <v>5696608.7369972579</v>
      </c>
      <c r="EY71" s="180">
        <f t="shared" ca="1" si="210"/>
        <v>20839.03068559058</v>
      </c>
      <c r="EZ71" s="180">
        <f t="shared" ca="1" si="211"/>
        <v>3969.3391782077961</v>
      </c>
      <c r="FA71" s="180">
        <f t="shared" ca="1" si="212"/>
        <v>46074.725398766081</v>
      </c>
      <c r="FB71" s="180">
        <f t="shared" ca="1" si="213"/>
        <v>138224.18142089632</v>
      </c>
      <c r="FC71" s="180">
        <f t="shared" ca="1" si="214"/>
        <v>209107.27668345999</v>
      </c>
      <c r="FD71" s="262">
        <f>IF(AX71,IF(VLOOKUP(C71,MAIN!$L$17:$M$28,2)="Yes",VLOOKUP(CALC!B71,MAIN!$H$17:$I$20,2),0),0)</f>
        <v>0</v>
      </c>
      <c r="FE71" s="623">
        <f t="shared" si="60"/>
        <v>0</v>
      </c>
      <c r="FF71" s="535">
        <f t="shared" si="61"/>
        <v>0</v>
      </c>
      <c r="FG71" s="535">
        <f t="shared" si="62"/>
        <v>0</v>
      </c>
      <c r="FH71" s="624">
        <f t="shared" si="63"/>
        <v>0</v>
      </c>
      <c r="FI71" s="632">
        <f>IF(AX71,VLOOKUP(CALC!B71,MAIN!$H$17:$K$20,4),0)</f>
        <v>0</v>
      </c>
      <c r="FJ71" s="535">
        <f t="shared" si="64"/>
        <v>0</v>
      </c>
      <c r="FK71" s="648">
        <f t="shared" si="142"/>
        <v>0</v>
      </c>
      <c r="FL71" s="530">
        <f t="shared" ca="1" si="215"/>
        <v>0</v>
      </c>
      <c r="FM71" s="530">
        <f t="shared" ca="1" si="216"/>
        <v>0</v>
      </c>
      <c r="FN71" s="530">
        <f t="shared" ca="1" si="217"/>
        <v>0</v>
      </c>
      <c r="FO71" s="622">
        <f t="shared" ca="1" si="218"/>
        <v>0</v>
      </c>
      <c r="FP71" s="530">
        <f t="shared" ca="1" si="219"/>
        <v>0</v>
      </c>
      <c r="FQ71" s="530">
        <f t="shared" ca="1" si="220"/>
        <v>0</v>
      </c>
      <c r="FR71" s="530">
        <f t="shared" ca="1" si="221"/>
        <v>0</v>
      </c>
      <c r="FS71" s="625">
        <f t="shared" ca="1" si="222"/>
        <v>0</v>
      </c>
      <c r="FT71" s="640">
        <f ca="1">IF(AND(Assumptions!$H$71="Yes",A71&gt;=Assumptions!$H$72,A71&lt;=Assumptions!$H$73),0,IF(AND($A71&gt;=Assumptions!$C$17,$A71&lt;=Assumptions!$C$18),MAX(AZ71*(1+VLOOKUP($C71,WeatherCapacityAdjustment,2))-FL71,0),0))</f>
        <v>48888</v>
      </c>
      <c r="FU71" s="530">
        <f ca="1">IF(AND(Assumptions!$H$71="Yes",A71&gt;=Assumptions!$H$72,A71&lt;=Assumptions!$H$73),0,IF(AND($A71&gt;=Assumptions!$C$17,$A71&lt;=Assumptions!$C$18),MAX(BA71*(1+VLOOKUP($C71,WeatherCapacityAdjustment,2))-FM71,0),0))</f>
        <v>9312</v>
      </c>
      <c r="FV71" s="530">
        <f ca="1">IF(AND(Assumptions!$H$71="Yes",A71&gt;=Assumptions!$H$72,A71&lt;=Assumptions!$H$73),0,IF(AND($A71&gt;=Assumptions!$C$17,$A71&lt;=Assumptions!$C$18),MAX(BB71*(1+VLOOKUP($C71,WeatherCapacityAdjustment,2))-FN71,0),0))</f>
        <v>11640</v>
      </c>
      <c r="FW71" s="622">
        <f ca="1">IF(AND(Assumptions!$H$71="Yes",A71&gt;=Assumptions!$H$72,A71&lt;=Assumptions!$H$73),0,IF(AND($A71&gt;=Assumptions!$C$17,$A71&lt;=Assumptions!$C$18),MAX(BC71*(1+VLOOKUP($C71,WeatherCapacityAdjustment,3))-FO71,0),0))</f>
        <v>34920</v>
      </c>
      <c r="FX71" s="621">
        <f ca="1">IF(AND(Assumptions!$H$71="Yes",A71&gt;=Assumptions!$H$72,A71&lt;=Assumptions!$H$73),0,IF(ET71&gt;0,MAX(BH71*(1+VLOOKUP($C71,WeatherCapacityAdjustment,2))-FP71,0),0))</f>
        <v>195552</v>
      </c>
      <c r="FY71" s="530">
        <f ca="1">IF(AND(Assumptions!$H$71="Yes",A71&gt;=Assumptions!$H$72,A71&lt;=Assumptions!$H$73),0,IF(EU71&gt;0,MAX(BI71*(1+VLOOKUP($C71,WeatherCapacityAdjustment,3))-FQ71,0),0))</f>
        <v>37248</v>
      </c>
      <c r="FZ71" s="530">
        <f ca="1">IF(AND(Assumptions!$H$71="Yes",A71&gt;=Assumptions!$H$72,A71&lt;=Assumptions!$H$73),0,IF(EV71&gt;0,MAX(BJ71*(1+VLOOKUP($C71,WeatherCapacityAdjustment,2))-FR71,0),0))</f>
        <v>46560</v>
      </c>
      <c r="GA71" s="622">
        <f ca="1">IF(AND(Assumptions!$H$71="Yes",A71&gt;=Assumptions!$H$72,A71&lt;=Assumptions!$H$73),0,IF(EW71&gt;0,MAX(BK71*(1+VLOOKUP($C71,WeatherCapacityAdjustment,2))-FS71,0),0))</f>
        <v>139680</v>
      </c>
      <c r="GB71" s="530">
        <f t="shared" ca="1" si="65"/>
        <v>523800</v>
      </c>
      <c r="GC71" s="545">
        <f t="shared" ca="1" si="66"/>
        <v>35.156097571331621</v>
      </c>
      <c r="GD71" s="530">
        <f t="shared" ca="1" si="223"/>
        <v>18414763.907863501</v>
      </c>
      <c r="GE71" s="1485">
        <f t="shared" ca="1" si="224"/>
        <v>740403.87120000005</v>
      </c>
      <c r="GF71" s="1776">
        <f t="shared" ca="1" si="225"/>
        <v>2961615.4848000002</v>
      </c>
      <c r="GG71" s="545">
        <f t="shared" si="190"/>
        <v>2.7909919406204557</v>
      </c>
      <c r="GH71" s="622">
        <f t="shared" ca="1" si="191"/>
        <v>10332306.186616931</v>
      </c>
      <c r="GI71" s="621">
        <f t="shared" ca="1" si="152"/>
        <v>523800</v>
      </c>
      <c r="GJ71" s="638">
        <f t="shared" si="68"/>
        <v>1.8360000000000001</v>
      </c>
      <c r="GK71" s="625">
        <f t="shared" ca="1" si="166"/>
        <v>961696.8</v>
      </c>
      <c r="GL71" s="640">
        <f t="shared" ca="1" si="226"/>
        <v>0</v>
      </c>
      <c r="GM71" s="530">
        <f t="shared" ca="1" si="227"/>
        <v>0</v>
      </c>
      <c r="GN71" s="530">
        <f t="shared" ca="1" si="228"/>
        <v>0</v>
      </c>
      <c r="GO71" s="622">
        <f t="shared" ca="1" si="229"/>
        <v>0</v>
      </c>
      <c r="GP71" s="530">
        <f t="shared" ca="1" si="73"/>
        <v>0</v>
      </c>
      <c r="GQ71" s="545">
        <f t="shared" ca="1" si="74"/>
        <v>0</v>
      </c>
      <c r="GR71" s="625">
        <f t="shared" ca="1" si="230"/>
        <v>0</v>
      </c>
      <c r="GS71" s="640">
        <f>IF($A71&gt;=BegDate,Assumptions!$C$56*24*($A72-$A71)*(1-VLOOKUP($B71,MAIN!$AA$7:$AM$28,$C71+1))*(1-VLOOKUP($B71,MAIN!$AA$33:$AM$54,$C71+1)),0)*80/168</f>
        <v>249428.57142857142</v>
      </c>
      <c r="GT71" s="1715">
        <f t="shared" si="153"/>
        <v>41.738584089600003</v>
      </c>
      <c r="GU71" s="1715">
        <f>IF($A71&gt;=BegDate,VLOOKUP($A71,GasTable,13)+Assumptions!$C$58,0)</f>
        <v>2.7909919406204557</v>
      </c>
      <c r="GV71" s="1715">
        <f>GU71*Assumptions!$C$57/1000</f>
        <v>20.234691569498302</v>
      </c>
      <c r="GW71" s="625">
        <f>IF(Assumptions!$C$60="Hourly",MAX(0,GS71*(GT71-GV71)),GS71*(GT71-GV71))</f>
        <v>5363685.1914425101</v>
      </c>
      <c r="GX71" s="640">
        <f>IF($A71&gt;=BegDate,Assumptions!$C$56*24*($A72-$A71)*(1-VLOOKUP($B71,MAIN!$AA$7:$AM$28,$C71+1))*(1-VLOOKUP($B71,MAIN!$AA$33:$AM$54,$C71+1)),0)*16/168</f>
        <v>49885.714285714283</v>
      </c>
      <c r="GY71" s="1715">
        <f t="shared" si="154"/>
        <v>41.738584089600003</v>
      </c>
      <c r="GZ71" s="1715">
        <f>IF($A71&gt;=BegDate,VLOOKUP($A71,GasTable,13)+Assumptions!$C$58,0)</f>
        <v>2.7909919406204557</v>
      </c>
      <c r="HA71" s="1715">
        <f>GZ71*Assumptions!$C$57/1000</f>
        <v>20.234691569498302</v>
      </c>
      <c r="HB71" s="625">
        <f>IF(Assumptions!$C$60="Hourly",MAX(0,GX71*(GY71-HA71)),GX71*(GY71-HA71))</f>
        <v>1072737.038288502</v>
      </c>
      <c r="HC71" s="640">
        <f>IF($A71&gt;=BegDate,Assumptions!$C$56*24*($A72-$A71)*(1-VLOOKUP($B71,MAIN!$AA$7:$AM$28,$C71+1))*(1-VLOOKUP($B71,MAIN!$AA$33:$AM$54,$C71+1)),0)*16/168</f>
        <v>49885.714285714283</v>
      </c>
      <c r="HD71" s="1715">
        <f t="shared" si="155"/>
        <v>26.927989573968002</v>
      </c>
      <c r="HE71" s="1715">
        <f>IF($A71&gt;=BegDate,VLOOKUP($A71,GasTable,13)+Assumptions!$C$58,0)</f>
        <v>2.7909919406204557</v>
      </c>
      <c r="HF71" s="1715">
        <f>HE71*Assumptions!$C$57/1000</f>
        <v>20.234691569498302</v>
      </c>
      <c r="HG71" s="625">
        <f>IF(Assumptions!$C$60="Hourly",MAX(0,HC71*(HD71-HF71)),HC71*(HD71-HF71))</f>
        <v>333899.95188011701</v>
      </c>
      <c r="HH71" s="640">
        <f>IF($A71&gt;=BegDate,Assumptions!$C$56*24*($A72-$A71)*(1-VLOOKUP($B71,MAIN!$AA$7:$AM$28,$C71+1))*(1-VLOOKUP($B71,MAIN!$AA$33:$AM$54,$C71+1)),0)*56/168</f>
        <v>174600</v>
      </c>
      <c r="HI71" s="1715">
        <f t="shared" si="156"/>
        <v>26.927989573968002</v>
      </c>
      <c r="HJ71" s="1715">
        <f>IF($A71&gt;=BegDate,VLOOKUP($A71,GasTable,13)+Assumptions!$C$58,0)</f>
        <v>2.7909919406204557</v>
      </c>
      <c r="HK71" s="1715">
        <f>HJ71*Assumptions!$C$57/1000</f>
        <v>20.234691569498302</v>
      </c>
      <c r="HL71" s="625">
        <f>IF(Assumptions!$C$60="Hourly",MAX(0,HH71*(HI71-HK71)),HH71*(HI71-HK71))</f>
        <v>1168649.8315804095</v>
      </c>
      <c r="HM71" s="640">
        <f>IF(AND(Assumptions!$H$71="Yes",A71&gt;=Assumptions!$H$72,A71&lt;=Assumptions!$H$73),Assumptions!$H$74*Assumptions!$C$9*1000,0)</f>
        <v>0</v>
      </c>
      <c r="HN71" s="530">
        <f t="shared" ca="1" si="233"/>
        <v>8082457.7212465703</v>
      </c>
      <c r="HO71" s="545"/>
      <c r="HP71" s="545"/>
      <c r="HQ71" s="545"/>
      <c r="HR71" s="545"/>
      <c r="HS71" s="545"/>
      <c r="HT71" s="545"/>
      <c r="HU71" s="545"/>
      <c r="HV71" s="545"/>
      <c r="HW71" s="545"/>
      <c r="HX71" s="545"/>
      <c r="HY71" s="545"/>
      <c r="HZ71" s="545"/>
      <c r="IA71" s="545"/>
      <c r="IB71" s="545"/>
      <c r="IC71" s="545"/>
      <c r="ID71" s="545"/>
      <c r="IE71" s="545"/>
      <c r="IF71" s="545"/>
      <c r="IG71" s="545"/>
      <c r="IH71" s="545"/>
      <c r="II71" s="1464"/>
      <c r="IJ71" s="1463"/>
      <c r="IK71" s="1463"/>
    </row>
    <row r="72" spans="1:245">
      <c r="A72" s="177">
        <f t="shared" si="87"/>
        <v>38322</v>
      </c>
      <c r="B72" s="349">
        <f t="shared" si="88"/>
        <v>2004</v>
      </c>
      <c r="C72" s="15">
        <f t="shared" si="89"/>
        <v>12</v>
      </c>
      <c r="D72" s="612">
        <f t="shared" si="90"/>
        <v>38346</v>
      </c>
      <c r="E72" s="609">
        <f t="shared" si="91"/>
        <v>38322</v>
      </c>
      <c r="F72" s="614">
        <f t="shared" si="2"/>
        <v>38352</v>
      </c>
      <c r="G72" s="1349">
        <v>0</v>
      </c>
      <c r="H72" s="152">
        <f t="shared" si="165"/>
        <v>1</v>
      </c>
      <c r="I72" s="154">
        <f>IF(Assumptions!$L$25=4,VLOOKUP($A72,'Henwood Reference'!$E$9:$R$320,10),(VLOOKUP($A72,PriceTable,2,0)+IF(BasisNumber&lt;&gt;1,VLOOKUP($A72,BasisTable,2,0),0)+I$1)/(1-I$2))</f>
        <v>42.159758443055999</v>
      </c>
      <c r="J72" s="154">
        <f>IF(Assumptions!$L$25=4,VLOOKUP($A72,'Henwood Reference'!$E$9:$R$320,10),(VLOOKUP($A72,PriceTable,3,0)+IF(BasisNumber&lt;&gt;1,VLOOKUP($A72,BasisTable,2,0),0)+J$1)/(1-J$2))</f>
        <v>42.159758443055999</v>
      </c>
      <c r="K72" s="154">
        <f>IF(Assumptions!$L$25=4,VLOOKUP($A72,'Henwood Reference'!$E$9:$R$320,10),(VLOOKUP($A72,PriceTable,4,0)+IF(BasisNumber&lt;&gt;1,VLOOKUP($A72,BasisTable,2,0),0)+K$1)/(1-K$2))</f>
        <v>42.159758443055999</v>
      </c>
      <c r="L72" s="474">
        <f>IF(Assumptions!$L$25=4,VLOOKUP($A72,'Henwood Reference'!$E$9:$R$320,10),(VLOOKUP($A72,PriceTableWeekend,2,0)+IF(BasisNumber&lt;&gt;1,VLOOKUP($A72,BasisTable,2,0),0)+L$1)/(1-L$2))</f>
        <v>42.159758443055999</v>
      </c>
      <c r="M72" s="154">
        <f>IF(Assumptions!$L$25=4,VLOOKUP($A72,'Henwood Reference'!$E$9:$R$320,10),(VLOOKUP($A72,PriceTableWeekend,3,0)+IF(BasisNumber&lt;&gt;1,VLOOKUP($A72,BasisTable,2,0),0)+M$1)/(1-M$2))</f>
        <v>42.159758443055999</v>
      </c>
      <c r="N72" s="156">
        <f>IF(Assumptions!$L$25=4,VLOOKUP($A72,'Henwood Reference'!$E$9:$R$320,10),(VLOOKUP($A72,PriceTableWeekend,4,0)+IF(BasisNumber&lt;&gt;1,VLOOKUP($A72,BasisTable,2,0),0)+N$1)/(1-N$2))</f>
        <v>42.159758443055999</v>
      </c>
      <c r="O72" s="154">
        <f>IF(Assumptions!$L$25=4,VLOOKUP($A72,'Henwood Reference'!$E$9:$R$320,11),(VLOOKUP($A72,PriceTableWeekend,6,0)+IF(BasisNumber&lt;&gt;1,VLOOKUP($A72,BasisTable,3,0),0)+O$1)/(1-O$2))</f>
        <v>27.263543543568002</v>
      </c>
      <c r="P72" s="154">
        <f>IF(Assumptions!$L$25=4,VLOOKUP($A72,'Henwood Reference'!$E$9:$R$320,11),(VLOOKUP($A72,PriceTableWeekend,7,0)+IF(BasisNumber&lt;&gt;1,VLOOKUP($A72,BasisTable,3,0),0)+P$1)/(1-P$2))</f>
        <v>27.263543543568002</v>
      </c>
      <c r="Q72" s="156">
        <f>IF(Assumptions!$L$25=4,VLOOKUP($A72,'Henwood Reference'!$E$9:$R$320,11),(VLOOKUP($A72,PriceTableWeekend,8,0)+IF(BasisNumber&lt;&gt;1,VLOOKUP($A72,BasisTable,3,0),0)+Q$1)/(1-Q$2))</f>
        <v>27.263543543568002</v>
      </c>
      <c r="R72" s="154">
        <f>IF(Assumptions!$L$25=4,VLOOKUP($A72,'Henwood Reference'!$E$9:$R$320,11),(VLOOKUP($A72,PriceTable,6,0)+IF(BasisNumber&lt;&gt;1,VLOOKUP($A72,BasisTable,3,0),0)+R$1)/(1-R$2))</f>
        <v>27.263543543568002</v>
      </c>
      <c r="S72" s="154">
        <f>IF(Assumptions!$L$25=4,VLOOKUP($A72,'Henwood Reference'!$E$9:$R$320,11),(VLOOKUP($A72,PriceTable,7,0)+IF(BasisNumber&lt;&gt;1,VLOOKUP($A72,BasisTable,3,0),0)+S$1)/(1-S$2))</f>
        <v>27.263543543568002</v>
      </c>
      <c r="T72" s="155">
        <f>IF(Assumptions!$L$25=4,VLOOKUP($A72,'Henwood Reference'!$E$9:$R$320,11),(VLOOKUP($A72,PriceTable,8,0)+IF(BasisNumber&lt;&gt;1,VLOOKUP($A72,BasisTable,3,0),0)+T$1)/(1-T$2))</f>
        <v>27.263543543568002</v>
      </c>
      <c r="U72" s="173">
        <f t="shared" si="92"/>
        <v>0.15</v>
      </c>
      <c r="V72" s="173">
        <f t="shared" si="93"/>
        <v>0.16</v>
      </c>
      <c r="W72" s="174">
        <f t="shared" si="94"/>
        <v>0.17</v>
      </c>
      <c r="X72" s="173">
        <f t="shared" si="95"/>
        <v>0.15</v>
      </c>
      <c r="Y72" s="173">
        <f t="shared" si="96"/>
        <v>0.16</v>
      </c>
      <c r="Z72" s="174">
        <f t="shared" si="97"/>
        <v>0.17</v>
      </c>
      <c r="AA72" s="173">
        <f t="shared" si="98"/>
        <v>0.09</v>
      </c>
      <c r="AB72" s="173">
        <f t="shared" si="99"/>
        <v>0.11</v>
      </c>
      <c r="AC72" s="174">
        <f t="shared" si="100"/>
        <v>0.13</v>
      </c>
      <c r="AD72" s="173">
        <f t="shared" si="101"/>
        <v>0.09</v>
      </c>
      <c r="AE72" s="173">
        <f t="shared" si="102"/>
        <v>0.11</v>
      </c>
      <c r="AF72" s="174">
        <f t="shared" si="103"/>
        <v>0.13</v>
      </c>
      <c r="AG72" s="173">
        <f t="shared" si="104"/>
        <v>-0.25</v>
      </c>
      <c r="AH72" s="173">
        <f t="shared" si="105"/>
        <v>0.6</v>
      </c>
      <c r="AI72" s="174">
        <f t="shared" si="106"/>
        <v>0.25</v>
      </c>
      <c r="AJ72" s="173">
        <f t="shared" si="107"/>
        <v>-0.25</v>
      </c>
      <c r="AK72" s="173">
        <f t="shared" si="108"/>
        <v>0.6</v>
      </c>
      <c r="AL72" s="174">
        <f t="shared" si="109"/>
        <v>0.25</v>
      </c>
      <c r="AM72" s="173">
        <f t="shared" si="110"/>
        <v>-0.01</v>
      </c>
      <c r="AN72" s="173">
        <f t="shared" si="111"/>
        <v>0.16</v>
      </c>
      <c r="AO72" s="174">
        <f t="shared" si="112"/>
        <v>0.01</v>
      </c>
      <c r="AP72" s="173">
        <f t="shared" si="113"/>
        <v>-0.01</v>
      </c>
      <c r="AQ72" s="173">
        <f t="shared" si="114"/>
        <v>0.16</v>
      </c>
      <c r="AR72" s="175">
        <f t="shared" si="115"/>
        <v>0.01</v>
      </c>
      <c r="AS72" s="521">
        <f t="shared" si="231"/>
        <v>0.5</v>
      </c>
      <c r="AT72" s="349">
        <f t="shared" si="117"/>
        <v>23</v>
      </c>
      <c r="AU72" s="159">
        <f t="shared" si="3"/>
        <v>3</v>
      </c>
      <c r="AV72" s="159">
        <f t="shared" si="4"/>
        <v>4</v>
      </c>
      <c r="AW72" s="159">
        <f t="shared" si="232"/>
        <v>1</v>
      </c>
      <c r="AX72" s="15">
        <f t="shared" si="119"/>
        <v>31</v>
      </c>
      <c r="AY72" s="607">
        <f>IF(E72="",0,MIN((1-(1-VLOOKUP(B72,MAIN!$AA$7:$AM$28,C72+1))*(1-VLOOKUP(B72,MAIN!$AA$33:$AM$54,C72+1))),1))</f>
        <v>3.0000000000000027E-2</v>
      </c>
      <c r="AZ72" s="337">
        <v>53544</v>
      </c>
      <c r="BA72" s="509">
        <v>6984</v>
      </c>
      <c r="BB72" s="509">
        <v>11640</v>
      </c>
      <c r="BC72" s="511">
        <v>36084</v>
      </c>
      <c r="BD72" s="153">
        <v>0.97</v>
      </c>
      <c r="BE72" s="474">
        <v>0.97</v>
      </c>
      <c r="BF72" s="474">
        <v>0.97</v>
      </c>
      <c r="BG72" s="515">
        <v>0.97</v>
      </c>
      <c r="BH72" s="262">
        <v>214176</v>
      </c>
      <c r="BI72" s="509">
        <v>27936</v>
      </c>
      <c r="BJ72" s="509">
        <v>46560</v>
      </c>
      <c r="BK72" s="511">
        <v>144336</v>
      </c>
      <c r="BL72" s="153">
        <v>0.97</v>
      </c>
      <c r="BM72" s="474">
        <v>0.97</v>
      </c>
      <c r="BN72" s="474">
        <v>0.97</v>
      </c>
      <c r="BO72" s="474">
        <v>0.97</v>
      </c>
      <c r="BP72" s="261">
        <f t="shared" si="120"/>
        <v>72168</v>
      </c>
      <c r="BQ72" s="578">
        <f t="shared" si="121"/>
        <v>108252</v>
      </c>
      <c r="BR72" s="259">
        <f t="shared" si="122"/>
        <v>288672</v>
      </c>
      <c r="BS72" s="578">
        <f t="shared" si="123"/>
        <v>433008</v>
      </c>
      <c r="BT72" s="216">
        <f t="shared" si="124"/>
        <v>4.6324435318275157</v>
      </c>
      <c r="BU72" s="218">
        <f t="shared" si="5"/>
        <v>42.159758443055999</v>
      </c>
      <c r="BV72" s="216">
        <f t="shared" si="6"/>
        <v>42.159758443055999</v>
      </c>
      <c r="BW72" s="216">
        <f t="shared" si="7"/>
        <v>27.263543543568002</v>
      </c>
      <c r="BX72" s="216">
        <f t="shared" si="125"/>
        <v>27.263543543568002</v>
      </c>
      <c r="BY72" s="216">
        <f t="shared" si="8"/>
        <v>39.757143136686963</v>
      </c>
      <c r="BZ72" s="216">
        <f t="shared" si="9"/>
        <v>35.592609938980644</v>
      </c>
      <c r="CA72" s="264">
        <f t="shared" si="10"/>
        <v>42.159758443055999</v>
      </c>
      <c r="CB72" s="216">
        <f t="shared" si="11"/>
        <v>42.159758443055999</v>
      </c>
      <c r="CC72" s="216">
        <f t="shared" si="12"/>
        <v>27.263543543568002</v>
      </c>
      <c r="CD72" s="216">
        <f t="shared" si="126"/>
        <v>27.263543543568002</v>
      </c>
      <c r="CE72" s="216">
        <f t="shared" si="13"/>
        <v>39.757143136686963</v>
      </c>
      <c r="CF72" s="571">
        <f t="shared" si="14"/>
        <v>35.592609938980644</v>
      </c>
      <c r="CG72" s="573">
        <f t="shared" si="15"/>
        <v>0.16</v>
      </c>
      <c r="CH72" s="219">
        <f t="shared" si="16"/>
        <v>0.16</v>
      </c>
      <c r="CI72" s="219">
        <f t="shared" si="17"/>
        <v>0.11</v>
      </c>
      <c r="CJ72" s="219">
        <f t="shared" si="18"/>
        <v>0.1545574204335545</v>
      </c>
      <c r="CK72" s="219">
        <f t="shared" si="19"/>
        <v>0.1545574204335545</v>
      </c>
      <c r="CL72" s="219">
        <f t="shared" si="20"/>
        <v>0.11</v>
      </c>
      <c r="CM72" s="219">
        <f t="shared" si="21"/>
        <v>0.1318929135081649</v>
      </c>
      <c r="CN72" s="569">
        <f t="shared" si="22"/>
        <v>0.1318929135081649</v>
      </c>
      <c r="CO72" s="264">
        <f t="shared" si="175"/>
        <v>20.539823200061228</v>
      </c>
      <c r="CP72" s="216">
        <f t="shared" si="127"/>
        <v>20.539823200061228</v>
      </c>
      <c r="CQ72" s="216">
        <f t="shared" ca="1" si="192"/>
        <v>20.539823200061228</v>
      </c>
      <c r="CR72" s="216">
        <f t="shared" ca="1" si="193"/>
        <v>20.539823200061228</v>
      </c>
      <c r="CS72" s="1626">
        <f t="shared" ca="1" si="194"/>
        <v>20.539823200061228</v>
      </c>
      <c r="CT72" s="216">
        <f t="shared" si="131"/>
        <v>20.539823200061228</v>
      </c>
      <c r="CU72" s="575">
        <f t="shared" si="23"/>
        <v>0.17499999999999999</v>
      </c>
      <c r="CV72" s="154">
        <f t="shared" si="24"/>
        <v>0.5</v>
      </c>
      <c r="CW72" s="216">
        <f>IF(OR($BQ72,$BS72),SpreadOptPowerMargin,0)*((1+Assumptions!$C$26)^($B72-YEAR(Assumptions!$C$17)))</f>
        <v>1.8360000000000001</v>
      </c>
      <c r="CX72" s="216">
        <f>IF(OR($BQ72,$BS72),SpreadOptPowerMargin,0)*((1+Assumptions!$C$26)^($B72-YEAR(Assumptions!$C$17)))</f>
        <v>1.8360000000000001</v>
      </c>
      <c r="CY72" s="216">
        <f>IF(OR($BQ72,$BS72),SpreadOptPowerMargin,0)*((1+Assumptions!$C$26)^($B72-YEAR(Assumptions!$C$17)))</f>
        <v>1.8360000000000001</v>
      </c>
      <c r="CZ72" s="216">
        <f>IF(OR($BQ72,$BS72),SpreadOptPowerMargin,0)*((1+Assumptions!$C$26)^($B72-YEAR(Assumptions!$C$17)))</f>
        <v>1.8360000000000001</v>
      </c>
      <c r="DA72" s="440">
        <f t="shared" si="25"/>
        <v>1.8360000000000001</v>
      </c>
      <c r="DB72" s="479">
        <f t="shared" si="26"/>
        <v>0.16</v>
      </c>
      <c r="DC72" s="479">
        <f t="shared" si="27"/>
        <v>0.16</v>
      </c>
      <c r="DD72" s="479">
        <f t="shared" si="28"/>
        <v>0.11</v>
      </c>
      <c r="DE72" s="479">
        <f t="shared" si="29"/>
        <v>0.11</v>
      </c>
      <c r="DF72" s="479">
        <f t="shared" si="30"/>
        <v>0.1318929135081649</v>
      </c>
      <c r="DG72" s="574">
        <f t="shared" si="31"/>
        <v>0.1318929135081649</v>
      </c>
      <c r="DH72" s="216">
        <f t="shared" si="32"/>
        <v>19.925526516542135</v>
      </c>
      <c r="DI72" s="216">
        <f t="shared" si="33"/>
        <v>19.925526516542135</v>
      </c>
      <c r="DJ72" s="216">
        <f t="shared" ca="1" si="195"/>
        <v>6.077173055240598</v>
      </c>
      <c r="DK72" s="216">
        <f t="shared" ca="1" si="196"/>
        <v>6.077173055240598</v>
      </c>
      <c r="DL72" s="216">
        <f t="shared" ca="1" si="197"/>
        <v>13.518316341680528</v>
      </c>
      <c r="DM72" s="216"/>
      <c r="DN72" s="216"/>
      <c r="DO72" s="216"/>
      <c r="DP72" s="216"/>
      <c r="DQ72" s="216"/>
      <c r="DR72" s="216"/>
      <c r="DS72" s="216"/>
      <c r="DT72" s="216"/>
      <c r="DU72" s="216"/>
      <c r="DV72" s="216"/>
      <c r="DW72" s="1371">
        <f t="shared" si="37"/>
        <v>6.077173055240598</v>
      </c>
      <c r="DX72" s="216">
        <f t="shared" si="38"/>
        <v>6.077173055240598</v>
      </c>
      <c r="DY72" s="440">
        <f t="shared" si="39"/>
        <v>13.82033843145221</v>
      </c>
      <c r="DZ72" s="180">
        <f t="shared" si="40"/>
        <v>1066892.3918017321</v>
      </c>
      <c r="EA72" s="180">
        <f t="shared" si="41"/>
        <v>139159.87719153028</v>
      </c>
      <c r="EB72" s="180">
        <f t="shared" ca="1" si="198"/>
        <v>70738.294363000561</v>
      </c>
      <c r="EC72" s="180">
        <f t="shared" ca="1" si="199"/>
        <v>219288.71252530173</v>
      </c>
      <c r="ED72" s="180">
        <f t="shared" ca="1" si="200"/>
        <v>1463384.7806196006</v>
      </c>
      <c r="EE72" s="581">
        <f t="shared" si="45"/>
        <v>1059311.028650912</v>
      </c>
      <c r="EF72" s="554">
        <f t="shared" si="46"/>
        <v>138171.00373707549</v>
      </c>
      <c r="EG72" s="554">
        <f t="shared" ca="1" si="201"/>
        <v>56893.064798418862</v>
      </c>
      <c r="EH72" s="554">
        <f t="shared" ca="1" si="202"/>
        <v>176368.50087509846</v>
      </c>
      <c r="EI72" s="561">
        <f t="shared" ca="1" si="49"/>
        <v>1430743.5980615048</v>
      </c>
      <c r="EJ72" s="581">
        <f t="shared" si="132"/>
        <v>7581.3631508201361</v>
      </c>
      <c r="EK72" s="554">
        <f t="shared" si="133"/>
        <v>988.8734544547915</v>
      </c>
      <c r="EL72" s="554">
        <f t="shared" ca="1" si="203"/>
        <v>13845.229564581699</v>
      </c>
      <c r="EM72" s="554">
        <f t="shared" ca="1" si="204"/>
        <v>42920.211650203273</v>
      </c>
      <c r="EN72" s="561">
        <f t="shared" ca="1" si="205"/>
        <v>32641.182558095781</v>
      </c>
      <c r="EO72" s="180">
        <f t="shared" si="50"/>
        <v>4267569.5672069285</v>
      </c>
      <c r="EP72" s="180">
        <f t="shared" si="51"/>
        <v>556639.50876612111</v>
      </c>
      <c r="EQ72" s="180">
        <f t="shared" si="52"/>
        <v>282953.17745200224</v>
      </c>
      <c r="ER72" s="180">
        <f t="shared" si="53"/>
        <v>877154.85010120692</v>
      </c>
      <c r="ES72" s="180">
        <f t="shared" si="54"/>
        <v>5984317.1035262588</v>
      </c>
      <c r="ET72" s="1482">
        <f t="shared" ca="1" si="206"/>
        <v>4237244.114603648</v>
      </c>
      <c r="EU72" s="180">
        <f t="shared" ca="1" si="207"/>
        <v>552684.01494830195</v>
      </c>
      <c r="EV72" s="180">
        <f t="shared" ca="1" si="208"/>
        <v>227572.25919367545</v>
      </c>
      <c r="EW72" s="180">
        <f t="shared" ca="1" si="209"/>
        <v>705474.00350039382</v>
      </c>
      <c r="EX72" s="555">
        <f t="shared" ca="1" si="182"/>
        <v>5722974.3922460191</v>
      </c>
      <c r="EY72" s="180">
        <f t="shared" ca="1" si="210"/>
        <v>30325.452603280544</v>
      </c>
      <c r="EZ72" s="180">
        <f t="shared" ca="1" si="211"/>
        <v>3955.493817819166</v>
      </c>
      <c r="FA72" s="180">
        <f t="shared" ca="1" si="212"/>
        <v>55380.918258326798</v>
      </c>
      <c r="FB72" s="180">
        <f t="shared" ca="1" si="213"/>
        <v>171680.84660081309</v>
      </c>
      <c r="FC72" s="180">
        <f t="shared" ca="1" si="214"/>
        <v>261342.71128023975</v>
      </c>
      <c r="FD72" s="262">
        <f>IF(AX72,IF(VLOOKUP(C72,MAIN!$L$17:$M$28,2)="Yes",VLOOKUP(CALC!B72,MAIN!$H$17:$I$20,2),0),0)</f>
        <v>0</v>
      </c>
      <c r="FE72" s="623">
        <f t="shared" si="60"/>
        <v>0</v>
      </c>
      <c r="FF72" s="535">
        <f t="shared" si="61"/>
        <v>0</v>
      </c>
      <c r="FG72" s="535">
        <f t="shared" si="62"/>
        <v>0</v>
      </c>
      <c r="FH72" s="624">
        <f t="shared" si="63"/>
        <v>0</v>
      </c>
      <c r="FI72" s="632">
        <f>IF(AX72,VLOOKUP(CALC!B72,MAIN!$H$17:$K$20,4),0)</f>
        <v>0</v>
      </c>
      <c r="FJ72" s="535">
        <f t="shared" si="64"/>
        <v>0</v>
      </c>
      <c r="FK72" s="648">
        <f t="shared" si="142"/>
        <v>0</v>
      </c>
      <c r="FL72" s="530">
        <f t="shared" ca="1" si="215"/>
        <v>0</v>
      </c>
      <c r="FM72" s="530">
        <f t="shared" ca="1" si="216"/>
        <v>0</v>
      </c>
      <c r="FN72" s="530">
        <f t="shared" ca="1" si="217"/>
        <v>0</v>
      </c>
      <c r="FO72" s="622">
        <f t="shared" ca="1" si="218"/>
        <v>0</v>
      </c>
      <c r="FP72" s="530">
        <f t="shared" ca="1" si="219"/>
        <v>0</v>
      </c>
      <c r="FQ72" s="530">
        <f t="shared" ca="1" si="220"/>
        <v>0</v>
      </c>
      <c r="FR72" s="530">
        <f t="shared" ca="1" si="221"/>
        <v>0</v>
      </c>
      <c r="FS72" s="625">
        <f t="shared" ca="1" si="222"/>
        <v>0</v>
      </c>
      <c r="FT72" s="640">
        <f ca="1">IF(AND(Assumptions!$H$71="Yes",A72&gt;=Assumptions!$H$72,A72&lt;=Assumptions!$H$73),0,IF(AND($A72&gt;=Assumptions!$C$17,$A72&lt;=Assumptions!$C$18),MAX(AZ72*(1+VLOOKUP($C72,WeatherCapacityAdjustment,2))-FL72,0),0))</f>
        <v>53544</v>
      </c>
      <c r="FU72" s="530">
        <f ca="1">IF(AND(Assumptions!$H$71="Yes",A72&gt;=Assumptions!$H$72,A72&lt;=Assumptions!$H$73),0,IF(AND($A72&gt;=Assumptions!$C$17,$A72&lt;=Assumptions!$C$18),MAX(BA72*(1+VLOOKUP($C72,WeatherCapacityAdjustment,2))-FM72,0),0))</f>
        <v>6984</v>
      </c>
      <c r="FV72" s="530">
        <f ca="1">IF(AND(Assumptions!$H$71="Yes",A72&gt;=Assumptions!$H$72,A72&lt;=Assumptions!$H$73),0,IF(AND($A72&gt;=Assumptions!$C$17,$A72&lt;=Assumptions!$C$18),MAX(BB72*(1+VLOOKUP($C72,WeatherCapacityAdjustment,2))-FN72,0),0))</f>
        <v>11640</v>
      </c>
      <c r="FW72" s="622">
        <f ca="1">IF(AND(Assumptions!$H$71="Yes",A72&gt;=Assumptions!$H$72,A72&lt;=Assumptions!$H$73),0,IF(AND($A72&gt;=Assumptions!$C$17,$A72&lt;=Assumptions!$C$18),MAX(BC72*(1+VLOOKUP($C72,WeatherCapacityAdjustment,3))-FO72,0),0))</f>
        <v>36084</v>
      </c>
      <c r="FX72" s="621">
        <f ca="1">IF(AND(Assumptions!$H$71="Yes",A72&gt;=Assumptions!$H$72,A72&lt;=Assumptions!$H$73),0,IF(ET72&gt;0,MAX(BH72*(1+VLOOKUP($C72,WeatherCapacityAdjustment,2))-FP72,0),0))</f>
        <v>214176</v>
      </c>
      <c r="FY72" s="530">
        <f ca="1">IF(AND(Assumptions!$H$71="Yes",A72&gt;=Assumptions!$H$72,A72&lt;=Assumptions!$H$73),0,IF(EU72&gt;0,MAX(BI72*(1+VLOOKUP($C72,WeatherCapacityAdjustment,3))-FQ72,0),0))</f>
        <v>27936</v>
      </c>
      <c r="FZ72" s="530">
        <f ca="1">IF(AND(Assumptions!$H$71="Yes",A72&gt;=Assumptions!$H$72,A72&lt;=Assumptions!$H$73),0,IF(EV72&gt;0,MAX(BJ72*(1+VLOOKUP($C72,WeatherCapacityAdjustment,2))-FR72,0),0))</f>
        <v>46560</v>
      </c>
      <c r="GA72" s="622">
        <f ca="1">IF(AND(Assumptions!$H$71="Yes",A72&gt;=Assumptions!$H$72,A72&lt;=Assumptions!$H$73),0,IF(EW72&gt;0,MAX(BK72*(1+VLOOKUP($C72,WeatherCapacityAdjustment,2))-FS72,0),0))</f>
        <v>144336</v>
      </c>
      <c r="GB72" s="530">
        <f t="shared" ca="1" si="65"/>
        <v>541260</v>
      </c>
      <c r="GC72" s="545">
        <f t="shared" ca="1" si="66"/>
        <v>35.592609938980644</v>
      </c>
      <c r="GD72" s="530">
        <f t="shared" ca="1" si="223"/>
        <v>19264856.055572663</v>
      </c>
      <c r="GE72" s="1485">
        <f t="shared" ca="1" si="224"/>
        <v>765402.26112000004</v>
      </c>
      <c r="GF72" s="1776">
        <f t="shared" ca="1" si="225"/>
        <v>3061609.0444800002</v>
      </c>
      <c r="GG72" s="545">
        <f t="shared" si="190"/>
        <v>2.9049782761282317</v>
      </c>
      <c r="GH72" s="622">
        <f t="shared" ca="1" si="191"/>
        <v>11117384.705265142</v>
      </c>
      <c r="GI72" s="621">
        <f t="shared" ca="1" si="152"/>
        <v>541260</v>
      </c>
      <c r="GJ72" s="638">
        <f t="shared" si="68"/>
        <v>1.8360000000000001</v>
      </c>
      <c r="GK72" s="625">
        <f t="shared" ca="1" si="166"/>
        <v>993753.36</v>
      </c>
      <c r="GL72" s="640">
        <f t="shared" ca="1" si="226"/>
        <v>0</v>
      </c>
      <c r="GM72" s="530">
        <f t="shared" ca="1" si="227"/>
        <v>0</v>
      </c>
      <c r="GN72" s="530">
        <f t="shared" ca="1" si="228"/>
        <v>0</v>
      </c>
      <c r="GO72" s="622">
        <f t="shared" ca="1" si="229"/>
        <v>0</v>
      </c>
      <c r="GP72" s="530">
        <f t="shared" ca="1" si="73"/>
        <v>0</v>
      </c>
      <c r="GQ72" s="545">
        <f t="shared" ca="1" si="74"/>
        <v>0</v>
      </c>
      <c r="GR72" s="625">
        <f t="shared" ca="1" si="230"/>
        <v>0</v>
      </c>
      <c r="GS72" s="640">
        <f>IF($A72&gt;=BegDate,Assumptions!$C$56*24*($A73-$A72)*(1-VLOOKUP($B72,MAIN!$AA$7:$AM$28,$C72+1))*(1-VLOOKUP($B72,MAIN!$AA$33:$AM$54,$C72+1)),0)*80/168</f>
        <v>257742.85714285713</v>
      </c>
      <c r="GT72" s="1715">
        <f t="shared" si="153"/>
        <v>42.159758443055999</v>
      </c>
      <c r="GU72" s="1715">
        <f>IF($A72&gt;=BegDate,VLOOKUP($A72,GasTable,13)+Assumptions!$C$58,0)</f>
        <v>2.9049782761282317</v>
      </c>
      <c r="GV72" s="1715">
        <f>GU72*Assumptions!$C$57/1000</f>
        <v>21.061092501929682</v>
      </c>
      <c r="GW72" s="625">
        <f>IF(Assumptions!$C$60="Hourly",MAX(0,GS72*(GT72-GV72)),GS72*(GT72-GV72))</f>
        <v>5438030.441568586</v>
      </c>
      <c r="GX72" s="640">
        <f>IF($A72&gt;=BegDate,Assumptions!$C$56*24*($A73-$A72)*(1-VLOOKUP($B72,MAIN!$AA$7:$AM$28,$C72+1))*(1-VLOOKUP($B72,MAIN!$AA$33:$AM$54,$C72+1)),0)*16/168</f>
        <v>51548.571428571428</v>
      </c>
      <c r="GY72" s="1715">
        <f t="shared" si="154"/>
        <v>42.159758443055999</v>
      </c>
      <c r="GZ72" s="1715">
        <f>IF($A72&gt;=BegDate,VLOOKUP($A72,GasTable,13)+Assumptions!$C$58,0)</f>
        <v>2.9049782761282317</v>
      </c>
      <c r="HA72" s="1715">
        <f>GZ72*Assumptions!$C$57/1000</f>
        <v>21.061092501929682</v>
      </c>
      <c r="HB72" s="625">
        <f>IF(Assumptions!$C$60="Hourly",MAX(0,GX72*(GY72-HA72)),GX72*(GY72-HA72))</f>
        <v>1087606.0883137172</v>
      </c>
      <c r="HC72" s="640">
        <f>IF($A72&gt;=BegDate,Assumptions!$C$56*24*($A73-$A72)*(1-VLOOKUP($B72,MAIN!$AA$7:$AM$28,$C72+1))*(1-VLOOKUP($B72,MAIN!$AA$33:$AM$54,$C72+1)),0)*16/168</f>
        <v>51548.571428571428</v>
      </c>
      <c r="HD72" s="1715">
        <f t="shared" si="155"/>
        <v>27.263543543568002</v>
      </c>
      <c r="HE72" s="1715">
        <f>IF($A72&gt;=BegDate,VLOOKUP($A72,GasTable,13)+Assumptions!$C$58,0)</f>
        <v>2.9049782761282317</v>
      </c>
      <c r="HF72" s="1715">
        <f>HE72*Assumptions!$C$57/1000</f>
        <v>21.061092501929682</v>
      </c>
      <c r="HG72" s="625">
        <f>IF(Assumptions!$C$60="Hourly",MAX(0,HC72*(HD72-HF72)),HC72*(HD72-HF72))</f>
        <v>319727.49055211013</v>
      </c>
      <c r="HH72" s="640">
        <f>IF($A72&gt;=BegDate,Assumptions!$C$56*24*($A73-$A72)*(1-VLOOKUP($B72,MAIN!$AA$7:$AM$28,$C72+1))*(1-VLOOKUP($B72,MAIN!$AA$33:$AM$54,$C72+1)),0)*56/168</f>
        <v>180420</v>
      </c>
      <c r="HI72" s="1715">
        <f t="shared" si="156"/>
        <v>27.263543543568002</v>
      </c>
      <c r="HJ72" s="1715">
        <f>IF($A72&gt;=BegDate,VLOOKUP($A72,GasTable,13)+Assumptions!$C$58,0)</f>
        <v>2.9049782761282317</v>
      </c>
      <c r="HK72" s="1715">
        <f>HJ72*Assumptions!$C$57/1000</f>
        <v>21.061092501929682</v>
      </c>
      <c r="HL72" s="625">
        <f>IF(Assumptions!$C$60="Hourly",MAX(0,HH72*(HI72-HK72)),HH72*(HI72-HK72))</f>
        <v>1119046.2169323857</v>
      </c>
      <c r="HM72" s="640">
        <f>IF(AND(Assumptions!$H$71="Yes",A72&gt;=Assumptions!$H$72,A72&lt;=Assumptions!$H$73),Assumptions!$H$74*Assumptions!$C$9*1000,0)</f>
        <v>0</v>
      </c>
      <c r="HN72" s="530">
        <f t="shared" ref="HN72:HN77" ca="1" si="234">GD72-GH72</f>
        <v>8147471.3503075205</v>
      </c>
      <c r="HO72" s="545"/>
      <c r="HP72" s="545"/>
      <c r="HQ72" s="545"/>
      <c r="HR72" s="545"/>
      <c r="HS72" s="545"/>
      <c r="HT72" s="545"/>
      <c r="HU72" s="545"/>
      <c r="HV72" s="545"/>
      <c r="HW72" s="545"/>
      <c r="HX72" s="545"/>
      <c r="HY72" s="545"/>
      <c r="HZ72" s="545"/>
      <c r="IA72" s="545"/>
      <c r="IB72" s="545"/>
      <c r="IC72" s="545"/>
      <c r="ID72" s="545"/>
      <c r="IE72" s="545"/>
      <c r="IF72" s="545"/>
      <c r="IG72" s="545"/>
      <c r="IH72" s="545"/>
      <c r="II72" s="1464"/>
      <c r="IJ72" s="1463"/>
      <c r="IK72" s="1463"/>
    </row>
    <row r="73" spans="1:245">
      <c r="A73" s="177">
        <f t="shared" si="87"/>
        <v>38353</v>
      </c>
      <c r="B73" s="349">
        <f t="shared" si="88"/>
        <v>2005</v>
      </c>
      <c r="C73" s="15">
        <f t="shared" si="89"/>
        <v>1</v>
      </c>
      <c r="D73" s="612">
        <f t="shared" si="90"/>
        <v>38353</v>
      </c>
      <c r="E73" s="609">
        <f t="shared" si="91"/>
        <v>38353</v>
      </c>
      <c r="F73" s="614">
        <f t="shared" si="2"/>
        <v>38383</v>
      </c>
      <c r="G73" s="1349">
        <v>0</v>
      </c>
      <c r="H73" s="152">
        <f t="shared" si="165"/>
        <v>1</v>
      </c>
      <c r="I73" s="154">
        <f>IF(Assumptions!$L$25=4,VLOOKUP($A73,'Henwood Reference'!$E$9:$R$320,10),(VLOOKUP($A73,PriceTable,2,0)+IF(BasisNumber&lt;&gt;1,VLOOKUP($A73,BasisTable,2,0),0)+I$1)/(1-I$2))</f>
        <v>42.314780047282561</v>
      </c>
      <c r="J73" s="154">
        <f>IF(Assumptions!$L$25=4,VLOOKUP($A73,'Henwood Reference'!$E$9:$R$320,10),(VLOOKUP($A73,PriceTable,3,0)+IF(BasisNumber&lt;&gt;1,VLOOKUP($A73,BasisTable,2,0),0)+J$1)/(1-J$2))</f>
        <v>42.314780047282561</v>
      </c>
      <c r="K73" s="154">
        <f>IF(Assumptions!$L$25=4,VLOOKUP($A73,'Henwood Reference'!$E$9:$R$320,10),(VLOOKUP($A73,PriceTable,4,0)+IF(BasisNumber&lt;&gt;1,VLOOKUP($A73,BasisTable,2,0),0)+K$1)/(1-K$2))</f>
        <v>42.314780047282561</v>
      </c>
      <c r="L73" s="474">
        <f>IF(Assumptions!$L$25=4,VLOOKUP($A73,'Henwood Reference'!$E$9:$R$320,10),(VLOOKUP($A73,PriceTableWeekend,2,0)+IF(BasisNumber&lt;&gt;1,VLOOKUP($A73,BasisTable,2,0),0)+L$1)/(1-L$2))</f>
        <v>42.314780047282561</v>
      </c>
      <c r="M73" s="154">
        <f>IF(Assumptions!$L$25=4,VLOOKUP($A73,'Henwood Reference'!$E$9:$R$320,10),(VLOOKUP($A73,PriceTableWeekend,3,0)+IF(BasisNumber&lt;&gt;1,VLOOKUP($A73,BasisTable,2,0),0)+M$1)/(1-M$2))</f>
        <v>42.314780047282561</v>
      </c>
      <c r="N73" s="156">
        <f>IF(Assumptions!$L$25=4,VLOOKUP($A73,'Henwood Reference'!$E$9:$R$320,10),(VLOOKUP($A73,PriceTableWeekend,4,0)+IF(BasisNumber&lt;&gt;1,VLOOKUP($A73,BasisTable,2,0),0)+N$1)/(1-N$2))</f>
        <v>42.314780047282561</v>
      </c>
      <c r="O73" s="154">
        <f>IF(Assumptions!$L$25=4,VLOOKUP($A73,'Henwood Reference'!$E$9:$R$320,11),(VLOOKUP($A73,PriceTableWeekend,6,0)+IF(BasisNumber&lt;&gt;1,VLOOKUP($A73,BasisTable,3,0),0)+O$1)/(1-O$2))</f>
        <v>27.782647699403519</v>
      </c>
      <c r="P73" s="154">
        <f>IF(Assumptions!$L$25=4,VLOOKUP($A73,'Henwood Reference'!$E$9:$R$320,11),(VLOOKUP($A73,PriceTableWeekend,7,0)+IF(BasisNumber&lt;&gt;1,VLOOKUP($A73,BasisTable,3,0),0)+P$1)/(1-P$2))</f>
        <v>27.782647699403519</v>
      </c>
      <c r="Q73" s="156">
        <f>IF(Assumptions!$L$25=4,VLOOKUP($A73,'Henwood Reference'!$E$9:$R$320,11),(VLOOKUP($A73,PriceTableWeekend,8,0)+IF(BasisNumber&lt;&gt;1,VLOOKUP($A73,BasisTable,3,0),0)+Q$1)/(1-Q$2))</f>
        <v>27.782647699403519</v>
      </c>
      <c r="R73" s="154">
        <f>IF(Assumptions!$L$25=4,VLOOKUP($A73,'Henwood Reference'!$E$9:$R$320,11),(VLOOKUP($A73,PriceTable,6,0)+IF(BasisNumber&lt;&gt;1,VLOOKUP($A73,BasisTable,3,0),0)+R$1)/(1-R$2))</f>
        <v>27.782647699403519</v>
      </c>
      <c r="S73" s="154">
        <f>IF(Assumptions!$L$25=4,VLOOKUP($A73,'Henwood Reference'!$E$9:$R$320,11),(VLOOKUP($A73,PriceTable,7,0)+IF(BasisNumber&lt;&gt;1,VLOOKUP($A73,BasisTable,3,0),0)+S$1)/(1-S$2))</f>
        <v>27.782647699403519</v>
      </c>
      <c r="T73" s="155">
        <f>IF(Assumptions!$L$25=4,VLOOKUP($A73,'Henwood Reference'!$E$9:$R$320,11),(VLOOKUP($A73,PriceTable,8,0)+IF(BasisNumber&lt;&gt;1,VLOOKUP($A73,BasisTable,3,0),0)+T$1)/(1-T$2))</f>
        <v>27.782647699403519</v>
      </c>
      <c r="U73" s="173">
        <f t="shared" si="92"/>
        <v>0.14499999999999999</v>
      </c>
      <c r="V73" s="173">
        <f t="shared" si="93"/>
        <v>0.155</v>
      </c>
      <c r="W73" s="174">
        <f t="shared" si="94"/>
        <v>0.16500000000000001</v>
      </c>
      <c r="X73" s="173">
        <f t="shared" si="95"/>
        <v>0.14499999999999999</v>
      </c>
      <c r="Y73" s="173">
        <f t="shared" si="96"/>
        <v>0.155</v>
      </c>
      <c r="Z73" s="174">
        <f t="shared" si="97"/>
        <v>0.16500000000000001</v>
      </c>
      <c r="AA73" s="173">
        <f t="shared" si="98"/>
        <v>0.09</v>
      </c>
      <c r="AB73" s="173">
        <f t="shared" si="99"/>
        <v>0.11</v>
      </c>
      <c r="AC73" s="174">
        <f t="shared" si="100"/>
        <v>0.13</v>
      </c>
      <c r="AD73" s="173">
        <f t="shared" si="101"/>
        <v>0.09</v>
      </c>
      <c r="AE73" s="173">
        <f t="shared" si="102"/>
        <v>0.11</v>
      </c>
      <c r="AF73" s="174">
        <f t="shared" si="103"/>
        <v>0.13</v>
      </c>
      <c r="AG73" s="173">
        <f t="shared" si="104"/>
        <v>-0.25</v>
      </c>
      <c r="AH73" s="173">
        <f t="shared" si="105"/>
        <v>0.65</v>
      </c>
      <c r="AI73" s="174">
        <f t="shared" si="106"/>
        <v>0.25</v>
      </c>
      <c r="AJ73" s="173">
        <f t="shared" si="107"/>
        <v>-0.25</v>
      </c>
      <c r="AK73" s="173">
        <f t="shared" si="108"/>
        <v>0.65</v>
      </c>
      <c r="AL73" s="174">
        <f t="shared" si="109"/>
        <v>0.25</v>
      </c>
      <c r="AM73" s="173">
        <f t="shared" si="110"/>
        <v>-0.01</v>
      </c>
      <c r="AN73" s="173">
        <f t="shared" si="111"/>
        <v>0.16</v>
      </c>
      <c r="AO73" s="174">
        <f t="shared" si="112"/>
        <v>0.01</v>
      </c>
      <c r="AP73" s="173">
        <f t="shared" si="113"/>
        <v>-0.01</v>
      </c>
      <c r="AQ73" s="173">
        <f t="shared" si="114"/>
        <v>0.16</v>
      </c>
      <c r="AR73" s="175">
        <f t="shared" si="115"/>
        <v>0.01</v>
      </c>
      <c r="AS73" s="521">
        <f t="shared" si="231"/>
        <v>0.5</v>
      </c>
      <c r="AT73" s="349">
        <f t="shared" si="117"/>
        <v>21</v>
      </c>
      <c r="AU73" s="159">
        <f t="shared" si="3"/>
        <v>4</v>
      </c>
      <c r="AV73" s="159">
        <f t="shared" si="4"/>
        <v>5</v>
      </c>
      <c r="AW73" s="159">
        <f t="shared" si="232"/>
        <v>1</v>
      </c>
      <c r="AX73" s="15">
        <f t="shared" si="119"/>
        <v>31</v>
      </c>
      <c r="AY73" s="607">
        <f>IF(E73="",0,MIN((1-(1-VLOOKUP(B73,MAIN!$AA$7:$AM$28,C73+1))*(1-VLOOKUP(B73,MAIN!$AA$33:$AM$54,C73+1))),1))</f>
        <v>3.0000000000000027E-2</v>
      </c>
      <c r="AZ73" s="337">
        <v>48888</v>
      </c>
      <c r="BA73" s="509">
        <v>9312</v>
      </c>
      <c r="BB73" s="509">
        <v>13968</v>
      </c>
      <c r="BC73" s="511">
        <v>36084</v>
      </c>
      <c r="BD73" s="153">
        <v>0.96999999638646839</v>
      </c>
      <c r="BE73" s="474">
        <v>0.96999999638646839</v>
      </c>
      <c r="BF73" s="474">
        <v>0.96999999638646839</v>
      </c>
      <c r="BG73" s="515">
        <v>0.9699999927729368</v>
      </c>
      <c r="BH73" s="262">
        <v>195552</v>
      </c>
      <c r="BI73" s="509">
        <v>37248</v>
      </c>
      <c r="BJ73" s="509">
        <v>55872</v>
      </c>
      <c r="BK73" s="511">
        <v>144336</v>
      </c>
      <c r="BL73" s="153">
        <v>0.96999999638646839</v>
      </c>
      <c r="BM73" s="474">
        <v>0.96999999638646839</v>
      </c>
      <c r="BN73" s="474">
        <v>0.96999999638646839</v>
      </c>
      <c r="BO73" s="474">
        <v>0.9699999927729368</v>
      </c>
      <c r="BP73" s="261">
        <f t="shared" si="120"/>
        <v>72168</v>
      </c>
      <c r="BQ73" s="578">
        <f t="shared" si="121"/>
        <v>108252</v>
      </c>
      <c r="BR73" s="259">
        <f t="shared" si="122"/>
        <v>288672</v>
      </c>
      <c r="BS73" s="578">
        <f t="shared" si="123"/>
        <v>433008</v>
      </c>
      <c r="BT73" s="216">
        <f t="shared" si="124"/>
        <v>4.7173169062286107</v>
      </c>
      <c r="BU73" s="218">
        <f t="shared" si="5"/>
        <v>42.314779889647717</v>
      </c>
      <c r="BV73" s="216">
        <f t="shared" si="6"/>
        <v>42.314779889647717</v>
      </c>
      <c r="BW73" s="216">
        <f t="shared" si="7"/>
        <v>27.782647595905093</v>
      </c>
      <c r="BX73" s="216">
        <f t="shared" si="125"/>
        <v>27.782647492406664</v>
      </c>
      <c r="BY73" s="216">
        <f t="shared" si="8"/>
        <v>39.502109123116888</v>
      </c>
      <c r="BZ73" s="216">
        <f t="shared" si="9"/>
        <v>35.595621912880148</v>
      </c>
      <c r="CA73" s="264">
        <f t="shared" si="10"/>
        <v>42.314779889647717</v>
      </c>
      <c r="CB73" s="216">
        <f t="shared" si="11"/>
        <v>42.314779889647717</v>
      </c>
      <c r="CC73" s="216">
        <f t="shared" si="12"/>
        <v>27.782647595905093</v>
      </c>
      <c r="CD73" s="216">
        <f t="shared" si="126"/>
        <v>27.782647492406664</v>
      </c>
      <c r="CE73" s="216">
        <f t="shared" si="13"/>
        <v>39.502109123116888</v>
      </c>
      <c r="CF73" s="571">
        <f t="shared" si="14"/>
        <v>35.595621912880148</v>
      </c>
      <c r="CG73" s="573">
        <f t="shared" si="15"/>
        <v>0.155</v>
      </c>
      <c r="CH73" s="219">
        <f t="shared" si="16"/>
        <v>0.155</v>
      </c>
      <c r="CI73" s="219">
        <f t="shared" si="17"/>
        <v>0.11</v>
      </c>
      <c r="CJ73" s="219">
        <f t="shared" si="18"/>
        <v>0.14895778207255472</v>
      </c>
      <c r="CK73" s="219">
        <f t="shared" si="19"/>
        <v>0.14895778207255472</v>
      </c>
      <c r="CL73" s="219">
        <f t="shared" si="20"/>
        <v>0.11</v>
      </c>
      <c r="CM73" s="219">
        <f t="shared" si="21"/>
        <v>0.12737588311329506</v>
      </c>
      <c r="CN73" s="569">
        <f t="shared" si="22"/>
        <v>0.12737588311329506</v>
      </c>
      <c r="CO73" s="264">
        <f t="shared" si="175"/>
        <v>19.964165708551448</v>
      </c>
      <c r="CP73" s="216">
        <f t="shared" si="127"/>
        <v>19.964165708551448</v>
      </c>
      <c r="CQ73" s="216">
        <f t="shared" ca="1" si="192"/>
        <v>19.964165708551448</v>
      </c>
      <c r="CR73" s="216">
        <f t="shared" ca="1" si="193"/>
        <v>19.964165708551448</v>
      </c>
      <c r="CS73" s="1626">
        <f t="shared" ca="1" si="194"/>
        <v>19.964165708551445</v>
      </c>
      <c r="CT73" s="216">
        <f t="shared" si="131"/>
        <v>19.964165708551448</v>
      </c>
      <c r="CU73" s="575">
        <f t="shared" si="23"/>
        <v>0.17499999999999999</v>
      </c>
      <c r="CV73" s="154">
        <f t="shared" si="24"/>
        <v>0.5</v>
      </c>
      <c r="CW73" s="216">
        <f>IF(OR($BQ73,$BS73),SpreadOptPowerMargin,0)*((1+Assumptions!$C$26)^($B73-YEAR(Assumptions!$C$17)))</f>
        <v>1.8727199999999999</v>
      </c>
      <c r="CX73" s="216">
        <f>IF(OR($BQ73,$BS73),SpreadOptPowerMargin,0)*((1+Assumptions!$C$26)^($B73-YEAR(Assumptions!$C$17)))</f>
        <v>1.8727199999999999</v>
      </c>
      <c r="CY73" s="216">
        <f>IF(OR($BQ73,$BS73),SpreadOptPowerMargin,0)*((1+Assumptions!$C$26)^($B73-YEAR(Assumptions!$C$17)))</f>
        <v>1.8727199999999999</v>
      </c>
      <c r="CZ73" s="216">
        <f>IF(OR($BQ73,$BS73),SpreadOptPowerMargin,0)*((1+Assumptions!$C$26)^($B73-YEAR(Assumptions!$C$17)))</f>
        <v>1.8727199999999999</v>
      </c>
      <c r="DA73" s="440">
        <f t="shared" si="25"/>
        <v>1.8727200000000002</v>
      </c>
      <c r="DB73" s="479">
        <f t="shared" si="26"/>
        <v>0.155</v>
      </c>
      <c r="DC73" s="479">
        <f t="shared" si="27"/>
        <v>0.155</v>
      </c>
      <c r="DD73" s="479">
        <f t="shared" si="28"/>
        <v>0.11</v>
      </c>
      <c r="DE73" s="479">
        <f t="shared" si="29"/>
        <v>0.11</v>
      </c>
      <c r="DF73" s="479">
        <f t="shared" si="30"/>
        <v>0.12737588311329506</v>
      </c>
      <c r="DG73" s="574">
        <f t="shared" si="31"/>
        <v>0.12737588311329506</v>
      </c>
      <c r="DH73" s="216">
        <f t="shared" si="32"/>
        <v>20.587117472919161</v>
      </c>
      <c r="DI73" s="216">
        <f t="shared" si="33"/>
        <v>20.587117472919161</v>
      </c>
      <c r="DJ73" s="216">
        <f t="shared" ca="1" si="195"/>
        <v>6.89520234570635</v>
      </c>
      <c r="DK73" s="216">
        <f t="shared" ca="1" si="196"/>
        <v>6.8952022601534235</v>
      </c>
      <c r="DL73" s="216">
        <f t="shared" ca="1" si="197"/>
        <v>14.006825700755638</v>
      </c>
      <c r="DM73" s="216"/>
      <c r="DN73" s="216"/>
      <c r="DO73" s="216"/>
      <c r="DP73" s="216"/>
      <c r="DQ73" s="216"/>
      <c r="DR73" s="216"/>
      <c r="DS73" s="216"/>
      <c r="DT73" s="216"/>
      <c r="DU73" s="216"/>
      <c r="DV73" s="216"/>
      <c r="DW73" s="1371">
        <f t="shared" si="37"/>
        <v>6.89520234570635</v>
      </c>
      <c r="DX73" s="216">
        <f t="shared" si="38"/>
        <v>6.8952022601534235</v>
      </c>
      <c r="DY73" s="440">
        <f t="shared" si="39"/>
        <v>14.256447009238604</v>
      </c>
      <c r="DZ73" s="180">
        <f t="shared" si="40"/>
        <v>1006462.9990160719</v>
      </c>
      <c r="EA73" s="180">
        <f t="shared" si="41"/>
        <v>191707.23790782323</v>
      </c>
      <c r="EB73" s="180">
        <f t="shared" ca="1" si="198"/>
        <v>96312.186364826295</v>
      </c>
      <c r="EC73" s="180">
        <f t="shared" ca="1" si="199"/>
        <v>248806.47835537614</v>
      </c>
      <c r="ED73" s="180">
        <f t="shared" ca="1" si="200"/>
        <v>1516266.8957581993</v>
      </c>
      <c r="EE73" s="581">
        <f t="shared" si="45"/>
        <v>1001123.2907254343</v>
      </c>
      <c r="EF73" s="554">
        <f t="shared" si="46"/>
        <v>190690.15061436844</v>
      </c>
      <c r="EG73" s="554">
        <f t="shared" ca="1" si="201"/>
        <v>83050.402042555696</v>
      </c>
      <c r="EH73" s="554">
        <f t="shared" ca="1" si="202"/>
        <v>214546.86820863155</v>
      </c>
      <c r="EI73" s="561">
        <f t="shared" ca="1" si="49"/>
        <v>1489410.7115909907</v>
      </c>
      <c r="EJ73" s="581">
        <f t="shared" si="132"/>
        <v>5339.7082906375872</v>
      </c>
      <c r="EK73" s="554">
        <f t="shared" si="133"/>
        <v>1017.0872934547951</v>
      </c>
      <c r="EL73" s="554">
        <f t="shared" ca="1" si="203"/>
        <v>13261.7843222706</v>
      </c>
      <c r="EM73" s="554">
        <f t="shared" ca="1" si="204"/>
        <v>34259.610146744584</v>
      </c>
      <c r="EN73" s="561">
        <f t="shared" ca="1" si="205"/>
        <v>26856.184167208616</v>
      </c>
      <c r="EO73" s="180">
        <f t="shared" si="50"/>
        <v>4025851.9960642876</v>
      </c>
      <c r="EP73" s="180">
        <f t="shared" si="51"/>
        <v>766828.95163129293</v>
      </c>
      <c r="EQ73" s="180">
        <f t="shared" si="52"/>
        <v>385248.74545930518</v>
      </c>
      <c r="ER73" s="180">
        <f t="shared" si="53"/>
        <v>995225.91342150455</v>
      </c>
      <c r="ES73" s="180">
        <f t="shared" si="54"/>
        <v>6173155.6065763896</v>
      </c>
      <c r="ET73" s="1482">
        <f t="shared" ca="1" si="206"/>
        <v>4004493.1629017373</v>
      </c>
      <c r="EU73" s="180">
        <f t="shared" ca="1" si="207"/>
        <v>762760.60245747375</v>
      </c>
      <c r="EV73" s="180">
        <f t="shared" ca="1" si="208"/>
        <v>332201.60817022278</v>
      </c>
      <c r="EW73" s="180">
        <f t="shared" ca="1" si="209"/>
        <v>858187.47283452621</v>
      </c>
      <c r="EX73" s="555">
        <f t="shared" ca="1" si="182"/>
        <v>5957642.8463639598</v>
      </c>
      <c r="EY73" s="180">
        <f t="shared" ca="1" si="210"/>
        <v>21358.833162550349</v>
      </c>
      <c r="EZ73" s="180">
        <f t="shared" ca="1" si="211"/>
        <v>4068.3491738191806</v>
      </c>
      <c r="FA73" s="180">
        <f t="shared" ca="1" si="212"/>
        <v>53047.137289082399</v>
      </c>
      <c r="FB73" s="180">
        <f t="shared" ca="1" si="213"/>
        <v>137038.44058697834</v>
      </c>
      <c r="FC73" s="180">
        <f t="shared" ca="1" si="214"/>
        <v>215512.7602124298</v>
      </c>
      <c r="FD73" s="262">
        <f>IF(AX73,IF(VLOOKUP(C73,MAIN!$L$17:$M$28,2)="Yes",VLOOKUP(CALC!B73,MAIN!$H$17:$I$20,2),0),0)</f>
        <v>0</v>
      </c>
      <c r="FE73" s="623">
        <f t="shared" si="60"/>
        <v>0</v>
      </c>
      <c r="FF73" s="535">
        <f t="shared" si="61"/>
        <v>0</v>
      </c>
      <c r="FG73" s="535">
        <f t="shared" si="62"/>
        <v>0</v>
      </c>
      <c r="FH73" s="624">
        <f t="shared" si="63"/>
        <v>0</v>
      </c>
      <c r="FI73" s="632">
        <f>IF(AX73,VLOOKUP(CALC!B73,MAIN!$H$17:$K$20,4),0)</f>
        <v>0</v>
      </c>
      <c r="FJ73" s="535">
        <f t="shared" si="64"/>
        <v>0</v>
      </c>
      <c r="FK73" s="648">
        <f t="shared" si="142"/>
        <v>0</v>
      </c>
      <c r="FL73" s="530">
        <f t="shared" ca="1" si="215"/>
        <v>0</v>
      </c>
      <c r="FM73" s="530">
        <f t="shared" ca="1" si="216"/>
        <v>0</v>
      </c>
      <c r="FN73" s="530">
        <f t="shared" ca="1" si="217"/>
        <v>0</v>
      </c>
      <c r="FO73" s="622">
        <f t="shared" ca="1" si="218"/>
        <v>0</v>
      </c>
      <c r="FP73" s="530">
        <f t="shared" ca="1" si="219"/>
        <v>0</v>
      </c>
      <c r="FQ73" s="530">
        <f t="shared" ca="1" si="220"/>
        <v>0</v>
      </c>
      <c r="FR73" s="530">
        <f t="shared" ca="1" si="221"/>
        <v>0</v>
      </c>
      <c r="FS73" s="625">
        <f t="shared" ca="1" si="222"/>
        <v>0</v>
      </c>
      <c r="FT73" s="640">
        <f ca="1">IF(AND(Assumptions!$H$71="Yes",A73&gt;=Assumptions!$H$72,A73&lt;=Assumptions!$H$73),0,IF(AND($A73&gt;=Assumptions!$C$17,$A73&lt;=Assumptions!$C$18),MAX(AZ73*(1+VLOOKUP($C73,WeatherCapacityAdjustment,2))-FL73,0),0))</f>
        <v>48888</v>
      </c>
      <c r="FU73" s="530">
        <f ca="1">IF(AND(Assumptions!$H$71="Yes",A73&gt;=Assumptions!$H$72,A73&lt;=Assumptions!$H$73),0,IF(AND($A73&gt;=Assumptions!$C$17,$A73&lt;=Assumptions!$C$18),MAX(BA73*(1+VLOOKUP($C73,WeatherCapacityAdjustment,2))-FM73,0),0))</f>
        <v>9312</v>
      </c>
      <c r="FV73" s="530">
        <f ca="1">IF(AND(Assumptions!$H$71="Yes",A73&gt;=Assumptions!$H$72,A73&lt;=Assumptions!$H$73),0,IF(AND($A73&gt;=Assumptions!$C$17,$A73&lt;=Assumptions!$C$18),MAX(BB73*(1+VLOOKUP($C73,WeatherCapacityAdjustment,2))-FN73,0),0))</f>
        <v>13968</v>
      </c>
      <c r="FW73" s="622">
        <f ca="1">IF(AND(Assumptions!$H$71="Yes",A73&gt;=Assumptions!$H$72,A73&lt;=Assumptions!$H$73),0,IF(AND($A73&gt;=Assumptions!$C$17,$A73&lt;=Assumptions!$C$18),MAX(BC73*(1+VLOOKUP($C73,WeatherCapacityAdjustment,3))-FO73,0),0))</f>
        <v>36084</v>
      </c>
      <c r="FX73" s="621">
        <f ca="1">IF(AND(Assumptions!$H$71="Yes",A73&gt;=Assumptions!$H$72,A73&lt;=Assumptions!$H$73),0,IF(ET73&gt;0,MAX(BH73*(1+VLOOKUP($C73,WeatherCapacityAdjustment,2))-FP73,0),0))</f>
        <v>195552</v>
      </c>
      <c r="FY73" s="530">
        <f ca="1">IF(AND(Assumptions!$H$71="Yes",A73&gt;=Assumptions!$H$72,A73&lt;=Assumptions!$H$73),0,IF(EU73&gt;0,MAX(BI73*(1+VLOOKUP($C73,WeatherCapacityAdjustment,3))-FQ73,0),0))</f>
        <v>37248</v>
      </c>
      <c r="FZ73" s="530">
        <f ca="1">IF(AND(Assumptions!$H$71="Yes",A73&gt;=Assumptions!$H$72,A73&lt;=Assumptions!$H$73),0,IF(EV73&gt;0,MAX(BJ73*(1+VLOOKUP($C73,WeatherCapacityAdjustment,2))-FR73,0),0))</f>
        <v>55872</v>
      </c>
      <c r="GA73" s="622">
        <f ca="1">IF(AND(Assumptions!$H$71="Yes",A73&gt;=Assumptions!$H$72,A73&lt;=Assumptions!$H$73),0,IF(EW73&gt;0,MAX(BK73*(1+VLOOKUP($C73,WeatherCapacityAdjustment,2))-FS73,0),0))</f>
        <v>144336</v>
      </c>
      <c r="GB73" s="530">
        <f t="shared" ca="1" si="65"/>
        <v>541260</v>
      </c>
      <c r="GC73" s="545">
        <f t="shared" ca="1" si="66"/>
        <v>35.595621912880141</v>
      </c>
      <c r="GD73" s="530">
        <f t="shared" ca="1" si="223"/>
        <v>19266486.31656551</v>
      </c>
      <c r="GE73" s="1485">
        <f t="shared" ca="1" si="224"/>
        <v>765720.522</v>
      </c>
      <c r="GF73" s="1776">
        <f t="shared" ca="1" si="225"/>
        <v>3062882.088</v>
      </c>
      <c r="GG73" s="545">
        <f t="shared" si="190"/>
        <v>2.8223885924296956</v>
      </c>
      <c r="GH73" s="622">
        <f t="shared" ca="1" si="191"/>
        <v>10805804.331410559</v>
      </c>
      <c r="GI73" s="621">
        <f t="shared" ca="1" si="152"/>
        <v>541260</v>
      </c>
      <c r="GJ73" s="638">
        <f t="shared" si="68"/>
        <v>1.8727200000000002</v>
      </c>
      <c r="GK73" s="625">
        <f t="shared" ca="1" si="166"/>
        <v>1013628.4272</v>
      </c>
      <c r="GL73" s="640">
        <f t="shared" ca="1" si="226"/>
        <v>0</v>
      </c>
      <c r="GM73" s="530">
        <f t="shared" ca="1" si="227"/>
        <v>0</v>
      </c>
      <c r="GN73" s="530">
        <f t="shared" ca="1" si="228"/>
        <v>0</v>
      </c>
      <c r="GO73" s="622">
        <f t="shared" ca="1" si="229"/>
        <v>0</v>
      </c>
      <c r="GP73" s="530">
        <f t="shared" ca="1" si="73"/>
        <v>0</v>
      </c>
      <c r="GQ73" s="545">
        <f t="shared" ca="1" si="74"/>
        <v>0</v>
      </c>
      <c r="GR73" s="625">
        <f t="shared" ca="1" si="230"/>
        <v>0</v>
      </c>
      <c r="GS73" s="640">
        <f>IF($A73&gt;=BegDate,Assumptions!$C$56*24*($A74-$A73)*(1-VLOOKUP($B73,MAIN!$AA$7:$AM$28,$C73+1))*(1-VLOOKUP($B73,MAIN!$AA$33:$AM$54,$C73+1)),0)*80/168</f>
        <v>257742.85714285713</v>
      </c>
      <c r="GT73" s="1715">
        <f t="shared" si="153"/>
        <v>42.314780047282561</v>
      </c>
      <c r="GU73" s="1715">
        <f>IF($A73&gt;=BegDate,VLOOKUP($A73,GasTable,13)+Assumptions!$C$58,0)</f>
        <v>2.8223885924296956</v>
      </c>
      <c r="GV73" s="1715">
        <f>GU73*Assumptions!$C$57/1000</f>
        <v>20.462317295115291</v>
      </c>
      <c r="GW73" s="625">
        <f>IF(Assumptions!$C$60="Hourly",MAX(0,GS73*(GT73-GV73)),GS73*(GT73-GV73))</f>
        <v>5632316.1853514556</v>
      </c>
      <c r="GX73" s="640">
        <f>IF($A73&gt;=BegDate,Assumptions!$C$56*24*($A74-$A73)*(1-VLOOKUP($B73,MAIN!$AA$7:$AM$28,$C73+1))*(1-VLOOKUP($B73,MAIN!$AA$33:$AM$54,$C73+1)),0)*16/168</f>
        <v>51548.571428571428</v>
      </c>
      <c r="GY73" s="1715">
        <f t="shared" si="154"/>
        <v>42.314780047282561</v>
      </c>
      <c r="GZ73" s="1715">
        <f>IF($A73&gt;=BegDate,VLOOKUP($A73,GasTable,13)+Assumptions!$C$58,0)</f>
        <v>2.8223885924296956</v>
      </c>
      <c r="HA73" s="1715">
        <f>GZ73*Assumptions!$C$57/1000</f>
        <v>20.462317295115291</v>
      </c>
      <c r="HB73" s="625">
        <f>IF(Assumptions!$C$60="Hourly",MAX(0,GX73*(GY73-HA73)),GX73*(GY73-HA73))</f>
        <v>1126463.2370702911</v>
      </c>
      <c r="HC73" s="640">
        <f>IF($A73&gt;=BegDate,Assumptions!$C$56*24*($A74-$A73)*(1-VLOOKUP($B73,MAIN!$AA$7:$AM$28,$C73+1))*(1-VLOOKUP($B73,MAIN!$AA$33:$AM$54,$C73+1)),0)*16/168</f>
        <v>51548.571428571428</v>
      </c>
      <c r="HD73" s="1715">
        <f t="shared" si="155"/>
        <v>27.782647699403519</v>
      </c>
      <c r="HE73" s="1715">
        <f>IF($A73&gt;=BegDate,VLOOKUP($A73,GasTable,13)+Assumptions!$C$58,0)</f>
        <v>2.8223885924296956</v>
      </c>
      <c r="HF73" s="1715">
        <f>HE73*Assumptions!$C$57/1000</f>
        <v>20.462317295115291</v>
      </c>
      <c r="HG73" s="625">
        <f>IF(Assumptions!$C$60="Hourly",MAX(0,HC73*(HD73-HF73)),HC73*(HD73-HF73))</f>
        <v>377352.5747261949</v>
      </c>
      <c r="HH73" s="640">
        <f>IF($A73&gt;=BegDate,Assumptions!$C$56*24*($A74-$A73)*(1-VLOOKUP($B73,MAIN!$AA$7:$AM$28,$C73+1))*(1-VLOOKUP($B73,MAIN!$AA$33:$AM$54,$C73+1)),0)*56/168</f>
        <v>180420</v>
      </c>
      <c r="HI73" s="1715">
        <f t="shared" si="156"/>
        <v>27.782647699403519</v>
      </c>
      <c r="HJ73" s="1715">
        <f>IF($A73&gt;=BegDate,VLOOKUP($A73,GasTable,13)+Assumptions!$C$58,0)</f>
        <v>2.8223885924296956</v>
      </c>
      <c r="HK73" s="1715">
        <f>HJ73*Assumptions!$C$57/1000</f>
        <v>20.462317295115291</v>
      </c>
      <c r="HL73" s="625">
        <f>IF(Assumptions!$C$60="Hourly",MAX(0,HH73*(HI73-HK73)),HH73*(HI73-HK73))</f>
        <v>1320734.0115416821</v>
      </c>
      <c r="HM73" s="640">
        <f>IF(AND(Assumptions!$H$71="Yes",A73&gt;=Assumptions!$H$72,A73&lt;=Assumptions!$H$73),Assumptions!$H$74*Assumptions!$C$9*1000,0)</f>
        <v>0</v>
      </c>
      <c r="HN73" s="530">
        <f t="shared" ca="1" si="234"/>
        <v>8460681.985154951</v>
      </c>
      <c r="HO73" s="545"/>
      <c r="HP73" s="545"/>
      <c r="HQ73" s="545"/>
      <c r="HR73" s="545"/>
      <c r="HS73" s="545"/>
      <c r="HT73" s="545"/>
      <c r="HU73" s="545"/>
      <c r="HV73" s="545"/>
      <c r="HW73" s="545"/>
      <c r="HX73" s="545"/>
      <c r="HY73" s="545"/>
      <c r="HZ73" s="545"/>
      <c r="IA73" s="545"/>
      <c r="IB73" s="545"/>
      <c r="IC73" s="545"/>
      <c r="ID73" s="545"/>
      <c r="IE73" s="545"/>
      <c r="IF73" s="545"/>
      <c r="IG73" s="545"/>
      <c r="IH73" s="545"/>
      <c r="II73" s="1464"/>
      <c r="IJ73" s="1463"/>
      <c r="IK73" s="1463"/>
    </row>
    <row r="74" spans="1:245">
      <c r="A74" s="177">
        <f t="shared" si="87"/>
        <v>38384</v>
      </c>
      <c r="B74" s="349">
        <f t="shared" si="88"/>
        <v>2005</v>
      </c>
      <c r="C74" s="15">
        <f t="shared" si="89"/>
        <v>2</v>
      </c>
      <c r="D74" s="612" t="str">
        <f t="shared" si="90"/>
        <v/>
      </c>
      <c r="E74" s="609">
        <f t="shared" si="91"/>
        <v>38384</v>
      </c>
      <c r="F74" s="614">
        <f t="shared" si="2"/>
        <v>38411</v>
      </c>
      <c r="G74" s="1349">
        <v>0</v>
      </c>
      <c r="H74" s="152">
        <f t="shared" si="165"/>
        <v>1</v>
      </c>
      <c r="I74" s="154">
        <f>IF(Assumptions!$L$25=4,VLOOKUP($A74,'Henwood Reference'!$E$9:$R$320,10),(VLOOKUP($A74,PriceTable,2,0)+IF(BasisNumber&lt;&gt;1,VLOOKUP($A74,BasisTable,2,0),0)+I$1)/(1-I$2))</f>
        <v>39.775835832243843</v>
      </c>
      <c r="J74" s="154">
        <f>IF(Assumptions!$L$25=4,VLOOKUP($A74,'Henwood Reference'!$E$9:$R$320,10),(VLOOKUP($A74,PriceTable,3,0)+IF(BasisNumber&lt;&gt;1,VLOOKUP($A74,BasisTable,2,0),0)+J$1)/(1-J$2))</f>
        <v>39.775835832243843</v>
      </c>
      <c r="K74" s="154">
        <f>IF(Assumptions!$L$25=4,VLOOKUP($A74,'Henwood Reference'!$E$9:$R$320,10),(VLOOKUP($A74,PriceTable,4,0)+IF(BasisNumber&lt;&gt;1,VLOOKUP($A74,BasisTable,2,0),0)+K$1)/(1-K$2))</f>
        <v>39.775835832243843</v>
      </c>
      <c r="L74" s="474">
        <f>IF(Assumptions!$L$25=4,VLOOKUP($A74,'Henwood Reference'!$E$9:$R$320,10),(VLOOKUP($A74,PriceTableWeekend,2,0)+IF(BasisNumber&lt;&gt;1,VLOOKUP($A74,BasisTable,2,0),0)+L$1)/(1-L$2))</f>
        <v>39.775835832243843</v>
      </c>
      <c r="M74" s="154">
        <f>IF(Assumptions!$L$25=4,VLOOKUP($A74,'Henwood Reference'!$E$9:$R$320,10),(VLOOKUP($A74,PriceTableWeekend,3,0)+IF(BasisNumber&lt;&gt;1,VLOOKUP($A74,BasisTable,2,0),0)+M$1)/(1-M$2))</f>
        <v>39.775835832243843</v>
      </c>
      <c r="N74" s="156">
        <f>IF(Assumptions!$L$25=4,VLOOKUP($A74,'Henwood Reference'!$E$9:$R$320,10),(VLOOKUP($A74,PriceTableWeekend,4,0)+IF(BasisNumber&lt;&gt;1,VLOOKUP($A74,BasisTable,2,0),0)+N$1)/(1-N$2))</f>
        <v>39.775835832243843</v>
      </c>
      <c r="O74" s="154">
        <f>IF(Assumptions!$L$25=4,VLOOKUP($A74,'Henwood Reference'!$E$9:$R$320,11),(VLOOKUP($A74,PriceTableWeekend,6,0)+IF(BasisNumber&lt;&gt;1,VLOOKUP($A74,BasisTable,3,0),0)+O$1)/(1-O$2))</f>
        <v>25.297030587159359</v>
      </c>
      <c r="P74" s="154">
        <f>IF(Assumptions!$L$25=4,VLOOKUP($A74,'Henwood Reference'!$E$9:$R$320,11),(VLOOKUP($A74,PriceTableWeekend,7,0)+IF(BasisNumber&lt;&gt;1,VLOOKUP($A74,BasisTable,3,0),0)+P$1)/(1-P$2))</f>
        <v>25.297030587159359</v>
      </c>
      <c r="Q74" s="156">
        <f>IF(Assumptions!$L$25=4,VLOOKUP($A74,'Henwood Reference'!$E$9:$R$320,11),(VLOOKUP($A74,PriceTableWeekend,8,0)+IF(BasisNumber&lt;&gt;1,VLOOKUP($A74,BasisTable,3,0),0)+Q$1)/(1-Q$2))</f>
        <v>25.297030587159359</v>
      </c>
      <c r="R74" s="154">
        <f>IF(Assumptions!$L$25=4,VLOOKUP($A74,'Henwood Reference'!$E$9:$R$320,11),(VLOOKUP($A74,PriceTable,6,0)+IF(BasisNumber&lt;&gt;1,VLOOKUP($A74,BasisTable,3,0),0)+R$1)/(1-R$2))</f>
        <v>25.297030587159359</v>
      </c>
      <c r="S74" s="154">
        <f>IF(Assumptions!$L$25=4,VLOOKUP($A74,'Henwood Reference'!$E$9:$R$320,11),(VLOOKUP($A74,PriceTable,7,0)+IF(BasisNumber&lt;&gt;1,VLOOKUP($A74,BasisTable,3,0),0)+S$1)/(1-S$2))</f>
        <v>25.297030587159359</v>
      </c>
      <c r="T74" s="155">
        <f>IF(Assumptions!$L$25=4,VLOOKUP($A74,'Henwood Reference'!$E$9:$R$320,11),(VLOOKUP($A74,PriceTable,8,0)+IF(BasisNumber&lt;&gt;1,VLOOKUP($A74,BasisTable,3,0),0)+T$1)/(1-T$2))</f>
        <v>25.297030587159359</v>
      </c>
      <c r="U74" s="173">
        <f t="shared" si="92"/>
        <v>0.14499999999999999</v>
      </c>
      <c r="V74" s="173">
        <f t="shared" si="93"/>
        <v>0.155</v>
      </c>
      <c r="W74" s="174">
        <f t="shared" si="94"/>
        <v>0.16500000000000001</v>
      </c>
      <c r="X74" s="173">
        <f t="shared" si="95"/>
        <v>0.14499999999999999</v>
      </c>
      <c r="Y74" s="173">
        <f t="shared" si="96"/>
        <v>0.155</v>
      </c>
      <c r="Z74" s="174">
        <f t="shared" si="97"/>
        <v>0.16500000000000001</v>
      </c>
      <c r="AA74" s="173">
        <f t="shared" si="98"/>
        <v>0.09</v>
      </c>
      <c r="AB74" s="173">
        <f t="shared" si="99"/>
        <v>0.11</v>
      </c>
      <c r="AC74" s="174">
        <f t="shared" si="100"/>
        <v>0.13</v>
      </c>
      <c r="AD74" s="173">
        <f t="shared" si="101"/>
        <v>0.09</v>
      </c>
      <c r="AE74" s="173">
        <f t="shared" si="102"/>
        <v>0.11</v>
      </c>
      <c r="AF74" s="174">
        <f t="shared" si="103"/>
        <v>0.13</v>
      </c>
      <c r="AG74" s="173">
        <f t="shared" si="104"/>
        <v>-0.25</v>
      </c>
      <c r="AH74" s="173">
        <f t="shared" si="105"/>
        <v>0.65</v>
      </c>
      <c r="AI74" s="174">
        <f t="shared" si="106"/>
        <v>0.25</v>
      </c>
      <c r="AJ74" s="173">
        <f t="shared" si="107"/>
        <v>-0.25</v>
      </c>
      <c r="AK74" s="173">
        <f t="shared" si="108"/>
        <v>0.65</v>
      </c>
      <c r="AL74" s="174">
        <f t="shared" si="109"/>
        <v>0.25</v>
      </c>
      <c r="AM74" s="173">
        <f t="shared" si="110"/>
        <v>-0.01</v>
      </c>
      <c r="AN74" s="173">
        <f t="shared" si="111"/>
        <v>0.16</v>
      </c>
      <c r="AO74" s="174">
        <f t="shared" si="112"/>
        <v>0.01</v>
      </c>
      <c r="AP74" s="173">
        <f t="shared" si="113"/>
        <v>-0.01</v>
      </c>
      <c r="AQ74" s="173">
        <f t="shared" si="114"/>
        <v>0.16</v>
      </c>
      <c r="AR74" s="175">
        <f t="shared" si="115"/>
        <v>0.01</v>
      </c>
      <c r="AS74" s="521">
        <f t="shared" si="231"/>
        <v>0.5</v>
      </c>
      <c r="AT74" s="349">
        <f t="shared" si="117"/>
        <v>20</v>
      </c>
      <c r="AU74" s="159">
        <f t="shared" si="3"/>
        <v>4</v>
      </c>
      <c r="AV74" s="159">
        <f t="shared" si="4"/>
        <v>4</v>
      </c>
      <c r="AW74" s="159">
        <f t="shared" si="232"/>
        <v>0</v>
      </c>
      <c r="AX74" s="15">
        <f t="shared" si="119"/>
        <v>28</v>
      </c>
      <c r="AY74" s="607">
        <f>IF(E74="",0,MIN((1-(1-VLOOKUP(B74,MAIN!$AA$7:$AM$28,C74+1))*(1-VLOOKUP(B74,MAIN!$AA$33:$AM$54,C74+1))),1))</f>
        <v>3.0000000000000027E-2</v>
      </c>
      <c r="AZ74" s="337">
        <v>46560</v>
      </c>
      <c r="BA74" s="509">
        <v>9312</v>
      </c>
      <c r="BB74" s="509">
        <v>9312</v>
      </c>
      <c r="BC74" s="511">
        <v>32592</v>
      </c>
      <c r="BD74" s="153">
        <v>0.97</v>
      </c>
      <c r="BE74" s="474">
        <v>0.97</v>
      </c>
      <c r="BF74" s="474">
        <v>0.97</v>
      </c>
      <c r="BG74" s="515">
        <v>0.9699999927729368</v>
      </c>
      <c r="BH74" s="262">
        <v>186240</v>
      </c>
      <c r="BI74" s="509">
        <v>37248</v>
      </c>
      <c r="BJ74" s="509">
        <v>37248</v>
      </c>
      <c r="BK74" s="511">
        <v>130368</v>
      </c>
      <c r="BL74" s="153">
        <v>0.97</v>
      </c>
      <c r="BM74" s="474">
        <v>0.97</v>
      </c>
      <c r="BN74" s="474">
        <v>0.97</v>
      </c>
      <c r="BO74" s="474">
        <v>0.9699999927729368</v>
      </c>
      <c r="BP74" s="261">
        <f t="shared" si="120"/>
        <v>65184</v>
      </c>
      <c r="BQ74" s="578">
        <f t="shared" si="121"/>
        <v>97776</v>
      </c>
      <c r="BR74" s="259">
        <f t="shared" si="122"/>
        <v>260736</v>
      </c>
      <c r="BS74" s="578">
        <f t="shared" si="123"/>
        <v>391104</v>
      </c>
      <c r="BT74" s="216">
        <f t="shared" si="124"/>
        <v>4.8021902806297057</v>
      </c>
      <c r="BU74" s="218">
        <f t="shared" si="5"/>
        <v>39.775835832243843</v>
      </c>
      <c r="BV74" s="216">
        <f t="shared" si="6"/>
        <v>39.775835832243843</v>
      </c>
      <c r="BW74" s="216">
        <f t="shared" si="7"/>
        <v>25.297030587159359</v>
      </c>
      <c r="BX74" s="216">
        <f t="shared" si="125"/>
        <v>25.297030398681791</v>
      </c>
      <c r="BY74" s="216">
        <f t="shared" si="8"/>
        <v>37.707435082946063</v>
      </c>
      <c r="BZ74" s="216">
        <f t="shared" si="9"/>
        <v>33.570633521524641</v>
      </c>
      <c r="CA74" s="264">
        <f t="shared" si="10"/>
        <v>39.775835832243843</v>
      </c>
      <c r="CB74" s="216">
        <f t="shared" si="11"/>
        <v>39.775835832243843</v>
      </c>
      <c r="CC74" s="216">
        <f t="shared" si="12"/>
        <v>25.297030587159359</v>
      </c>
      <c r="CD74" s="216">
        <f t="shared" si="126"/>
        <v>25.297030398681791</v>
      </c>
      <c r="CE74" s="216">
        <f t="shared" si="13"/>
        <v>37.707435082946063</v>
      </c>
      <c r="CF74" s="571">
        <f t="shared" si="14"/>
        <v>33.570633521524641</v>
      </c>
      <c r="CG74" s="573">
        <f t="shared" si="15"/>
        <v>0.155</v>
      </c>
      <c r="CH74" s="219">
        <f t="shared" si="16"/>
        <v>0.155</v>
      </c>
      <c r="CI74" s="219">
        <f t="shared" si="17"/>
        <v>0.11</v>
      </c>
      <c r="CJ74" s="219">
        <f t="shared" si="18"/>
        <v>0.15075042983354642</v>
      </c>
      <c r="CK74" s="219">
        <f t="shared" si="19"/>
        <v>0.15075042983354642</v>
      </c>
      <c r="CL74" s="219">
        <f t="shared" si="20"/>
        <v>0.11</v>
      </c>
      <c r="CM74" s="219">
        <f t="shared" si="21"/>
        <v>0.12938668090863459</v>
      </c>
      <c r="CN74" s="569">
        <f t="shared" si="22"/>
        <v>0.12938668090863459</v>
      </c>
      <c r="CO74" s="264">
        <f t="shared" si="175"/>
        <v>18.415933536452762</v>
      </c>
      <c r="CP74" s="216">
        <f t="shared" si="127"/>
        <v>18.415933536452762</v>
      </c>
      <c r="CQ74" s="216">
        <f t="shared" ca="1" si="192"/>
        <v>18.415933536452762</v>
      </c>
      <c r="CR74" s="216">
        <f t="shared" ca="1" si="193"/>
        <v>18.415933536452762</v>
      </c>
      <c r="CS74" s="1626">
        <f t="shared" ca="1" si="194"/>
        <v>18.415933536452762</v>
      </c>
      <c r="CT74" s="216">
        <f t="shared" si="131"/>
        <v>18.415933536452762</v>
      </c>
      <c r="CU74" s="575">
        <f t="shared" si="23"/>
        <v>0.16500000000000001</v>
      </c>
      <c r="CV74" s="154">
        <f t="shared" si="24"/>
        <v>0.5</v>
      </c>
      <c r="CW74" s="216">
        <f>IF(OR($BQ74,$BS74),SpreadOptPowerMargin,0)*((1+Assumptions!$C$26)^($B74-YEAR(Assumptions!$C$17)))</f>
        <v>1.8727199999999999</v>
      </c>
      <c r="CX74" s="216">
        <f>IF(OR($BQ74,$BS74),SpreadOptPowerMargin,0)*((1+Assumptions!$C$26)^($B74-YEAR(Assumptions!$C$17)))</f>
        <v>1.8727199999999999</v>
      </c>
      <c r="CY74" s="216">
        <f>IF(OR($BQ74,$BS74),SpreadOptPowerMargin,0)*((1+Assumptions!$C$26)^($B74-YEAR(Assumptions!$C$17)))</f>
        <v>1.8727199999999999</v>
      </c>
      <c r="CZ74" s="216">
        <f>IF(OR($BQ74,$BS74),SpreadOptPowerMargin,0)*((1+Assumptions!$C$26)^($B74-YEAR(Assumptions!$C$17)))</f>
        <v>1.8727199999999999</v>
      </c>
      <c r="DA74" s="440">
        <f t="shared" si="25"/>
        <v>1.8727200000000002</v>
      </c>
      <c r="DB74" s="479">
        <f t="shared" si="26"/>
        <v>0.155</v>
      </c>
      <c r="DC74" s="479">
        <f t="shared" si="27"/>
        <v>0.155</v>
      </c>
      <c r="DD74" s="479">
        <f t="shared" si="28"/>
        <v>0.11</v>
      </c>
      <c r="DE74" s="479">
        <f t="shared" si="29"/>
        <v>0.11</v>
      </c>
      <c r="DF74" s="479">
        <f t="shared" si="30"/>
        <v>0.12938668090863459</v>
      </c>
      <c r="DG74" s="574">
        <f t="shared" si="31"/>
        <v>0.12938668090863459</v>
      </c>
      <c r="DH74" s="216">
        <f t="shared" si="32"/>
        <v>19.567059906593379</v>
      </c>
      <c r="DI74" s="216">
        <f t="shared" si="33"/>
        <v>19.567059906593379</v>
      </c>
      <c r="DJ74" s="216">
        <f t="shared" ca="1" si="195"/>
        <v>5.8911502108349758</v>
      </c>
      <c r="DK74" s="216">
        <f t="shared" ca="1" si="196"/>
        <v>5.8911500569808304</v>
      </c>
      <c r="DL74" s="216">
        <f t="shared" ca="1" si="197"/>
        <v>13.461179536314612</v>
      </c>
      <c r="DM74" s="216"/>
      <c r="DN74" s="216"/>
      <c r="DO74" s="216"/>
      <c r="DP74" s="216"/>
      <c r="DQ74" s="216"/>
      <c r="DR74" s="216"/>
      <c r="DS74" s="216"/>
      <c r="DT74" s="216"/>
      <c r="DU74" s="216"/>
      <c r="DV74" s="216"/>
      <c r="DW74" s="1371">
        <f t="shared" si="37"/>
        <v>5.8911502108349758</v>
      </c>
      <c r="DX74" s="216">
        <f t="shared" si="38"/>
        <v>5.8911500569808304</v>
      </c>
      <c r="DY74" s="440">
        <f t="shared" si="39"/>
        <v>13.705955699983637</v>
      </c>
      <c r="DZ74" s="180">
        <f t="shared" si="40"/>
        <v>911042.30925098772</v>
      </c>
      <c r="EA74" s="180">
        <f t="shared" si="41"/>
        <v>182208.46185019755</v>
      </c>
      <c r="EB74" s="180">
        <f t="shared" ca="1" si="198"/>
        <v>54858.390763295298</v>
      </c>
      <c r="EC74" s="180">
        <f t="shared" ca="1" si="199"/>
        <v>192004.36265711923</v>
      </c>
      <c r="ED74" s="180">
        <f t="shared" ca="1" si="200"/>
        <v>1316180.2903426974</v>
      </c>
      <c r="EE74" s="581">
        <f t="shared" si="45"/>
        <v>907323.20769203268</v>
      </c>
      <c r="EF74" s="554">
        <f t="shared" si="46"/>
        <v>181464.64153840652</v>
      </c>
      <c r="EG74" s="554">
        <f t="shared" ca="1" si="201"/>
        <v>46638.007096179819</v>
      </c>
      <c r="EH74" s="554">
        <f t="shared" ca="1" si="202"/>
        <v>163233.01869376848</v>
      </c>
      <c r="EI74" s="561">
        <f t="shared" ca="1" si="49"/>
        <v>1298658.875020388</v>
      </c>
      <c r="EJ74" s="581">
        <f t="shared" si="132"/>
        <v>3719.101558955037</v>
      </c>
      <c r="EK74" s="554">
        <f t="shared" si="133"/>
        <v>743.82031179103069</v>
      </c>
      <c r="EL74" s="554">
        <f t="shared" ca="1" si="203"/>
        <v>8220.3836671154786</v>
      </c>
      <c r="EM74" s="554">
        <f t="shared" ca="1" si="204"/>
        <v>28771.343963350751</v>
      </c>
      <c r="EN74" s="561">
        <f t="shared" ca="1" si="205"/>
        <v>17521.41532230936</v>
      </c>
      <c r="EO74" s="180">
        <f t="shared" si="50"/>
        <v>3644169.2370039509</v>
      </c>
      <c r="EP74" s="180">
        <f t="shared" si="51"/>
        <v>728833.8474007902</v>
      </c>
      <c r="EQ74" s="180">
        <f t="shared" si="52"/>
        <v>219433.56305318119</v>
      </c>
      <c r="ER74" s="180">
        <f t="shared" si="53"/>
        <v>768017.45062847692</v>
      </c>
      <c r="ES74" s="180">
        <f t="shared" si="54"/>
        <v>5360454.0980864</v>
      </c>
      <c r="ET74" s="1482">
        <f t="shared" ca="1" si="206"/>
        <v>3629292.8307681307</v>
      </c>
      <c r="EU74" s="180">
        <f t="shared" ca="1" si="207"/>
        <v>725858.56615362607</v>
      </c>
      <c r="EV74" s="180">
        <f t="shared" ca="1" si="208"/>
        <v>186552.02838471928</v>
      </c>
      <c r="EW74" s="180">
        <f t="shared" ca="1" si="209"/>
        <v>652932.07477507391</v>
      </c>
      <c r="EX74" s="555">
        <f t="shared" ca="1" si="182"/>
        <v>5194635.5000815494</v>
      </c>
      <c r="EY74" s="180">
        <f t="shared" ca="1" si="210"/>
        <v>14876.406235820148</v>
      </c>
      <c r="EZ74" s="180">
        <f t="shared" ca="1" si="211"/>
        <v>2975.2812471641228</v>
      </c>
      <c r="FA74" s="180">
        <f t="shared" ca="1" si="212"/>
        <v>32881.534668461914</v>
      </c>
      <c r="FB74" s="180">
        <f t="shared" ca="1" si="213"/>
        <v>115085.37585340301</v>
      </c>
      <c r="FC74" s="180">
        <f t="shared" ca="1" si="214"/>
        <v>165818.59800485056</v>
      </c>
      <c r="FD74" s="262">
        <f>IF(AX74,IF(VLOOKUP(C74,MAIN!$L$17:$M$28,2)="Yes",VLOOKUP(CALC!B74,MAIN!$H$17:$I$20,2),0),0)</f>
        <v>0</v>
      </c>
      <c r="FE74" s="623">
        <f t="shared" si="60"/>
        <v>0</v>
      </c>
      <c r="FF74" s="535">
        <f t="shared" si="61"/>
        <v>0</v>
      </c>
      <c r="FG74" s="535">
        <f t="shared" si="62"/>
        <v>0</v>
      </c>
      <c r="FH74" s="624">
        <f t="shared" si="63"/>
        <v>0</v>
      </c>
      <c r="FI74" s="632">
        <f>IF(AX74,VLOOKUP(CALC!B74,MAIN!$H$17:$K$20,4),0)</f>
        <v>0</v>
      </c>
      <c r="FJ74" s="535">
        <f t="shared" si="64"/>
        <v>0</v>
      </c>
      <c r="FK74" s="648">
        <f t="shared" si="142"/>
        <v>0</v>
      </c>
      <c r="FL74" s="530">
        <f t="shared" ca="1" si="215"/>
        <v>0</v>
      </c>
      <c r="FM74" s="530">
        <f t="shared" ca="1" si="216"/>
        <v>0</v>
      </c>
      <c r="FN74" s="530">
        <f t="shared" ca="1" si="217"/>
        <v>0</v>
      </c>
      <c r="FO74" s="622">
        <f t="shared" ca="1" si="218"/>
        <v>0</v>
      </c>
      <c r="FP74" s="530">
        <f t="shared" ca="1" si="219"/>
        <v>0</v>
      </c>
      <c r="FQ74" s="530">
        <f t="shared" ca="1" si="220"/>
        <v>0</v>
      </c>
      <c r="FR74" s="530">
        <f t="shared" ca="1" si="221"/>
        <v>0</v>
      </c>
      <c r="FS74" s="625">
        <f t="shared" ca="1" si="222"/>
        <v>0</v>
      </c>
      <c r="FT74" s="640">
        <f ca="1">IF(AND(Assumptions!$H$71="Yes",A74&gt;=Assumptions!$H$72,A74&lt;=Assumptions!$H$73),0,IF(AND($A74&gt;=Assumptions!$C$17,$A74&lt;=Assumptions!$C$18),MAX(AZ74*(1+VLOOKUP($C74,WeatherCapacityAdjustment,2))-FL74,0),0))</f>
        <v>46560</v>
      </c>
      <c r="FU74" s="530">
        <f ca="1">IF(AND(Assumptions!$H$71="Yes",A74&gt;=Assumptions!$H$72,A74&lt;=Assumptions!$H$73),0,IF(AND($A74&gt;=Assumptions!$C$17,$A74&lt;=Assumptions!$C$18),MAX(BA74*(1+VLOOKUP($C74,WeatherCapacityAdjustment,2))-FM74,0),0))</f>
        <v>9312</v>
      </c>
      <c r="FV74" s="530">
        <f ca="1">IF(AND(Assumptions!$H$71="Yes",A74&gt;=Assumptions!$H$72,A74&lt;=Assumptions!$H$73),0,IF(AND($A74&gt;=Assumptions!$C$17,$A74&lt;=Assumptions!$C$18),MAX(BB74*(1+VLOOKUP($C74,WeatherCapacityAdjustment,2))-FN74,0),0))</f>
        <v>9312</v>
      </c>
      <c r="FW74" s="622">
        <f ca="1">IF(AND(Assumptions!$H$71="Yes",A74&gt;=Assumptions!$H$72,A74&lt;=Assumptions!$H$73),0,IF(AND($A74&gt;=Assumptions!$C$17,$A74&lt;=Assumptions!$C$18),MAX(BC74*(1+VLOOKUP($C74,WeatherCapacityAdjustment,3))-FO74,0),0))</f>
        <v>32592</v>
      </c>
      <c r="FX74" s="621">
        <f ca="1">IF(AND(Assumptions!$H$71="Yes",A74&gt;=Assumptions!$H$72,A74&lt;=Assumptions!$H$73),0,IF(ET74&gt;0,MAX(BH74*(1+VLOOKUP($C74,WeatherCapacityAdjustment,2))-FP74,0),0))</f>
        <v>186240</v>
      </c>
      <c r="FY74" s="530">
        <f ca="1">IF(AND(Assumptions!$H$71="Yes",A74&gt;=Assumptions!$H$72,A74&lt;=Assumptions!$H$73),0,IF(EU74&gt;0,MAX(BI74*(1+VLOOKUP($C74,WeatherCapacityAdjustment,3))-FQ74,0),0))</f>
        <v>37248</v>
      </c>
      <c r="FZ74" s="530">
        <f ca="1">IF(AND(Assumptions!$H$71="Yes",A74&gt;=Assumptions!$H$72,A74&lt;=Assumptions!$H$73),0,IF(EV74&gt;0,MAX(BJ74*(1+VLOOKUP($C74,WeatherCapacityAdjustment,2))-FR74,0),0))</f>
        <v>37248</v>
      </c>
      <c r="GA74" s="622">
        <f ca="1">IF(AND(Assumptions!$H$71="Yes",A74&gt;=Assumptions!$H$72,A74&lt;=Assumptions!$H$73),0,IF(EW74&gt;0,MAX(BK74*(1+VLOOKUP($C74,WeatherCapacityAdjustment,2))-FS74,0),0))</f>
        <v>130368</v>
      </c>
      <c r="GB74" s="530">
        <f t="shared" ca="1" si="65"/>
        <v>488880</v>
      </c>
      <c r="GC74" s="545">
        <f t="shared" ca="1" si="66"/>
        <v>33.570633521524641</v>
      </c>
      <c r="GD74" s="530">
        <f t="shared" ca="1" si="223"/>
        <v>16412011.316002965</v>
      </c>
      <c r="GE74" s="1485">
        <f t="shared" ca="1" si="224"/>
        <v>691905.99744000006</v>
      </c>
      <c r="GF74" s="1776">
        <f t="shared" ca="1" si="225"/>
        <v>2767623.9897600003</v>
      </c>
      <c r="GG74" s="545">
        <f t="shared" si="190"/>
        <v>2.6024291220518738</v>
      </c>
      <c r="GH74" s="622">
        <f t="shared" ca="1" si="191"/>
        <v>9003181.587301027</v>
      </c>
      <c r="GI74" s="621">
        <f t="shared" ca="1" si="152"/>
        <v>488880</v>
      </c>
      <c r="GJ74" s="638">
        <f t="shared" si="68"/>
        <v>1.8727200000000002</v>
      </c>
      <c r="GK74" s="625">
        <f t="shared" ca="1" si="166"/>
        <v>915535.35360000003</v>
      </c>
      <c r="GL74" s="640">
        <f t="shared" ca="1" si="226"/>
        <v>0</v>
      </c>
      <c r="GM74" s="530">
        <f t="shared" ca="1" si="227"/>
        <v>0</v>
      </c>
      <c r="GN74" s="530">
        <f t="shared" ca="1" si="228"/>
        <v>0</v>
      </c>
      <c r="GO74" s="622">
        <f t="shared" ca="1" si="229"/>
        <v>0</v>
      </c>
      <c r="GP74" s="530">
        <f t="shared" ca="1" si="73"/>
        <v>0</v>
      </c>
      <c r="GQ74" s="545">
        <f t="shared" ca="1" si="74"/>
        <v>0</v>
      </c>
      <c r="GR74" s="625">
        <f t="shared" ca="1" si="230"/>
        <v>0</v>
      </c>
      <c r="GS74" s="640">
        <f>IF($A74&gt;=BegDate,Assumptions!$C$56*24*($A75-$A74)*(1-VLOOKUP($B74,MAIN!$AA$7:$AM$28,$C74+1))*(1-VLOOKUP($B74,MAIN!$AA$33:$AM$54,$C74+1)),0)*80/168</f>
        <v>232800</v>
      </c>
      <c r="GT74" s="1715">
        <f t="shared" si="153"/>
        <v>39.775835832243843</v>
      </c>
      <c r="GU74" s="1715">
        <f>IF($A74&gt;=BegDate,VLOOKUP($A74,GasTable,13)+Assumptions!$C$58,0)</f>
        <v>2.6024291220518738</v>
      </c>
      <c r="GV74" s="1715">
        <f>GU74*Assumptions!$C$57/1000</f>
        <v>18.867611134876086</v>
      </c>
      <c r="GW74" s="625">
        <f>IF(Assumptions!$C$60="Hourly",MAX(0,GS74*(GT74-GV74)),GS74*(GT74-GV74))</f>
        <v>4867434.7095472142</v>
      </c>
      <c r="GX74" s="640">
        <f>IF($A74&gt;=BegDate,Assumptions!$C$56*24*($A75-$A74)*(1-VLOOKUP($B74,MAIN!$AA$7:$AM$28,$C74+1))*(1-VLOOKUP($B74,MAIN!$AA$33:$AM$54,$C74+1)),0)*16/168</f>
        <v>46560</v>
      </c>
      <c r="GY74" s="1715">
        <f t="shared" si="154"/>
        <v>39.775835832243843</v>
      </c>
      <c r="GZ74" s="1715">
        <f>IF($A74&gt;=BegDate,VLOOKUP($A74,GasTable,13)+Assumptions!$C$58,0)</f>
        <v>2.6024291220518738</v>
      </c>
      <c r="HA74" s="1715">
        <f>GZ74*Assumptions!$C$57/1000</f>
        <v>18.867611134876086</v>
      </c>
      <c r="HB74" s="625">
        <f>IF(Assumptions!$C$60="Hourly",MAX(0,GX74*(GY74-HA74)),GX74*(GY74-HA74))</f>
        <v>973486.94190944277</v>
      </c>
      <c r="HC74" s="640">
        <f>IF($A74&gt;=BegDate,Assumptions!$C$56*24*($A75-$A74)*(1-VLOOKUP($B74,MAIN!$AA$7:$AM$28,$C74+1))*(1-VLOOKUP($B74,MAIN!$AA$33:$AM$54,$C74+1)),0)*16/168</f>
        <v>46560</v>
      </c>
      <c r="HD74" s="1715">
        <f t="shared" si="155"/>
        <v>25.297030587159359</v>
      </c>
      <c r="HE74" s="1715">
        <f>IF($A74&gt;=BegDate,VLOOKUP($A74,GasTable,13)+Assumptions!$C$58,0)</f>
        <v>2.6024291220518738</v>
      </c>
      <c r="HF74" s="1715">
        <f>HE74*Assumptions!$C$57/1000</f>
        <v>18.867611134876086</v>
      </c>
      <c r="HG74" s="625">
        <f>IF(Assumptions!$C$60="Hourly",MAX(0,HC74*(HD74-HF74)),HC74*(HD74-HF74))</f>
        <v>299353.76969830919</v>
      </c>
      <c r="HH74" s="640">
        <f>IF($A74&gt;=BegDate,Assumptions!$C$56*24*($A75-$A74)*(1-VLOOKUP($B74,MAIN!$AA$7:$AM$28,$C74+1))*(1-VLOOKUP($B74,MAIN!$AA$33:$AM$54,$C74+1)),0)*56/168</f>
        <v>162960</v>
      </c>
      <c r="HI74" s="1715">
        <f t="shared" si="156"/>
        <v>25.297030587159359</v>
      </c>
      <c r="HJ74" s="1715">
        <f>IF($A74&gt;=BegDate,VLOOKUP($A74,GasTable,13)+Assumptions!$C$58,0)</f>
        <v>2.6024291220518738</v>
      </c>
      <c r="HK74" s="1715">
        <f>HJ74*Assumptions!$C$57/1000</f>
        <v>18.867611134876086</v>
      </c>
      <c r="HL74" s="625">
        <f>IF(Assumptions!$C$60="Hourly",MAX(0,HH74*(HI74-HK74)),HH74*(HI74-HK74))</f>
        <v>1047738.1939440822</v>
      </c>
      <c r="HM74" s="640">
        <f>IF(AND(Assumptions!$H$71="Yes",A74&gt;=Assumptions!$H$72,A74&lt;=Assumptions!$H$73),Assumptions!$H$74*Assumptions!$C$9*1000,0)</f>
        <v>0</v>
      </c>
      <c r="HN74" s="530">
        <f t="shared" ca="1" si="234"/>
        <v>7408829.7287019379</v>
      </c>
      <c r="HO74" s="545"/>
      <c r="HP74" s="545"/>
      <c r="HQ74" s="545"/>
      <c r="HR74" s="545"/>
      <c r="HS74" s="545"/>
      <c r="HT74" s="545"/>
      <c r="HU74" s="545"/>
      <c r="HV74" s="545"/>
      <c r="HW74" s="545"/>
      <c r="HX74" s="545"/>
      <c r="HY74" s="545"/>
      <c r="HZ74" s="545"/>
      <c r="IA74" s="545"/>
      <c r="IB74" s="545"/>
      <c r="IC74" s="545"/>
      <c r="ID74" s="545"/>
      <c r="IE74" s="545"/>
      <c r="IF74" s="545"/>
      <c r="IG74" s="545"/>
      <c r="IH74" s="545"/>
      <c r="II74" s="1464"/>
      <c r="IJ74" s="1463"/>
      <c r="IK74" s="1463"/>
    </row>
    <row r="75" spans="1:245">
      <c r="A75" s="177">
        <f t="shared" si="87"/>
        <v>38412</v>
      </c>
      <c r="B75" s="349">
        <f t="shared" si="88"/>
        <v>2005</v>
      </c>
      <c r="C75" s="15">
        <f t="shared" si="89"/>
        <v>3</v>
      </c>
      <c r="D75" s="612" t="str">
        <f t="shared" si="90"/>
        <v/>
      </c>
      <c r="E75" s="609">
        <f t="shared" si="91"/>
        <v>38412</v>
      </c>
      <c r="F75" s="614">
        <f t="shared" si="2"/>
        <v>38442</v>
      </c>
      <c r="G75" s="1349">
        <v>0</v>
      </c>
      <c r="H75" s="152">
        <f t="shared" si="165"/>
        <v>1</v>
      </c>
      <c r="I75" s="154">
        <f>IF(Assumptions!$L$25=4,VLOOKUP($A75,'Henwood Reference'!$E$9:$R$320,10),(VLOOKUP($A75,PriceTable,2,0)+IF(BasisNumber&lt;&gt;1,VLOOKUP($A75,BasisTable,2,0),0)+I$1)/(1-I$2))</f>
        <v>34.183224931714562</v>
      </c>
      <c r="J75" s="154">
        <f>IF(Assumptions!$L$25=4,VLOOKUP($A75,'Henwood Reference'!$E$9:$R$320,10),(VLOOKUP($A75,PriceTable,3,0)+IF(BasisNumber&lt;&gt;1,VLOOKUP($A75,BasisTable,2,0),0)+J$1)/(1-J$2))</f>
        <v>34.183224931714562</v>
      </c>
      <c r="K75" s="154">
        <f>IF(Assumptions!$L$25=4,VLOOKUP($A75,'Henwood Reference'!$E$9:$R$320,10),(VLOOKUP($A75,PriceTable,4,0)+IF(BasisNumber&lt;&gt;1,VLOOKUP($A75,BasisTable,2,0),0)+K$1)/(1-K$2))</f>
        <v>34.183224931714562</v>
      </c>
      <c r="L75" s="474">
        <f>IF(Assumptions!$L$25=4,VLOOKUP($A75,'Henwood Reference'!$E$9:$R$320,10),(VLOOKUP($A75,PriceTableWeekend,2,0)+IF(BasisNumber&lt;&gt;1,VLOOKUP($A75,BasisTable,2,0),0)+L$1)/(1-L$2))</f>
        <v>34.183224931714562</v>
      </c>
      <c r="M75" s="154">
        <f>IF(Assumptions!$L$25=4,VLOOKUP($A75,'Henwood Reference'!$E$9:$R$320,10),(VLOOKUP($A75,PriceTableWeekend,3,0)+IF(BasisNumber&lt;&gt;1,VLOOKUP($A75,BasisTable,2,0),0)+M$1)/(1-M$2))</f>
        <v>34.183224931714562</v>
      </c>
      <c r="N75" s="156">
        <f>IF(Assumptions!$L$25=4,VLOOKUP($A75,'Henwood Reference'!$E$9:$R$320,10),(VLOOKUP($A75,PriceTableWeekend,4,0)+IF(BasisNumber&lt;&gt;1,VLOOKUP($A75,BasisTable,2,0),0)+N$1)/(1-N$2))</f>
        <v>34.183224931714562</v>
      </c>
      <c r="O75" s="154">
        <f>IF(Assumptions!$L$25=4,VLOOKUP($A75,'Henwood Reference'!$E$9:$R$320,11),(VLOOKUP($A75,PriceTableWeekend,6,0)+IF(BasisNumber&lt;&gt;1,VLOOKUP($A75,BasisTable,3,0),0)+O$1)/(1-O$2))</f>
        <v>23.248629472982397</v>
      </c>
      <c r="P75" s="154">
        <f>IF(Assumptions!$L$25=4,VLOOKUP($A75,'Henwood Reference'!$E$9:$R$320,11),(VLOOKUP($A75,PriceTableWeekend,7,0)+IF(BasisNumber&lt;&gt;1,VLOOKUP($A75,BasisTable,3,0),0)+P$1)/(1-P$2))</f>
        <v>23.248629472982397</v>
      </c>
      <c r="Q75" s="156">
        <f>IF(Assumptions!$L$25=4,VLOOKUP($A75,'Henwood Reference'!$E$9:$R$320,11),(VLOOKUP($A75,PriceTableWeekend,8,0)+IF(BasisNumber&lt;&gt;1,VLOOKUP($A75,BasisTable,3,0),0)+Q$1)/(1-Q$2))</f>
        <v>23.248629472982397</v>
      </c>
      <c r="R75" s="154">
        <f>IF(Assumptions!$L$25=4,VLOOKUP($A75,'Henwood Reference'!$E$9:$R$320,11),(VLOOKUP($A75,PriceTable,6,0)+IF(BasisNumber&lt;&gt;1,VLOOKUP($A75,BasisTable,3,0),0)+R$1)/(1-R$2))</f>
        <v>23.248629472982397</v>
      </c>
      <c r="S75" s="154">
        <f>IF(Assumptions!$L$25=4,VLOOKUP($A75,'Henwood Reference'!$E$9:$R$320,11),(VLOOKUP($A75,PriceTable,7,0)+IF(BasisNumber&lt;&gt;1,VLOOKUP($A75,BasisTable,3,0),0)+S$1)/(1-S$2))</f>
        <v>23.248629472982397</v>
      </c>
      <c r="T75" s="155">
        <f>IF(Assumptions!$L$25=4,VLOOKUP($A75,'Henwood Reference'!$E$9:$R$320,11),(VLOOKUP($A75,PriceTable,8,0)+IF(BasisNumber&lt;&gt;1,VLOOKUP($A75,BasisTable,3,0),0)+T$1)/(1-T$2))</f>
        <v>23.248629472982397</v>
      </c>
      <c r="U75" s="173">
        <f t="shared" si="92"/>
        <v>0.14499999999999999</v>
      </c>
      <c r="V75" s="173">
        <f t="shared" si="93"/>
        <v>0.155</v>
      </c>
      <c r="W75" s="174">
        <f t="shared" si="94"/>
        <v>0.16500000000000001</v>
      </c>
      <c r="X75" s="173">
        <f t="shared" si="95"/>
        <v>0.14499999999999999</v>
      </c>
      <c r="Y75" s="173">
        <f t="shared" si="96"/>
        <v>0.155</v>
      </c>
      <c r="Z75" s="174">
        <f t="shared" si="97"/>
        <v>0.16500000000000001</v>
      </c>
      <c r="AA75" s="173">
        <f t="shared" si="98"/>
        <v>0.09</v>
      </c>
      <c r="AB75" s="173">
        <f t="shared" si="99"/>
        <v>0.11</v>
      </c>
      <c r="AC75" s="174">
        <f t="shared" si="100"/>
        <v>0.13</v>
      </c>
      <c r="AD75" s="173">
        <f t="shared" si="101"/>
        <v>0.09</v>
      </c>
      <c r="AE75" s="173">
        <f t="shared" si="102"/>
        <v>0.11</v>
      </c>
      <c r="AF75" s="174">
        <f t="shared" si="103"/>
        <v>0.13</v>
      </c>
      <c r="AG75" s="173">
        <f t="shared" si="104"/>
        <v>-0.1</v>
      </c>
      <c r="AH75" s="173">
        <f t="shared" si="105"/>
        <v>0.65</v>
      </c>
      <c r="AI75" s="174">
        <f t="shared" si="106"/>
        <v>0.1</v>
      </c>
      <c r="AJ75" s="173">
        <f t="shared" si="107"/>
        <v>-0.1</v>
      </c>
      <c r="AK75" s="173">
        <f t="shared" si="108"/>
        <v>0.65</v>
      </c>
      <c r="AL75" s="174">
        <f t="shared" si="109"/>
        <v>0.1</v>
      </c>
      <c r="AM75" s="173">
        <f t="shared" si="110"/>
        <v>-0.01</v>
      </c>
      <c r="AN75" s="173">
        <f t="shared" si="111"/>
        <v>0.16</v>
      </c>
      <c r="AO75" s="174">
        <f t="shared" si="112"/>
        <v>0.01</v>
      </c>
      <c r="AP75" s="173">
        <f t="shared" si="113"/>
        <v>-0.01</v>
      </c>
      <c r="AQ75" s="173">
        <f t="shared" si="114"/>
        <v>0.16</v>
      </c>
      <c r="AR75" s="175">
        <f t="shared" si="115"/>
        <v>0.01</v>
      </c>
      <c r="AS75" s="521">
        <f t="shared" si="231"/>
        <v>0.5</v>
      </c>
      <c r="AT75" s="349">
        <f t="shared" si="117"/>
        <v>23</v>
      </c>
      <c r="AU75" s="159">
        <f t="shared" si="3"/>
        <v>4</v>
      </c>
      <c r="AV75" s="159">
        <f t="shared" si="4"/>
        <v>4</v>
      </c>
      <c r="AW75" s="159">
        <f t="shared" si="232"/>
        <v>0</v>
      </c>
      <c r="AX75" s="15">
        <f t="shared" si="119"/>
        <v>31</v>
      </c>
      <c r="AY75" s="607">
        <f>IF(E75="",0,MIN((1-(1-VLOOKUP(B75,MAIN!$AA$7:$AM$28,C75+1))*(1-VLOOKUP(B75,MAIN!$AA$33:$AM$54,C75+1))),1))</f>
        <v>3.0000000000000027E-2</v>
      </c>
      <c r="AZ75" s="337">
        <v>53544</v>
      </c>
      <c r="BA75" s="509">
        <v>9312</v>
      </c>
      <c r="BB75" s="509">
        <v>9312</v>
      </c>
      <c r="BC75" s="511">
        <v>36084</v>
      </c>
      <c r="BD75" s="153">
        <v>0.96999999638646839</v>
      </c>
      <c r="BE75" s="474">
        <v>0.96999999638646839</v>
      </c>
      <c r="BF75" s="474">
        <v>0.96999999638646839</v>
      </c>
      <c r="BG75" s="515">
        <v>0.97000000722706314</v>
      </c>
      <c r="BH75" s="262">
        <v>214176</v>
      </c>
      <c r="BI75" s="509">
        <v>37248</v>
      </c>
      <c r="BJ75" s="509">
        <v>37248</v>
      </c>
      <c r="BK75" s="511">
        <v>144336</v>
      </c>
      <c r="BL75" s="153">
        <v>0.96999999638646839</v>
      </c>
      <c r="BM75" s="474">
        <v>0.96999999638646839</v>
      </c>
      <c r="BN75" s="474">
        <v>0.96999999638646839</v>
      </c>
      <c r="BO75" s="474">
        <v>0.97000000722706314</v>
      </c>
      <c r="BP75" s="261">
        <f t="shared" si="120"/>
        <v>72168</v>
      </c>
      <c r="BQ75" s="578">
        <f t="shared" si="121"/>
        <v>108252</v>
      </c>
      <c r="BR75" s="259">
        <f t="shared" si="122"/>
        <v>288672</v>
      </c>
      <c r="BS75" s="578">
        <f t="shared" si="123"/>
        <v>433008</v>
      </c>
      <c r="BT75" s="216">
        <f t="shared" si="124"/>
        <v>4.8788501026694044</v>
      </c>
      <c r="BU75" s="218">
        <f t="shared" si="5"/>
        <v>34.183224804372124</v>
      </c>
      <c r="BV75" s="216">
        <f t="shared" si="6"/>
        <v>34.183224804372124</v>
      </c>
      <c r="BW75" s="216">
        <f t="shared" si="7"/>
        <v>23.248629386374503</v>
      </c>
      <c r="BX75" s="216">
        <f t="shared" si="125"/>
        <v>23.248629646198182</v>
      </c>
      <c r="BY75" s="216">
        <f t="shared" si="8"/>
        <v>32.772309266565983</v>
      </c>
      <c r="BZ75" s="216">
        <f t="shared" si="9"/>
        <v>29.597749393110046</v>
      </c>
      <c r="CA75" s="264">
        <f t="shared" si="10"/>
        <v>34.183224804372124</v>
      </c>
      <c r="CB75" s="216">
        <f t="shared" si="11"/>
        <v>34.183224804372124</v>
      </c>
      <c r="CC75" s="216">
        <f t="shared" si="12"/>
        <v>23.248629386374503</v>
      </c>
      <c r="CD75" s="216">
        <f t="shared" si="126"/>
        <v>23.248629646198182</v>
      </c>
      <c r="CE75" s="216">
        <f t="shared" si="13"/>
        <v>32.772309266565983</v>
      </c>
      <c r="CF75" s="571">
        <f t="shared" si="14"/>
        <v>29.597749393110046</v>
      </c>
      <c r="CG75" s="573">
        <f t="shared" si="15"/>
        <v>0.155</v>
      </c>
      <c r="CH75" s="219">
        <f t="shared" si="16"/>
        <v>0.155</v>
      </c>
      <c r="CI75" s="219">
        <f t="shared" si="17"/>
        <v>0.11</v>
      </c>
      <c r="CJ75" s="219">
        <f t="shared" si="18"/>
        <v>0.1509425887058049</v>
      </c>
      <c r="CK75" s="219">
        <f t="shared" si="19"/>
        <v>0.1509425887058049</v>
      </c>
      <c r="CL75" s="219">
        <f t="shared" si="20"/>
        <v>0.11</v>
      </c>
      <c r="CM75" s="219">
        <f t="shared" si="21"/>
        <v>0.12873261453112561</v>
      </c>
      <c r="CN75" s="569">
        <f t="shared" si="22"/>
        <v>0.12873261453112561</v>
      </c>
      <c r="CO75" s="264">
        <f t="shared" si="175"/>
        <v>17.408096505019664</v>
      </c>
      <c r="CP75" s="216">
        <f t="shared" si="127"/>
        <v>17.408096505019664</v>
      </c>
      <c r="CQ75" s="216">
        <f t="shared" ca="1" si="192"/>
        <v>17.408096505019664</v>
      </c>
      <c r="CR75" s="216">
        <f t="shared" ca="1" si="193"/>
        <v>17.408096505019664</v>
      </c>
      <c r="CS75" s="1626">
        <f t="shared" ca="1" si="194"/>
        <v>17.408096505019664</v>
      </c>
      <c r="CT75" s="216">
        <f t="shared" si="131"/>
        <v>17.408096505019664</v>
      </c>
      <c r="CU75" s="575">
        <f t="shared" si="23"/>
        <v>0.16500000000000001</v>
      </c>
      <c r="CV75" s="154">
        <f t="shared" si="24"/>
        <v>0.5</v>
      </c>
      <c r="CW75" s="216">
        <f>IF(OR($BQ75,$BS75),SpreadOptPowerMargin,0)*((1+Assumptions!$C$26)^($B75-YEAR(Assumptions!$C$17)))</f>
        <v>1.8727199999999999</v>
      </c>
      <c r="CX75" s="216">
        <f>IF(OR($BQ75,$BS75),SpreadOptPowerMargin,0)*((1+Assumptions!$C$26)^($B75-YEAR(Assumptions!$C$17)))</f>
        <v>1.8727199999999999</v>
      </c>
      <c r="CY75" s="216">
        <f>IF(OR($BQ75,$BS75),SpreadOptPowerMargin,0)*((1+Assumptions!$C$26)^($B75-YEAR(Assumptions!$C$17)))</f>
        <v>1.8727199999999999</v>
      </c>
      <c r="CZ75" s="216">
        <f>IF(OR($BQ75,$BS75),SpreadOptPowerMargin,0)*((1+Assumptions!$C$26)^($B75-YEAR(Assumptions!$C$17)))</f>
        <v>1.8727199999999999</v>
      </c>
      <c r="DA75" s="440">
        <f t="shared" si="25"/>
        <v>1.8727200000000002</v>
      </c>
      <c r="DB75" s="479">
        <f t="shared" si="26"/>
        <v>0.155</v>
      </c>
      <c r="DC75" s="479">
        <f t="shared" si="27"/>
        <v>0.155</v>
      </c>
      <c r="DD75" s="479">
        <f t="shared" si="28"/>
        <v>0.11</v>
      </c>
      <c r="DE75" s="479">
        <f t="shared" si="29"/>
        <v>0.11</v>
      </c>
      <c r="DF75" s="479">
        <f t="shared" si="30"/>
        <v>0.12873261453112561</v>
      </c>
      <c r="DG75" s="574">
        <f t="shared" si="31"/>
        <v>0.12873261453112561</v>
      </c>
      <c r="DH75" s="216">
        <f t="shared" si="32"/>
        <v>15.061426301438786</v>
      </c>
      <c r="DI75" s="216">
        <f t="shared" si="33"/>
        <v>15.061426301438786</v>
      </c>
      <c r="DJ75" s="216">
        <f t="shared" ca="1" si="195"/>
        <v>4.9724114839416051</v>
      </c>
      <c r="DK75" s="216">
        <f t="shared" ca="1" si="196"/>
        <v>4.9724116877688909</v>
      </c>
      <c r="DL75" s="216">
        <f t="shared" ca="1" si="197"/>
        <v>10.60311937464121</v>
      </c>
      <c r="DM75" s="216"/>
      <c r="DN75" s="216"/>
      <c r="DO75" s="216"/>
      <c r="DP75" s="216"/>
      <c r="DQ75" s="216"/>
      <c r="DR75" s="216"/>
      <c r="DS75" s="216"/>
      <c r="DT75" s="216"/>
      <c r="DU75" s="216"/>
      <c r="DV75" s="216"/>
      <c r="DW75" s="1371">
        <f t="shared" si="37"/>
        <v>4.9724114839416051</v>
      </c>
      <c r="DX75" s="216">
        <f t="shared" si="38"/>
        <v>4.9724116877688909</v>
      </c>
      <c r="DY75" s="440">
        <f t="shared" si="39"/>
        <v>10.830549187850139</v>
      </c>
      <c r="DZ75" s="180">
        <f t="shared" si="40"/>
        <v>806449.00988423836</v>
      </c>
      <c r="EA75" s="180">
        <f t="shared" si="41"/>
        <v>140252.00171899798</v>
      </c>
      <c r="EB75" s="180">
        <f t="shared" ca="1" si="198"/>
        <v>46303.095738464224</v>
      </c>
      <c r="EC75" s="180">
        <f t="shared" ca="1" si="199"/>
        <v>179424.50334145266</v>
      </c>
      <c r="ED75" s="180">
        <f t="shared" ca="1" si="200"/>
        <v>1147808.8785436603</v>
      </c>
      <c r="EE75" s="581">
        <f t="shared" si="45"/>
        <v>797934.54998052807</v>
      </c>
      <c r="EF75" s="554">
        <f t="shared" si="46"/>
        <v>138771.2260835701</v>
      </c>
      <c r="EG75" s="554">
        <f t="shared" ca="1" si="201"/>
        <v>36948.273551176251</v>
      </c>
      <c r="EH75" s="554">
        <f t="shared" ca="1" si="202"/>
        <v>143174.56938628561</v>
      </c>
      <c r="EI75" s="561">
        <f t="shared" ca="1" si="49"/>
        <v>1116828.6190015599</v>
      </c>
      <c r="EJ75" s="581">
        <f t="shared" si="132"/>
        <v>8514.4599037102889</v>
      </c>
      <c r="EK75" s="554">
        <f t="shared" si="133"/>
        <v>1480.7756354278827</v>
      </c>
      <c r="EL75" s="554">
        <f t="shared" ca="1" si="203"/>
        <v>9354.8221872879731</v>
      </c>
      <c r="EM75" s="554">
        <f t="shared" ca="1" si="204"/>
        <v>36249.933955167042</v>
      </c>
      <c r="EN75" s="561">
        <f t="shared" ca="1" si="205"/>
        <v>30980.259542100364</v>
      </c>
      <c r="EO75" s="180">
        <f t="shared" si="50"/>
        <v>3225796.0395369534</v>
      </c>
      <c r="EP75" s="180">
        <f t="shared" si="51"/>
        <v>561008.00687599194</v>
      </c>
      <c r="EQ75" s="180">
        <f t="shared" si="52"/>
        <v>185212.3829538569</v>
      </c>
      <c r="ER75" s="180">
        <f t="shared" si="53"/>
        <v>717698.01336581062</v>
      </c>
      <c r="ES75" s="180">
        <f t="shared" si="54"/>
        <v>4689714.4427326126</v>
      </c>
      <c r="ET75" s="1482">
        <f t="shared" ca="1" si="206"/>
        <v>3191738.1999221123</v>
      </c>
      <c r="EU75" s="180">
        <f t="shared" ca="1" si="207"/>
        <v>555084.90433428041</v>
      </c>
      <c r="EV75" s="180">
        <f t="shared" ca="1" si="208"/>
        <v>147793.094204705</v>
      </c>
      <c r="EW75" s="180">
        <f t="shared" ca="1" si="209"/>
        <v>572698.27754514245</v>
      </c>
      <c r="EX75" s="555">
        <f t="shared" ca="1" si="182"/>
        <v>4467314.4760062397</v>
      </c>
      <c r="EY75" s="180">
        <f t="shared" ca="1" si="210"/>
        <v>34057.839614841156</v>
      </c>
      <c r="EZ75" s="180">
        <f t="shared" ca="1" si="211"/>
        <v>5923.1025417115306</v>
      </c>
      <c r="FA75" s="180">
        <f t="shared" ca="1" si="212"/>
        <v>37419.288749151892</v>
      </c>
      <c r="FB75" s="180">
        <f t="shared" ca="1" si="213"/>
        <v>144999.73582066817</v>
      </c>
      <c r="FC75" s="180">
        <f t="shared" ca="1" si="214"/>
        <v>222399.96672637295</v>
      </c>
      <c r="FD75" s="262">
        <f>IF(AX75,IF(VLOOKUP(C75,MAIN!$L$17:$M$28,2)="Yes",VLOOKUP(CALC!B75,MAIN!$H$17:$I$20,2),0),0)</f>
        <v>0</v>
      </c>
      <c r="FE75" s="623">
        <f t="shared" si="60"/>
        <v>0</v>
      </c>
      <c r="FF75" s="535">
        <f t="shared" si="61"/>
        <v>0</v>
      </c>
      <c r="FG75" s="535">
        <f t="shared" si="62"/>
        <v>0</v>
      </c>
      <c r="FH75" s="624">
        <f t="shared" si="63"/>
        <v>0</v>
      </c>
      <c r="FI75" s="632">
        <f>IF(AX75,VLOOKUP(CALC!B75,MAIN!$H$17:$K$20,4),0)</f>
        <v>0</v>
      </c>
      <c r="FJ75" s="535">
        <f t="shared" si="64"/>
        <v>0</v>
      </c>
      <c r="FK75" s="648">
        <f t="shared" si="142"/>
        <v>0</v>
      </c>
      <c r="FL75" s="530">
        <f t="shared" ca="1" si="215"/>
        <v>0</v>
      </c>
      <c r="FM75" s="530">
        <f t="shared" ca="1" si="216"/>
        <v>0</v>
      </c>
      <c r="FN75" s="530">
        <f t="shared" ca="1" si="217"/>
        <v>0</v>
      </c>
      <c r="FO75" s="622">
        <f t="shared" ca="1" si="218"/>
        <v>0</v>
      </c>
      <c r="FP75" s="530">
        <f t="shared" ca="1" si="219"/>
        <v>0</v>
      </c>
      <c r="FQ75" s="530">
        <f t="shared" ca="1" si="220"/>
        <v>0</v>
      </c>
      <c r="FR75" s="530">
        <f t="shared" ca="1" si="221"/>
        <v>0</v>
      </c>
      <c r="FS75" s="625">
        <f t="shared" ca="1" si="222"/>
        <v>0</v>
      </c>
      <c r="FT75" s="640">
        <f ca="1">IF(AND(Assumptions!$H$71="Yes",A75&gt;=Assumptions!$H$72,A75&lt;=Assumptions!$H$73),0,IF(AND($A75&gt;=Assumptions!$C$17,$A75&lt;=Assumptions!$C$18),MAX(AZ75*(1+VLOOKUP($C75,WeatherCapacityAdjustment,2))-FL75,0),0))</f>
        <v>53544</v>
      </c>
      <c r="FU75" s="530">
        <f ca="1">IF(AND(Assumptions!$H$71="Yes",A75&gt;=Assumptions!$H$72,A75&lt;=Assumptions!$H$73),0,IF(AND($A75&gt;=Assumptions!$C$17,$A75&lt;=Assumptions!$C$18),MAX(BA75*(1+VLOOKUP($C75,WeatherCapacityAdjustment,2))-FM75,0),0))</f>
        <v>9312</v>
      </c>
      <c r="FV75" s="530">
        <f ca="1">IF(AND(Assumptions!$H$71="Yes",A75&gt;=Assumptions!$H$72,A75&lt;=Assumptions!$H$73),0,IF(AND($A75&gt;=Assumptions!$C$17,$A75&lt;=Assumptions!$C$18),MAX(BB75*(1+VLOOKUP($C75,WeatherCapacityAdjustment,2))-FN75,0),0))</f>
        <v>9312</v>
      </c>
      <c r="FW75" s="622">
        <f ca="1">IF(AND(Assumptions!$H$71="Yes",A75&gt;=Assumptions!$H$72,A75&lt;=Assumptions!$H$73),0,IF(AND($A75&gt;=Assumptions!$C$17,$A75&lt;=Assumptions!$C$18),MAX(BC75*(1+VLOOKUP($C75,WeatherCapacityAdjustment,3))-FO75,0),0))</f>
        <v>36084</v>
      </c>
      <c r="FX75" s="621">
        <f ca="1">IF(AND(Assumptions!$H$71="Yes",A75&gt;=Assumptions!$H$72,A75&lt;=Assumptions!$H$73),0,IF(ET75&gt;0,MAX(BH75*(1+VLOOKUP($C75,WeatherCapacityAdjustment,2))-FP75,0),0))</f>
        <v>214176</v>
      </c>
      <c r="FY75" s="530">
        <f ca="1">IF(AND(Assumptions!$H$71="Yes",A75&gt;=Assumptions!$H$72,A75&lt;=Assumptions!$H$73),0,IF(EU75&gt;0,MAX(BI75*(1+VLOOKUP($C75,WeatherCapacityAdjustment,3))-FQ75,0),0))</f>
        <v>37248</v>
      </c>
      <c r="FZ75" s="530">
        <f ca="1">IF(AND(Assumptions!$H$71="Yes",A75&gt;=Assumptions!$H$72,A75&lt;=Assumptions!$H$73),0,IF(EV75&gt;0,MAX(BJ75*(1+VLOOKUP($C75,WeatherCapacityAdjustment,2))-FR75,0),0))</f>
        <v>37248</v>
      </c>
      <c r="GA75" s="622">
        <f ca="1">IF(AND(Assumptions!$H$71="Yes",A75&gt;=Assumptions!$H$72,A75&lt;=Assumptions!$H$73),0,IF(EW75&gt;0,MAX(BK75*(1+VLOOKUP($C75,WeatherCapacityAdjustment,2))-FS75,0),0))</f>
        <v>144336</v>
      </c>
      <c r="GB75" s="530">
        <f t="shared" ca="1" si="65"/>
        <v>541260</v>
      </c>
      <c r="GC75" s="545">
        <f t="shared" ca="1" si="66"/>
        <v>29.59774939311005</v>
      </c>
      <c r="GD75" s="530">
        <f t="shared" ca="1" si="223"/>
        <v>16020077.836514747</v>
      </c>
      <c r="GE75" s="1485">
        <f t="shared" ca="1" si="224"/>
        <v>766357.04375999991</v>
      </c>
      <c r="GF75" s="1776">
        <f t="shared" ca="1" si="225"/>
        <v>3065428.1750399997</v>
      </c>
      <c r="GG75" s="545">
        <f t="shared" si="190"/>
        <v>2.4589860277340199</v>
      </c>
      <c r="GH75" s="622">
        <f t="shared" ca="1" si="191"/>
        <v>9422306.3143069427</v>
      </c>
      <c r="GI75" s="621">
        <f t="shared" ca="1" si="152"/>
        <v>541260</v>
      </c>
      <c r="GJ75" s="638">
        <f t="shared" si="68"/>
        <v>1.8727200000000002</v>
      </c>
      <c r="GK75" s="625">
        <f t="shared" ca="1" si="166"/>
        <v>1013628.4272</v>
      </c>
      <c r="GL75" s="640">
        <f t="shared" ca="1" si="226"/>
        <v>0</v>
      </c>
      <c r="GM75" s="530">
        <f t="shared" ca="1" si="227"/>
        <v>0</v>
      </c>
      <c r="GN75" s="530">
        <f t="shared" ca="1" si="228"/>
        <v>0</v>
      </c>
      <c r="GO75" s="622">
        <f t="shared" ca="1" si="229"/>
        <v>0</v>
      </c>
      <c r="GP75" s="530">
        <f t="shared" ca="1" si="73"/>
        <v>0</v>
      </c>
      <c r="GQ75" s="545">
        <f t="shared" ca="1" si="74"/>
        <v>0</v>
      </c>
      <c r="GR75" s="625">
        <f t="shared" ca="1" si="230"/>
        <v>0</v>
      </c>
      <c r="GS75" s="640">
        <f>IF($A75&gt;=BegDate,Assumptions!$C$56*24*($A76-$A75)*(1-VLOOKUP($B75,MAIN!$AA$7:$AM$28,$C75+1))*(1-VLOOKUP($B75,MAIN!$AA$33:$AM$54,$C75+1)),0)*80/168</f>
        <v>257742.85714285713</v>
      </c>
      <c r="GT75" s="1715">
        <f t="shared" si="153"/>
        <v>34.183224931714562</v>
      </c>
      <c r="GU75" s="1715">
        <f>IF($A75&gt;=BegDate,VLOOKUP($A75,GasTable,13)+Assumptions!$C$58,0)</f>
        <v>2.4589860277340199</v>
      </c>
      <c r="GV75" s="1715">
        <f>GU75*Assumptions!$C$57/1000</f>
        <v>17.827648701071645</v>
      </c>
      <c r="GW75" s="625">
        <f>IF(Assumptions!$C$60="Hourly",MAX(0,GS75*(GT75-GV75)),GS75*(GT75-GV75))</f>
        <v>4215532.9479037067</v>
      </c>
      <c r="GX75" s="640">
        <f>IF($A75&gt;=BegDate,Assumptions!$C$56*24*($A76-$A75)*(1-VLOOKUP($B75,MAIN!$AA$7:$AM$28,$C75+1))*(1-VLOOKUP($B75,MAIN!$AA$33:$AM$54,$C75+1)),0)*16/168</f>
        <v>51548.571428571428</v>
      </c>
      <c r="GY75" s="1715">
        <f t="shared" si="154"/>
        <v>34.183224931714562</v>
      </c>
      <c r="GZ75" s="1715">
        <f>IF($A75&gt;=BegDate,VLOOKUP($A75,GasTable,13)+Assumptions!$C$58,0)</f>
        <v>2.4589860277340199</v>
      </c>
      <c r="HA75" s="1715">
        <f>GZ75*Assumptions!$C$57/1000</f>
        <v>17.827648701071645</v>
      </c>
      <c r="HB75" s="625">
        <f>IF(Assumptions!$C$60="Hourly",MAX(0,GX75*(GY75-HA75)),GX75*(GY75-HA75))</f>
        <v>843106.58958074148</v>
      </c>
      <c r="HC75" s="640">
        <f>IF($A75&gt;=BegDate,Assumptions!$C$56*24*($A76-$A75)*(1-VLOOKUP($B75,MAIN!$AA$7:$AM$28,$C75+1))*(1-VLOOKUP($B75,MAIN!$AA$33:$AM$54,$C75+1)),0)*16/168</f>
        <v>51548.571428571428</v>
      </c>
      <c r="HD75" s="1715">
        <f t="shared" si="155"/>
        <v>23.248629472982397</v>
      </c>
      <c r="HE75" s="1715">
        <f>IF($A75&gt;=BegDate,VLOOKUP($A75,GasTable,13)+Assumptions!$C$58,0)</f>
        <v>2.4589860277340199</v>
      </c>
      <c r="HF75" s="1715">
        <f>HE75*Assumptions!$C$57/1000</f>
        <v>17.827648701071645</v>
      </c>
      <c r="HG75" s="625">
        <f>IF(Assumptions!$C$60="Hourly",MAX(0,HC75*(HD75-HF75)),HC75*(HD75-HF75))</f>
        <v>279443.81453375367</v>
      </c>
      <c r="HH75" s="640">
        <f>IF($A75&gt;=BegDate,Assumptions!$C$56*24*($A76-$A75)*(1-VLOOKUP($B75,MAIN!$AA$7:$AM$28,$C75+1))*(1-VLOOKUP($B75,MAIN!$AA$33:$AM$54,$C75+1)),0)*56/168</f>
        <v>180420</v>
      </c>
      <c r="HI75" s="1715">
        <f t="shared" si="156"/>
        <v>23.248629472982397</v>
      </c>
      <c r="HJ75" s="1715">
        <f>IF($A75&gt;=BegDate,VLOOKUP($A75,GasTable,13)+Assumptions!$C$58,0)</f>
        <v>2.4589860277340199</v>
      </c>
      <c r="HK75" s="1715">
        <f>HJ75*Assumptions!$C$57/1000</f>
        <v>17.827648701071645</v>
      </c>
      <c r="HL75" s="625">
        <f>IF(Assumptions!$C$60="Hourly",MAX(0,HH75*(HI75-HK75)),HH75*(HI75-HK75))</f>
        <v>978053.3508681379</v>
      </c>
      <c r="HM75" s="640">
        <f>IF(AND(Assumptions!$H$71="Yes",A75&gt;=Assumptions!$H$72,A75&lt;=Assumptions!$H$73),Assumptions!$H$74*Assumptions!$C$9*1000,0)</f>
        <v>0</v>
      </c>
      <c r="HN75" s="530">
        <f t="shared" ca="1" si="234"/>
        <v>6597771.522207804</v>
      </c>
      <c r="HO75" s="545"/>
      <c r="HP75" s="545"/>
      <c r="HQ75" s="545"/>
      <c r="HR75" s="545"/>
      <c r="HS75" s="545"/>
      <c r="HT75" s="545"/>
      <c r="HU75" s="545"/>
      <c r="HV75" s="545"/>
      <c r="HW75" s="545"/>
      <c r="HX75" s="545"/>
      <c r="HY75" s="545"/>
      <c r="HZ75" s="545"/>
      <c r="IA75" s="545"/>
      <c r="IB75" s="545"/>
      <c r="IC75" s="545"/>
      <c r="ID75" s="545"/>
      <c r="IE75" s="545"/>
      <c r="IF75" s="545"/>
      <c r="IG75" s="545"/>
      <c r="IH75" s="545"/>
      <c r="II75" s="1464"/>
      <c r="IJ75" s="1463"/>
      <c r="IK75" s="1463"/>
    </row>
    <row r="76" spans="1:245">
      <c r="A76" s="177">
        <f t="shared" si="87"/>
        <v>38443</v>
      </c>
      <c r="B76" s="349">
        <f t="shared" si="88"/>
        <v>2005</v>
      </c>
      <c r="C76" s="15">
        <f t="shared" si="89"/>
        <v>4</v>
      </c>
      <c r="D76" s="612" t="str">
        <f t="shared" si="90"/>
        <v/>
      </c>
      <c r="E76" s="609">
        <f t="shared" si="91"/>
        <v>38443</v>
      </c>
      <c r="F76" s="614">
        <f t="shared" si="2"/>
        <v>38472</v>
      </c>
      <c r="G76" s="1349">
        <v>0</v>
      </c>
      <c r="H76" s="152">
        <f t="shared" si="165"/>
        <v>1</v>
      </c>
      <c r="I76" s="154">
        <f>IF(Assumptions!$L$25=4,VLOOKUP($A76,'Henwood Reference'!$E$9:$R$320,10),(VLOOKUP($A76,PriceTable,2,0)+IF(BasisNumber&lt;&gt;1,VLOOKUP($A76,BasisTable,2,0),0)+I$1)/(1-I$2))</f>
        <v>31.57571729879712</v>
      </c>
      <c r="J76" s="154">
        <f>IF(Assumptions!$L$25=4,VLOOKUP($A76,'Henwood Reference'!$E$9:$R$320,10),(VLOOKUP($A76,PriceTable,3,0)+IF(BasisNumber&lt;&gt;1,VLOOKUP($A76,BasisTable,2,0),0)+J$1)/(1-J$2))</f>
        <v>31.57571729879712</v>
      </c>
      <c r="K76" s="154">
        <f>IF(Assumptions!$L$25=4,VLOOKUP($A76,'Henwood Reference'!$E$9:$R$320,10),(VLOOKUP($A76,PriceTable,4,0)+IF(BasisNumber&lt;&gt;1,VLOOKUP($A76,BasisTable,2,0),0)+K$1)/(1-K$2))</f>
        <v>31.57571729879712</v>
      </c>
      <c r="L76" s="474">
        <f>IF(Assumptions!$L$25=4,VLOOKUP($A76,'Henwood Reference'!$E$9:$R$320,10),(VLOOKUP($A76,PriceTableWeekend,2,0)+IF(BasisNumber&lt;&gt;1,VLOOKUP($A76,BasisTable,2,0),0)+L$1)/(1-L$2))</f>
        <v>31.57571729879712</v>
      </c>
      <c r="M76" s="154">
        <f>IF(Assumptions!$L$25=4,VLOOKUP($A76,'Henwood Reference'!$E$9:$R$320,10),(VLOOKUP($A76,PriceTableWeekend,3,0)+IF(BasisNumber&lt;&gt;1,VLOOKUP($A76,BasisTable,2,0),0)+M$1)/(1-M$2))</f>
        <v>31.57571729879712</v>
      </c>
      <c r="N76" s="156">
        <f>IF(Assumptions!$L$25=4,VLOOKUP($A76,'Henwood Reference'!$E$9:$R$320,10),(VLOOKUP($A76,PriceTableWeekend,4,0)+IF(BasisNumber&lt;&gt;1,VLOOKUP($A76,BasisTable,2,0),0)+N$1)/(1-N$2))</f>
        <v>31.57571729879712</v>
      </c>
      <c r="O76" s="154">
        <f>IF(Assumptions!$L$25=4,VLOOKUP($A76,'Henwood Reference'!$E$9:$R$320,11),(VLOOKUP($A76,PriceTableWeekend,6,0)+IF(BasisNumber&lt;&gt;1,VLOOKUP($A76,BasisTable,3,0),0)+O$1)/(1-O$2))</f>
        <v>22.033146916739518</v>
      </c>
      <c r="P76" s="154">
        <f>IF(Assumptions!$L$25=4,VLOOKUP($A76,'Henwood Reference'!$E$9:$R$320,11),(VLOOKUP($A76,PriceTableWeekend,7,0)+IF(BasisNumber&lt;&gt;1,VLOOKUP($A76,BasisTable,3,0),0)+P$1)/(1-P$2))</f>
        <v>22.033146916739518</v>
      </c>
      <c r="Q76" s="156">
        <f>IF(Assumptions!$L$25=4,VLOOKUP($A76,'Henwood Reference'!$E$9:$R$320,11),(VLOOKUP($A76,PriceTableWeekend,8,0)+IF(BasisNumber&lt;&gt;1,VLOOKUP($A76,BasisTable,3,0),0)+Q$1)/(1-Q$2))</f>
        <v>22.033146916739518</v>
      </c>
      <c r="R76" s="154">
        <f>IF(Assumptions!$L$25=4,VLOOKUP($A76,'Henwood Reference'!$E$9:$R$320,11),(VLOOKUP($A76,PriceTable,6,0)+IF(BasisNumber&lt;&gt;1,VLOOKUP($A76,BasisTable,3,0),0)+R$1)/(1-R$2))</f>
        <v>22.033146916739518</v>
      </c>
      <c r="S76" s="154">
        <f>IF(Assumptions!$L$25=4,VLOOKUP($A76,'Henwood Reference'!$E$9:$R$320,11),(VLOOKUP($A76,PriceTable,7,0)+IF(BasisNumber&lt;&gt;1,VLOOKUP($A76,BasisTable,3,0),0)+S$1)/(1-S$2))</f>
        <v>22.033146916739518</v>
      </c>
      <c r="T76" s="155">
        <f>IF(Assumptions!$L$25=4,VLOOKUP($A76,'Henwood Reference'!$E$9:$R$320,11),(VLOOKUP($A76,PriceTable,8,0)+IF(BasisNumber&lt;&gt;1,VLOOKUP($A76,BasisTable,3,0),0)+T$1)/(1-T$2))</f>
        <v>22.033146916739518</v>
      </c>
      <c r="U76" s="173">
        <f t="shared" si="92"/>
        <v>0.14499999999999999</v>
      </c>
      <c r="V76" s="173">
        <f t="shared" si="93"/>
        <v>0.155</v>
      </c>
      <c r="W76" s="174">
        <f t="shared" si="94"/>
        <v>0.16500000000000001</v>
      </c>
      <c r="X76" s="173">
        <f t="shared" si="95"/>
        <v>0.14499999999999999</v>
      </c>
      <c r="Y76" s="173">
        <f t="shared" si="96"/>
        <v>0.155</v>
      </c>
      <c r="Z76" s="174">
        <f t="shared" si="97"/>
        <v>0.16500000000000001</v>
      </c>
      <c r="AA76" s="173">
        <f t="shared" si="98"/>
        <v>0.09</v>
      </c>
      <c r="AB76" s="173">
        <f t="shared" si="99"/>
        <v>0.11</v>
      </c>
      <c r="AC76" s="174">
        <f t="shared" si="100"/>
        <v>0.13</v>
      </c>
      <c r="AD76" s="173">
        <f t="shared" si="101"/>
        <v>0.09</v>
      </c>
      <c r="AE76" s="173">
        <f t="shared" si="102"/>
        <v>0.11</v>
      </c>
      <c r="AF76" s="174">
        <f t="shared" si="103"/>
        <v>0.13</v>
      </c>
      <c r="AG76" s="173">
        <f t="shared" si="104"/>
        <v>-0.1</v>
      </c>
      <c r="AH76" s="173">
        <f t="shared" si="105"/>
        <v>0.65</v>
      </c>
      <c r="AI76" s="174">
        <f t="shared" si="106"/>
        <v>0.1</v>
      </c>
      <c r="AJ76" s="173">
        <f t="shared" si="107"/>
        <v>-0.1</v>
      </c>
      <c r="AK76" s="173">
        <f t="shared" si="108"/>
        <v>0.65</v>
      </c>
      <c r="AL76" s="174">
        <f t="shared" si="109"/>
        <v>0.1</v>
      </c>
      <c r="AM76" s="173">
        <f t="shared" si="110"/>
        <v>-0.01</v>
      </c>
      <c r="AN76" s="173">
        <f t="shared" si="111"/>
        <v>0.16</v>
      </c>
      <c r="AO76" s="174">
        <f t="shared" si="112"/>
        <v>0.01</v>
      </c>
      <c r="AP76" s="173">
        <f t="shared" si="113"/>
        <v>-0.01</v>
      </c>
      <c r="AQ76" s="173">
        <f t="shared" si="114"/>
        <v>0.16</v>
      </c>
      <c r="AR76" s="175">
        <f t="shared" si="115"/>
        <v>0.01</v>
      </c>
      <c r="AS76" s="521">
        <f t="shared" si="231"/>
        <v>0.5</v>
      </c>
      <c r="AT76" s="349">
        <f t="shared" si="117"/>
        <v>21</v>
      </c>
      <c r="AU76" s="159">
        <f t="shared" si="3"/>
        <v>5</v>
      </c>
      <c r="AV76" s="159">
        <f t="shared" si="4"/>
        <v>4</v>
      </c>
      <c r="AW76" s="159">
        <f t="shared" si="232"/>
        <v>0</v>
      </c>
      <c r="AX76" s="15">
        <f t="shared" si="119"/>
        <v>30</v>
      </c>
      <c r="AY76" s="607">
        <f>IF(E76="",0,MIN((1-(1-VLOOKUP(B76,MAIN!$AA$7:$AM$28,C76+1))*(1-VLOOKUP(B76,MAIN!$AA$33:$AM$54,C76+1))),1))</f>
        <v>0.127</v>
      </c>
      <c r="AZ76" s="337">
        <v>43999.199999999997</v>
      </c>
      <c r="BA76" s="509">
        <v>10476</v>
      </c>
      <c r="BB76" s="509">
        <v>8380.7999999999993</v>
      </c>
      <c r="BC76" s="511">
        <v>31428</v>
      </c>
      <c r="BD76" s="153">
        <v>0.873</v>
      </c>
      <c r="BE76" s="474">
        <v>0.873</v>
      </c>
      <c r="BF76" s="474">
        <v>0.873</v>
      </c>
      <c r="BG76" s="515">
        <v>0.87300000650435683</v>
      </c>
      <c r="BH76" s="262">
        <v>175996.79999999999</v>
      </c>
      <c r="BI76" s="509">
        <v>41904</v>
      </c>
      <c r="BJ76" s="509">
        <v>33523.199999999997</v>
      </c>
      <c r="BK76" s="511">
        <v>125712</v>
      </c>
      <c r="BL76" s="153">
        <v>0.873</v>
      </c>
      <c r="BM76" s="474">
        <v>0.873</v>
      </c>
      <c r="BN76" s="474">
        <v>0.873</v>
      </c>
      <c r="BO76" s="474">
        <v>0.87300000650435683</v>
      </c>
      <c r="BP76" s="261">
        <f t="shared" si="120"/>
        <v>62856</v>
      </c>
      <c r="BQ76" s="578">
        <f t="shared" si="121"/>
        <v>94284</v>
      </c>
      <c r="BR76" s="259">
        <f t="shared" si="122"/>
        <v>251424</v>
      </c>
      <c r="BS76" s="578">
        <f t="shared" si="123"/>
        <v>377136</v>
      </c>
      <c r="BT76" s="216">
        <f t="shared" si="124"/>
        <v>4.9637234770704994</v>
      </c>
      <c r="BU76" s="218">
        <f t="shared" si="5"/>
        <v>31.575717298797123</v>
      </c>
      <c r="BV76" s="216">
        <f t="shared" si="6"/>
        <v>31.575717298797123</v>
      </c>
      <c r="BW76" s="216">
        <f t="shared" si="7"/>
        <v>22.033146916739518</v>
      </c>
      <c r="BX76" s="216">
        <f t="shared" si="125"/>
        <v>22.033147080899255</v>
      </c>
      <c r="BY76" s="216">
        <f t="shared" si="8"/>
        <v>30.303374581189438</v>
      </c>
      <c r="BZ76" s="216">
        <f t="shared" si="9"/>
        <v>27.546632081092714</v>
      </c>
      <c r="CA76" s="264">
        <f t="shared" si="10"/>
        <v>31.575717298797123</v>
      </c>
      <c r="CB76" s="216">
        <f t="shared" si="11"/>
        <v>31.575717298797123</v>
      </c>
      <c r="CC76" s="216">
        <f t="shared" si="12"/>
        <v>22.033146916739518</v>
      </c>
      <c r="CD76" s="216">
        <f t="shared" si="126"/>
        <v>22.033147080899255</v>
      </c>
      <c r="CE76" s="216">
        <f t="shared" si="13"/>
        <v>30.303374581189438</v>
      </c>
      <c r="CF76" s="571">
        <f t="shared" si="14"/>
        <v>27.546632081092714</v>
      </c>
      <c r="CG76" s="573">
        <f t="shared" si="15"/>
        <v>0.155</v>
      </c>
      <c r="CH76" s="219">
        <f t="shared" si="16"/>
        <v>0.155</v>
      </c>
      <c r="CI76" s="219">
        <f t="shared" si="17"/>
        <v>0.11</v>
      </c>
      <c r="CJ76" s="219">
        <f t="shared" si="18"/>
        <v>0.15070345703141938</v>
      </c>
      <c r="CK76" s="219">
        <f t="shared" si="19"/>
        <v>0.15070345703141938</v>
      </c>
      <c r="CL76" s="219">
        <f t="shared" si="20"/>
        <v>0.11</v>
      </c>
      <c r="CM76" s="219">
        <f t="shared" si="21"/>
        <v>0.12820663628231979</v>
      </c>
      <c r="CN76" s="569">
        <f t="shared" si="22"/>
        <v>0.12820663628231979</v>
      </c>
      <c r="CO76" s="264">
        <f t="shared" si="175"/>
        <v>16.864485473900814</v>
      </c>
      <c r="CP76" s="216">
        <f t="shared" si="127"/>
        <v>16.864485473900814</v>
      </c>
      <c r="CQ76" s="216">
        <f t="shared" ca="1" si="192"/>
        <v>16.864485473900814</v>
      </c>
      <c r="CR76" s="216">
        <f t="shared" ca="1" si="193"/>
        <v>16.864485473900814</v>
      </c>
      <c r="CS76" s="1626">
        <f t="shared" ca="1" si="194"/>
        <v>16.864485473900814</v>
      </c>
      <c r="CT76" s="216">
        <f t="shared" si="131"/>
        <v>16.864485473900814</v>
      </c>
      <c r="CU76" s="575">
        <f t="shared" si="23"/>
        <v>0.16500000000000001</v>
      </c>
      <c r="CV76" s="154">
        <f t="shared" si="24"/>
        <v>0.5</v>
      </c>
      <c r="CW76" s="216">
        <f>IF(OR($BQ76,$BS76),SpreadOptPowerMargin,0)*((1+Assumptions!$C$26)^($B76-YEAR(Assumptions!$C$17)))</f>
        <v>1.8727199999999999</v>
      </c>
      <c r="CX76" s="216">
        <f>IF(OR($BQ76,$BS76),SpreadOptPowerMargin,0)*((1+Assumptions!$C$26)^($B76-YEAR(Assumptions!$C$17)))</f>
        <v>1.8727199999999999</v>
      </c>
      <c r="CY76" s="216">
        <f>IF(OR($BQ76,$BS76),SpreadOptPowerMargin,0)*((1+Assumptions!$C$26)^($B76-YEAR(Assumptions!$C$17)))</f>
        <v>1.8727199999999999</v>
      </c>
      <c r="CZ76" s="216">
        <f>IF(OR($BQ76,$BS76),SpreadOptPowerMargin,0)*((1+Assumptions!$C$26)^($B76-YEAR(Assumptions!$C$17)))</f>
        <v>1.8727199999999999</v>
      </c>
      <c r="DA76" s="440">
        <f t="shared" si="25"/>
        <v>1.8727200000000002</v>
      </c>
      <c r="DB76" s="479">
        <f t="shared" si="26"/>
        <v>0.155</v>
      </c>
      <c r="DC76" s="479">
        <f t="shared" si="27"/>
        <v>0.155</v>
      </c>
      <c r="DD76" s="479">
        <f t="shared" si="28"/>
        <v>0.11</v>
      </c>
      <c r="DE76" s="479">
        <f t="shared" si="29"/>
        <v>0.11</v>
      </c>
      <c r="DF76" s="479">
        <f t="shared" si="30"/>
        <v>0.12820663628231979</v>
      </c>
      <c r="DG76" s="574">
        <f t="shared" si="31"/>
        <v>0.12820663628231979</v>
      </c>
      <c r="DH76" s="216">
        <f t="shared" si="32"/>
        <v>13.060470838532963</v>
      </c>
      <c r="DI76" s="216">
        <f t="shared" si="33"/>
        <v>13.060470838532963</v>
      </c>
      <c r="DJ76" s="216">
        <f t="shared" ca="1" si="195"/>
        <v>4.4128739953269998</v>
      </c>
      <c r="DK76" s="216">
        <f t="shared" ca="1" si="196"/>
        <v>4.4128741198257506</v>
      </c>
      <c r="DL76" s="216">
        <f t="shared" ca="1" si="197"/>
        <v>9.1811943632241793</v>
      </c>
      <c r="DM76" s="216"/>
      <c r="DN76" s="216"/>
      <c r="DO76" s="216"/>
      <c r="DP76" s="216"/>
      <c r="DQ76" s="216"/>
      <c r="DR76" s="216"/>
      <c r="DS76" s="216"/>
      <c r="DT76" s="216"/>
      <c r="DU76" s="216"/>
      <c r="DV76" s="216"/>
      <c r="DW76" s="1371">
        <f t="shared" si="37"/>
        <v>4.4128739953269998</v>
      </c>
      <c r="DX76" s="216">
        <f t="shared" si="38"/>
        <v>4.4128741198257506</v>
      </c>
      <c r="DY76" s="440">
        <f t="shared" si="39"/>
        <v>9.409263324012251</v>
      </c>
      <c r="DZ76" s="180">
        <f t="shared" si="40"/>
        <v>574650.26851877954</v>
      </c>
      <c r="EA76" s="180">
        <f t="shared" si="41"/>
        <v>136821.49250447133</v>
      </c>
      <c r="EB76" s="180">
        <f t="shared" ca="1" si="198"/>
        <v>36983.414380036513</v>
      </c>
      <c r="EC76" s="180">
        <f t="shared" ca="1" si="199"/>
        <v>138687.80783788368</v>
      </c>
      <c r="ED76" s="180">
        <f t="shared" ca="1" si="200"/>
        <v>865639.7293422285</v>
      </c>
      <c r="EE76" s="581">
        <f t="shared" si="45"/>
        <v>564884.24948597758</v>
      </c>
      <c r="EF76" s="554">
        <f t="shared" si="46"/>
        <v>134496.24987761374</v>
      </c>
      <c r="EG76" s="554">
        <f t="shared" ca="1" si="201"/>
        <v>27622.626044142602</v>
      </c>
      <c r="EH76" s="554">
        <f t="shared" ca="1" si="202"/>
        <v>103584.85282474697</v>
      </c>
      <c r="EI76" s="561">
        <f t="shared" ca="1" si="49"/>
        <v>830587.97823248093</v>
      </c>
      <c r="EJ76" s="581">
        <f t="shared" si="132"/>
        <v>9766.0190328019671</v>
      </c>
      <c r="EK76" s="554">
        <f t="shared" si="133"/>
        <v>2325.2426268575946</v>
      </c>
      <c r="EL76" s="554">
        <f t="shared" ca="1" si="203"/>
        <v>9360.7883358939107</v>
      </c>
      <c r="EM76" s="554">
        <f t="shared" ca="1" si="204"/>
        <v>35102.955013136714</v>
      </c>
      <c r="EN76" s="561">
        <f t="shared" ca="1" si="205"/>
        <v>35051.751109747565</v>
      </c>
      <c r="EO76" s="180">
        <f t="shared" si="50"/>
        <v>2298601.0740751182</v>
      </c>
      <c r="EP76" s="180">
        <f t="shared" si="51"/>
        <v>547285.97001788532</v>
      </c>
      <c r="EQ76" s="180">
        <f t="shared" si="52"/>
        <v>147933.65752014605</v>
      </c>
      <c r="ER76" s="180">
        <f t="shared" si="53"/>
        <v>554751.23135153472</v>
      </c>
      <c r="ES76" s="180">
        <f t="shared" si="54"/>
        <v>3548571.9329646844</v>
      </c>
      <c r="ET76" s="1482">
        <f t="shared" ca="1" si="206"/>
        <v>2259536.9979439103</v>
      </c>
      <c r="EU76" s="180">
        <f t="shared" ca="1" si="207"/>
        <v>537984.99951045495</v>
      </c>
      <c r="EV76" s="180">
        <f t="shared" ca="1" si="208"/>
        <v>110490.50417657041</v>
      </c>
      <c r="EW76" s="180">
        <f t="shared" ca="1" si="209"/>
        <v>414339.41129898786</v>
      </c>
      <c r="EX76" s="555">
        <f t="shared" ca="1" si="182"/>
        <v>3322351.9129299237</v>
      </c>
      <c r="EY76" s="180">
        <f t="shared" ca="1" si="210"/>
        <v>39064.076131207868</v>
      </c>
      <c r="EZ76" s="180">
        <f t="shared" ca="1" si="211"/>
        <v>9300.9705074303783</v>
      </c>
      <c r="FA76" s="180">
        <f t="shared" ca="1" si="212"/>
        <v>37443.153343575643</v>
      </c>
      <c r="FB76" s="180">
        <f t="shared" ca="1" si="213"/>
        <v>140411.82005254686</v>
      </c>
      <c r="FC76" s="180">
        <f t="shared" ca="1" si="214"/>
        <v>226220.0200347607</v>
      </c>
      <c r="FD76" s="262">
        <f>IF(AX76,IF(VLOOKUP(C76,MAIN!$L$17:$M$28,2)="Yes",VLOOKUP(CALC!B76,MAIN!$H$17:$I$20,2),0),0)</f>
        <v>0</v>
      </c>
      <c r="FE76" s="623">
        <f t="shared" si="60"/>
        <v>0</v>
      </c>
      <c r="FF76" s="535">
        <f t="shared" si="61"/>
        <v>0</v>
      </c>
      <c r="FG76" s="535">
        <f t="shared" si="62"/>
        <v>0</v>
      </c>
      <c r="FH76" s="624">
        <f t="shared" si="63"/>
        <v>0</v>
      </c>
      <c r="FI76" s="632">
        <f>IF(AX76,VLOOKUP(CALC!B76,MAIN!$H$17:$K$20,4),0)</f>
        <v>0</v>
      </c>
      <c r="FJ76" s="535">
        <f t="shared" si="64"/>
        <v>0</v>
      </c>
      <c r="FK76" s="648">
        <f t="shared" si="142"/>
        <v>0</v>
      </c>
      <c r="FL76" s="530">
        <f t="shared" ca="1" si="215"/>
        <v>0</v>
      </c>
      <c r="FM76" s="530">
        <f t="shared" ca="1" si="216"/>
        <v>0</v>
      </c>
      <c r="FN76" s="530">
        <f t="shared" ca="1" si="217"/>
        <v>0</v>
      </c>
      <c r="FO76" s="622">
        <f t="shared" ca="1" si="218"/>
        <v>0</v>
      </c>
      <c r="FP76" s="530">
        <f t="shared" ca="1" si="219"/>
        <v>0</v>
      </c>
      <c r="FQ76" s="530">
        <f t="shared" ca="1" si="220"/>
        <v>0</v>
      </c>
      <c r="FR76" s="530">
        <f t="shared" ca="1" si="221"/>
        <v>0</v>
      </c>
      <c r="FS76" s="625">
        <f t="shared" ca="1" si="222"/>
        <v>0</v>
      </c>
      <c r="FT76" s="640">
        <f ca="1">IF(AND(Assumptions!$H$71="Yes",A76&gt;=Assumptions!$H$72,A76&lt;=Assumptions!$H$73),0,IF(AND($A76&gt;=Assumptions!$C$17,$A76&lt;=Assumptions!$C$18),MAX(AZ76*(1+VLOOKUP($C76,WeatherCapacityAdjustment,2))-FL76,0),0))</f>
        <v>43999.199999999997</v>
      </c>
      <c r="FU76" s="530">
        <f ca="1">IF(AND(Assumptions!$H$71="Yes",A76&gt;=Assumptions!$H$72,A76&lt;=Assumptions!$H$73),0,IF(AND($A76&gt;=Assumptions!$C$17,$A76&lt;=Assumptions!$C$18),MAX(BA76*(1+VLOOKUP($C76,WeatherCapacityAdjustment,2))-FM76,0),0))</f>
        <v>10476</v>
      </c>
      <c r="FV76" s="530">
        <f ca="1">IF(AND(Assumptions!$H$71="Yes",A76&gt;=Assumptions!$H$72,A76&lt;=Assumptions!$H$73),0,IF(AND($A76&gt;=Assumptions!$C$17,$A76&lt;=Assumptions!$C$18),MAX(BB76*(1+VLOOKUP($C76,WeatherCapacityAdjustment,2))-FN76,0),0))</f>
        <v>8380.7999999999993</v>
      </c>
      <c r="FW76" s="622">
        <f ca="1">IF(AND(Assumptions!$H$71="Yes",A76&gt;=Assumptions!$H$72,A76&lt;=Assumptions!$H$73),0,IF(AND($A76&gt;=Assumptions!$C$17,$A76&lt;=Assumptions!$C$18),MAX(BC76*(1+VLOOKUP($C76,WeatherCapacityAdjustment,3))-FO76,0),0))</f>
        <v>31428</v>
      </c>
      <c r="FX76" s="621">
        <f ca="1">IF(AND(Assumptions!$H$71="Yes",A76&gt;=Assumptions!$H$72,A76&lt;=Assumptions!$H$73),0,IF(ET76&gt;0,MAX(BH76*(1+VLOOKUP($C76,WeatherCapacityAdjustment,2))-FP76,0),0))</f>
        <v>175996.79999999999</v>
      </c>
      <c r="FY76" s="530">
        <f ca="1">IF(AND(Assumptions!$H$71="Yes",A76&gt;=Assumptions!$H$72,A76&lt;=Assumptions!$H$73),0,IF(EU76&gt;0,MAX(BI76*(1+VLOOKUP($C76,WeatherCapacityAdjustment,3))-FQ76,0),0))</f>
        <v>41904</v>
      </c>
      <c r="FZ76" s="530">
        <f ca="1">IF(AND(Assumptions!$H$71="Yes",A76&gt;=Assumptions!$H$72,A76&lt;=Assumptions!$H$73),0,IF(EV76&gt;0,MAX(BJ76*(1+VLOOKUP($C76,WeatherCapacityAdjustment,2))-FR76,0),0))</f>
        <v>33523.199999999997</v>
      </c>
      <c r="GA76" s="622">
        <f ca="1">IF(AND(Assumptions!$H$71="Yes",A76&gt;=Assumptions!$H$72,A76&lt;=Assumptions!$H$73),0,IF(EW76&gt;0,MAX(BK76*(1+VLOOKUP($C76,WeatherCapacityAdjustment,2))-FS76,0),0))</f>
        <v>125712</v>
      </c>
      <c r="GB76" s="530">
        <f t="shared" ca="1" si="65"/>
        <v>471420</v>
      </c>
      <c r="GC76" s="545">
        <f t="shared" ca="1" si="66"/>
        <v>27.546632081092714</v>
      </c>
      <c r="GD76" s="530">
        <f t="shared" ca="1" si="223"/>
        <v>12986033.295668729</v>
      </c>
      <c r="GE76" s="1485">
        <f t="shared" ca="1" si="224"/>
        <v>667749.45888000005</v>
      </c>
      <c r="GF76" s="1776">
        <f t="shared" ca="1" si="225"/>
        <v>2670997.8355200002</v>
      </c>
      <c r="GG76" s="545">
        <f t="shared" si="190"/>
        <v>2.381209190477247</v>
      </c>
      <c r="GH76" s="622">
        <f t="shared" ca="1" si="191"/>
        <v>7950255.7421063231</v>
      </c>
      <c r="GI76" s="621">
        <f t="shared" ca="1" si="152"/>
        <v>471420</v>
      </c>
      <c r="GJ76" s="638">
        <f t="shared" si="68"/>
        <v>1.8727200000000002</v>
      </c>
      <c r="GK76" s="625">
        <f t="shared" ca="1" si="166"/>
        <v>882837.66240000003</v>
      </c>
      <c r="GL76" s="640">
        <f t="shared" ca="1" si="226"/>
        <v>0</v>
      </c>
      <c r="GM76" s="530">
        <f t="shared" ca="1" si="227"/>
        <v>0</v>
      </c>
      <c r="GN76" s="530">
        <f t="shared" ca="1" si="228"/>
        <v>0</v>
      </c>
      <c r="GO76" s="622">
        <f t="shared" ca="1" si="229"/>
        <v>0</v>
      </c>
      <c r="GP76" s="530">
        <f t="shared" ca="1" si="73"/>
        <v>0</v>
      </c>
      <c r="GQ76" s="545">
        <f t="shared" ca="1" si="74"/>
        <v>0</v>
      </c>
      <c r="GR76" s="625">
        <f t="shared" ca="1" si="230"/>
        <v>0</v>
      </c>
      <c r="GS76" s="640">
        <f>IF($A76&gt;=BegDate,Assumptions!$C$56*24*($A77-$A76)*(1-VLOOKUP($B76,MAIN!$AA$7:$AM$28,$C76+1))*(1-VLOOKUP($B76,MAIN!$AA$33:$AM$54,$C76+1)),0)*80/168</f>
        <v>224485.71428571429</v>
      </c>
      <c r="GT76" s="1715">
        <f t="shared" si="153"/>
        <v>31.57571729879712</v>
      </c>
      <c r="GU76" s="1715">
        <f>IF($A76&gt;=BegDate,VLOOKUP($A76,GasTable,13)+Assumptions!$C$58,0)</f>
        <v>2.381209190477247</v>
      </c>
      <c r="GV76" s="1715">
        <f>GU76*Assumptions!$C$57/1000</f>
        <v>17.263766630960038</v>
      </c>
      <c r="GW76" s="625">
        <f>IF(Assumptions!$C$60="Hourly",MAX(0,GS76*(GT76-GV76)),GS76*(GT76-GV76))</f>
        <v>3212828.468491313</v>
      </c>
      <c r="GX76" s="640">
        <f>IF($A76&gt;=BegDate,Assumptions!$C$56*24*($A77-$A76)*(1-VLOOKUP($B76,MAIN!$AA$7:$AM$28,$C76+1))*(1-VLOOKUP($B76,MAIN!$AA$33:$AM$54,$C76+1)),0)*16/168</f>
        <v>44897.142857142855</v>
      </c>
      <c r="GY76" s="1715">
        <f t="shared" si="154"/>
        <v>31.57571729879712</v>
      </c>
      <c r="GZ76" s="1715">
        <f>IF($A76&gt;=BegDate,VLOOKUP($A76,GasTable,13)+Assumptions!$C$58,0)</f>
        <v>2.381209190477247</v>
      </c>
      <c r="HA76" s="1715">
        <f>GZ76*Assumptions!$C$57/1000</f>
        <v>17.263766630960038</v>
      </c>
      <c r="HB76" s="625">
        <f>IF(Assumptions!$C$60="Hourly",MAX(0,GX76*(GY76-HA76)),GX76*(GY76-HA76))</f>
        <v>642565.69369826256</v>
      </c>
      <c r="HC76" s="640">
        <f>IF($A76&gt;=BegDate,Assumptions!$C$56*24*($A77-$A76)*(1-VLOOKUP($B76,MAIN!$AA$7:$AM$28,$C76+1))*(1-VLOOKUP($B76,MAIN!$AA$33:$AM$54,$C76+1)),0)*16/168</f>
        <v>44897.142857142855</v>
      </c>
      <c r="HD76" s="1715">
        <f t="shared" si="155"/>
        <v>22.033146916739518</v>
      </c>
      <c r="HE76" s="1715">
        <f>IF($A76&gt;=BegDate,VLOOKUP($A76,GasTable,13)+Assumptions!$C$58,0)</f>
        <v>2.381209190477247</v>
      </c>
      <c r="HF76" s="1715">
        <f>HE76*Assumptions!$C$57/1000</f>
        <v>17.263766630960038</v>
      </c>
      <c r="HG76" s="625">
        <f>IF(Assumptions!$C$60="Hourly",MAX(0,HC76*(HD76-HF76)),HC76*(HD76-HF76))</f>
        <v>214131.54803068214</v>
      </c>
      <c r="HH76" s="640">
        <f>IF($A76&gt;=BegDate,Assumptions!$C$56*24*($A77-$A76)*(1-VLOOKUP($B76,MAIN!$AA$7:$AM$28,$C76+1))*(1-VLOOKUP($B76,MAIN!$AA$33:$AM$54,$C76+1)),0)*56/168</f>
        <v>157140</v>
      </c>
      <c r="HI76" s="1715">
        <f t="shared" si="156"/>
        <v>22.033146916739518</v>
      </c>
      <c r="HJ76" s="1715">
        <f>IF($A76&gt;=BegDate,VLOOKUP($A76,GasTable,13)+Assumptions!$C$58,0)</f>
        <v>2.381209190477247</v>
      </c>
      <c r="HK76" s="1715">
        <f>HJ76*Assumptions!$C$57/1000</f>
        <v>17.263766630960038</v>
      </c>
      <c r="HL76" s="625">
        <f>IF(Assumptions!$C$60="Hourly",MAX(0,HH76*(HI76-HK76)),HH76*(HI76-HK76))</f>
        <v>749460.41810738749</v>
      </c>
      <c r="HM76" s="640">
        <f>IF(AND(Assumptions!$H$71="Yes",A76&gt;=Assumptions!$H$72,A76&lt;=Assumptions!$H$73),Assumptions!$H$74*Assumptions!$C$9*1000,0)</f>
        <v>0</v>
      </c>
      <c r="HN76" s="530">
        <f t="shared" ca="1" si="234"/>
        <v>5035777.5535624055</v>
      </c>
      <c r="HO76" s="545"/>
      <c r="HP76" s="545"/>
      <c r="HQ76" s="545"/>
      <c r="HR76" s="545"/>
      <c r="HS76" s="545"/>
      <c r="HT76" s="545"/>
      <c r="HU76" s="545"/>
      <c r="HV76" s="545"/>
      <c r="HW76" s="545"/>
      <c r="HX76" s="545"/>
      <c r="HY76" s="545"/>
      <c r="HZ76" s="545"/>
      <c r="IA76" s="545"/>
      <c r="IB76" s="545"/>
      <c r="IC76" s="545"/>
      <c r="ID76" s="545"/>
      <c r="IE76" s="545"/>
      <c r="IF76" s="545"/>
      <c r="IG76" s="545"/>
      <c r="IH76" s="545"/>
      <c r="II76" s="1464"/>
      <c r="IJ76" s="1463"/>
      <c r="IK76" s="1463"/>
    </row>
    <row r="77" spans="1:245">
      <c r="A77" s="177">
        <f t="shared" si="87"/>
        <v>38473</v>
      </c>
      <c r="B77" s="349">
        <f t="shared" si="88"/>
        <v>2005</v>
      </c>
      <c r="C77" s="15">
        <f t="shared" si="89"/>
        <v>5</v>
      </c>
      <c r="D77" s="612">
        <f t="shared" si="90"/>
        <v>38502</v>
      </c>
      <c r="E77" s="609">
        <f t="shared" si="91"/>
        <v>38473</v>
      </c>
      <c r="F77" s="614">
        <f t="shared" si="2"/>
        <v>38503</v>
      </c>
      <c r="G77" s="1349">
        <v>0</v>
      </c>
      <c r="H77" s="152">
        <f t="shared" si="165"/>
        <v>1</v>
      </c>
      <c r="I77" s="154">
        <f>IF(Assumptions!$L$25=4,VLOOKUP($A77,'Henwood Reference'!$E$9:$R$320,10),(VLOOKUP($A77,PriceTable,2,0)+IF(BasisNumber&lt;&gt;1,VLOOKUP($A77,BasisTable,2,0),0)+I$1)/(1-I$2))</f>
        <v>34.076681134205764</v>
      </c>
      <c r="J77" s="154">
        <f>IF(Assumptions!$L$25=4,VLOOKUP($A77,'Henwood Reference'!$E$9:$R$320,10),(VLOOKUP($A77,PriceTable,3,0)+IF(BasisNumber&lt;&gt;1,VLOOKUP($A77,BasisTable,2,0),0)+J$1)/(1-J$2))</f>
        <v>34.076681134205764</v>
      </c>
      <c r="K77" s="154">
        <f>IF(Assumptions!$L$25=4,VLOOKUP($A77,'Henwood Reference'!$E$9:$R$320,10),(VLOOKUP($A77,PriceTable,4,0)+IF(BasisNumber&lt;&gt;1,VLOOKUP($A77,BasisTable,2,0),0)+K$1)/(1-K$2))</f>
        <v>34.076681134205764</v>
      </c>
      <c r="L77" s="474">
        <f>IF(Assumptions!$L$25=4,VLOOKUP($A77,'Henwood Reference'!$E$9:$R$320,10),(VLOOKUP($A77,PriceTableWeekend,2,0)+IF(BasisNumber&lt;&gt;1,VLOOKUP($A77,BasisTable,2,0),0)+L$1)/(1-L$2))</f>
        <v>34.076681134205764</v>
      </c>
      <c r="M77" s="154">
        <f>IF(Assumptions!$L$25=4,VLOOKUP($A77,'Henwood Reference'!$E$9:$R$320,10),(VLOOKUP($A77,PriceTableWeekend,3,0)+IF(BasisNumber&lt;&gt;1,VLOOKUP($A77,BasisTable,2,0),0)+M$1)/(1-M$2))</f>
        <v>34.076681134205764</v>
      </c>
      <c r="N77" s="156">
        <f>IF(Assumptions!$L$25=4,VLOOKUP($A77,'Henwood Reference'!$E$9:$R$320,10),(VLOOKUP($A77,PriceTableWeekend,4,0)+IF(BasisNumber&lt;&gt;1,VLOOKUP($A77,BasisTable,2,0),0)+N$1)/(1-N$2))</f>
        <v>34.076681134205764</v>
      </c>
      <c r="O77" s="154">
        <f>IF(Assumptions!$L$25=4,VLOOKUP($A77,'Henwood Reference'!$E$9:$R$320,11),(VLOOKUP($A77,PriceTableWeekend,6,0)+IF(BasisNumber&lt;&gt;1,VLOOKUP($A77,BasisTable,3,0),0)+O$1)/(1-O$2))</f>
        <v>19.37860544160576</v>
      </c>
      <c r="P77" s="154">
        <f>IF(Assumptions!$L$25=4,VLOOKUP($A77,'Henwood Reference'!$E$9:$R$320,11),(VLOOKUP($A77,PriceTableWeekend,7,0)+IF(BasisNumber&lt;&gt;1,VLOOKUP($A77,BasisTable,3,0),0)+P$1)/(1-P$2))</f>
        <v>19.37860544160576</v>
      </c>
      <c r="Q77" s="156">
        <f>IF(Assumptions!$L$25=4,VLOOKUP($A77,'Henwood Reference'!$E$9:$R$320,11),(VLOOKUP($A77,PriceTableWeekend,8,0)+IF(BasisNumber&lt;&gt;1,VLOOKUP($A77,BasisTable,3,0),0)+Q$1)/(1-Q$2))</f>
        <v>19.37860544160576</v>
      </c>
      <c r="R77" s="154">
        <f>IF(Assumptions!$L$25=4,VLOOKUP($A77,'Henwood Reference'!$E$9:$R$320,11),(VLOOKUP($A77,PriceTable,6,0)+IF(BasisNumber&lt;&gt;1,VLOOKUP($A77,BasisTable,3,0),0)+R$1)/(1-R$2))</f>
        <v>19.37860544160576</v>
      </c>
      <c r="S77" s="154">
        <f>IF(Assumptions!$L$25=4,VLOOKUP($A77,'Henwood Reference'!$E$9:$R$320,11),(VLOOKUP($A77,PriceTable,7,0)+IF(BasisNumber&lt;&gt;1,VLOOKUP($A77,BasisTable,3,0),0)+S$1)/(1-S$2))</f>
        <v>19.37860544160576</v>
      </c>
      <c r="T77" s="155">
        <f>IF(Assumptions!$L$25=4,VLOOKUP($A77,'Henwood Reference'!$E$9:$R$320,11),(VLOOKUP($A77,PriceTable,8,0)+IF(BasisNumber&lt;&gt;1,VLOOKUP($A77,BasisTable,3,0),0)+T$1)/(1-T$2))</f>
        <v>19.37860544160576</v>
      </c>
      <c r="U77" s="173">
        <f t="shared" si="92"/>
        <v>0.14499999999999999</v>
      </c>
      <c r="V77" s="173">
        <f t="shared" si="93"/>
        <v>0.155</v>
      </c>
      <c r="W77" s="174">
        <f t="shared" si="94"/>
        <v>0.16500000000000001</v>
      </c>
      <c r="X77" s="173">
        <f t="shared" si="95"/>
        <v>0.14499999999999999</v>
      </c>
      <c r="Y77" s="173">
        <f t="shared" si="96"/>
        <v>0.155</v>
      </c>
      <c r="Z77" s="174">
        <f t="shared" si="97"/>
        <v>0.16500000000000001</v>
      </c>
      <c r="AA77" s="173">
        <f t="shared" si="98"/>
        <v>0.09</v>
      </c>
      <c r="AB77" s="173">
        <f t="shared" si="99"/>
        <v>0.11</v>
      </c>
      <c r="AC77" s="174">
        <f t="shared" si="100"/>
        <v>0.13</v>
      </c>
      <c r="AD77" s="173">
        <f t="shared" si="101"/>
        <v>0.09</v>
      </c>
      <c r="AE77" s="173">
        <f t="shared" si="102"/>
        <v>0.11</v>
      </c>
      <c r="AF77" s="174">
        <f t="shared" si="103"/>
        <v>0.13</v>
      </c>
      <c r="AG77" s="173">
        <f t="shared" si="104"/>
        <v>-0.1</v>
      </c>
      <c r="AH77" s="173">
        <f t="shared" si="105"/>
        <v>0.65</v>
      </c>
      <c r="AI77" s="174">
        <f t="shared" si="106"/>
        <v>0.1</v>
      </c>
      <c r="AJ77" s="173">
        <f t="shared" si="107"/>
        <v>-0.1</v>
      </c>
      <c r="AK77" s="173">
        <f t="shared" si="108"/>
        <v>0.65</v>
      </c>
      <c r="AL77" s="174">
        <f t="shared" si="109"/>
        <v>0.1</v>
      </c>
      <c r="AM77" s="173">
        <f t="shared" si="110"/>
        <v>-0.01</v>
      </c>
      <c r="AN77" s="173">
        <f t="shared" si="111"/>
        <v>0.16</v>
      </c>
      <c r="AO77" s="174">
        <f t="shared" si="112"/>
        <v>0.01</v>
      </c>
      <c r="AP77" s="173">
        <f t="shared" si="113"/>
        <v>-0.01</v>
      </c>
      <c r="AQ77" s="173">
        <f t="shared" si="114"/>
        <v>0.16</v>
      </c>
      <c r="AR77" s="175">
        <f t="shared" si="115"/>
        <v>0.01</v>
      </c>
      <c r="AS77" s="521">
        <f t="shared" si="231"/>
        <v>0.5</v>
      </c>
      <c r="AT77" s="349">
        <f t="shared" si="117"/>
        <v>21</v>
      </c>
      <c r="AU77" s="159">
        <f t="shared" si="3"/>
        <v>4</v>
      </c>
      <c r="AV77" s="159">
        <f t="shared" si="4"/>
        <v>5</v>
      </c>
      <c r="AW77" s="159">
        <f t="shared" si="232"/>
        <v>1</v>
      </c>
      <c r="AX77" s="15">
        <f t="shared" si="119"/>
        <v>31</v>
      </c>
      <c r="AY77" s="607">
        <f>IF(E77="",0,MIN((1-(1-VLOOKUP(B77,MAIN!$AA$7:$AM$28,C77+1))*(1-VLOOKUP(B77,MAIN!$AA$33:$AM$54,C77+1))),1))</f>
        <v>3.0000000000000027E-2</v>
      </c>
      <c r="AZ77" s="337">
        <v>48888</v>
      </c>
      <c r="BA77" s="509">
        <v>9312</v>
      </c>
      <c r="BB77" s="509">
        <v>13968</v>
      </c>
      <c r="BC77" s="511">
        <v>36084</v>
      </c>
      <c r="BD77" s="153">
        <v>0.97</v>
      </c>
      <c r="BE77" s="474">
        <v>0.97</v>
      </c>
      <c r="BF77" s="474">
        <v>0.97</v>
      </c>
      <c r="BG77" s="515">
        <v>0.97</v>
      </c>
      <c r="BH77" s="262">
        <v>195552</v>
      </c>
      <c r="BI77" s="509">
        <v>37248</v>
      </c>
      <c r="BJ77" s="509">
        <v>55872</v>
      </c>
      <c r="BK77" s="511">
        <v>144336</v>
      </c>
      <c r="BL77" s="153">
        <v>0.97</v>
      </c>
      <c r="BM77" s="474">
        <v>0.97</v>
      </c>
      <c r="BN77" s="474">
        <v>0.97</v>
      </c>
      <c r="BO77" s="474">
        <v>0.97</v>
      </c>
      <c r="BP77" s="261">
        <f t="shared" si="120"/>
        <v>72168</v>
      </c>
      <c r="BQ77" s="578">
        <f t="shared" si="121"/>
        <v>108252</v>
      </c>
      <c r="BR77" s="259">
        <f t="shared" si="122"/>
        <v>288672</v>
      </c>
      <c r="BS77" s="578">
        <f t="shared" si="123"/>
        <v>433008</v>
      </c>
      <c r="BT77" s="216">
        <f t="shared" si="124"/>
        <v>5.0458590006844624</v>
      </c>
      <c r="BU77" s="218">
        <f t="shared" si="5"/>
        <v>34.076681134205764</v>
      </c>
      <c r="BV77" s="216">
        <f t="shared" si="6"/>
        <v>34.076681134205764</v>
      </c>
      <c r="BW77" s="216">
        <f t="shared" si="7"/>
        <v>19.37860544160576</v>
      </c>
      <c r="BX77" s="216">
        <f t="shared" si="125"/>
        <v>19.37860544160576</v>
      </c>
      <c r="BY77" s="216">
        <f t="shared" si="8"/>
        <v>31.231892290476733</v>
      </c>
      <c r="BZ77" s="216">
        <f t="shared" si="9"/>
        <v>27.280796674186409</v>
      </c>
      <c r="CA77" s="264">
        <f t="shared" si="10"/>
        <v>34.076681134205764</v>
      </c>
      <c r="CB77" s="216">
        <f t="shared" si="11"/>
        <v>34.076681134205764</v>
      </c>
      <c r="CC77" s="216">
        <f t="shared" si="12"/>
        <v>19.37860544160576</v>
      </c>
      <c r="CD77" s="216">
        <f t="shared" si="126"/>
        <v>19.37860544160576</v>
      </c>
      <c r="CE77" s="216">
        <f t="shared" si="13"/>
        <v>31.231892290476733</v>
      </c>
      <c r="CF77" s="571">
        <f t="shared" si="14"/>
        <v>27.280796674186409</v>
      </c>
      <c r="CG77" s="573">
        <f t="shared" si="15"/>
        <v>0.155</v>
      </c>
      <c r="CH77" s="219">
        <f t="shared" si="16"/>
        <v>0.155</v>
      </c>
      <c r="CI77" s="219">
        <f t="shared" si="17"/>
        <v>0.11</v>
      </c>
      <c r="CJ77" s="219">
        <f t="shared" si="18"/>
        <v>0.14967636333162262</v>
      </c>
      <c r="CK77" s="219">
        <f t="shared" si="19"/>
        <v>0.14967636333162262</v>
      </c>
      <c r="CL77" s="219">
        <f t="shared" si="20"/>
        <v>0.11</v>
      </c>
      <c r="CM77" s="219">
        <f t="shared" si="21"/>
        <v>0.12968916440299402</v>
      </c>
      <c r="CN77" s="569">
        <f t="shared" si="22"/>
        <v>0.12968916440299402</v>
      </c>
      <c r="CO77" s="264">
        <f t="shared" si="175"/>
        <v>16.71703433193364</v>
      </c>
      <c r="CP77" s="216">
        <f t="shared" si="127"/>
        <v>16.71703433193364</v>
      </c>
      <c r="CQ77" s="216">
        <f t="shared" ca="1" si="192"/>
        <v>16.71703433193364</v>
      </c>
      <c r="CR77" s="216">
        <f t="shared" ca="1" si="193"/>
        <v>16.71703433193364</v>
      </c>
      <c r="CS77" s="1626">
        <f t="shared" ca="1" si="194"/>
        <v>16.71703433193364</v>
      </c>
      <c r="CT77" s="216">
        <f t="shared" si="131"/>
        <v>16.71703433193364</v>
      </c>
      <c r="CU77" s="575">
        <f t="shared" si="23"/>
        <v>0.16500000000000001</v>
      </c>
      <c r="CV77" s="154">
        <f t="shared" si="24"/>
        <v>0.5</v>
      </c>
      <c r="CW77" s="216">
        <f>IF(OR($BQ77,$BS77),SpreadOptPowerMargin,0)*((1+Assumptions!$C$26)^($B77-YEAR(Assumptions!$C$17)))</f>
        <v>1.8727199999999999</v>
      </c>
      <c r="CX77" s="216">
        <f>IF(OR($BQ77,$BS77),SpreadOptPowerMargin,0)*((1+Assumptions!$C$26)^($B77-YEAR(Assumptions!$C$17)))</f>
        <v>1.8727199999999999</v>
      </c>
      <c r="CY77" s="216">
        <f>IF(OR($BQ77,$BS77),SpreadOptPowerMargin,0)*((1+Assumptions!$C$26)^($B77-YEAR(Assumptions!$C$17)))</f>
        <v>1.8727199999999999</v>
      </c>
      <c r="CZ77" s="216">
        <f>IF(OR($BQ77,$BS77),SpreadOptPowerMargin,0)*((1+Assumptions!$C$26)^($B77-YEAR(Assumptions!$C$17)))</f>
        <v>1.8727199999999999</v>
      </c>
      <c r="DA77" s="440">
        <f t="shared" si="25"/>
        <v>1.8727200000000002</v>
      </c>
      <c r="DB77" s="479">
        <f t="shared" si="26"/>
        <v>0.155</v>
      </c>
      <c r="DC77" s="479">
        <f t="shared" si="27"/>
        <v>0.155</v>
      </c>
      <c r="DD77" s="479">
        <f t="shared" si="28"/>
        <v>0.11</v>
      </c>
      <c r="DE77" s="479">
        <f t="shared" si="29"/>
        <v>0.11</v>
      </c>
      <c r="DF77" s="479">
        <f t="shared" si="30"/>
        <v>0.12968916440299402</v>
      </c>
      <c r="DG77" s="574">
        <f t="shared" si="31"/>
        <v>0.12968916440299402</v>
      </c>
      <c r="DH77" s="216">
        <f t="shared" si="32"/>
        <v>15.619744309546938</v>
      </c>
      <c r="DI77" s="216">
        <f t="shared" si="33"/>
        <v>15.619744309546938</v>
      </c>
      <c r="DJ77" s="216">
        <f t="shared" ca="1" si="195"/>
        <v>2.6785733922182797</v>
      </c>
      <c r="DK77" s="216">
        <f t="shared" ca="1" si="196"/>
        <v>2.6785733922182797</v>
      </c>
      <c r="DL77" s="216">
        <f t="shared" ca="1" si="197"/>
        <v>9.0793436637275029</v>
      </c>
      <c r="DM77" s="216"/>
      <c r="DN77" s="216"/>
      <c r="DO77" s="216"/>
      <c r="DP77" s="216"/>
      <c r="DQ77" s="216"/>
      <c r="DR77" s="216"/>
      <c r="DS77" s="216"/>
      <c r="DT77" s="216"/>
      <c r="DU77" s="216"/>
      <c r="DV77" s="216"/>
      <c r="DW77" s="1371">
        <f t="shared" si="37"/>
        <v>2.6785733922182797</v>
      </c>
      <c r="DX77" s="216">
        <f t="shared" si="38"/>
        <v>2.6785733922182797</v>
      </c>
      <c r="DY77" s="440">
        <f t="shared" si="39"/>
        <v>9.6361921649756219</v>
      </c>
      <c r="DZ77" s="180">
        <f t="shared" si="40"/>
        <v>763618.0598051307</v>
      </c>
      <c r="EA77" s="180">
        <f t="shared" si="41"/>
        <v>145451.05901050108</v>
      </c>
      <c r="EB77" s="180">
        <f t="shared" ca="1" si="198"/>
        <v>37414.313142504929</v>
      </c>
      <c r="EC77" s="180">
        <f t="shared" ca="1" si="199"/>
        <v>96653.642284804402</v>
      </c>
      <c r="ED77" s="180">
        <f t="shared" ca="1" si="200"/>
        <v>982857.11028582964</v>
      </c>
      <c r="EE77" s="581">
        <f t="shared" si="45"/>
        <v>757124.87750947953</v>
      </c>
      <c r="EF77" s="554">
        <f t="shared" si="46"/>
        <v>144214.262382758</v>
      </c>
      <c r="EG77" s="554">
        <f t="shared" ca="1" si="201"/>
        <v>11018.672299900167</v>
      </c>
      <c r="EH77" s="554">
        <f t="shared" ca="1" si="202"/>
        <v>28464.903441408762</v>
      </c>
      <c r="EI77" s="561">
        <f t="shared" ca="1" si="49"/>
        <v>940822.71563354658</v>
      </c>
      <c r="EJ77" s="581">
        <f t="shared" si="132"/>
        <v>6493.1822956511751</v>
      </c>
      <c r="EK77" s="554">
        <f t="shared" si="133"/>
        <v>1236.7966277430824</v>
      </c>
      <c r="EL77" s="554">
        <f t="shared" ca="1" si="203"/>
        <v>26395.640842604764</v>
      </c>
      <c r="EM77" s="554">
        <f t="shared" ca="1" si="204"/>
        <v>68188.738843395637</v>
      </c>
      <c r="EN77" s="561">
        <f t="shared" ca="1" si="205"/>
        <v>42034.394652283052</v>
      </c>
      <c r="EO77" s="180">
        <f t="shared" si="50"/>
        <v>3054472.2392205228</v>
      </c>
      <c r="EP77" s="180">
        <f t="shared" si="51"/>
        <v>581804.23604200431</v>
      </c>
      <c r="EQ77" s="180">
        <f t="shared" si="52"/>
        <v>149657.25257001971</v>
      </c>
      <c r="ER77" s="180">
        <f t="shared" si="53"/>
        <v>386614.56913921761</v>
      </c>
      <c r="ES77" s="180">
        <f t="shared" si="54"/>
        <v>4172548.2969717639</v>
      </c>
      <c r="ET77" s="1482">
        <f t="shared" ca="1" si="206"/>
        <v>3028499.5100379181</v>
      </c>
      <c r="EU77" s="180">
        <f t="shared" ca="1" si="207"/>
        <v>576857.04953103198</v>
      </c>
      <c r="EV77" s="180">
        <f t="shared" ca="1" si="208"/>
        <v>44074.689199600667</v>
      </c>
      <c r="EW77" s="180">
        <f t="shared" ca="1" si="209"/>
        <v>113859.61376563505</v>
      </c>
      <c r="EX77" s="555">
        <f t="shared" ca="1" si="182"/>
        <v>3763290.8625341859</v>
      </c>
      <c r="EY77" s="180">
        <f t="shared" ca="1" si="210"/>
        <v>25972.7291826047</v>
      </c>
      <c r="EZ77" s="180">
        <f t="shared" ca="1" si="211"/>
        <v>4947.1865109723294</v>
      </c>
      <c r="FA77" s="180">
        <f t="shared" ca="1" si="212"/>
        <v>105582.56337041905</v>
      </c>
      <c r="FB77" s="180">
        <f t="shared" ca="1" si="213"/>
        <v>272754.95537358255</v>
      </c>
      <c r="FC77" s="180">
        <f t="shared" ca="1" si="214"/>
        <v>409257.43443757808</v>
      </c>
      <c r="FD77" s="262">
        <f>IF(AX77,IF(VLOOKUP(C77,MAIN!$L$17:$M$28,2)="Yes",VLOOKUP(CALC!B77,MAIN!$H$17:$I$20,2),0),0)</f>
        <v>0</v>
      </c>
      <c r="FE77" s="623">
        <f t="shared" si="60"/>
        <v>0</v>
      </c>
      <c r="FF77" s="535">
        <f t="shared" si="61"/>
        <v>0</v>
      </c>
      <c r="FG77" s="535">
        <f t="shared" si="62"/>
        <v>0</v>
      </c>
      <c r="FH77" s="624">
        <f t="shared" si="63"/>
        <v>0</v>
      </c>
      <c r="FI77" s="632">
        <f>IF(AX77,VLOOKUP(CALC!B77,MAIN!$H$17:$K$20,4),0)</f>
        <v>0</v>
      </c>
      <c r="FJ77" s="535">
        <f t="shared" si="64"/>
        <v>0</v>
      </c>
      <c r="FK77" s="648">
        <f t="shared" si="142"/>
        <v>0</v>
      </c>
      <c r="FL77" s="530">
        <f t="shared" ca="1" si="215"/>
        <v>0</v>
      </c>
      <c r="FM77" s="530">
        <f t="shared" ca="1" si="216"/>
        <v>0</v>
      </c>
      <c r="FN77" s="530">
        <f t="shared" ca="1" si="217"/>
        <v>0</v>
      </c>
      <c r="FO77" s="622">
        <f t="shared" ca="1" si="218"/>
        <v>0</v>
      </c>
      <c r="FP77" s="530">
        <f t="shared" ca="1" si="219"/>
        <v>0</v>
      </c>
      <c r="FQ77" s="530">
        <f t="shared" ca="1" si="220"/>
        <v>0</v>
      </c>
      <c r="FR77" s="530">
        <f t="shared" ca="1" si="221"/>
        <v>0</v>
      </c>
      <c r="FS77" s="625">
        <f t="shared" ca="1" si="222"/>
        <v>0</v>
      </c>
      <c r="FT77" s="640">
        <f ca="1">IF(AND(Assumptions!$H$71="Yes",A77&gt;=Assumptions!$H$72,A77&lt;=Assumptions!$H$73),0,IF(AND($A77&gt;=Assumptions!$C$17,$A77&lt;=Assumptions!$C$18),MAX(AZ77*(1+VLOOKUP($C77,WeatherCapacityAdjustment,2))-FL77,0),0))</f>
        <v>48888</v>
      </c>
      <c r="FU77" s="530">
        <f ca="1">IF(AND(Assumptions!$H$71="Yes",A77&gt;=Assumptions!$H$72,A77&lt;=Assumptions!$H$73),0,IF(AND($A77&gt;=Assumptions!$C$17,$A77&lt;=Assumptions!$C$18),MAX(BA77*(1+VLOOKUP($C77,WeatherCapacityAdjustment,2))-FM77,0),0))</f>
        <v>9312</v>
      </c>
      <c r="FV77" s="530">
        <f ca="1">IF(AND(Assumptions!$H$71="Yes",A77&gt;=Assumptions!$H$72,A77&lt;=Assumptions!$H$73),0,IF(AND($A77&gt;=Assumptions!$C$17,$A77&lt;=Assumptions!$C$18),MAX(BB77*(1+VLOOKUP($C77,WeatherCapacityAdjustment,2))-FN77,0),0))</f>
        <v>13968</v>
      </c>
      <c r="FW77" s="622">
        <f ca="1">IF(AND(Assumptions!$H$71="Yes",A77&gt;=Assumptions!$H$72,A77&lt;=Assumptions!$H$73),0,IF(AND($A77&gt;=Assumptions!$C$17,$A77&lt;=Assumptions!$C$18),MAX(BC77*(1+VLOOKUP($C77,WeatherCapacityAdjustment,3))-FO77,0),0))</f>
        <v>36084</v>
      </c>
      <c r="FX77" s="621">
        <f ca="1">IF(AND(Assumptions!$H$71="Yes",A77&gt;=Assumptions!$H$72,A77&lt;=Assumptions!$H$73),0,IF(ET77&gt;0,MAX(BH77*(1+VLOOKUP($C77,WeatherCapacityAdjustment,2))-FP77,0),0))</f>
        <v>195552</v>
      </c>
      <c r="FY77" s="530">
        <f ca="1">IF(AND(Assumptions!$H$71="Yes",A77&gt;=Assumptions!$H$72,A77&lt;=Assumptions!$H$73),0,IF(EU77&gt;0,MAX(BI77*(1+VLOOKUP($C77,WeatherCapacityAdjustment,3))-FQ77,0),0))</f>
        <v>37248</v>
      </c>
      <c r="FZ77" s="530">
        <f ca="1">IF(AND(Assumptions!$H$71="Yes",A77&gt;=Assumptions!$H$72,A77&lt;=Assumptions!$H$73),0,IF(EV77&gt;0,MAX(BJ77*(1+VLOOKUP($C77,WeatherCapacityAdjustment,2))-FR77,0),0))</f>
        <v>55872</v>
      </c>
      <c r="GA77" s="622">
        <f ca="1">IF(AND(Assumptions!$H$71="Yes",A77&gt;=Assumptions!$H$72,A77&lt;=Assumptions!$H$73),0,IF(EW77&gt;0,MAX(BK77*(1+VLOOKUP($C77,WeatherCapacityAdjustment,2))-FS77,0),0))</f>
        <v>144336</v>
      </c>
      <c r="GB77" s="530">
        <f t="shared" ca="1" si="65"/>
        <v>541260</v>
      </c>
      <c r="GC77" s="545">
        <f t="shared" ca="1" si="66"/>
        <v>27.280796674186409</v>
      </c>
      <c r="GD77" s="530">
        <f t="shared" ca="1" si="223"/>
        <v>14766004.007870136</v>
      </c>
      <c r="GE77" s="1485">
        <f t="shared" ca="1" si="224"/>
        <v>766993.56552000006</v>
      </c>
      <c r="GF77" s="1776">
        <f t="shared" ca="1" si="225"/>
        <v>3067974.2620800002</v>
      </c>
      <c r="GG77" s="545">
        <f t="shared" si="190"/>
        <v>2.3594101461250028</v>
      </c>
      <c r="GH77" s="622">
        <f t="shared" ca="1" si="191"/>
        <v>9048262.0025024023</v>
      </c>
      <c r="GI77" s="621">
        <f t="shared" ca="1" si="152"/>
        <v>541260</v>
      </c>
      <c r="GJ77" s="638">
        <f t="shared" si="68"/>
        <v>1.8727200000000002</v>
      </c>
      <c r="GK77" s="625">
        <f t="shared" ca="1" si="166"/>
        <v>1013628.4272</v>
      </c>
      <c r="GL77" s="640">
        <f t="shared" ca="1" si="226"/>
        <v>0</v>
      </c>
      <c r="GM77" s="530">
        <f t="shared" ca="1" si="227"/>
        <v>0</v>
      </c>
      <c r="GN77" s="530">
        <f t="shared" ca="1" si="228"/>
        <v>0</v>
      </c>
      <c r="GO77" s="622">
        <f t="shared" ca="1" si="229"/>
        <v>0</v>
      </c>
      <c r="GP77" s="530">
        <f t="shared" ca="1" si="73"/>
        <v>0</v>
      </c>
      <c r="GQ77" s="545">
        <f t="shared" ca="1" si="74"/>
        <v>0</v>
      </c>
      <c r="GR77" s="625">
        <f t="shared" ca="1" si="230"/>
        <v>0</v>
      </c>
      <c r="GS77" s="640">
        <f>IF($A77&gt;=BegDate,Assumptions!$C$56*24*($A78-$A77)*(1-VLOOKUP($B77,MAIN!$AA$7:$AM$28,$C77+1))*(1-VLOOKUP($B77,MAIN!$AA$33:$AM$54,$C77+1)),0)*80/168</f>
        <v>257742.85714285713</v>
      </c>
      <c r="GT77" s="1715">
        <f t="shared" si="153"/>
        <v>34.076681134205764</v>
      </c>
      <c r="GU77" s="1715">
        <f>IF($A77&gt;=BegDate,VLOOKUP($A77,GasTable,13)+Assumptions!$C$58,0)</f>
        <v>2.3594101461250028</v>
      </c>
      <c r="GV77" s="1715">
        <f>GU77*Assumptions!$C$57/1000</f>
        <v>17.105723559406268</v>
      </c>
      <c r="GW77" s="625">
        <f>IF(Assumptions!$C$60="Hourly",MAX(0,GS77*(GT77-GV77)),GS77*(GT77-GV77))</f>
        <v>4374143.0937790358</v>
      </c>
      <c r="GX77" s="640">
        <f>IF($A77&gt;=BegDate,Assumptions!$C$56*24*($A78-$A77)*(1-VLOOKUP($B77,MAIN!$AA$7:$AM$28,$C77+1))*(1-VLOOKUP($B77,MAIN!$AA$33:$AM$54,$C77+1)),0)*16/168</f>
        <v>51548.571428571428</v>
      </c>
      <c r="GY77" s="1715">
        <f t="shared" si="154"/>
        <v>34.076681134205764</v>
      </c>
      <c r="GZ77" s="1715">
        <f>IF($A77&gt;=BegDate,VLOOKUP($A77,GasTable,13)+Assumptions!$C$58,0)</f>
        <v>2.3594101461250028</v>
      </c>
      <c r="HA77" s="1715">
        <f>GZ77*Assumptions!$C$57/1000</f>
        <v>17.105723559406268</v>
      </c>
      <c r="HB77" s="625">
        <f>IF(Assumptions!$C$60="Hourly",MAX(0,GX77*(GY77-HA77)),GX77*(GY77-HA77))</f>
        <v>874828.61875580717</v>
      </c>
      <c r="HC77" s="640">
        <f>IF($A77&gt;=BegDate,Assumptions!$C$56*24*($A78-$A77)*(1-VLOOKUP($B77,MAIN!$AA$7:$AM$28,$C77+1))*(1-VLOOKUP($B77,MAIN!$AA$33:$AM$54,$C77+1)),0)*16/168</f>
        <v>51548.571428571428</v>
      </c>
      <c r="HD77" s="1715">
        <f t="shared" si="155"/>
        <v>19.37860544160576</v>
      </c>
      <c r="HE77" s="1715">
        <f>IF($A77&gt;=BegDate,VLOOKUP($A77,GasTable,13)+Assumptions!$C$58,0)</f>
        <v>2.3594101461250028</v>
      </c>
      <c r="HF77" s="1715">
        <f>HE77*Assumptions!$C$57/1000</f>
        <v>17.105723559406268</v>
      </c>
      <c r="HG77" s="625">
        <f>IF(Assumptions!$C$60="Hourly",MAX(0,HC77*(HD77-HF77)),HC77*(HD77-HF77))</f>
        <v>117163.81405326638</v>
      </c>
      <c r="HH77" s="640">
        <f>IF($A77&gt;=BegDate,Assumptions!$C$56*24*($A78-$A77)*(1-VLOOKUP($B77,MAIN!$AA$7:$AM$28,$C77+1))*(1-VLOOKUP($B77,MAIN!$AA$33:$AM$54,$C77+1)),0)*56/168</f>
        <v>180420</v>
      </c>
      <c r="HI77" s="1715">
        <f t="shared" si="156"/>
        <v>19.37860544160576</v>
      </c>
      <c r="HJ77" s="1715">
        <f>IF($A77&gt;=BegDate,VLOOKUP($A77,GasTable,13)+Assumptions!$C$58,0)</f>
        <v>2.3594101461250028</v>
      </c>
      <c r="HK77" s="1715">
        <f>HJ77*Assumptions!$C$57/1000</f>
        <v>17.105723559406268</v>
      </c>
      <c r="HL77" s="625">
        <f>IF(Assumptions!$C$60="Hourly",MAX(0,HH77*(HI77-HK77)),HH77*(HI77-HK77))</f>
        <v>410073.34918643237</v>
      </c>
      <c r="HM77" s="640">
        <f>IF(AND(Assumptions!$H$71="Yes",A77&gt;=Assumptions!$H$72,A77&lt;=Assumptions!$H$73),Assumptions!$H$74*Assumptions!$C$9*1000,0)</f>
        <v>0</v>
      </c>
      <c r="HN77" s="530">
        <f t="shared" ca="1" si="234"/>
        <v>5717742.0053677335</v>
      </c>
      <c r="HO77" s="545"/>
      <c r="HP77" s="545"/>
      <c r="HQ77" s="545"/>
      <c r="HR77" s="545"/>
      <c r="HS77" s="545"/>
      <c r="HT77" s="545"/>
      <c r="HU77" s="545"/>
      <c r="HV77" s="545"/>
      <c r="HW77" s="545"/>
      <c r="HX77" s="545"/>
      <c r="HY77" s="545"/>
      <c r="HZ77" s="545"/>
      <c r="IA77" s="545"/>
      <c r="IB77" s="545"/>
      <c r="IC77" s="545"/>
      <c r="ID77" s="545"/>
      <c r="IE77" s="545"/>
      <c r="IF77" s="545"/>
      <c r="IG77" s="545"/>
      <c r="IH77" s="545"/>
      <c r="II77" s="1464"/>
      <c r="IJ77" s="1463"/>
      <c r="IK77" s="1463"/>
    </row>
    <row r="78" spans="1:245">
      <c r="A78" s="177">
        <f t="shared" si="87"/>
        <v>38504</v>
      </c>
      <c r="B78" s="349">
        <f t="shared" si="88"/>
        <v>2005</v>
      </c>
      <c r="C78" s="15">
        <f t="shared" si="89"/>
        <v>6</v>
      </c>
      <c r="D78" s="612" t="str">
        <f t="shared" si="90"/>
        <v/>
      </c>
      <c r="E78" s="609">
        <f t="shared" si="91"/>
        <v>38504</v>
      </c>
      <c r="F78" s="614">
        <f t="shared" si="2"/>
        <v>38533</v>
      </c>
      <c r="G78" s="1349">
        <v>0</v>
      </c>
      <c r="H78" s="152">
        <f t="shared" si="165"/>
        <v>1</v>
      </c>
      <c r="I78" s="154">
        <f>IF(Assumptions!$L$25=4,VLOOKUP($A78,'Henwood Reference'!$E$9:$R$320,10),(VLOOKUP($A78,PriceTable,2,0)+IF(BasisNumber&lt;&gt;1,VLOOKUP($A78,BasisTable,2,0),0)+I$1)/(1-I$2))</f>
        <v>31.646047245960961</v>
      </c>
      <c r="J78" s="154">
        <f>IF(Assumptions!$L$25=4,VLOOKUP($A78,'Henwood Reference'!$E$9:$R$320,10),(VLOOKUP($A78,PriceTable,3,0)+IF(BasisNumber&lt;&gt;1,VLOOKUP($A78,BasisTable,2,0),0)+J$1)/(1-J$2))</f>
        <v>31.646047245960961</v>
      </c>
      <c r="K78" s="154">
        <f>IF(Assumptions!$L$25=4,VLOOKUP($A78,'Henwood Reference'!$E$9:$R$320,10),(VLOOKUP($A78,PriceTable,4,0)+IF(BasisNumber&lt;&gt;1,VLOOKUP($A78,BasisTable,2,0),0)+K$1)/(1-K$2))</f>
        <v>31.646047245960961</v>
      </c>
      <c r="L78" s="474">
        <f>IF(Assumptions!$L$25=4,VLOOKUP($A78,'Henwood Reference'!$E$9:$R$320,10),(VLOOKUP($A78,PriceTableWeekend,2,0)+IF(BasisNumber&lt;&gt;1,VLOOKUP($A78,BasisTable,2,0),0)+L$1)/(1-L$2))</f>
        <v>31.646047245960961</v>
      </c>
      <c r="M78" s="154">
        <f>IF(Assumptions!$L$25=4,VLOOKUP($A78,'Henwood Reference'!$E$9:$R$320,10),(VLOOKUP($A78,PriceTableWeekend,3,0)+IF(BasisNumber&lt;&gt;1,VLOOKUP($A78,BasisTable,2,0),0)+M$1)/(1-M$2))</f>
        <v>31.646047245960961</v>
      </c>
      <c r="N78" s="156">
        <f>IF(Assumptions!$L$25=4,VLOOKUP($A78,'Henwood Reference'!$E$9:$R$320,10),(VLOOKUP($A78,PriceTableWeekend,4,0)+IF(BasisNumber&lt;&gt;1,VLOOKUP($A78,BasisTable,2,0),0)+N$1)/(1-N$2))</f>
        <v>31.646047245960961</v>
      </c>
      <c r="O78" s="154">
        <f>IF(Assumptions!$L$25=4,VLOOKUP($A78,'Henwood Reference'!$E$9:$R$320,11),(VLOOKUP($A78,PriceTableWeekend,6,0)+IF(BasisNumber&lt;&gt;1,VLOOKUP($A78,BasisTable,3,0),0)+O$1)/(1-O$2))</f>
        <v>17.827923953511362</v>
      </c>
      <c r="P78" s="154">
        <f>IF(Assumptions!$L$25=4,VLOOKUP($A78,'Henwood Reference'!$E$9:$R$320,11),(VLOOKUP($A78,PriceTableWeekend,7,0)+IF(BasisNumber&lt;&gt;1,VLOOKUP($A78,BasisTable,3,0),0)+P$1)/(1-P$2))</f>
        <v>17.827923953511362</v>
      </c>
      <c r="Q78" s="156">
        <f>IF(Assumptions!$L$25=4,VLOOKUP($A78,'Henwood Reference'!$E$9:$R$320,11),(VLOOKUP($A78,PriceTableWeekend,8,0)+IF(BasisNumber&lt;&gt;1,VLOOKUP($A78,BasisTable,3,0),0)+Q$1)/(1-Q$2))</f>
        <v>17.827923953511362</v>
      </c>
      <c r="R78" s="154">
        <f>IF(Assumptions!$L$25=4,VLOOKUP($A78,'Henwood Reference'!$E$9:$R$320,11),(VLOOKUP($A78,PriceTable,6,0)+IF(BasisNumber&lt;&gt;1,VLOOKUP($A78,BasisTable,3,0),0)+R$1)/(1-R$2))</f>
        <v>17.827923953511362</v>
      </c>
      <c r="S78" s="154">
        <f>IF(Assumptions!$L$25=4,VLOOKUP($A78,'Henwood Reference'!$E$9:$R$320,11),(VLOOKUP($A78,PriceTable,7,0)+IF(BasisNumber&lt;&gt;1,VLOOKUP($A78,BasisTable,3,0),0)+S$1)/(1-S$2))</f>
        <v>17.827923953511362</v>
      </c>
      <c r="T78" s="155">
        <f>IF(Assumptions!$L$25=4,VLOOKUP($A78,'Henwood Reference'!$E$9:$R$320,11),(VLOOKUP($A78,PriceTable,8,0)+IF(BasisNumber&lt;&gt;1,VLOOKUP($A78,BasisTable,3,0),0)+T$1)/(1-T$2))</f>
        <v>17.827923953511362</v>
      </c>
      <c r="U78" s="173">
        <f t="shared" si="92"/>
        <v>0.14499999999999999</v>
      </c>
      <c r="V78" s="173">
        <f t="shared" si="93"/>
        <v>0.155</v>
      </c>
      <c r="W78" s="174">
        <f t="shared" si="94"/>
        <v>0.16500000000000001</v>
      </c>
      <c r="X78" s="173">
        <f t="shared" si="95"/>
        <v>0.14499999999999999</v>
      </c>
      <c r="Y78" s="173">
        <f t="shared" si="96"/>
        <v>0.155</v>
      </c>
      <c r="Z78" s="174">
        <f t="shared" si="97"/>
        <v>0.16500000000000001</v>
      </c>
      <c r="AA78" s="173">
        <f t="shared" si="98"/>
        <v>0.09</v>
      </c>
      <c r="AB78" s="173">
        <f t="shared" si="99"/>
        <v>0.11</v>
      </c>
      <c r="AC78" s="174">
        <f t="shared" si="100"/>
        <v>0.13</v>
      </c>
      <c r="AD78" s="173">
        <f t="shared" si="101"/>
        <v>0.09</v>
      </c>
      <c r="AE78" s="173">
        <f t="shared" si="102"/>
        <v>0.11</v>
      </c>
      <c r="AF78" s="174">
        <f t="shared" si="103"/>
        <v>0.13</v>
      </c>
      <c r="AG78" s="173">
        <f t="shared" si="104"/>
        <v>-0.35</v>
      </c>
      <c r="AH78" s="173">
        <f t="shared" si="105"/>
        <v>0.65</v>
      </c>
      <c r="AI78" s="174">
        <f t="shared" si="106"/>
        <v>0.2</v>
      </c>
      <c r="AJ78" s="173">
        <f t="shared" si="107"/>
        <v>-0.35</v>
      </c>
      <c r="AK78" s="173">
        <f t="shared" si="108"/>
        <v>0.65</v>
      </c>
      <c r="AL78" s="174">
        <f t="shared" si="109"/>
        <v>0.2</v>
      </c>
      <c r="AM78" s="173">
        <f t="shared" si="110"/>
        <v>-0.01</v>
      </c>
      <c r="AN78" s="173">
        <f t="shared" si="111"/>
        <v>0.16</v>
      </c>
      <c r="AO78" s="174">
        <f t="shared" si="112"/>
        <v>0.01</v>
      </c>
      <c r="AP78" s="173">
        <f t="shared" si="113"/>
        <v>-0.01</v>
      </c>
      <c r="AQ78" s="173">
        <f t="shared" si="114"/>
        <v>0.16</v>
      </c>
      <c r="AR78" s="175">
        <f t="shared" si="115"/>
        <v>0.01</v>
      </c>
      <c r="AS78" s="521">
        <f t="shared" si="231"/>
        <v>0.5</v>
      </c>
      <c r="AT78" s="349">
        <f t="shared" si="117"/>
        <v>22</v>
      </c>
      <c r="AU78" s="159">
        <f t="shared" si="3"/>
        <v>4</v>
      </c>
      <c r="AV78" s="159">
        <f t="shared" si="4"/>
        <v>4</v>
      </c>
      <c r="AW78" s="159">
        <f t="shared" si="232"/>
        <v>0</v>
      </c>
      <c r="AX78" s="15">
        <f t="shared" si="119"/>
        <v>30</v>
      </c>
      <c r="AY78" s="607">
        <f>IF(E78="",0,MIN((1-(1-VLOOKUP(B78,MAIN!$AA$7:$AM$28,C78+1))*(1-VLOOKUP(B78,MAIN!$AA$33:$AM$54,C78+1))),1))</f>
        <v>3.0000000000000027E-2</v>
      </c>
      <c r="AZ78" s="337">
        <v>51216</v>
      </c>
      <c r="BA78" s="509">
        <v>9312</v>
      </c>
      <c r="BB78" s="509">
        <v>9312</v>
      </c>
      <c r="BC78" s="511">
        <v>34920</v>
      </c>
      <c r="BD78" s="153">
        <v>0.97000000722706314</v>
      </c>
      <c r="BE78" s="474">
        <v>0.97000000722706314</v>
      </c>
      <c r="BF78" s="474">
        <v>0.97000000722706314</v>
      </c>
      <c r="BG78" s="515">
        <v>0.97000000722706314</v>
      </c>
      <c r="BH78" s="262">
        <v>204864</v>
      </c>
      <c r="BI78" s="509">
        <v>37248</v>
      </c>
      <c r="BJ78" s="509">
        <v>37248</v>
      </c>
      <c r="BK78" s="511">
        <v>139680</v>
      </c>
      <c r="BL78" s="153">
        <v>0.97000000722706314</v>
      </c>
      <c r="BM78" s="474">
        <v>0.97000000722706314</v>
      </c>
      <c r="BN78" s="474">
        <v>0.97000000722706314</v>
      </c>
      <c r="BO78" s="474">
        <v>0.97000000722706314</v>
      </c>
      <c r="BP78" s="261">
        <f t="shared" si="120"/>
        <v>69840</v>
      </c>
      <c r="BQ78" s="578">
        <f t="shared" si="121"/>
        <v>104760</v>
      </c>
      <c r="BR78" s="259">
        <f t="shared" si="122"/>
        <v>279360</v>
      </c>
      <c r="BS78" s="578">
        <f t="shared" si="123"/>
        <v>419040</v>
      </c>
      <c r="BT78" s="216">
        <f t="shared" si="124"/>
        <v>5.1307323750855582</v>
      </c>
      <c r="BU78" s="218">
        <f t="shared" si="5"/>
        <v>31.646047481742386</v>
      </c>
      <c r="BV78" s="216">
        <f t="shared" si="6"/>
        <v>31.646047481742386</v>
      </c>
      <c r="BW78" s="216">
        <f t="shared" si="7"/>
        <v>17.827924086339745</v>
      </c>
      <c r="BX78" s="216">
        <f t="shared" si="125"/>
        <v>17.827924086339745</v>
      </c>
      <c r="BY78" s="216">
        <f t="shared" si="8"/>
        <v>29.803631029022032</v>
      </c>
      <c r="BZ78" s="216">
        <f t="shared" si="9"/>
        <v>25.811728714794604</v>
      </c>
      <c r="CA78" s="264">
        <f t="shared" si="10"/>
        <v>31.646047481742386</v>
      </c>
      <c r="CB78" s="216">
        <f t="shared" si="11"/>
        <v>31.646047481742386</v>
      </c>
      <c r="CC78" s="216">
        <f t="shared" si="12"/>
        <v>17.827924086339745</v>
      </c>
      <c r="CD78" s="216">
        <f t="shared" si="126"/>
        <v>17.827924086339745</v>
      </c>
      <c r="CE78" s="216">
        <f t="shared" si="13"/>
        <v>29.803631029022032</v>
      </c>
      <c r="CF78" s="571">
        <f t="shared" si="14"/>
        <v>25.811728714794604</v>
      </c>
      <c r="CG78" s="573">
        <f t="shared" si="15"/>
        <v>0.155</v>
      </c>
      <c r="CH78" s="219">
        <f t="shared" si="16"/>
        <v>0.155</v>
      </c>
      <c r="CI78" s="219">
        <f t="shared" si="17"/>
        <v>0.11</v>
      </c>
      <c r="CJ78" s="219">
        <f t="shared" si="18"/>
        <v>0.1514682994094359</v>
      </c>
      <c r="CK78" s="219">
        <f t="shared" si="19"/>
        <v>0.1514682994094359</v>
      </c>
      <c r="CL78" s="219">
        <f t="shared" si="20"/>
        <v>0.11</v>
      </c>
      <c r="CM78" s="219">
        <f t="shared" si="21"/>
        <v>0.13158005650554708</v>
      </c>
      <c r="CN78" s="569">
        <f t="shared" si="22"/>
        <v>0.13158005650554708</v>
      </c>
      <c r="CO78" s="264">
        <f t="shared" si="175"/>
        <v>16.897563031617068</v>
      </c>
      <c r="CP78" s="216">
        <f t="shared" si="127"/>
        <v>16.897563031617068</v>
      </c>
      <c r="CQ78" s="216">
        <f t="shared" ca="1" si="192"/>
        <v>21.725438183507656</v>
      </c>
      <c r="CR78" s="216">
        <f t="shared" ca="1" si="193"/>
        <v>21.725438183507656</v>
      </c>
      <c r="CS78" s="1626">
        <f t="shared" ca="1" si="194"/>
        <v>18.935999206859758</v>
      </c>
      <c r="CT78" s="216">
        <f t="shared" si="131"/>
        <v>16.897563031617068</v>
      </c>
      <c r="CU78" s="575">
        <f t="shared" si="23"/>
        <v>0.16500000000000001</v>
      </c>
      <c r="CV78" s="154">
        <f t="shared" si="24"/>
        <v>0.5</v>
      </c>
      <c r="CW78" s="216">
        <f>IF(OR($BQ78,$BS78),SpreadOptPowerMargin,0)*((1+Assumptions!$C$26)^($B78-YEAR(Assumptions!$C$17)))</f>
        <v>1.8727199999999999</v>
      </c>
      <c r="CX78" s="216">
        <f>IF(OR($BQ78,$BS78),SpreadOptPowerMargin,0)*((1+Assumptions!$C$26)^($B78-YEAR(Assumptions!$C$17)))</f>
        <v>1.8727199999999999</v>
      </c>
      <c r="CY78" s="216">
        <f>IF(OR($BQ78,$BS78),SpreadOptPowerMargin,0)*((1+Assumptions!$C$26)^($B78-YEAR(Assumptions!$C$17)))</f>
        <v>1.8727199999999999</v>
      </c>
      <c r="CZ78" s="216">
        <f>IF(OR($BQ78,$BS78),SpreadOptPowerMargin,0)*((1+Assumptions!$C$26)^($B78-YEAR(Assumptions!$C$17)))</f>
        <v>1.8727199999999999</v>
      </c>
      <c r="DA78" s="440">
        <f t="shared" si="25"/>
        <v>1.8727200000000002</v>
      </c>
      <c r="DB78" s="479">
        <f t="shared" si="26"/>
        <v>0.155</v>
      </c>
      <c r="DC78" s="479">
        <f t="shared" si="27"/>
        <v>0.155</v>
      </c>
      <c r="DD78" s="479">
        <f t="shared" si="28"/>
        <v>0.11</v>
      </c>
      <c r="DE78" s="479">
        <f t="shared" si="29"/>
        <v>0.11</v>
      </c>
      <c r="DF78" s="479">
        <f t="shared" si="30"/>
        <v>0.13158005650554708</v>
      </c>
      <c r="DG78" s="574">
        <f t="shared" si="31"/>
        <v>0.13158005650554708</v>
      </c>
      <c r="DH78" s="216">
        <f t="shared" si="32"/>
        <v>13.114612965560893</v>
      </c>
      <c r="DI78" s="216">
        <f t="shared" si="33"/>
        <v>13.114612965560893</v>
      </c>
      <c r="DJ78" s="216">
        <f t="shared" ca="1" si="195"/>
        <v>0.60256558492322809</v>
      </c>
      <c r="DK78" s="216">
        <f t="shared" ca="1" si="196"/>
        <v>0.60256558492322809</v>
      </c>
      <c r="DL78" s="216">
        <f t="shared" ca="1" si="197"/>
        <v>6.1203539754468466</v>
      </c>
      <c r="DM78" s="216"/>
      <c r="DN78" s="216"/>
      <c r="DO78" s="216"/>
      <c r="DP78" s="216"/>
      <c r="DQ78" s="216"/>
      <c r="DR78" s="216"/>
      <c r="DS78" s="216"/>
      <c r="DT78" s="216"/>
      <c r="DU78" s="216"/>
      <c r="DV78" s="216"/>
      <c r="DW78" s="1371">
        <f t="shared" si="37"/>
        <v>1.754494893364503</v>
      </c>
      <c r="DX78" s="216">
        <f t="shared" si="38"/>
        <v>1.754494893364503</v>
      </c>
      <c r="DY78" s="440">
        <f t="shared" si="39"/>
        <v>8.3181186684113069</v>
      </c>
      <c r="DZ78" s="180">
        <f t="shared" si="40"/>
        <v>671678.01764416671</v>
      </c>
      <c r="EA78" s="180">
        <f t="shared" si="41"/>
        <v>122123.27593530303</v>
      </c>
      <c r="EB78" s="180">
        <f t="shared" ca="1" si="198"/>
        <v>5611.0907268050996</v>
      </c>
      <c r="EC78" s="180">
        <f t="shared" ca="1" si="199"/>
        <v>21041.590225519125</v>
      </c>
      <c r="ED78" s="180">
        <f t="shared" ca="1" si="200"/>
        <v>641168.2824678116</v>
      </c>
      <c r="EE78" s="581">
        <f t="shared" si="45"/>
        <v>659445.15207761817</v>
      </c>
      <c r="EF78" s="554">
        <f t="shared" si="46"/>
        <v>119899.11855956695</v>
      </c>
      <c r="EG78" s="554">
        <f t="shared" ca="1" si="201"/>
        <v>0</v>
      </c>
      <c r="EH78" s="554">
        <f t="shared" ca="1" si="202"/>
        <v>0</v>
      </c>
      <c r="EI78" s="561">
        <f t="shared" ca="1" si="49"/>
        <v>524115.27605125436</v>
      </c>
      <c r="EJ78" s="581">
        <f t="shared" si="132"/>
        <v>12232.865566548542</v>
      </c>
      <c r="EK78" s="554">
        <f t="shared" si="133"/>
        <v>2224.1573757360748</v>
      </c>
      <c r="EL78" s="554">
        <f t="shared" ca="1" si="203"/>
        <v>5611.0907268050996</v>
      </c>
      <c r="EM78" s="554">
        <f t="shared" ca="1" si="204"/>
        <v>21041.590225519125</v>
      </c>
      <c r="EN78" s="561">
        <f t="shared" ca="1" si="205"/>
        <v>117053.00641655724</v>
      </c>
      <c r="EO78" s="180">
        <f t="shared" si="50"/>
        <v>2686712.0705766669</v>
      </c>
      <c r="EP78" s="180">
        <f t="shared" si="51"/>
        <v>488493.10374121211</v>
      </c>
      <c r="EQ78" s="180">
        <f t="shared" si="52"/>
        <v>65351.425788041008</v>
      </c>
      <c r="ER78" s="180">
        <f t="shared" si="53"/>
        <v>245067.84670515379</v>
      </c>
      <c r="ES78" s="180">
        <f t="shared" si="54"/>
        <v>3485624.4468110739</v>
      </c>
      <c r="ET78" s="1482">
        <f t="shared" ca="1" si="206"/>
        <v>2637780.6083104727</v>
      </c>
      <c r="EU78" s="180">
        <f t="shared" ca="1" si="207"/>
        <v>479596.47423826781</v>
      </c>
      <c r="EV78" s="180">
        <f t="shared" ca="1" si="208"/>
        <v>0</v>
      </c>
      <c r="EW78" s="180">
        <f t="shared" ca="1" si="209"/>
        <v>0</v>
      </c>
      <c r="EX78" s="555">
        <f t="shared" ca="1" si="182"/>
        <v>3117377.0825487403</v>
      </c>
      <c r="EY78" s="180">
        <f t="shared" ca="1" si="210"/>
        <v>48931.462266194168</v>
      </c>
      <c r="EZ78" s="180">
        <f t="shared" ca="1" si="211"/>
        <v>8896.629502944299</v>
      </c>
      <c r="FA78" s="180">
        <f t="shared" ca="1" si="212"/>
        <v>65351.425788041008</v>
      </c>
      <c r="FB78" s="180">
        <f t="shared" ca="1" si="213"/>
        <v>245067.84670515379</v>
      </c>
      <c r="FC78" s="180">
        <f t="shared" ca="1" si="214"/>
        <v>368247.36426233361</v>
      </c>
      <c r="FD78" s="262">
        <f>IF(AX78,IF(VLOOKUP(C78,MAIN!$L$17:$M$28,2)="Yes",VLOOKUP(CALC!B78,MAIN!$H$17:$I$20,2),0),0)</f>
        <v>0</v>
      </c>
      <c r="FE78" s="623">
        <f t="shared" si="60"/>
        <v>0</v>
      </c>
      <c r="FF78" s="535">
        <f t="shared" si="61"/>
        <v>0</v>
      </c>
      <c r="FG78" s="535">
        <f t="shared" si="62"/>
        <v>0</v>
      </c>
      <c r="FH78" s="624">
        <f t="shared" si="63"/>
        <v>0</v>
      </c>
      <c r="FI78" s="632">
        <f>IF(AX78,VLOOKUP(CALC!B78,MAIN!$H$17:$K$20,4),0)</f>
        <v>0</v>
      </c>
      <c r="FJ78" s="535">
        <f t="shared" si="64"/>
        <v>0</v>
      </c>
      <c r="FK78" s="648">
        <f t="shared" si="142"/>
        <v>0</v>
      </c>
      <c r="FL78" s="530">
        <f t="shared" ca="1" si="215"/>
        <v>0</v>
      </c>
      <c r="FM78" s="530">
        <f t="shared" ca="1" si="216"/>
        <v>0</v>
      </c>
      <c r="FN78" s="530">
        <f t="shared" ca="1" si="217"/>
        <v>0</v>
      </c>
      <c r="FO78" s="622">
        <f t="shared" ca="1" si="218"/>
        <v>0</v>
      </c>
      <c r="FP78" s="530">
        <f t="shared" ca="1" si="219"/>
        <v>0</v>
      </c>
      <c r="FQ78" s="530">
        <f t="shared" ca="1" si="220"/>
        <v>0</v>
      </c>
      <c r="FR78" s="530">
        <f t="shared" ca="1" si="221"/>
        <v>0</v>
      </c>
      <c r="FS78" s="625">
        <f t="shared" ca="1" si="222"/>
        <v>0</v>
      </c>
      <c r="FT78" s="640">
        <f ca="1">IF(AND(Assumptions!$H$71="Yes",A78&gt;=Assumptions!$H$72,A78&lt;=Assumptions!$H$73),0,IF(AND($A78&gt;=Assumptions!$C$17,$A78&lt;=Assumptions!$C$18),MAX(AZ78*(1+VLOOKUP($C78,WeatherCapacityAdjustment,2))-FL78,0),0))</f>
        <v>51216</v>
      </c>
      <c r="FU78" s="530">
        <f ca="1">IF(AND(Assumptions!$H$71="Yes",A78&gt;=Assumptions!$H$72,A78&lt;=Assumptions!$H$73),0,IF(AND($A78&gt;=Assumptions!$C$17,$A78&lt;=Assumptions!$C$18),MAX(BA78*(1+VLOOKUP($C78,WeatherCapacityAdjustment,2))-FM78,0),0))</f>
        <v>9312</v>
      </c>
      <c r="FV78" s="530">
        <f ca="1">IF(AND(Assumptions!$H$71="Yes",A78&gt;=Assumptions!$H$72,A78&lt;=Assumptions!$H$73),0,IF(AND($A78&gt;=Assumptions!$C$17,$A78&lt;=Assumptions!$C$18),MAX(BB78*(1+VLOOKUP($C78,WeatherCapacityAdjustment,2))-FN78,0),0))</f>
        <v>9312</v>
      </c>
      <c r="FW78" s="622">
        <f ca="1">IF(AND(Assumptions!$H$71="Yes",A78&gt;=Assumptions!$H$72,A78&lt;=Assumptions!$H$73),0,IF(AND($A78&gt;=Assumptions!$C$17,$A78&lt;=Assumptions!$C$18),MAX(BC78*(1+VLOOKUP($C78,WeatherCapacityAdjustment,3))-FO78,0),0))</f>
        <v>34920</v>
      </c>
      <c r="FX78" s="621">
        <f ca="1">IF(AND(Assumptions!$H$71="Yes",A78&gt;=Assumptions!$H$72,A78&lt;=Assumptions!$H$73),0,IF(ET78&gt;0,MAX(BH78*(1+VLOOKUP($C78,WeatherCapacityAdjustment,2))-FP78,0),0))</f>
        <v>204864</v>
      </c>
      <c r="FY78" s="530">
        <f ca="1">IF(AND(Assumptions!$H$71="Yes",A78&gt;=Assumptions!$H$72,A78&lt;=Assumptions!$H$73),0,IF(EU78&gt;0,MAX(BI78*(1+VLOOKUP($C78,WeatherCapacityAdjustment,3))-FQ78,0),0))</f>
        <v>37248</v>
      </c>
      <c r="FZ78" s="530">
        <f ca="1">IF(AND(Assumptions!$H$71="Yes",A78&gt;=Assumptions!$H$72,A78&lt;=Assumptions!$H$73),0,IF(EV78&gt;0,MAX(BJ78*(1+VLOOKUP($C78,WeatherCapacityAdjustment,2))-FR78,0),0))</f>
        <v>0</v>
      </c>
      <c r="GA78" s="622">
        <f ca="1">IF(AND(Assumptions!$H$71="Yes",A78&gt;=Assumptions!$H$72,A78&lt;=Assumptions!$H$73),0,IF(EW78&gt;0,MAX(BK78*(1+VLOOKUP($C78,WeatherCapacityAdjustment,2))-FS78,0),0))</f>
        <v>0</v>
      </c>
      <c r="GB78" s="530">
        <f t="shared" ca="1" si="65"/>
        <v>346872</v>
      </c>
      <c r="GC78" s="545">
        <f t="shared" ca="1" si="66"/>
        <v>29.884004901120569</v>
      </c>
      <c r="GD78" s="530">
        <f t="shared" ca="1" si="223"/>
        <v>10365924.548061494</v>
      </c>
      <c r="GE78" s="1485">
        <f t="shared" ca="1" si="224"/>
        <v>832138.47839999991</v>
      </c>
      <c r="GF78" s="1776">
        <f t="shared" ca="1" si="225"/>
        <v>1716138.2784</v>
      </c>
      <c r="GG78" s="545">
        <f t="shared" si="190"/>
        <v>2.3839004305207343</v>
      </c>
      <c r="GH78" s="622">
        <f t="shared" ca="1" si="191"/>
        <v>6074838.0576214995</v>
      </c>
      <c r="GI78" s="621">
        <f t="shared" ca="1" si="152"/>
        <v>346872</v>
      </c>
      <c r="GJ78" s="638">
        <f t="shared" si="68"/>
        <v>1.8727200000000002</v>
      </c>
      <c r="GK78" s="625">
        <f t="shared" ca="1" si="166"/>
        <v>649594.13184000005</v>
      </c>
      <c r="GL78" s="640">
        <f t="shared" ca="1" si="226"/>
        <v>0</v>
      </c>
      <c r="GM78" s="530">
        <f t="shared" ca="1" si="227"/>
        <v>0</v>
      </c>
      <c r="GN78" s="530">
        <f t="shared" ca="1" si="228"/>
        <v>0</v>
      </c>
      <c r="GO78" s="622">
        <f t="shared" ca="1" si="229"/>
        <v>0</v>
      </c>
      <c r="GP78" s="530">
        <f t="shared" ca="1" si="73"/>
        <v>0</v>
      </c>
      <c r="GQ78" s="545">
        <f t="shared" ca="1" si="74"/>
        <v>0</v>
      </c>
      <c r="GR78" s="625">
        <f t="shared" ca="1" si="230"/>
        <v>0</v>
      </c>
      <c r="GS78" s="640">
        <f>IF($A78&gt;=BegDate,Assumptions!$C$56*24*($A79-$A78)*(1-VLOOKUP($B78,MAIN!$AA$7:$AM$28,$C78+1))*(1-VLOOKUP($B78,MAIN!$AA$33:$AM$54,$C78+1)),0)*80/168</f>
        <v>249428.57142857142</v>
      </c>
      <c r="GT78" s="1715">
        <f t="shared" si="153"/>
        <v>31.646047245960961</v>
      </c>
      <c r="GU78" s="1715">
        <f>IF($A78&gt;=BegDate,VLOOKUP($A78,GasTable,13)+Assumptions!$C$58,0)</f>
        <v>2.3839004305207343</v>
      </c>
      <c r="GV78" s="1715">
        <f>GU78*Assumptions!$C$57/1000</f>
        <v>17.283278121275327</v>
      </c>
      <c r="GW78" s="625">
        <f>IF(Assumptions!$C$60="Hourly",MAX(0,GS78*(GT78-GV78)),GS78*(GT78-GV78))</f>
        <v>3582484.9845287311</v>
      </c>
      <c r="GX78" s="640">
        <f>IF($A78&gt;=BegDate,Assumptions!$C$56*24*($A79-$A78)*(1-VLOOKUP($B78,MAIN!$AA$7:$AM$28,$C78+1))*(1-VLOOKUP($B78,MAIN!$AA$33:$AM$54,$C78+1)),0)*16/168</f>
        <v>49885.714285714283</v>
      </c>
      <c r="GY78" s="1715">
        <f t="shared" si="154"/>
        <v>31.646047245960961</v>
      </c>
      <c r="GZ78" s="1715">
        <f>IF($A78&gt;=BegDate,VLOOKUP($A78,GasTable,13)+Assumptions!$C$58,0)</f>
        <v>2.3839004305207343</v>
      </c>
      <c r="HA78" s="1715">
        <f>GZ78*Assumptions!$C$57/1000</f>
        <v>17.283278121275327</v>
      </c>
      <c r="HB78" s="625">
        <f>IF(Assumptions!$C$60="Hourly",MAX(0,GX78*(GY78-HA78)),GX78*(GY78-HA78))</f>
        <v>716496.99690574617</v>
      </c>
      <c r="HC78" s="640">
        <f>IF($A78&gt;=BegDate,Assumptions!$C$56*24*($A79-$A78)*(1-VLOOKUP($B78,MAIN!$AA$7:$AM$28,$C78+1))*(1-VLOOKUP($B78,MAIN!$AA$33:$AM$54,$C78+1)),0)*16/168</f>
        <v>49885.714285714283</v>
      </c>
      <c r="HD78" s="1715">
        <f t="shared" si="155"/>
        <v>17.827923953511362</v>
      </c>
      <c r="HE78" s="1715">
        <f>IF($A78&gt;=BegDate,VLOOKUP($A78,GasTable,13)+Assumptions!$C$58,0)</f>
        <v>2.3839004305207343</v>
      </c>
      <c r="HF78" s="1715">
        <f>HE78*Assumptions!$C$57/1000</f>
        <v>17.283278121275327</v>
      </c>
      <c r="HG78" s="625">
        <f>IF(Assumptions!$C$60="Hourly",MAX(0,HC78*(HD78-HF78)),HC78*(HD78-HF78))</f>
        <v>27170.046373831949</v>
      </c>
      <c r="HH78" s="640">
        <f>IF($A78&gt;=BegDate,Assumptions!$C$56*24*($A79-$A78)*(1-VLOOKUP($B78,MAIN!$AA$7:$AM$28,$C78+1))*(1-VLOOKUP($B78,MAIN!$AA$33:$AM$54,$C78+1)),0)*56/168</f>
        <v>174600</v>
      </c>
      <c r="HI78" s="1715">
        <f t="shared" si="156"/>
        <v>17.827923953511362</v>
      </c>
      <c r="HJ78" s="1715">
        <f>IF($A78&gt;=BegDate,VLOOKUP($A78,GasTable,13)+Assumptions!$C$58,0)</f>
        <v>2.3839004305207343</v>
      </c>
      <c r="HK78" s="1715">
        <f>HJ78*Assumptions!$C$57/1000</f>
        <v>17.283278121275327</v>
      </c>
      <c r="HL78" s="625">
        <f>IF(Assumptions!$C$60="Hourly",MAX(0,HH78*(HI78-HK78)),HH78*(HI78-HK78))</f>
        <v>95095.162308411833</v>
      </c>
      <c r="HM78" s="640">
        <f>IF(AND(Assumptions!$H$71="Yes",A78&gt;=Assumptions!$H$72,A78&lt;=Assumptions!$H$73),Assumptions!$H$74*Assumptions!$C$9*1000,0)</f>
        <v>0</v>
      </c>
      <c r="HN78" s="530">
        <f t="shared" ref="HN78:HN83" ca="1" si="235">GD78-GH78</f>
        <v>4291086.4904399943</v>
      </c>
      <c r="HO78" s="545"/>
      <c r="HP78" s="545"/>
      <c r="HQ78" s="545"/>
      <c r="HR78" s="545"/>
      <c r="HS78" s="545"/>
      <c r="HT78" s="545"/>
      <c r="HU78" s="545"/>
      <c r="HV78" s="545"/>
      <c r="HW78" s="545"/>
      <c r="HX78" s="545"/>
      <c r="HY78" s="545"/>
      <c r="HZ78" s="545"/>
      <c r="IA78" s="545"/>
      <c r="IB78" s="545"/>
      <c r="IC78" s="545"/>
      <c r="ID78" s="545"/>
      <c r="IE78" s="545"/>
      <c r="IF78" s="545"/>
      <c r="IG78" s="545"/>
      <c r="IH78" s="545"/>
      <c r="II78" s="1464"/>
      <c r="IJ78" s="1463"/>
      <c r="IK78" s="1463"/>
    </row>
    <row r="79" spans="1:245">
      <c r="A79" s="177">
        <f t="shared" si="87"/>
        <v>38534</v>
      </c>
      <c r="B79" s="349">
        <f t="shared" si="88"/>
        <v>2005</v>
      </c>
      <c r="C79" s="15">
        <f t="shared" si="89"/>
        <v>7</v>
      </c>
      <c r="D79" s="612">
        <f t="shared" si="90"/>
        <v>38537</v>
      </c>
      <c r="E79" s="609">
        <f t="shared" si="91"/>
        <v>38534</v>
      </c>
      <c r="F79" s="614">
        <f t="shared" si="2"/>
        <v>38564</v>
      </c>
      <c r="G79" s="1349">
        <v>0</v>
      </c>
      <c r="H79" s="152">
        <f t="shared" si="165"/>
        <v>1</v>
      </c>
      <c r="I79" s="154">
        <f>IF(Assumptions!$L$25=4,VLOOKUP($A79,'Henwood Reference'!$E$9:$R$320,10),(VLOOKUP($A79,PriceTable,2,0)+IF(BasisNumber&lt;&gt;1,VLOOKUP($A79,BasisTable,2,0),0)+I$1)/(1-I$2))</f>
        <v>58.789432160311677</v>
      </c>
      <c r="J79" s="154">
        <f>IF(Assumptions!$L$25=4,VLOOKUP($A79,'Henwood Reference'!$E$9:$R$320,10),(VLOOKUP($A79,PriceTable,3,0)+IF(BasisNumber&lt;&gt;1,VLOOKUP($A79,BasisTable,2,0),0)+J$1)/(1-J$2))</f>
        <v>58.789432160311677</v>
      </c>
      <c r="K79" s="154">
        <f>IF(Assumptions!$L$25=4,VLOOKUP($A79,'Henwood Reference'!$E$9:$R$320,10),(VLOOKUP($A79,PriceTable,4,0)+IF(BasisNumber&lt;&gt;1,VLOOKUP($A79,BasisTable,2,0),0)+K$1)/(1-K$2))</f>
        <v>58.789432160311677</v>
      </c>
      <c r="L79" s="474">
        <f>IF(Assumptions!$L$25=4,VLOOKUP($A79,'Henwood Reference'!$E$9:$R$320,10),(VLOOKUP($A79,PriceTableWeekend,2,0)+IF(BasisNumber&lt;&gt;1,VLOOKUP($A79,BasisTable,2,0),0)+L$1)/(1-L$2))</f>
        <v>58.789432160311677</v>
      </c>
      <c r="M79" s="154">
        <f>IF(Assumptions!$L$25=4,VLOOKUP($A79,'Henwood Reference'!$E$9:$R$320,10),(VLOOKUP($A79,PriceTableWeekend,3,0)+IF(BasisNumber&lt;&gt;1,VLOOKUP($A79,BasisTable,2,0),0)+M$1)/(1-M$2))</f>
        <v>58.789432160311677</v>
      </c>
      <c r="N79" s="156">
        <f>IF(Assumptions!$L$25=4,VLOOKUP($A79,'Henwood Reference'!$E$9:$R$320,10),(VLOOKUP($A79,PriceTableWeekend,4,0)+IF(BasisNumber&lt;&gt;1,VLOOKUP($A79,BasisTable,2,0),0)+N$1)/(1-N$2))</f>
        <v>58.789432160311677</v>
      </c>
      <c r="O79" s="154">
        <f>IF(Assumptions!$L$25=4,VLOOKUP($A79,'Henwood Reference'!$E$9:$R$320,11),(VLOOKUP($A79,PriceTableWeekend,6,0)+IF(BasisNumber&lt;&gt;1,VLOOKUP($A79,BasisTable,3,0),0)+O$1)/(1-O$2))</f>
        <v>23.214402968083199</v>
      </c>
      <c r="P79" s="154">
        <f>IF(Assumptions!$L$25=4,VLOOKUP($A79,'Henwood Reference'!$E$9:$R$320,11),(VLOOKUP($A79,PriceTableWeekend,7,0)+IF(BasisNumber&lt;&gt;1,VLOOKUP($A79,BasisTable,3,0),0)+P$1)/(1-P$2))</f>
        <v>23.214402968083199</v>
      </c>
      <c r="Q79" s="156">
        <f>IF(Assumptions!$L$25=4,VLOOKUP($A79,'Henwood Reference'!$E$9:$R$320,11),(VLOOKUP($A79,PriceTableWeekend,8,0)+IF(BasisNumber&lt;&gt;1,VLOOKUP($A79,BasisTable,3,0),0)+Q$1)/(1-Q$2))</f>
        <v>23.214402968083199</v>
      </c>
      <c r="R79" s="154">
        <f>IF(Assumptions!$L$25=4,VLOOKUP($A79,'Henwood Reference'!$E$9:$R$320,11),(VLOOKUP($A79,PriceTable,6,0)+IF(BasisNumber&lt;&gt;1,VLOOKUP($A79,BasisTable,3,0),0)+R$1)/(1-R$2))</f>
        <v>23.214402968083199</v>
      </c>
      <c r="S79" s="154">
        <f>IF(Assumptions!$L$25=4,VLOOKUP($A79,'Henwood Reference'!$E$9:$R$320,11),(VLOOKUP($A79,PriceTable,7,0)+IF(BasisNumber&lt;&gt;1,VLOOKUP($A79,BasisTable,3,0),0)+S$1)/(1-S$2))</f>
        <v>23.214402968083199</v>
      </c>
      <c r="T79" s="155">
        <f>IF(Assumptions!$L$25=4,VLOOKUP($A79,'Henwood Reference'!$E$9:$R$320,11),(VLOOKUP($A79,PriceTable,8,0)+IF(BasisNumber&lt;&gt;1,VLOOKUP($A79,BasisTable,3,0),0)+T$1)/(1-T$2))</f>
        <v>23.214402968083199</v>
      </c>
      <c r="U79" s="173">
        <f t="shared" si="92"/>
        <v>0.14499999999999999</v>
      </c>
      <c r="V79" s="173">
        <f t="shared" si="93"/>
        <v>0.155</v>
      </c>
      <c r="W79" s="174">
        <f t="shared" si="94"/>
        <v>0.16500000000000001</v>
      </c>
      <c r="X79" s="173">
        <f t="shared" si="95"/>
        <v>0.14499999999999999</v>
      </c>
      <c r="Y79" s="173">
        <f t="shared" si="96"/>
        <v>0.155</v>
      </c>
      <c r="Z79" s="174">
        <f t="shared" si="97"/>
        <v>0.16500000000000001</v>
      </c>
      <c r="AA79" s="173">
        <f t="shared" si="98"/>
        <v>0.09</v>
      </c>
      <c r="AB79" s="173">
        <f t="shared" si="99"/>
        <v>0.11</v>
      </c>
      <c r="AC79" s="174">
        <f t="shared" si="100"/>
        <v>0.13</v>
      </c>
      <c r="AD79" s="173">
        <f t="shared" si="101"/>
        <v>0.09</v>
      </c>
      <c r="AE79" s="173">
        <f t="shared" si="102"/>
        <v>0.11</v>
      </c>
      <c r="AF79" s="174">
        <f t="shared" si="103"/>
        <v>0.13</v>
      </c>
      <c r="AG79" s="173">
        <f t="shared" si="104"/>
        <v>-0.35</v>
      </c>
      <c r="AH79" s="173">
        <f t="shared" si="105"/>
        <v>3</v>
      </c>
      <c r="AI79" s="174">
        <f t="shared" si="106"/>
        <v>0.35</v>
      </c>
      <c r="AJ79" s="173">
        <f t="shared" si="107"/>
        <v>-0.35</v>
      </c>
      <c r="AK79" s="173">
        <f t="shared" si="108"/>
        <v>3</v>
      </c>
      <c r="AL79" s="174">
        <f t="shared" si="109"/>
        <v>0.35</v>
      </c>
      <c r="AM79" s="173">
        <f t="shared" si="110"/>
        <v>-0.01</v>
      </c>
      <c r="AN79" s="173">
        <f t="shared" si="111"/>
        <v>0.16</v>
      </c>
      <c r="AO79" s="174">
        <f t="shared" si="112"/>
        <v>0.01</v>
      </c>
      <c r="AP79" s="173">
        <f t="shared" si="113"/>
        <v>-0.01</v>
      </c>
      <c r="AQ79" s="173">
        <f t="shared" si="114"/>
        <v>0.16</v>
      </c>
      <c r="AR79" s="175">
        <f t="shared" si="115"/>
        <v>0.01</v>
      </c>
      <c r="AS79" s="521">
        <f t="shared" si="231"/>
        <v>0.5</v>
      </c>
      <c r="AT79" s="349">
        <f t="shared" si="117"/>
        <v>20</v>
      </c>
      <c r="AU79" s="159">
        <f t="shared" si="3"/>
        <v>5</v>
      </c>
      <c r="AV79" s="159">
        <f t="shared" si="4"/>
        <v>5</v>
      </c>
      <c r="AW79" s="159">
        <f t="shared" si="232"/>
        <v>1</v>
      </c>
      <c r="AX79" s="15">
        <f t="shared" si="119"/>
        <v>31</v>
      </c>
      <c r="AY79" s="607">
        <f>IF(E79="",0,MIN((1-(1-VLOOKUP(B79,MAIN!$AA$7:$AM$28,C79+1))*(1-VLOOKUP(B79,MAIN!$AA$33:$AM$54,C79+1))),1))</f>
        <v>3.0000000000000027E-2</v>
      </c>
      <c r="AZ79" s="337">
        <v>46560</v>
      </c>
      <c r="BA79" s="509">
        <v>11640</v>
      </c>
      <c r="BB79" s="509">
        <v>13968</v>
      </c>
      <c r="BC79" s="511">
        <v>36084</v>
      </c>
      <c r="BD79" s="153">
        <v>0.97000000361353156</v>
      </c>
      <c r="BE79" s="474">
        <v>0.97000000361353156</v>
      </c>
      <c r="BF79" s="474">
        <v>0.97000000361353156</v>
      </c>
      <c r="BG79" s="515">
        <v>0.96999998554587363</v>
      </c>
      <c r="BH79" s="262">
        <v>186240</v>
      </c>
      <c r="BI79" s="509">
        <v>46560</v>
      </c>
      <c r="BJ79" s="509">
        <v>55872</v>
      </c>
      <c r="BK79" s="511">
        <v>144336</v>
      </c>
      <c r="BL79" s="153">
        <v>0.97000000361353156</v>
      </c>
      <c r="BM79" s="474">
        <v>0.97000000361353156</v>
      </c>
      <c r="BN79" s="474">
        <v>0.97000000361353156</v>
      </c>
      <c r="BO79" s="474">
        <v>0.96999998554587363</v>
      </c>
      <c r="BP79" s="261">
        <f t="shared" si="120"/>
        <v>72168</v>
      </c>
      <c r="BQ79" s="578">
        <f t="shared" si="121"/>
        <v>108252</v>
      </c>
      <c r="BR79" s="259">
        <f t="shared" si="122"/>
        <v>288672</v>
      </c>
      <c r="BS79" s="578">
        <f t="shared" si="123"/>
        <v>433008</v>
      </c>
      <c r="BT79" s="216">
        <f t="shared" si="124"/>
        <v>5.2128678986995212</v>
      </c>
      <c r="BU79" s="218">
        <f t="shared" si="5"/>
        <v>58.789432379319379</v>
      </c>
      <c r="BV79" s="216">
        <f t="shared" si="6"/>
        <v>58.789432379319379</v>
      </c>
      <c r="BW79" s="216">
        <f t="shared" si="7"/>
        <v>23.21440305456359</v>
      </c>
      <c r="BX79" s="216">
        <f t="shared" si="125"/>
        <v>23.214402622161639</v>
      </c>
      <c r="BY79" s="216">
        <f t="shared" si="8"/>
        <v>51.903942832592456</v>
      </c>
      <c r="BZ79" s="216">
        <f t="shared" si="9"/>
        <v>42.340762762448854</v>
      </c>
      <c r="CA79" s="264">
        <f t="shared" si="10"/>
        <v>58.789432379319379</v>
      </c>
      <c r="CB79" s="216">
        <f t="shared" si="11"/>
        <v>58.789432379319379</v>
      </c>
      <c r="CC79" s="216">
        <f t="shared" si="12"/>
        <v>23.21440305456359</v>
      </c>
      <c r="CD79" s="216">
        <f t="shared" si="126"/>
        <v>23.214402622161639</v>
      </c>
      <c r="CE79" s="216">
        <f t="shared" si="13"/>
        <v>51.903942832592456</v>
      </c>
      <c r="CF79" s="571">
        <f t="shared" si="14"/>
        <v>42.340762762448854</v>
      </c>
      <c r="CG79" s="573">
        <f t="shared" si="15"/>
        <v>0.155</v>
      </c>
      <c r="CH79" s="219">
        <f t="shared" si="16"/>
        <v>0.155</v>
      </c>
      <c r="CI79" s="219">
        <f t="shared" si="17"/>
        <v>0.11</v>
      </c>
      <c r="CJ79" s="219">
        <f t="shared" si="18"/>
        <v>0.15116723289169476</v>
      </c>
      <c r="CK79" s="219">
        <f t="shared" si="19"/>
        <v>0.15116723289169476</v>
      </c>
      <c r="CL79" s="219">
        <f t="shared" si="20"/>
        <v>0.11</v>
      </c>
      <c r="CM79" s="219">
        <f t="shared" si="21"/>
        <v>0.13515124747589427</v>
      </c>
      <c r="CN79" s="569">
        <f t="shared" si="22"/>
        <v>0.13515124747589427</v>
      </c>
      <c r="CO79" s="264">
        <f t="shared" si="175"/>
        <v>17.337777589111564</v>
      </c>
      <c r="CP79" s="216">
        <f t="shared" si="127"/>
        <v>17.337777589111564</v>
      </c>
      <c r="CQ79" s="216">
        <f t="shared" ca="1" si="192"/>
        <v>17.337777589111564</v>
      </c>
      <c r="CR79" s="216">
        <f t="shared" ca="1" si="193"/>
        <v>17.337777589111564</v>
      </c>
      <c r="CS79" s="1626">
        <f t="shared" ca="1" si="194"/>
        <v>17.337777589111564</v>
      </c>
      <c r="CT79" s="216">
        <f t="shared" si="131"/>
        <v>17.337777589111564</v>
      </c>
      <c r="CU79" s="575">
        <f t="shared" si="23"/>
        <v>0.16500000000000001</v>
      </c>
      <c r="CV79" s="154">
        <f t="shared" si="24"/>
        <v>0.5</v>
      </c>
      <c r="CW79" s="216">
        <f>IF(OR($BQ79,$BS79),SpreadOptPowerMargin,0)*((1+Assumptions!$C$26)^($B79-YEAR(Assumptions!$C$17)))</f>
        <v>1.8727199999999999</v>
      </c>
      <c r="CX79" s="216">
        <f>IF(OR($BQ79,$BS79),SpreadOptPowerMargin,0)*((1+Assumptions!$C$26)^($B79-YEAR(Assumptions!$C$17)))</f>
        <v>1.8727199999999999</v>
      </c>
      <c r="CY79" s="216">
        <f>IF(OR($BQ79,$BS79),SpreadOptPowerMargin,0)*((1+Assumptions!$C$26)^($B79-YEAR(Assumptions!$C$17)))</f>
        <v>1.8727199999999999</v>
      </c>
      <c r="CZ79" s="216">
        <f>IF(OR($BQ79,$BS79),SpreadOptPowerMargin,0)*((1+Assumptions!$C$26)^($B79-YEAR(Assumptions!$C$17)))</f>
        <v>1.8727199999999999</v>
      </c>
      <c r="DA79" s="440">
        <f t="shared" si="25"/>
        <v>1.8727200000000002</v>
      </c>
      <c r="DB79" s="479">
        <f t="shared" si="26"/>
        <v>0.155</v>
      </c>
      <c r="DC79" s="479">
        <f t="shared" si="27"/>
        <v>0.155</v>
      </c>
      <c r="DD79" s="479">
        <f t="shared" si="28"/>
        <v>0.11</v>
      </c>
      <c r="DE79" s="479">
        <f t="shared" si="29"/>
        <v>0.11</v>
      </c>
      <c r="DF79" s="479">
        <f t="shared" si="30"/>
        <v>0.13515124747589427</v>
      </c>
      <c r="DG79" s="574">
        <f t="shared" si="31"/>
        <v>0.13515124747589427</v>
      </c>
      <c r="DH79" s="216">
        <f t="shared" si="32"/>
        <v>39.581210642729069</v>
      </c>
      <c r="DI79" s="216">
        <f t="shared" si="33"/>
        <v>39.581210642729069</v>
      </c>
      <c r="DJ79" s="216">
        <f t="shared" ca="1" si="195"/>
        <v>5.061768488439208</v>
      </c>
      <c r="DK79" s="216">
        <f t="shared" ca="1" si="196"/>
        <v>5.0617681502373575</v>
      </c>
      <c r="DL79" s="216">
        <f t="shared" ca="1" si="197"/>
        <v>23.155810550858586</v>
      </c>
      <c r="DM79" s="216"/>
      <c r="DN79" s="216"/>
      <c r="DO79" s="216"/>
      <c r="DP79" s="216"/>
      <c r="DQ79" s="216"/>
      <c r="DR79" s="216"/>
      <c r="DS79" s="216"/>
      <c r="DT79" s="216"/>
      <c r="DU79" s="216"/>
      <c r="DV79" s="216"/>
      <c r="DW79" s="1371">
        <f t="shared" si="37"/>
        <v>5.061768488439208</v>
      </c>
      <c r="DX79" s="216">
        <f t="shared" si="38"/>
        <v>5.0617681502373575</v>
      </c>
      <c r="DY79" s="440">
        <f t="shared" si="39"/>
        <v>23.62060824360303</v>
      </c>
      <c r="DZ79" s="180">
        <f t="shared" si="40"/>
        <v>1842901.1675254654</v>
      </c>
      <c r="EA79" s="180">
        <f t="shared" si="41"/>
        <v>460725.29188136634</v>
      </c>
      <c r="EB79" s="180">
        <f t="shared" ca="1" si="198"/>
        <v>70702.782246518851</v>
      </c>
      <c r="EC79" s="180">
        <f t="shared" ca="1" si="199"/>
        <v>182648.8419331648</v>
      </c>
      <c r="ED79" s="180">
        <f t="shared" ca="1" si="200"/>
        <v>2506662.8037515436</v>
      </c>
      <c r="EE79" s="581">
        <f t="shared" si="45"/>
        <v>1842795.2038320757</v>
      </c>
      <c r="EF79" s="554">
        <f t="shared" si="46"/>
        <v>460698.80095801892</v>
      </c>
      <c r="EG79" s="554">
        <f t="shared" ca="1" si="201"/>
        <v>55926.551541433888</v>
      </c>
      <c r="EH79" s="554">
        <f t="shared" ca="1" si="202"/>
        <v>144476.90921257887</v>
      </c>
      <c r="EI79" s="561">
        <f t="shared" ca="1" si="49"/>
        <v>2503897.4655441083</v>
      </c>
      <c r="EJ79" s="581">
        <f t="shared" si="132"/>
        <v>105.96369338966906</v>
      </c>
      <c r="EK79" s="554">
        <f t="shared" si="133"/>
        <v>26.490923347417265</v>
      </c>
      <c r="EL79" s="554">
        <f t="shared" ca="1" si="203"/>
        <v>14776.230705084963</v>
      </c>
      <c r="EM79" s="554">
        <f t="shared" ca="1" si="204"/>
        <v>38171.93272058593</v>
      </c>
      <c r="EN79" s="561">
        <f t="shared" ca="1" si="205"/>
        <v>2765.3382074353285</v>
      </c>
      <c r="EO79" s="180">
        <f t="shared" si="50"/>
        <v>7371604.6701018615</v>
      </c>
      <c r="EP79" s="180">
        <f t="shared" si="51"/>
        <v>1842901.1675254654</v>
      </c>
      <c r="EQ79" s="180">
        <f t="shared" si="52"/>
        <v>282811.1289860754</v>
      </c>
      <c r="ER79" s="180">
        <f t="shared" si="53"/>
        <v>730595.36773265922</v>
      </c>
      <c r="ES79" s="180">
        <f t="shared" si="54"/>
        <v>10227912.334346062</v>
      </c>
      <c r="ET79" s="1482">
        <f t="shared" ca="1" si="206"/>
        <v>7371180.8153283028</v>
      </c>
      <c r="EU79" s="180">
        <f t="shared" ca="1" si="207"/>
        <v>1842795.2038320757</v>
      </c>
      <c r="EV79" s="180">
        <f t="shared" ca="1" si="208"/>
        <v>223706.20616573555</v>
      </c>
      <c r="EW79" s="180">
        <f t="shared" ca="1" si="209"/>
        <v>577907.6368503155</v>
      </c>
      <c r="EX79" s="555">
        <f t="shared" ca="1" si="182"/>
        <v>10015589.862176429</v>
      </c>
      <c r="EY79" s="180">
        <f t="shared" ca="1" si="210"/>
        <v>423.85477355867624</v>
      </c>
      <c r="EZ79" s="180">
        <f t="shared" ca="1" si="211"/>
        <v>105.96369338966906</v>
      </c>
      <c r="FA79" s="180">
        <f t="shared" ca="1" si="212"/>
        <v>59104.922820339852</v>
      </c>
      <c r="FB79" s="180">
        <f t="shared" ca="1" si="213"/>
        <v>152687.73088234372</v>
      </c>
      <c r="FC79" s="180">
        <f t="shared" ca="1" si="214"/>
        <v>212322.47216963209</v>
      </c>
      <c r="FD79" s="262">
        <f>IF(AX79,IF(VLOOKUP(C79,MAIN!$L$17:$M$28,2)="Yes",VLOOKUP(CALC!B79,MAIN!$H$17:$I$20,2),0),0)</f>
        <v>0</v>
      </c>
      <c r="FE79" s="623">
        <f t="shared" si="60"/>
        <v>0</v>
      </c>
      <c r="FF79" s="535">
        <f t="shared" si="61"/>
        <v>0</v>
      </c>
      <c r="FG79" s="535">
        <f t="shared" si="62"/>
        <v>0</v>
      </c>
      <c r="FH79" s="624">
        <f t="shared" si="63"/>
        <v>0</v>
      </c>
      <c r="FI79" s="632">
        <f>IF(AX79,VLOOKUP(CALC!B79,MAIN!$H$17:$K$20,4),0)</f>
        <v>0</v>
      </c>
      <c r="FJ79" s="535">
        <f t="shared" si="64"/>
        <v>0</v>
      </c>
      <c r="FK79" s="648">
        <f t="shared" si="142"/>
        <v>0</v>
      </c>
      <c r="FL79" s="530">
        <f t="shared" ca="1" si="215"/>
        <v>0</v>
      </c>
      <c r="FM79" s="530">
        <f t="shared" ca="1" si="216"/>
        <v>0</v>
      </c>
      <c r="FN79" s="530">
        <f t="shared" ca="1" si="217"/>
        <v>0</v>
      </c>
      <c r="FO79" s="622">
        <f t="shared" ca="1" si="218"/>
        <v>0</v>
      </c>
      <c r="FP79" s="530">
        <f t="shared" ca="1" si="219"/>
        <v>0</v>
      </c>
      <c r="FQ79" s="530">
        <f t="shared" ca="1" si="220"/>
        <v>0</v>
      </c>
      <c r="FR79" s="530">
        <f t="shared" ca="1" si="221"/>
        <v>0</v>
      </c>
      <c r="FS79" s="625">
        <f t="shared" ca="1" si="222"/>
        <v>0</v>
      </c>
      <c r="FT79" s="640">
        <f ca="1">IF(AND(Assumptions!$H$71="Yes",A79&gt;=Assumptions!$H$72,A79&lt;=Assumptions!$H$73),0,IF(AND($A79&gt;=Assumptions!$C$17,$A79&lt;=Assumptions!$C$18),MAX(AZ79*(1+VLOOKUP($C79,WeatherCapacityAdjustment,2))-FL79,0),0))</f>
        <v>46560</v>
      </c>
      <c r="FU79" s="530">
        <f ca="1">IF(AND(Assumptions!$H$71="Yes",A79&gt;=Assumptions!$H$72,A79&lt;=Assumptions!$H$73),0,IF(AND($A79&gt;=Assumptions!$C$17,$A79&lt;=Assumptions!$C$18),MAX(BA79*(1+VLOOKUP($C79,WeatherCapacityAdjustment,2))-FM79,0),0))</f>
        <v>11640</v>
      </c>
      <c r="FV79" s="530">
        <f ca="1">IF(AND(Assumptions!$H$71="Yes",A79&gt;=Assumptions!$H$72,A79&lt;=Assumptions!$H$73),0,IF(AND($A79&gt;=Assumptions!$C$17,$A79&lt;=Assumptions!$C$18),MAX(BB79*(1+VLOOKUP($C79,WeatherCapacityAdjustment,2))-FN79,0),0))</f>
        <v>13968</v>
      </c>
      <c r="FW79" s="622">
        <f ca="1">IF(AND(Assumptions!$H$71="Yes",A79&gt;=Assumptions!$H$72,A79&lt;=Assumptions!$H$73),0,IF(AND($A79&gt;=Assumptions!$C$17,$A79&lt;=Assumptions!$C$18),MAX(BC79*(1+VLOOKUP($C79,WeatherCapacityAdjustment,3))-FO79,0),0))</f>
        <v>36084</v>
      </c>
      <c r="FX79" s="621">
        <f ca="1">IF(AND(Assumptions!$H$71="Yes",A79&gt;=Assumptions!$H$72,A79&lt;=Assumptions!$H$73),0,IF(ET79&gt;0,MAX(BH79*(1+VLOOKUP($C79,WeatherCapacityAdjustment,2))-FP79,0),0))</f>
        <v>186240</v>
      </c>
      <c r="FY79" s="530">
        <f ca="1">IF(AND(Assumptions!$H$71="Yes",A79&gt;=Assumptions!$H$72,A79&lt;=Assumptions!$H$73),0,IF(EU79&gt;0,MAX(BI79*(1+VLOOKUP($C79,WeatherCapacityAdjustment,3))-FQ79,0),0))</f>
        <v>46560</v>
      </c>
      <c r="FZ79" s="530">
        <f ca="1">IF(AND(Assumptions!$H$71="Yes",A79&gt;=Assumptions!$H$72,A79&lt;=Assumptions!$H$73),0,IF(EV79&gt;0,MAX(BJ79*(1+VLOOKUP($C79,WeatherCapacityAdjustment,2))-FR79,0),0))</f>
        <v>55872</v>
      </c>
      <c r="GA79" s="622">
        <f ca="1">IF(AND(Assumptions!$H$71="Yes",A79&gt;=Assumptions!$H$72,A79&lt;=Assumptions!$H$73),0,IF(EW79&gt;0,MAX(BK79*(1+VLOOKUP($C79,WeatherCapacityAdjustment,2))-FS79,0),0))</f>
        <v>144336</v>
      </c>
      <c r="GB79" s="530">
        <f t="shared" ca="1" si="65"/>
        <v>541260</v>
      </c>
      <c r="GC79" s="545">
        <f t="shared" ca="1" si="66"/>
        <v>42.340762762448854</v>
      </c>
      <c r="GD79" s="530">
        <f t="shared" ca="1" si="223"/>
        <v>22917361.252803065</v>
      </c>
      <c r="GE79" s="1485">
        <f t="shared" ca="1" si="224"/>
        <v>767630.08727999998</v>
      </c>
      <c r="GF79" s="1776">
        <f t="shared" ca="1" si="225"/>
        <v>3070520.3491199999</v>
      </c>
      <c r="GG79" s="545">
        <f t="shared" si="190"/>
        <v>2.4449915795078878</v>
      </c>
      <c r="GH79" s="622">
        <f t="shared" ca="1" si="191"/>
        <v>9384245.4978825245</v>
      </c>
      <c r="GI79" s="621">
        <f t="shared" ca="1" si="152"/>
        <v>541260</v>
      </c>
      <c r="GJ79" s="638">
        <f t="shared" si="68"/>
        <v>1.8727200000000002</v>
      </c>
      <c r="GK79" s="625">
        <f t="shared" ca="1" si="166"/>
        <v>1013628.4272</v>
      </c>
      <c r="GL79" s="640">
        <f t="shared" ca="1" si="226"/>
        <v>0</v>
      </c>
      <c r="GM79" s="530">
        <f t="shared" ca="1" si="227"/>
        <v>0</v>
      </c>
      <c r="GN79" s="530">
        <f t="shared" ca="1" si="228"/>
        <v>0</v>
      </c>
      <c r="GO79" s="622">
        <f t="shared" ca="1" si="229"/>
        <v>0</v>
      </c>
      <c r="GP79" s="530">
        <f t="shared" ca="1" si="73"/>
        <v>0</v>
      </c>
      <c r="GQ79" s="545">
        <f t="shared" ca="1" si="74"/>
        <v>0</v>
      </c>
      <c r="GR79" s="625">
        <f t="shared" ca="1" si="230"/>
        <v>0</v>
      </c>
      <c r="GS79" s="640">
        <f>IF($A79&gt;=BegDate,Assumptions!$C$56*24*($A80-$A79)*(1-VLOOKUP($B79,MAIN!$AA$7:$AM$28,$C79+1))*(1-VLOOKUP($B79,MAIN!$AA$33:$AM$54,$C79+1)),0)*80/168</f>
        <v>257742.85714285713</v>
      </c>
      <c r="GT79" s="1715">
        <f t="shared" si="153"/>
        <v>58.789432160311677</v>
      </c>
      <c r="GU79" s="1715">
        <f>IF($A79&gt;=BegDate,VLOOKUP($A79,GasTable,13)+Assumptions!$C$58,0)</f>
        <v>2.4449915795078878</v>
      </c>
      <c r="GV79" s="1715">
        <f>GU79*Assumptions!$C$57/1000</f>
        <v>17.726188951432189</v>
      </c>
      <c r="GW79" s="625">
        <f>IF(Assumptions!$C$60="Hourly",MAX(0,GS79*(GT79-GV79)),GS79*(GT79-GV79))</f>
        <v>10583757.628208622</v>
      </c>
      <c r="GX79" s="640">
        <f>IF($A79&gt;=BegDate,Assumptions!$C$56*24*($A80-$A79)*(1-VLOOKUP($B79,MAIN!$AA$7:$AM$28,$C79+1))*(1-VLOOKUP($B79,MAIN!$AA$33:$AM$54,$C79+1)),0)*16/168</f>
        <v>51548.571428571428</v>
      </c>
      <c r="GY79" s="1715">
        <f t="shared" si="154"/>
        <v>58.789432160311677</v>
      </c>
      <c r="GZ79" s="1715">
        <f>IF($A79&gt;=BegDate,VLOOKUP($A79,GasTable,13)+Assumptions!$C$58,0)</f>
        <v>2.4449915795078878</v>
      </c>
      <c r="HA79" s="1715">
        <f>GZ79*Assumptions!$C$57/1000</f>
        <v>17.726188951432189</v>
      </c>
      <c r="HB79" s="625">
        <f>IF(Assumptions!$C$60="Hourly",MAX(0,GX79*(GY79-HA79)),GX79*(GY79-HA79))</f>
        <v>2116751.5256417245</v>
      </c>
      <c r="HC79" s="640">
        <f>IF($A79&gt;=BegDate,Assumptions!$C$56*24*($A80-$A79)*(1-VLOOKUP($B79,MAIN!$AA$7:$AM$28,$C79+1))*(1-VLOOKUP($B79,MAIN!$AA$33:$AM$54,$C79+1)),0)*16/168</f>
        <v>51548.571428571428</v>
      </c>
      <c r="HD79" s="1715">
        <f t="shared" si="155"/>
        <v>23.214402968083199</v>
      </c>
      <c r="HE79" s="1715">
        <f>IF($A79&gt;=BegDate,VLOOKUP($A79,GasTable,13)+Assumptions!$C$58,0)</f>
        <v>2.4449915795078878</v>
      </c>
      <c r="HF79" s="1715">
        <f>HE79*Assumptions!$C$57/1000</f>
        <v>17.726188951432189</v>
      </c>
      <c r="HG79" s="625">
        <f>IF(Assumptions!$C$60="Hourly",MAX(0,HC79*(HD79-HF79)),HC79*(HD79-HF79))</f>
        <v>282909.59225262149</v>
      </c>
      <c r="HH79" s="640">
        <f>IF($A79&gt;=BegDate,Assumptions!$C$56*24*($A80-$A79)*(1-VLOOKUP($B79,MAIN!$AA$7:$AM$28,$C79+1))*(1-VLOOKUP($B79,MAIN!$AA$33:$AM$54,$C79+1)),0)*56/168</f>
        <v>180420</v>
      </c>
      <c r="HI79" s="1715">
        <f t="shared" si="156"/>
        <v>23.214402968083199</v>
      </c>
      <c r="HJ79" s="1715">
        <f>IF($A79&gt;=BegDate,VLOOKUP($A79,GasTable,13)+Assumptions!$C$58,0)</f>
        <v>2.4449915795078878</v>
      </c>
      <c r="HK79" s="1715">
        <f>HJ79*Assumptions!$C$57/1000</f>
        <v>17.726188951432189</v>
      </c>
      <c r="HL79" s="625">
        <f>IF(Assumptions!$C$60="Hourly",MAX(0,HH79*(HI79-HK79)),HH79*(HI79-HK79))</f>
        <v>990183.57288417534</v>
      </c>
      <c r="HM79" s="640">
        <f>IF(AND(Assumptions!$H$71="Yes",A79&gt;=Assumptions!$H$72,A79&lt;=Assumptions!$H$73),Assumptions!$H$74*Assumptions!$C$9*1000,0)</f>
        <v>0</v>
      </c>
      <c r="HN79" s="530">
        <f t="shared" ca="1" si="235"/>
        <v>13533115.75492054</v>
      </c>
      <c r="HO79" s="545"/>
      <c r="HP79" s="545"/>
      <c r="HQ79" s="545"/>
      <c r="HR79" s="545"/>
      <c r="HS79" s="545"/>
      <c r="HT79" s="545"/>
      <c r="HU79" s="545"/>
      <c r="HV79" s="545"/>
      <c r="HW79" s="545"/>
      <c r="HX79" s="545"/>
      <c r="HY79" s="545"/>
      <c r="HZ79" s="545"/>
      <c r="IA79" s="545"/>
      <c r="IB79" s="545"/>
      <c r="IC79" s="545"/>
      <c r="ID79" s="545"/>
      <c r="IE79" s="545"/>
      <c r="IF79" s="545"/>
      <c r="IG79" s="545"/>
      <c r="IH79" s="545"/>
      <c r="II79" s="1464"/>
      <c r="IJ79" s="1463"/>
      <c r="IK79" s="1463"/>
    </row>
    <row r="80" spans="1:245">
      <c r="A80" s="177">
        <f t="shared" si="87"/>
        <v>38565</v>
      </c>
      <c r="B80" s="349">
        <f t="shared" si="88"/>
        <v>2005</v>
      </c>
      <c r="C80" s="15">
        <f t="shared" si="89"/>
        <v>8</v>
      </c>
      <c r="D80" s="612" t="str">
        <f t="shared" si="90"/>
        <v/>
      </c>
      <c r="E80" s="609">
        <f t="shared" si="91"/>
        <v>38565</v>
      </c>
      <c r="F80" s="614">
        <f t="shared" si="2"/>
        <v>38595</v>
      </c>
      <c r="G80" s="1349">
        <v>0</v>
      </c>
      <c r="H80" s="152">
        <f t="shared" si="165"/>
        <v>1</v>
      </c>
      <c r="I80" s="154">
        <f>IF(Assumptions!$L$25=4,VLOOKUP($A80,'Henwood Reference'!$E$9:$R$320,10),(VLOOKUP($A80,PriceTable,2,0)+IF(BasisNumber&lt;&gt;1,VLOOKUP($A80,BasisTable,2,0),0)+I$1)/(1-I$2))</f>
        <v>100.08017726262625</v>
      </c>
      <c r="J80" s="154">
        <f>IF(Assumptions!$L$25=4,VLOOKUP($A80,'Henwood Reference'!$E$9:$R$320,10),(VLOOKUP($A80,PriceTable,3,0)+IF(BasisNumber&lt;&gt;1,VLOOKUP($A80,BasisTable,2,0),0)+J$1)/(1-J$2))</f>
        <v>100.08017726262625</v>
      </c>
      <c r="K80" s="154">
        <f>IF(Assumptions!$L$25=4,VLOOKUP($A80,'Henwood Reference'!$E$9:$R$320,10),(VLOOKUP($A80,PriceTable,4,0)+IF(BasisNumber&lt;&gt;1,VLOOKUP($A80,BasisTable,2,0),0)+K$1)/(1-K$2))</f>
        <v>100.08017726262625</v>
      </c>
      <c r="L80" s="474">
        <f>IF(Assumptions!$L$25=4,VLOOKUP($A80,'Henwood Reference'!$E$9:$R$320,10),(VLOOKUP($A80,PriceTableWeekend,2,0)+IF(BasisNumber&lt;&gt;1,VLOOKUP($A80,BasisTable,2,0),0)+L$1)/(1-L$2))</f>
        <v>100.08017726262625</v>
      </c>
      <c r="M80" s="154">
        <f>IF(Assumptions!$L$25=4,VLOOKUP($A80,'Henwood Reference'!$E$9:$R$320,10),(VLOOKUP($A80,PriceTableWeekend,3,0)+IF(BasisNumber&lt;&gt;1,VLOOKUP($A80,BasisTable,2,0),0)+M$1)/(1-M$2))</f>
        <v>100.08017726262625</v>
      </c>
      <c r="N80" s="156">
        <f>IF(Assumptions!$L$25=4,VLOOKUP($A80,'Henwood Reference'!$E$9:$R$320,10),(VLOOKUP($A80,PriceTableWeekend,4,0)+IF(BasisNumber&lt;&gt;1,VLOOKUP($A80,BasisTable,2,0),0)+N$1)/(1-N$2))</f>
        <v>100.08017726262625</v>
      </c>
      <c r="O80" s="154">
        <f>IF(Assumptions!$L$25=4,VLOOKUP($A80,'Henwood Reference'!$E$9:$R$320,11),(VLOOKUP($A80,PriceTableWeekend,6,0)+IF(BasisNumber&lt;&gt;1,VLOOKUP($A80,BasisTable,3,0),0)+O$1)/(1-O$2))</f>
        <v>29.586494915671679</v>
      </c>
      <c r="P80" s="154">
        <f>IF(Assumptions!$L$25=4,VLOOKUP($A80,'Henwood Reference'!$E$9:$R$320,11),(VLOOKUP($A80,PriceTableWeekend,7,0)+IF(BasisNumber&lt;&gt;1,VLOOKUP($A80,BasisTable,3,0),0)+P$1)/(1-P$2))</f>
        <v>29.586494915671679</v>
      </c>
      <c r="Q80" s="156">
        <f>IF(Assumptions!$L$25=4,VLOOKUP($A80,'Henwood Reference'!$E$9:$R$320,11),(VLOOKUP($A80,PriceTableWeekend,8,0)+IF(BasisNumber&lt;&gt;1,VLOOKUP($A80,BasisTable,3,0),0)+Q$1)/(1-Q$2))</f>
        <v>29.586494915671679</v>
      </c>
      <c r="R80" s="154">
        <f>IF(Assumptions!$L$25=4,VLOOKUP($A80,'Henwood Reference'!$E$9:$R$320,11),(VLOOKUP($A80,PriceTable,6,0)+IF(BasisNumber&lt;&gt;1,VLOOKUP($A80,BasisTable,3,0),0)+R$1)/(1-R$2))</f>
        <v>29.586494915671679</v>
      </c>
      <c r="S80" s="154">
        <f>IF(Assumptions!$L$25=4,VLOOKUP($A80,'Henwood Reference'!$E$9:$R$320,11),(VLOOKUP($A80,PriceTable,7,0)+IF(BasisNumber&lt;&gt;1,VLOOKUP($A80,BasisTable,3,0),0)+S$1)/(1-S$2))</f>
        <v>29.586494915671679</v>
      </c>
      <c r="T80" s="155">
        <f>IF(Assumptions!$L$25=4,VLOOKUP($A80,'Henwood Reference'!$E$9:$R$320,11),(VLOOKUP($A80,PriceTable,8,0)+IF(BasisNumber&lt;&gt;1,VLOOKUP($A80,BasisTable,3,0),0)+T$1)/(1-T$2))</f>
        <v>29.586494915671679</v>
      </c>
      <c r="U80" s="173">
        <f t="shared" si="92"/>
        <v>0.14499999999999999</v>
      </c>
      <c r="V80" s="173">
        <f t="shared" si="93"/>
        <v>0.155</v>
      </c>
      <c r="W80" s="174">
        <f t="shared" si="94"/>
        <v>0.16500000000000001</v>
      </c>
      <c r="X80" s="173">
        <f t="shared" si="95"/>
        <v>0.14499999999999999</v>
      </c>
      <c r="Y80" s="173">
        <f t="shared" si="96"/>
        <v>0.155</v>
      </c>
      <c r="Z80" s="174">
        <f t="shared" si="97"/>
        <v>0.16500000000000001</v>
      </c>
      <c r="AA80" s="173">
        <f t="shared" si="98"/>
        <v>0.09</v>
      </c>
      <c r="AB80" s="173">
        <f t="shared" si="99"/>
        <v>0.11</v>
      </c>
      <c r="AC80" s="174">
        <f t="shared" si="100"/>
        <v>0.13</v>
      </c>
      <c r="AD80" s="173">
        <f t="shared" si="101"/>
        <v>0.09</v>
      </c>
      <c r="AE80" s="173">
        <f t="shared" si="102"/>
        <v>0.11</v>
      </c>
      <c r="AF80" s="174">
        <f t="shared" si="103"/>
        <v>0.13</v>
      </c>
      <c r="AG80" s="173">
        <f t="shared" si="104"/>
        <v>-0.35</v>
      </c>
      <c r="AH80" s="173">
        <f t="shared" si="105"/>
        <v>3</v>
      </c>
      <c r="AI80" s="174">
        <f t="shared" si="106"/>
        <v>0.35</v>
      </c>
      <c r="AJ80" s="173">
        <f t="shared" si="107"/>
        <v>-0.35</v>
      </c>
      <c r="AK80" s="173">
        <f t="shared" si="108"/>
        <v>3</v>
      </c>
      <c r="AL80" s="174">
        <f t="shared" si="109"/>
        <v>0.35</v>
      </c>
      <c r="AM80" s="173">
        <f t="shared" si="110"/>
        <v>-0.01</v>
      </c>
      <c r="AN80" s="173">
        <f t="shared" si="111"/>
        <v>0.16</v>
      </c>
      <c r="AO80" s="174">
        <f t="shared" si="112"/>
        <v>0.01</v>
      </c>
      <c r="AP80" s="173">
        <f t="shared" si="113"/>
        <v>-0.01</v>
      </c>
      <c r="AQ80" s="173">
        <f t="shared" si="114"/>
        <v>0.16</v>
      </c>
      <c r="AR80" s="175">
        <f t="shared" si="115"/>
        <v>0.01</v>
      </c>
      <c r="AS80" s="521">
        <f t="shared" si="231"/>
        <v>0.5</v>
      </c>
      <c r="AT80" s="349">
        <f t="shared" si="117"/>
        <v>23</v>
      </c>
      <c r="AU80" s="159">
        <f t="shared" si="3"/>
        <v>4</v>
      </c>
      <c r="AV80" s="159">
        <f t="shared" si="4"/>
        <v>4</v>
      </c>
      <c r="AW80" s="159">
        <f t="shared" si="232"/>
        <v>0</v>
      </c>
      <c r="AX80" s="15">
        <f t="shared" si="119"/>
        <v>31</v>
      </c>
      <c r="AY80" s="607">
        <f>IF(E80="",0,MIN((1-(1-VLOOKUP(B80,MAIN!$AA$7:$AM$28,C80+1))*(1-VLOOKUP(B80,MAIN!$AA$33:$AM$54,C80+1))),1))</f>
        <v>3.0000000000000027E-2</v>
      </c>
      <c r="AZ80" s="337">
        <v>53544</v>
      </c>
      <c r="BA80" s="509">
        <v>9312</v>
      </c>
      <c r="BB80" s="509">
        <v>9312</v>
      </c>
      <c r="BC80" s="511">
        <v>36084</v>
      </c>
      <c r="BD80" s="153">
        <v>0.96999998915940522</v>
      </c>
      <c r="BE80" s="474">
        <v>0.96999998915940522</v>
      </c>
      <c r="BF80" s="474">
        <v>0.96999998915940522</v>
      </c>
      <c r="BG80" s="515">
        <v>0.97000000722706314</v>
      </c>
      <c r="BH80" s="262">
        <v>214176</v>
      </c>
      <c r="BI80" s="509">
        <v>37248</v>
      </c>
      <c r="BJ80" s="509">
        <v>37248</v>
      </c>
      <c r="BK80" s="511">
        <v>144336</v>
      </c>
      <c r="BL80" s="153">
        <v>0.96999998915940522</v>
      </c>
      <c r="BM80" s="474">
        <v>0.96999998915940522</v>
      </c>
      <c r="BN80" s="474">
        <v>0.96999998915940522</v>
      </c>
      <c r="BO80" s="474">
        <v>0.97000000722706314</v>
      </c>
      <c r="BP80" s="261">
        <f t="shared" si="120"/>
        <v>72168</v>
      </c>
      <c r="BQ80" s="578">
        <f t="shared" si="121"/>
        <v>108252</v>
      </c>
      <c r="BR80" s="259">
        <f t="shared" si="122"/>
        <v>288672</v>
      </c>
      <c r="BS80" s="578">
        <f t="shared" si="123"/>
        <v>433008</v>
      </c>
      <c r="BT80" s="216">
        <f t="shared" si="124"/>
        <v>5.2977412731006162</v>
      </c>
      <c r="BU80" s="218">
        <f t="shared" si="5"/>
        <v>100.08017614414311</v>
      </c>
      <c r="BV80" s="216">
        <f t="shared" si="6"/>
        <v>100.08017614414311</v>
      </c>
      <c r="BW80" s="216">
        <f t="shared" si="7"/>
        <v>29.586494585016833</v>
      </c>
      <c r="BX80" s="216">
        <f t="shared" si="125"/>
        <v>29.586495136108244</v>
      </c>
      <c r="BY80" s="216">
        <f t="shared" si="8"/>
        <v>90.984217233288106</v>
      </c>
      <c r="BZ80" s="216">
        <f t="shared" si="9"/>
        <v>70.518309867561484</v>
      </c>
      <c r="CA80" s="264">
        <f t="shared" si="10"/>
        <v>100.08017614414311</v>
      </c>
      <c r="CB80" s="216">
        <f t="shared" si="11"/>
        <v>100.08017614414311</v>
      </c>
      <c r="CC80" s="216">
        <f t="shared" si="12"/>
        <v>29.586494585016833</v>
      </c>
      <c r="CD80" s="216">
        <f t="shared" si="126"/>
        <v>29.586495136108244</v>
      </c>
      <c r="CE80" s="216">
        <f t="shared" si="13"/>
        <v>90.984217233288106</v>
      </c>
      <c r="CF80" s="571">
        <f t="shared" si="14"/>
        <v>70.518309867561484</v>
      </c>
      <c r="CG80" s="573">
        <f t="shared" si="15"/>
        <v>0.155</v>
      </c>
      <c r="CH80" s="219">
        <f t="shared" si="16"/>
        <v>0.155</v>
      </c>
      <c r="CI80" s="219">
        <f t="shared" si="17"/>
        <v>0.11</v>
      </c>
      <c r="CJ80" s="219">
        <f t="shared" si="18"/>
        <v>0.15314455561663384</v>
      </c>
      <c r="CK80" s="219">
        <f t="shared" si="19"/>
        <v>0.15314455561663384</v>
      </c>
      <c r="CL80" s="219">
        <f t="shared" si="20"/>
        <v>0.11</v>
      </c>
      <c r="CM80" s="219">
        <f t="shared" si="21"/>
        <v>0.14044675584311905</v>
      </c>
      <c r="CN80" s="569">
        <f t="shared" si="22"/>
        <v>0.14044675584311905</v>
      </c>
      <c r="CO80" s="264">
        <f t="shared" si="175"/>
        <v>17.969270084239099</v>
      </c>
      <c r="CP80" s="216">
        <f t="shared" si="127"/>
        <v>17.969270084239099</v>
      </c>
      <c r="CQ80" s="216">
        <f t="shared" ca="1" si="192"/>
        <v>17.969270084239099</v>
      </c>
      <c r="CR80" s="216">
        <f t="shared" ca="1" si="193"/>
        <v>17.969270084239099</v>
      </c>
      <c r="CS80" s="1626">
        <f t="shared" ca="1" si="194"/>
        <v>17.969270084239099</v>
      </c>
      <c r="CT80" s="216">
        <f t="shared" si="131"/>
        <v>17.969270084239099</v>
      </c>
      <c r="CU80" s="575">
        <f t="shared" si="23"/>
        <v>0.16500000000000001</v>
      </c>
      <c r="CV80" s="154">
        <f t="shared" si="24"/>
        <v>0.5</v>
      </c>
      <c r="CW80" s="216">
        <f>IF(OR($BQ80,$BS80),SpreadOptPowerMargin,0)*((1+Assumptions!$C$26)^($B80-YEAR(Assumptions!$C$17)))</f>
        <v>1.8727199999999999</v>
      </c>
      <c r="CX80" s="216">
        <f>IF(OR($BQ80,$BS80),SpreadOptPowerMargin,0)*((1+Assumptions!$C$26)^($B80-YEAR(Assumptions!$C$17)))</f>
        <v>1.8727199999999999</v>
      </c>
      <c r="CY80" s="216">
        <f>IF(OR($BQ80,$BS80),SpreadOptPowerMargin,0)*((1+Assumptions!$C$26)^($B80-YEAR(Assumptions!$C$17)))</f>
        <v>1.8727199999999999</v>
      </c>
      <c r="CZ80" s="216">
        <f>IF(OR($BQ80,$BS80),SpreadOptPowerMargin,0)*((1+Assumptions!$C$26)^($B80-YEAR(Assumptions!$C$17)))</f>
        <v>1.8727199999999999</v>
      </c>
      <c r="DA80" s="440">
        <f t="shared" si="25"/>
        <v>1.8727200000000002</v>
      </c>
      <c r="DB80" s="479">
        <f t="shared" si="26"/>
        <v>0.155</v>
      </c>
      <c r="DC80" s="479">
        <f t="shared" si="27"/>
        <v>0.155</v>
      </c>
      <c r="DD80" s="479">
        <f t="shared" si="28"/>
        <v>0.11</v>
      </c>
      <c r="DE80" s="479">
        <f t="shared" si="29"/>
        <v>0.11</v>
      </c>
      <c r="DF80" s="479">
        <f t="shared" si="30"/>
        <v>0.14044675584311905</v>
      </c>
      <c r="DG80" s="574">
        <f t="shared" si="31"/>
        <v>0.14044675584311905</v>
      </c>
      <c r="DH80" s="216">
        <f t="shared" si="32"/>
        <v>80.238205105521288</v>
      </c>
      <c r="DI80" s="216">
        <f t="shared" si="33"/>
        <v>80.238205105521288</v>
      </c>
      <c r="DJ80" s="216">
        <f t="shared" ca="1" si="195"/>
        <v>10.100965852826603</v>
      </c>
      <c r="DK80" s="216">
        <f t="shared" ca="1" si="196"/>
        <v>10.100966362956518</v>
      </c>
      <c r="DL80" s="216">
        <f t="shared" ca="1" si="197"/>
        <v>50.676612315828628</v>
      </c>
      <c r="DM80" s="216"/>
      <c r="DN80" s="216"/>
      <c r="DO80" s="216"/>
      <c r="DP80" s="216"/>
      <c r="DQ80" s="216"/>
      <c r="DR80" s="216"/>
      <c r="DS80" s="216"/>
      <c r="DT80" s="216"/>
      <c r="DU80" s="216"/>
      <c r="DV80" s="216"/>
      <c r="DW80" s="1371">
        <f t="shared" si="37"/>
        <v>10.100965852826603</v>
      </c>
      <c r="DX80" s="216">
        <f t="shared" si="38"/>
        <v>10.100966362956518</v>
      </c>
      <c r="DY80" s="440">
        <f t="shared" si="39"/>
        <v>50.825814621208757</v>
      </c>
      <c r="DZ80" s="180">
        <f t="shared" si="40"/>
        <v>4296274.4541700315</v>
      </c>
      <c r="EA80" s="180">
        <f t="shared" si="41"/>
        <v>747178.1659426142</v>
      </c>
      <c r="EB80" s="180">
        <f t="shared" ca="1" si="198"/>
        <v>94060.194021521325</v>
      </c>
      <c r="EC80" s="180">
        <f t="shared" ca="1" si="199"/>
        <v>364483.27024092298</v>
      </c>
      <c r="ED80" s="180">
        <f t="shared" ca="1" si="200"/>
        <v>5485844.6364130806</v>
      </c>
      <c r="EE80" s="581">
        <f t="shared" si="45"/>
        <v>4296273.4343915004</v>
      </c>
      <c r="EF80" s="554">
        <f t="shared" si="46"/>
        <v>747177.98858982616</v>
      </c>
      <c r="EG80" s="554">
        <f t="shared" ca="1" si="201"/>
        <v>90740.825911242253</v>
      </c>
      <c r="EH80" s="554">
        <f t="shared" ca="1" si="202"/>
        <v>351620.7202916462</v>
      </c>
      <c r="EI80" s="561">
        <f t="shared" ca="1" si="49"/>
        <v>5485812.9691842152</v>
      </c>
      <c r="EJ80" s="581">
        <f t="shared" si="132"/>
        <v>1.0197785310447216</v>
      </c>
      <c r="EK80" s="554">
        <f t="shared" si="133"/>
        <v>0.17735278804320842</v>
      </c>
      <c r="EL80" s="554">
        <f t="shared" ca="1" si="203"/>
        <v>3319.3681102790724</v>
      </c>
      <c r="EM80" s="554">
        <f t="shared" ca="1" si="204"/>
        <v>12862.549949276785</v>
      </c>
      <c r="EN80" s="561">
        <f t="shared" ca="1" si="205"/>
        <v>31.66722886543721</v>
      </c>
      <c r="EO80" s="180">
        <f t="shared" si="50"/>
        <v>17185097.816680126</v>
      </c>
      <c r="EP80" s="180">
        <f t="shared" si="51"/>
        <v>2988712.6637704568</v>
      </c>
      <c r="EQ80" s="180">
        <f t="shared" si="52"/>
        <v>376240.7760860853</v>
      </c>
      <c r="ER80" s="180">
        <f t="shared" si="53"/>
        <v>1457933.0809636919</v>
      </c>
      <c r="ES80" s="180">
        <f t="shared" si="54"/>
        <v>22007984.33750036</v>
      </c>
      <c r="ET80" s="1482">
        <f t="shared" ca="1" si="206"/>
        <v>17185093.737566002</v>
      </c>
      <c r="EU80" s="180">
        <f t="shared" ca="1" si="207"/>
        <v>2988711.9543593046</v>
      </c>
      <c r="EV80" s="180">
        <f t="shared" ca="1" si="208"/>
        <v>362963.30364496901</v>
      </c>
      <c r="EW80" s="180">
        <f t="shared" ca="1" si="209"/>
        <v>1406482.8811665848</v>
      </c>
      <c r="EX80" s="555">
        <f t="shared" ca="1" si="182"/>
        <v>21943251.876736861</v>
      </c>
      <c r="EY80" s="180">
        <f t="shared" ca="1" si="210"/>
        <v>4.0791141241788864</v>
      </c>
      <c r="EZ80" s="180">
        <f t="shared" ca="1" si="211"/>
        <v>0.70941115217283368</v>
      </c>
      <c r="FA80" s="180">
        <f t="shared" ca="1" si="212"/>
        <v>13277.47244111629</v>
      </c>
      <c r="FB80" s="180">
        <f t="shared" ca="1" si="213"/>
        <v>51450.19979710714</v>
      </c>
      <c r="FC80" s="180">
        <f t="shared" ca="1" si="214"/>
        <v>64732.460763499141</v>
      </c>
      <c r="FD80" s="262">
        <f>IF(AX80,IF(VLOOKUP(C80,MAIN!$L$17:$M$28,2)="Yes",VLOOKUP(CALC!B80,MAIN!$H$17:$I$20,2),0),0)</f>
        <v>0</v>
      </c>
      <c r="FE80" s="623">
        <f t="shared" si="60"/>
        <v>0</v>
      </c>
      <c r="FF80" s="535">
        <f t="shared" si="61"/>
        <v>0</v>
      </c>
      <c r="FG80" s="535">
        <f t="shared" si="62"/>
        <v>0</v>
      </c>
      <c r="FH80" s="624">
        <f t="shared" si="63"/>
        <v>0</v>
      </c>
      <c r="FI80" s="632">
        <f>IF(AX80,VLOOKUP(CALC!B80,MAIN!$H$17:$K$20,4),0)</f>
        <v>0</v>
      </c>
      <c r="FJ80" s="535">
        <f t="shared" si="64"/>
        <v>0</v>
      </c>
      <c r="FK80" s="648">
        <f t="shared" si="142"/>
        <v>0</v>
      </c>
      <c r="FL80" s="530">
        <f t="shared" ca="1" si="215"/>
        <v>0</v>
      </c>
      <c r="FM80" s="530">
        <f t="shared" ca="1" si="216"/>
        <v>0</v>
      </c>
      <c r="FN80" s="530">
        <f t="shared" ca="1" si="217"/>
        <v>0</v>
      </c>
      <c r="FO80" s="622">
        <f t="shared" ca="1" si="218"/>
        <v>0</v>
      </c>
      <c r="FP80" s="530">
        <f t="shared" ca="1" si="219"/>
        <v>0</v>
      </c>
      <c r="FQ80" s="530">
        <f t="shared" ca="1" si="220"/>
        <v>0</v>
      </c>
      <c r="FR80" s="530">
        <f t="shared" ca="1" si="221"/>
        <v>0</v>
      </c>
      <c r="FS80" s="625">
        <f t="shared" ca="1" si="222"/>
        <v>0</v>
      </c>
      <c r="FT80" s="640">
        <f ca="1">IF(AND(Assumptions!$H$71="Yes",A80&gt;=Assumptions!$H$72,A80&lt;=Assumptions!$H$73),0,IF(AND($A80&gt;=Assumptions!$C$17,$A80&lt;=Assumptions!$C$18),MAX(AZ80*(1+VLOOKUP($C80,WeatherCapacityAdjustment,2))-FL80,0),0))</f>
        <v>53544</v>
      </c>
      <c r="FU80" s="530">
        <f ca="1">IF(AND(Assumptions!$H$71="Yes",A80&gt;=Assumptions!$H$72,A80&lt;=Assumptions!$H$73),0,IF(AND($A80&gt;=Assumptions!$C$17,$A80&lt;=Assumptions!$C$18),MAX(BA80*(1+VLOOKUP($C80,WeatherCapacityAdjustment,2))-FM80,0),0))</f>
        <v>9312</v>
      </c>
      <c r="FV80" s="530">
        <f ca="1">IF(AND(Assumptions!$H$71="Yes",A80&gt;=Assumptions!$H$72,A80&lt;=Assumptions!$H$73),0,IF(AND($A80&gt;=Assumptions!$C$17,$A80&lt;=Assumptions!$C$18),MAX(BB80*(1+VLOOKUP($C80,WeatherCapacityAdjustment,2))-FN80,0),0))</f>
        <v>9312</v>
      </c>
      <c r="FW80" s="622">
        <f ca="1">IF(AND(Assumptions!$H$71="Yes",A80&gt;=Assumptions!$H$72,A80&lt;=Assumptions!$H$73),0,IF(AND($A80&gt;=Assumptions!$C$17,$A80&lt;=Assumptions!$C$18),MAX(BC80*(1+VLOOKUP($C80,WeatherCapacityAdjustment,3))-FO80,0),0))</f>
        <v>36084</v>
      </c>
      <c r="FX80" s="621">
        <f ca="1">IF(AND(Assumptions!$H$71="Yes",A80&gt;=Assumptions!$H$72,A80&lt;=Assumptions!$H$73),0,IF(ET80&gt;0,MAX(BH80*(1+VLOOKUP($C80,WeatherCapacityAdjustment,2))-FP80,0),0))</f>
        <v>214176</v>
      </c>
      <c r="FY80" s="530">
        <f ca="1">IF(AND(Assumptions!$H$71="Yes",A80&gt;=Assumptions!$H$72,A80&lt;=Assumptions!$H$73),0,IF(EU80&gt;0,MAX(BI80*(1+VLOOKUP($C80,WeatherCapacityAdjustment,3))-FQ80,0),0))</f>
        <v>37248</v>
      </c>
      <c r="FZ80" s="530">
        <f ca="1">IF(AND(Assumptions!$H$71="Yes",A80&gt;=Assumptions!$H$72,A80&lt;=Assumptions!$H$73),0,IF(EV80&gt;0,MAX(BJ80*(1+VLOOKUP($C80,WeatherCapacityAdjustment,2))-FR80,0),0))</f>
        <v>37248</v>
      </c>
      <c r="GA80" s="622">
        <f ca="1">IF(AND(Assumptions!$H$71="Yes",A80&gt;=Assumptions!$H$72,A80&lt;=Assumptions!$H$73),0,IF(EW80&gt;0,MAX(BK80*(1+VLOOKUP($C80,WeatherCapacityAdjustment,2))-FS80,0),0))</f>
        <v>144336</v>
      </c>
      <c r="GB80" s="530">
        <f t="shared" ca="1" si="65"/>
        <v>541260</v>
      </c>
      <c r="GC80" s="545">
        <f t="shared" ca="1" si="66"/>
        <v>70.518309867561499</v>
      </c>
      <c r="GD80" s="530">
        <f t="shared" ca="1" si="223"/>
        <v>38168740.398916334</v>
      </c>
      <c r="GE80" s="1485">
        <f t="shared" ca="1" si="224"/>
        <v>767948.34815999994</v>
      </c>
      <c r="GF80" s="1776">
        <f t="shared" ca="1" si="225"/>
        <v>3071793.3926399997</v>
      </c>
      <c r="GG80" s="545">
        <f t="shared" si="190"/>
        <v>2.5329951289299109</v>
      </c>
      <c r="GH80" s="622">
        <f t="shared" ca="1" si="191"/>
        <v>9726047.1257952563</v>
      </c>
      <c r="GI80" s="621">
        <f t="shared" ca="1" si="152"/>
        <v>541260</v>
      </c>
      <c r="GJ80" s="638">
        <f t="shared" si="68"/>
        <v>1.8727200000000002</v>
      </c>
      <c r="GK80" s="625">
        <f t="shared" ca="1" si="166"/>
        <v>1013628.4272</v>
      </c>
      <c r="GL80" s="640">
        <f t="shared" ca="1" si="226"/>
        <v>0</v>
      </c>
      <c r="GM80" s="530">
        <f t="shared" ca="1" si="227"/>
        <v>0</v>
      </c>
      <c r="GN80" s="530">
        <f t="shared" ca="1" si="228"/>
        <v>0</v>
      </c>
      <c r="GO80" s="622">
        <f t="shared" ca="1" si="229"/>
        <v>0</v>
      </c>
      <c r="GP80" s="530">
        <f t="shared" ca="1" si="73"/>
        <v>0</v>
      </c>
      <c r="GQ80" s="545">
        <f t="shared" ca="1" si="74"/>
        <v>0</v>
      </c>
      <c r="GR80" s="625">
        <f t="shared" ca="1" si="230"/>
        <v>0</v>
      </c>
      <c r="GS80" s="640">
        <f>IF($A80&gt;=BegDate,Assumptions!$C$56*24*($A81-$A80)*(1-VLOOKUP($B80,MAIN!$AA$7:$AM$28,$C80+1))*(1-VLOOKUP($B80,MAIN!$AA$33:$AM$54,$C80+1)),0)*80/168</f>
        <v>257742.85714285713</v>
      </c>
      <c r="GT80" s="1715">
        <f t="shared" si="153"/>
        <v>100.08017726262625</v>
      </c>
      <c r="GU80" s="1715">
        <f>IF($A80&gt;=BegDate,VLOOKUP($A80,GasTable,13)+Assumptions!$C$58,0)</f>
        <v>2.5329951289299109</v>
      </c>
      <c r="GV80" s="1715">
        <f>GU80*Assumptions!$C$57/1000</f>
        <v>18.364214684741857</v>
      </c>
      <c r="GW80" s="625">
        <f>IF(Assumptions!$C$60="Hourly",MAX(0,GS80*(GT80-GV80)),GS80*(GT80-GV80))</f>
        <v>21061705.669002719</v>
      </c>
      <c r="GX80" s="640">
        <f>IF($A80&gt;=BegDate,Assumptions!$C$56*24*($A81-$A80)*(1-VLOOKUP($B80,MAIN!$AA$7:$AM$28,$C80+1))*(1-VLOOKUP($B80,MAIN!$AA$33:$AM$54,$C80+1)),0)*16/168</f>
        <v>51548.571428571428</v>
      </c>
      <c r="GY80" s="1715">
        <f t="shared" si="154"/>
        <v>100.08017726262625</v>
      </c>
      <c r="GZ80" s="1715">
        <f>IF($A80&gt;=BegDate,VLOOKUP($A80,GasTable,13)+Assumptions!$C$58,0)</f>
        <v>2.5329951289299109</v>
      </c>
      <c r="HA80" s="1715">
        <f>GZ80*Assumptions!$C$57/1000</f>
        <v>18.364214684741857</v>
      </c>
      <c r="HB80" s="625">
        <f>IF(Assumptions!$C$60="Hourly",MAX(0,GX80*(GY80-HA80)),GX80*(GY80-HA80))</f>
        <v>4212341.1338005438</v>
      </c>
      <c r="HC80" s="640">
        <f>IF($A80&gt;=BegDate,Assumptions!$C$56*24*($A81-$A80)*(1-VLOOKUP($B80,MAIN!$AA$7:$AM$28,$C80+1))*(1-VLOOKUP($B80,MAIN!$AA$33:$AM$54,$C80+1)),0)*16/168</f>
        <v>51548.571428571428</v>
      </c>
      <c r="HD80" s="1715">
        <f t="shared" si="155"/>
        <v>29.586494915671679</v>
      </c>
      <c r="HE80" s="1715">
        <f>IF($A80&gt;=BegDate,VLOOKUP($A80,GasTable,13)+Assumptions!$C$58,0)</f>
        <v>2.5329951289299109</v>
      </c>
      <c r="HF80" s="1715">
        <f>HE80*Assumptions!$C$57/1000</f>
        <v>18.364214684741857</v>
      </c>
      <c r="HG80" s="625">
        <f>IF(Assumptions!$C$60="Hourly",MAX(0,HC80*(HD80-HF80)),HC80*(HD80-HF80))</f>
        <v>578492.51407553104</v>
      </c>
      <c r="HH80" s="640">
        <f>IF($A80&gt;=BegDate,Assumptions!$C$56*24*($A81-$A80)*(1-VLOOKUP($B80,MAIN!$AA$7:$AM$28,$C80+1))*(1-VLOOKUP($B80,MAIN!$AA$33:$AM$54,$C80+1)),0)*56/168</f>
        <v>180420</v>
      </c>
      <c r="HI80" s="1715">
        <f t="shared" si="156"/>
        <v>29.586494915671679</v>
      </c>
      <c r="HJ80" s="1715">
        <f>IF($A80&gt;=BegDate,VLOOKUP($A80,GasTable,13)+Assumptions!$C$58,0)</f>
        <v>2.5329951289299109</v>
      </c>
      <c r="HK80" s="1715">
        <f>HJ80*Assumptions!$C$57/1000</f>
        <v>18.364214684741857</v>
      </c>
      <c r="HL80" s="625">
        <f>IF(Assumptions!$C$60="Hourly",MAX(0,HH80*(HI80-HK80)),HH80*(HI80-HK80))</f>
        <v>2024723.7992643586</v>
      </c>
      <c r="HM80" s="640">
        <f>IF(AND(Assumptions!$H$71="Yes",A80&gt;=Assumptions!$H$72,A80&lt;=Assumptions!$H$73),Assumptions!$H$74*Assumptions!$C$9*1000,0)</f>
        <v>0</v>
      </c>
      <c r="HN80" s="530">
        <f t="shared" ca="1" si="235"/>
        <v>28442693.273121078</v>
      </c>
      <c r="HO80" s="545"/>
      <c r="HP80" s="545"/>
      <c r="HQ80" s="545"/>
      <c r="HR80" s="545"/>
      <c r="HS80" s="545"/>
      <c r="HT80" s="545"/>
      <c r="HU80" s="545"/>
      <c r="HV80" s="545"/>
      <c r="HW80" s="545"/>
      <c r="HX80" s="545"/>
      <c r="HY80" s="545"/>
      <c r="HZ80" s="545"/>
      <c r="IA80" s="545"/>
      <c r="IB80" s="545"/>
      <c r="IC80" s="545"/>
      <c r="ID80" s="545"/>
      <c r="IE80" s="545"/>
      <c r="IF80" s="545"/>
      <c r="IG80" s="545"/>
      <c r="IH80" s="545"/>
      <c r="II80" s="1464"/>
      <c r="IJ80" s="1463"/>
      <c r="IK80" s="1463"/>
    </row>
    <row r="81" spans="1:245">
      <c r="A81" s="177">
        <f t="shared" si="87"/>
        <v>38596</v>
      </c>
      <c r="B81" s="349">
        <f t="shared" si="88"/>
        <v>2005</v>
      </c>
      <c r="C81" s="15">
        <f t="shared" ref="C81:C96" si="236">MONTH(A81)</f>
        <v>9</v>
      </c>
      <c r="D81" s="612">
        <f t="shared" si="90"/>
        <v>38600</v>
      </c>
      <c r="E81" s="609">
        <f t="shared" ref="E81:E96" si="237">IF(OR(BegDate&gt;=A82,EndDate&lt;A81,AND(VolumeMonthlyOverFlag,INDEX(VolumeMonthlyOver,C81)=0),NOT(INDEX(MonthKnockOutTable,C81))),"",MAX(A81,BegDate))</f>
        <v>38596</v>
      </c>
      <c r="F81" s="614">
        <f t="shared" ref="F81:F96" si="238">IF(E81="","",MIN(A82-1,EndDate))</f>
        <v>38625</v>
      </c>
      <c r="G81" s="1349">
        <v>0</v>
      </c>
      <c r="H81" s="152">
        <f t="shared" si="165"/>
        <v>1</v>
      </c>
      <c r="I81" s="154">
        <f>IF(Assumptions!$L$25=4,VLOOKUP($A81,'Henwood Reference'!$E$9:$R$320,10),(VLOOKUP($A81,PriceTable,2,0)+IF(BasisNumber&lt;&gt;1,VLOOKUP($A81,BasisTable,2,0),0)+I$1)/(1-I$2))</f>
        <v>72.480917384634239</v>
      </c>
      <c r="J81" s="154">
        <f>IF(Assumptions!$L$25=4,VLOOKUP($A81,'Henwood Reference'!$E$9:$R$320,10),(VLOOKUP($A81,PriceTable,3,0)+IF(BasisNumber&lt;&gt;1,VLOOKUP($A81,BasisTable,2,0),0)+J$1)/(1-J$2))</f>
        <v>72.480917384634239</v>
      </c>
      <c r="K81" s="154">
        <f>IF(Assumptions!$L$25=4,VLOOKUP($A81,'Henwood Reference'!$E$9:$R$320,10),(VLOOKUP($A81,PriceTable,4,0)+IF(BasisNumber&lt;&gt;1,VLOOKUP($A81,BasisTable,2,0),0)+K$1)/(1-K$2))</f>
        <v>72.480917384634239</v>
      </c>
      <c r="L81" s="474">
        <f>IF(Assumptions!$L$25=4,VLOOKUP($A81,'Henwood Reference'!$E$9:$R$320,10),(VLOOKUP($A81,PriceTableWeekend,2,0)+IF(BasisNumber&lt;&gt;1,VLOOKUP($A81,BasisTable,2,0),0)+L$1)/(1-L$2))</f>
        <v>72.480917384634239</v>
      </c>
      <c r="M81" s="154">
        <f>IF(Assumptions!$L$25=4,VLOOKUP($A81,'Henwood Reference'!$E$9:$R$320,10),(VLOOKUP($A81,PriceTableWeekend,3,0)+IF(BasisNumber&lt;&gt;1,VLOOKUP($A81,BasisTable,2,0),0)+M$1)/(1-M$2))</f>
        <v>72.480917384634239</v>
      </c>
      <c r="N81" s="156">
        <f>IF(Assumptions!$L$25=4,VLOOKUP($A81,'Henwood Reference'!$E$9:$R$320,10),(VLOOKUP($A81,PriceTableWeekend,4,0)+IF(BasisNumber&lt;&gt;1,VLOOKUP($A81,BasisTable,2,0),0)+N$1)/(1-N$2))</f>
        <v>72.480917384634239</v>
      </c>
      <c r="O81" s="154">
        <f>IF(Assumptions!$L$25=4,VLOOKUP($A81,'Henwood Reference'!$E$9:$R$320,11),(VLOOKUP($A81,PriceTableWeekend,6,0)+IF(BasisNumber&lt;&gt;1,VLOOKUP($A81,BasisTable,3,0),0)+O$1)/(1-O$2))</f>
        <v>28.841792413913282</v>
      </c>
      <c r="P81" s="154">
        <f>IF(Assumptions!$L$25=4,VLOOKUP($A81,'Henwood Reference'!$E$9:$R$320,11),(VLOOKUP($A81,PriceTableWeekend,7,0)+IF(BasisNumber&lt;&gt;1,VLOOKUP($A81,BasisTable,3,0),0)+P$1)/(1-P$2))</f>
        <v>28.841792413913282</v>
      </c>
      <c r="Q81" s="156">
        <f>IF(Assumptions!$L$25=4,VLOOKUP($A81,'Henwood Reference'!$E$9:$R$320,11),(VLOOKUP($A81,PriceTableWeekend,8,0)+IF(BasisNumber&lt;&gt;1,VLOOKUP($A81,BasisTable,3,0),0)+Q$1)/(1-Q$2))</f>
        <v>28.841792413913282</v>
      </c>
      <c r="R81" s="154">
        <f>IF(Assumptions!$L$25=4,VLOOKUP($A81,'Henwood Reference'!$E$9:$R$320,11),(VLOOKUP($A81,PriceTable,6,0)+IF(BasisNumber&lt;&gt;1,VLOOKUP($A81,BasisTable,3,0),0)+R$1)/(1-R$2))</f>
        <v>28.841792413913282</v>
      </c>
      <c r="S81" s="154">
        <f>IF(Assumptions!$L$25=4,VLOOKUP($A81,'Henwood Reference'!$E$9:$R$320,11),(VLOOKUP($A81,PriceTable,7,0)+IF(BasisNumber&lt;&gt;1,VLOOKUP($A81,BasisTable,3,0),0)+S$1)/(1-S$2))</f>
        <v>28.841792413913282</v>
      </c>
      <c r="T81" s="155">
        <f>IF(Assumptions!$L$25=4,VLOOKUP($A81,'Henwood Reference'!$E$9:$R$320,11),(VLOOKUP($A81,PriceTable,8,0)+IF(BasisNumber&lt;&gt;1,VLOOKUP($A81,BasisTable,3,0),0)+T$1)/(1-T$2))</f>
        <v>28.841792413913282</v>
      </c>
      <c r="U81" s="173">
        <f t="shared" si="92"/>
        <v>0.14499999999999999</v>
      </c>
      <c r="V81" s="173">
        <f t="shared" si="93"/>
        <v>0.155</v>
      </c>
      <c r="W81" s="174">
        <f t="shared" si="94"/>
        <v>0.16500000000000001</v>
      </c>
      <c r="X81" s="173">
        <f t="shared" si="95"/>
        <v>0.14499999999999999</v>
      </c>
      <c r="Y81" s="173">
        <f t="shared" si="96"/>
        <v>0.155</v>
      </c>
      <c r="Z81" s="174">
        <f t="shared" si="97"/>
        <v>0.16500000000000001</v>
      </c>
      <c r="AA81" s="173">
        <f t="shared" si="98"/>
        <v>0.09</v>
      </c>
      <c r="AB81" s="173">
        <f t="shared" si="99"/>
        <v>0.11</v>
      </c>
      <c r="AC81" s="174">
        <f t="shared" si="100"/>
        <v>0.13</v>
      </c>
      <c r="AD81" s="173">
        <f t="shared" si="101"/>
        <v>0.09</v>
      </c>
      <c r="AE81" s="173">
        <f t="shared" si="102"/>
        <v>0.11</v>
      </c>
      <c r="AF81" s="174">
        <f t="shared" si="103"/>
        <v>0.13</v>
      </c>
      <c r="AG81" s="173">
        <f t="shared" si="104"/>
        <v>-0.35</v>
      </c>
      <c r="AH81" s="173">
        <f t="shared" si="105"/>
        <v>3</v>
      </c>
      <c r="AI81" s="174">
        <f t="shared" si="106"/>
        <v>0.2</v>
      </c>
      <c r="AJ81" s="173">
        <f t="shared" si="107"/>
        <v>-0.35</v>
      </c>
      <c r="AK81" s="173">
        <f t="shared" si="108"/>
        <v>3</v>
      </c>
      <c r="AL81" s="174">
        <f t="shared" si="109"/>
        <v>0.2</v>
      </c>
      <c r="AM81" s="173">
        <f t="shared" si="110"/>
        <v>-0.01</v>
      </c>
      <c r="AN81" s="173">
        <f t="shared" si="111"/>
        <v>0.16</v>
      </c>
      <c r="AO81" s="174">
        <f t="shared" si="112"/>
        <v>0.01</v>
      </c>
      <c r="AP81" s="173">
        <f t="shared" si="113"/>
        <v>-0.01</v>
      </c>
      <c r="AQ81" s="173">
        <f t="shared" si="114"/>
        <v>0.16</v>
      </c>
      <c r="AR81" s="175">
        <f t="shared" si="115"/>
        <v>0.01</v>
      </c>
      <c r="AS81" s="521">
        <f t="shared" si="231"/>
        <v>0.5</v>
      </c>
      <c r="AT81" s="349">
        <f t="shared" ref="AT81:AT96" si="239">AX81-SUM(AU81:AW81)</f>
        <v>21</v>
      </c>
      <c r="AU81" s="159">
        <f t="shared" ref="AU81:AU144" si="240">IF(E81="",0,INT((F81-MOD(F81,7)-E81)/7)+1-IF(AW81,IF(WEEKDAY(D81)=7,1,0),0))</f>
        <v>4</v>
      </c>
      <c r="AV81" s="159">
        <f t="shared" ref="AV81:AV144" si="241">IF(E81="",0,INT((F81-MOD(F81-1,7)-E81)/7)+1-IF(AW81,IF(WEEKDAY(D81)=1,1,0),0))</f>
        <v>4</v>
      </c>
      <c r="AW81" s="159">
        <f t="shared" si="232"/>
        <v>1</v>
      </c>
      <c r="AX81" s="15">
        <f t="shared" ref="AX81:AX96" si="242">IF(E81="",0,F81-E81+1)</f>
        <v>30</v>
      </c>
      <c r="AY81" s="607">
        <f>IF(E81="",0,MIN((1-(1-VLOOKUP(B81,MAIN!$AA$7:$AM$28,C81+1))*(1-VLOOKUP(B81,MAIN!$AA$33:$AM$54,C81+1))),1))</f>
        <v>3.0000000000000027E-2</v>
      </c>
      <c r="AZ81" s="337">
        <v>48888</v>
      </c>
      <c r="BA81" s="509">
        <v>9312</v>
      </c>
      <c r="BB81" s="509">
        <v>11640</v>
      </c>
      <c r="BC81" s="511">
        <v>34920</v>
      </c>
      <c r="BD81" s="153">
        <v>0.9699999927729368</v>
      </c>
      <c r="BE81" s="474">
        <v>0.9699999927729368</v>
      </c>
      <c r="BF81" s="474">
        <v>0.9699999927729368</v>
      </c>
      <c r="BG81" s="515">
        <v>0.9699999927729368</v>
      </c>
      <c r="BH81" s="262">
        <v>195552</v>
      </c>
      <c r="BI81" s="509">
        <v>37248</v>
      </c>
      <c r="BJ81" s="509">
        <v>46560</v>
      </c>
      <c r="BK81" s="511">
        <v>139680</v>
      </c>
      <c r="BL81" s="153">
        <v>0.9699999927729368</v>
      </c>
      <c r="BM81" s="474">
        <v>0.9699999927729368</v>
      </c>
      <c r="BN81" s="474">
        <v>0.9699999927729368</v>
      </c>
      <c r="BO81" s="474">
        <v>0.9699999927729368</v>
      </c>
      <c r="BP81" s="261">
        <f t="shared" si="120"/>
        <v>69840</v>
      </c>
      <c r="BQ81" s="578">
        <f t="shared" si="121"/>
        <v>104760</v>
      </c>
      <c r="BR81" s="259">
        <f t="shared" si="122"/>
        <v>279360</v>
      </c>
      <c r="BS81" s="578">
        <f t="shared" si="123"/>
        <v>419040</v>
      </c>
      <c r="BT81" s="216">
        <f t="shared" si="124"/>
        <v>5.3826146475017111</v>
      </c>
      <c r="BU81" s="218">
        <f t="shared" ref="BU81:BU144" si="243">IF(BQ81,IF(OPriceCurve,IF(OBuySell=OCallPut,I81/(1-AY81),K81/(1-AY81)),J81/(1-AY81))*BD81,0)</f>
        <v>72.480916844609325</v>
      </c>
      <c r="BV81" s="216">
        <f t="shared" ref="BV81:BV144" si="244">IF(BQ81,IF(OPriceCurve,IF(OBuySell=OCallPut,L81/(1-AY81),N81/(1-AY81)),M81/(1-AY81))*BE81,0)</f>
        <v>72.480916844609325</v>
      </c>
      <c r="BW81" s="216">
        <f t="shared" ref="BW81:BW144" si="245">IF(BQ81,IF(OPriceCurve,IF(OBuySell=OCallPut,O81/(1-AY81),Q81/(1-AY81)),P81/(1-AY81))*BF81,0)</f>
        <v>28.841792199025186</v>
      </c>
      <c r="BX81" s="216">
        <f t="shared" si="125"/>
        <v>28.841792199025186</v>
      </c>
      <c r="BY81" s="216">
        <f t="shared" ref="BY81:BY144" si="246">IF(BP81,(BU81*AZ81+BV81*BA81+BW81*BB81)/BP81,0)</f>
        <v>65.207729403678641</v>
      </c>
      <c r="BZ81" s="216">
        <f t="shared" ref="BZ81:BZ144" si="247">IF(BQ81,(BY81*BP81+BX81*BC81)/BQ81,0)</f>
        <v>53.085750335460823</v>
      </c>
      <c r="CA81" s="264">
        <f t="shared" ref="CA81:CA144" si="248">IF(BS81,IF(OPriceCurve,IF(OBuySell=OCallPut,I81/(1-AY81),K81/(1-AY81)),J81/(1-AY81))*BL81,0)</f>
        <v>72.480916844609325</v>
      </c>
      <c r="CB81" s="216">
        <f t="shared" ref="CB81:CB144" si="249">IF(BS81,IF(OPriceCurve,IF(OBuySell=OCallPut,L81/(1-AY81),N81/(1-AY81)),M81/(1-AY81))*BM81,0)</f>
        <v>72.480916844609325</v>
      </c>
      <c r="CC81" s="216">
        <f t="shared" ref="CC81:CC144" si="250">IF(BS81,IF(OPriceCurve,IF(OBuySell=OCallPut,O81/(1-AY81),Q81/(1-AY81)),P81/(1-AY81))*BN81,0)</f>
        <v>28.841792199025186</v>
      </c>
      <c r="CD81" s="216">
        <f t="shared" si="126"/>
        <v>28.841792199025186</v>
      </c>
      <c r="CE81" s="216">
        <f t="shared" ref="CE81:CE144" si="251">IF(BR81,(BU81*BH81+BV81*BI81+BW81*BJ81)/BR81,0)</f>
        <v>65.207729403678641</v>
      </c>
      <c r="CF81" s="571">
        <f t="shared" ref="CF81:CF144" si="252">IF(BS81,(CE81*BR81+CD81*BK81)/BS81,0)</f>
        <v>53.085750335460823</v>
      </c>
      <c r="CG81" s="573">
        <f t="shared" ref="CG81:CG144" si="253">IF(OR(BQ81,BS81),IF(OVolType&lt;&gt;2,SQRT(IF(OVolOverMonthlyPeak,OVolOverMonthlyPeak,IF(OVolCurve,IF(OBuySell,U81,W81),V81))^2*(1-15/365.25/BT81)+IF(OVolOverDailyPeak,OVolOverDailyPeak,IF(OVolCurve,IF(OBuySell,AG81,AI81),AH81))^2*15/365.25/BT81),IF(OVolOverMonthlyPeak,OVolOverMonthlyPeak,IF(OVolCurve,IF(OBuySell,U81,W81),V81))),"")</f>
        <v>0.155</v>
      </c>
      <c r="CH81" s="219">
        <f t="shared" ref="CH81:CH144" si="254">IF(OR(BQ81,BS81),IF(OVolType&lt;&gt;2,SQRT(IF(OVolOverMonthlyPeak,OVolOverMonthlyPeak,IF(OVolCurve,IF(OBuySell,X81,Z81),Y81))^2*(1-15/365.25/BT81)+IF(OVolOverDailyPeak,OVolOverDailyPeak,IF(OVolCurve,IF(OBuySell,AJ81,AL81),AK81))^2*15/365.25/BT81),IF(OVolOverMonthlyPeak,OVolOverMonthlyPeak,IF(OVolCurve,IF(OBuySell,X81,Z81),Y81))),"")</f>
        <v>0.155</v>
      </c>
      <c r="CI81" s="219">
        <f t="shared" ref="CI81:CI144" si="255">IF(OR(BQ81,BS81),IF(OVolType&lt;&gt;2,SQRT(IF(OVolOverMonthlyPeak,OVolOverMonthlyPeak,IF(OVolCurve,IF(OBuySell,AA81,AC81),AB81))^2*(1-15/365.25/BT81)+IF(OVolOverDailyPeak,OVolOverDailyPeak,IF(OVolCurve,IF(OBuySell,AM81,AO81),AN81))^2*15/365.25/BT81),IF(OVolOverMonthlyPeak,OVolOverMonthlyPeak,IF(OVolCurve,IF(OBuySell,AA81,AC81),AB81))),"")</f>
        <v>0.11</v>
      </c>
      <c r="CJ81" s="219">
        <f t="shared" ref="CJ81:CJ144" si="256">IF(BQ81,IF(BP81,SQRT(LN(1+((BU81*AZ81)^2*(EXP(CG81^2*BT81)-1)+(BV81*BA81)^2*(EXP(CH81^2*BT81)-1)+(BW81*BB81)^2*(EXP(CI81^2*BT81)-1)+2*BU81*AZ81*BV81*BA81*(EXP(CG81*CH81*BT81)-1)+2*BV81*BA81*BW81*BB81*(EXP(CH81*CI81*BT81)-1)+2*BW81*BB81*BU81*AZ81*(EXP(CI81*CG81*BT81)-1))/(BY81*BP81)^2)/BT81),0),"")</f>
        <v>0.15173875375618306</v>
      </c>
      <c r="CK81" s="219">
        <f t="shared" ref="CK81:CK144" si="257">IF(BS81,IF(BR81,SQRT(LN(1+((CA81*BH81)^2*(EXP(CG81^2*BT81)-1)+(CB81*BI81)^2*(EXP(CH81^2*BT81)-1)+(CC81*BJ81)^2*(EXP(CI81^2*BT81)-1)+2*CA81*BH81*CB81*BI81*(EXP(CG81*CH81*BT81)-1)+2*CB81*BI81*CC81*BJ81*(EXP(CH81*CI81*BT81)-1)+2*CC81*BJ81*CA81*BH81*(EXP(CI81*CG81*BT81)-1))/(CE81*BR81)^2)/BT81),0),"")</f>
        <v>0.15173875375618306</v>
      </c>
      <c r="CL81" s="219">
        <f t="shared" ref="CL81:CL144" si="258">IF(OR(BQ81,BS81),IF(OVolType&lt;&gt;2,SQRT(IF(OVolOverMonthlyOffPeak,OVolOverMonthlyOffPeak,IF(OVolCurve,IF(OBuySell,AD81,AF81),AE81))^2*(1-15/365.25/BT81)+IF(OVolOverDailyOffPeak,OVolOverDailyOffPeak,IF(OVolCurve,IF(OBuySell,AP81,AR81),AQ81))^2*15/365.25/BT81),IF(OVolOverMonthlyOffPeak,OVolOverMonthlyOffPeak,IF(OVolCurve,IF(OBuySell,AD81,AF81),AE81))),"")</f>
        <v>0.11</v>
      </c>
      <c r="CM81" s="219">
        <f t="shared" ref="CM81:CM144" si="259">IF(BQ81,SQRT(LN(1+((BY81*BP81)^2*(EXP(CJ81^2*BT81)-1)+(BX81*BC81)^2*(EXP(CL81^2*BT81)-1)+2*BY81*BP81*BX81*BC81*(EXP(AS81*CJ81*CL81*BT81)-1))/(BY81*BP81+BX81*BC81)^2)/BT81),"")</f>
        <v>0.13577213482715703</v>
      </c>
      <c r="CN81" s="569">
        <f t="shared" ref="CN81:CN144" si="260">IF(BS81,SQRT(LN(1+((CE81*BR81)^2*(EXP(CK81^2*BT81)-1)+(CD81*BK81)^2*(EXP(CL81^2*BT81)-1)+2*CE81*BR81*CD81*BK81*(EXP(AS81*CK81*CL81*BT81)-1))/(CE81*BR81+CD81*BK81)^2)/BT81),"")</f>
        <v>0.13577213482715703</v>
      </c>
      <c r="CO81" s="264">
        <f t="shared" si="175"/>
        <v>18.723518660483183</v>
      </c>
      <c r="CP81" s="216">
        <f t="shared" si="127"/>
        <v>18.723518660483183</v>
      </c>
      <c r="CQ81" s="216">
        <f t="shared" ca="1" si="192"/>
        <v>18.723518660483183</v>
      </c>
      <c r="CR81" s="216">
        <f t="shared" ca="1" si="193"/>
        <v>18.723518660483183</v>
      </c>
      <c r="CS81" s="1626">
        <f t="shared" ca="1" si="194"/>
        <v>18.723518660483183</v>
      </c>
      <c r="CT81" s="216">
        <f t="shared" si="131"/>
        <v>18.723518660483183</v>
      </c>
      <c r="CU81" s="575">
        <f t="shared" ref="CU81:CU144" si="261">IF(OR(BQ81,BS81),VLOOKUP(A81,GasTable,14),"")</f>
        <v>0.16500000000000001</v>
      </c>
      <c r="CV81" s="154">
        <f t="shared" ref="CV81:CV144" si="262">IF(OR(BQ81,BS81),IF(CorrPowerGasOverFlag,INDEX(CorrPowerGasOver,C81),CorrPowerGas),"")</f>
        <v>0.5</v>
      </c>
      <c r="CW81" s="216">
        <f>IF(OR($BQ81,$BS81),SpreadOptPowerMargin,0)*((1+Assumptions!$C$26)^($B81-YEAR(Assumptions!$C$17)))</f>
        <v>1.8727199999999999</v>
      </c>
      <c r="CX81" s="216">
        <f>IF(OR($BQ81,$BS81),SpreadOptPowerMargin,0)*((1+Assumptions!$C$26)^($B81-YEAR(Assumptions!$C$17)))</f>
        <v>1.8727199999999999</v>
      </c>
      <c r="CY81" s="216">
        <f>IF(OR($BQ81,$BS81),SpreadOptPowerMargin,0)*((1+Assumptions!$C$26)^($B81-YEAR(Assumptions!$C$17)))</f>
        <v>1.8727199999999999</v>
      </c>
      <c r="CZ81" s="216">
        <f>IF(OR($BQ81,$BS81),SpreadOptPowerMargin,0)*((1+Assumptions!$C$26)^($B81-YEAR(Assumptions!$C$17)))</f>
        <v>1.8727199999999999</v>
      </c>
      <c r="DA81" s="440">
        <f t="shared" ref="DA81:DA144" si="263">IF(OR(BQ81,BS81),(CW81*(AZ81+BH81)+CX81*(BA81+BI81)+CY81*(BB81+BJ81)+CZ81*(BC81+BK81))/(BQ81+BS81),0)</f>
        <v>1.8727200000000002</v>
      </c>
      <c r="DB81" s="479">
        <f t="shared" ref="DB81:DB144" si="264">IF(OR(BQ81,BS81),CG81+IF(OVolSmile,VLOOKUP(MAX(-5,CO81+CW81-BU81),IF(OVolSmile=1,VolSmileBook,VolSmileModel),2),0),"")</f>
        <v>0.155</v>
      </c>
      <c r="DC81" s="479">
        <f t="shared" ref="DC81:DC144" si="265">IF(OR(BQ81,BS81),CH81+IF(OVolSmile,VLOOKUP(MAX(-5,CP81+CW81-BV81),IF(OVolSmile=1,VolSmileBook,VolSmileModel),2),0),"")</f>
        <v>0.155</v>
      </c>
      <c r="DD81" s="479">
        <f t="shared" ref="DD81:DD144" si="266">IF(OR(BQ81,BS81),CI81+IF(OVolSmile,VLOOKUP(MAX(-5,CQ81+CW81-BW81),IF(OVolSmile=1,VolSmileBook,VolSmileModel),2),0),"")</f>
        <v>0.11</v>
      </c>
      <c r="DE81" s="479">
        <f t="shared" ref="DE81:DE144" si="267">IF(OR(BQ81,BS81),CL81+IF(OVolSmile,VLOOKUP(MAX(-5,CR81+CZ81-BX81),IF(OVolSmile=1,VolSmileBook,VolSmileModel),2),0),"")</f>
        <v>0.11</v>
      </c>
      <c r="DF81" s="479">
        <f t="shared" ref="DF81:DF144" si="268">IF(BQ81,CM81+IF(OVolSmile,VLOOKUP(MAX(-5,CS81+DA81-BZ81),IF(OVolSmile=1,VolSmileBook,VolSmileModel),2),0),"")</f>
        <v>0.13577213482715703</v>
      </c>
      <c r="DG81" s="574">
        <f t="shared" ref="DG81:DG144" si="269">IF(BS81,CN81+IF(OVolSmile,VLOOKUP(MAX(-5,CT81+DA81-CF81),IF(OVolSmile=1,VolSmileBook,VolSmileModel),2),0),"")</f>
        <v>0.13577213482715703</v>
      </c>
      <c r="DH81" s="216">
        <f t="shared" ref="DH81:DH144" si="270">IF(AND(BU81&gt;0,CO81&gt;0,DB81&gt;0,CU81&gt;0),newSPRDOPT(BU81,CO81,CW81,0,DB81,CU81,CV81,BT81*365.25,OCallPut,0),0)</f>
        <v>51.885441885253378</v>
      </c>
      <c r="DI81" s="216">
        <f t="shared" ref="DI81:DI144" si="271">IF(AND(BV81&gt;0,CP81&gt;0,DC81&gt;0,CU81&gt;0),newSPRDOPT(BV81,CP81,CX81,0,DC81,CU81,CV81,BT81*365.25,OCallPut,0),0)</f>
        <v>51.885441885253378</v>
      </c>
      <c r="DJ81" s="216">
        <f t="shared" ca="1" si="195"/>
        <v>8.8009002370071734</v>
      </c>
      <c r="DK81" s="216">
        <f t="shared" ca="1" si="196"/>
        <v>8.8009002370071734</v>
      </c>
      <c r="DL81" s="216">
        <f t="shared" ca="1" si="197"/>
        <v>32.497767599642721</v>
      </c>
      <c r="DM81" s="216"/>
      <c r="DN81" s="216"/>
      <c r="DO81" s="216"/>
      <c r="DP81" s="216"/>
      <c r="DQ81" s="216"/>
      <c r="DR81" s="216"/>
      <c r="DS81" s="216"/>
      <c r="DT81" s="216"/>
      <c r="DU81" s="216"/>
      <c r="DV81" s="216"/>
      <c r="DW81" s="1371">
        <f t="shared" ref="DW81:DW144" si="272">IF(AND(BW81&gt;0,CT81&gt;0,DD81&gt;0,CU81&gt;0),newSPRDOPT(BW81,CT81,CY81,0,DD81,CU81,CV81,BT81*365.25,OCallPut,0),0)</f>
        <v>8.8009002370071734</v>
      </c>
      <c r="DX81" s="216">
        <f t="shared" ref="DX81:DX144" si="273">IF(AND(BX81&gt;0,CT81&gt;0,DE81&gt;0,CU81&gt;0),newSPRDOPT(BX81,CT81,CZ81,0,DE81,CU81,CV81,BT81*365.25,OCallPut,0),0)</f>
        <v>8.8009002370071734</v>
      </c>
      <c r="DY81" s="440">
        <f t="shared" ref="DY81:DY144" si="274">IF(BS81,(DH81*BH81+DI81*BI81+DW81*BJ81+DX81*BK81)/BS81,0)</f>
        <v>32.736756708255065</v>
      </c>
      <c r="DZ81" s="180">
        <f t="shared" ref="DZ81:DZ144" si="275">DH81*AZ81</f>
        <v>2536575.4828862674</v>
      </c>
      <c r="EA81" s="180">
        <f t="shared" ref="EA81:EA144" si="276">DI81*BA81</f>
        <v>483157.23483547947</v>
      </c>
      <c r="EB81" s="180">
        <f t="shared" ca="1" si="198"/>
        <v>102442.47875876349</v>
      </c>
      <c r="EC81" s="180">
        <f t="shared" ca="1" si="199"/>
        <v>307327.43627629051</v>
      </c>
      <c r="ED81" s="180">
        <f t="shared" ca="1" si="200"/>
        <v>3404466.1337385713</v>
      </c>
      <c r="EE81" s="581">
        <f t="shared" ref="EE81:EE144" si="277">IF(BQ81,IF(OCallPut,IF(BU81&gt;(CO81+CW81),BU81-(CO81+CW81),0),IF((CO81+CW81)&gt;BU81,(CO81+CW81)-BU81,0))*AZ81,0)</f>
        <v>2536538.1470655589</v>
      </c>
      <c r="EF81" s="554">
        <f t="shared" ref="EF81:EF144" si="278">IF(BQ81,IF(OCallPut,IF(BV81&gt;(CP81+CX81),BV81-(CP81+CX81),0),IF((CP81+CX81)&gt;BV81,(CP81+CX81)-BV81,0))*BA81,0)</f>
        <v>483150.12325058266</v>
      </c>
      <c r="EG81" s="554">
        <f t="shared" ca="1" si="201"/>
        <v>95978.243188628898</v>
      </c>
      <c r="EH81" s="554">
        <f t="shared" ca="1" si="202"/>
        <v>287934.72956588666</v>
      </c>
      <c r="EI81" s="561">
        <f t="shared" ref="EI81:EI144" ca="1" si="279">IF(BQ81,IF(OVolType,IF(OCallPut,IF(BZ81&gt;(CS81+DA81),BZ81-(CS81+DA81),0),IF((CS81+DA81)&gt;BZ81,(CS81+DA81)-BZ81,0))*BQ81,SUM(EE81:EH81)),0)</f>
        <v>3403601.2430706569</v>
      </c>
      <c r="EJ81" s="581">
        <f t="shared" si="132"/>
        <v>37.335820708423853</v>
      </c>
      <c r="EK81" s="554">
        <f t="shared" si="133"/>
        <v>7.1115848968038335</v>
      </c>
      <c r="EL81" s="554">
        <f t="shared" ca="1" si="203"/>
        <v>6464.235570134595</v>
      </c>
      <c r="EM81" s="554">
        <f t="shared" ca="1" si="204"/>
        <v>19392.706710403843</v>
      </c>
      <c r="EN81" s="561">
        <f t="shared" ca="1" si="205"/>
        <v>864.89066791441292</v>
      </c>
      <c r="EO81" s="180">
        <f t="shared" ref="EO81:EO144" si="280">DH81*BH81</f>
        <v>10146301.931545069</v>
      </c>
      <c r="EP81" s="180">
        <f t="shared" ref="EP81:EP144" si="281">DI81*BI81</f>
        <v>1932628.9393419179</v>
      </c>
      <c r="EQ81" s="180">
        <f t="shared" ref="EQ81:EQ144" si="282">DW81*BJ81</f>
        <v>409769.91503505397</v>
      </c>
      <c r="ER81" s="180">
        <f t="shared" ref="ER81:ER144" si="283">DX81*BK81</f>
        <v>1229309.745105162</v>
      </c>
      <c r="ES81" s="180">
        <f t="shared" ref="ES81:ES144" si="284">DY81*BS81</f>
        <v>13718010.531027202</v>
      </c>
      <c r="ET81" s="1482">
        <f t="shared" ca="1" si="206"/>
        <v>10146152.588262236</v>
      </c>
      <c r="EU81" s="180">
        <f t="shared" ca="1" si="207"/>
        <v>1932600.4930023307</v>
      </c>
      <c r="EV81" s="180">
        <f t="shared" ca="1" si="208"/>
        <v>383912.97275451559</v>
      </c>
      <c r="EW81" s="180">
        <f t="shared" ca="1" si="209"/>
        <v>1151738.9182635467</v>
      </c>
      <c r="EX81" s="555">
        <f t="shared" ca="1" si="182"/>
        <v>13614404.972282629</v>
      </c>
      <c r="EY81" s="180">
        <f t="shared" ca="1" si="210"/>
        <v>149.34328283369541</v>
      </c>
      <c r="EZ81" s="180">
        <f t="shared" ca="1" si="211"/>
        <v>28.446339587215334</v>
      </c>
      <c r="FA81" s="180">
        <f t="shared" ca="1" si="212"/>
        <v>25856.94228053838</v>
      </c>
      <c r="FB81" s="180">
        <f t="shared" ca="1" si="213"/>
        <v>77570.826841615373</v>
      </c>
      <c r="FC81" s="180">
        <f t="shared" ca="1" si="214"/>
        <v>103605.5587445721</v>
      </c>
      <c r="FD81" s="262">
        <f>IF(AX81,IF(VLOOKUP(C81,MAIN!$L$17:$M$28,2)="Yes",VLOOKUP(CALC!B81,MAIN!$H$17:$I$20,2),0),0)</f>
        <v>0</v>
      </c>
      <c r="FE81" s="623">
        <f t="shared" ref="FE81:FE144" si="285">$FD81*16*AT81*(1-$AY81)</f>
        <v>0</v>
      </c>
      <c r="FF81" s="535">
        <f t="shared" ref="FF81:FF144" si="286">$FD81*16*AU81*(1-$AY81)</f>
        <v>0</v>
      </c>
      <c r="FG81" s="535">
        <f t="shared" ref="FG81:FG144" si="287">$FD81*16*(AV81+AW81)*(1-$AY81)</f>
        <v>0</v>
      </c>
      <c r="FH81" s="624">
        <f t="shared" ref="FH81:FH144" si="288">$FD81*8*AX81*(1-$AY81)</f>
        <v>0</v>
      </c>
      <c r="FI81" s="632">
        <f>IF(AX81,VLOOKUP(CALC!B81,MAIN!$H$17:$K$20,4),0)</f>
        <v>0</v>
      </c>
      <c r="FJ81" s="535">
        <f t="shared" ref="FJ81:FJ144" si="289">SUM(FE81:FH81)</f>
        <v>0</v>
      </c>
      <c r="FK81" s="648">
        <f t="shared" si="142"/>
        <v>0</v>
      </c>
      <c r="FL81" s="530">
        <f t="shared" ca="1" si="215"/>
        <v>0</v>
      </c>
      <c r="FM81" s="530">
        <f t="shared" ca="1" si="216"/>
        <v>0</v>
      </c>
      <c r="FN81" s="530">
        <f t="shared" ca="1" si="217"/>
        <v>0</v>
      </c>
      <c r="FO81" s="622">
        <f t="shared" ca="1" si="218"/>
        <v>0</v>
      </c>
      <c r="FP81" s="530">
        <f t="shared" ca="1" si="219"/>
        <v>0</v>
      </c>
      <c r="FQ81" s="530">
        <f t="shared" ca="1" si="220"/>
        <v>0</v>
      </c>
      <c r="FR81" s="530">
        <f t="shared" ca="1" si="221"/>
        <v>0</v>
      </c>
      <c r="FS81" s="625">
        <f t="shared" ca="1" si="222"/>
        <v>0</v>
      </c>
      <c r="FT81" s="640">
        <f ca="1">IF(AND(Assumptions!$H$71="Yes",A81&gt;=Assumptions!$H$72,A81&lt;=Assumptions!$H$73),0,IF(AND($A81&gt;=Assumptions!$C$17,$A81&lt;=Assumptions!$C$18),MAX(AZ81*(1+VLOOKUP($C81,WeatherCapacityAdjustment,2))-FL81,0),0))</f>
        <v>48888</v>
      </c>
      <c r="FU81" s="530">
        <f ca="1">IF(AND(Assumptions!$H$71="Yes",A81&gt;=Assumptions!$H$72,A81&lt;=Assumptions!$H$73),0,IF(AND($A81&gt;=Assumptions!$C$17,$A81&lt;=Assumptions!$C$18),MAX(BA81*(1+VLOOKUP($C81,WeatherCapacityAdjustment,2))-FM81,0),0))</f>
        <v>9312</v>
      </c>
      <c r="FV81" s="530">
        <f ca="1">IF(AND(Assumptions!$H$71="Yes",A81&gt;=Assumptions!$H$72,A81&lt;=Assumptions!$H$73),0,IF(AND($A81&gt;=Assumptions!$C$17,$A81&lt;=Assumptions!$C$18),MAX(BB81*(1+VLOOKUP($C81,WeatherCapacityAdjustment,2))-FN81,0),0))</f>
        <v>11640</v>
      </c>
      <c r="FW81" s="622">
        <f ca="1">IF(AND(Assumptions!$H$71="Yes",A81&gt;=Assumptions!$H$72,A81&lt;=Assumptions!$H$73),0,IF(AND($A81&gt;=Assumptions!$C$17,$A81&lt;=Assumptions!$C$18),MAX(BC81*(1+VLOOKUP($C81,WeatherCapacityAdjustment,3))-FO81,0),0))</f>
        <v>34920</v>
      </c>
      <c r="FX81" s="621">
        <f ca="1">IF(AND(Assumptions!$H$71="Yes",A81&gt;=Assumptions!$H$72,A81&lt;=Assumptions!$H$73),0,IF(ET81&gt;0,MAX(BH81*(1+VLOOKUP($C81,WeatherCapacityAdjustment,2))-FP81,0),0))</f>
        <v>195552</v>
      </c>
      <c r="FY81" s="530">
        <f ca="1">IF(AND(Assumptions!$H$71="Yes",A81&gt;=Assumptions!$H$72,A81&lt;=Assumptions!$H$73),0,IF(EU81&gt;0,MAX(BI81*(1+VLOOKUP($C81,WeatherCapacityAdjustment,3))-FQ81,0),0))</f>
        <v>37248</v>
      </c>
      <c r="FZ81" s="530">
        <f ca="1">IF(AND(Assumptions!$H$71="Yes",A81&gt;=Assumptions!$H$72,A81&lt;=Assumptions!$H$73),0,IF(EV81&gt;0,MAX(BJ81*(1+VLOOKUP($C81,WeatherCapacityAdjustment,2))-FR81,0),0))</f>
        <v>46560</v>
      </c>
      <c r="GA81" s="622">
        <f ca="1">IF(AND(Assumptions!$H$71="Yes",A81&gt;=Assumptions!$H$72,A81&lt;=Assumptions!$H$73),0,IF(EW81&gt;0,MAX(BK81*(1+VLOOKUP($C81,WeatherCapacityAdjustment,2))-FS81,0),0))</f>
        <v>139680</v>
      </c>
      <c r="GB81" s="530">
        <f t="shared" ref="GB81:GB144" ca="1" si="290">SUM(FT81:GA81)</f>
        <v>523800</v>
      </c>
      <c r="GC81" s="545">
        <f t="shared" ref="GC81:GC144" ca="1" si="291">+IF(SUM(FT81:GA81)=0,0,(SUMPRODUCT(BU81:BX81,FT81:FW81)+SUMPRODUCT(CA81:CD81,FX81:GA81))/SUM(FT81:GA81))</f>
        <v>53.08575033546083</v>
      </c>
      <c r="GD81" s="530">
        <f t="shared" ca="1" si="223"/>
        <v>27806316.025714379</v>
      </c>
      <c r="GE81" s="1485">
        <f t="shared" ca="1" si="224"/>
        <v>743483.81519999995</v>
      </c>
      <c r="GF81" s="1776">
        <f t="shared" ca="1" si="225"/>
        <v>2973935.2607999998</v>
      </c>
      <c r="GG81" s="545">
        <f t="shared" si="190"/>
        <v>2.6382226146302505</v>
      </c>
      <c r="GH81" s="622">
        <f t="shared" ca="1" si="191"/>
        <v>9807379.0743610896</v>
      </c>
      <c r="GI81" s="621">
        <f t="shared" ca="1" si="152"/>
        <v>523800</v>
      </c>
      <c r="GJ81" s="638">
        <f t="shared" ref="GJ81:GJ144" si="292">+DA81</f>
        <v>1.8727200000000002</v>
      </c>
      <c r="GK81" s="625">
        <f t="shared" ca="1" si="166"/>
        <v>980930.73600000003</v>
      </c>
      <c r="GL81" s="640">
        <f t="shared" ca="1" si="226"/>
        <v>0</v>
      </c>
      <c r="GM81" s="530">
        <f t="shared" ca="1" si="227"/>
        <v>0</v>
      </c>
      <c r="GN81" s="530">
        <f t="shared" ca="1" si="228"/>
        <v>0</v>
      </c>
      <c r="GO81" s="622">
        <f t="shared" ca="1" si="229"/>
        <v>0</v>
      </c>
      <c r="GP81" s="530">
        <f t="shared" ref="GP81:GP144" ca="1" si="293">SUM(GL81:GO81)</f>
        <v>0</v>
      </c>
      <c r="GQ81" s="545">
        <f t="shared" ref="GQ81:GQ144" ca="1" si="294">IF(SUM(GL81:GO81)=0,0,((GL81*BU81+GM81*BV81+GN81*BW81+GO81*BX81)/SUM(GL81:GO81)))</f>
        <v>0</v>
      </c>
      <c r="GR81" s="625">
        <f t="shared" ca="1" si="230"/>
        <v>0</v>
      </c>
      <c r="GS81" s="640">
        <f>IF($A81&gt;=BegDate,Assumptions!$C$56*24*($A82-$A81)*(1-VLOOKUP($B81,MAIN!$AA$7:$AM$28,$C81+1))*(1-VLOOKUP($B81,MAIN!$AA$33:$AM$54,$C81+1)),0)*80/168</f>
        <v>249428.57142857142</v>
      </c>
      <c r="GT81" s="1715">
        <f t="shared" si="153"/>
        <v>72.480917384634239</v>
      </c>
      <c r="GU81" s="1715">
        <f>IF($A81&gt;=BegDate,VLOOKUP($A81,GasTable,13)+Assumptions!$C$58,0)</f>
        <v>2.6382226146302505</v>
      </c>
      <c r="GV81" s="1715">
        <f>GU81*Assumptions!$C$57/1000</f>
        <v>19.127113956069316</v>
      </c>
      <c r="GW81" s="625">
        <f>IF(Assumptions!$C$60="Hourly",MAX(0,GS81*(GT81-GV81)),GS81*(GT81-GV81))</f>
        <v>13307962.969467765</v>
      </c>
      <c r="GX81" s="640">
        <f>IF($A81&gt;=BegDate,Assumptions!$C$56*24*($A82-$A81)*(1-VLOOKUP($B81,MAIN!$AA$7:$AM$28,$C81+1))*(1-VLOOKUP($B81,MAIN!$AA$33:$AM$54,$C81+1)),0)*16/168</f>
        <v>49885.714285714283</v>
      </c>
      <c r="GY81" s="1715">
        <f t="shared" si="154"/>
        <v>72.480917384634239</v>
      </c>
      <c r="GZ81" s="1715">
        <f>IF($A81&gt;=BegDate,VLOOKUP($A81,GasTable,13)+Assumptions!$C$58,0)</f>
        <v>2.6382226146302505</v>
      </c>
      <c r="HA81" s="1715">
        <f>GZ81*Assumptions!$C$57/1000</f>
        <v>19.127113956069316</v>
      </c>
      <c r="HB81" s="625">
        <f>IF(Assumptions!$C$60="Hourly",MAX(0,GX81*(GY81-HA81)),GX81*(GY81-HA81))</f>
        <v>2661592.5938935527</v>
      </c>
      <c r="HC81" s="640">
        <f>IF($A81&gt;=BegDate,Assumptions!$C$56*24*($A82-$A81)*(1-VLOOKUP($B81,MAIN!$AA$7:$AM$28,$C81+1))*(1-VLOOKUP($B81,MAIN!$AA$33:$AM$54,$C81+1)),0)*16/168</f>
        <v>49885.714285714283</v>
      </c>
      <c r="HD81" s="1715">
        <f t="shared" si="155"/>
        <v>28.841792413913282</v>
      </c>
      <c r="HE81" s="1715">
        <f>IF($A81&gt;=BegDate,VLOOKUP($A81,GasTable,13)+Assumptions!$C$58,0)</f>
        <v>2.6382226146302505</v>
      </c>
      <c r="HF81" s="1715">
        <f>HE81*Assumptions!$C$57/1000</f>
        <v>19.127113956069316</v>
      </c>
      <c r="HG81" s="625">
        <f>IF(Assumptions!$C$60="Hourly",MAX(0,HC81*(HD81-HF81)),HC81*(HD81-HF81))</f>
        <v>484623.67392558756</v>
      </c>
      <c r="HH81" s="640">
        <f>IF($A81&gt;=BegDate,Assumptions!$C$56*24*($A82-$A81)*(1-VLOOKUP($B81,MAIN!$AA$7:$AM$28,$C81+1))*(1-VLOOKUP($B81,MAIN!$AA$33:$AM$54,$C81+1)),0)*56/168</f>
        <v>174600</v>
      </c>
      <c r="HI81" s="1715">
        <f t="shared" si="156"/>
        <v>28.841792413913282</v>
      </c>
      <c r="HJ81" s="1715">
        <f>IF($A81&gt;=BegDate,VLOOKUP($A81,GasTable,13)+Assumptions!$C$58,0)</f>
        <v>2.6382226146302505</v>
      </c>
      <c r="HK81" s="1715">
        <f>HJ81*Assumptions!$C$57/1000</f>
        <v>19.127113956069316</v>
      </c>
      <c r="HL81" s="625">
        <f>IF(Assumptions!$C$60="Hourly",MAX(0,HH81*(HI81-HK81)),HH81*(HI81-HK81))</f>
        <v>1696182.8587395565</v>
      </c>
      <c r="HM81" s="640">
        <f>IF(AND(Assumptions!$H$71="Yes",A81&gt;=Assumptions!$H$72,A81&lt;=Assumptions!$H$73),Assumptions!$H$74*Assumptions!$C$9*1000,0)</f>
        <v>0</v>
      </c>
      <c r="HN81" s="530">
        <f t="shared" ca="1" si="235"/>
        <v>17998936.951353289</v>
      </c>
      <c r="HO81" s="545"/>
      <c r="HP81" s="545"/>
      <c r="HQ81" s="545"/>
      <c r="HR81" s="545"/>
      <c r="HS81" s="545"/>
      <c r="HT81" s="545"/>
      <c r="HU81" s="545"/>
      <c r="HV81" s="545"/>
      <c r="HW81" s="545"/>
      <c r="HX81" s="545"/>
      <c r="HY81" s="545"/>
      <c r="HZ81" s="545"/>
      <c r="IA81" s="545"/>
      <c r="IB81" s="545"/>
      <c r="IC81" s="545"/>
      <c r="ID81" s="545"/>
      <c r="IE81" s="545"/>
      <c r="IF81" s="545"/>
      <c r="IG81" s="545"/>
      <c r="IH81" s="545"/>
      <c r="II81" s="1464"/>
      <c r="IJ81" s="1463"/>
      <c r="IK81" s="1463"/>
    </row>
    <row r="82" spans="1:245">
      <c r="A82" s="177">
        <f t="shared" ref="A82:A145" si="295">EOMONTH(A81,0)+1</f>
        <v>38626</v>
      </c>
      <c r="B82" s="349">
        <f t="shared" ref="B82:B145" si="296">+YEAR(A82)</f>
        <v>2005</v>
      </c>
      <c r="C82" s="15">
        <f t="shared" si="236"/>
        <v>10</v>
      </c>
      <c r="D82" s="612" t="str">
        <f t="shared" ref="D82:D145" si="297">IF(E82="","",Holiday(B82,C82))</f>
        <v/>
      </c>
      <c r="E82" s="609">
        <f t="shared" si="237"/>
        <v>38626</v>
      </c>
      <c r="F82" s="614">
        <f t="shared" si="238"/>
        <v>38656</v>
      </c>
      <c r="G82" s="1349">
        <v>0</v>
      </c>
      <c r="H82" s="152">
        <f t="shared" si="165"/>
        <v>1</v>
      </c>
      <c r="I82" s="154">
        <f>IF(Assumptions!$L$25=4,VLOOKUP($A82,'Henwood Reference'!$E$9:$R$320,10),(VLOOKUP($A82,PriceTable,2,0)+IF(BasisNumber&lt;&gt;1,VLOOKUP($A82,BasisTable,2,0),0)+I$1)/(1-I$2))</f>
        <v>41.476120269171844</v>
      </c>
      <c r="J82" s="154">
        <f>IF(Assumptions!$L$25=4,VLOOKUP($A82,'Henwood Reference'!$E$9:$R$320,10),(VLOOKUP($A82,PriceTable,3,0)+IF(BasisNumber&lt;&gt;1,VLOOKUP($A82,BasisTable,2,0),0)+J$1)/(1-J$2))</f>
        <v>41.476120269171844</v>
      </c>
      <c r="K82" s="154">
        <f>IF(Assumptions!$L$25=4,VLOOKUP($A82,'Henwood Reference'!$E$9:$R$320,10),(VLOOKUP($A82,PriceTable,4,0)+IF(BasisNumber&lt;&gt;1,VLOOKUP($A82,BasisTable,2,0),0)+K$1)/(1-K$2))</f>
        <v>41.476120269171844</v>
      </c>
      <c r="L82" s="474">
        <f>IF(Assumptions!$L$25=4,VLOOKUP($A82,'Henwood Reference'!$E$9:$R$320,10),(VLOOKUP($A82,PriceTableWeekend,2,0)+IF(BasisNumber&lt;&gt;1,VLOOKUP($A82,BasisTable,2,0),0)+L$1)/(1-L$2))</f>
        <v>41.476120269171844</v>
      </c>
      <c r="M82" s="154">
        <f>IF(Assumptions!$L$25=4,VLOOKUP($A82,'Henwood Reference'!$E$9:$R$320,10),(VLOOKUP($A82,PriceTableWeekend,3,0)+IF(BasisNumber&lt;&gt;1,VLOOKUP($A82,BasisTable,2,0),0)+M$1)/(1-M$2))</f>
        <v>41.476120269171844</v>
      </c>
      <c r="N82" s="156">
        <f>IF(Assumptions!$L$25=4,VLOOKUP($A82,'Henwood Reference'!$E$9:$R$320,10),(VLOOKUP($A82,PriceTableWeekend,4,0)+IF(BasisNumber&lt;&gt;1,VLOOKUP($A82,BasisTable,2,0),0)+N$1)/(1-N$2))</f>
        <v>41.476120269171844</v>
      </c>
      <c r="O82" s="154">
        <f>IF(Assumptions!$L$25=4,VLOOKUP($A82,'Henwood Reference'!$E$9:$R$320,11),(VLOOKUP($A82,PriceTableWeekend,6,0)+IF(BasisNumber&lt;&gt;1,VLOOKUP($A82,BasisTable,3,0),0)+O$1)/(1-O$2))</f>
        <v>25.1194943940048</v>
      </c>
      <c r="P82" s="154">
        <f>IF(Assumptions!$L$25=4,VLOOKUP($A82,'Henwood Reference'!$E$9:$R$320,11),(VLOOKUP($A82,PriceTableWeekend,7,0)+IF(BasisNumber&lt;&gt;1,VLOOKUP($A82,BasisTable,3,0),0)+P$1)/(1-P$2))</f>
        <v>25.1194943940048</v>
      </c>
      <c r="Q82" s="156">
        <f>IF(Assumptions!$L$25=4,VLOOKUP($A82,'Henwood Reference'!$E$9:$R$320,11),(VLOOKUP($A82,PriceTableWeekend,8,0)+IF(BasisNumber&lt;&gt;1,VLOOKUP($A82,BasisTable,3,0),0)+Q$1)/(1-Q$2))</f>
        <v>25.1194943940048</v>
      </c>
      <c r="R82" s="154">
        <f>IF(Assumptions!$L$25=4,VLOOKUP($A82,'Henwood Reference'!$E$9:$R$320,11),(VLOOKUP($A82,PriceTable,6,0)+IF(BasisNumber&lt;&gt;1,VLOOKUP($A82,BasisTable,3,0),0)+R$1)/(1-R$2))</f>
        <v>25.1194943940048</v>
      </c>
      <c r="S82" s="154">
        <f>IF(Assumptions!$L$25=4,VLOOKUP($A82,'Henwood Reference'!$E$9:$R$320,11),(VLOOKUP($A82,PriceTable,7,0)+IF(BasisNumber&lt;&gt;1,VLOOKUP($A82,BasisTable,3,0),0)+S$1)/(1-S$2))</f>
        <v>25.1194943940048</v>
      </c>
      <c r="T82" s="155">
        <f>IF(Assumptions!$L$25=4,VLOOKUP($A82,'Henwood Reference'!$E$9:$R$320,11),(VLOOKUP($A82,PriceTable,8,0)+IF(BasisNumber&lt;&gt;1,VLOOKUP($A82,BasisTable,3,0),0)+T$1)/(1-T$2))</f>
        <v>25.1194943940048</v>
      </c>
      <c r="U82" s="173">
        <f t="shared" ref="U82:U145" si="298">VLOOKUP($A82,VolatilityTable,14)</f>
        <v>0.14499999999999999</v>
      </c>
      <c r="V82" s="173">
        <f t="shared" ref="V82:V145" si="299">VLOOKUP($A82,VolatilityTable,15)</f>
        <v>0.155</v>
      </c>
      <c r="W82" s="174">
        <f t="shared" ref="W82:W145" si="300">VLOOKUP($A82,VolatilityTable,16)</f>
        <v>0.16500000000000001</v>
      </c>
      <c r="X82" s="173">
        <f t="shared" ref="X82:X145" si="301">VLOOKUP($A82,VolatilityTable,14)</f>
        <v>0.14499999999999999</v>
      </c>
      <c r="Y82" s="173">
        <f t="shared" ref="Y82:Y145" si="302">VLOOKUP($A82,VolatilityTable,15)</f>
        <v>0.155</v>
      </c>
      <c r="Z82" s="174">
        <f t="shared" ref="Z82:Z145" si="303">VLOOKUP($A82,VolatilityTable,16)</f>
        <v>0.16500000000000001</v>
      </c>
      <c r="AA82" s="173">
        <f t="shared" ref="AA82:AA145" si="304">VLOOKUP($A82,VolatilityTable,18)</f>
        <v>0.09</v>
      </c>
      <c r="AB82" s="173">
        <f t="shared" ref="AB82:AB145" si="305">VLOOKUP($A82,VolatilityTable,19)</f>
        <v>0.11</v>
      </c>
      <c r="AC82" s="174">
        <f t="shared" ref="AC82:AC145" si="306">VLOOKUP($A82,VolatilityTable,20)</f>
        <v>0.13</v>
      </c>
      <c r="AD82" s="173">
        <f t="shared" ref="AD82:AD145" si="307">VLOOKUP($A82,VolatilityTable,18)</f>
        <v>0.09</v>
      </c>
      <c r="AE82" s="173">
        <f t="shared" ref="AE82:AE145" si="308">VLOOKUP($A82,VolatilityTable,19)</f>
        <v>0.11</v>
      </c>
      <c r="AF82" s="174">
        <f t="shared" ref="AF82:AF145" si="309">VLOOKUP($A82,VolatilityTable,20)</f>
        <v>0.13</v>
      </c>
      <c r="AG82" s="173">
        <f t="shared" ref="AG82:AG145" si="310">VLOOKUP($A82,VolatilityTable,22)</f>
        <v>-0.1</v>
      </c>
      <c r="AH82" s="173">
        <f t="shared" ref="AH82:AH145" si="311">VLOOKUP($A82,VolatilityTable,23)</f>
        <v>0.6</v>
      </c>
      <c r="AI82" s="174">
        <f t="shared" ref="AI82:AI145" si="312">VLOOKUP($A82,VolatilityTable,24)</f>
        <v>0.1</v>
      </c>
      <c r="AJ82" s="173">
        <f t="shared" ref="AJ82:AJ145" si="313">VLOOKUP($A82,VolatilityTable,22)</f>
        <v>-0.1</v>
      </c>
      <c r="AK82" s="173">
        <f t="shared" ref="AK82:AK145" si="314">VLOOKUP($A82,VolatilityTable,23)</f>
        <v>0.6</v>
      </c>
      <c r="AL82" s="174">
        <f t="shared" ref="AL82:AL145" si="315">VLOOKUP($A82,VolatilityTable,24)</f>
        <v>0.1</v>
      </c>
      <c r="AM82" s="173">
        <f t="shared" ref="AM82:AM145" si="316">VLOOKUP($A82,VolatilityTable,26)</f>
        <v>-0.01</v>
      </c>
      <c r="AN82" s="173">
        <f t="shared" ref="AN82:AN145" si="317">VLOOKUP($A82,VolatilityTable,27)</f>
        <v>0.16</v>
      </c>
      <c r="AO82" s="174">
        <f t="shared" ref="AO82:AO145" si="318">VLOOKUP($A82,VolatilityTable,28)</f>
        <v>0.01</v>
      </c>
      <c r="AP82" s="173">
        <f t="shared" ref="AP82:AP145" si="319">VLOOKUP($A82,VolatilityTable,26)</f>
        <v>-0.01</v>
      </c>
      <c r="AQ82" s="173">
        <f t="shared" ref="AQ82:AQ145" si="320">VLOOKUP($A82,VolatilityTable,27)</f>
        <v>0.16</v>
      </c>
      <c r="AR82" s="175">
        <f t="shared" ref="AR82:AR145" si="321">VLOOKUP($A82,VolatilityTable,28)</f>
        <v>0.01</v>
      </c>
      <c r="AS82" s="521">
        <f t="shared" ref="AS82:AS97" si="322">IF(CorrPeakOffPeakOverFlag,INDEX(CorrPeakOffPeakOver,C82),CorrPeakOffPeak)</f>
        <v>0.5</v>
      </c>
      <c r="AT82" s="349">
        <f t="shared" si="239"/>
        <v>21</v>
      </c>
      <c r="AU82" s="159">
        <f t="shared" si="240"/>
        <v>5</v>
      </c>
      <c r="AV82" s="159">
        <f t="shared" si="241"/>
        <v>5</v>
      </c>
      <c r="AW82" s="159">
        <f t="shared" ref="AW82:AW97" si="323">IF(OR(E82="",D82="",D82&lt;BegDate,D82&gt;EndDate),0,1)</f>
        <v>0</v>
      </c>
      <c r="AX82" s="15">
        <f t="shared" si="242"/>
        <v>31</v>
      </c>
      <c r="AY82" s="607">
        <f>IF(E82="",0,MIN((1-(1-VLOOKUP(B82,MAIN!$AA$7:$AM$28,C82+1))*(1-VLOOKUP(B82,MAIN!$AA$33:$AM$54,C82+1))),1))</f>
        <v>3.0000000000000027E-2</v>
      </c>
      <c r="AZ82" s="337">
        <v>48888</v>
      </c>
      <c r="BA82" s="509">
        <v>11640</v>
      </c>
      <c r="BB82" s="509">
        <v>11640</v>
      </c>
      <c r="BC82" s="511">
        <v>36084</v>
      </c>
      <c r="BD82" s="153">
        <v>0.97000001445412631</v>
      </c>
      <c r="BE82" s="474">
        <v>0.97000001445412631</v>
      </c>
      <c r="BF82" s="474">
        <v>0.97000001445412631</v>
      </c>
      <c r="BG82" s="515">
        <v>0.9699999927729368</v>
      </c>
      <c r="BH82" s="262">
        <v>195552</v>
      </c>
      <c r="BI82" s="509">
        <v>46560</v>
      </c>
      <c r="BJ82" s="509">
        <v>46560</v>
      </c>
      <c r="BK82" s="511">
        <v>144336</v>
      </c>
      <c r="BL82" s="153">
        <v>0.97000001445412631</v>
      </c>
      <c r="BM82" s="474">
        <v>0.97000001445412631</v>
      </c>
      <c r="BN82" s="474">
        <v>0.97000001445412631</v>
      </c>
      <c r="BO82" s="474">
        <v>0.9699999927729368</v>
      </c>
      <c r="BP82" s="261">
        <f t="shared" ref="BP82:BP145" si="324">SUM(AZ82:BB82)</f>
        <v>72168</v>
      </c>
      <c r="BQ82" s="578">
        <f t="shared" ref="BQ82:BQ145" si="325">SUM(AZ82:BC82)</f>
        <v>108252</v>
      </c>
      <c r="BR82" s="259">
        <f t="shared" ref="BR82:BR145" si="326">SUM(BH82:BJ82)</f>
        <v>288672</v>
      </c>
      <c r="BS82" s="578">
        <f t="shared" ref="BS82:BS145" si="327">SUM(BH82:BK82)</f>
        <v>433008</v>
      </c>
      <c r="BT82" s="216">
        <f t="shared" ref="BT82:BT145" si="328">(IF(OVolType&lt;&gt;2,A82+14,IF(OptExpDateShift,ShiftBack(A82,OptExpDateShift,D81),A82))-DateToday)/365.25</f>
        <v>5.4647501711156741</v>
      </c>
      <c r="BU82" s="218">
        <f t="shared" si="243"/>
        <v>41.476120887214194</v>
      </c>
      <c r="BV82" s="216">
        <f t="shared" si="244"/>
        <v>41.476120887214194</v>
      </c>
      <c r="BW82" s="216">
        <f t="shared" si="245"/>
        <v>25.119494768314436</v>
      </c>
      <c r="BX82" s="216">
        <f t="shared" ref="BX82:BX145" si="329">IF(BQ82,IF(OPriceCurve,IF(OBuySell=OCallPut,R82/(1-AY82),T82/(1-AY82)),S82/(1-AY82))*BG82,0)</f>
        <v>25.119494206849982</v>
      </c>
      <c r="BY82" s="216">
        <f t="shared" si="246"/>
        <v>38.837955384165845</v>
      </c>
      <c r="BZ82" s="216">
        <f t="shared" si="247"/>
        <v>34.265134991727223</v>
      </c>
      <c r="CA82" s="264">
        <f t="shared" si="248"/>
        <v>41.476120887214194</v>
      </c>
      <c r="CB82" s="216">
        <f t="shared" si="249"/>
        <v>41.476120887214194</v>
      </c>
      <c r="CC82" s="216">
        <f t="shared" si="250"/>
        <v>25.119494768314436</v>
      </c>
      <c r="CD82" s="216">
        <f t="shared" ref="CD82:CD145" si="330">IF(BS82,IF(OPriceCurve,IF(OBuySell=OCallPut,R82/(1-AY82),T82/(1-AY82)),S82/(1-AY82))*BO82,0)</f>
        <v>25.119494206849982</v>
      </c>
      <c r="CE82" s="216">
        <f t="shared" si="251"/>
        <v>38.837955384165845</v>
      </c>
      <c r="CF82" s="571">
        <f t="shared" si="252"/>
        <v>34.265134991727223</v>
      </c>
      <c r="CG82" s="573">
        <f t="shared" si="253"/>
        <v>0.155</v>
      </c>
      <c r="CH82" s="219">
        <f t="shared" si="254"/>
        <v>0.155</v>
      </c>
      <c r="CI82" s="219">
        <f t="shared" si="255"/>
        <v>0.11</v>
      </c>
      <c r="CJ82" s="219">
        <f t="shared" si="256"/>
        <v>0.15038296951286559</v>
      </c>
      <c r="CK82" s="219">
        <f t="shared" si="257"/>
        <v>0.15038296951286559</v>
      </c>
      <c r="CL82" s="219">
        <f t="shared" si="258"/>
        <v>0.11</v>
      </c>
      <c r="CM82" s="219">
        <f t="shared" si="259"/>
        <v>0.12968837977883568</v>
      </c>
      <c r="CN82" s="569">
        <f t="shared" si="260"/>
        <v>0.12968837977883568</v>
      </c>
      <c r="CO82" s="264">
        <f t="shared" si="175"/>
        <v>19.531887524988811</v>
      </c>
      <c r="CP82" s="216">
        <f t="shared" ref="CP82:CP145" si="331">IF(OR(BQ82,BS82),VLOOKUP(A82,GasTable,13)*HeatRatePeak*(1+VLOOKUP($B82,HeatRateDegradation,$C82+1))/1000,0)</f>
        <v>19.531887524988811</v>
      </c>
      <c r="CQ82" s="216">
        <f t="shared" ca="1" si="192"/>
        <v>19.531887524988811</v>
      </c>
      <c r="CR82" s="216">
        <f t="shared" ca="1" si="193"/>
        <v>19.531887524988811</v>
      </c>
      <c r="CS82" s="1626">
        <f t="shared" ca="1" si="194"/>
        <v>19.531887524988811</v>
      </c>
      <c r="CT82" s="216">
        <f t="shared" ref="CT82:CT145" si="332">IF(BS82,CO82,0)</f>
        <v>19.531887524988811</v>
      </c>
      <c r="CU82" s="575">
        <f t="shared" si="261"/>
        <v>0.16500000000000001</v>
      </c>
      <c r="CV82" s="154">
        <f t="shared" si="262"/>
        <v>0.5</v>
      </c>
      <c r="CW82" s="216">
        <f>IF(OR($BQ82,$BS82),SpreadOptPowerMargin,0)*((1+Assumptions!$C$26)^($B82-YEAR(Assumptions!$C$17)))</f>
        <v>1.8727199999999999</v>
      </c>
      <c r="CX82" s="216">
        <f>IF(OR($BQ82,$BS82),SpreadOptPowerMargin,0)*((1+Assumptions!$C$26)^($B82-YEAR(Assumptions!$C$17)))</f>
        <v>1.8727199999999999</v>
      </c>
      <c r="CY82" s="216">
        <f>IF(OR($BQ82,$BS82),SpreadOptPowerMargin,0)*((1+Assumptions!$C$26)^($B82-YEAR(Assumptions!$C$17)))</f>
        <v>1.8727199999999999</v>
      </c>
      <c r="CZ82" s="216">
        <f>IF(OR($BQ82,$BS82),SpreadOptPowerMargin,0)*((1+Assumptions!$C$26)^($B82-YEAR(Assumptions!$C$17)))</f>
        <v>1.8727199999999999</v>
      </c>
      <c r="DA82" s="440">
        <f t="shared" si="263"/>
        <v>1.8727200000000002</v>
      </c>
      <c r="DB82" s="479">
        <f t="shared" si="264"/>
        <v>0.155</v>
      </c>
      <c r="DC82" s="479">
        <f t="shared" si="265"/>
        <v>0.155</v>
      </c>
      <c r="DD82" s="479">
        <f t="shared" si="266"/>
        <v>0.11</v>
      </c>
      <c r="DE82" s="479">
        <f t="shared" si="267"/>
        <v>0.11</v>
      </c>
      <c r="DF82" s="479">
        <f t="shared" si="268"/>
        <v>0.12968837977883568</v>
      </c>
      <c r="DG82" s="574">
        <f t="shared" si="269"/>
        <v>0.12968837977883568</v>
      </c>
      <c r="DH82" s="216">
        <f t="shared" si="270"/>
        <v>20.207997384839775</v>
      </c>
      <c r="DI82" s="216">
        <f t="shared" si="271"/>
        <v>20.207997384839775</v>
      </c>
      <c r="DJ82" s="216">
        <f t="shared" ca="1" si="195"/>
        <v>5.146168660526782</v>
      </c>
      <c r="DK82" s="216">
        <f t="shared" ca="1" si="196"/>
        <v>5.146168239770903</v>
      </c>
      <c r="DL82" s="216">
        <f t="shared" ca="1" si="197"/>
        <v>13.178805522503612</v>
      </c>
      <c r="DM82" s="216"/>
      <c r="DN82" s="216"/>
      <c r="DO82" s="216"/>
      <c r="DP82" s="216"/>
      <c r="DQ82" s="216"/>
      <c r="DR82" s="216"/>
      <c r="DS82" s="216"/>
      <c r="DT82" s="216"/>
      <c r="DU82" s="216"/>
      <c r="DV82" s="216"/>
      <c r="DW82" s="1371">
        <f t="shared" si="272"/>
        <v>5.146168660526782</v>
      </c>
      <c r="DX82" s="216">
        <f t="shared" si="273"/>
        <v>5.146168239770903</v>
      </c>
      <c r="DY82" s="440">
        <f t="shared" si="274"/>
        <v>13.567836194084238</v>
      </c>
      <c r="DZ82" s="180">
        <f t="shared" si="275"/>
        <v>987928.57615004689</v>
      </c>
      <c r="EA82" s="180">
        <f t="shared" si="276"/>
        <v>235221.08955953497</v>
      </c>
      <c r="EB82" s="180">
        <f t="shared" ca="1" si="198"/>
        <v>59901.403208531745</v>
      </c>
      <c r="EC82" s="180">
        <f t="shared" ca="1" si="199"/>
        <v>185694.33476389328</v>
      </c>
      <c r="ED82" s="180">
        <f t="shared" ca="1" si="200"/>
        <v>1426632.0554220611</v>
      </c>
      <c r="EE82" s="581">
        <f t="shared" si="277"/>
        <v>981256.14525247447</v>
      </c>
      <c r="EF82" s="554">
        <f t="shared" si="278"/>
        <v>233632.41553630345</v>
      </c>
      <c r="EG82" s="554">
        <f t="shared" ca="1" si="201"/>
        <v>43241.287512310257</v>
      </c>
      <c r="EH82" s="554">
        <f t="shared" ca="1" si="202"/>
        <v>134047.97102827847</v>
      </c>
      <c r="EI82" s="561">
        <f t="shared" ca="1" si="279"/>
        <v>1392177.8193293666</v>
      </c>
      <c r="EJ82" s="581">
        <f t="shared" ref="EJ82:EJ145" si="333">DZ82-EE82</f>
        <v>6672.4308975724271</v>
      </c>
      <c r="EK82" s="554">
        <f t="shared" ref="EK82:EK145" si="334">EA82-EF82</f>
        <v>1588.6740232315206</v>
      </c>
      <c r="EL82" s="554">
        <f t="shared" ca="1" si="203"/>
        <v>16660.115696221488</v>
      </c>
      <c r="EM82" s="554">
        <f t="shared" ca="1" si="204"/>
        <v>51646.36373561481</v>
      </c>
      <c r="EN82" s="561">
        <f t="shared" ca="1" si="205"/>
        <v>34454.236092694569</v>
      </c>
      <c r="EO82" s="180">
        <f t="shared" si="280"/>
        <v>3951714.3046001876</v>
      </c>
      <c r="EP82" s="180">
        <f t="shared" si="281"/>
        <v>940884.35823813989</v>
      </c>
      <c r="EQ82" s="180">
        <f t="shared" si="282"/>
        <v>239605.61283412698</v>
      </c>
      <c r="ER82" s="180">
        <f t="shared" si="283"/>
        <v>742777.3390555731</v>
      </c>
      <c r="ES82" s="180">
        <f t="shared" si="284"/>
        <v>5874981.614728028</v>
      </c>
      <c r="ET82" s="1482">
        <f t="shared" ca="1" si="206"/>
        <v>3925024.5810098979</v>
      </c>
      <c r="EU82" s="180">
        <f t="shared" ca="1" si="207"/>
        <v>934529.66214521381</v>
      </c>
      <c r="EV82" s="180">
        <f t="shared" ca="1" si="208"/>
        <v>172965.15004924103</v>
      </c>
      <c r="EW82" s="180">
        <f t="shared" ca="1" si="209"/>
        <v>536191.88411311386</v>
      </c>
      <c r="EX82" s="555">
        <f t="shared" ca="1" si="182"/>
        <v>5568711.2773174662</v>
      </c>
      <c r="EY82" s="180">
        <f t="shared" ca="1" si="210"/>
        <v>26689.723590289708</v>
      </c>
      <c r="EZ82" s="180">
        <f t="shared" ca="1" si="211"/>
        <v>6354.6960929260822</v>
      </c>
      <c r="FA82" s="180">
        <f t="shared" ca="1" si="212"/>
        <v>66640.462784885953</v>
      </c>
      <c r="FB82" s="180">
        <f t="shared" ca="1" si="213"/>
        <v>206585.45494245924</v>
      </c>
      <c r="FC82" s="180">
        <f t="shared" ca="1" si="214"/>
        <v>306270.33741056174</v>
      </c>
      <c r="FD82" s="262">
        <f>IF(AX82,IF(VLOOKUP(C82,MAIN!$L$17:$M$28,2)="Yes",VLOOKUP(CALC!B82,MAIN!$H$17:$I$20,2),0),0)</f>
        <v>0</v>
      </c>
      <c r="FE82" s="623">
        <f t="shared" si="285"/>
        <v>0</v>
      </c>
      <c r="FF82" s="535">
        <f t="shared" si="286"/>
        <v>0</v>
      </c>
      <c r="FG82" s="535">
        <f t="shared" si="287"/>
        <v>0</v>
      </c>
      <c r="FH82" s="624">
        <f t="shared" si="288"/>
        <v>0</v>
      </c>
      <c r="FI82" s="632">
        <f>IF(AX82,VLOOKUP(CALC!B82,MAIN!$H$17:$K$20,4),0)</f>
        <v>0</v>
      </c>
      <c r="FJ82" s="535">
        <f t="shared" si="289"/>
        <v>0</v>
      </c>
      <c r="FK82" s="648">
        <f t="shared" ref="FK82:FK145" si="335">FI82*FJ82</f>
        <v>0</v>
      </c>
      <c r="FL82" s="530">
        <f t="shared" ca="1" si="215"/>
        <v>0</v>
      </c>
      <c r="FM82" s="530">
        <f t="shared" ca="1" si="216"/>
        <v>0</v>
      </c>
      <c r="FN82" s="530">
        <f t="shared" ca="1" si="217"/>
        <v>0</v>
      </c>
      <c r="FO82" s="622">
        <f t="shared" ca="1" si="218"/>
        <v>0</v>
      </c>
      <c r="FP82" s="530">
        <f t="shared" ca="1" si="219"/>
        <v>0</v>
      </c>
      <c r="FQ82" s="530">
        <f t="shared" ca="1" si="220"/>
        <v>0</v>
      </c>
      <c r="FR82" s="530">
        <f t="shared" ca="1" si="221"/>
        <v>0</v>
      </c>
      <c r="FS82" s="625">
        <f t="shared" ca="1" si="222"/>
        <v>0</v>
      </c>
      <c r="FT82" s="640">
        <f ca="1">IF(AND(Assumptions!$H$71="Yes",A82&gt;=Assumptions!$H$72,A82&lt;=Assumptions!$H$73),0,IF(AND($A82&gt;=Assumptions!$C$17,$A82&lt;=Assumptions!$C$18),MAX(AZ82*(1+VLOOKUP($C82,WeatherCapacityAdjustment,2))-FL82,0),0))</f>
        <v>48888</v>
      </c>
      <c r="FU82" s="530">
        <f ca="1">IF(AND(Assumptions!$H$71="Yes",A82&gt;=Assumptions!$H$72,A82&lt;=Assumptions!$H$73),0,IF(AND($A82&gt;=Assumptions!$C$17,$A82&lt;=Assumptions!$C$18),MAX(BA82*(1+VLOOKUP($C82,WeatherCapacityAdjustment,2))-FM82,0),0))</f>
        <v>11640</v>
      </c>
      <c r="FV82" s="530">
        <f ca="1">IF(AND(Assumptions!$H$71="Yes",A82&gt;=Assumptions!$H$72,A82&lt;=Assumptions!$H$73),0,IF(AND($A82&gt;=Assumptions!$C$17,$A82&lt;=Assumptions!$C$18),MAX(BB82*(1+VLOOKUP($C82,WeatherCapacityAdjustment,2))-FN82,0),0))</f>
        <v>11640</v>
      </c>
      <c r="FW82" s="622">
        <f ca="1">IF(AND(Assumptions!$H$71="Yes",A82&gt;=Assumptions!$H$72,A82&lt;=Assumptions!$H$73),0,IF(AND($A82&gt;=Assumptions!$C$17,$A82&lt;=Assumptions!$C$18),MAX(BC82*(1+VLOOKUP($C82,WeatherCapacityAdjustment,3))-FO82,0),0))</f>
        <v>36084</v>
      </c>
      <c r="FX82" s="621">
        <f ca="1">IF(AND(Assumptions!$H$71="Yes",A82&gt;=Assumptions!$H$72,A82&lt;=Assumptions!$H$73),0,IF(ET82&gt;0,MAX(BH82*(1+VLOOKUP($C82,WeatherCapacityAdjustment,2))-FP82,0),0))</f>
        <v>195552</v>
      </c>
      <c r="FY82" s="530">
        <f ca="1">IF(AND(Assumptions!$H$71="Yes",A82&gt;=Assumptions!$H$72,A82&lt;=Assumptions!$H$73),0,IF(EU82&gt;0,MAX(BI82*(1+VLOOKUP($C82,WeatherCapacityAdjustment,3))-FQ82,0),0))</f>
        <v>46560</v>
      </c>
      <c r="FZ82" s="530">
        <f ca="1">IF(AND(Assumptions!$H$71="Yes",A82&gt;=Assumptions!$H$72,A82&lt;=Assumptions!$H$73),0,IF(EV82&gt;0,MAX(BJ82*(1+VLOOKUP($C82,WeatherCapacityAdjustment,2))-FR82,0),0))</f>
        <v>46560</v>
      </c>
      <c r="GA82" s="622">
        <f ca="1">IF(AND(Assumptions!$H$71="Yes",A82&gt;=Assumptions!$H$72,A82&lt;=Assumptions!$H$73),0,IF(EW82&gt;0,MAX(BK82*(1+VLOOKUP($C82,WeatherCapacityAdjustment,2))-FS82,0),0))</f>
        <v>144336</v>
      </c>
      <c r="GB82" s="530">
        <f t="shared" ca="1" si="290"/>
        <v>541260</v>
      </c>
      <c r="GC82" s="545">
        <f t="shared" ca="1" si="291"/>
        <v>34.265134991727223</v>
      </c>
      <c r="GD82" s="530">
        <f t="shared" ca="1" si="223"/>
        <v>18546346.965622276</v>
      </c>
      <c r="GE82" s="1485">
        <f t="shared" ca="1" si="224"/>
        <v>768584.86992000008</v>
      </c>
      <c r="GF82" s="1776">
        <f t="shared" ca="1" si="225"/>
        <v>3074339.4796800003</v>
      </c>
      <c r="GG82" s="545">
        <f t="shared" si="190"/>
        <v>2.7509855724523535</v>
      </c>
      <c r="GH82" s="622">
        <f t="shared" ca="1" si="191"/>
        <v>10571829.441775445</v>
      </c>
      <c r="GI82" s="621">
        <f t="shared" ref="GI82:GI145" ca="1" si="336">GB82</f>
        <v>541260</v>
      </c>
      <c r="GJ82" s="638">
        <f t="shared" si="292"/>
        <v>1.8727200000000002</v>
      </c>
      <c r="GK82" s="625">
        <f t="shared" ca="1" si="166"/>
        <v>1013628.4272</v>
      </c>
      <c r="GL82" s="640">
        <f t="shared" ca="1" si="226"/>
        <v>0</v>
      </c>
      <c r="GM82" s="530">
        <f t="shared" ca="1" si="227"/>
        <v>0</v>
      </c>
      <c r="GN82" s="530">
        <f t="shared" ca="1" si="228"/>
        <v>0</v>
      </c>
      <c r="GO82" s="622">
        <f t="shared" ca="1" si="229"/>
        <v>0</v>
      </c>
      <c r="GP82" s="530">
        <f t="shared" ca="1" si="293"/>
        <v>0</v>
      </c>
      <c r="GQ82" s="545">
        <f t="shared" ca="1" si="294"/>
        <v>0</v>
      </c>
      <c r="GR82" s="625">
        <f t="shared" ca="1" si="230"/>
        <v>0</v>
      </c>
      <c r="GS82" s="640">
        <f>IF($A82&gt;=BegDate,Assumptions!$C$56*24*($A83-$A82)*(1-VLOOKUP($B82,MAIN!$AA$7:$AM$28,$C82+1))*(1-VLOOKUP($B82,MAIN!$AA$33:$AM$54,$C82+1)),0)*80/168</f>
        <v>257742.85714285713</v>
      </c>
      <c r="GT82" s="1715">
        <f t="shared" ref="GT82:GT145" si="337">J82</f>
        <v>41.476120269171844</v>
      </c>
      <c r="GU82" s="1715">
        <f>IF($A82&gt;=BegDate,VLOOKUP($A82,GasTable,13)+Assumptions!$C$58,0)</f>
        <v>2.7509855724523535</v>
      </c>
      <c r="GV82" s="1715">
        <f>GU82*Assumptions!$C$57/1000</f>
        <v>19.944645400279562</v>
      </c>
      <c r="GW82" s="625">
        <f>IF(Assumptions!$C$60="Hourly",MAX(0,GS82*(GT82-GV82)),GS82*(GT82-GV82))</f>
        <v>5549583.8512079222</v>
      </c>
      <c r="GX82" s="640">
        <f>IF($A82&gt;=BegDate,Assumptions!$C$56*24*($A83-$A82)*(1-VLOOKUP($B82,MAIN!$AA$7:$AM$28,$C82+1))*(1-VLOOKUP($B82,MAIN!$AA$33:$AM$54,$C82+1)),0)*16/168</f>
        <v>51548.571428571428</v>
      </c>
      <c r="GY82" s="1715">
        <f t="shared" ref="GY82:GY145" si="338">M82</f>
        <v>41.476120269171844</v>
      </c>
      <c r="GZ82" s="1715">
        <f>IF($A82&gt;=BegDate,VLOOKUP($A82,GasTable,13)+Assumptions!$C$58,0)</f>
        <v>2.7509855724523535</v>
      </c>
      <c r="HA82" s="1715">
        <f>GZ82*Assumptions!$C$57/1000</f>
        <v>19.944645400279562</v>
      </c>
      <c r="HB82" s="625">
        <f>IF(Assumptions!$C$60="Hourly",MAX(0,GX82*(GY82-HA82)),GX82*(GY82-HA82))</f>
        <v>1109916.7702415844</v>
      </c>
      <c r="HC82" s="640">
        <f>IF($A82&gt;=BegDate,Assumptions!$C$56*24*($A83-$A82)*(1-VLOOKUP($B82,MAIN!$AA$7:$AM$28,$C82+1))*(1-VLOOKUP($B82,MAIN!$AA$33:$AM$54,$C82+1)),0)*16/168</f>
        <v>51548.571428571428</v>
      </c>
      <c r="HD82" s="1715">
        <f t="shared" ref="HD82:HD145" si="339">P82</f>
        <v>25.1194943940048</v>
      </c>
      <c r="HE82" s="1715">
        <f>IF($A82&gt;=BegDate,VLOOKUP($A82,GasTable,13)+Assumptions!$C$58,0)</f>
        <v>2.7509855724523535</v>
      </c>
      <c r="HF82" s="1715">
        <f>HE82*Assumptions!$C$57/1000</f>
        <v>19.944645400279562</v>
      </c>
      <c r="HG82" s="625">
        <f>IF(Assumptions!$C$60="Hourly",MAX(0,HC82*(HD82-HF82)),HC82*(HD82-HF82))</f>
        <v>266756.07298511639</v>
      </c>
      <c r="HH82" s="640">
        <f>IF($A82&gt;=BegDate,Assumptions!$C$56*24*($A83-$A82)*(1-VLOOKUP($B82,MAIN!$AA$7:$AM$28,$C82+1))*(1-VLOOKUP($B82,MAIN!$AA$33:$AM$54,$C82+1)),0)*56/168</f>
        <v>180420</v>
      </c>
      <c r="HI82" s="1715">
        <f t="shared" ref="HI82:HI145" si="340">S82</f>
        <v>25.1194943940048</v>
      </c>
      <c r="HJ82" s="1715">
        <f>IF($A82&gt;=BegDate,VLOOKUP($A82,GasTable,13)+Assumptions!$C$58,0)</f>
        <v>2.7509855724523535</v>
      </c>
      <c r="HK82" s="1715">
        <f>HJ82*Assumptions!$C$57/1000</f>
        <v>19.944645400279562</v>
      </c>
      <c r="HL82" s="625">
        <f>IF(Assumptions!$C$60="Hourly",MAX(0,HH82*(HI82-HK82)),HH82*(HI82-HK82))</f>
        <v>933646.25544790749</v>
      </c>
      <c r="HM82" s="640">
        <f>IF(AND(Assumptions!$H$71="Yes",A82&gt;=Assumptions!$H$72,A82&lt;=Assumptions!$H$73),Assumptions!$H$74*Assumptions!$C$9*1000,0)</f>
        <v>0</v>
      </c>
      <c r="HN82" s="530">
        <f t="shared" ca="1" si="235"/>
        <v>7974517.5238468312</v>
      </c>
      <c r="HO82" s="545"/>
      <c r="HP82" s="545"/>
      <c r="HQ82" s="545"/>
      <c r="HR82" s="545"/>
      <c r="HS82" s="545"/>
      <c r="HT82" s="545"/>
      <c r="HU82" s="545"/>
      <c r="HV82" s="545"/>
      <c r="HW82" s="545"/>
      <c r="HX82" s="545"/>
      <c r="HY82" s="545"/>
      <c r="HZ82" s="545"/>
      <c r="IA82" s="545"/>
      <c r="IB82" s="545"/>
      <c r="IC82" s="545"/>
      <c r="ID82" s="545"/>
      <c r="IE82" s="545"/>
      <c r="IF82" s="545"/>
      <c r="IG82" s="545"/>
      <c r="IH82" s="545"/>
      <c r="II82" s="1464"/>
      <c r="IJ82" s="1463"/>
      <c r="IK82" s="1463"/>
    </row>
    <row r="83" spans="1:245">
      <c r="A83" s="177">
        <f t="shared" si="295"/>
        <v>38657</v>
      </c>
      <c r="B83" s="349">
        <f t="shared" si="296"/>
        <v>2005</v>
      </c>
      <c r="C83" s="15">
        <f t="shared" si="236"/>
        <v>11</v>
      </c>
      <c r="D83" s="612">
        <f t="shared" si="297"/>
        <v>38680</v>
      </c>
      <c r="E83" s="609">
        <f t="shared" si="237"/>
        <v>38657</v>
      </c>
      <c r="F83" s="614">
        <f t="shared" si="238"/>
        <v>38686</v>
      </c>
      <c r="G83" s="1349">
        <v>0</v>
      </c>
      <c r="H83" s="152">
        <f t="shared" ref="H83:H146" si="341">(1+G83/2)^(-2*(DATE(B84,C84,20)-DateToday)/365.25)</f>
        <v>1</v>
      </c>
      <c r="I83" s="154">
        <f>IF(Assumptions!$L$25=4,VLOOKUP($A83,'Henwood Reference'!$E$9:$R$320,10),(VLOOKUP($A83,PriceTable,2,0)+IF(BasisNumber&lt;&gt;1,VLOOKUP($A83,BasisTable,2,0),0)+I$1)/(1-I$2))</f>
        <v>43.466225916939834</v>
      </c>
      <c r="J83" s="154">
        <f>IF(Assumptions!$L$25=4,VLOOKUP($A83,'Henwood Reference'!$E$9:$R$320,10),(VLOOKUP($A83,PriceTable,3,0)+IF(BasisNumber&lt;&gt;1,VLOOKUP($A83,BasisTable,2,0),0)+J$1)/(1-J$2))</f>
        <v>43.466225916939834</v>
      </c>
      <c r="K83" s="154">
        <f>IF(Assumptions!$L$25=4,VLOOKUP($A83,'Henwood Reference'!$E$9:$R$320,10),(VLOOKUP($A83,PriceTable,4,0)+IF(BasisNumber&lt;&gt;1,VLOOKUP($A83,BasisTable,2,0),0)+K$1)/(1-K$2))</f>
        <v>43.466225916939834</v>
      </c>
      <c r="L83" s="474">
        <f>IF(Assumptions!$L$25=4,VLOOKUP($A83,'Henwood Reference'!$E$9:$R$320,10),(VLOOKUP($A83,PriceTableWeekend,2,0)+IF(BasisNumber&lt;&gt;1,VLOOKUP($A83,BasisTable,2,0),0)+L$1)/(1-L$2))</f>
        <v>43.466225916939834</v>
      </c>
      <c r="M83" s="154">
        <f>IF(Assumptions!$L$25=4,VLOOKUP($A83,'Henwood Reference'!$E$9:$R$320,10),(VLOOKUP($A83,PriceTableWeekend,3,0)+IF(BasisNumber&lt;&gt;1,VLOOKUP($A83,BasisTable,2,0),0)+M$1)/(1-M$2))</f>
        <v>43.466225916939834</v>
      </c>
      <c r="N83" s="156">
        <f>IF(Assumptions!$L$25=4,VLOOKUP($A83,'Henwood Reference'!$E$9:$R$320,10),(VLOOKUP($A83,PriceTableWeekend,4,0)+IF(BasisNumber&lt;&gt;1,VLOOKUP($A83,BasisTable,2,0),0)+N$1)/(1-N$2))</f>
        <v>43.466225916939834</v>
      </c>
      <c r="O83" s="154">
        <f>IF(Assumptions!$L$25=4,VLOOKUP($A83,'Henwood Reference'!$E$9:$R$320,11),(VLOOKUP($A83,PriceTableWeekend,6,0)+IF(BasisNumber&lt;&gt;1,VLOOKUP($A83,BasisTable,3,0),0)+O$1)/(1-O$2))</f>
        <v>27.727333251163198</v>
      </c>
      <c r="P83" s="154">
        <f>IF(Assumptions!$L$25=4,VLOOKUP($A83,'Henwood Reference'!$E$9:$R$320,11),(VLOOKUP($A83,PriceTableWeekend,7,0)+IF(BasisNumber&lt;&gt;1,VLOOKUP($A83,BasisTable,3,0),0)+P$1)/(1-P$2))</f>
        <v>27.727333251163198</v>
      </c>
      <c r="Q83" s="156">
        <f>IF(Assumptions!$L$25=4,VLOOKUP($A83,'Henwood Reference'!$E$9:$R$320,11),(VLOOKUP($A83,PriceTableWeekend,8,0)+IF(BasisNumber&lt;&gt;1,VLOOKUP($A83,BasisTable,3,0),0)+Q$1)/(1-Q$2))</f>
        <v>27.727333251163198</v>
      </c>
      <c r="R83" s="154">
        <f>IF(Assumptions!$L$25=4,VLOOKUP($A83,'Henwood Reference'!$E$9:$R$320,11),(VLOOKUP($A83,PriceTable,6,0)+IF(BasisNumber&lt;&gt;1,VLOOKUP($A83,BasisTable,3,0),0)+R$1)/(1-R$2))</f>
        <v>27.727333251163198</v>
      </c>
      <c r="S83" s="154">
        <f>IF(Assumptions!$L$25=4,VLOOKUP($A83,'Henwood Reference'!$E$9:$R$320,11),(VLOOKUP($A83,PriceTable,7,0)+IF(BasisNumber&lt;&gt;1,VLOOKUP($A83,BasisTable,3,0),0)+S$1)/(1-S$2))</f>
        <v>27.727333251163198</v>
      </c>
      <c r="T83" s="155">
        <f>IF(Assumptions!$L$25=4,VLOOKUP($A83,'Henwood Reference'!$E$9:$R$320,11),(VLOOKUP($A83,PriceTable,8,0)+IF(BasisNumber&lt;&gt;1,VLOOKUP($A83,BasisTable,3,0),0)+T$1)/(1-T$2))</f>
        <v>27.727333251163198</v>
      </c>
      <c r="U83" s="173">
        <f t="shared" si="298"/>
        <v>0.14499999999999999</v>
      </c>
      <c r="V83" s="173">
        <f t="shared" si="299"/>
        <v>0.155</v>
      </c>
      <c r="W83" s="174">
        <f t="shared" si="300"/>
        <v>0.16500000000000001</v>
      </c>
      <c r="X83" s="173">
        <f t="shared" si="301"/>
        <v>0.14499999999999999</v>
      </c>
      <c r="Y83" s="173">
        <f t="shared" si="302"/>
        <v>0.155</v>
      </c>
      <c r="Z83" s="174">
        <f t="shared" si="303"/>
        <v>0.16500000000000001</v>
      </c>
      <c r="AA83" s="173">
        <f t="shared" si="304"/>
        <v>0.09</v>
      </c>
      <c r="AB83" s="173">
        <f t="shared" si="305"/>
        <v>0.11</v>
      </c>
      <c r="AC83" s="174">
        <f t="shared" si="306"/>
        <v>0.13</v>
      </c>
      <c r="AD83" s="173">
        <f t="shared" si="307"/>
        <v>0.09</v>
      </c>
      <c r="AE83" s="173">
        <f t="shared" si="308"/>
        <v>0.11</v>
      </c>
      <c r="AF83" s="174">
        <f t="shared" si="309"/>
        <v>0.13</v>
      </c>
      <c r="AG83" s="173">
        <f t="shared" si="310"/>
        <v>-0.1</v>
      </c>
      <c r="AH83" s="173">
        <f t="shared" si="311"/>
        <v>0.6</v>
      </c>
      <c r="AI83" s="174">
        <f t="shared" si="312"/>
        <v>0.1</v>
      </c>
      <c r="AJ83" s="173">
        <f t="shared" si="313"/>
        <v>-0.1</v>
      </c>
      <c r="AK83" s="173">
        <f t="shared" si="314"/>
        <v>0.6</v>
      </c>
      <c r="AL83" s="174">
        <f t="shared" si="315"/>
        <v>0.1</v>
      </c>
      <c r="AM83" s="173">
        <f t="shared" si="316"/>
        <v>-0.01</v>
      </c>
      <c r="AN83" s="173">
        <f t="shared" si="317"/>
        <v>0.16</v>
      </c>
      <c r="AO83" s="174">
        <f t="shared" si="318"/>
        <v>0.01</v>
      </c>
      <c r="AP83" s="173">
        <f t="shared" si="319"/>
        <v>-0.01</v>
      </c>
      <c r="AQ83" s="173">
        <f t="shared" si="320"/>
        <v>0.16</v>
      </c>
      <c r="AR83" s="175">
        <f t="shared" si="321"/>
        <v>0.01</v>
      </c>
      <c r="AS83" s="521">
        <f t="shared" si="322"/>
        <v>0.5</v>
      </c>
      <c r="AT83" s="349">
        <f t="shared" si="239"/>
        <v>21</v>
      </c>
      <c r="AU83" s="159">
        <f t="shared" si="240"/>
        <v>4</v>
      </c>
      <c r="AV83" s="159">
        <f t="shared" si="241"/>
        <v>4</v>
      </c>
      <c r="AW83" s="159">
        <f t="shared" si="323"/>
        <v>1</v>
      </c>
      <c r="AX83" s="15">
        <f t="shared" si="242"/>
        <v>30</v>
      </c>
      <c r="AY83" s="607">
        <f>IF(E83="",0,MIN((1-(1-VLOOKUP(B83,MAIN!$AA$7:$AM$28,C83+1))*(1-VLOOKUP(B83,MAIN!$AA$33:$AM$54,C83+1))),1))</f>
        <v>3.0000000000000027E-2</v>
      </c>
      <c r="AZ83" s="337">
        <v>48888</v>
      </c>
      <c r="BA83" s="509">
        <v>9312</v>
      </c>
      <c r="BB83" s="509">
        <v>11640</v>
      </c>
      <c r="BC83" s="511">
        <v>34920</v>
      </c>
      <c r="BD83" s="153">
        <v>0.97</v>
      </c>
      <c r="BE83" s="474">
        <v>0.97</v>
      </c>
      <c r="BF83" s="474">
        <v>0.97</v>
      </c>
      <c r="BG83" s="515">
        <v>0.9699999927729368</v>
      </c>
      <c r="BH83" s="262">
        <v>195552</v>
      </c>
      <c r="BI83" s="509">
        <v>37248</v>
      </c>
      <c r="BJ83" s="509">
        <v>46560</v>
      </c>
      <c r="BK83" s="511">
        <v>139680</v>
      </c>
      <c r="BL83" s="153">
        <v>0.97</v>
      </c>
      <c r="BM83" s="474">
        <v>0.97</v>
      </c>
      <c r="BN83" s="474">
        <v>0.97</v>
      </c>
      <c r="BO83" s="474">
        <v>0.9699999927729368</v>
      </c>
      <c r="BP83" s="261">
        <f t="shared" si="324"/>
        <v>69840</v>
      </c>
      <c r="BQ83" s="578">
        <f t="shared" si="325"/>
        <v>104760</v>
      </c>
      <c r="BR83" s="259">
        <f t="shared" si="326"/>
        <v>279360</v>
      </c>
      <c r="BS83" s="578">
        <f t="shared" si="327"/>
        <v>419040</v>
      </c>
      <c r="BT83" s="216">
        <f t="shared" si="328"/>
        <v>5.5496235455167691</v>
      </c>
      <c r="BU83" s="218">
        <f t="shared" si="243"/>
        <v>43.466225916939834</v>
      </c>
      <c r="BV83" s="216">
        <f t="shared" si="244"/>
        <v>43.466225916939834</v>
      </c>
      <c r="BW83" s="216">
        <f t="shared" si="245"/>
        <v>27.727333251163198</v>
      </c>
      <c r="BX83" s="216">
        <f t="shared" si="329"/>
        <v>27.727333044578469</v>
      </c>
      <c r="BY83" s="216">
        <f t="shared" si="246"/>
        <v>40.843077139310395</v>
      </c>
      <c r="BZ83" s="216">
        <f t="shared" si="247"/>
        <v>36.471162441066426</v>
      </c>
      <c r="CA83" s="264">
        <f t="shared" si="248"/>
        <v>43.466225916939834</v>
      </c>
      <c r="CB83" s="216">
        <f t="shared" si="249"/>
        <v>43.466225916939834</v>
      </c>
      <c r="CC83" s="216">
        <f t="shared" si="250"/>
        <v>27.727333251163198</v>
      </c>
      <c r="CD83" s="216">
        <f t="shared" si="330"/>
        <v>27.727333044578469</v>
      </c>
      <c r="CE83" s="216">
        <f t="shared" si="251"/>
        <v>40.843077139310395</v>
      </c>
      <c r="CF83" s="571">
        <f t="shared" si="252"/>
        <v>36.471162441066426</v>
      </c>
      <c r="CG83" s="573">
        <f t="shared" si="253"/>
        <v>0.155</v>
      </c>
      <c r="CH83" s="219">
        <f t="shared" si="254"/>
        <v>0.155</v>
      </c>
      <c r="CI83" s="219">
        <f t="shared" si="255"/>
        <v>0.11</v>
      </c>
      <c r="CJ83" s="219">
        <f t="shared" si="256"/>
        <v>0.14999258080187652</v>
      </c>
      <c r="CK83" s="219">
        <f t="shared" si="257"/>
        <v>0.14999258080187652</v>
      </c>
      <c r="CL83" s="219">
        <f t="shared" si="258"/>
        <v>0.11</v>
      </c>
      <c r="CM83" s="219">
        <f t="shared" si="259"/>
        <v>0.12871926989289628</v>
      </c>
      <c r="CN83" s="569">
        <f t="shared" si="260"/>
        <v>0.12871926989289628</v>
      </c>
      <c r="CO83" s="264">
        <f t="shared" si="175"/>
        <v>20.325626948562523</v>
      </c>
      <c r="CP83" s="216">
        <f t="shared" si="331"/>
        <v>20.325626948562523</v>
      </c>
      <c r="CQ83" s="216">
        <f t="shared" ca="1" si="192"/>
        <v>20.325626948562523</v>
      </c>
      <c r="CR83" s="216">
        <f t="shared" ca="1" si="193"/>
        <v>20.325626948562523</v>
      </c>
      <c r="CS83" s="1626">
        <f t="shared" ca="1" si="194"/>
        <v>20.325626948562526</v>
      </c>
      <c r="CT83" s="216">
        <f t="shared" si="332"/>
        <v>20.325626948562523</v>
      </c>
      <c r="CU83" s="575">
        <f t="shared" si="261"/>
        <v>0.16500000000000001</v>
      </c>
      <c r="CV83" s="154">
        <f t="shared" si="262"/>
        <v>0.5</v>
      </c>
      <c r="CW83" s="216">
        <f>IF(OR($BQ83,$BS83),SpreadOptPowerMargin,0)*((1+Assumptions!$C$26)^($B83-YEAR(Assumptions!$C$17)))</f>
        <v>1.8727199999999999</v>
      </c>
      <c r="CX83" s="216">
        <f>IF(OR($BQ83,$BS83),SpreadOptPowerMargin,0)*((1+Assumptions!$C$26)^($B83-YEAR(Assumptions!$C$17)))</f>
        <v>1.8727199999999999</v>
      </c>
      <c r="CY83" s="216">
        <f>IF(OR($BQ83,$BS83),SpreadOptPowerMargin,0)*((1+Assumptions!$C$26)^($B83-YEAR(Assumptions!$C$17)))</f>
        <v>1.8727199999999999</v>
      </c>
      <c r="CZ83" s="216">
        <f>IF(OR($BQ83,$BS83),SpreadOptPowerMargin,0)*((1+Assumptions!$C$26)^($B83-YEAR(Assumptions!$C$17)))</f>
        <v>1.8727199999999999</v>
      </c>
      <c r="DA83" s="440">
        <f t="shared" si="263"/>
        <v>1.8727200000000002</v>
      </c>
      <c r="DB83" s="479">
        <f t="shared" si="264"/>
        <v>0.155</v>
      </c>
      <c r="DC83" s="479">
        <f t="shared" si="265"/>
        <v>0.155</v>
      </c>
      <c r="DD83" s="479">
        <f t="shared" si="266"/>
        <v>0.11</v>
      </c>
      <c r="DE83" s="479">
        <f t="shared" si="267"/>
        <v>0.11</v>
      </c>
      <c r="DF83" s="479">
        <f t="shared" si="268"/>
        <v>0.12871926989289628</v>
      </c>
      <c r="DG83" s="574">
        <f t="shared" si="269"/>
        <v>0.12871926989289628</v>
      </c>
      <c r="DH83" s="216">
        <f t="shared" si="270"/>
        <v>21.407154812224132</v>
      </c>
      <c r="DI83" s="216">
        <f t="shared" si="271"/>
        <v>21.407154812224132</v>
      </c>
      <c r="DJ83" s="216">
        <f t="shared" ca="1" si="195"/>
        <v>6.6685586851733873</v>
      </c>
      <c r="DK83" s="216">
        <f t="shared" ca="1" si="196"/>
        <v>6.6685585187016123</v>
      </c>
      <c r="DL83" s="216">
        <f t="shared" ca="1" si="197"/>
        <v>14.563016328150921</v>
      </c>
      <c r="DM83" s="216"/>
      <c r="DN83" s="216"/>
      <c r="DO83" s="216"/>
      <c r="DP83" s="216"/>
      <c r="DQ83" s="216"/>
      <c r="DR83" s="216"/>
      <c r="DS83" s="216"/>
      <c r="DT83" s="216"/>
      <c r="DU83" s="216"/>
      <c r="DV83" s="216"/>
      <c r="DW83" s="1371">
        <f t="shared" si="272"/>
        <v>6.6685586851733873</v>
      </c>
      <c r="DX83" s="216">
        <f t="shared" si="273"/>
        <v>6.6685585187016123</v>
      </c>
      <c r="DY83" s="440">
        <f t="shared" si="274"/>
        <v>14.856667589155432</v>
      </c>
      <c r="DZ83" s="180">
        <f t="shared" si="275"/>
        <v>1046552.9844600133</v>
      </c>
      <c r="EA83" s="180">
        <f t="shared" si="276"/>
        <v>199343.42561143113</v>
      </c>
      <c r="EB83" s="180">
        <f t="shared" ca="1" si="198"/>
        <v>77622.023095418233</v>
      </c>
      <c r="EC83" s="180">
        <f t="shared" ca="1" si="199"/>
        <v>232866.06347306029</v>
      </c>
      <c r="ED83" s="180">
        <f t="shared" ca="1" si="200"/>
        <v>1525621.5905370906</v>
      </c>
      <c r="EE83" s="581">
        <f t="shared" si="277"/>
        <v>1039744.06700603</v>
      </c>
      <c r="EF83" s="554">
        <f t="shared" si="278"/>
        <v>198046.48895352951</v>
      </c>
      <c r="EG83" s="554">
        <f t="shared" ca="1" si="201"/>
        <v>64357.400562271854</v>
      </c>
      <c r="EH83" s="554">
        <f t="shared" ca="1" si="202"/>
        <v>193072.19447287681</v>
      </c>
      <c r="EI83" s="561">
        <f t="shared" ca="1" si="279"/>
        <v>1495220.1509947085</v>
      </c>
      <c r="EJ83" s="581">
        <f t="shared" si="333"/>
        <v>6808.917453983333</v>
      </c>
      <c r="EK83" s="554">
        <f t="shared" si="334"/>
        <v>1296.9366579016205</v>
      </c>
      <c r="EL83" s="554">
        <f t="shared" ca="1" si="203"/>
        <v>13264.622533146379</v>
      </c>
      <c r="EM83" s="554">
        <f t="shared" ca="1" si="204"/>
        <v>39793.869000183477</v>
      </c>
      <c r="EN83" s="561">
        <f t="shared" ca="1" si="205"/>
        <v>30401.439542382024</v>
      </c>
      <c r="EO83" s="180">
        <f t="shared" si="280"/>
        <v>4186211.9378400533</v>
      </c>
      <c r="EP83" s="180">
        <f t="shared" si="281"/>
        <v>797373.70244572451</v>
      </c>
      <c r="EQ83" s="180">
        <f t="shared" si="282"/>
        <v>310488.09238167293</v>
      </c>
      <c r="ER83" s="180">
        <f t="shared" si="283"/>
        <v>931464.25389224116</v>
      </c>
      <c r="ES83" s="180">
        <f t="shared" si="284"/>
        <v>6225537.9865596918</v>
      </c>
      <c r="ET83" s="1482">
        <f t="shared" ca="1" si="206"/>
        <v>4158976.26802412</v>
      </c>
      <c r="EU83" s="180">
        <f t="shared" ca="1" si="207"/>
        <v>792185.95581411803</v>
      </c>
      <c r="EV83" s="180">
        <f t="shared" ca="1" si="208"/>
        <v>257429.60224908742</v>
      </c>
      <c r="EW83" s="180">
        <f t="shared" ca="1" si="209"/>
        <v>772288.77789150726</v>
      </c>
      <c r="EX83" s="555">
        <f t="shared" ca="1" si="182"/>
        <v>5980880.6039788332</v>
      </c>
      <c r="EY83" s="180">
        <f t="shared" ca="1" si="210"/>
        <v>27235.669815933332</v>
      </c>
      <c r="EZ83" s="180">
        <f t="shared" ca="1" si="211"/>
        <v>5187.746631606482</v>
      </c>
      <c r="FA83" s="180">
        <f t="shared" ca="1" si="212"/>
        <v>53058.490132585517</v>
      </c>
      <c r="FB83" s="180">
        <f t="shared" ca="1" si="213"/>
        <v>159175.47600073391</v>
      </c>
      <c r="FC83" s="180">
        <f t="shared" ca="1" si="214"/>
        <v>244657.38258085866</v>
      </c>
      <c r="FD83" s="262">
        <f>IF(AX83,IF(VLOOKUP(C83,MAIN!$L$17:$M$28,2)="Yes",VLOOKUP(CALC!B83,MAIN!$H$17:$I$20,2),0),0)</f>
        <v>0</v>
      </c>
      <c r="FE83" s="623">
        <f t="shared" si="285"/>
        <v>0</v>
      </c>
      <c r="FF83" s="535">
        <f t="shared" si="286"/>
        <v>0</v>
      </c>
      <c r="FG83" s="535">
        <f t="shared" si="287"/>
        <v>0</v>
      </c>
      <c r="FH83" s="624">
        <f t="shared" si="288"/>
        <v>0</v>
      </c>
      <c r="FI83" s="632">
        <f>IF(AX83,VLOOKUP(CALC!B83,MAIN!$H$17:$K$20,4),0)</f>
        <v>0</v>
      </c>
      <c r="FJ83" s="535">
        <f t="shared" si="289"/>
        <v>0</v>
      </c>
      <c r="FK83" s="648">
        <f t="shared" si="335"/>
        <v>0</v>
      </c>
      <c r="FL83" s="530">
        <f t="shared" ca="1" si="215"/>
        <v>0</v>
      </c>
      <c r="FM83" s="530">
        <f t="shared" ca="1" si="216"/>
        <v>0</v>
      </c>
      <c r="FN83" s="530">
        <f t="shared" ca="1" si="217"/>
        <v>0</v>
      </c>
      <c r="FO83" s="622">
        <f t="shared" ca="1" si="218"/>
        <v>0</v>
      </c>
      <c r="FP83" s="530">
        <f t="shared" ca="1" si="219"/>
        <v>0</v>
      </c>
      <c r="FQ83" s="530">
        <f t="shared" ca="1" si="220"/>
        <v>0</v>
      </c>
      <c r="FR83" s="530">
        <f t="shared" ca="1" si="221"/>
        <v>0</v>
      </c>
      <c r="FS83" s="625">
        <f t="shared" ca="1" si="222"/>
        <v>0</v>
      </c>
      <c r="FT83" s="640">
        <f ca="1">IF(AND(Assumptions!$H$71="Yes",A83&gt;=Assumptions!$H$72,A83&lt;=Assumptions!$H$73),0,IF(AND($A83&gt;=Assumptions!$C$17,$A83&lt;=Assumptions!$C$18),MAX(AZ83*(1+VLOOKUP($C83,WeatherCapacityAdjustment,2))-FL83,0),0))</f>
        <v>48888</v>
      </c>
      <c r="FU83" s="530">
        <f ca="1">IF(AND(Assumptions!$H$71="Yes",A83&gt;=Assumptions!$H$72,A83&lt;=Assumptions!$H$73),0,IF(AND($A83&gt;=Assumptions!$C$17,$A83&lt;=Assumptions!$C$18),MAX(BA83*(1+VLOOKUP($C83,WeatherCapacityAdjustment,2))-FM83,0),0))</f>
        <v>9312</v>
      </c>
      <c r="FV83" s="530">
        <f ca="1">IF(AND(Assumptions!$H$71="Yes",A83&gt;=Assumptions!$H$72,A83&lt;=Assumptions!$H$73),0,IF(AND($A83&gt;=Assumptions!$C$17,$A83&lt;=Assumptions!$C$18),MAX(BB83*(1+VLOOKUP($C83,WeatherCapacityAdjustment,2))-FN83,0),0))</f>
        <v>11640</v>
      </c>
      <c r="FW83" s="622">
        <f ca="1">IF(AND(Assumptions!$H$71="Yes",A83&gt;=Assumptions!$H$72,A83&lt;=Assumptions!$H$73),0,IF(AND($A83&gt;=Assumptions!$C$17,$A83&lt;=Assumptions!$C$18),MAX(BC83*(1+VLOOKUP($C83,WeatherCapacityAdjustment,3))-FO83,0),0))</f>
        <v>34920</v>
      </c>
      <c r="FX83" s="621">
        <f ca="1">IF(AND(Assumptions!$H$71="Yes",A83&gt;=Assumptions!$H$72,A83&lt;=Assumptions!$H$73),0,IF(ET83&gt;0,MAX(BH83*(1+VLOOKUP($C83,WeatherCapacityAdjustment,2))-FP83,0),0))</f>
        <v>195552</v>
      </c>
      <c r="FY83" s="530">
        <f ca="1">IF(AND(Assumptions!$H$71="Yes",A83&gt;=Assumptions!$H$72,A83&lt;=Assumptions!$H$73),0,IF(EU83&gt;0,MAX(BI83*(1+VLOOKUP($C83,WeatherCapacityAdjustment,3))-FQ83,0),0))</f>
        <v>37248</v>
      </c>
      <c r="FZ83" s="530">
        <f ca="1">IF(AND(Assumptions!$H$71="Yes",A83&gt;=Assumptions!$H$72,A83&lt;=Assumptions!$H$73),0,IF(EV83&gt;0,MAX(BJ83*(1+VLOOKUP($C83,WeatherCapacityAdjustment,2))-FR83,0),0))</f>
        <v>46560</v>
      </c>
      <c r="GA83" s="622">
        <f ca="1">IF(AND(Assumptions!$H$71="Yes",A83&gt;=Assumptions!$H$72,A83&lt;=Assumptions!$H$73),0,IF(EW83&gt;0,MAX(BK83*(1+VLOOKUP($C83,WeatherCapacityAdjustment,2))-FS83,0),0))</f>
        <v>139680</v>
      </c>
      <c r="GB83" s="530">
        <f t="shared" ca="1" si="290"/>
        <v>523800</v>
      </c>
      <c r="GC83" s="545">
        <f t="shared" ca="1" si="291"/>
        <v>36.471162441066419</v>
      </c>
      <c r="GD83" s="530">
        <f t="shared" ca="1" si="223"/>
        <v>19103594.886630591</v>
      </c>
      <c r="GE83" s="1485">
        <f t="shared" ca="1" si="224"/>
        <v>744099.804</v>
      </c>
      <c r="GF83" s="1776">
        <f t="shared" ca="1" si="225"/>
        <v>2976399.216</v>
      </c>
      <c r="GG83" s="545">
        <f t="shared" si="190"/>
        <v>2.8615955382396661</v>
      </c>
      <c r="GH83" s="622">
        <f t="shared" ca="1" si="191"/>
        <v>10646563.395657049</v>
      </c>
      <c r="GI83" s="621">
        <f t="shared" ca="1" si="336"/>
        <v>523800</v>
      </c>
      <c r="GJ83" s="638">
        <f t="shared" si="292"/>
        <v>1.8727200000000002</v>
      </c>
      <c r="GK83" s="625">
        <f t="shared" ref="GK83:GK146" ca="1" si="342">+GI83*GJ83</f>
        <v>980930.73600000003</v>
      </c>
      <c r="GL83" s="640">
        <f t="shared" ca="1" si="226"/>
        <v>0</v>
      </c>
      <c r="GM83" s="530">
        <f t="shared" ca="1" si="227"/>
        <v>0</v>
      </c>
      <c r="GN83" s="530">
        <f t="shared" ca="1" si="228"/>
        <v>0</v>
      </c>
      <c r="GO83" s="622">
        <f t="shared" ca="1" si="229"/>
        <v>0</v>
      </c>
      <c r="GP83" s="530">
        <f t="shared" ca="1" si="293"/>
        <v>0</v>
      </c>
      <c r="GQ83" s="545">
        <f t="shared" ca="1" si="294"/>
        <v>0</v>
      </c>
      <c r="GR83" s="625">
        <f t="shared" ca="1" si="230"/>
        <v>0</v>
      </c>
      <c r="GS83" s="640">
        <f>IF($A83&gt;=BegDate,Assumptions!$C$56*24*($A84-$A83)*(1-VLOOKUP($B83,MAIN!$AA$7:$AM$28,$C83+1))*(1-VLOOKUP($B83,MAIN!$AA$33:$AM$54,$C83+1)),0)*80/168</f>
        <v>249428.57142857142</v>
      </c>
      <c r="GT83" s="1715">
        <f t="shared" si="337"/>
        <v>43.466225916939834</v>
      </c>
      <c r="GU83" s="1715">
        <f>IF($A83&gt;=BegDate,VLOOKUP($A83,GasTable,13)+Assumptions!$C$58,0)</f>
        <v>2.8615955382396661</v>
      </c>
      <c r="GV83" s="1715">
        <f>GU83*Assumptions!$C$57/1000</f>
        <v>20.74656765223758</v>
      </c>
      <c r="GW83" s="625">
        <f>IF(Assumptions!$C$60="Hourly",MAX(0,GS83*(GT83-GV83)),GS83*(GT83-GV83))</f>
        <v>5666931.9043100188</v>
      </c>
      <c r="GX83" s="640">
        <f>IF($A83&gt;=BegDate,Assumptions!$C$56*24*($A84-$A83)*(1-VLOOKUP($B83,MAIN!$AA$7:$AM$28,$C83+1))*(1-VLOOKUP($B83,MAIN!$AA$33:$AM$54,$C83+1)),0)*16/168</f>
        <v>49885.714285714283</v>
      </c>
      <c r="GY83" s="1715">
        <f t="shared" si="338"/>
        <v>43.466225916939834</v>
      </c>
      <c r="GZ83" s="1715">
        <f>IF($A83&gt;=BegDate,VLOOKUP($A83,GasTable,13)+Assumptions!$C$58,0)</f>
        <v>2.8615955382396661</v>
      </c>
      <c r="HA83" s="1715">
        <f>GZ83*Assumptions!$C$57/1000</f>
        <v>20.74656765223758</v>
      </c>
      <c r="HB83" s="625">
        <f>IF(Assumptions!$C$60="Hourly",MAX(0,GX83*(GY83-HA83)),GX83*(GY83-HA83))</f>
        <v>1133386.3808620039</v>
      </c>
      <c r="HC83" s="640">
        <f>IF($A83&gt;=BegDate,Assumptions!$C$56*24*($A84-$A83)*(1-VLOOKUP($B83,MAIN!$AA$7:$AM$28,$C83+1))*(1-VLOOKUP($B83,MAIN!$AA$33:$AM$54,$C83+1)),0)*16/168</f>
        <v>49885.714285714283</v>
      </c>
      <c r="HD83" s="1715">
        <f t="shared" si="339"/>
        <v>27.727333251163198</v>
      </c>
      <c r="HE83" s="1715">
        <f>IF($A83&gt;=BegDate,VLOOKUP($A83,GasTable,13)+Assumptions!$C$58,0)</f>
        <v>2.8615955382396661</v>
      </c>
      <c r="HF83" s="1715">
        <f>HE83*Assumptions!$C$57/1000</f>
        <v>20.74656765223758</v>
      </c>
      <c r="HG83" s="625">
        <f>IF(Assumptions!$C$60="Hourly",MAX(0,HC83*(HD83-HF83)),HC83*(HD83-HF83))</f>
        <v>348240.47816354653</v>
      </c>
      <c r="HH83" s="640">
        <f>IF($A83&gt;=BegDate,Assumptions!$C$56*24*($A84-$A83)*(1-VLOOKUP($B83,MAIN!$AA$7:$AM$28,$C83+1))*(1-VLOOKUP($B83,MAIN!$AA$33:$AM$54,$C83+1)),0)*56/168</f>
        <v>174600</v>
      </c>
      <c r="HI83" s="1715">
        <f t="shared" si="340"/>
        <v>27.727333251163198</v>
      </c>
      <c r="HJ83" s="1715">
        <f>IF($A83&gt;=BegDate,VLOOKUP($A83,GasTable,13)+Assumptions!$C$58,0)</f>
        <v>2.8615955382396661</v>
      </c>
      <c r="HK83" s="1715">
        <f>HJ83*Assumptions!$C$57/1000</f>
        <v>20.74656765223758</v>
      </c>
      <c r="HL83" s="625">
        <f>IF(Assumptions!$C$60="Hourly",MAX(0,HH83*(HI83-HK83)),HH83*(HI83-HK83))</f>
        <v>1218841.6735724129</v>
      </c>
      <c r="HM83" s="640">
        <f>IF(AND(Assumptions!$H$71="Yes",A83&gt;=Assumptions!$H$72,A83&lt;=Assumptions!$H$73),Assumptions!$H$74*Assumptions!$C$9*1000,0)</f>
        <v>0</v>
      </c>
      <c r="HN83" s="530">
        <f t="shared" ca="1" si="235"/>
        <v>8457031.4909735415</v>
      </c>
      <c r="HO83" s="545"/>
      <c r="HP83" s="545"/>
      <c r="HQ83" s="545"/>
      <c r="HR83" s="545"/>
      <c r="HS83" s="545"/>
      <c r="HT83" s="545"/>
      <c r="HU83" s="545"/>
      <c r="HV83" s="545"/>
      <c r="HW83" s="545"/>
      <c r="HX83" s="545"/>
      <c r="HY83" s="545"/>
      <c r="HZ83" s="545"/>
      <c r="IA83" s="545"/>
      <c r="IB83" s="545"/>
      <c r="IC83" s="545"/>
      <c r="ID83" s="545"/>
      <c r="IE83" s="545"/>
      <c r="IF83" s="545"/>
      <c r="IG83" s="545"/>
      <c r="IH83" s="545"/>
      <c r="II83" s="1464"/>
      <c r="IJ83" s="1463"/>
      <c r="IK83" s="1463"/>
    </row>
    <row r="84" spans="1:245">
      <c r="A84" s="177">
        <f t="shared" si="295"/>
        <v>38687</v>
      </c>
      <c r="B84" s="349">
        <f t="shared" si="296"/>
        <v>2005</v>
      </c>
      <c r="C84" s="15">
        <f t="shared" si="236"/>
        <v>12</v>
      </c>
      <c r="D84" s="612">
        <f t="shared" si="297"/>
        <v>38712</v>
      </c>
      <c r="E84" s="609">
        <f t="shared" si="237"/>
        <v>38687</v>
      </c>
      <c r="F84" s="614">
        <f t="shared" si="238"/>
        <v>38717</v>
      </c>
      <c r="G84" s="1349">
        <v>0</v>
      </c>
      <c r="H84" s="152">
        <f t="shared" si="341"/>
        <v>1</v>
      </c>
      <c r="I84" s="154">
        <f>IF(Assumptions!$L$25=4,VLOOKUP($A84,'Henwood Reference'!$E$9:$R$320,10),(VLOOKUP($A84,PriceTable,2,0)+IF(BasisNumber&lt;&gt;1,VLOOKUP($A84,BasisTable,2,0),0)+I$1)/(1-I$2))</f>
        <v>42.265538043459841</v>
      </c>
      <c r="J84" s="154">
        <f>IF(Assumptions!$L$25=4,VLOOKUP($A84,'Henwood Reference'!$E$9:$R$320,10),(VLOOKUP($A84,PriceTable,3,0)+IF(BasisNumber&lt;&gt;1,VLOOKUP($A84,BasisTable,2,0),0)+J$1)/(1-J$2))</f>
        <v>42.265538043459841</v>
      </c>
      <c r="K84" s="154">
        <f>IF(Assumptions!$L$25=4,VLOOKUP($A84,'Henwood Reference'!$E$9:$R$320,10),(VLOOKUP($A84,PriceTable,4,0)+IF(BasisNumber&lt;&gt;1,VLOOKUP($A84,BasisTable,2,0),0)+K$1)/(1-K$2))</f>
        <v>42.265538043459841</v>
      </c>
      <c r="L84" s="474">
        <f>IF(Assumptions!$L$25=4,VLOOKUP($A84,'Henwood Reference'!$E$9:$R$320,10),(VLOOKUP($A84,PriceTableWeekend,2,0)+IF(BasisNumber&lt;&gt;1,VLOOKUP($A84,BasisTable,2,0),0)+L$1)/(1-L$2))</f>
        <v>42.265538043459841</v>
      </c>
      <c r="M84" s="154">
        <f>IF(Assumptions!$L$25=4,VLOOKUP($A84,'Henwood Reference'!$E$9:$R$320,10),(VLOOKUP($A84,PriceTableWeekend,3,0)+IF(BasisNumber&lt;&gt;1,VLOOKUP($A84,BasisTable,2,0),0)+M$1)/(1-M$2))</f>
        <v>42.265538043459841</v>
      </c>
      <c r="N84" s="156">
        <f>IF(Assumptions!$L$25=4,VLOOKUP($A84,'Henwood Reference'!$E$9:$R$320,10),(VLOOKUP($A84,PriceTableWeekend,4,0)+IF(BasisNumber&lt;&gt;1,VLOOKUP($A84,BasisTable,2,0),0)+N$1)/(1-N$2))</f>
        <v>42.265538043459841</v>
      </c>
      <c r="O84" s="154">
        <f>IF(Assumptions!$L$25=4,VLOOKUP($A84,'Henwood Reference'!$E$9:$R$320,11),(VLOOKUP($A84,PriceTableWeekend,6,0)+IF(BasisNumber&lt;&gt;1,VLOOKUP($A84,BasisTable,3,0),0)+O$1)/(1-O$2))</f>
        <v>28.358205022111679</v>
      </c>
      <c r="P84" s="154">
        <f>IF(Assumptions!$L$25=4,VLOOKUP($A84,'Henwood Reference'!$E$9:$R$320,11),(VLOOKUP($A84,PriceTableWeekend,7,0)+IF(BasisNumber&lt;&gt;1,VLOOKUP($A84,BasisTable,3,0),0)+P$1)/(1-P$2))</f>
        <v>28.358205022111679</v>
      </c>
      <c r="Q84" s="156">
        <f>IF(Assumptions!$L$25=4,VLOOKUP($A84,'Henwood Reference'!$E$9:$R$320,11),(VLOOKUP($A84,PriceTableWeekend,8,0)+IF(BasisNumber&lt;&gt;1,VLOOKUP($A84,BasisTable,3,0),0)+Q$1)/(1-Q$2))</f>
        <v>28.358205022111679</v>
      </c>
      <c r="R84" s="154">
        <f>IF(Assumptions!$L$25=4,VLOOKUP($A84,'Henwood Reference'!$E$9:$R$320,11),(VLOOKUP($A84,PriceTable,6,0)+IF(BasisNumber&lt;&gt;1,VLOOKUP($A84,BasisTable,3,0),0)+R$1)/(1-R$2))</f>
        <v>28.358205022111679</v>
      </c>
      <c r="S84" s="154">
        <f>IF(Assumptions!$L$25=4,VLOOKUP($A84,'Henwood Reference'!$E$9:$R$320,11),(VLOOKUP($A84,PriceTable,7,0)+IF(BasisNumber&lt;&gt;1,VLOOKUP($A84,BasisTable,3,0),0)+S$1)/(1-S$2))</f>
        <v>28.358205022111679</v>
      </c>
      <c r="T84" s="155">
        <f>IF(Assumptions!$L$25=4,VLOOKUP($A84,'Henwood Reference'!$E$9:$R$320,11),(VLOOKUP($A84,PriceTable,8,0)+IF(BasisNumber&lt;&gt;1,VLOOKUP($A84,BasisTable,3,0),0)+T$1)/(1-T$2))</f>
        <v>28.358205022111679</v>
      </c>
      <c r="U84" s="173">
        <f t="shared" si="298"/>
        <v>0.14499999999999999</v>
      </c>
      <c r="V84" s="173">
        <f t="shared" si="299"/>
        <v>0.155</v>
      </c>
      <c r="W84" s="174">
        <f t="shared" si="300"/>
        <v>0.16500000000000001</v>
      </c>
      <c r="X84" s="173">
        <f t="shared" si="301"/>
        <v>0.14499999999999999</v>
      </c>
      <c r="Y84" s="173">
        <f t="shared" si="302"/>
        <v>0.155</v>
      </c>
      <c r="Z84" s="174">
        <f t="shared" si="303"/>
        <v>0.16500000000000001</v>
      </c>
      <c r="AA84" s="173">
        <f t="shared" si="304"/>
        <v>0.09</v>
      </c>
      <c r="AB84" s="173">
        <f t="shared" si="305"/>
        <v>0.11</v>
      </c>
      <c r="AC84" s="174">
        <f t="shared" si="306"/>
        <v>0.13</v>
      </c>
      <c r="AD84" s="173">
        <f t="shared" si="307"/>
        <v>0.09</v>
      </c>
      <c r="AE84" s="173">
        <f t="shared" si="308"/>
        <v>0.11</v>
      </c>
      <c r="AF84" s="174">
        <f t="shared" si="309"/>
        <v>0.13</v>
      </c>
      <c r="AG84" s="173">
        <f t="shared" si="310"/>
        <v>-0.25</v>
      </c>
      <c r="AH84" s="173">
        <f t="shared" si="311"/>
        <v>0.6</v>
      </c>
      <c r="AI84" s="174">
        <f t="shared" si="312"/>
        <v>0.25</v>
      </c>
      <c r="AJ84" s="173">
        <f t="shared" si="313"/>
        <v>-0.25</v>
      </c>
      <c r="AK84" s="173">
        <f t="shared" si="314"/>
        <v>0.6</v>
      </c>
      <c r="AL84" s="174">
        <f t="shared" si="315"/>
        <v>0.25</v>
      </c>
      <c r="AM84" s="173">
        <f t="shared" si="316"/>
        <v>-0.01</v>
      </c>
      <c r="AN84" s="173">
        <f t="shared" si="317"/>
        <v>0.16</v>
      </c>
      <c r="AO84" s="174">
        <f t="shared" si="318"/>
        <v>0.01</v>
      </c>
      <c r="AP84" s="173">
        <f t="shared" si="319"/>
        <v>-0.01</v>
      </c>
      <c r="AQ84" s="173">
        <f t="shared" si="320"/>
        <v>0.16</v>
      </c>
      <c r="AR84" s="175">
        <f t="shared" si="321"/>
        <v>0.01</v>
      </c>
      <c r="AS84" s="521">
        <f t="shared" si="322"/>
        <v>0.5</v>
      </c>
      <c r="AT84" s="349">
        <f t="shared" si="239"/>
        <v>21</v>
      </c>
      <c r="AU84" s="159">
        <f t="shared" si="240"/>
        <v>5</v>
      </c>
      <c r="AV84" s="159">
        <f t="shared" si="241"/>
        <v>4</v>
      </c>
      <c r="AW84" s="159">
        <f t="shared" si="323"/>
        <v>1</v>
      </c>
      <c r="AX84" s="15">
        <f t="shared" si="242"/>
        <v>31</v>
      </c>
      <c r="AY84" s="607">
        <f>IF(E84="",0,MIN((1-(1-VLOOKUP(B84,MAIN!$AA$7:$AM$28,C84+1))*(1-VLOOKUP(B84,MAIN!$AA$33:$AM$54,C84+1))),1))</f>
        <v>3.0000000000000027E-2</v>
      </c>
      <c r="AZ84" s="337">
        <v>48888</v>
      </c>
      <c r="BA84" s="509">
        <v>11640</v>
      </c>
      <c r="BB84" s="509">
        <v>11640</v>
      </c>
      <c r="BC84" s="511">
        <v>36084</v>
      </c>
      <c r="BD84" s="153">
        <v>0.97</v>
      </c>
      <c r="BE84" s="474">
        <v>0.97</v>
      </c>
      <c r="BF84" s="474">
        <v>0.97</v>
      </c>
      <c r="BG84" s="515">
        <v>0.97</v>
      </c>
      <c r="BH84" s="262">
        <v>195552</v>
      </c>
      <c r="BI84" s="509">
        <v>46560</v>
      </c>
      <c r="BJ84" s="509">
        <v>46560</v>
      </c>
      <c r="BK84" s="511">
        <v>144336</v>
      </c>
      <c r="BL84" s="153">
        <v>0.97</v>
      </c>
      <c r="BM84" s="474">
        <v>0.97</v>
      </c>
      <c r="BN84" s="474">
        <v>0.97</v>
      </c>
      <c r="BO84" s="474">
        <v>0.97</v>
      </c>
      <c r="BP84" s="261">
        <f t="shared" si="324"/>
        <v>72168</v>
      </c>
      <c r="BQ84" s="578">
        <f t="shared" si="325"/>
        <v>108252</v>
      </c>
      <c r="BR84" s="259">
        <f t="shared" si="326"/>
        <v>288672</v>
      </c>
      <c r="BS84" s="578">
        <f t="shared" si="327"/>
        <v>433008</v>
      </c>
      <c r="BT84" s="216">
        <f t="shared" si="328"/>
        <v>5.631759069130732</v>
      </c>
      <c r="BU84" s="218">
        <f t="shared" si="243"/>
        <v>42.265538043459841</v>
      </c>
      <c r="BV84" s="216">
        <f t="shared" si="244"/>
        <v>42.265538043459841</v>
      </c>
      <c r="BW84" s="216">
        <f t="shared" si="245"/>
        <v>28.358205022111679</v>
      </c>
      <c r="BX84" s="216">
        <f t="shared" si="329"/>
        <v>28.358205022111679</v>
      </c>
      <c r="BY84" s="216">
        <f t="shared" si="246"/>
        <v>40.022419814210139</v>
      </c>
      <c r="BZ84" s="216">
        <f t="shared" si="247"/>
        <v>36.134348216843982</v>
      </c>
      <c r="CA84" s="264">
        <f t="shared" si="248"/>
        <v>42.265538043459841</v>
      </c>
      <c r="CB84" s="216">
        <f t="shared" si="249"/>
        <v>42.265538043459841</v>
      </c>
      <c r="CC84" s="216">
        <f t="shared" si="250"/>
        <v>28.358205022111679</v>
      </c>
      <c r="CD84" s="216">
        <f t="shared" si="330"/>
        <v>28.358205022111679</v>
      </c>
      <c r="CE84" s="216">
        <f t="shared" si="251"/>
        <v>40.022419814210139</v>
      </c>
      <c r="CF84" s="571">
        <f t="shared" si="252"/>
        <v>36.134348216843982</v>
      </c>
      <c r="CG84" s="573">
        <f t="shared" si="253"/>
        <v>0.155</v>
      </c>
      <c r="CH84" s="219">
        <f t="shared" si="254"/>
        <v>0.155</v>
      </c>
      <c r="CI84" s="219">
        <f t="shared" si="255"/>
        <v>0.11</v>
      </c>
      <c r="CJ84" s="219">
        <f t="shared" si="256"/>
        <v>0.14994334102723728</v>
      </c>
      <c r="CK84" s="219">
        <f t="shared" si="257"/>
        <v>0.14994334102723728</v>
      </c>
      <c r="CL84" s="219">
        <f t="shared" si="258"/>
        <v>0.11</v>
      </c>
      <c r="CM84" s="219">
        <f t="shared" si="259"/>
        <v>0.12808130482020783</v>
      </c>
      <c r="CN84" s="569">
        <f t="shared" si="260"/>
        <v>0.12808130482020783</v>
      </c>
      <c r="CO84" s="264">
        <f t="shared" si="175"/>
        <v>21.164498442577944</v>
      </c>
      <c r="CP84" s="216">
        <f t="shared" si="331"/>
        <v>21.164498442577944</v>
      </c>
      <c r="CQ84" s="216">
        <f t="shared" ca="1" si="192"/>
        <v>21.164498442577944</v>
      </c>
      <c r="CR84" s="216">
        <f t="shared" ca="1" si="193"/>
        <v>21.164498442577944</v>
      </c>
      <c r="CS84" s="1626">
        <f t="shared" ca="1" si="194"/>
        <v>21.164498442577948</v>
      </c>
      <c r="CT84" s="216">
        <f t="shared" si="332"/>
        <v>21.164498442577944</v>
      </c>
      <c r="CU84" s="575">
        <f t="shared" si="261"/>
        <v>0.16500000000000001</v>
      </c>
      <c r="CV84" s="154">
        <f t="shared" si="262"/>
        <v>0.5</v>
      </c>
      <c r="CW84" s="216">
        <f>IF(OR($BQ84,$BS84),SpreadOptPowerMargin,0)*((1+Assumptions!$C$26)^($B84-YEAR(Assumptions!$C$17)))</f>
        <v>1.8727199999999999</v>
      </c>
      <c r="CX84" s="216">
        <f>IF(OR($BQ84,$BS84),SpreadOptPowerMargin,0)*((1+Assumptions!$C$26)^($B84-YEAR(Assumptions!$C$17)))</f>
        <v>1.8727199999999999</v>
      </c>
      <c r="CY84" s="216">
        <f>IF(OR($BQ84,$BS84),SpreadOptPowerMargin,0)*((1+Assumptions!$C$26)^($B84-YEAR(Assumptions!$C$17)))</f>
        <v>1.8727199999999999</v>
      </c>
      <c r="CZ84" s="216">
        <f>IF(OR($BQ84,$BS84),SpreadOptPowerMargin,0)*((1+Assumptions!$C$26)^($B84-YEAR(Assumptions!$C$17)))</f>
        <v>1.8727199999999999</v>
      </c>
      <c r="DA84" s="440">
        <f t="shared" si="263"/>
        <v>1.8727200000000002</v>
      </c>
      <c r="DB84" s="479">
        <f t="shared" si="264"/>
        <v>0.155</v>
      </c>
      <c r="DC84" s="479">
        <f t="shared" si="265"/>
        <v>0.155</v>
      </c>
      <c r="DD84" s="479">
        <f t="shared" si="266"/>
        <v>0.11</v>
      </c>
      <c r="DE84" s="479">
        <f t="shared" si="267"/>
        <v>0.11</v>
      </c>
      <c r="DF84" s="479">
        <f t="shared" si="268"/>
        <v>0.12808130482020783</v>
      </c>
      <c r="DG84" s="574">
        <f t="shared" si="269"/>
        <v>0.12808130482020783</v>
      </c>
      <c r="DH84" s="216">
        <f t="shared" si="270"/>
        <v>19.456101771480007</v>
      </c>
      <c r="DI84" s="216">
        <f t="shared" si="271"/>
        <v>19.456101771480007</v>
      </c>
      <c r="DJ84" s="216">
        <f t="shared" ca="1" si="195"/>
        <v>6.6130470998243167</v>
      </c>
      <c r="DK84" s="216">
        <f t="shared" ca="1" si="196"/>
        <v>6.6130470998243167</v>
      </c>
      <c r="DL84" s="216">
        <f t="shared" ca="1" si="197"/>
        <v>13.50748121043322</v>
      </c>
      <c r="DM84" s="216"/>
      <c r="DN84" s="216"/>
      <c r="DO84" s="216"/>
      <c r="DP84" s="216"/>
      <c r="DQ84" s="216"/>
      <c r="DR84" s="216"/>
      <c r="DS84" s="216"/>
      <c r="DT84" s="216"/>
      <c r="DU84" s="216"/>
      <c r="DV84" s="216"/>
      <c r="DW84" s="1371">
        <f t="shared" si="272"/>
        <v>6.6130470998243167</v>
      </c>
      <c r="DX84" s="216">
        <f t="shared" si="273"/>
        <v>6.6130470998243167</v>
      </c>
      <c r="DY84" s="440">
        <f t="shared" si="274"/>
        <v>13.794109926986639</v>
      </c>
      <c r="DZ84" s="180">
        <f t="shared" si="275"/>
        <v>951169.90340411465</v>
      </c>
      <c r="EA84" s="180">
        <f t="shared" si="276"/>
        <v>226469.02462002728</v>
      </c>
      <c r="EB84" s="180">
        <f t="shared" ca="1" si="198"/>
        <v>76975.868241955046</v>
      </c>
      <c r="EC84" s="180">
        <f t="shared" ca="1" si="199"/>
        <v>238625.19155006064</v>
      </c>
      <c r="ED84" s="180">
        <f t="shared" ca="1" si="200"/>
        <v>1462211.8559918168</v>
      </c>
      <c r="EE84" s="581">
        <f t="shared" si="277"/>
        <v>940034.08864791412</v>
      </c>
      <c r="EF84" s="554">
        <f t="shared" si="278"/>
        <v>223817.64015426527</v>
      </c>
      <c r="EG84" s="554">
        <f t="shared" ca="1" si="201"/>
        <v>61936.28378577267</v>
      </c>
      <c r="EH84" s="554">
        <f t="shared" ca="1" si="202"/>
        <v>192002.47973589526</v>
      </c>
      <c r="EI84" s="561">
        <f t="shared" ca="1" si="279"/>
        <v>1417790.4923238466</v>
      </c>
      <c r="EJ84" s="581">
        <f t="shared" si="333"/>
        <v>11135.814756200532</v>
      </c>
      <c r="EK84" s="554">
        <f t="shared" si="334"/>
        <v>2651.3844657620066</v>
      </c>
      <c r="EL84" s="554">
        <f t="shared" ca="1" si="203"/>
        <v>15039.584456182376</v>
      </c>
      <c r="EM84" s="554">
        <f t="shared" ca="1" si="204"/>
        <v>46622.711814165377</v>
      </c>
      <c r="EN84" s="561">
        <f t="shared" ca="1" si="205"/>
        <v>44421.36366797029</v>
      </c>
      <c r="EO84" s="180">
        <f t="shared" si="280"/>
        <v>3804679.6136164586</v>
      </c>
      <c r="EP84" s="180">
        <f t="shared" si="281"/>
        <v>905876.09848010913</v>
      </c>
      <c r="EQ84" s="180">
        <f t="shared" si="282"/>
        <v>307903.47296782018</v>
      </c>
      <c r="ER84" s="180">
        <f t="shared" si="283"/>
        <v>954500.76620024256</v>
      </c>
      <c r="ES84" s="180">
        <f t="shared" si="284"/>
        <v>5972959.951264631</v>
      </c>
      <c r="ET84" s="1482">
        <f t="shared" ca="1" si="206"/>
        <v>3760136.3545916565</v>
      </c>
      <c r="EU84" s="180">
        <f t="shared" ca="1" si="207"/>
        <v>895270.5606170611</v>
      </c>
      <c r="EV84" s="180">
        <f t="shared" ca="1" si="208"/>
        <v>247745.13514309068</v>
      </c>
      <c r="EW84" s="180">
        <f t="shared" ca="1" si="209"/>
        <v>768009.91894358105</v>
      </c>
      <c r="EX84" s="555">
        <f t="shared" ca="1" si="182"/>
        <v>5671161.96929539</v>
      </c>
      <c r="EY84" s="180">
        <f t="shared" ca="1" si="210"/>
        <v>44543.25902480213</v>
      </c>
      <c r="EZ84" s="180">
        <f t="shared" ca="1" si="211"/>
        <v>10605.537863048026</v>
      </c>
      <c r="FA84" s="180">
        <f t="shared" ca="1" si="212"/>
        <v>60158.337824729504</v>
      </c>
      <c r="FB84" s="180">
        <f t="shared" ca="1" si="213"/>
        <v>186490.84725666151</v>
      </c>
      <c r="FC84" s="180">
        <f t="shared" ca="1" si="214"/>
        <v>301797.98196924105</v>
      </c>
      <c r="FD84" s="262">
        <f>IF(AX84,IF(VLOOKUP(C84,MAIN!$L$17:$M$28,2)="Yes",VLOOKUP(CALC!B84,MAIN!$H$17:$I$20,2),0),0)</f>
        <v>0</v>
      </c>
      <c r="FE84" s="623">
        <f t="shared" si="285"/>
        <v>0</v>
      </c>
      <c r="FF84" s="535">
        <f t="shared" si="286"/>
        <v>0</v>
      </c>
      <c r="FG84" s="535">
        <f t="shared" si="287"/>
        <v>0</v>
      </c>
      <c r="FH84" s="624">
        <f t="shared" si="288"/>
        <v>0</v>
      </c>
      <c r="FI84" s="632">
        <f>IF(AX84,VLOOKUP(CALC!B84,MAIN!$H$17:$K$20,4),0)</f>
        <v>0</v>
      </c>
      <c r="FJ84" s="535">
        <f t="shared" si="289"/>
        <v>0</v>
      </c>
      <c r="FK84" s="648">
        <f t="shared" si="335"/>
        <v>0</v>
      </c>
      <c r="FL84" s="530">
        <f t="shared" ca="1" si="215"/>
        <v>0</v>
      </c>
      <c r="FM84" s="530">
        <f t="shared" ca="1" si="216"/>
        <v>0</v>
      </c>
      <c r="FN84" s="530">
        <f t="shared" ca="1" si="217"/>
        <v>0</v>
      </c>
      <c r="FO84" s="622">
        <f t="shared" ca="1" si="218"/>
        <v>0</v>
      </c>
      <c r="FP84" s="530">
        <f t="shared" ca="1" si="219"/>
        <v>0</v>
      </c>
      <c r="FQ84" s="530">
        <f t="shared" ca="1" si="220"/>
        <v>0</v>
      </c>
      <c r="FR84" s="530">
        <f t="shared" ca="1" si="221"/>
        <v>0</v>
      </c>
      <c r="FS84" s="625">
        <f t="shared" ca="1" si="222"/>
        <v>0</v>
      </c>
      <c r="FT84" s="640">
        <f ca="1">IF(AND(Assumptions!$H$71="Yes",A84&gt;=Assumptions!$H$72,A84&lt;=Assumptions!$H$73),0,IF(AND($A84&gt;=Assumptions!$C$17,$A84&lt;=Assumptions!$C$18),MAX(AZ84*(1+VLOOKUP($C84,WeatherCapacityAdjustment,2))-FL84,0),0))</f>
        <v>48888</v>
      </c>
      <c r="FU84" s="530">
        <f ca="1">IF(AND(Assumptions!$H$71="Yes",A84&gt;=Assumptions!$H$72,A84&lt;=Assumptions!$H$73),0,IF(AND($A84&gt;=Assumptions!$C$17,$A84&lt;=Assumptions!$C$18),MAX(BA84*(1+VLOOKUP($C84,WeatherCapacityAdjustment,2))-FM84,0),0))</f>
        <v>11640</v>
      </c>
      <c r="FV84" s="530">
        <f ca="1">IF(AND(Assumptions!$H$71="Yes",A84&gt;=Assumptions!$H$72,A84&lt;=Assumptions!$H$73),0,IF(AND($A84&gt;=Assumptions!$C$17,$A84&lt;=Assumptions!$C$18),MAX(BB84*(1+VLOOKUP($C84,WeatherCapacityAdjustment,2))-FN84,0),0))</f>
        <v>11640</v>
      </c>
      <c r="FW84" s="622">
        <f ca="1">IF(AND(Assumptions!$H$71="Yes",A84&gt;=Assumptions!$H$72,A84&lt;=Assumptions!$H$73),0,IF(AND($A84&gt;=Assumptions!$C$17,$A84&lt;=Assumptions!$C$18),MAX(BC84*(1+VLOOKUP($C84,WeatherCapacityAdjustment,3))-FO84,0),0))</f>
        <v>36084</v>
      </c>
      <c r="FX84" s="621">
        <f ca="1">IF(AND(Assumptions!$H$71="Yes",A84&gt;=Assumptions!$H$72,A84&lt;=Assumptions!$H$73),0,IF(ET84&gt;0,MAX(BH84*(1+VLOOKUP($C84,WeatherCapacityAdjustment,2))-FP84,0),0))</f>
        <v>195552</v>
      </c>
      <c r="FY84" s="530">
        <f ca="1">IF(AND(Assumptions!$H$71="Yes",A84&gt;=Assumptions!$H$72,A84&lt;=Assumptions!$H$73),0,IF(EU84&gt;0,MAX(BI84*(1+VLOOKUP($C84,WeatherCapacityAdjustment,3))-FQ84,0),0))</f>
        <v>46560</v>
      </c>
      <c r="FZ84" s="530">
        <f ca="1">IF(AND(Assumptions!$H$71="Yes",A84&gt;=Assumptions!$H$72,A84&lt;=Assumptions!$H$73),0,IF(EV84&gt;0,MAX(BJ84*(1+VLOOKUP($C84,WeatherCapacityAdjustment,2))-FR84,0),0))</f>
        <v>46560</v>
      </c>
      <c r="GA84" s="622">
        <f ca="1">IF(AND(Assumptions!$H$71="Yes",A84&gt;=Assumptions!$H$72,A84&lt;=Assumptions!$H$73),0,IF(EW84&gt;0,MAX(BK84*(1+VLOOKUP($C84,WeatherCapacityAdjustment,2))-FS84,0),0))</f>
        <v>144336</v>
      </c>
      <c r="GB84" s="530">
        <f t="shared" ca="1" si="290"/>
        <v>541260</v>
      </c>
      <c r="GC84" s="545">
        <f t="shared" ca="1" si="291"/>
        <v>36.134348216843989</v>
      </c>
      <c r="GD84" s="530">
        <f t="shared" ca="1" si="223"/>
        <v>19558077.315848976</v>
      </c>
      <c r="GE84" s="1485">
        <f t="shared" ca="1" si="224"/>
        <v>769221.39168</v>
      </c>
      <c r="GF84" s="1776">
        <f t="shared" ca="1" si="225"/>
        <v>3076885.56672</v>
      </c>
      <c r="GG84" s="545">
        <f t="shared" si="190"/>
        <v>2.9784653809511532</v>
      </c>
      <c r="GH84" s="622">
        <f t="shared" ca="1" si="191"/>
        <v>11455496.427029736</v>
      </c>
      <c r="GI84" s="621">
        <f t="shared" ca="1" si="336"/>
        <v>541260</v>
      </c>
      <c r="GJ84" s="638">
        <f t="shared" si="292"/>
        <v>1.8727200000000002</v>
      </c>
      <c r="GK84" s="625">
        <f t="shared" ca="1" si="342"/>
        <v>1013628.4272</v>
      </c>
      <c r="GL84" s="640">
        <f t="shared" ca="1" si="226"/>
        <v>0</v>
      </c>
      <c r="GM84" s="530">
        <f t="shared" ca="1" si="227"/>
        <v>0</v>
      </c>
      <c r="GN84" s="530">
        <f t="shared" ca="1" si="228"/>
        <v>0</v>
      </c>
      <c r="GO84" s="622">
        <f t="shared" ca="1" si="229"/>
        <v>0</v>
      </c>
      <c r="GP84" s="530">
        <f t="shared" ca="1" si="293"/>
        <v>0</v>
      </c>
      <c r="GQ84" s="545">
        <f t="shared" ca="1" si="294"/>
        <v>0</v>
      </c>
      <c r="GR84" s="625">
        <f t="shared" ca="1" si="230"/>
        <v>0</v>
      </c>
      <c r="GS84" s="640">
        <f>IF($A84&gt;=BegDate,Assumptions!$C$56*24*($A85-$A84)*(1-VLOOKUP($B84,MAIN!$AA$7:$AM$28,$C84+1))*(1-VLOOKUP($B84,MAIN!$AA$33:$AM$54,$C84+1)),0)*80/168</f>
        <v>257742.85714285713</v>
      </c>
      <c r="GT84" s="1715">
        <f t="shared" si="337"/>
        <v>42.265538043459841</v>
      </c>
      <c r="GU84" s="1715">
        <f>IF($A84&gt;=BegDate,VLOOKUP($A84,GasTable,13)+Assumptions!$C$58,0)</f>
        <v>2.9784653809511532</v>
      </c>
      <c r="GV84" s="1715">
        <f>GU84*Assumptions!$C$57/1000</f>
        <v>21.59387401189586</v>
      </c>
      <c r="GW84" s="625">
        <f>IF(Assumptions!$C$60="Hourly",MAX(0,GS84*(GT84-GV84)),GS84*(GT84-GV84))</f>
        <v>5327973.7493925337</v>
      </c>
      <c r="GX84" s="640">
        <f>IF($A84&gt;=BegDate,Assumptions!$C$56*24*($A85-$A84)*(1-VLOOKUP($B84,MAIN!$AA$7:$AM$28,$C84+1))*(1-VLOOKUP($B84,MAIN!$AA$33:$AM$54,$C84+1)),0)*16/168</f>
        <v>51548.571428571428</v>
      </c>
      <c r="GY84" s="1715">
        <f t="shared" si="338"/>
        <v>42.265538043459841</v>
      </c>
      <c r="GZ84" s="1715">
        <f>IF($A84&gt;=BegDate,VLOOKUP($A84,GasTable,13)+Assumptions!$C$58,0)</f>
        <v>2.9784653809511532</v>
      </c>
      <c r="HA84" s="1715">
        <f>GZ84*Assumptions!$C$57/1000</f>
        <v>21.59387401189586</v>
      </c>
      <c r="HB84" s="625">
        <f>IF(Assumptions!$C$60="Hourly",MAX(0,GX84*(GY84-HA84)),GX84*(GY84-HA84))</f>
        <v>1065594.7498785066</v>
      </c>
      <c r="HC84" s="640">
        <f>IF($A84&gt;=BegDate,Assumptions!$C$56*24*($A85-$A84)*(1-VLOOKUP($B84,MAIN!$AA$7:$AM$28,$C84+1))*(1-VLOOKUP($B84,MAIN!$AA$33:$AM$54,$C84+1)),0)*16/168</f>
        <v>51548.571428571428</v>
      </c>
      <c r="HD84" s="1715">
        <f t="shared" si="339"/>
        <v>28.358205022111679</v>
      </c>
      <c r="HE84" s="1715">
        <f>IF($A84&gt;=BegDate,VLOOKUP($A84,GasTable,13)+Assumptions!$C$58,0)</f>
        <v>2.9784653809511532</v>
      </c>
      <c r="HF84" s="1715">
        <f>HE84*Assumptions!$C$57/1000</f>
        <v>21.59387401189586</v>
      </c>
      <c r="HG84" s="625">
        <f>IF(Assumptions!$C$60="Hourly",MAX(0,HC84*(HD84-HF84)),HC84*(HD84-HF84))</f>
        <v>348691.60024661088</v>
      </c>
      <c r="HH84" s="640">
        <f>IF($A84&gt;=BegDate,Assumptions!$C$56*24*($A85-$A84)*(1-VLOOKUP($B84,MAIN!$AA$7:$AM$28,$C84+1))*(1-VLOOKUP($B84,MAIN!$AA$33:$AM$54,$C84+1)),0)*56/168</f>
        <v>180420</v>
      </c>
      <c r="HI84" s="1715">
        <f t="shared" si="340"/>
        <v>28.358205022111679</v>
      </c>
      <c r="HJ84" s="1715">
        <f>IF($A84&gt;=BegDate,VLOOKUP($A84,GasTable,13)+Assumptions!$C$58,0)</f>
        <v>2.9784653809511532</v>
      </c>
      <c r="HK84" s="1715">
        <f>HJ84*Assumptions!$C$57/1000</f>
        <v>21.59387401189586</v>
      </c>
      <c r="HL84" s="625">
        <f>IF(Assumptions!$C$60="Hourly",MAX(0,HH84*(HI84-HK84)),HH84*(HI84-HK84))</f>
        <v>1220420.6008631382</v>
      </c>
      <c r="HM84" s="640">
        <f>IF(AND(Assumptions!$H$71="Yes",A84&gt;=Assumptions!$H$72,A84&lt;=Assumptions!$H$73),Assumptions!$H$74*Assumptions!$C$9*1000,0)</f>
        <v>0</v>
      </c>
      <c r="HN84" s="530"/>
      <c r="HO84" s="545"/>
      <c r="HP84" s="545"/>
      <c r="HQ84" s="545"/>
      <c r="HR84" s="545"/>
      <c r="HS84" s="545"/>
      <c r="HT84" s="545"/>
      <c r="HU84" s="545"/>
      <c r="HV84" s="545"/>
      <c r="HW84" s="545"/>
      <c r="HX84" s="545"/>
      <c r="HY84" s="545"/>
      <c r="HZ84" s="545"/>
      <c r="IA84" s="545"/>
      <c r="IB84" s="545"/>
      <c r="IC84" s="545"/>
      <c r="ID84" s="545"/>
      <c r="IE84" s="545"/>
      <c r="IF84" s="545"/>
      <c r="IG84" s="545"/>
      <c r="IH84" s="545"/>
      <c r="II84" s="1464"/>
      <c r="IJ84" s="1463"/>
      <c r="IK84" s="1463"/>
    </row>
    <row r="85" spans="1:245">
      <c r="A85" s="177">
        <f t="shared" si="295"/>
        <v>38718</v>
      </c>
      <c r="B85" s="349">
        <f t="shared" si="296"/>
        <v>2006</v>
      </c>
      <c r="C85" s="15">
        <f t="shared" si="236"/>
        <v>1</v>
      </c>
      <c r="D85" s="612">
        <f t="shared" si="297"/>
        <v>38719</v>
      </c>
      <c r="E85" s="609">
        <f t="shared" si="237"/>
        <v>38718</v>
      </c>
      <c r="F85" s="614">
        <f t="shared" si="238"/>
        <v>38748</v>
      </c>
      <c r="G85" s="1349">
        <v>0</v>
      </c>
      <c r="H85" s="152">
        <f t="shared" si="341"/>
        <v>1</v>
      </c>
      <c r="I85" s="154">
        <f>IF(Assumptions!$L$25=4,VLOOKUP($A85,'Henwood Reference'!$E$9:$R$320,10),(VLOOKUP($A85,PriceTable,2,0)+IF(BasisNumber&lt;&gt;1,VLOOKUP($A85,BasisTable,2,0),0)+I$1)/(1-I$2))</f>
        <v>44.567089428679317</v>
      </c>
      <c r="J85" s="154">
        <f>IF(Assumptions!$L$25=4,VLOOKUP($A85,'Henwood Reference'!$E$9:$R$320,10),(VLOOKUP($A85,PriceTable,3,0)+IF(BasisNumber&lt;&gt;1,VLOOKUP($A85,BasisTable,2,0),0)+J$1)/(1-J$2))</f>
        <v>44.567089428679317</v>
      </c>
      <c r="K85" s="154">
        <f>IF(Assumptions!$L$25=4,VLOOKUP($A85,'Henwood Reference'!$E$9:$R$320,10),(VLOOKUP($A85,PriceTable,4,0)+IF(BasisNumber&lt;&gt;1,VLOOKUP($A85,BasisTable,2,0),0)+K$1)/(1-K$2))</f>
        <v>44.567089428679317</v>
      </c>
      <c r="L85" s="474">
        <f>IF(Assumptions!$L$25=4,VLOOKUP($A85,'Henwood Reference'!$E$9:$R$320,10),(VLOOKUP($A85,PriceTableWeekend,2,0)+IF(BasisNumber&lt;&gt;1,VLOOKUP($A85,BasisTable,2,0),0)+L$1)/(1-L$2))</f>
        <v>44.567089428679317</v>
      </c>
      <c r="M85" s="154">
        <f>IF(Assumptions!$L$25=4,VLOOKUP($A85,'Henwood Reference'!$E$9:$R$320,10),(VLOOKUP($A85,PriceTableWeekend,3,0)+IF(BasisNumber&lt;&gt;1,VLOOKUP($A85,BasisTable,2,0),0)+M$1)/(1-M$2))</f>
        <v>44.567089428679317</v>
      </c>
      <c r="N85" s="156">
        <f>IF(Assumptions!$L$25=4,VLOOKUP($A85,'Henwood Reference'!$E$9:$R$320,10),(VLOOKUP($A85,PriceTableWeekend,4,0)+IF(BasisNumber&lt;&gt;1,VLOOKUP($A85,BasisTable,2,0),0)+N$1)/(1-N$2))</f>
        <v>44.567089428679317</v>
      </c>
      <c r="O85" s="154">
        <f>IF(Assumptions!$L$25=4,VLOOKUP($A85,'Henwood Reference'!$E$9:$R$320,11),(VLOOKUP($A85,PriceTableWeekend,6,0)+IF(BasisNumber&lt;&gt;1,VLOOKUP($A85,BasisTable,3,0),0)+O$1)/(1-O$2))</f>
        <v>30.195792947725632</v>
      </c>
      <c r="P85" s="154">
        <f>IF(Assumptions!$L$25=4,VLOOKUP($A85,'Henwood Reference'!$E$9:$R$320,11),(VLOOKUP($A85,PriceTableWeekend,7,0)+IF(BasisNumber&lt;&gt;1,VLOOKUP($A85,BasisTable,3,0),0)+P$1)/(1-P$2))</f>
        <v>30.195792947725632</v>
      </c>
      <c r="Q85" s="156">
        <f>IF(Assumptions!$L$25=4,VLOOKUP($A85,'Henwood Reference'!$E$9:$R$320,11),(VLOOKUP($A85,PriceTableWeekend,8,0)+IF(BasisNumber&lt;&gt;1,VLOOKUP($A85,BasisTable,3,0),0)+Q$1)/(1-Q$2))</f>
        <v>30.195792947725632</v>
      </c>
      <c r="R85" s="154">
        <f>IF(Assumptions!$L$25=4,VLOOKUP($A85,'Henwood Reference'!$E$9:$R$320,11),(VLOOKUP($A85,PriceTable,6,0)+IF(BasisNumber&lt;&gt;1,VLOOKUP($A85,BasisTable,3,0),0)+R$1)/(1-R$2))</f>
        <v>30.195792947725632</v>
      </c>
      <c r="S85" s="154">
        <f>IF(Assumptions!$L$25=4,VLOOKUP($A85,'Henwood Reference'!$E$9:$R$320,11),(VLOOKUP($A85,PriceTable,7,0)+IF(BasisNumber&lt;&gt;1,VLOOKUP($A85,BasisTable,3,0),0)+S$1)/(1-S$2))</f>
        <v>30.195792947725632</v>
      </c>
      <c r="T85" s="155">
        <f>IF(Assumptions!$L$25=4,VLOOKUP($A85,'Henwood Reference'!$E$9:$R$320,11),(VLOOKUP($A85,PriceTable,8,0)+IF(BasisNumber&lt;&gt;1,VLOOKUP($A85,BasisTable,3,0),0)+T$1)/(1-T$2))</f>
        <v>30.195792947725632</v>
      </c>
      <c r="U85" s="173">
        <f t="shared" si="298"/>
        <v>0.14000000000000001</v>
      </c>
      <c r="V85" s="173">
        <f t="shared" si="299"/>
        <v>0.15</v>
      </c>
      <c r="W85" s="174">
        <f t="shared" si="300"/>
        <v>0.16</v>
      </c>
      <c r="X85" s="173">
        <f t="shared" si="301"/>
        <v>0.14000000000000001</v>
      </c>
      <c r="Y85" s="173">
        <f t="shared" si="302"/>
        <v>0.15</v>
      </c>
      <c r="Z85" s="174">
        <f t="shared" si="303"/>
        <v>0.16</v>
      </c>
      <c r="AA85" s="173">
        <f t="shared" si="304"/>
        <v>0.09</v>
      </c>
      <c r="AB85" s="173">
        <f t="shared" si="305"/>
        <v>0.11</v>
      </c>
      <c r="AC85" s="174">
        <f t="shared" si="306"/>
        <v>0.13</v>
      </c>
      <c r="AD85" s="173">
        <f t="shared" si="307"/>
        <v>0.09</v>
      </c>
      <c r="AE85" s="173">
        <f t="shared" si="308"/>
        <v>0.11</v>
      </c>
      <c r="AF85" s="174">
        <f t="shared" si="309"/>
        <v>0.13</v>
      </c>
      <c r="AG85" s="173">
        <f t="shared" si="310"/>
        <v>-0.25</v>
      </c>
      <c r="AH85" s="173">
        <f t="shared" si="311"/>
        <v>0.65</v>
      </c>
      <c r="AI85" s="174">
        <f t="shared" si="312"/>
        <v>0.25</v>
      </c>
      <c r="AJ85" s="173">
        <f t="shared" si="313"/>
        <v>-0.25</v>
      </c>
      <c r="AK85" s="173">
        <f t="shared" si="314"/>
        <v>0.65</v>
      </c>
      <c r="AL85" s="174">
        <f t="shared" si="315"/>
        <v>0.25</v>
      </c>
      <c r="AM85" s="173">
        <f t="shared" si="316"/>
        <v>-0.01</v>
      </c>
      <c r="AN85" s="173">
        <f t="shared" si="317"/>
        <v>0.16</v>
      </c>
      <c r="AO85" s="174">
        <f t="shared" si="318"/>
        <v>0.01</v>
      </c>
      <c r="AP85" s="173">
        <f t="shared" si="319"/>
        <v>-0.01</v>
      </c>
      <c r="AQ85" s="173">
        <f t="shared" si="320"/>
        <v>0.16</v>
      </c>
      <c r="AR85" s="175">
        <f t="shared" si="321"/>
        <v>0.01</v>
      </c>
      <c r="AS85" s="521">
        <f t="shared" si="322"/>
        <v>0.5</v>
      </c>
      <c r="AT85" s="349">
        <f t="shared" si="239"/>
        <v>21</v>
      </c>
      <c r="AU85" s="159">
        <f t="shared" si="240"/>
        <v>4</v>
      </c>
      <c r="AV85" s="159">
        <f t="shared" si="241"/>
        <v>5</v>
      </c>
      <c r="AW85" s="159">
        <f t="shared" si="323"/>
        <v>1</v>
      </c>
      <c r="AX85" s="15">
        <f t="shared" si="242"/>
        <v>31</v>
      </c>
      <c r="AY85" s="607">
        <f>IF(E85="",0,MIN((1-(1-VLOOKUP(B85,MAIN!$AA$7:$AM$28,C85+1))*(1-VLOOKUP(B85,MAIN!$AA$33:$AM$54,C85+1))),1))</f>
        <v>3.0000000000000027E-2</v>
      </c>
      <c r="AZ85" s="337">
        <v>48888</v>
      </c>
      <c r="BA85" s="509">
        <v>9312</v>
      </c>
      <c r="BB85" s="509">
        <v>13968</v>
      </c>
      <c r="BC85" s="511">
        <v>36084</v>
      </c>
      <c r="BD85" s="153">
        <v>0.96999999638646839</v>
      </c>
      <c r="BE85" s="474">
        <v>0.96999999638646839</v>
      </c>
      <c r="BF85" s="474">
        <v>0.96999999638646839</v>
      </c>
      <c r="BG85" s="515">
        <v>0.9699999927729368</v>
      </c>
      <c r="BH85" s="262">
        <v>195552</v>
      </c>
      <c r="BI85" s="509">
        <v>37248</v>
      </c>
      <c r="BJ85" s="509">
        <v>55872</v>
      </c>
      <c r="BK85" s="511">
        <v>144336</v>
      </c>
      <c r="BL85" s="153">
        <v>0.96999999638646839</v>
      </c>
      <c r="BM85" s="474">
        <v>0.96999999638646839</v>
      </c>
      <c r="BN85" s="474">
        <v>0.96999999638646839</v>
      </c>
      <c r="BO85" s="474">
        <v>0.9699999927729368</v>
      </c>
      <c r="BP85" s="261">
        <f t="shared" si="324"/>
        <v>72168</v>
      </c>
      <c r="BQ85" s="578">
        <f t="shared" si="325"/>
        <v>108252</v>
      </c>
      <c r="BR85" s="259">
        <f t="shared" si="326"/>
        <v>288672</v>
      </c>
      <c r="BS85" s="578">
        <f t="shared" si="327"/>
        <v>433008</v>
      </c>
      <c r="BT85" s="216">
        <f t="shared" si="328"/>
        <v>5.7166324435318279</v>
      </c>
      <c r="BU85" s="218">
        <f t="shared" si="243"/>
        <v>44.567089262653973</v>
      </c>
      <c r="BV85" s="216">
        <f t="shared" si="244"/>
        <v>44.567089262653973</v>
      </c>
      <c r="BW85" s="216">
        <f t="shared" si="245"/>
        <v>30.195792835237537</v>
      </c>
      <c r="BX85" s="216">
        <f t="shared" si="329"/>
        <v>30.195792722749442</v>
      </c>
      <c r="BY85" s="216">
        <f t="shared" si="246"/>
        <v>41.78554801863789</v>
      </c>
      <c r="BZ85" s="216">
        <f t="shared" si="247"/>
        <v>37.922296253341742</v>
      </c>
      <c r="CA85" s="264">
        <f t="shared" si="248"/>
        <v>44.567089262653973</v>
      </c>
      <c r="CB85" s="216">
        <f t="shared" si="249"/>
        <v>44.567089262653973</v>
      </c>
      <c r="CC85" s="216">
        <f t="shared" si="250"/>
        <v>30.195792835237537</v>
      </c>
      <c r="CD85" s="216">
        <f t="shared" si="330"/>
        <v>30.195792722749442</v>
      </c>
      <c r="CE85" s="216">
        <f t="shared" si="251"/>
        <v>41.78554801863789</v>
      </c>
      <c r="CF85" s="571">
        <f t="shared" si="252"/>
        <v>37.922296253341742</v>
      </c>
      <c r="CG85" s="573">
        <f t="shared" si="253"/>
        <v>0.15</v>
      </c>
      <c r="CH85" s="219">
        <f t="shared" si="254"/>
        <v>0.15</v>
      </c>
      <c r="CI85" s="219">
        <f t="shared" si="255"/>
        <v>0.11</v>
      </c>
      <c r="CJ85" s="219">
        <f t="shared" si="256"/>
        <v>0.14448462443133828</v>
      </c>
      <c r="CK85" s="219">
        <f t="shared" si="257"/>
        <v>0.14448462443133828</v>
      </c>
      <c r="CL85" s="219">
        <f t="shared" si="258"/>
        <v>0.11</v>
      </c>
      <c r="CM85" s="219">
        <f t="shared" si="259"/>
        <v>0.12379780165943408</v>
      </c>
      <c r="CN85" s="569">
        <f t="shared" si="260"/>
        <v>0.12379780165943408</v>
      </c>
      <c r="CO85" s="264">
        <f t="shared" si="175"/>
        <v>20.658396274337065</v>
      </c>
      <c r="CP85" s="216">
        <f t="shared" si="331"/>
        <v>20.658396274337065</v>
      </c>
      <c r="CQ85" s="216">
        <f t="shared" ca="1" si="192"/>
        <v>20.658396274337065</v>
      </c>
      <c r="CR85" s="216">
        <f t="shared" ca="1" si="193"/>
        <v>20.658396274337065</v>
      </c>
      <c r="CS85" s="1626">
        <f t="shared" ca="1" si="194"/>
        <v>20.658396274337068</v>
      </c>
      <c r="CT85" s="216">
        <f t="shared" si="332"/>
        <v>20.658396274337065</v>
      </c>
      <c r="CU85" s="575">
        <f t="shared" si="261"/>
        <v>0.16500000000000001</v>
      </c>
      <c r="CV85" s="154">
        <f t="shared" si="262"/>
        <v>0.5</v>
      </c>
      <c r="CW85" s="216">
        <f>IF(OR($BQ85,$BS85),SpreadOptPowerMargin,0)*((1+Assumptions!$C$26)^($B85-YEAR(Assumptions!$C$17)))</f>
        <v>1.9101743999999998</v>
      </c>
      <c r="CX85" s="216">
        <f>IF(OR($BQ85,$BS85),SpreadOptPowerMargin,0)*((1+Assumptions!$C$26)^($B85-YEAR(Assumptions!$C$17)))</f>
        <v>1.9101743999999998</v>
      </c>
      <c r="CY85" s="216">
        <f>IF(OR($BQ85,$BS85),SpreadOptPowerMargin,0)*((1+Assumptions!$C$26)^($B85-YEAR(Assumptions!$C$17)))</f>
        <v>1.9101743999999998</v>
      </c>
      <c r="CZ85" s="216">
        <f>IF(OR($BQ85,$BS85),SpreadOptPowerMargin,0)*((1+Assumptions!$C$26)^($B85-YEAR(Assumptions!$C$17)))</f>
        <v>1.9101743999999998</v>
      </c>
      <c r="DA85" s="440">
        <f t="shared" si="263"/>
        <v>1.9101743999999998</v>
      </c>
      <c r="DB85" s="479">
        <f t="shared" si="264"/>
        <v>0.15</v>
      </c>
      <c r="DC85" s="479">
        <f t="shared" si="265"/>
        <v>0.15</v>
      </c>
      <c r="DD85" s="479">
        <f t="shared" si="266"/>
        <v>0.11</v>
      </c>
      <c r="DE85" s="479">
        <f t="shared" si="267"/>
        <v>0.11</v>
      </c>
      <c r="DF85" s="479">
        <f t="shared" si="268"/>
        <v>0.12379780165943408</v>
      </c>
      <c r="DG85" s="574">
        <f t="shared" si="269"/>
        <v>0.12379780165943408</v>
      </c>
      <c r="DH85" s="216">
        <f t="shared" si="270"/>
        <v>22.131590220834763</v>
      </c>
      <c r="DI85" s="216">
        <f t="shared" si="271"/>
        <v>22.131590220834763</v>
      </c>
      <c r="DJ85" s="216">
        <f t="shared" ca="1" si="195"/>
        <v>8.4843664684439677</v>
      </c>
      <c r="DK85" s="216">
        <f t="shared" ca="1" si="196"/>
        <v>8.4843663720932643</v>
      </c>
      <c r="DL85" s="216">
        <f t="shared" ca="1" si="197"/>
        <v>15.613506603315201</v>
      </c>
      <c r="DM85" s="216"/>
      <c r="DN85" s="216"/>
      <c r="DO85" s="216"/>
      <c r="DP85" s="216"/>
      <c r="DQ85" s="216"/>
      <c r="DR85" s="216"/>
      <c r="DS85" s="216"/>
      <c r="DT85" s="216"/>
      <c r="DU85" s="216"/>
      <c r="DV85" s="216"/>
      <c r="DW85" s="1371">
        <f t="shared" si="272"/>
        <v>8.4843664684439677</v>
      </c>
      <c r="DX85" s="216">
        <f t="shared" si="273"/>
        <v>8.4843663720932643</v>
      </c>
      <c r="DY85" s="440">
        <f t="shared" si="274"/>
        <v>15.821583507504913</v>
      </c>
      <c r="DZ85" s="180">
        <f t="shared" si="275"/>
        <v>1081969.1827161699</v>
      </c>
      <c r="EA85" s="180">
        <f t="shared" si="276"/>
        <v>206089.36813641331</v>
      </c>
      <c r="EB85" s="180">
        <f t="shared" ca="1" si="198"/>
        <v>118509.63083122534</v>
      </c>
      <c r="EC85" s="180">
        <f t="shared" ca="1" si="199"/>
        <v>306149.87617061334</v>
      </c>
      <c r="ED85" s="180">
        <f t="shared" ca="1" si="200"/>
        <v>1690193.3168220771</v>
      </c>
      <c r="EE85" s="581">
        <f t="shared" si="277"/>
        <v>1075463.576745637</v>
      </c>
      <c r="EF85" s="554">
        <f t="shared" si="278"/>
        <v>204850.20509440705</v>
      </c>
      <c r="EG85" s="554">
        <f t="shared" ca="1" si="201"/>
        <v>106537.03914345781</v>
      </c>
      <c r="EH85" s="554">
        <f t="shared" ca="1" si="202"/>
        <v>275220.68039491225</v>
      </c>
      <c r="EI85" s="561">
        <f t="shared" ca="1" si="279"/>
        <v>1662071.501378414</v>
      </c>
      <c r="EJ85" s="581">
        <f t="shared" si="333"/>
        <v>6505.6059705328662</v>
      </c>
      <c r="EK85" s="554">
        <f t="shared" si="334"/>
        <v>1239.1630420062575</v>
      </c>
      <c r="EL85" s="554">
        <f t="shared" ca="1" si="203"/>
        <v>11972.591687767534</v>
      </c>
      <c r="EM85" s="554">
        <f t="shared" ca="1" si="204"/>
        <v>30929.195775701082</v>
      </c>
      <c r="EN85" s="561">
        <f t="shared" ca="1" si="205"/>
        <v>28121.815443663159</v>
      </c>
      <c r="EO85" s="180">
        <f t="shared" si="280"/>
        <v>4327876.7308646794</v>
      </c>
      <c r="EP85" s="180">
        <f t="shared" si="281"/>
        <v>824357.47254565323</v>
      </c>
      <c r="EQ85" s="180">
        <f t="shared" si="282"/>
        <v>474038.52332490135</v>
      </c>
      <c r="ER85" s="180">
        <f t="shared" si="283"/>
        <v>1224599.5046824533</v>
      </c>
      <c r="ES85" s="180">
        <f t="shared" si="284"/>
        <v>6850872.2314176876</v>
      </c>
      <c r="ET85" s="1482">
        <f t="shared" ca="1" si="206"/>
        <v>4301854.306982548</v>
      </c>
      <c r="EU85" s="180">
        <f t="shared" ca="1" si="207"/>
        <v>819400.8203776282</v>
      </c>
      <c r="EV85" s="180">
        <f t="shared" ca="1" si="208"/>
        <v>426148.15657383122</v>
      </c>
      <c r="EW85" s="180">
        <f t="shared" ca="1" si="209"/>
        <v>1100882.721579649</v>
      </c>
      <c r="EX85" s="555">
        <f t="shared" ca="1" si="182"/>
        <v>6648286.0055136569</v>
      </c>
      <c r="EY85" s="180">
        <f t="shared" ca="1" si="210"/>
        <v>26022.423882131465</v>
      </c>
      <c r="EZ85" s="180">
        <f t="shared" ca="1" si="211"/>
        <v>4956.6521680250298</v>
      </c>
      <c r="FA85" s="180">
        <f t="shared" ca="1" si="212"/>
        <v>47890.366751070134</v>
      </c>
      <c r="FB85" s="180">
        <f t="shared" ca="1" si="213"/>
        <v>123716.78310280433</v>
      </c>
      <c r="FC85" s="180">
        <f t="shared" ca="1" si="214"/>
        <v>202586.22590403073</v>
      </c>
      <c r="FD85" s="262">
        <f>IF(AX85,IF(VLOOKUP(C85,MAIN!$L$17:$M$28,2)="Yes",VLOOKUP(CALC!B85,MAIN!$H$17:$I$20,2),0),0)</f>
        <v>0</v>
      </c>
      <c r="FE85" s="623">
        <f t="shared" si="285"/>
        <v>0</v>
      </c>
      <c r="FF85" s="535">
        <f t="shared" si="286"/>
        <v>0</v>
      </c>
      <c r="FG85" s="535">
        <f t="shared" si="287"/>
        <v>0</v>
      </c>
      <c r="FH85" s="624">
        <f t="shared" si="288"/>
        <v>0</v>
      </c>
      <c r="FI85" s="632">
        <f>IF(AX85,VLOOKUP(CALC!B85,MAIN!$H$17:$K$20,4),0)</f>
        <v>0</v>
      </c>
      <c r="FJ85" s="535">
        <f t="shared" si="289"/>
        <v>0</v>
      </c>
      <c r="FK85" s="648">
        <f t="shared" si="335"/>
        <v>0</v>
      </c>
      <c r="FL85" s="530">
        <f t="shared" ca="1" si="215"/>
        <v>0</v>
      </c>
      <c r="FM85" s="530">
        <f t="shared" ca="1" si="216"/>
        <v>0</v>
      </c>
      <c r="FN85" s="530">
        <f t="shared" ca="1" si="217"/>
        <v>0</v>
      </c>
      <c r="FO85" s="622">
        <f t="shared" ca="1" si="218"/>
        <v>0</v>
      </c>
      <c r="FP85" s="530">
        <f t="shared" ca="1" si="219"/>
        <v>0</v>
      </c>
      <c r="FQ85" s="530">
        <f t="shared" ca="1" si="220"/>
        <v>0</v>
      </c>
      <c r="FR85" s="530">
        <f t="shared" ca="1" si="221"/>
        <v>0</v>
      </c>
      <c r="FS85" s="625">
        <f t="shared" ca="1" si="222"/>
        <v>0</v>
      </c>
      <c r="FT85" s="640">
        <f ca="1">IF(AND(Assumptions!$H$71="Yes",A85&gt;=Assumptions!$H$72,A85&lt;=Assumptions!$H$73),0,IF(AND($A85&gt;=Assumptions!$C$17,$A85&lt;=Assumptions!$C$18),MAX(AZ85*(1+VLOOKUP($C85,WeatherCapacityAdjustment,2))-FL85,0),0))</f>
        <v>48888</v>
      </c>
      <c r="FU85" s="530">
        <f ca="1">IF(AND(Assumptions!$H$71="Yes",A85&gt;=Assumptions!$H$72,A85&lt;=Assumptions!$H$73),0,IF(AND($A85&gt;=Assumptions!$C$17,$A85&lt;=Assumptions!$C$18),MAX(BA85*(1+VLOOKUP($C85,WeatherCapacityAdjustment,2))-FM85,0),0))</f>
        <v>9312</v>
      </c>
      <c r="FV85" s="530">
        <f ca="1">IF(AND(Assumptions!$H$71="Yes",A85&gt;=Assumptions!$H$72,A85&lt;=Assumptions!$H$73),0,IF(AND($A85&gt;=Assumptions!$C$17,$A85&lt;=Assumptions!$C$18),MAX(BB85*(1+VLOOKUP($C85,WeatherCapacityAdjustment,2))-FN85,0),0))</f>
        <v>13968</v>
      </c>
      <c r="FW85" s="622">
        <f ca="1">IF(AND(Assumptions!$H$71="Yes",A85&gt;=Assumptions!$H$72,A85&lt;=Assumptions!$H$73),0,IF(AND($A85&gt;=Assumptions!$C$17,$A85&lt;=Assumptions!$C$18),MAX(BC85*(1+VLOOKUP($C85,WeatherCapacityAdjustment,3))-FO85,0),0))</f>
        <v>36084</v>
      </c>
      <c r="FX85" s="621">
        <f ca="1">IF(AND(Assumptions!$H$71="Yes",A85&gt;=Assumptions!$H$72,A85&lt;=Assumptions!$H$73),0,IF(ET85&gt;0,MAX(BH85*(1+VLOOKUP($C85,WeatherCapacityAdjustment,2))-FP85,0),0))</f>
        <v>195552</v>
      </c>
      <c r="FY85" s="530">
        <f ca="1">IF(AND(Assumptions!$H$71="Yes",A85&gt;=Assumptions!$H$72,A85&lt;=Assumptions!$H$73),0,IF(EU85&gt;0,MAX(BI85*(1+VLOOKUP($C85,WeatherCapacityAdjustment,3))-FQ85,0),0))</f>
        <v>37248</v>
      </c>
      <c r="FZ85" s="530">
        <f ca="1">IF(AND(Assumptions!$H$71="Yes",A85&gt;=Assumptions!$H$72,A85&lt;=Assumptions!$H$73),0,IF(EV85&gt;0,MAX(BJ85*(1+VLOOKUP($C85,WeatherCapacityAdjustment,2))-FR85,0),0))</f>
        <v>55872</v>
      </c>
      <c r="GA85" s="622">
        <f ca="1">IF(AND(Assumptions!$H$71="Yes",A85&gt;=Assumptions!$H$72,A85&lt;=Assumptions!$H$73),0,IF(EW85&gt;0,MAX(BK85*(1+VLOOKUP($C85,WeatherCapacityAdjustment,2))-FS85,0),0))</f>
        <v>144336</v>
      </c>
      <c r="GB85" s="530">
        <f t="shared" ca="1" si="290"/>
        <v>541260</v>
      </c>
      <c r="GC85" s="545">
        <f t="shared" ca="1" si="291"/>
        <v>37.922296253341742</v>
      </c>
      <c r="GD85" s="530">
        <f t="shared" ca="1" si="223"/>
        <v>20525822.070083752</v>
      </c>
      <c r="GE85" s="1485">
        <f t="shared" ca="1" si="224"/>
        <v>769539.65256000008</v>
      </c>
      <c r="GF85" s="1776">
        <f t="shared" ca="1" si="225"/>
        <v>3078158.6102400003</v>
      </c>
      <c r="GG85" s="545">
        <f t="shared" si="190"/>
        <v>2.9060396121890202</v>
      </c>
      <c r="GH85" s="622">
        <f t="shared" ca="1" si="191"/>
        <v>11181563.567447681</v>
      </c>
      <c r="GI85" s="621">
        <f t="shared" ca="1" si="336"/>
        <v>541260</v>
      </c>
      <c r="GJ85" s="638">
        <f t="shared" si="292"/>
        <v>1.9101743999999998</v>
      </c>
      <c r="GK85" s="625">
        <f t="shared" ca="1" si="342"/>
        <v>1033900.995744</v>
      </c>
      <c r="GL85" s="640">
        <f t="shared" ca="1" si="226"/>
        <v>0</v>
      </c>
      <c r="GM85" s="530">
        <f t="shared" ca="1" si="227"/>
        <v>0</v>
      </c>
      <c r="GN85" s="530">
        <f t="shared" ca="1" si="228"/>
        <v>0</v>
      </c>
      <c r="GO85" s="622">
        <f t="shared" ca="1" si="229"/>
        <v>0</v>
      </c>
      <c r="GP85" s="530">
        <f t="shared" ca="1" si="293"/>
        <v>0</v>
      </c>
      <c r="GQ85" s="545">
        <f t="shared" ca="1" si="294"/>
        <v>0</v>
      </c>
      <c r="GR85" s="625">
        <f t="shared" ca="1" si="230"/>
        <v>0</v>
      </c>
      <c r="GS85" s="640">
        <f>IF($A85&gt;=BegDate,Assumptions!$C$56*24*($A86-$A85)*(1-VLOOKUP($B85,MAIN!$AA$7:$AM$28,$C85+1))*(1-VLOOKUP($B85,MAIN!$AA$33:$AM$54,$C85+1)),0)*80/168</f>
        <v>257742.85714285713</v>
      </c>
      <c r="GT85" s="1715">
        <f t="shared" si="337"/>
        <v>44.567089428679317</v>
      </c>
      <c r="GU85" s="1715">
        <f>IF($A85&gt;=BegDate,VLOOKUP($A85,GasTable,13)+Assumptions!$C$58,0)</f>
        <v>2.9060396121890202</v>
      </c>
      <c r="GV85" s="1715">
        <f>GU85*Assumptions!$C$57/1000</f>
        <v>21.068787188370397</v>
      </c>
      <c r="GW85" s="625">
        <f>IF(Assumptions!$C$60="Hourly",MAX(0,GS85*(GT85-GV85)),GS85*(GT85-GV85))</f>
        <v>6056519.5574236214</v>
      </c>
      <c r="GX85" s="640">
        <f>IF($A85&gt;=BegDate,Assumptions!$C$56*24*($A86-$A85)*(1-VLOOKUP($B85,MAIN!$AA$7:$AM$28,$C85+1))*(1-VLOOKUP($B85,MAIN!$AA$33:$AM$54,$C85+1)),0)*16/168</f>
        <v>51548.571428571428</v>
      </c>
      <c r="GY85" s="1715">
        <f t="shared" si="338"/>
        <v>44.567089428679317</v>
      </c>
      <c r="GZ85" s="1715">
        <f>IF($A85&gt;=BegDate,VLOOKUP($A85,GasTable,13)+Assumptions!$C$58,0)</f>
        <v>2.9060396121890202</v>
      </c>
      <c r="HA85" s="1715">
        <f>GZ85*Assumptions!$C$57/1000</f>
        <v>21.068787188370397</v>
      </c>
      <c r="HB85" s="625">
        <f>IF(Assumptions!$C$60="Hourly",MAX(0,GX85*(GY85-HA85)),GX85*(GY85-HA85))</f>
        <v>1211303.9114847244</v>
      </c>
      <c r="HC85" s="640">
        <f>IF($A85&gt;=BegDate,Assumptions!$C$56*24*($A86-$A85)*(1-VLOOKUP($B85,MAIN!$AA$7:$AM$28,$C85+1))*(1-VLOOKUP($B85,MAIN!$AA$33:$AM$54,$C85+1)),0)*16/168</f>
        <v>51548.571428571428</v>
      </c>
      <c r="HD85" s="1715">
        <f t="shared" si="339"/>
        <v>30.195792947725632</v>
      </c>
      <c r="HE85" s="1715">
        <f>IF($A85&gt;=BegDate,VLOOKUP($A85,GasTable,13)+Assumptions!$C$58,0)</f>
        <v>2.9060396121890202</v>
      </c>
      <c r="HF85" s="1715">
        <f>HE85*Assumptions!$C$57/1000</f>
        <v>21.068787188370397</v>
      </c>
      <c r="HG85" s="625">
        <f>IF(Assumptions!$C$60="Hourly",MAX(0,HC85*(HD85-HF85)),HC85*(HD85-HF85))</f>
        <v>470484.10831510613</v>
      </c>
      <c r="HH85" s="640">
        <f>IF($A85&gt;=BegDate,Assumptions!$C$56*24*($A86-$A85)*(1-VLOOKUP($B85,MAIN!$AA$7:$AM$28,$C85+1))*(1-VLOOKUP($B85,MAIN!$AA$33:$AM$54,$C85+1)),0)*56/168</f>
        <v>180420</v>
      </c>
      <c r="HI85" s="1715">
        <f t="shared" si="340"/>
        <v>30.195792947725632</v>
      </c>
      <c r="HJ85" s="1715">
        <f>IF($A85&gt;=BegDate,VLOOKUP($A85,GasTable,13)+Assumptions!$C$58,0)</f>
        <v>2.9060396121890202</v>
      </c>
      <c r="HK85" s="1715">
        <f>HJ85*Assumptions!$C$57/1000</f>
        <v>21.068787188370397</v>
      </c>
      <c r="HL85" s="625">
        <f>IF(Assumptions!$C$60="Hourly",MAX(0,HH85*(HI85-HK85)),HH85*(HI85-HK85))</f>
        <v>1646694.3791028715</v>
      </c>
      <c r="HM85" s="640">
        <f>IF(AND(Assumptions!$H$71="Yes",A85&gt;=Assumptions!$H$72,A85&lt;=Assumptions!$H$73),Assumptions!$H$74*Assumptions!$C$9*1000,0)</f>
        <v>0</v>
      </c>
      <c r="HN85" s="530"/>
      <c r="HO85" s="545"/>
      <c r="HP85" s="545"/>
      <c r="HQ85" s="545"/>
      <c r="HR85" s="545"/>
      <c r="HS85" s="545"/>
      <c r="HT85" s="545"/>
      <c r="HU85" s="545"/>
      <c r="HV85" s="545"/>
      <c r="HW85" s="545"/>
      <c r="HX85" s="545"/>
      <c r="HY85" s="545"/>
      <c r="HZ85" s="545"/>
      <c r="IA85" s="545"/>
      <c r="IB85" s="545"/>
      <c r="IC85" s="545"/>
      <c r="ID85" s="545"/>
      <c r="IE85" s="545"/>
      <c r="IF85" s="545"/>
      <c r="IG85" s="545"/>
      <c r="IH85" s="545"/>
      <c r="II85" s="1464"/>
      <c r="IJ85" s="1463"/>
      <c r="IK85" s="1463"/>
    </row>
    <row r="86" spans="1:245">
      <c r="A86" s="177">
        <f t="shared" si="295"/>
        <v>38749</v>
      </c>
      <c r="B86" s="349">
        <f t="shared" si="296"/>
        <v>2006</v>
      </c>
      <c r="C86" s="15">
        <f t="shared" si="236"/>
        <v>2</v>
      </c>
      <c r="D86" s="612" t="str">
        <f t="shared" si="297"/>
        <v/>
      </c>
      <c r="E86" s="609">
        <f t="shared" si="237"/>
        <v>38749</v>
      </c>
      <c r="F86" s="614">
        <f t="shared" si="238"/>
        <v>38776</v>
      </c>
      <c r="G86" s="1349">
        <v>0</v>
      </c>
      <c r="H86" s="152">
        <f t="shared" si="341"/>
        <v>1</v>
      </c>
      <c r="I86" s="154">
        <f>IF(Assumptions!$L$25=4,VLOOKUP($A86,'Henwood Reference'!$E$9:$R$320,10),(VLOOKUP($A86,PriceTable,2,0)+IF(BasisNumber&lt;&gt;1,VLOOKUP($A86,BasisTable,2,0),0)+I$1)/(1-I$2))</f>
        <v>41.389960011451727</v>
      </c>
      <c r="J86" s="154">
        <f>IF(Assumptions!$L$25=4,VLOOKUP($A86,'Henwood Reference'!$E$9:$R$320,10),(VLOOKUP($A86,PriceTable,3,0)+IF(BasisNumber&lt;&gt;1,VLOOKUP($A86,BasisTable,2,0),0)+J$1)/(1-J$2))</f>
        <v>41.389960011451727</v>
      </c>
      <c r="K86" s="154">
        <f>IF(Assumptions!$L$25=4,VLOOKUP($A86,'Henwood Reference'!$E$9:$R$320,10),(VLOOKUP($A86,PriceTable,4,0)+IF(BasisNumber&lt;&gt;1,VLOOKUP($A86,BasisTable,2,0),0)+K$1)/(1-K$2))</f>
        <v>41.389960011451727</v>
      </c>
      <c r="L86" s="474">
        <f>IF(Assumptions!$L$25=4,VLOOKUP($A86,'Henwood Reference'!$E$9:$R$320,10),(VLOOKUP($A86,PriceTableWeekend,2,0)+IF(BasisNumber&lt;&gt;1,VLOOKUP($A86,BasisTable,2,0),0)+L$1)/(1-L$2))</f>
        <v>41.389960011451727</v>
      </c>
      <c r="M86" s="154">
        <f>IF(Assumptions!$L$25=4,VLOOKUP($A86,'Henwood Reference'!$E$9:$R$320,10),(VLOOKUP($A86,PriceTableWeekend,3,0)+IF(BasisNumber&lt;&gt;1,VLOOKUP($A86,BasisTable,2,0),0)+M$1)/(1-M$2))</f>
        <v>41.389960011451727</v>
      </c>
      <c r="N86" s="156">
        <f>IF(Assumptions!$L$25=4,VLOOKUP($A86,'Henwood Reference'!$E$9:$R$320,10),(VLOOKUP($A86,PriceTableWeekend,4,0)+IF(BasisNumber&lt;&gt;1,VLOOKUP($A86,BasisTable,2,0),0)+N$1)/(1-N$2))</f>
        <v>41.389960011451727</v>
      </c>
      <c r="O86" s="154">
        <f>IF(Assumptions!$L$25=4,VLOOKUP($A86,'Henwood Reference'!$E$9:$R$320,11),(VLOOKUP($A86,PriceTableWeekend,6,0)+IF(BasisNumber&lt;&gt;1,VLOOKUP($A86,BasisTable,3,0),0)+O$1)/(1-O$2))</f>
        <v>26.093521103072661</v>
      </c>
      <c r="P86" s="154">
        <f>IF(Assumptions!$L$25=4,VLOOKUP($A86,'Henwood Reference'!$E$9:$R$320,11),(VLOOKUP($A86,PriceTableWeekend,7,0)+IF(BasisNumber&lt;&gt;1,VLOOKUP($A86,BasisTable,3,0),0)+P$1)/(1-P$2))</f>
        <v>26.093521103072661</v>
      </c>
      <c r="Q86" s="156">
        <f>IF(Assumptions!$L$25=4,VLOOKUP($A86,'Henwood Reference'!$E$9:$R$320,11),(VLOOKUP($A86,PriceTableWeekend,8,0)+IF(BasisNumber&lt;&gt;1,VLOOKUP($A86,BasisTable,3,0),0)+Q$1)/(1-Q$2))</f>
        <v>26.093521103072661</v>
      </c>
      <c r="R86" s="154">
        <f>IF(Assumptions!$L$25=4,VLOOKUP($A86,'Henwood Reference'!$E$9:$R$320,11),(VLOOKUP($A86,PriceTable,6,0)+IF(BasisNumber&lt;&gt;1,VLOOKUP($A86,BasisTable,3,0),0)+R$1)/(1-R$2))</f>
        <v>26.093521103072661</v>
      </c>
      <c r="S86" s="154">
        <f>IF(Assumptions!$L$25=4,VLOOKUP($A86,'Henwood Reference'!$E$9:$R$320,11),(VLOOKUP($A86,PriceTable,7,0)+IF(BasisNumber&lt;&gt;1,VLOOKUP($A86,BasisTable,3,0),0)+S$1)/(1-S$2))</f>
        <v>26.093521103072661</v>
      </c>
      <c r="T86" s="155">
        <f>IF(Assumptions!$L$25=4,VLOOKUP($A86,'Henwood Reference'!$E$9:$R$320,11),(VLOOKUP($A86,PriceTable,8,0)+IF(BasisNumber&lt;&gt;1,VLOOKUP($A86,BasisTable,3,0),0)+T$1)/(1-T$2))</f>
        <v>26.093521103072661</v>
      </c>
      <c r="U86" s="173">
        <f t="shared" si="298"/>
        <v>0.14000000000000001</v>
      </c>
      <c r="V86" s="173">
        <f t="shared" si="299"/>
        <v>0.15</v>
      </c>
      <c r="W86" s="174">
        <f t="shared" si="300"/>
        <v>0.16</v>
      </c>
      <c r="X86" s="173">
        <f t="shared" si="301"/>
        <v>0.14000000000000001</v>
      </c>
      <c r="Y86" s="173">
        <f t="shared" si="302"/>
        <v>0.15</v>
      </c>
      <c r="Z86" s="174">
        <f t="shared" si="303"/>
        <v>0.16</v>
      </c>
      <c r="AA86" s="173">
        <f t="shared" si="304"/>
        <v>0.09</v>
      </c>
      <c r="AB86" s="173">
        <f t="shared" si="305"/>
        <v>0.11</v>
      </c>
      <c r="AC86" s="174">
        <f t="shared" si="306"/>
        <v>0.13</v>
      </c>
      <c r="AD86" s="173">
        <f t="shared" si="307"/>
        <v>0.09</v>
      </c>
      <c r="AE86" s="173">
        <f t="shared" si="308"/>
        <v>0.11</v>
      </c>
      <c r="AF86" s="174">
        <f t="shared" si="309"/>
        <v>0.13</v>
      </c>
      <c r="AG86" s="173">
        <f t="shared" si="310"/>
        <v>-0.25</v>
      </c>
      <c r="AH86" s="173">
        <f t="shared" si="311"/>
        <v>0.65</v>
      </c>
      <c r="AI86" s="174">
        <f t="shared" si="312"/>
        <v>0.25</v>
      </c>
      <c r="AJ86" s="173">
        <f t="shared" si="313"/>
        <v>-0.25</v>
      </c>
      <c r="AK86" s="173">
        <f t="shared" si="314"/>
        <v>0.65</v>
      </c>
      <c r="AL86" s="174">
        <f t="shared" si="315"/>
        <v>0.25</v>
      </c>
      <c r="AM86" s="173">
        <f t="shared" si="316"/>
        <v>-0.01</v>
      </c>
      <c r="AN86" s="173">
        <f t="shared" si="317"/>
        <v>0.16</v>
      </c>
      <c r="AO86" s="174">
        <f t="shared" si="318"/>
        <v>0.01</v>
      </c>
      <c r="AP86" s="173">
        <f t="shared" si="319"/>
        <v>-0.01</v>
      </c>
      <c r="AQ86" s="173">
        <f t="shared" si="320"/>
        <v>0.16</v>
      </c>
      <c r="AR86" s="175">
        <f t="shared" si="321"/>
        <v>0.01</v>
      </c>
      <c r="AS86" s="521">
        <f t="shared" si="322"/>
        <v>0.5</v>
      </c>
      <c r="AT86" s="349">
        <f t="shared" si="239"/>
        <v>20</v>
      </c>
      <c r="AU86" s="159">
        <f t="shared" si="240"/>
        <v>4</v>
      </c>
      <c r="AV86" s="159">
        <f t="shared" si="241"/>
        <v>4</v>
      </c>
      <c r="AW86" s="159">
        <f t="shared" si="323"/>
        <v>0</v>
      </c>
      <c r="AX86" s="15">
        <f t="shared" si="242"/>
        <v>28</v>
      </c>
      <c r="AY86" s="607">
        <f>IF(E86="",0,MIN((1-(1-VLOOKUP(B86,MAIN!$AA$7:$AM$28,C86+1))*(1-VLOOKUP(B86,MAIN!$AA$33:$AM$54,C86+1))),1))</f>
        <v>3.0000000000000027E-2</v>
      </c>
      <c r="AZ86" s="337">
        <v>46560</v>
      </c>
      <c r="BA86" s="509">
        <v>9312</v>
      </c>
      <c r="BB86" s="509">
        <v>9312</v>
      </c>
      <c r="BC86" s="511">
        <v>32592</v>
      </c>
      <c r="BD86" s="153">
        <v>0.97</v>
      </c>
      <c r="BE86" s="474">
        <v>0.97</v>
      </c>
      <c r="BF86" s="474">
        <v>0.97</v>
      </c>
      <c r="BG86" s="515">
        <v>0.9699999927729368</v>
      </c>
      <c r="BH86" s="262">
        <v>186240</v>
      </c>
      <c r="BI86" s="509">
        <v>37248</v>
      </c>
      <c r="BJ86" s="509">
        <v>37248</v>
      </c>
      <c r="BK86" s="511">
        <v>130368</v>
      </c>
      <c r="BL86" s="153">
        <v>0.97</v>
      </c>
      <c r="BM86" s="474">
        <v>0.97</v>
      </c>
      <c r="BN86" s="474">
        <v>0.97</v>
      </c>
      <c r="BO86" s="474">
        <v>0.9699999927729368</v>
      </c>
      <c r="BP86" s="261">
        <f t="shared" si="324"/>
        <v>65184</v>
      </c>
      <c r="BQ86" s="578">
        <f t="shared" si="325"/>
        <v>97776</v>
      </c>
      <c r="BR86" s="259">
        <f t="shared" si="326"/>
        <v>260736</v>
      </c>
      <c r="BS86" s="578">
        <f t="shared" si="327"/>
        <v>391104</v>
      </c>
      <c r="BT86" s="216">
        <f t="shared" si="328"/>
        <v>5.8015058179329229</v>
      </c>
      <c r="BU86" s="218">
        <f t="shared" si="243"/>
        <v>41.389960011451727</v>
      </c>
      <c r="BV86" s="216">
        <f t="shared" si="244"/>
        <v>41.389960011451727</v>
      </c>
      <c r="BW86" s="216">
        <f t="shared" si="245"/>
        <v>26.093521103072661</v>
      </c>
      <c r="BX86" s="216">
        <f t="shared" si="329"/>
        <v>26.093520908660778</v>
      </c>
      <c r="BY86" s="216">
        <f t="shared" si="246"/>
        <v>39.20475445311186</v>
      </c>
      <c r="BZ86" s="216">
        <f t="shared" si="247"/>
        <v>34.834343271628164</v>
      </c>
      <c r="CA86" s="264">
        <f t="shared" si="248"/>
        <v>41.389960011451727</v>
      </c>
      <c r="CB86" s="216">
        <f t="shared" si="249"/>
        <v>41.389960011451727</v>
      </c>
      <c r="CC86" s="216">
        <f t="shared" si="250"/>
        <v>26.093521103072661</v>
      </c>
      <c r="CD86" s="216">
        <f t="shared" si="330"/>
        <v>26.093520908660778</v>
      </c>
      <c r="CE86" s="216">
        <f t="shared" si="251"/>
        <v>39.20475445311186</v>
      </c>
      <c r="CF86" s="571">
        <f t="shared" si="252"/>
        <v>34.834343271628164</v>
      </c>
      <c r="CG86" s="573">
        <f t="shared" si="253"/>
        <v>0.15</v>
      </c>
      <c r="CH86" s="219">
        <f t="shared" si="254"/>
        <v>0.15</v>
      </c>
      <c r="CI86" s="219">
        <f t="shared" si="255"/>
        <v>0.11</v>
      </c>
      <c r="CJ86" s="219">
        <f t="shared" si="256"/>
        <v>0.14625480250651915</v>
      </c>
      <c r="CK86" s="219">
        <f t="shared" si="257"/>
        <v>0.14625480250651915</v>
      </c>
      <c r="CL86" s="219">
        <f t="shared" si="258"/>
        <v>0.11</v>
      </c>
      <c r="CM86" s="219">
        <f t="shared" si="259"/>
        <v>0.12620958982654049</v>
      </c>
      <c r="CN86" s="569">
        <f t="shared" si="260"/>
        <v>0.12620958982654049</v>
      </c>
      <c r="CO86" s="264">
        <f t="shared" si="175"/>
        <v>19.05628684303338</v>
      </c>
      <c r="CP86" s="216">
        <f t="shared" si="331"/>
        <v>19.05628684303338</v>
      </c>
      <c r="CQ86" s="216">
        <f t="shared" ca="1" si="192"/>
        <v>19.05628684303338</v>
      </c>
      <c r="CR86" s="216">
        <f t="shared" ca="1" si="193"/>
        <v>19.05628684303338</v>
      </c>
      <c r="CS86" s="1626">
        <f t="shared" ca="1" si="194"/>
        <v>19.056286843033376</v>
      </c>
      <c r="CT86" s="216">
        <f t="shared" si="332"/>
        <v>19.05628684303338</v>
      </c>
      <c r="CU86" s="575">
        <f t="shared" si="261"/>
        <v>0.16</v>
      </c>
      <c r="CV86" s="154">
        <f t="shared" si="262"/>
        <v>0.5</v>
      </c>
      <c r="CW86" s="216">
        <f>IF(OR($BQ86,$BS86),SpreadOptPowerMargin,0)*((1+Assumptions!$C$26)^($B86-YEAR(Assumptions!$C$17)))</f>
        <v>1.9101743999999998</v>
      </c>
      <c r="CX86" s="216">
        <f>IF(OR($BQ86,$BS86),SpreadOptPowerMargin,0)*((1+Assumptions!$C$26)^($B86-YEAR(Assumptions!$C$17)))</f>
        <v>1.9101743999999998</v>
      </c>
      <c r="CY86" s="216">
        <f>IF(OR($BQ86,$BS86),SpreadOptPowerMargin,0)*((1+Assumptions!$C$26)^($B86-YEAR(Assumptions!$C$17)))</f>
        <v>1.9101743999999998</v>
      </c>
      <c r="CZ86" s="216">
        <f>IF(OR($BQ86,$BS86),SpreadOptPowerMargin,0)*((1+Assumptions!$C$26)^($B86-YEAR(Assumptions!$C$17)))</f>
        <v>1.9101743999999998</v>
      </c>
      <c r="DA86" s="440">
        <f t="shared" si="263"/>
        <v>1.9101743999999998</v>
      </c>
      <c r="DB86" s="479">
        <f t="shared" si="264"/>
        <v>0.15</v>
      </c>
      <c r="DC86" s="479">
        <f t="shared" si="265"/>
        <v>0.15</v>
      </c>
      <c r="DD86" s="479">
        <f t="shared" si="266"/>
        <v>0.11</v>
      </c>
      <c r="DE86" s="479">
        <f t="shared" si="267"/>
        <v>0.11</v>
      </c>
      <c r="DF86" s="479">
        <f t="shared" si="268"/>
        <v>0.12620958982654049</v>
      </c>
      <c r="DG86" s="574">
        <f t="shared" si="269"/>
        <v>0.12620958982654049</v>
      </c>
      <c r="DH86" s="216">
        <f t="shared" si="270"/>
        <v>20.539296933971841</v>
      </c>
      <c r="DI86" s="216">
        <f t="shared" si="271"/>
        <v>20.539296933971841</v>
      </c>
      <c r="DJ86" s="216">
        <f t="shared" ca="1" si="195"/>
        <v>6.2046963498172749</v>
      </c>
      <c r="DK86" s="216">
        <f t="shared" ca="1" si="196"/>
        <v>6.2046961935483127</v>
      </c>
      <c r="DL86" s="216">
        <f t="shared" ca="1" si="197"/>
        <v>14.113349027141364</v>
      </c>
      <c r="DM86" s="216"/>
      <c r="DN86" s="216"/>
      <c r="DO86" s="216"/>
      <c r="DP86" s="216"/>
      <c r="DQ86" s="216"/>
      <c r="DR86" s="216"/>
      <c r="DS86" s="216"/>
      <c r="DT86" s="216"/>
      <c r="DU86" s="216"/>
      <c r="DV86" s="216"/>
      <c r="DW86" s="1371">
        <f t="shared" si="272"/>
        <v>6.2046963498172749</v>
      </c>
      <c r="DX86" s="216">
        <f t="shared" si="273"/>
        <v>6.2046961935483127</v>
      </c>
      <c r="DY86" s="440">
        <f t="shared" si="274"/>
        <v>14.395896631530229</v>
      </c>
      <c r="DZ86" s="180">
        <f t="shared" si="275"/>
        <v>956309.66524572892</v>
      </c>
      <c r="EA86" s="180">
        <f t="shared" si="276"/>
        <v>191261.93304914577</v>
      </c>
      <c r="EB86" s="180">
        <f t="shared" ca="1" si="198"/>
        <v>57778.132409498467</v>
      </c>
      <c r="EC86" s="180">
        <f t="shared" ca="1" si="199"/>
        <v>202223.45834012661</v>
      </c>
      <c r="ED86" s="180">
        <f t="shared" ca="1" si="200"/>
        <v>1379946.8144777741</v>
      </c>
      <c r="EE86" s="581">
        <f t="shared" si="277"/>
        <v>950918.10265755828</v>
      </c>
      <c r="EF86" s="554">
        <f t="shared" si="278"/>
        <v>190183.62053151167</v>
      </c>
      <c r="EG86" s="554">
        <f t="shared" ca="1" si="201"/>
        <v>47743.181416685788</v>
      </c>
      <c r="EH86" s="554">
        <f t="shared" ca="1" si="202"/>
        <v>167101.12862212819</v>
      </c>
      <c r="EI86" s="561">
        <f t="shared" ca="1" si="279"/>
        <v>1355946.033227884</v>
      </c>
      <c r="EJ86" s="581">
        <f t="shared" si="333"/>
        <v>5391.5625881706364</v>
      </c>
      <c r="EK86" s="554">
        <f t="shared" si="334"/>
        <v>1078.3125176340982</v>
      </c>
      <c r="EL86" s="554">
        <f t="shared" ca="1" si="203"/>
        <v>10034.950992812679</v>
      </c>
      <c r="EM86" s="554">
        <f t="shared" ca="1" si="204"/>
        <v>35122.329717998422</v>
      </c>
      <c r="EN86" s="561">
        <f t="shared" ca="1" si="205"/>
        <v>24000.781249890104</v>
      </c>
      <c r="EO86" s="180">
        <f t="shared" si="280"/>
        <v>3825238.6609829157</v>
      </c>
      <c r="EP86" s="180">
        <f t="shared" si="281"/>
        <v>765047.73219658306</v>
      </c>
      <c r="EQ86" s="180">
        <f t="shared" si="282"/>
        <v>231112.52963799387</v>
      </c>
      <c r="ER86" s="180">
        <f t="shared" si="283"/>
        <v>808893.83336050645</v>
      </c>
      <c r="ES86" s="180">
        <f t="shared" si="284"/>
        <v>5630292.7561779991</v>
      </c>
      <c r="ET86" s="1482">
        <f t="shared" ca="1" si="206"/>
        <v>3803672.4106302331</v>
      </c>
      <c r="EU86" s="180">
        <f t="shared" ca="1" si="207"/>
        <v>760734.48212604667</v>
      </c>
      <c r="EV86" s="180">
        <f t="shared" ca="1" si="208"/>
        <v>190972.72566674315</v>
      </c>
      <c r="EW86" s="180">
        <f t="shared" ca="1" si="209"/>
        <v>668404.51448851277</v>
      </c>
      <c r="EX86" s="555">
        <f t="shared" ca="1" si="182"/>
        <v>5423784.132911535</v>
      </c>
      <c r="EY86" s="180">
        <f t="shared" ca="1" si="210"/>
        <v>21566.250352682546</v>
      </c>
      <c r="EZ86" s="180">
        <f t="shared" ca="1" si="211"/>
        <v>4313.2500705363927</v>
      </c>
      <c r="FA86" s="180">
        <f t="shared" ca="1" si="212"/>
        <v>40139.803971250716</v>
      </c>
      <c r="FB86" s="180">
        <f t="shared" ca="1" si="213"/>
        <v>140489.31887199369</v>
      </c>
      <c r="FC86" s="180">
        <f t="shared" ca="1" si="214"/>
        <v>206508.6232664641</v>
      </c>
      <c r="FD86" s="262">
        <f>IF(AX86,IF(VLOOKUP(C86,MAIN!$L$17:$M$28,2)="Yes",VLOOKUP(CALC!B86,MAIN!$H$17:$I$20,2),0),0)</f>
        <v>0</v>
      </c>
      <c r="FE86" s="623">
        <f t="shared" si="285"/>
        <v>0</v>
      </c>
      <c r="FF86" s="535">
        <f t="shared" si="286"/>
        <v>0</v>
      </c>
      <c r="FG86" s="535">
        <f t="shared" si="287"/>
        <v>0</v>
      </c>
      <c r="FH86" s="624">
        <f t="shared" si="288"/>
        <v>0</v>
      </c>
      <c r="FI86" s="632">
        <f>IF(AX86,VLOOKUP(CALC!B86,MAIN!$H$17:$K$20,4),0)</f>
        <v>0</v>
      </c>
      <c r="FJ86" s="535">
        <f t="shared" si="289"/>
        <v>0</v>
      </c>
      <c r="FK86" s="648">
        <f t="shared" si="335"/>
        <v>0</v>
      </c>
      <c r="FL86" s="530">
        <f t="shared" ca="1" si="215"/>
        <v>0</v>
      </c>
      <c r="FM86" s="530">
        <f t="shared" ca="1" si="216"/>
        <v>0</v>
      </c>
      <c r="FN86" s="530">
        <f t="shared" ca="1" si="217"/>
        <v>0</v>
      </c>
      <c r="FO86" s="622">
        <f t="shared" ca="1" si="218"/>
        <v>0</v>
      </c>
      <c r="FP86" s="530">
        <f t="shared" ca="1" si="219"/>
        <v>0</v>
      </c>
      <c r="FQ86" s="530">
        <f t="shared" ca="1" si="220"/>
        <v>0</v>
      </c>
      <c r="FR86" s="530">
        <f t="shared" ca="1" si="221"/>
        <v>0</v>
      </c>
      <c r="FS86" s="625">
        <f t="shared" ca="1" si="222"/>
        <v>0</v>
      </c>
      <c r="FT86" s="640">
        <f ca="1">IF(AND(Assumptions!$H$71="Yes",A86&gt;=Assumptions!$H$72,A86&lt;=Assumptions!$H$73),0,IF(AND($A86&gt;=Assumptions!$C$17,$A86&lt;=Assumptions!$C$18),MAX(AZ86*(1+VLOOKUP($C86,WeatherCapacityAdjustment,2))-FL86,0),0))</f>
        <v>46560</v>
      </c>
      <c r="FU86" s="530">
        <f ca="1">IF(AND(Assumptions!$H$71="Yes",A86&gt;=Assumptions!$H$72,A86&lt;=Assumptions!$H$73),0,IF(AND($A86&gt;=Assumptions!$C$17,$A86&lt;=Assumptions!$C$18),MAX(BA86*(1+VLOOKUP($C86,WeatherCapacityAdjustment,2))-FM86,0),0))</f>
        <v>9312</v>
      </c>
      <c r="FV86" s="530">
        <f ca="1">IF(AND(Assumptions!$H$71="Yes",A86&gt;=Assumptions!$H$72,A86&lt;=Assumptions!$H$73),0,IF(AND($A86&gt;=Assumptions!$C$17,$A86&lt;=Assumptions!$C$18),MAX(BB86*(1+VLOOKUP($C86,WeatherCapacityAdjustment,2))-FN86,0),0))</f>
        <v>9312</v>
      </c>
      <c r="FW86" s="622">
        <f ca="1">IF(AND(Assumptions!$H$71="Yes",A86&gt;=Assumptions!$H$72,A86&lt;=Assumptions!$H$73),0,IF(AND($A86&gt;=Assumptions!$C$17,$A86&lt;=Assumptions!$C$18),MAX(BC86*(1+VLOOKUP($C86,WeatherCapacityAdjustment,3))-FO86,0),0))</f>
        <v>32592</v>
      </c>
      <c r="FX86" s="621">
        <f ca="1">IF(AND(Assumptions!$H$71="Yes",A86&gt;=Assumptions!$H$72,A86&lt;=Assumptions!$H$73),0,IF(ET86&gt;0,MAX(BH86*(1+VLOOKUP($C86,WeatherCapacityAdjustment,2))-FP86,0),0))</f>
        <v>186240</v>
      </c>
      <c r="FY86" s="530">
        <f ca="1">IF(AND(Assumptions!$H$71="Yes",A86&gt;=Assumptions!$H$72,A86&lt;=Assumptions!$H$73),0,IF(EU86&gt;0,MAX(BI86*(1+VLOOKUP($C86,WeatherCapacityAdjustment,3))-FQ86,0),0))</f>
        <v>37248</v>
      </c>
      <c r="FZ86" s="530">
        <f ca="1">IF(AND(Assumptions!$H$71="Yes",A86&gt;=Assumptions!$H$72,A86&lt;=Assumptions!$H$73),0,IF(EV86&gt;0,MAX(BJ86*(1+VLOOKUP($C86,WeatherCapacityAdjustment,2))-FR86,0),0))</f>
        <v>37248</v>
      </c>
      <c r="GA86" s="622">
        <f ca="1">IF(AND(Assumptions!$H$71="Yes",A86&gt;=Assumptions!$H$72,A86&lt;=Assumptions!$H$73),0,IF(EW86&gt;0,MAX(BK86*(1+VLOOKUP($C86,WeatherCapacityAdjustment,2))-FS86,0),0))</f>
        <v>130368</v>
      </c>
      <c r="GB86" s="530">
        <f t="shared" ca="1" si="290"/>
        <v>488880</v>
      </c>
      <c r="GC86" s="545">
        <f t="shared" ca="1" si="291"/>
        <v>34.834343271628164</v>
      </c>
      <c r="GD86" s="530">
        <f t="shared" ca="1" si="223"/>
        <v>17029813.738633581</v>
      </c>
      <c r="GE86" s="1485">
        <f t="shared" ca="1" si="224"/>
        <v>695355.53472</v>
      </c>
      <c r="GF86" s="1776">
        <f t="shared" ca="1" si="225"/>
        <v>2781422.13888</v>
      </c>
      <c r="GG86" s="545">
        <f t="shared" si="190"/>
        <v>2.6795608998995153</v>
      </c>
      <c r="GH86" s="622">
        <f t="shared" ca="1" si="191"/>
        <v>9316237.5118221585</v>
      </c>
      <c r="GI86" s="621">
        <f t="shared" ca="1" si="336"/>
        <v>488880</v>
      </c>
      <c r="GJ86" s="638">
        <f t="shared" si="292"/>
        <v>1.9101743999999998</v>
      </c>
      <c r="GK86" s="625">
        <f t="shared" ca="1" si="342"/>
        <v>933846.06067199993</v>
      </c>
      <c r="GL86" s="640">
        <f t="shared" ca="1" si="226"/>
        <v>0</v>
      </c>
      <c r="GM86" s="530">
        <f t="shared" ca="1" si="227"/>
        <v>0</v>
      </c>
      <c r="GN86" s="530">
        <f t="shared" ca="1" si="228"/>
        <v>0</v>
      </c>
      <c r="GO86" s="622">
        <f t="shared" ca="1" si="229"/>
        <v>0</v>
      </c>
      <c r="GP86" s="530">
        <f t="shared" ca="1" si="293"/>
        <v>0</v>
      </c>
      <c r="GQ86" s="545">
        <f t="shared" ca="1" si="294"/>
        <v>0</v>
      </c>
      <c r="GR86" s="625">
        <f t="shared" ca="1" si="230"/>
        <v>0</v>
      </c>
      <c r="GS86" s="640">
        <f>IF($A86&gt;=BegDate,Assumptions!$C$56*24*($A87-$A86)*(1-VLOOKUP($B86,MAIN!$AA$7:$AM$28,$C86+1))*(1-VLOOKUP($B86,MAIN!$AA$33:$AM$54,$C86+1)),0)*80/168</f>
        <v>232800</v>
      </c>
      <c r="GT86" s="1715">
        <f t="shared" si="337"/>
        <v>41.389960011451727</v>
      </c>
      <c r="GU86" s="1715">
        <f>IF($A86&gt;=BegDate,VLOOKUP($A86,GasTable,13)+Assumptions!$C$58,0)</f>
        <v>2.6795608998995153</v>
      </c>
      <c r="GV86" s="1715">
        <f>GU86*Assumptions!$C$57/1000</f>
        <v>19.426816524271487</v>
      </c>
      <c r="GW86" s="625">
        <f>IF(Assumptions!$C$60="Hourly",MAX(0,GS86*(GT86-GV86)),GS86*(GT86-GV86))</f>
        <v>5113019.8038155595</v>
      </c>
      <c r="GX86" s="640">
        <f>IF($A86&gt;=BegDate,Assumptions!$C$56*24*($A87-$A86)*(1-VLOOKUP($B86,MAIN!$AA$7:$AM$28,$C86+1))*(1-VLOOKUP($B86,MAIN!$AA$33:$AM$54,$C86+1)),0)*16/168</f>
        <v>46560</v>
      </c>
      <c r="GY86" s="1715">
        <f t="shared" si="338"/>
        <v>41.389960011451727</v>
      </c>
      <c r="GZ86" s="1715">
        <f>IF($A86&gt;=BegDate,VLOOKUP($A86,GasTable,13)+Assumptions!$C$58,0)</f>
        <v>2.6795608998995153</v>
      </c>
      <c r="HA86" s="1715">
        <f>GZ86*Assumptions!$C$57/1000</f>
        <v>19.426816524271487</v>
      </c>
      <c r="HB86" s="625">
        <f>IF(Assumptions!$C$60="Hourly",MAX(0,GX86*(GY86-HA86)),GX86*(GY86-HA86))</f>
        <v>1022603.9607631119</v>
      </c>
      <c r="HC86" s="640">
        <f>IF($A86&gt;=BegDate,Assumptions!$C$56*24*($A87-$A86)*(1-VLOOKUP($B86,MAIN!$AA$7:$AM$28,$C86+1))*(1-VLOOKUP($B86,MAIN!$AA$33:$AM$54,$C86+1)),0)*16/168</f>
        <v>46560</v>
      </c>
      <c r="HD86" s="1715">
        <f t="shared" si="339"/>
        <v>26.093521103072661</v>
      </c>
      <c r="HE86" s="1715">
        <f>IF($A86&gt;=BegDate,VLOOKUP($A86,GasTable,13)+Assumptions!$C$58,0)</f>
        <v>2.6795608998995153</v>
      </c>
      <c r="HF86" s="1715">
        <f>HE86*Assumptions!$C$57/1000</f>
        <v>19.426816524271487</v>
      </c>
      <c r="HG86" s="625">
        <f>IF(Assumptions!$C$60="Hourly",MAX(0,HC86*(HD86-HF86)),HC86*(HD86-HF86))</f>
        <v>310401.76518898265</v>
      </c>
      <c r="HH86" s="640">
        <f>IF($A86&gt;=BegDate,Assumptions!$C$56*24*($A87-$A86)*(1-VLOOKUP($B86,MAIN!$AA$7:$AM$28,$C86+1))*(1-VLOOKUP($B86,MAIN!$AA$33:$AM$54,$C86+1)),0)*56/168</f>
        <v>162960</v>
      </c>
      <c r="HI86" s="1715">
        <f t="shared" si="340"/>
        <v>26.093521103072661</v>
      </c>
      <c r="HJ86" s="1715">
        <f>IF($A86&gt;=BegDate,VLOOKUP($A86,GasTable,13)+Assumptions!$C$58,0)</f>
        <v>2.6795608998995153</v>
      </c>
      <c r="HK86" s="1715">
        <f>HJ86*Assumptions!$C$57/1000</f>
        <v>19.426816524271487</v>
      </c>
      <c r="HL86" s="625">
        <f>IF(Assumptions!$C$60="Hourly",MAX(0,HH86*(HI86-HK86)),HH86*(HI86-HK86))</f>
        <v>1086406.1781614393</v>
      </c>
      <c r="HM86" s="640">
        <f>IF(AND(Assumptions!$H$71="Yes",A86&gt;=Assumptions!$H$72,A86&lt;=Assumptions!$H$73),Assumptions!$H$74*Assumptions!$C$9*1000,0)</f>
        <v>0</v>
      </c>
      <c r="HN86" s="530"/>
      <c r="HO86" s="545"/>
      <c r="HP86" s="545"/>
      <c r="HQ86" s="545"/>
      <c r="HR86" s="545"/>
      <c r="HS86" s="545"/>
      <c r="HT86" s="545"/>
      <c r="HU86" s="545"/>
      <c r="HV86" s="545"/>
      <c r="HW86" s="545"/>
      <c r="HX86" s="545"/>
      <c r="HY86" s="545"/>
      <c r="HZ86" s="545"/>
      <c r="IA86" s="545"/>
      <c r="IB86" s="545"/>
      <c r="IC86" s="545"/>
      <c r="ID86" s="545"/>
      <c r="IE86" s="545"/>
      <c r="IF86" s="545"/>
      <c r="IG86" s="545"/>
      <c r="IH86" s="545"/>
      <c r="II86" s="1464"/>
      <c r="IJ86" s="1463"/>
      <c r="IK86" s="1463"/>
    </row>
    <row r="87" spans="1:245">
      <c r="A87" s="177">
        <f t="shared" si="295"/>
        <v>38777</v>
      </c>
      <c r="B87" s="349">
        <f t="shared" si="296"/>
        <v>2006</v>
      </c>
      <c r="C87" s="15">
        <f t="shared" si="236"/>
        <v>3</v>
      </c>
      <c r="D87" s="612" t="str">
        <f t="shared" si="297"/>
        <v/>
      </c>
      <c r="E87" s="609">
        <f t="shared" si="237"/>
        <v>38777</v>
      </c>
      <c r="F87" s="614">
        <f t="shared" si="238"/>
        <v>38807</v>
      </c>
      <c r="G87" s="1349">
        <v>0</v>
      </c>
      <c r="H87" s="152">
        <f t="shared" si="341"/>
        <v>1</v>
      </c>
      <c r="I87" s="154">
        <f>IF(Assumptions!$L$25=4,VLOOKUP($A87,'Henwood Reference'!$E$9:$R$320,10),(VLOOKUP($A87,PriceTable,2,0)+IF(BasisNumber&lt;&gt;1,VLOOKUP($A87,BasisTable,2,0),0)+I$1)/(1-I$2))</f>
        <v>35.016894264594818</v>
      </c>
      <c r="J87" s="154">
        <f>IF(Assumptions!$L$25=4,VLOOKUP($A87,'Henwood Reference'!$E$9:$R$320,10),(VLOOKUP($A87,PriceTable,3,0)+IF(BasisNumber&lt;&gt;1,VLOOKUP($A87,BasisTable,2,0),0)+J$1)/(1-J$2))</f>
        <v>35.016894264594818</v>
      </c>
      <c r="K87" s="154">
        <f>IF(Assumptions!$L$25=4,VLOOKUP($A87,'Henwood Reference'!$E$9:$R$320,10),(VLOOKUP($A87,PriceTable,4,0)+IF(BasisNumber&lt;&gt;1,VLOOKUP($A87,BasisTable,2,0),0)+K$1)/(1-K$2))</f>
        <v>35.016894264594818</v>
      </c>
      <c r="L87" s="474">
        <f>IF(Assumptions!$L$25=4,VLOOKUP($A87,'Henwood Reference'!$E$9:$R$320,10),(VLOOKUP($A87,PriceTableWeekend,2,0)+IF(BasisNumber&lt;&gt;1,VLOOKUP($A87,BasisTable,2,0),0)+L$1)/(1-L$2))</f>
        <v>35.016894264594818</v>
      </c>
      <c r="M87" s="154">
        <f>IF(Assumptions!$L$25=4,VLOOKUP($A87,'Henwood Reference'!$E$9:$R$320,10),(VLOOKUP($A87,PriceTableWeekend,3,0)+IF(BasisNumber&lt;&gt;1,VLOOKUP($A87,BasisTable,2,0),0)+M$1)/(1-M$2))</f>
        <v>35.016894264594818</v>
      </c>
      <c r="N87" s="156">
        <f>IF(Assumptions!$L$25=4,VLOOKUP($A87,'Henwood Reference'!$E$9:$R$320,10),(VLOOKUP($A87,PriceTableWeekend,4,0)+IF(BasisNumber&lt;&gt;1,VLOOKUP($A87,BasisTable,2,0),0)+N$1)/(1-N$2))</f>
        <v>35.016894264594818</v>
      </c>
      <c r="O87" s="154">
        <f>IF(Assumptions!$L$25=4,VLOOKUP($A87,'Henwood Reference'!$E$9:$R$320,11),(VLOOKUP($A87,PriceTableWeekend,6,0)+IF(BasisNumber&lt;&gt;1,VLOOKUP($A87,BasisTable,3,0),0)+O$1)/(1-O$2))</f>
        <v>23.46055336683343</v>
      </c>
      <c r="P87" s="154">
        <f>IF(Assumptions!$L$25=4,VLOOKUP($A87,'Henwood Reference'!$E$9:$R$320,11),(VLOOKUP($A87,PriceTableWeekend,7,0)+IF(BasisNumber&lt;&gt;1,VLOOKUP($A87,BasisTable,3,0),0)+P$1)/(1-P$2))</f>
        <v>23.46055336683343</v>
      </c>
      <c r="Q87" s="156">
        <f>IF(Assumptions!$L$25=4,VLOOKUP($A87,'Henwood Reference'!$E$9:$R$320,11),(VLOOKUP($A87,PriceTableWeekend,8,0)+IF(BasisNumber&lt;&gt;1,VLOOKUP($A87,BasisTable,3,0),0)+Q$1)/(1-Q$2))</f>
        <v>23.46055336683343</v>
      </c>
      <c r="R87" s="154">
        <f>IF(Assumptions!$L$25=4,VLOOKUP($A87,'Henwood Reference'!$E$9:$R$320,11),(VLOOKUP($A87,PriceTable,6,0)+IF(BasisNumber&lt;&gt;1,VLOOKUP($A87,BasisTable,3,0),0)+R$1)/(1-R$2))</f>
        <v>23.46055336683343</v>
      </c>
      <c r="S87" s="154">
        <f>IF(Assumptions!$L$25=4,VLOOKUP($A87,'Henwood Reference'!$E$9:$R$320,11),(VLOOKUP($A87,PriceTable,7,0)+IF(BasisNumber&lt;&gt;1,VLOOKUP($A87,BasisTable,3,0),0)+S$1)/(1-S$2))</f>
        <v>23.46055336683343</v>
      </c>
      <c r="T87" s="155">
        <f>IF(Assumptions!$L$25=4,VLOOKUP($A87,'Henwood Reference'!$E$9:$R$320,11),(VLOOKUP($A87,PriceTable,8,0)+IF(BasisNumber&lt;&gt;1,VLOOKUP($A87,BasisTable,3,0),0)+T$1)/(1-T$2))</f>
        <v>23.46055336683343</v>
      </c>
      <c r="U87" s="173">
        <f t="shared" si="298"/>
        <v>0.14000000000000001</v>
      </c>
      <c r="V87" s="173">
        <f t="shared" si="299"/>
        <v>0.15</v>
      </c>
      <c r="W87" s="174">
        <f t="shared" si="300"/>
        <v>0.16</v>
      </c>
      <c r="X87" s="173">
        <f t="shared" si="301"/>
        <v>0.14000000000000001</v>
      </c>
      <c r="Y87" s="173">
        <f t="shared" si="302"/>
        <v>0.15</v>
      </c>
      <c r="Z87" s="174">
        <f t="shared" si="303"/>
        <v>0.16</v>
      </c>
      <c r="AA87" s="173">
        <f t="shared" si="304"/>
        <v>0.09</v>
      </c>
      <c r="AB87" s="173">
        <f t="shared" si="305"/>
        <v>0.11</v>
      </c>
      <c r="AC87" s="174">
        <f t="shared" si="306"/>
        <v>0.13</v>
      </c>
      <c r="AD87" s="173">
        <f t="shared" si="307"/>
        <v>0.09</v>
      </c>
      <c r="AE87" s="173">
        <f t="shared" si="308"/>
        <v>0.11</v>
      </c>
      <c r="AF87" s="174">
        <f t="shared" si="309"/>
        <v>0.13</v>
      </c>
      <c r="AG87" s="173">
        <f t="shared" si="310"/>
        <v>-0.1</v>
      </c>
      <c r="AH87" s="173">
        <f t="shared" si="311"/>
        <v>0.65</v>
      </c>
      <c r="AI87" s="174">
        <f t="shared" si="312"/>
        <v>0.1</v>
      </c>
      <c r="AJ87" s="173">
        <f t="shared" si="313"/>
        <v>-0.1</v>
      </c>
      <c r="AK87" s="173">
        <f t="shared" si="314"/>
        <v>0.65</v>
      </c>
      <c r="AL87" s="174">
        <f t="shared" si="315"/>
        <v>0.1</v>
      </c>
      <c r="AM87" s="173">
        <f t="shared" si="316"/>
        <v>-0.01</v>
      </c>
      <c r="AN87" s="173">
        <f t="shared" si="317"/>
        <v>0.16</v>
      </c>
      <c r="AO87" s="174">
        <f t="shared" si="318"/>
        <v>0.01</v>
      </c>
      <c r="AP87" s="173">
        <f t="shared" si="319"/>
        <v>-0.01</v>
      </c>
      <c r="AQ87" s="173">
        <f t="shared" si="320"/>
        <v>0.16</v>
      </c>
      <c r="AR87" s="175">
        <f t="shared" si="321"/>
        <v>0.01</v>
      </c>
      <c r="AS87" s="521">
        <f t="shared" si="322"/>
        <v>0.5</v>
      </c>
      <c r="AT87" s="349">
        <f t="shared" si="239"/>
        <v>23</v>
      </c>
      <c r="AU87" s="159">
        <f t="shared" si="240"/>
        <v>4</v>
      </c>
      <c r="AV87" s="159">
        <f t="shared" si="241"/>
        <v>4</v>
      </c>
      <c r="AW87" s="159">
        <f t="shared" si="323"/>
        <v>0</v>
      </c>
      <c r="AX87" s="15">
        <f t="shared" si="242"/>
        <v>31</v>
      </c>
      <c r="AY87" s="607">
        <f>IF(E87="",0,MIN((1-(1-VLOOKUP(B87,MAIN!$AA$7:$AM$28,C87+1))*(1-VLOOKUP(B87,MAIN!$AA$33:$AM$54,C87+1))),1))</f>
        <v>3.0000000000000027E-2</v>
      </c>
      <c r="AZ87" s="337">
        <v>53544</v>
      </c>
      <c r="BA87" s="509">
        <v>9312</v>
      </c>
      <c r="BB87" s="509">
        <v>9312</v>
      </c>
      <c r="BC87" s="511">
        <v>36084</v>
      </c>
      <c r="BD87" s="153">
        <v>0.96999999638646839</v>
      </c>
      <c r="BE87" s="474">
        <v>0.96999999638646839</v>
      </c>
      <c r="BF87" s="474">
        <v>0.96999999638646839</v>
      </c>
      <c r="BG87" s="515">
        <v>0.97000000722706314</v>
      </c>
      <c r="BH87" s="262">
        <v>214176</v>
      </c>
      <c r="BI87" s="509">
        <v>37248</v>
      </c>
      <c r="BJ87" s="509">
        <v>37248</v>
      </c>
      <c r="BK87" s="511">
        <v>144336</v>
      </c>
      <c r="BL87" s="153">
        <v>0.96999999638646839</v>
      </c>
      <c r="BM87" s="474">
        <v>0.96999999638646839</v>
      </c>
      <c r="BN87" s="474">
        <v>0.96999999638646839</v>
      </c>
      <c r="BO87" s="474">
        <v>0.97000000722706314</v>
      </c>
      <c r="BP87" s="261">
        <f t="shared" si="324"/>
        <v>72168</v>
      </c>
      <c r="BQ87" s="578">
        <f t="shared" si="325"/>
        <v>108252</v>
      </c>
      <c r="BR87" s="259">
        <f t="shared" si="326"/>
        <v>288672</v>
      </c>
      <c r="BS87" s="578">
        <f t="shared" si="327"/>
        <v>433008</v>
      </c>
      <c r="BT87" s="216">
        <f t="shared" si="328"/>
        <v>5.8781656399726216</v>
      </c>
      <c r="BU87" s="218">
        <f t="shared" si="243"/>
        <v>35.016894134146717</v>
      </c>
      <c r="BV87" s="216">
        <f t="shared" si="244"/>
        <v>35.016894134146717</v>
      </c>
      <c r="BW87" s="216">
        <f t="shared" si="245"/>
        <v>23.460553279436059</v>
      </c>
      <c r="BX87" s="216">
        <f t="shared" si="329"/>
        <v>23.460553541628176</v>
      </c>
      <c r="BY87" s="216">
        <f t="shared" si="246"/>
        <v>33.52575337870018</v>
      </c>
      <c r="BZ87" s="216">
        <f t="shared" si="247"/>
        <v>30.170686766342847</v>
      </c>
      <c r="CA87" s="264">
        <f t="shared" si="248"/>
        <v>35.016894134146717</v>
      </c>
      <c r="CB87" s="216">
        <f t="shared" si="249"/>
        <v>35.016894134146717</v>
      </c>
      <c r="CC87" s="216">
        <f t="shared" si="250"/>
        <v>23.460553279436059</v>
      </c>
      <c r="CD87" s="216">
        <f t="shared" si="330"/>
        <v>23.460553541628176</v>
      </c>
      <c r="CE87" s="216">
        <f t="shared" si="251"/>
        <v>33.52575337870018</v>
      </c>
      <c r="CF87" s="571">
        <f t="shared" si="252"/>
        <v>30.170686766342847</v>
      </c>
      <c r="CG87" s="573">
        <f t="shared" si="253"/>
        <v>0.15</v>
      </c>
      <c r="CH87" s="219">
        <f t="shared" si="254"/>
        <v>0.15</v>
      </c>
      <c r="CI87" s="219">
        <f t="shared" si="255"/>
        <v>0.11</v>
      </c>
      <c r="CJ87" s="219">
        <f t="shared" si="256"/>
        <v>0.14644445992738364</v>
      </c>
      <c r="CK87" s="219">
        <f t="shared" si="257"/>
        <v>0.14644445992738364</v>
      </c>
      <c r="CL87" s="219">
        <f t="shared" si="258"/>
        <v>0.11</v>
      </c>
      <c r="CM87" s="219">
        <f t="shared" si="259"/>
        <v>0.12568499427773372</v>
      </c>
      <c r="CN87" s="569">
        <f t="shared" si="260"/>
        <v>0.12568499427773372</v>
      </c>
      <c r="CO87" s="264">
        <f t="shared" si="175"/>
        <v>18.013368494286109</v>
      </c>
      <c r="CP87" s="216">
        <f t="shared" si="331"/>
        <v>18.013368494286109</v>
      </c>
      <c r="CQ87" s="216">
        <f t="shared" ca="1" si="192"/>
        <v>18.013368494286109</v>
      </c>
      <c r="CR87" s="216">
        <f t="shared" ca="1" si="193"/>
        <v>18.013368494286109</v>
      </c>
      <c r="CS87" s="1626">
        <f t="shared" ca="1" si="194"/>
        <v>18.013368494286109</v>
      </c>
      <c r="CT87" s="216">
        <f t="shared" si="332"/>
        <v>18.013368494286109</v>
      </c>
      <c r="CU87" s="575">
        <f t="shared" si="261"/>
        <v>0.16</v>
      </c>
      <c r="CV87" s="154">
        <f t="shared" si="262"/>
        <v>0.5</v>
      </c>
      <c r="CW87" s="216">
        <f>IF(OR($BQ87,$BS87),SpreadOptPowerMargin,0)*((1+Assumptions!$C$26)^($B87-YEAR(Assumptions!$C$17)))</f>
        <v>1.9101743999999998</v>
      </c>
      <c r="CX87" s="216">
        <f>IF(OR($BQ87,$BS87),SpreadOptPowerMargin,0)*((1+Assumptions!$C$26)^($B87-YEAR(Assumptions!$C$17)))</f>
        <v>1.9101743999999998</v>
      </c>
      <c r="CY87" s="216">
        <f>IF(OR($BQ87,$BS87),SpreadOptPowerMargin,0)*((1+Assumptions!$C$26)^($B87-YEAR(Assumptions!$C$17)))</f>
        <v>1.9101743999999998</v>
      </c>
      <c r="CZ87" s="216">
        <f>IF(OR($BQ87,$BS87),SpreadOptPowerMargin,0)*((1+Assumptions!$C$26)^($B87-YEAR(Assumptions!$C$17)))</f>
        <v>1.9101743999999998</v>
      </c>
      <c r="DA87" s="440">
        <f t="shared" si="263"/>
        <v>1.9101743999999996</v>
      </c>
      <c r="DB87" s="479">
        <f t="shared" si="264"/>
        <v>0.15</v>
      </c>
      <c r="DC87" s="479">
        <f t="shared" si="265"/>
        <v>0.15</v>
      </c>
      <c r="DD87" s="479">
        <f t="shared" si="266"/>
        <v>0.11</v>
      </c>
      <c r="DE87" s="479">
        <f t="shared" si="267"/>
        <v>0.11</v>
      </c>
      <c r="DF87" s="479">
        <f t="shared" si="268"/>
        <v>0.12568499427773372</v>
      </c>
      <c r="DG87" s="574">
        <f t="shared" si="269"/>
        <v>0.12568499427773372</v>
      </c>
      <c r="DH87" s="216">
        <f t="shared" si="270"/>
        <v>15.327942665573268</v>
      </c>
      <c r="DI87" s="216">
        <f t="shared" si="271"/>
        <v>15.327942665573268</v>
      </c>
      <c r="DJ87" s="216">
        <f t="shared" ca="1" si="195"/>
        <v>4.8627199752784813</v>
      </c>
      <c r="DK87" s="216">
        <f t="shared" ca="1" si="196"/>
        <v>4.8627201725029838</v>
      </c>
      <c r="DL87" s="216">
        <f t="shared" ca="1" si="197"/>
        <v>10.658458382278251</v>
      </c>
      <c r="DM87" s="216"/>
      <c r="DN87" s="216"/>
      <c r="DO87" s="216"/>
      <c r="DP87" s="216"/>
      <c r="DQ87" s="216"/>
      <c r="DR87" s="216"/>
      <c r="DS87" s="216"/>
      <c r="DT87" s="216"/>
      <c r="DU87" s="216"/>
      <c r="DV87" s="216"/>
      <c r="DW87" s="1371">
        <f t="shared" si="272"/>
        <v>4.8627199752784813</v>
      </c>
      <c r="DX87" s="216">
        <f t="shared" si="273"/>
        <v>4.8627201725029838</v>
      </c>
      <c r="DY87" s="440">
        <f t="shared" si="274"/>
        <v>10.939300957965344</v>
      </c>
      <c r="DZ87" s="180">
        <f t="shared" si="275"/>
        <v>820719.3620854551</v>
      </c>
      <c r="EA87" s="180">
        <f t="shared" si="276"/>
        <v>142733.80210181826</v>
      </c>
      <c r="EB87" s="180">
        <f t="shared" ca="1" si="198"/>
        <v>45281.648409793219</v>
      </c>
      <c r="EC87" s="180">
        <f t="shared" ca="1" si="199"/>
        <v>175466.39470459768</v>
      </c>
      <c r="ED87" s="180">
        <f t="shared" ca="1" si="200"/>
        <v>1153799.4367983853</v>
      </c>
      <c r="EE87" s="581">
        <f t="shared" si="277"/>
        <v>808158.39878709649</v>
      </c>
      <c r="EF87" s="554">
        <f t="shared" si="278"/>
        <v>140549.28674558201</v>
      </c>
      <c r="EG87" s="554">
        <f t="shared" ca="1" si="201"/>
        <v>32936.640706516351</v>
      </c>
      <c r="EH87" s="554">
        <f t="shared" ca="1" si="202"/>
        <v>127629.49219869119</v>
      </c>
      <c r="EI87" s="561">
        <f t="shared" ca="1" si="279"/>
        <v>1109273.8184378862</v>
      </c>
      <c r="EJ87" s="581">
        <f t="shared" si="333"/>
        <v>12560.963298358605</v>
      </c>
      <c r="EK87" s="554">
        <f t="shared" si="334"/>
        <v>2184.5153562362539</v>
      </c>
      <c r="EL87" s="554">
        <f t="shared" ca="1" si="203"/>
        <v>12345.007703276868</v>
      </c>
      <c r="EM87" s="554">
        <f t="shared" ca="1" si="204"/>
        <v>47836.902505906488</v>
      </c>
      <c r="EN87" s="561">
        <f t="shared" ca="1" si="205"/>
        <v>44525.618360499153</v>
      </c>
      <c r="EO87" s="180">
        <f t="shared" si="280"/>
        <v>3282877.4483418204</v>
      </c>
      <c r="EP87" s="180">
        <f t="shared" si="281"/>
        <v>570935.20840727305</v>
      </c>
      <c r="EQ87" s="180">
        <f t="shared" si="282"/>
        <v>181126.59363917288</v>
      </c>
      <c r="ER87" s="180">
        <f t="shared" si="283"/>
        <v>701865.57881839073</v>
      </c>
      <c r="ES87" s="180">
        <f t="shared" si="284"/>
        <v>4736804.8292066576</v>
      </c>
      <c r="ET87" s="1482">
        <f t="shared" ca="1" si="206"/>
        <v>3232633.595148386</v>
      </c>
      <c r="EU87" s="180">
        <f t="shared" ca="1" si="207"/>
        <v>562197.14698232803</v>
      </c>
      <c r="EV87" s="180">
        <f t="shared" ca="1" si="208"/>
        <v>131746.5628260654</v>
      </c>
      <c r="EW87" s="180">
        <f t="shared" ca="1" si="209"/>
        <v>510517.96879476478</v>
      </c>
      <c r="EX87" s="555">
        <f t="shared" ca="1" si="182"/>
        <v>4437095.2737515438</v>
      </c>
      <c r="EY87" s="180">
        <f t="shared" ca="1" si="210"/>
        <v>50243.853193434421</v>
      </c>
      <c r="EZ87" s="180">
        <f t="shared" ca="1" si="211"/>
        <v>8738.0614249450155</v>
      </c>
      <c r="FA87" s="180">
        <f t="shared" ca="1" si="212"/>
        <v>49380.030813107471</v>
      </c>
      <c r="FB87" s="180">
        <f t="shared" ca="1" si="213"/>
        <v>191347.61002362595</v>
      </c>
      <c r="FC87" s="180">
        <f t="shared" ca="1" si="214"/>
        <v>299709.55545511376</v>
      </c>
      <c r="FD87" s="262">
        <f>IF(AX87,IF(VLOOKUP(C87,MAIN!$L$17:$M$28,2)="Yes",VLOOKUP(CALC!B87,MAIN!$H$17:$I$20,2),0),0)</f>
        <v>0</v>
      </c>
      <c r="FE87" s="623">
        <f t="shared" si="285"/>
        <v>0</v>
      </c>
      <c r="FF87" s="535">
        <f t="shared" si="286"/>
        <v>0</v>
      </c>
      <c r="FG87" s="535">
        <f t="shared" si="287"/>
        <v>0</v>
      </c>
      <c r="FH87" s="624">
        <f t="shared" si="288"/>
        <v>0</v>
      </c>
      <c r="FI87" s="632">
        <f>IF(AX87,VLOOKUP(CALC!B87,MAIN!$H$17:$K$20,4),0)</f>
        <v>0</v>
      </c>
      <c r="FJ87" s="535">
        <f t="shared" si="289"/>
        <v>0</v>
      </c>
      <c r="FK87" s="648">
        <f t="shared" si="335"/>
        <v>0</v>
      </c>
      <c r="FL87" s="530">
        <f t="shared" ca="1" si="215"/>
        <v>0</v>
      </c>
      <c r="FM87" s="530">
        <f t="shared" ca="1" si="216"/>
        <v>0</v>
      </c>
      <c r="FN87" s="530">
        <f t="shared" ca="1" si="217"/>
        <v>0</v>
      </c>
      <c r="FO87" s="622">
        <f t="shared" ca="1" si="218"/>
        <v>0</v>
      </c>
      <c r="FP87" s="530">
        <f t="shared" ca="1" si="219"/>
        <v>0</v>
      </c>
      <c r="FQ87" s="530">
        <f t="shared" ca="1" si="220"/>
        <v>0</v>
      </c>
      <c r="FR87" s="530">
        <f t="shared" ca="1" si="221"/>
        <v>0</v>
      </c>
      <c r="FS87" s="625">
        <f t="shared" ca="1" si="222"/>
        <v>0</v>
      </c>
      <c r="FT87" s="640">
        <f ca="1">IF(AND(Assumptions!$H$71="Yes",A87&gt;=Assumptions!$H$72,A87&lt;=Assumptions!$H$73),0,IF(AND($A87&gt;=Assumptions!$C$17,$A87&lt;=Assumptions!$C$18),MAX(AZ87*(1+VLOOKUP($C87,WeatherCapacityAdjustment,2))-FL87,0),0))</f>
        <v>53544</v>
      </c>
      <c r="FU87" s="530">
        <f ca="1">IF(AND(Assumptions!$H$71="Yes",A87&gt;=Assumptions!$H$72,A87&lt;=Assumptions!$H$73),0,IF(AND($A87&gt;=Assumptions!$C$17,$A87&lt;=Assumptions!$C$18),MAX(BA87*(1+VLOOKUP($C87,WeatherCapacityAdjustment,2))-FM87,0),0))</f>
        <v>9312</v>
      </c>
      <c r="FV87" s="530">
        <f ca="1">IF(AND(Assumptions!$H$71="Yes",A87&gt;=Assumptions!$H$72,A87&lt;=Assumptions!$H$73),0,IF(AND($A87&gt;=Assumptions!$C$17,$A87&lt;=Assumptions!$C$18),MAX(BB87*(1+VLOOKUP($C87,WeatherCapacityAdjustment,2))-FN87,0),0))</f>
        <v>9312</v>
      </c>
      <c r="FW87" s="622">
        <f ca="1">IF(AND(Assumptions!$H$71="Yes",A87&gt;=Assumptions!$H$72,A87&lt;=Assumptions!$H$73),0,IF(AND($A87&gt;=Assumptions!$C$17,$A87&lt;=Assumptions!$C$18),MAX(BC87*(1+VLOOKUP($C87,WeatherCapacityAdjustment,3))-FO87,0),0))</f>
        <v>36084</v>
      </c>
      <c r="FX87" s="621">
        <f ca="1">IF(AND(Assumptions!$H$71="Yes",A87&gt;=Assumptions!$H$72,A87&lt;=Assumptions!$H$73),0,IF(ET87&gt;0,MAX(BH87*(1+VLOOKUP($C87,WeatherCapacityAdjustment,2))-FP87,0),0))</f>
        <v>214176</v>
      </c>
      <c r="FY87" s="530">
        <f ca="1">IF(AND(Assumptions!$H$71="Yes",A87&gt;=Assumptions!$H$72,A87&lt;=Assumptions!$H$73),0,IF(EU87&gt;0,MAX(BI87*(1+VLOOKUP($C87,WeatherCapacityAdjustment,3))-FQ87,0),0))</f>
        <v>37248</v>
      </c>
      <c r="FZ87" s="530">
        <f ca="1">IF(AND(Assumptions!$H$71="Yes",A87&gt;=Assumptions!$H$72,A87&lt;=Assumptions!$H$73),0,IF(EV87&gt;0,MAX(BJ87*(1+VLOOKUP($C87,WeatherCapacityAdjustment,2))-FR87,0),0))</f>
        <v>37248</v>
      </c>
      <c r="GA87" s="622">
        <f ca="1">IF(AND(Assumptions!$H$71="Yes",A87&gt;=Assumptions!$H$72,A87&lt;=Assumptions!$H$73),0,IF(EW87&gt;0,MAX(BK87*(1+VLOOKUP($C87,WeatherCapacityAdjustment,2))-FS87,0),0))</f>
        <v>144336</v>
      </c>
      <c r="GB87" s="530">
        <f t="shared" ca="1" si="290"/>
        <v>541260</v>
      </c>
      <c r="GC87" s="545">
        <f t="shared" ca="1" si="291"/>
        <v>30.170686766342847</v>
      </c>
      <c r="GD87" s="530">
        <f t="shared" ca="1" si="223"/>
        <v>16330185.919150729</v>
      </c>
      <c r="GE87" s="1485">
        <f t="shared" ca="1" si="224"/>
        <v>770176.17431999999</v>
      </c>
      <c r="GF87" s="1776">
        <f t="shared" ca="1" si="225"/>
        <v>3080704.69728</v>
      </c>
      <c r="GG87" s="545">
        <f t="shared" si="190"/>
        <v>2.5318663849412486</v>
      </c>
      <c r="GH87" s="622">
        <f t="shared" ca="1" si="191"/>
        <v>9749915.8312172964</v>
      </c>
      <c r="GI87" s="621">
        <f t="shared" ca="1" si="336"/>
        <v>541260</v>
      </c>
      <c r="GJ87" s="638">
        <f t="shared" si="292"/>
        <v>1.9101743999999996</v>
      </c>
      <c r="GK87" s="625">
        <f t="shared" ca="1" si="342"/>
        <v>1033900.9957439998</v>
      </c>
      <c r="GL87" s="640">
        <f t="shared" ca="1" si="226"/>
        <v>0</v>
      </c>
      <c r="GM87" s="530">
        <f t="shared" ca="1" si="227"/>
        <v>0</v>
      </c>
      <c r="GN87" s="530">
        <f t="shared" ca="1" si="228"/>
        <v>0</v>
      </c>
      <c r="GO87" s="622">
        <f t="shared" ca="1" si="229"/>
        <v>0</v>
      </c>
      <c r="GP87" s="530">
        <f t="shared" ca="1" si="293"/>
        <v>0</v>
      </c>
      <c r="GQ87" s="545">
        <f t="shared" ca="1" si="294"/>
        <v>0</v>
      </c>
      <c r="GR87" s="625">
        <f t="shared" ca="1" si="230"/>
        <v>0</v>
      </c>
      <c r="GS87" s="640">
        <f>IF($A87&gt;=BegDate,Assumptions!$C$56*24*($A88-$A87)*(1-VLOOKUP($B87,MAIN!$AA$7:$AM$28,$C87+1))*(1-VLOOKUP($B87,MAIN!$AA$33:$AM$54,$C87+1)),0)*80/168</f>
        <v>257742.85714285713</v>
      </c>
      <c r="GT87" s="1715">
        <f t="shared" si="337"/>
        <v>35.016894264594818</v>
      </c>
      <c r="GU87" s="1715">
        <f>IF($A87&gt;=BegDate,VLOOKUP($A87,GasTable,13)+Assumptions!$C$58,0)</f>
        <v>2.5318663849412486</v>
      </c>
      <c r="GV87" s="1715">
        <f>GU87*Assumptions!$C$57/1000</f>
        <v>18.356031290824053</v>
      </c>
      <c r="GW87" s="625">
        <f>IF(Assumptions!$C$60="Hourly",MAX(0,GS87*(GT87-GV87)),GS87*(GT87-GV87))</f>
        <v>4294218.4253253164</v>
      </c>
      <c r="GX87" s="640">
        <f>IF($A87&gt;=BegDate,Assumptions!$C$56*24*($A88-$A87)*(1-VLOOKUP($B87,MAIN!$AA$7:$AM$28,$C87+1))*(1-VLOOKUP($B87,MAIN!$AA$33:$AM$54,$C87+1)),0)*16/168</f>
        <v>51548.571428571428</v>
      </c>
      <c r="GY87" s="1715">
        <f t="shared" si="338"/>
        <v>35.016894264594818</v>
      </c>
      <c r="GZ87" s="1715">
        <f>IF($A87&gt;=BegDate,VLOOKUP($A87,GasTable,13)+Assumptions!$C$58,0)</f>
        <v>2.5318663849412486</v>
      </c>
      <c r="HA87" s="1715">
        <f>GZ87*Assumptions!$C$57/1000</f>
        <v>18.356031290824053</v>
      </c>
      <c r="HB87" s="625">
        <f>IF(Assumptions!$C$60="Hourly",MAX(0,GX87*(GY87-HA87)),GX87*(GY87-HA87))</f>
        <v>858843.6850650633</v>
      </c>
      <c r="HC87" s="640">
        <f>IF($A87&gt;=BegDate,Assumptions!$C$56*24*($A88-$A87)*(1-VLOOKUP($B87,MAIN!$AA$7:$AM$28,$C87+1))*(1-VLOOKUP($B87,MAIN!$AA$33:$AM$54,$C87+1)),0)*16/168</f>
        <v>51548.571428571428</v>
      </c>
      <c r="HD87" s="1715">
        <f t="shared" si="339"/>
        <v>23.46055336683343</v>
      </c>
      <c r="HE87" s="1715">
        <f>IF($A87&gt;=BegDate,VLOOKUP($A87,GasTable,13)+Assumptions!$C$58,0)</f>
        <v>2.5318663849412486</v>
      </c>
      <c r="HF87" s="1715">
        <f>HE87*Assumptions!$C$57/1000</f>
        <v>18.356031290824053</v>
      </c>
      <c r="HG87" s="625">
        <f>IF(Assumptions!$C$60="Hourly",MAX(0,HC87*(HD87-HF87)),HC87*(HD87-HF87))</f>
        <v>263130.82084388909</v>
      </c>
      <c r="HH87" s="640">
        <f>IF($A87&gt;=BegDate,Assumptions!$C$56*24*($A88-$A87)*(1-VLOOKUP($B87,MAIN!$AA$7:$AM$28,$C87+1))*(1-VLOOKUP($B87,MAIN!$AA$33:$AM$54,$C87+1)),0)*56/168</f>
        <v>180420</v>
      </c>
      <c r="HI87" s="1715">
        <f t="shared" si="340"/>
        <v>23.46055336683343</v>
      </c>
      <c r="HJ87" s="1715">
        <f>IF($A87&gt;=BegDate,VLOOKUP($A87,GasTable,13)+Assumptions!$C$58,0)</f>
        <v>2.5318663849412486</v>
      </c>
      <c r="HK87" s="1715">
        <f>HJ87*Assumptions!$C$57/1000</f>
        <v>18.356031290824053</v>
      </c>
      <c r="HL87" s="625">
        <f>IF(Assumptions!$C$60="Hourly",MAX(0,HH87*(HI87-HK87)),HH87*(HI87-HK87))</f>
        <v>920957.87295361189</v>
      </c>
      <c r="HM87" s="640">
        <f>IF(AND(Assumptions!$H$71="Yes",A87&gt;=Assumptions!$H$72,A87&lt;=Assumptions!$H$73),Assumptions!$H$74*Assumptions!$C$9*1000,0)</f>
        <v>0</v>
      </c>
      <c r="HN87" s="530"/>
      <c r="HO87" s="545"/>
      <c r="HP87" s="545"/>
      <c r="HQ87" s="545"/>
      <c r="HR87" s="545"/>
      <c r="HS87" s="545"/>
      <c r="HT87" s="545"/>
      <c r="HU87" s="545"/>
      <c r="HV87" s="545"/>
      <c r="HW87" s="545"/>
      <c r="HX87" s="545"/>
      <c r="HY87" s="545"/>
      <c r="HZ87" s="545"/>
      <c r="IA87" s="545"/>
      <c r="IB87" s="545"/>
      <c r="IC87" s="545"/>
      <c r="ID87" s="545"/>
      <c r="IE87" s="545"/>
      <c r="IF87" s="545"/>
      <c r="IG87" s="545"/>
      <c r="IH87" s="545"/>
      <c r="II87" s="1464"/>
      <c r="IJ87" s="1463"/>
      <c r="IK87" s="1463"/>
    </row>
    <row r="88" spans="1:245">
      <c r="A88" s="177">
        <f t="shared" si="295"/>
        <v>38808</v>
      </c>
      <c r="B88" s="349">
        <f t="shared" si="296"/>
        <v>2006</v>
      </c>
      <c r="C88" s="15">
        <f t="shared" si="236"/>
        <v>4</v>
      </c>
      <c r="D88" s="612" t="str">
        <f t="shared" si="297"/>
        <v/>
      </c>
      <c r="E88" s="609">
        <f t="shared" si="237"/>
        <v>38808</v>
      </c>
      <c r="F88" s="614">
        <f t="shared" si="238"/>
        <v>38837</v>
      </c>
      <c r="G88" s="1349">
        <v>0</v>
      </c>
      <c r="H88" s="152">
        <f t="shared" si="341"/>
        <v>1</v>
      </c>
      <c r="I88" s="154">
        <f>IF(Assumptions!$L$25=4,VLOOKUP($A88,'Henwood Reference'!$E$9:$R$320,10),(VLOOKUP($A88,PriceTable,2,0)+IF(BasisNumber&lt;&gt;1,VLOOKUP($A88,BasisTable,2,0),0)+I$1)/(1-I$2))</f>
        <v>32.853761489672529</v>
      </c>
      <c r="J88" s="154">
        <f>IF(Assumptions!$L$25=4,VLOOKUP($A88,'Henwood Reference'!$E$9:$R$320,10),(VLOOKUP($A88,PriceTable,3,0)+IF(BasisNumber&lt;&gt;1,VLOOKUP($A88,BasisTable,2,0),0)+J$1)/(1-J$2))</f>
        <v>32.853761489672529</v>
      </c>
      <c r="K88" s="154">
        <f>IF(Assumptions!$L$25=4,VLOOKUP($A88,'Henwood Reference'!$E$9:$R$320,10),(VLOOKUP($A88,PriceTable,4,0)+IF(BasisNumber&lt;&gt;1,VLOOKUP($A88,BasisTable,2,0),0)+K$1)/(1-K$2))</f>
        <v>32.853761489672529</v>
      </c>
      <c r="L88" s="474">
        <f>IF(Assumptions!$L$25=4,VLOOKUP($A88,'Henwood Reference'!$E$9:$R$320,10),(VLOOKUP($A88,PriceTableWeekend,2,0)+IF(BasisNumber&lt;&gt;1,VLOOKUP($A88,BasisTable,2,0),0)+L$1)/(1-L$2))</f>
        <v>32.853761489672529</v>
      </c>
      <c r="M88" s="154">
        <f>IF(Assumptions!$L$25=4,VLOOKUP($A88,'Henwood Reference'!$E$9:$R$320,10),(VLOOKUP($A88,PriceTableWeekend,3,0)+IF(BasisNumber&lt;&gt;1,VLOOKUP($A88,BasisTable,2,0),0)+M$1)/(1-M$2))</f>
        <v>32.853761489672529</v>
      </c>
      <c r="N88" s="156">
        <f>IF(Assumptions!$L$25=4,VLOOKUP($A88,'Henwood Reference'!$E$9:$R$320,10),(VLOOKUP($A88,PriceTableWeekend,4,0)+IF(BasisNumber&lt;&gt;1,VLOOKUP($A88,BasisTable,2,0),0)+N$1)/(1-N$2))</f>
        <v>32.853761489672529</v>
      </c>
      <c r="O88" s="154">
        <f>IF(Assumptions!$L$25=4,VLOOKUP($A88,'Henwood Reference'!$E$9:$R$320,11),(VLOOKUP($A88,PriceTableWeekend,6,0)+IF(BasisNumber&lt;&gt;1,VLOOKUP($A88,BasisTable,3,0),0)+O$1)/(1-O$2))</f>
        <v>22.256685740640215</v>
      </c>
      <c r="P88" s="154">
        <f>IF(Assumptions!$L$25=4,VLOOKUP($A88,'Henwood Reference'!$E$9:$R$320,11),(VLOOKUP($A88,PriceTableWeekend,7,0)+IF(BasisNumber&lt;&gt;1,VLOOKUP($A88,BasisTable,3,0),0)+P$1)/(1-P$2))</f>
        <v>22.256685740640215</v>
      </c>
      <c r="Q88" s="156">
        <f>IF(Assumptions!$L$25=4,VLOOKUP($A88,'Henwood Reference'!$E$9:$R$320,11),(VLOOKUP($A88,PriceTableWeekend,8,0)+IF(BasisNumber&lt;&gt;1,VLOOKUP($A88,BasisTable,3,0),0)+Q$1)/(1-Q$2))</f>
        <v>22.256685740640215</v>
      </c>
      <c r="R88" s="154">
        <f>IF(Assumptions!$L$25=4,VLOOKUP($A88,'Henwood Reference'!$E$9:$R$320,11),(VLOOKUP($A88,PriceTable,6,0)+IF(BasisNumber&lt;&gt;1,VLOOKUP($A88,BasisTable,3,0),0)+R$1)/(1-R$2))</f>
        <v>22.256685740640215</v>
      </c>
      <c r="S88" s="154">
        <f>IF(Assumptions!$L$25=4,VLOOKUP($A88,'Henwood Reference'!$E$9:$R$320,11),(VLOOKUP($A88,PriceTable,7,0)+IF(BasisNumber&lt;&gt;1,VLOOKUP($A88,BasisTable,3,0),0)+S$1)/(1-S$2))</f>
        <v>22.256685740640215</v>
      </c>
      <c r="T88" s="155">
        <f>IF(Assumptions!$L$25=4,VLOOKUP($A88,'Henwood Reference'!$E$9:$R$320,11),(VLOOKUP($A88,PriceTable,8,0)+IF(BasisNumber&lt;&gt;1,VLOOKUP($A88,BasisTable,3,0),0)+T$1)/(1-T$2))</f>
        <v>22.256685740640215</v>
      </c>
      <c r="U88" s="173">
        <f t="shared" si="298"/>
        <v>0.14000000000000001</v>
      </c>
      <c r="V88" s="173">
        <f t="shared" si="299"/>
        <v>0.15</v>
      </c>
      <c r="W88" s="174">
        <f t="shared" si="300"/>
        <v>0.16</v>
      </c>
      <c r="X88" s="173">
        <f t="shared" si="301"/>
        <v>0.14000000000000001</v>
      </c>
      <c r="Y88" s="173">
        <f t="shared" si="302"/>
        <v>0.15</v>
      </c>
      <c r="Z88" s="174">
        <f t="shared" si="303"/>
        <v>0.16</v>
      </c>
      <c r="AA88" s="173">
        <f t="shared" si="304"/>
        <v>0.09</v>
      </c>
      <c r="AB88" s="173">
        <f t="shared" si="305"/>
        <v>0.11</v>
      </c>
      <c r="AC88" s="174">
        <f t="shared" si="306"/>
        <v>0.13</v>
      </c>
      <c r="AD88" s="173">
        <f t="shared" si="307"/>
        <v>0.09</v>
      </c>
      <c r="AE88" s="173">
        <f t="shared" si="308"/>
        <v>0.11</v>
      </c>
      <c r="AF88" s="174">
        <f t="shared" si="309"/>
        <v>0.13</v>
      </c>
      <c r="AG88" s="173">
        <f t="shared" si="310"/>
        <v>-0.1</v>
      </c>
      <c r="AH88" s="173">
        <f t="shared" si="311"/>
        <v>0.65</v>
      </c>
      <c r="AI88" s="174">
        <f t="shared" si="312"/>
        <v>0.1</v>
      </c>
      <c r="AJ88" s="173">
        <f t="shared" si="313"/>
        <v>-0.1</v>
      </c>
      <c r="AK88" s="173">
        <f t="shared" si="314"/>
        <v>0.65</v>
      </c>
      <c r="AL88" s="174">
        <f t="shared" si="315"/>
        <v>0.1</v>
      </c>
      <c r="AM88" s="173">
        <f t="shared" si="316"/>
        <v>-0.01</v>
      </c>
      <c r="AN88" s="173">
        <f t="shared" si="317"/>
        <v>0.16</v>
      </c>
      <c r="AO88" s="174">
        <f t="shared" si="318"/>
        <v>0.01</v>
      </c>
      <c r="AP88" s="173">
        <f t="shared" si="319"/>
        <v>-0.01</v>
      </c>
      <c r="AQ88" s="173">
        <f t="shared" si="320"/>
        <v>0.16</v>
      </c>
      <c r="AR88" s="175">
        <f t="shared" si="321"/>
        <v>0.01</v>
      </c>
      <c r="AS88" s="521">
        <f t="shared" si="322"/>
        <v>0.5</v>
      </c>
      <c r="AT88" s="349">
        <f t="shared" si="239"/>
        <v>20</v>
      </c>
      <c r="AU88" s="159">
        <f t="shared" si="240"/>
        <v>5</v>
      </c>
      <c r="AV88" s="159">
        <f t="shared" si="241"/>
        <v>5</v>
      </c>
      <c r="AW88" s="159">
        <f t="shared" si="323"/>
        <v>0</v>
      </c>
      <c r="AX88" s="15">
        <f t="shared" si="242"/>
        <v>30</v>
      </c>
      <c r="AY88" s="607">
        <f>IF(E88="",0,MIN((1-(1-VLOOKUP(B88,MAIN!$AA$7:$AM$28,C88+1))*(1-VLOOKUP(B88,MAIN!$AA$33:$AM$54,C88+1))),1))</f>
        <v>0.22399999999999998</v>
      </c>
      <c r="AZ88" s="337">
        <v>37248</v>
      </c>
      <c r="BA88" s="509">
        <v>9312</v>
      </c>
      <c r="BB88" s="509">
        <v>9312</v>
      </c>
      <c r="BC88" s="511">
        <v>27936</v>
      </c>
      <c r="BD88" s="153">
        <v>0.77600000000000002</v>
      </c>
      <c r="BE88" s="474">
        <v>0.77600000000000002</v>
      </c>
      <c r="BF88" s="474">
        <v>0.77600000000000002</v>
      </c>
      <c r="BG88" s="515">
        <v>0.77600000578165051</v>
      </c>
      <c r="BH88" s="262">
        <v>148992</v>
      </c>
      <c r="BI88" s="509">
        <v>37248</v>
      </c>
      <c r="BJ88" s="509">
        <v>37248</v>
      </c>
      <c r="BK88" s="511">
        <v>111744</v>
      </c>
      <c r="BL88" s="153">
        <v>0.77600000000000002</v>
      </c>
      <c r="BM88" s="474">
        <v>0.77600000000000002</v>
      </c>
      <c r="BN88" s="474">
        <v>0.77600000000000002</v>
      </c>
      <c r="BO88" s="474">
        <v>0.77600000578165051</v>
      </c>
      <c r="BP88" s="261">
        <f t="shared" si="324"/>
        <v>55872</v>
      </c>
      <c r="BQ88" s="578">
        <f t="shared" si="325"/>
        <v>83808</v>
      </c>
      <c r="BR88" s="259">
        <f t="shared" si="326"/>
        <v>223488</v>
      </c>
      <c r="BS88" s="578">
        <f t="shared" si="327"/>
        <v>335232</v>
      </c>
      <c r="BT88" s="216">
        <f t="shared" si="328"/>
        <v>5.9630390143737166</v>
      </c>
      <c r="BU88" s="218">
        <f t="shared" si="243"/>
        <v>32.853761489672529</v>
      </c>
      <c r="BV88" s="216">
        <f t="shared" si="244"/>
        <v>32.853761489672529</v>
      </c>
      <c r="BW88" s="216">
        <f t="shared" si="245"/>
        <v>22.256685740640215</v>
      </c>
      <c r="BX88" s="216">
        <f t="shared" si="329"/>
        <v>22.256685906465446</v>
      </c>
      <c r="BY88" s="216">
        <f t="shared" si="246"/>
        <v>31.087582198167144</v>
      </c>
      <c r="BZ88" s="216">
        <f t="shared" si="247"/>
        <v>28.143950100933242</v>
      </c>
      <c r="CA88" s="264">
        <f t="shared" si="248"/>
        <v>32.853761489672529</v>
      </c>
      <c r="CB88" s="216">
        <f t="shared" si="249"/>
        <v>32.853761489672529</v>
      </c>
      <c r="CC88" s="216">
        <f t="shared" si="250"/>
        <v>22.256685740640215</v>
      </c>
      <c r="CD88" s="216">
        <f t="shared" si="330"/>
        <v>22.256685906465446</v>
      </c>
      <c r="CE88" s="216">
        <f t="shared" si="251"/>
        <v>31.087582198167144</v>
      </c>
      <c r="CF88" s="571">
        <f t="shared" si="252"/>
        <v>28.143950100933242</v>
      </c>
      <c r="CG88" s="573">
        <f t="shared" si="253"/>
        <v>0.15</v>
      </c>
      <c r="CH88" s="219">
        <f t="shared" si="254"/>
        <v>0.15</v>
      </c>
      <c r="CI88" s="219">
        <f t="shared" si="255"/>
        <v>0.11</v>
      </c>
      <c r="CJ88" s="219">
        <f t="shared" si="256"/>
        <v>0.14529959418881802</v>
      </c>
      <c r="CK88" s="219">
        <f t="shared" si="257"/>
        <v>0.14529959418881802</v>
      </c>
      <c r="CL88" s="219">
        <f t="shared" si="258"/>
        <v>0.11</v>
      </c>
      <c r="CM88" s="219">
        <f t="shared" si="259"/>
        <v>0.12453947579863676</v>
      </c>
      <c r="CN88" s="569">
        <f t="shared" si="260"/>
        <v>0.12453947579863676</v>
      </c>
      <c r="CO88" s="264">
        <f t="shared" si="175"/>
        <v>17.357799721501021</v>
      </c>
      <c r="CP88" s="216">
        <f t="shared" si="331"/>
        <v>17.357799721501021</v>
      </c>
      <c r="CQ88" s="216">
        <f t="shared" ca="1" si="192"/>
        <v>17.357799721501021</v>
      </c>
      <c r="CR88" s="216">
        <f t="shared" ca="1" si="193"/>
        <v>17.357799721501021</v>
      </c>
      <c r="CS88" s="1626">
        <f t="shared" ca="1" si="194"/>
        <v>17.357799721501021</v>
      </c>
      <c r="CT88" s="216">
        <f t="shared" si="332"/>
        <v>17.357799721501021</v>
      </c>
      <c r="CU88" s="575">
        <f t="shared" si="261"/>
        <v>0.16</v>
      </c>
      <c r="CV88" s="154">
        <f t="shared" si="262"/>
        <v>0.5</v>
      </c>
      <c r="CW88" s="216">
        <f>IF(OR($BQ88,$BS88),SpreadOptPowerMargin,0)*((1+Assumptions!$C$26)^($B88-YEAR(Assumptions!$C$17)))</f>
        <v>1.9101743999999998</v>
      </c>
      <c r="CX88" s="216">
        <f>IF(OR($BQ88,$BS88),SpreadOptPowerMargin,0)*((1+Assumptions!$C$26)^($B88-YEAR(Assumptions!$C$17)))</f>
        <v>1.9101743999999998</v>
      </c>
      <c r="CY88" s="216">
        <f>IF(OR($BQ88,$BS88),SpreadOptPowerMargin,0)*((1+Assumptions!$C$26)^($B88-YEAR(Assumptions!$C$17)))</f>
        <v>1.9101743999999998</v>
      </c>
      <c r="CZ88" s="216">
        <f>IF(OR($BQ88,$BS88),SpreadOptPowerMargin,0)*((1+Assumptions!$C$26)^($B88-YEAR(Assumptions!$C$17)))</f>
        <v>1.9101743999999998</v>
      </c>
      <c r="DA88" s="440">
        <f t="shared" si="263"/>
        <v>1.9101743999999998</v>
      </c>
      <c r="DB88" s="479">
        <f t="shared" si="264"/>
        <v>0.15</v>
      </c>
      <c r="DC88" s="479">
        <f t="shared" si="265"/>
        <v>0.15</v>
      </c>
      <c r="DD88" s="479">
        <f t="shared" si="266"/>
        <v>0.11</v>
      </c>
      <c r="DE88" s="479">
        <f t="shared" si="267"/>
        <v>0.11</v>
      </c>
      <c r="DF88" s="479">
        <f t="shared" si="268"/>
        <v>0.12453947579863676</v>
      </c>
      <c r="DG88" s="574">
        <f t="shared" si="269"/>
        <v>0.12453947579863676</v>
      </c>
      <c r="DH88" s="216">
        <f t="shared" si="270"/>
        <v>13.863455449248882</v>
      </c>
      <c r="DI88" s="216">
        <f t="shared" si="271"/>
        <v>13.863455449248882</v>
      </c>
      <c r="DJ88" s="216">
        <f t="shared" ca="1" si="195"/>
        <v>4.3926311677651473</v>
      </c>
      <c r="DK88" s="216">
        <f t="shared" ca="1" si="196"/>
        <v>4.3926312892296959</v>
      </c>
      <c r="DL88" s="216">
        <f t="shared" ca="1" si="197"/>
        <v>9.3658343498416823</v>
      </c>
      <c r="DM88" s="216"/>
      <c r="DN88" s="216"/>
      <c r="DO88" s="216"/>
      <c r="DP88" s="216"/>
      <c r="DQ88" s="216"/>
      <c r="DR88" s="216"/>
      <c r="DS88" s="216"/>
      <c r="DT88" s="216"/>
      <c r="DU88" s="216"/>
      <c r="DV88" s="216"/>
      <c r="DW88" s="1371">
        <f t="shared" si="272"/>
        <v>4.3926311677651473</v>
      </c>
      <c r="DX88" s="216">
        <f t="shared" si="273"/>
        <v>4.3926312892296959</v>
      </c>
      <c r="DY88" s="440">
        <f t="shared" si="274"/>
        <v>9.6542002535220703</v>
      </c>
      <c r="DZ88" s="180">
        <f t="shared" si="275"/>
        <v>516385.98857362237</v>
      </c>
      <c r="EA88" s="180">
        <f t="shared" si="276"/>
        <v>129096.49714340559</v>
      </c>
      <c r="EB88" s="180">
        <f t="shared" ca="1" si="198"/>
        <v>40904.181434229053</v>
      </c>
      <c r="EC88" s="180">
        <f t="shared" ca="1" si="199"/>
        <v>122712.54769592079</v>
      </c>
      <c r="ED88" s="180">
        <f t="shared" ca="1" si="200"/>
        <v>784931.8451915317</v>
      </c>
      <c r="EE88" s="581">
        <f t="shared" si="277"/>
        <v>506043.40788965236</v>
      </c>
      <c r="EF88" s="554">
        <f t="shared" si="278"/>
        <v>126510.85197241309</v>
      </c>
      <c r="EG88" s="554">
        <f t="shared" ca="1" si="201"/>
        <v>27830.882597424188</v>
      </c>
      <c r="EH88" s="554">
        <f t="shared" ca="1" si="202"/>
        <v>83492.652424766216</v>
      </c>
      <c r="EI88" s="561">
        <f t="shared" ca="1" si="279"/>
        <v>743877.79488425574</v>
      </c>
      <c r="EJ88" s="581">
        <f t="shared" si="333"/>
        <v>10342.580683970009</v>
      </c>
      <c r="EK88" s="554">
        <f t="shared" si="334"/>
        <v>2585.6451709925022</v>
      </c>
      <c r="EL88" s="554">
        <f t="shared" ca="1" si="203"/>
        <v>13073.298836804865</v>
      </c>
      <c r="EM88" s="554">
        <f t="shared" ca="1" si="204"/>
        <v>39219.895271154572</v>
      </c>
      <c r="EN88" s="561">
        <f t="shared" ca="1" si="205"/>
        <v>41054.05030727596</v>
      </c>
      <c r="EO88" s="180">
        <f t="shared" si="280"/>
        <v>2065543.9542944895</v>
      </c>
      <c r="EP88" s="180">
        <f t="shared" si="281"/>
        <v>516385.98857362237</v>
      </c>
      <c r="EQ88" s="180">
        <f t="shared" si="282"/>
        <v>163616.72573691621</v>
      </c>
      <c r="ER88" s="180">
        <f t="shared" si="283"/>
        <v>490850.19078368315</v>
      </c>
      <c r="ES88" s="180">
        <f t="shared" si="284"/>
        <v>3236396.8593887105</v>
      </c>
      <c r="ET88" s="1482">
        <f t="shared" ca="1" si="206"/>
        <v>2024173.6315586094</v>
      </c>
      <c r="EU88" s="180">
        <f t="shared" ca="1" si="207"/>
        <v>506043.40788965236</v>
      </c>
      <c r="EV88" s="180">
        <f t="shared" ca="1" si="208"/>
        <v>111323.53038969675</v>
      </c>
      <c r="EW88" s="180">
        <f t="shared" ca="1" si="209"/>
        <v>333970.60969906487</v>
      </c>
      <c r="EX88" s="555">
        <f t="shared" ca="1" si="182"/>
        <v>2975511.1795370234</v>
      </c>
      <c r="EY88" s="180">
        <f t="shared" ca="1" si="210"/>
        <v>41370.322735880036</v>
      </c>
      <c r="EZ88" s="180">
        <f t="shared" ca="1" si="211"/>
        <v>10342.580683970009</v>
      </c>
      <c r="FA88" s="180">
        <f t="shared" ca="1" si="212"/>
        <v>52293.195347219458</v>
      </c>
      <c r="FB88" s="180">
        <f t="shared" ca="1" si="213"/>
        <v>156879.58108461829</v>
      </c>
      <c r="FC88" s="180">
        <f t="shared" ca="1" si="214"/>
        <v>260885.67985168705</v>
      </c>
      <c r="FD88" s="262">
        <f>IF(AX88,IF(VLOOKUP(C88,MAIN!$L$17:$M$28,2)="Yes",VLOOKUP(CALC!B88,MAIN!$H$17:$I$20,2),0),0)</f>
        <v>0</v>
      </c>
      <c r="FE88" s="623">
        <f t="shared" si="285"/>
        <v>0</v>
      </c>
      <c r="FF88" s="535">
        <f t="shared" si="286"/>
        <v>0</v>
      </c>
      <c r="FG88" s="535">
        <f t="shared" si="287"/>
        <v>0</v>
      </c>
      <c r="FH88" s="624">
        <f t="shared" si="288"/>
        <v>0</v>
      </c>
      <c r="FI88" s="632">
        <f>IF(AX88,VLOOKUP(CALC!B88,MAIN!$H$17:$K$20,4),0)</f>
        <v>0</v>
      </c>
      <c r="FJ88" s="535">
        <f t="shared" si="289"/>
        <v>0</v>
      </c>
      <c r="FK88" s="648">
        <f t="shared" si="335"/>
        <v>0</v>
      </c>
      <c r="FL88" s="530">
        <f t="shared" ca="1" si="215"/>
        <v>0</v>
      </c>
      <c r="FM88" s="530">
        <f t="shared" ca="1" si="216"/>
        <v>0</v>
      </c>
      <c r="FN88" s="530">
        <f t="shared" ca="1" si="217"/>
        <v>0</v>
      </c>
      <c r="FO88" s="622">
        <f t="shared" ca="1" si="218"/>
        <v>0</v>
      </c>
      <c r="FP88" s="530">
        <f t="shared" ca="1" si="219"/>
        <v>0</v>
      </c>
      <c r="FQ88" s="530">
        <f t="shared" ca="1" si="220"/>
        <v>0</v>
      </c>
      <c r="FR88" s="530">
        <f t="shared" ca="1" si="221"/>
        <v>0</v>
      </c>
      <c r="FS88" s="625">
        <f t="shared" ca="1" si="222"/>
        <v>0</v>
      </c>
      <c r="FT88" s="640">
        <f ca="1">IF(AND(Assumptions!$H$71="Yes",A88&gt;=Assumptions!$H$72,A88&lt;=Assumptions!$H$73),0,IF(AND($A88&gt;=Assumptions!$C$17,$A88&lt;=Assumptions!$C$18),MAX(AZ88*(1+VLOOKUP($C88,WeatherCapacityAdjustment,2))-FL88,0),0))</f>
        <v>37248</v>
      </c>
      <c r="FU88" s="530">
        <f ca="1">IF(AND(Assumptions!$H$71="Yes",A88&gt;=Assumptions!$H$72,A88&lt;=Assumptions!$H$73),0,IF(AND($A88&gt;=Assumptions!$C$17,$A88&lt;=Assumptions!$C$18),MAX(BA88*(1+VLOOKUP($C88,WeatherCapacityAdjustment,2))-FM88,0),0))</f>
        <v>9312</v>
      </c>
      <c r="FV88" s="530">
        <f ca="1">IF(AND(Assumptions!$H$71="Yes",A88&gt;=Assumptions!$H$72,A88&lt;=Assumptions!$H$73),0,IF(AND($A88&gt;=Assumptions!$C$17,$A88&lt;=Assumptions!$C$18),MAX(BB88*(1+VLOOKUP($C88,WeatherCapacityAdjustment,2))-FN88,0),0))</f>
        <v>9312</v>
      </c>
      <c r="FW88" s="622">
        <f ca="1">IF(AND(Assumptions!$H$71="Yes",A88&gt;=Assumptions!$H$72,A88&lt;=Assumptions!$H$73),0,IF(AND($A88&gt;=Assumptions!$C$17,$A88&lt;=Assumptions!$C$18),MAX(BC88*(1+VLOOKUP($C88,WeatherCapacityAdjustment,3))-FO88,0),0))</f>
        <v>27936</v>
      </c>
      <c r="FX88" s="621">
        <f ca="1">IF(AND(Assumptions!$H$71="Yes",A88&gt;=Assumptions!$H$72,A88&lt;=Assumptions!$H$73),0,IF(ET88&gt;0,MAX(BH88*(1+VLOOKUP($C88,WeatherCapacityAdjustment,2))-FP88,0),0))</f>
        <v>148992</v>
      </c>
      <c r="FY88" s="530">
        <f ca="1">IF(AND(Assumptions!$H$71="Yes",A88&gt;=Assumptions!$H$72,A88&lt;=Assumptions!$H$73),0,IF(EU88&gt;0,MAX(BI88*(1+VLOOKUP($C88,WeatherCapacityAdjustment,3))-FQ88,0),0))</f>
        <v>37248</v>
      </c>
      <c r="FZ88" s="530">
        <f ca="1">IF(AND(Assumptions!$H$71="Yes",A88&gt;=Assumptions!$H$72,A88&lt;=Assumptions!$H$73),0,IF(EV88&gt;0,MAX(BJ88*(1+VLOOKUP($C88,WeatherCapacityAdjustment,2))-FR88,0),0))</f>
        <v>37248</v>
      </c>
      <c r="GA88" s="622">
        <f ca="1">IF(AND(Assumptions!$H$71="Yes",A88&gt;=Assumptions!$H$72,A88&lt;=Assumptions!$H$73),0,IF(EW88&gt;0,MAX(BK88*(1+VLOOKUP($C88,WeatherCapacityAdjustment,2))-FS88,0),0))</f>
        <v>111744</v>
      </c>
      <c r="GB88" s="530">
        <f t="shared" ca="1" si="290"/>
        <v>419040</v>
      </c>
      <c r="GC88" s="545">
        <f t="shared" ca="1" si="291"/>
        <v>28.143950100933246</v>
      </c>
      <c r="GD88" s="530">
        <f t="shared" ca="1" si="223"/>
        <v>11793440.850295065</v>
      </c>
      <c r="GE88" s="1485">
        <f t="shared" ca="1" si="224"/>
        <v>593332.14527999994</v>
      </c>
      <c r="GF88" s="1776">
        <f t="shared" ca="1" si="225"/>
        <v>2373328.5811199998</v>
      </c>
      <c r="GG88" s="545">
        <f t="shared" si="190"/>
        <v>2.4517843683878917</v>
      </c>
      <c r="GH88" s="622">
        <f t="shared" ca="1" si="191"/>
        <v>7273612.3952977872</v>
      </c>
      <c r="GI88" s="621">
        <f t="shared" ca="1" si="336"/>
        <v>419040</v>
      </c>
      <c r="GJ88" s="638">
        <f t="shared" si="292"/>
        <v>1.9101743999999998</v>
      </c>
      <c r="GK88" s="625">
        <f t="shared" ca="1" si="342"/>
        <v>800439.48057599994</v>
      </c>
      <c r="GL88" s="640">
        <f t="shared" ca="1" si="226"/>
        <v>0</v>
      </c>
      <c r="GM88" s="530">
        <f t="shared" ca="1" si="227"/>
        <v>0</v>
      </c>
      <c r="GN88" s="530">
        <f t="shared" ca="1" si="228"/>
        <v>0</v>
      </c>
      <c r="GO88" s="622">
        <f t="shared" ca="1" si="229"/>
        <v>0</v>
      </c>
      <c r="GP88" s="530">
        <f t="shared" ca="1" si="293"/>
        <v>0</v>
      </c>
      <c r="GQ88" s="545">
        <f t="shared" ca="1" si="294"/>
        <v>0</v>
      </c>
      <c r="GR88" s="625">
        <f t="shared" ca="1" si="230"/>
        <v>0</v>
      </c>
      <c r="GS88" s="640">
        <f>IF($A88&gt;=BegDate,Assumptions!$C$56*24*($A89-$A88)*(1-VLOOKUP($B88,MAIN!$AA$7:$AM$28,$C88+1))*(1-VLOOKUP($B88,MAIN!$AA$33:$AM$54,$C88+1)),0)*80/168</f>
        <v>199542.85714285713</v>
      </c>
      <c r="GT88" s="1715">
        <f t="shared" si="337"/>
        <v>32.853761489672529</v>
      </c>
      <c r="GU88" s="1715">
        <f>IF($A88&gt;=BegDate,VLOOKUP($A88,GasTable,13)+Assumptions!$C$58,0)</f>
        <v>2.4517843683878917</v>
      </c>
      <c r="GV88" s="1715">
        <f>GU88*Assumptions!$C$57/1000</f>
        <v>17.775436670812216</v>
      </c>
      <c r="GW88" s="625">
        <f>IF(Assumptions!$C$60="Hourly",MAX(0,GS88*(GT88-GV88)),GS88*(GT88-GV88))</f>
        <v>3008772.0152834407</v>
      </c>
      <c r="GX88" s="640">
        <f>IF($A88&gt;=BegDate,Assumptions!$C$56*24*($A89-$A88)*(1-VLOOKUP($B88,MAIN!$AA$7:$AM$28,$C88+1))*(1-VLOOKUP($B88,MAIN!$AA$33:$AM$54,$C88+1)),0)*16/168</f>
        <v>39908.571428571428</v>
      </c>
      <c r="GY88" s="1715">
        <f t="shared" si="338"/>
        <v>32.853761489672529</v>
      </c>
      <c r="GZ88" s="1715">
        <f>IF($A88&gt;=BegDate,VLOOKUP($A88,GasTable,13)+Assumptions!$C$58,0)</f>
        <v>2.4517843683878917</v>
      </c>
      <c r="HA88" s="1715">
        <f>GZ88*Assumptions!$C$57/1000</f>
        <v>17.775436670812216</v>
      </c>
      <c r="HB88" s="625">
        <f>IF(Assumptions!$C$60="Hourly",MAX(0,GX88*(GY88-HA88)),GX88*(GY88-HA88))</f>
        <v>601754.40305668814</v>
      </c>
      <c r="HC88" s="640">
        <f>IF($A88&gt;=BegDate,Assumptions!$C$56*24*($A89-$A88)*(1-VLOOKUP($B88,MAIN!$AA$7:$AM$28,$C88+1))*(1-VLOOKUP($B88,MAIN!$AA$33:$AM$54,$C88+1)),0)*16/168</f>
        <v>39908.571428571428</v>
      </c>
      <c r="HD88" s="1715">
        <f t="shared" si="339"/>
        <v>22.256685740640215</v>
      </c>
      <c r="HE88" s="1715">
        <f>IF($A88&gt;=BegDate,VLOOKUP($A88,GasTable,13)+Assumptions!$C$58,0)</f>
        <v>2.4517843683878917</v>
      </c>
      <c r="HF88" s="1715">
        <f>HE88*Assumptions!$C$57/1000</f>
        <v>17.775436670812216</v>
      </c>
      <c r="HG88" s="625">
        <f>IF(Assumptions!$C$60="Hourly",MAX(0,HC88*(HD88-HF88)),HC88*(HD88-HF88))</f>
        <v>178840.24859244999</v>
      </c>
      <c r="HH88" s="640">
        <f>IF($A88&gt;=BegDate,Assumptions!$C$56*24*($A89-$A88)*(1-VLOOKUP($B88,MAIN!$AA$7:$AM$28,$C88+1))*(1-VLOOKUP($B88,MAIN!$AA$33:$AM$54,$C88+1)),0)*56/168</f>
        <v>139680</v>
      </c>
      <c r="HI88" s="1715">
        <f t="shared" si="340"/>
        <v>22.256685740640215</v>
      </c>
      <c r="HJ88" s="1715">
        <f>IF($A88&gt;=BegDate,VLOOKUP($A88,GasTable,13)+Assumptions!$C$58,0)</f>
        <v>2.4517843683878917</v>
      </c>
      <c r="HK88" s="1715">
        <f>HJ88*Assumptions!$C$57/1000</f>
        <v>17.775436670812216</v>
      </c>
      <c r="HL88" s="625">
        <f>IF(Assumptions!$C$60="Hourly",MAX(0,HH88*(HI88-HK88)),HH88*(HI88-HK88))</f>
        <v>625940.87007357494</v>
      </c>
      <c r="HM88" s="640">
        <f>IF(AND(Assumptions!$H$71="Yes",A88&gt;=Assumptions!$H$72,A88&lt;=Assumptions!$H$73),Assumptions!$H$74*Assumptions!$C$9*1000,0)</f>
        <v>0</v>
      </c>
      <c r="HN88" s="530"/>
      <c r="HO88" s="545"/>
      <c r="HP88" s="545"/>
      <c r="HQ88" s="545"/>
      <c r="HR88" s="545"/>
      <c r="HS88" s="545"/>
      <c r="HT88" s="545"/>
      <c r="HU88" s="545"/>
      <c r="HV88" s="545"/>
      <c r="HW88" s="545"/>
      <c r="HX88" s="545"/>
      <c r="HY88" s="545"/>
      <c r="HZ88" s="545"/>
      <c r="IA88" s="545"/>
      <c r="IB88" s="545"/>
      <c r="IC88" s="545"/>
      <c r="ID88" s="545"/>
      <c r="IE88" s="545"/>
      <c r="IF88" s="545"/>
      <c r="IG88" s="545"/>
      <c r="IH88" s="545"/>
      <c r="II88" s="1464"/>
      <c r="IJ88" s="1463"/>
      <c r="IK88" s="1463"/>
    </row>
    <row r="89" spans="1:245">
      <c r="A89" s="177">
        <f t="shared" si="295"/>
        <v>38838</v>
      </c>
      <c r="B89" s="349">
        <f t="shared" si="296"/>
        <v>2006</v>
      </c>
      <c r="C89" s="15">
        <f t="shared" si="236"/>
        <v>5</v>
      </c>
      <c r="D89" s="612">
        <f t="shared" si="297"/>
        <v>38866</v>
      </c>
      <c r="E89" s="609">
        <f t="shared" si="237"/>
        <v>38838</v>
      </c>
      <c r="F89" s="614">
        <f t="shared" si="238"/>
        <v>38868</v>
      </c>
      <c r="G89" s="1349">
        <v>0</v>
      </c>
      <c r="H89" s="152">
        <f t="shared" si="341"/>
        <v>1</v>
      </c>
      <c r="I89" s="154">
        <f>IF(Assumptions!$L$25=4,VLOOKUP($A89,'Henwood Reference'!$E$9:$R$320,10),(VLOOKUP($A89,PriceTable,2,0)+IF(BasisNumber&lt;&gt;1,VLOOKUP($A89,BasisTable,2,0),0)+I$1)/(1-I$2))</f>
        <v>34.691545941669446</v>
      </c>
      <c r="J89" s="154">
        <f>IF(Assumptions!$L$25=4,VLOOKUP($A89,'Henwood Reference'!$E$9:$R$320,10),(VLOOKUP($A89,PriceTable,3,0)+IF(BasisNumber&lt;&gt;1,VLOOKUP($A89,BasisTable,2,0),0)+J$1)/(1-J$2))</f>
        <v>34.691545941669446</v>
      </c>
      <c r="K89" s="154">
        <f>IF(Assumptions!$L$25=4,VLOOKUP($A89,'Henwood Reference'!$E$9:$R$320,10),(VLOOKUP($A89,PriceTable,4,0)+IF(BasisNumber&lt;&gt;1,VLOOKUP($A89,BasisTable,2,0),0)+K$1)/(1-K$2))</f>
        <v>34.691545941669446</v>
      </c>
      <c r="L89" s="474">
        <f>IF(Assumptions!$L$25=4,VLOOKUP($A89,'Henwood Reference'!$E$9:$R$320,10),(VLOOKUP($A89,PriceTableWeekend,2,0)+IF(BasisNumber&lt;&gt;1,VLOOKUP($A89,BasisTable,2,0),0)+L$1)/(1-L$2))</f>
        <v>34.691545941669446</v>
      </c>
      <c r="M89" s="154">
        <f>IF(Assumptions!$L$25=4,VLOOKUP($A89,'Henwood Reference'!$E$9:$R$320,10),(VLOOKUP($A89,PriceTableWeekend,3,0)+IF(BasisNumber&lt;&gt;1,VLOOKUP($A89,BasisTable,2,0),0)+M$1)/(1-M$2))</f>
        <v>34.691545941669446</v>
      </c>
      <c r="N89" s="156">
        <f>IF(Assumptions!$L$25=4,VLOOKUP($A89,'Henwood Reference'!$E$9:$R$320,10),(VLOOKUP($A89,PriceTableWeekend,4,0)+IF(BasisNumber&lt;&gt;1,VLOOKUP($A89,BasisTable,2,0),0)+N$1)/(1-N$2))</f>
        <v>34.691545941669446</v>
      </c>
      <c r="O89" s="154">
        <f>IF(Assumptions!$L$25=4,VLOOKUP($A89,'Henwood Reference'!$E$9:$R$320,11),(VLOOKUP($A89,PriceTableWeekend,6,0)+IF(BasisNumber&lt;&gt;1,VLOOKUP($A89,BasisTable,3,0),0)+O$1)/(1-O$2))</f>
        <v>20.857203702220843</v>
      </c>
      <c r="P89" s="154">
        <f>IF(Assumptions!$L$25=4,VLOOKUP($A89,'Henwood Reference'!$E$9:$R$320,11),(VLOOKUP($A89,PriceTableWeekend,7,0)+IF(BasisNumber&lt;&gt;1,VLOOKUP($A89,BasisTable,3,0),0)+P$1)/(1-P$2))</f>
        <v>20.857203702220843</v>
      </c>
      <c r="Q89" s="156">
        <f>IF(Assumptions!$L$25=4,VLOOKUP($A89,'Henwood Reference'!$E$9:$R$320,11),(VLOOKUP($A89,PriceTableWeekend,8,0)+IF(BasisNumber&lt;&gt;1,VLOOKUP($A89,BasisTable,3,0),0)+Q$1)/(1-Q$2))</f>
        <v>20.857203702220843</v>
      </c>
      <c r="R89" s="154">
        <f>IF(Assumptions!$L$25=4,VLOOKUP($A89,'Henwood Reference'!$E$9:$R$320,11),(VLOOKUP($A89,PriceTable,6,0)+IF(BasisNumber&lt;&gt;1,VLOOKUP($A89,BasisTable,3,0),0)+R$1)/(1-R$2))</f>
        <v>20.857203702220843</v>
      </c>
      <c r="S89" s="154">
        <f>IF(Assumptions!$L$25=4,VLOOKUP($A89,'Henwood Reference'!$E$9:$R$320,11),(VLOOKUP($A89,PriceTable,7,0)+IF(BasisNumber&lt;&gt;1,VLOOKUP($A89,BasisTable,3,0),0)+S$1)/(1-S$2))</f>
        <v>20.857203702220843</v>
      </c>
      <c r="T89" s="155">
        <f>IF(Assumptions!$L$25=4,VLOOKUP($A89,'Henwood Reference'!$E$9:$R$320,11),(VLOOKUP($A89,PriceTable,8,0)+IF(BasisNumber&lt;&gt;1,VLOOKUP($A89,BasisTable,3,0),0)+T$1)/(1-T$2))</f>
        <v>20.857203702220843</v>
      </c>
      <c r="U89" s="173">
        <f t="shared" si="298"/>
        <v>0.14000000000000001</v>
      </c>
      <c r="V89" s="173">
        <f t="shared" si="299"/>
        <v>0.15</v>
      </c>
      <c r="W89" s="174">
        <f t="shared" si="300"/>
        <v>0.16</v>
      </c>
      <c r="X89" s="173">
        <f t="shared" si="301"/>
        <v>0.14000000000000001</v>
      </c>
      <c r="Y89" s="173">
        <f t="shared" si="302"/>
        <v>0.15</v>
      </c>
      <c r="Z89" s="174">
        <f t="shared" si="303"/>
        <v>0.16</v>
      </c>
      <c r="AA89" s="173">
        <f t="shared" si="304"/>
        <v>0.09</v>
      </c>
      <c r="AB89" s="173">
        <f t="shared" si="305"/>
        <v>0.11</v>
      </c>
      <c r="AC89" s="174">
        <f t="shared" si="306"/>
        <v>0.13</v>
      </c>
      <c r="AD89" s="173">
        <f t="shared" si="307"/>
        <v>0.09</v>
      </c>
      <c r="AE89" s="173">
        <f t="shared" si="308"/>
        <v>0.11</v>
      </c>
      <c r="AF89" s="174">
        <f t="shared" si="309"/>
        <v>0.13</v>
      </c>
      <c r="AG89" s="173">
        <f t="shared" si="310"/>
        <v>-0.1</v>
      </c>
      <c r="AH89" s="173">
        <f t="shared" si="311"/>
        <v>0.65</v>
      </c>
      <c r="AI89" s="174">
        <f t="shared" si="312"/>
        <v>0.1</v>
      </c>
      <c r="AJ89" s="173">
        <f t="shared" si="313"/>
        <v>-0.1</v>
      </c>
      <c r="AK89" s="173">
        <f t="shared" si="314"/>
        <v>0.65</v>
      </c>
      <c r="AL89" s="174">
        <f t="shared" si="315"/>
        <v>0.1</v>
      </c>
      <c r="AM89" s="173">
        <f t="shared" si="316"/>
        <v>-0.01</v>
      </c>
      <c r="AN89" s="173">
        <f t="shared" si="317"/>
        <v>0.16</v>
      </c>
      <c r="AO89" s="174">
        <f t="shared" si="318"/>
        <v>0.01</v>
      </c>
      <c r="AP89" s="173">
        <f t="shared" si="319"/>
        <v>-0.01</v>
      </c>
      <c r="AQ89" s="173">
        <f t="shared" si="320"/>
        <v>0.16</v>
      </c>
      <c r="AR89" s="175">
        <f t="shared" si="321"/>
        <v>0.01</v>
      </c>
      <c r="AS89" s="521">
        <f t="shared" si="322"/>
        <v>0.5</v>
      </c>
      <c r="AT89" s="349">
        <f t="shared" si="239"/>
        <v>22</v>
      </c>
      <c r="AU89" s="159">
        <f t="shared" si="240"/>
        <v>4</v>
      </c>
      <c r="AV89" s="159">
        <f t="shared" si="241"/>
        <v>4</v>
      </c>
      <c r="AW89" s="159">
        <f t="shared" si="323"/>
        <v>1</v>
      </c>
      <c r="AX89" s="15">
        <f t="shared" si="242"/>
        <v>31</v>
      </c>
      <c r="AY89" s="607">
        <f>IF(E89="",0,MIN((1-(1-VLOOKUP(B89,MAIN!$AA$7:$AM$28,C89+1))*(1-VLOOKUP(B89,MAIN!$AA$33:$AM$54,C89+1))),1))</f>
        <v>3.0000000000000027E-2</v>
      </c>
      <c r="AZ89" s="337">
        <v>51216</v>
      </c>
      <c r="BA89" s="509">
        <v>9312</v>
      </c>
      <c r="BB89" s="509">
        <v>11640</v>
      </c>
      <c r="BC89" s="511">
        <v>36084</v>
      </c>
      <c r="BD89" s="153">
        <v>0.97</v>
      </c>
      <c r="BE89" s="474">
        <v>0.97</v>
      </c>
      <c r="BF89" s="474">
        <v>0.97</v>
      </c>
      <c r="BG89" s="515">
        <v>0.97</v>
      </c>
      <c r="BH89" s="262">
        <v>204864</v>
      </c>
      <c r="BI89" s="509">
        <v>37248</v>
      </c>
      <c r="BJ89" s="509">
        <v>46560</v>
      </c>
      <c r="BK89" s="511">
        <v>144336</v>
      </c>
      <c r="BL89" s="153">
        <v>0.97</v>
      </c>
      <c r="BM89" s="474">
        <v>0.97</v>
      </c>
      <c r="BN89" s="474">
        <v>0.97</v>
      </c>
      <c r="BO89" s="474">
        <v>0.97</v>
      </c>
      <c r="BP89" s="261">
        <f t="shared" si="324"/>
        <v>72168</v>
      </c>
      <c r="BQ89" s="578">
        <f t="shared" si="325"/>
        <v>108252</v>
      </c>
      <c r="BR89" s="259">
        <f t="shared" si="326"/>
        <v>288672</v>
      </c>
      <c r="BS89" s="578">
        <f t="shared" si="327"/>
        <v>433008</v>
      </c>
      <c r="BT89" s="216">
        <f t="shared" si="328"/>
        <v>6.0451745379876796</v>
      </c>
      <c r="BU89" s="218">
        <f t="shared" si="243"/>
        <v>34.691545941669446</v>
      </c>
      <c r="BV89" s="216">
        <f t="shared" si="244"/>
        <v>34.691545941669446</v>
      </c>
      <c r="BW89" s="216">
        <f t="shared" si="245"/>
        <v>20.857203702220843</v>
      </c>
      <c r="BX89" s="216">
        <f t="shared" si="329"/>
        <v>20.857203702220843</v>
      </c>
      <c r="BY89" s="216">
        <f t="shared" si="246"/>
        <v>32.460200419177738</v>
      </c>
      <c r="BZ89" s="216">
        <f t="shared" si="247"/>
        <v>28.592534846858772</v>
      </c>
      <c r="CA89" s="264">
        <f t="shared" si="248"/>
        <v>34.691545941669446</v>
      </c>
      <c r="CB89" s="216">
        <f t="shared" si="249"/>
        <v>34.691545941669446</v>
      </c>
      <c r="CC89" s="216">
        <f t="shared" si="250"/>
        <v>20.857203702220843</v>
      </c>
      <c r="CD89" s="216">
        <f t="shared" si="330"/>
        <v>20.857203702220843</v>
      </c>
      <c r="CE89" s="216">
        <f t="shared" si="251"/>
        <v>32.460200419177738</v>
      </c>
      <c r="CF89" s="571">
        <f t="shared" si="252"/>
        <v>28.592534846858772</v>
      </c>
      <c r="CG89" s="573">
        <f t="shared" si="253"/>
        <v>0.15</v>
      </c>
      <c r="CH89" s="219">
        <f t="shared" si="254"/>
        <v>0.15</v>
      </c>
      <c r="CI89" s="219">
        <f t="shared" si="255"/>
        <v>0.11</v>
      </c>
      <c r="CJ89" s="219">
        <f t="shared" si="256"/>
        <v>0.14591971391353853</v>
      </c>
      <c r="CK89" s="219">
        <f t="shared" si="257"/>
        <v>0.14591971391353853</v>
      </c>
      <c r="CL89" s="219">
        <f t="shared" si="258"/>
        <v>0.11</v>
      </c>
      <c r="CM89" s="219">
        <f t="shared" si="259"/>
        <v>0.12644107550064293</v>
      </c>
      <c r="CN89" s="569">
        <f t="shared" si="260"/>
        <v>0.12644107550064293</v>
      </c>
      <c r="CO89" s="264">
        <f t="shared" si="175"/>
        <v>17.206038070915344</v>
      </c>
      <c r="CP89" s="216">
        <f t="shared" si="331"/>
        <v>17.206038070915344</v>
      </c>
      <c r="CQ89" s="216">
        <f t="shared" ca="1" si="192"/>
        <v>17.206038070915344</v>
      </c>
      <c r="CR89" s="216">
        <f t="shared" ca="1" si="193"/>
        <v>17.206038070915344</v>
      </c>
      <c r="CS89" s="1626">
        <f t="shared" ca="1" si="194"/>
        <v>17.206038070915344</v>
      </c>
      <c r="CT89" s="216">
        <f t="shared" si="332"/>
        <v>17.206038070915344</v>
      </c>
      <c r="CU89" s="575">
        <f t="shared" si="261"/>
        <v>0.16</v>
      </c>
      <c r="CV89" s="154">
        <f t="shared" si="262"/>
        <v>0.5</v>
      </c>
      <c r="CW89" s="216">
        <f>IF(OR($BQ89,$BS89),SpreadOptPowerMargin,0)*((1+Assumptions!$C$26)^($B89-YEAR(Assumptions!$C$17)))</f>
        <v>1.9101743999999998</v>
      </c>
      <c r="CX89" s="216">
        <f>IF(OR($BQ89,$BS89),SpreadOptPowerMargin,0)*((1+Assumptions!$C$26)^($B89-YEAR(Assumptions!$C$17)))</f>
        <v>1.9101743999999998</v>
      </c>
      <c r="CY89" s="216">
        <f>IF(OR($BQ89,$BS89),SpreadOptPowerMargin,0)*((1+Assumptions!$C$26)^($B89-YEAR(Assumptions!$C$17)))</f>
        <v>1.9101743999999998</v>
      </c>
      <c r="CZ89" s="216">
        <f>IF(OR($BQ89,$BS89),SpreadOptPowerMargin,0)*((1+Assumptions!$C$26)^($B89-YEAR(Assumptions!$C$17)))</f>
        <v>1.9101743999999998</v>
      </c>
      <c r="DA89" s="440">
        <f t="shared" si="263"/>
        <v>1.9101743999999996</v>
      </c>
      <c r="DB89" s="479">
        <f t="shared" si="264"/>
        <v>0.15</v>
      </c>
      <c r="DC89" s="479">
        <f t="shared" si="265"/>
        <v>0.15</v>
      </c>
      <c r="DD89" s="479">
        <f t="shared" si="266"/>
        <v>0.11</v>
      </c>
      <c r="DE89" s="479">
        <f t="shared" si="267"/>
        <v>0.11</v>
      </c>
      <c r="DF89" s="479">
        <f t="shared" si="268"/>
        <v>0.12644107550064293</v>
      </c>
      <c r="DG89" s="574">
        <f t="shared" si="269"/>
        <v>0.12644107550064293</v>
      </c>
      <c r="DH89" s="216">
        <f t="shared" si="270"/>
        <v>15.772204282314648</v>
      </c>
      <c r="DI89" s="216">
        <f t="shared" si="271"/>
        <v>15.772204282314648</v>
      </c>
      <c r="DJ89" s="216">
        <f t="shared" ca="1" si="195"/>
        <v>3.5130801431439531</v>
      </c>
      <c r="DK89" s="216">
        <f t="shared" ca="1" si="196"/>
        <v>3.5130801431439531</v>
      </c>
      <c r="DL89" s="216">
        <f t="shared" ca="1" si="197"/>
        <v>9.9197784250167444</v>
      </c>
      <c r="DM89" s="216"/>
      <c r="DN89" s="216"/>
      <c r="DO89" s="216"/>
      <c r="DP89" s="216"/>
      <c r="DQ89" s="216"/>
      <c r="DR89" s="216"/>
      <c r="DS89" s="216"/>
      <c r="DT89" s="216"/>
      <c r="DU89" s="216"/>
      <c r="DV89" s="216"/>
      <c r="DW89" s="1371">
        <f t="shared" si="272"/>
        <v>3.5130801431439531</v>
      </c>
      <c r="DX89" s="216">
        <f t="shared" si="273"/>
        <v>3.5130801431439531</v>
      </c>
      <c r="DY89" s="440">
        <f t="shared" si="274"/>
        <v>10.367644177949074</v>
      </c>
      <c r="DZ89" s="180">
        <f t="shared" si="275"/>
        <v>807789.21452302707</v>
      </c>
      <c r="EA89" s="180">
        <f t="shared" si="276"/>
        <v>146870.76627691402</v>
      </c>
      <c r="EB89" s="180">
        <f t="shared" ca="1" si="198"/>
        <v>40892.252866195617</v>
      </c>
      <c r="EC89" s="180">
        <f t="shared" ca="1" si="199"/>
        <v>126765.9838852064</v>
      </c>
      <c r="ED89" s="180">
        <f t="shared" ca="1" si="200"/>
        <v>1073835.8540649125</v>
      </c>
      <c r="EE89" s="581">
        <f t="shared" si="277"/>
        <v>797706.27903814218</v>
      </c>
      <c r="EF89" s="554">
        <f t="shared" si="278"/>
        <v>145037.5052796622</v>
      </c>
      <c r="EG89" s="554">
        <f t="shared" ca="1" si="201"/>
        <v>20265.137932396025</v>
      </c>
      <c r="EH89" s="554">
        <f t="shared" ca="1" si="202"/>
        <v>62821.927590427673</v>
      </c>
      <c r="EI89" s="561">
        <f t="shared" ca="1" si="279"/>
        <v>1025830.8498406281</v>
      </c>
      <c r="EJ89" s="581">
        <f t="shared" si="333"/>
        <v>10082.935484884889</v>
      </c>
      <c r="EK89" s="554">
        <f t="shared" si="334"/>
        <v>1833.2609972518112</v>
      </c>
      <c r="EL89" s="554">
        <f t="shared" ca="1" si="203"/>
        <v>20627.114933799592</v>
      </c>
      <c r="EM89" s="554">
        <f t="shared" ca="1" si="204"/>
        <v>63944.056294778726</v>
      </c>
      <c r="EN89" s="561">
        <f t="shared" ca="1" si="205"/>
        <v>48005.004224284436</v>
      </c>
      <c r="EO89" s="180">
        <f t="shared" si="280"/>
        <v>3231156.8580921083</v>
      </c>
      <c r="EP89" s="180">
        <f t="shared" si="281"/>
        <v>587483.06510765606</v>
      </c>
      <c r="EQ89" s="180">
        <f t="shared" si="282"/>
        <v>163569.01146478247</v>
      </c>
      <c r="ER89" s="180">
        <f t="shared" si="283"/>
        <v>507063.93554082559</v>
      </c>
      <c r="ES89" s="180">
        <f t="shared" si="284"/>
        <v>4489272.8702053726</v>
      </c>
      <c r="ET89" s="1482">
        <f t="shared" ca="1" si="206"/>
        <v>3190825.1161525687</v>
      </c>
      <c r="EU89" s="180">
        <f t="shared" ca="1" si="207"/>
        <v>580150.02111864882</v>
      </c>
      <c r="EV89" s="180">
        <f t="shared" ca="1" si="208"/>
        <v>81060.551729584098</v>
      </c>
      <c r="EW89" s="180">
        <f t="shared" ca="1" si="209"/>
        <v>251287.71036171069</v>
      </c>
      <c r="EX89" s="555">
        <f t="shared" ca="1" si="182"/>
        <v>4103323.3993625124</v>
      </c>
      <c r="EY89" s="180">
        <f t="shared" ca="1" si="210"/>
        <v>40331.741939539555</v>
      </c>
      <c r="EZ89" s="180">
        <f t="shared" ca="1" si="211"/>
        <v>7333.0439890072448</v>
      </c>
      <c r="FA89" s="180">
        <f t="shared" ca="1" si="212"/>
        <v>82508.459735198368</v>
      </c>
      <c r="FB89" s="180">
        <f t="shared" ca="1" si="213"/>
        <v>255776.2251791149</v>
      </c>
      <c r="FC89" s="180">
        <f t="shared" ca="1" si="214"/>
        <v>385949.47084286017</v>
      </c>
      <c r="FD89" s="262">
        <f>IF(AX89,IF(VLOOKUP(C89,MAIN!$L$17:$M$28,2)="Yes",VLOOKUP(CALC!B89,MAIN!$H$17:$I$20,2),0),0)</f>
        <v>0</v>
      </c>
      <c r="FE89" s="623">
        <f t="shared" si="285"/>
        <v>0</v>
      </c>
      <c r="FF89" s="535">
        <f t="shared" si="286"/>
        <v>0</v>
      </c>
      <c r="FG89" s="535">
        <f t="shared" si="287"/>
        <v>0</v>
      </c>
      <c r="FH89" s="624">
        <f t="shared" si="288"/>
        <v>0</v>
      </c>
      <c r="FI89" s="632">
        <f>IF(AX89,VLOOKUP(CALC!B89,MAIN!$H$17:$K$20,4),0)</f>
        <v>0</v>
      </c>
      <c r="FJ89" s="535">
        <f t="shared" si="289"/>
        <v>0</v>
      </c>
      <c r="FK89" s="648">
        <f t="shared" si="335"/>
        <v>0</v>
      </c>
      <c r="FL89" s="530">
        <f t="shared" ca="1" si="215"/>
        <v>0</v>
      </c>
      <c r="FM89" s="530">
        <f t="shared" ca="1" si="216"/>
        <v>0</v>
      </c>
      <c r="FN89" s="530">
        <f t="shared" ca="1" si="217"/>
        <v>0</v>
      </c>
      <c r="FO89" s="622">
        <f t="shared" ca="1" si="218"/>
        <v>0</v>
      </c>
      <c r="FP89" s="530">
        <f t="shared" ca="1" si="219"/>
        <v>0</v>
      </c>
      <c r="FQ89" s="530">
        <f t="shared" ca="1" si="220"/>
        <v>0</v>
      </c>
      <c r="FR89" s="530">
        <f t="shared" ca="1" si="221"/>
        <v>0</v>
      </c>
      <c r="FS89" s="625">
        <f t="shared" ca="1" si="222"/>
        <v>0</v>
      </c>
      <c r="FT89" s="640">
        <f ca="1">IF(AND(Assumptions!$H$71="Yes",A89&gt;=Assumptions!$H$72,A89&lt;=Assumptions!$H$73),0,IF(AND($A89&gt;=Assumptions!$C$17,$A89&lt;=Assumptions!$C$18),MAX(AZ89*(1+VLOOKUP($C89,WeatherCapacityAdjustment,2))-FL89,0),0))</f>
        <v>51216</v>
      </c>
      <c r="FU89" s="530">
        <f ca="1">IF(AND(Assumptions!$H$71="Yes",A89&gt;=Assumptions!$H$72,A89&lt;=Assumptions!$H$73),0,IF(AND($A89&gt;=Assumptions!$C$17,$A89&lt;=Assumptions!$C$18),MAX(BA89*(1+VLOOKUP($C89,WeatherCapacityAdjustment,2))-FM89,0),0))</f>
        <v>9312</v>
      </c>
      <c r="FV89" s="530">
        <f ca="1">IF(AND(Assumptions!$H$71="Yes",A89&gt;=Assumptions!$H$72,A89&lt;=Assumptions!$H$73),0,IF(AND($A89&gt;=Assumptions!$C$17,$A89&lt;=Assumptions!$C$18),MAX(BB89*(1+VLOOKUP($C89,WeatherCapacityAdjustment,2))-FN89,0),0))</f>
        <v>11640</v>
      </c>
      <c r="FW89" s="622">
        <f ca="1">IF(AND(Assumptions!$H$71="Yes",A89&gt;=Assumptions!$H$72,A89&lt;=Assumptions!$H$73),0,IF(AND($A89&gt;=Assumptions!$C$17,$A89&lt;=Assumptions!$C$18),MAX(BC89*(1+VLOOKUP($C89,WeatherCapacityAdjustment,3))-FO89,0),0))</f>
        <v>36084</v>
      </c>
      <c r="FX89" s="621">
        <f ca="1">IF(AND(Assumptions!$H$71="Yes",A89&gt;=Assumptions!$H$72,A89&lt;=Assumptions!$H$73),0,IF(ET89&gt;0,MAX(BH89*(1+VLOOKUP($C89,WeatherCapacityAdjustment,2))-FP89,0),0))</f>
        <v>204864</v>
      </c>
      <c r="FY89" s="530">
        <f ca="1">IF(AND(Assumptions!$H$71="Yes",A89&gt;=Assumptions!$H$72,A89&lt;=Assumptions!$H$73),0,IF(EU89&gt;0,MAX(BI89*(1+VLOOKUP($C89,WeatherCapacityAdjustment,3))-FQ89,0),0))</f>
        <v>37248</v>
      </c>
      <c r="FZ89" s="530">
        <f ca="1">IF(AND(Assumptions!$H$71="Yes",A89&gt;=Assumptions!$H$72,A89&lt;=Assumptions!$H$73),0,IF(EV89&gt;0,MAX(BJ89*(1+VLOOKUP($C89,WeatherCapacityAdjustment,2))-FR89,0),0))</f>
        <v>46560</v>
      </c>
      <c r="GA89" s="622">
        <f ca="1">IF(AND(Assumptions!$H$71="Yes",A89&gt;=Assumptions!$H$72,A89&lt;=Assumptions!$H$73),0,IF(EW89&gt;0,MAX(BK89*(1+VLOOKUP($C89,WeatherCapacityAdjustment,2))-FS89,0),0))</f>
        <v>144336</v>
      </c>
      <c r="GB89" s="530">
        <f t="shared" ca="1" si="290"/>
        <v>541260</v>
      </c>
      <c r="GC89" s="545">
        <f t="shared" ca="1" si="291"/>
        <v>28.592534846858772</v>
      </c>
      <c r="GD89" s="530">
        <f t="shared" ca="1" si="223"/>
        <v>15475995.411210781</v>
      </c>
      <c r="GE89" s="1485">
        <f t="shared" ca="1" si="224"/>
        <v>766705.6152</v>
      </c>
      <c r="GF89" s="1776">
        <f t="shared" ca="1" si="225"/>
        <v>3066822.4608</v>
      </c>
      <c r="GG89" s="545">
        <f t="shared" si="190"/>
        <v>2.4293392357206876</v>
      </c>
      <c r="GH89" s="622">
        <f t="shared" ca="1" si="191"/>
        <v>9312940.1662636381</v>
      </c>
      <c r="GI89" s="621">
        <f t="shared" ca="1" si="336"/>
        <v>541260</v>
      </c>
      <c r="GJ89" s="638">
        <f t="shared" si="292"/>
        <v>1.9101743999999996</v>
      </c>
      <c r="GK89" s="625">
        <f t="shared" ca="1" si="342"/>
        <v>1033900.9957439998</v>
      </c>
      <c r="GL89" s="640">
        <f t="shared" ca="1" si="226"/>
        <v>0</v>
      </c>
      <c r="GM89" s="530">
        <f t="shared" ca="1" si="227"/>
        <v>0</v>
      </c>
      <c r="GN89" s="530">
        <f t="shared" ca="1" si="228"/>
        <v>0</v>
      </c>
      <c r="GO89" s="622">
        <f t="shared" ca="1" si="229"/>
        <v>0</v>
      </c>
      <c r="GP89" s="530">
        <f t="shared" ca="1" si="293"/>
        <v>0</v>
      </c>
      <c r="GQ89" s="545">
        <f t="shared" ca="1" si="294"/>
        <v>0</v>
      </c>
      <c r="GR89" s="625">
        <f t="shared" ca="1" si="230"/>
        <v>0</v>
      </c>
      <c r="GS89" s="640">
        <f>IF($A89&gt;=BegDate,Assumptions!$C$56*24*($A90-$A89)*(1-VLOOKUP($B89,MAIN!$AA$7:$AM$28,$C89+1))*(1-VLOOKUP($B89,MAIN!$AA$33:$AM$54,$C89+1)),0)*80/168</f>
        <v>257742.85714285713</v>
      </c>
      <c r="GT89" s="1715">
        <f t="shared" si="337"/>
        <v>34.691545941669446</v>
      </c>
      <c r="GU89" s="1715">
        <f>IF($A89&gt;=BegDate,VLOOKUP($A89,GasTable,13)+Assumptions!$C$58,0)</f>
        <v>2.4293392357206876</v>
      </c>
      <c r="GV89" s="1715">
        <f>GU89*Assumptions!$C$57/1000</f>
        <v>17.612709458974983</v>
      </c>
      <c r="GW89" s="625">
        <f>IF(Assumptions!$C$60="Hourly",MAX(0,GS89*(GT89-GV89)),GS89*(GT89-GV89))</f>
        <v>4401948.1117253359</v>
      </c>
      <c r="GX89" s="640">
        <f>IF($A89&gt;=BegDate,Assumptions!$C$56*24*($A90-$A89)*(1-VLOOKUP($B89,MAIN!$AA$7:$AM$28,$C89+1))*(1-VLOOKUP($B89,MAIN!$AA$33:$AM$54,$C89+1)),0)*16/168</f>
        <v>51548.571428571428</v>
      </c>
      <c r="GY89" s="1715">
        <f t="shared" si="338"/>
        <v>34.691545941669446</v>
      </c>
      <c r="GZ89" s="1715">
        <f>IF($A89&gt;=BegDate,VLOOKUP($A89,GasTable,13)+Assumptions!$C$58,0)</f>
        <v>2.4293392357206876</v>
      </c>
      <c r="HA89" s="1715">
        <f>GZ89*Assumptions!$C$57/1000</f>
        <v>17.612709458974983</v>
      </c>
      <c r="HB89" s="625">
        <f>IF(Assumptions!$C$60="Hourly",MAX(0,GX89*(GY89-HA89)),GX89*(GY89-HA89))</f>
        <v>880389.6223450671</v>
      </c>
      <c r="HC89" s="640">
        <f>IF($A89&gt;=BegDate,Assumptions!$C$56*24*($A90-$A89)*(1-VLOOKUP($B89,MAIN!$AA$7:$AM$28,$C89+1))*(1-VLOOKUP($B89,MAIN!$AA$33:$AM$54,$C89+1)),0)*16/168</f>
        <v>51548.571428571428</v>
      </c>
      <c r="HD89" s="1715">
        <f t="shared" si="339"/>
        <v>20.857203702220843</v>
      </c>
      <c r="HE89" s="1715">
        <f>IF($A89&gt;=BegDate,VLOOKUP($A89,GasTable,13)+Assumptions!$C$58,0)</f>
        <v>2.4293392357206876</v>
      </c>
      <c r="HF89" s="1715">
        <f>HE89*Assumptions!$C$57/1000</f>
        <v>17.612709458974983</v>
      </c>
      <c r="HG89" s="625">
        <f>IF(Assumptions!$C$60="Hourly",MAX(0,HC89*(HD89-HF89)),HC89*(HD89-HF89))</f>
        <v>167249.04324754802</v>
      </c>
      <c r="HH89" s="640">
        <f>IF($A89&gt;=BegDate,Assumptions!$C$56*24*($A90-$A89)*(1-VLOOKUP($B89,MAIN!$AA$7:$AM$28,$C89+1))*(1-VLOOKUP($B89,MAIN!$AA$33:$AM$54,$C89+1)),0)*56/168</f>
        <v>180420</v>
      </c>
      <c r="HI89" s="1715">
        <f t="shared" si="340"/>
        <v>20.857203702220843</v>
      </c>
      <c r="HJ89" s="1715">
        <f>IF($A89&gt;=BegDate,VLOOKUP($A89,GasTable,13)+Assumptions!$C$58,0)</f>
        <v>2.4293392357206876</v>
      </c>
      <c r="HK89" s="1715">
        <f>HJ89*Assumptions!$C$57/1000</f>
        <v>17.612709458974983</v>
      </c>
      <c r="HL89" s="625">
        <f>IF(Assumptions!$C$60="Hourly",MAX(0,HH89*(HI89-HK89)),HH89*(HI89-HK89))</f>
        <v>585371.65136641811</v>
      </c>
      <c r="HM89" s="640">
        <f>IF(AND(Assumptions!$H$71="Yes",A89&gt;=Assumptions!$H$72,A89&lt;=Assumptions!$H$73),Assumptions!$H$74*Assumptions!$C$9*1000,0)</f>
        <v>0</v>
      </c>
      <c r="HN89" s="530"/>
      <c r="HO89" s="545"/>
      <c r="HP89" s="545"/>
      <c r="HQ89" s="545"/>
      <c r="HR89" s="545"/>
      <c r="HS89" s="545"/>
      <c r="HT89" s="545"/>
      <c r="HU89" s="545"/>
      <c r="HV89" s="545"/>
      <c r="HW89" s="545"/>
      <c r="HX89" s="545"/>
      <c r="HY89" s="545"/>
      <c r="HZ89" s="545"/>
      <c r="IA89" s="545"/>
      <c r="IB89" s="545"/>
      <c r="IC89" s="545"/>
      <c r="ID89" s="545"/>
      <c r="IE89" s="545"/>
      <c r="IF89" s="545"/>
      <c r="IG89" s="545"/>
      <c r="IH89" s="545"/>
      <c r="II89" s="1464"/>
      <c r="IJ89" s="1463"/>
      <c r="IK89" s="1463"/>
    </row>
    <row r="90" spans="1:245">
      <c r="A90" s="177">
        <f t="shared" si="295"/>
        <v>38869</v>
      </c>
      <c r="B90" s="349">
        <f t="shared" si="296"/>
        <v>2006</v>
      </c>
      <c r="C90" s="15">
        <f t="shared" si="236"/>
        <v>6</v>
      </c>
      <c r="D90" s="612" t="str">
        <f t="shared" si="297"/>
        <v/>
      </c>
      <c r="E90" s="609">
        <f t="shared" si="237"/>
        <v>38869</v>
      </c>
      <c r="F90" s="614">
        <f t="shared" si="238"/>
        <v>38898</v>
      </c>
      <c r="G90" s="1349">
        <v>0</v>
      </c>
      <c r="H90" s="152">
        <f t="shared" si="341"/>
        <v>1</v>
      </c>
      <c r="I90" s="154">
        <f>IF(Assumptions!$L$25=4,VLOOKUP($A90,'Henwood Reference'!$E$9:$R$320,10),(VLOOKUP($A90,PriceTable,2,0)+IF(BasisNumber&lt;&gt;1,VLOOKUP($A90,BasisTable,2,0),0)+I$1)/(1-I$2))</f>
        <v>31.702373032217015</v>
      </c>
      <c r="J90" s="154">
        <f>IF(Assumptions!$L$25=4,VLOOKUP($A90,'Henwood Reference'!$E$9:$R$320,10),(VLOOKUP($A90,PriceTable,3,0)+IF(BasisNumber&lt;&gt;1,VLOOKUP($A90,BasisTable,2,0),0)+J$1)/(1-J$2))</f>
        <v>31.702373032217015</v>
      </c>
      <c r="K90" s="154">
        <f>IF(Assumptions!$L$25=4,VLOOKUP($A90,'Henwood Reference'!$E$9:$R$320,10),(VLOOKUP($A90,PriceTable,4,0)+IF(BasisNumber&lt;&gt;1,VLOOKUP($A90,BasisTable,2,0),0)+K$1)/(1-K$2))</f>
        <v>31.702373032217015</v>
      </c>
      <c r="L90" s="474">
        <f>IF(Assumptions!$L$25=4,VLOOKUP($A90,'Henwood Reference'!$E$9:$R$320,10),(VLOOKUP($A90,PriceTableWeekend,2,0)+IF(BasisNumber&lt;&gt;1,VLOOKUP($A90,BasisTable,2,0),0)+L$1)/(1-L$2))</f>
        <v>31.702373032217015</v>
      </c>
      <c r="M90" s="154">
        <f>IF(Assumptions!$L$25=4,VLOOKUP($A90,'Henwood Reference'!$E$9:$R$320,10),(VLOOKUP($A90,PriceTableWeekend,3,0)+IF(BasisNumber&lt;&gt;1,VLOOKUP($A90,BasisTable,2,0),0)+M$1)/(1-M$2))</f>
        <v>31.702373032217015</v>
      </c>
      <c r="N90" s="156">
        <f>IF(Assumptions!$L$25=4,VLOOKUP($A90,'Henwood Reference'!$E$9:$R$320,10),(VLOOKUP($A90,PriceTableWeekend,4,0)+IF(BasisNumber&lt;&gt;1,VLOOKUP($A90,BasisTable,2,0),0)+N$1)/(1-N$2))</f>
        <v>31.702373032217015</v>
      </c>
      <c r="O90" s="154">
        <f>IF(Assumptions!$L$25=4,VLOOKUP($A90,'Henwood Reference'!$E$9:$R$320,11),(VLOOKUP($A90,PriceTableWeekend,6,0)+IF(BasisNumber&lt;&gt;1,VLOOKUP($A90,BasisTable,3,0),0)+O$1)/(1-O$2))</f>
        <v>18.56264777297044</v>
      </c>
      <c r="P90" s="154">
        <f>IF(Assumptions!$L$25=4,VLOOKUP($A90,'Henwood Reference'!$E$9:$R$320,11),(VLOOKUP($A90,PriceTableWeekend,7,0)+IF(BasisNumber&lt;&gt;1,VLOOKUP($A90,BasisTable,3,0),0)+P$1)/(1-P$2))</f>
        <v>18.56264777297044</v>
      </c>
      <c r="Q90" s="156">
        <f>IF(Assumptions!$L$25=4,VLOOKUP($A90,'Henwood Reference'!$E$9:$R$320,11),(VLOOKUP($A90,PriceTableWeekend,8,0)+IF(BasisNumber&lt;&gt;1,VLOOKUP($A90,BasisTable,3,0),0)+Q$1)/(1-Q$2))</f>
        <v>18.56264777297044</v>
      </c>
      <c r="R90" s="154">
        <f>IF(Assumptions!$L$25=4,VLOOKUP($A90,'Henwood Reference'!$E$9:$R$320,11),(VLOOKUP($A90,PriceTable,6,0)+IF(BasisNumber&lt;&gt;1,VLOOKUP($A90,BasisTable,3,0),0)+R$1)/(1-R$2))</f>
        <v>18.56264777297044</v>
      </c>
      <c r="S90" s="154">
        <f>IF(Assumptions!$L$25=4,VLOOKUP($A90,'Henwood Reference'!$E$9:$R$320,11),(VLOOKUP($A90,PriceTable,7,0)+IF(BasisNumber&lt;&gt;1,VLOOKUP($A90,BasisTable,3,0),0)+S$1)/(1-S$2))</f>
        <v>18.56264777297044</v>
      </c>
      <c r="T90" s="155">
        <f>IF(Assumptions!$L$25=4,VLOOKUP($A90,'Henwood Reference'!$E$9:$R$320,11),(VLOOKUP($A90,PriceTable,8,0)+IF(BasisNumber&lt;&gt;1,VLOOKUP($A90,BasisTable,3,0),0)+T$1)/(1-T$2))</f>
        <v>18.56264777297044</v>
      </c>
      <c r="U90" s="173">
        <f t="shared" si="298"/>
        <v>0.14000000000000001</v>
      </c>
      <c r="V90" s="173">
        <f t="shared" si="299"/>
        <v>0.15</v>
      </c>
      <c r="W90" s="174">
        <f t="shared" si="300"/>
        <v>0.16</v>
      </c>
      <c r="X90" s="173">
        <f t="shared" si="301"/>
        <v>0.14000000000000001</v>
      </c>
      <c r="Y90" s="173">
        <f t="shared" si="302"/>
        <v>0.15</v>
      </c>
      <c r="Z90" s="174">
        <f t="shared" si="303"/>
        <v>0.16</v>
      </c>
      <c r="AA90" s="173">
        <f t="shared" si="304"/>
        <v>0.09</v>
      </c>
      <c r="AB90" s="173">
        <f t="shared" si="305"/>
        <v>0.11</v>
      </c>
      <c r="AC90" s="174">
        <f t="shared" si="306"/>
        <v>0.13</v>
      </c>
      <c r="AD90" s="173">
        <f t="shared" si="307"/>
        <v>0.09</v>
      </c>
      <c r="AE90" s="173">
        <f t="shared" si="308"/>
        <v>0.11</v>
      </c>
      <c r="AF90" s="174">
        <f t="shared" si="309"/>
        <v>0.13</v>
      </c>
      <c r="AG90" s="173">
        <f t="shared" si="310"/>
        <v>-0.35</v>
      </c>
      <c r="AH90" s="173">
        <f t="shared" si="311"/>
        <v>0.65</v>
      </c>
      <c r="AI90" s="174">
        <f t="shared" si="312"/>
        <v>0.2</v>
      </c>
      <c r="AJ90" s="173">
        <f t="shared" si="313"/>
        <v>-0.35</v>
      </c>
      <c r="AK90" s="173">
        <f t="shared" si="314"/>
        <v>0.65</v>
      </c>
      <c r="AL90" s="174">
        <f t="shared" si="315"/>
        <v>0.2</v>
      </c>
      <c r="AM90" s="173">
        <f t="shared" si="316"/>
        <v>-0.01</v>
      </c>
      <c r="AN90" s="173">
        <f t="shared" si="317"/>
        <v>0.16</v>
      </c>
      <c r="AO90" s="174">
        <f t="shared" si="318"/>
        <v>0.01</v>
      </c>
      <c r="AP90" s="173">
        <f t="shared" si="319"/>
        <v>-0.01</v>
      </c>
      <c r="AQ90" s="173">
        <f t="shared" si="320"/>
        <v>0.16</v>
      </c>
      <c r="AR90" s="175">
        <f t="shared" si="321"/>
        <v>0.01</v>
      </c>
      <c r="AS90" s="521">
        <f t="shared" si="322"/>
        <v>0.5</v>
      </c>
      <c r="AT90" s="349">
        <f t="shared" si="239"/>
        <v>22</v>
      </c>
      <c r="AU90" s="159">
        <f t="shared" si="240"/>
        <v>4</v>
      </c>
      <c r="AV90" s="159">
        <f t="shared" si="241"/>
        <v>4</v>
      </c>
      <c r="AW90" s="159">
        <f t="shared" si="323"/>
        <v>0</v>
      </c>
      <c r="AX90" s="15">
        <f t="shared" si="242"/>
        <v>30</v>
      </c>
      <c r="AY90" s="607">
        <f>IF(E90="",0,MIN((1-(1-VLOOKUP(B90,MAIN!$AA$7:$AM$28,C90+1))*(1-VLOOKUP(B90,MAIN!$AA$33:$AM$54,C90+1))),1))</f>
        <v>3.0000000000000027E-2</v>
      </c>
      <c r="AZ90" s="337">
        <v>51216</v>
      </c>
      <c r="BA90" s="509">
        <v>9312</v>
      </c>
      <c r="BB90" s="509">
        <v>9312</v>
      </c>
      <c r="BC90" s="511">
        <v>34920</v>
      </c>
      <c r="BD90" s="153">
        <v>0.97000000722706314</v>
      </c>
      <c r="BE90" s="474">
        <v>0.97000000722706314</v>
      </c>
      <c r="BF90" s="474">
        <v>0.97000000722706314</v>
      </c>
      <c r="BG90" s="515">
        <v>0.97000000722706314</v>
      </c>
      <c r="BH90" s="262">
        <v>204864</v>
      </c>
      <c r="BI90" s="509">
        <v>37248</v>
      </c>
      <c r="BJ90" s="509">
        <v>37248</v>
      </c>
      <c r="BK90" s="511">
        <v>139680</v>
      </c>
      <c r="BL90" s="153">
        <v>0.97000000722706314</v>
      </c>
      <c r="BM90" s="474">
        <v>0.97000000722706314</v>
      </c>
      <c r="BN90" s="474">
        <v>0.97000000722706314</v>
      </c>
      <c r="BO90" s="474">
        <v>0.97000000722706314</v>
      </c>
      <c r="BP90" s="261">
        <f t="shared" si="324"/>
        <v>69840</v>
      </c>
      <c r="BQ90" s="578">
        <f t="shared" si="325"/>
        <v>104760</v>
      </c>
      <c r="BR90" s="259">
        <f t="shared" si="326"/>
        <v>279360</v>
      </c>
      <c r="BS90" s="578">
        <f t="shared" si="327"/>
        <v>419040</v>
      </c>
      <c r="BT90" s="216">
        <f t="shared" si="328"/>
        <v>6.1300479123887746</v>
      </c>
      <c r="BU90" s="218">
        <f t="shared" si="243"/>
        <v>31.702373268418096</v>
      </c>
      <c r="BV90" s="216">
        <f t="shared" si="244"/>
        <v>31.702373268418096</v>
      </c>
      <c r="BW90" s="216">
        <f t="shared" si="245"/>
        <v>18.562647911272943</v>
      </c>
      <c r="BX90" s="216">
        <f t="shared" si="329"/>
        <v>18.562647911272943</v>
      </c>
      <c r="BY90" s="216">
        <f t="shared" si="246"/>
        <v>29.950409887465412</v>
      </c>
      <c r="BZ90" s="216">
        <f t="shared" si="247"/>
        <v>26.154489228734587</v>
      </c>
      <c r="CA90" s="264">
        <f t="shared" si="248"/>
        <v>31.702373268418096</v>
      </c>
      <c r="CB90" s="216">
        <f t="shared" si="249"/>
        <v>31.702373268418096</v>
      </c>
      <c r="CC90" s="216">
        <f t="shared" si="250"/>
        <v>18.562647911272943</v>
      </c>
      <c r="CD90" s="216">
        <f t="shared" si="330"/>
        <v>18.562647911272943</v>
      </c>
      <c r="CE90" s="216">
        <f t="shared" si="251"/>
        <v>29.950409887465412</v>
      </c>
      <c r="CF90" s="571">
        <f t="shared" si="252"/>
        <v>26.154489228734587</v>
      </c>
      <c r="CG90" s="573">
        <f t="shared" si="253"/>
        <v>0.15</v>
      </c>
      <c r="CH90" s="219">
        <f t="shared" si="254"/>
        <v>0.15</v>
      </c>
      <c r="CI90" s="219">
        <f t="shared" si="255"/>
        <v>0.11</v>
      </c>
      <c r="CJ90" s="219">
        <f t="shared" si="256"/>
        <v>0.1467486777006429</v>
      </c>
      <c r="CK90" s="219">
        <f t="shared" si="257"/>
        <v>0.1467486777006429</v>
      </c>
      <c r="CL90" s="219">
        <f t="shared" si="258"/>
        <v>0.11</v>
      </c>
      <c r="CM90" s="219">
        <f t="shared" si="259"/>
        <v>0.12755347255789581</v>
      </c>
      <c r="CN90" s="569">
        <f t="shared" si="260"/>
        <v>0.12755347255789581</v>
      </c>
      <c r="CO90" s="264">
        <f t="shared" ref="CO90:CO153" si="343">IF(OR(BQ90,BS90),VLOOKUP(A90,GasTable,13)*HeatRatePeak*(1+VLOOKUP($B90,HeatRateDegradation,$C90+1))/1000,0)</f>
        <v>17.391850273503042</v>
      </c>
      <c r="CP90" s="216">
        <f t="shared" si="331"/>
        <v>17.391850273503042</v>
      </c>
      <c r="CQ90" s="216">
        <f t="shared" ca="1" si="192"/>
        <v>22.360950351646771</v>
      </c>
      <c r="CR90" s="216">
        <f t="shared" ca="1" si="193"/>
        <v>22.360950351646771</v>
      </c>
      <c r="CS90" s="1626">
        <f t="shared" ca="1" si="194"/>
        <v>19.489914750941505</v>
      </c>
      <c r="CT90" s="216">
        <f t="shared" si="332"/>
        <v>17.391850273503042</v>
      </c>
      <c r="CU90" s="575">
        <f t="shared" si="261"/>
        <v>0.16</v>
      </c>
      <c r="CV90" s="154">
        <f t="shared" si="262"/>
        <v>0.5</v>
      </c>
      <c r="CW90" s="216">
        <f>IF(OR($BQ90,$BS90),SpreadOptPowerMargin,0)*((1+Assumptions!$C$26)^($B90-YEAR(Assumptions!$C$17)))</f>
        <v>1.9101743999999998</v>
      </c>
      <c r="CX90" s="216">
        <f>IF(OR($BQ90,$BS90),SpreadOptPowerMargin,0)*((1+Assumptions!$C$26)^($B90-YEAR(Assumptions!$C$17)))</f>
        <v>1.9101743999999998</v>
      </c>
      <c r="CY90" s="216">
        <f>IF(OR($BQ90,$BS90),SpreadOptPowerMargin,0)*((1+Assumptions!$C$26)^($B90-YEAR(Assumptions!$C$17)))</f>
        <v>1.9101743999999998</v>
      </c>
      <c r="CZ90" s="216">
        <f>IF(OR($BQ90,$BS90),SpreadOptPowerMargin,0)*((1+Assumptions!$C$26)^($B90-YEAR(Assumptions!$C$17)))</f>
        <v>1.9101743999999998</v>
      </c>
      <c r="DA90" s="440">
        <f t="shared" si="263"/>
        <v>1.9101744000000001</v>
      </c>
      <c r="DB90" s="479">
        <f t="shared" si="264"/>
        <v>0.15</v>
      </c>
      <c r="DC90" s="479">
        <f t="shared" si="265"/>
        <v>0.15</v>
      </c>
      <c r="DD90" s="479">
        <f t="shared" si="266"/>
        <v>0.11</v>
      </c>
      <c r="DE90" s="479">
        <f t="shared" si="267"/>
        <v>0.11</v>
      </c>
      <c r="DF90" s="479">
        <f t="shared" si="268"/>
        <v>0.12755347255789581</v>
      </c>
      <c r="DG90" s="574">
        <f t="shared" si="269"/>
        <v>0.12755347255789581</v>
      </c>
      <c r="DH90" s="216">
        <f t="shared" si="270"/>
        <v>12.762885437417253</v>
      </c>
      <c r="DI90" s="216">
        <f t="shared" si="271"/>
        <v>12.762885437417253</v>
      </c>
      <c r="DJ90" s="216">
        <f t="shared" ca="1" si="195"/>
        <v>0.79307765421695708</v>
      </c>
      <c r="DK90" s="216">
        <f t="shared" ca="1" si="196"/>
        <v>0.79307765421695708</v>
      </c>
      <c r="DL90" s="216">
        <f t="shared" ca="1" si="197"/>
        <v>6.1354552454698288</v>
      </c>
      <c r="DM90" s="216"/>
      <c r="DN90" s="216"/>
      <c r="DO90" s="216"/>
      <c r="DP90" s="216"/>
      <c r="DQ90" s="216"/>
      <c r="DR90" s="216"/>
      <c r="DS90" s="216"/>
      <c r="DT90" s="216"/>
      <c r="DU90" s="216"/>
      <c r="DV90" s="216"/>
      <c r="DW90" s="1371">
        <f t="shared" si="272"/>
        <v>2.0727085033006905</v>
      </c>
      <c r="DX90" s="216">
        <f t="shared" si="273"/>
        <v>2.0727085033006905</v>
      </c>
      <c r="DY90" s="440">
        <f t="shared" si="274"/>
        <v>8.249255176345816</v>
      </c>
      <c r="DZ90" s="180">
        <f t="shared" si="275"/>
        <v>653663.94056276209</v>
      </c>
      <c r="EA90" s="180">
        <f t="shared" si="276"/>
        <v>118847.98919322947</v>
      </c>
      <c r="EB90" s="180">
        <f t="shared" ca="1" si="198"/>
        <v>7385.1391160683042</v>
      </c>
      <c r="EC90" s="180">
        <f t="shared" ca="1" si="199"/>
        <v>27694.271685256143</v>
      </c>
      <c r="ED90" s="180">
        <f t="shared" ca="1" si="200"/>
        <v>642750.29151541926</v>
      </c>
      <c r="EE90" s="581">
        <f t="shared" si="277"/>
        <v>635096.25363716949</v>
      </c>
      <c r="EF90" s="554">
        <f t="shared" si="278"/>
        <v>115472.04611584899</v>
      </c>
      <c r="EG90" s="554">
        <f t="shared" ca="1" si="201"/>
        <v>0</v>
      </c>
      <c r="EH90" s="554">
        <f t="shared" ca="1" si="202"/>
        <v>0</v>
      </c>
      <c r="EI90" s="561">
        <f t="shared" ca="1" si="279"/>
        <v>498070.95214960334</v>
      </c>
      <c r="EJ90" s="581">
        <f t="shared" si="333"/>
        <v>18567.686925592599</v>
      </c>
      <c r="EK90" s="554">
        <f t="shared" si="334"/>
        <v>3375.9430773804779</v>
      </c>
      <c r="EL90" s="554">
        <f t="shared" ca="1" si="203"/>
        <v>7385.1391160683042</v>
      </c>
      <c r="EM90" s="554">
        <f t="shared" ca="1" si="204"/>
        <v>27694.271685256143</v>
      </c>
      <c r="EN90" s="561">
        <f t="shared" ca="1" si="205"/>
        <v>144679.33936581592</v>
      </c>
      <c r="EO90" s="180">
        <f t="shared" si="280"/>
        <v>2614655.7622510483</v>
      </c>
      <c r="EP90" s="180">
        <f t="shared" si="281"/>
        <v>475391.95677291788</v>
      </c>
      <c r="EQ90" s="180">
        <f t="shared" si="282"/>
        <v>77204.246330944123</v>
      </c>
      <c r="ER90" s="180">
        <f t="shared" si="283"/>
        <v>289515.92374104046</v>
      </c>
      <c r="ES90" s="180">
        <f t="shared" si="284"/>
        <v>3456767.8890959509</v>
      </c>
      <c r="ET90" s="1482">
        <f t="shared" ca="1" si="206"/>
        <v>2540385.014548678</v>
      </c>
      <c r="EU90" s="180">
        <f t="shared" ca="1" si="207"/>
        <v>461888.18446339597</v>
      </c>
      <c r="EV90" s="180">
        <f t="shared" ca="1" si="208"/>
        <v>0</v>
      </c>
      <c r="EW90" s="180">
        <f t="shared" ca="1" si="209"/>
        <v>0</v>
      </c>
      <c r="EX90" s="555">
        <f t="shared" ca="1" si="182"/>
        <v>3002273.1990120737</v>
      </c>
      <c r="EY90" s="180">
        <f t="shared" ca="1" si="210"/>
        <v>74270.747702370398</v>
      </c>
      <c r="EZ90" s="180">
        <f t="shared" ca="1" si="211"/>
        <v>13503.772309521912</v>
      </c>
      <c r="FA90" s="180">
        <f t="shared" ca="1" si="212"/>
        <v>77204.246330944123</v>
      </c>
      <c r="FB90" s="180">
        <f t="shared" ca="1" si="213"/>
        <v>289515.92374104046</v>
      </c>
      <c r="FC90" s="180">
        <f t="shared" ca="1" si="214"/>
        <v>454494.69008387718</v>
      </c>
      <c r="FD90" s="262">
        <f>IF(AX90,IF(VLOOKUP(C90,MAIN!$L$17:$M$28,2)="Yes",VLOOKUP(CALC!B90,MAIN!$H$17:$I$20,2),0),0)</f>
        <v>0</v>
      </c>
      <c r="FE90" s="623">
        <f t="shared" si="285"/>
        <v>0</v>
      </c>
      <c r="FF90" s="535">
        <f t="shared" si="286"/>
        <v>0</v>
      </c>
      <c r="FG90" s="535">
        <f t="shared" si="287"/>
        <v>0</v>
      </c>
      <c r="FH90" s="624">
        <f t="shared" si="288"/>
        <v>0</v>
      </c>
      <c r="FI90" s="632">
        <f>IF(AX90,VLOOKUP(CALC!B90,MAIN!$H$17:$K$20,4),0)</f>
        <v>0</v>
      </c>
      <c r="FJ90" s="535">
        <f t="shared" si="289"/>
        <v>0</v>
      </c>
      <c r="FK90" s="648">
        <f t="shared" si="335"/>
        <v>0</v>
      </c>
      <c r="FL90" s="530">
        <f t="shared" ca="1" si="215"/>
        <v>0</v>
      </c>
      <c r="FM90" s="530">
        <f t="shared" ca="1" si="216"/>
        <v>0</v>
      </c>
      <c r="FN90" s="530">
        <f t="shared" ca="1" si="217"/>
        <v>0</v>
      </c>
      <c r="FO90" s="622">
        <f t="shared" ca="1" si="218"/>
        <v>0</v>
      </c>
      <c r="FP90" s="530">
        <f t="shared" ca="1" si="219"/>
        <v>0</v>
      </c>
      <c r="FQ90" s="530">
        <f t="shared" ca="1" si="220"/>
        <v>0</v>
      </c>
      <c r="FR90" s="530">
        <f t="shared" ca="1" si="221"/>
        <v>0</v>
      </c>
      <c r="FS90" s="625">
        <f t="shared" ca="1" si="222"/>
        <v>0</v>
      </c>
      <c r="FT90" s="640">
        <f ca="1">IF(AND(Assumptions!$H$71="Yes",A90&gt;=Assumptions!$H$72,A90&lt;=Assumptions!$H$73),0,IF(AND($A90&gt;=Assumptions!$C$17,$A90&lt;=Assumptions!$C$18),MAX(AZ90*(1+VLOOKUP($C90,WeatherCapacityAdjustment,2))-FL90,0),0))</f>
        <v>51216</v>
      </c>
      <c r="FU90" s="530">
        <f ca="1">IF(AND(Assumptions!$H$71="Yes",A90&gt;=Assumptions!$H$72,A90&lt;=Assumptions!$H$73),0,IF(AND($A90&gt;=Assumptions!$C$17,$A90&lt;=Assumptions!$C$18),MAX(BA90*(1+VLOOKUP($C90,WeatherCapacityAdjustment,2))-FM90,0),0))</f>
        <v>9312</v>
      </c>
      <c r="FV90" s="530">
        <f ca="1">IF(AND(Assumptions!$H$71="Yes",A90&gt;=Assumptions!$H$72,A90&lt;=Assumptions!$H$73),0,IF(AND($A90&gt;=Assumptions!$C$17,$A90&lt;=Assumptions!$C$18),MAX(BB90*(1+VLOOKUP($C90,WeatherCapacityAdjustment,2))-FN90,0),0))</f>
        <v>9312</v>
      </c>
      <c r="FW90" s="622">
        <f ca="1">IF(AND(Assumptions!$H$71="Yes",A90&gt;=Assumptions!$H$72,A90&lt;=Assumptions!$H$73),0,IF(AND($A90&gt;=Assumptions!$C$17,$A90&lt;=Assumptions!$C$18),MAX(BC90*(1+VLOOKUP($C90,WeatherCapacityAdjustment,3))-FO90,0),0))</f>
        <v>34920</v>
      </c>
      <c r="FX90" s="621">
        <f ca="1">IF(AND(Assumptions!$H$71="Yes",A90&gt;=Assumptions!$H$72,A90&lt;=Assumptions!$H$73),0,IF(ET90&gt;0,MAX(BH90*(1+VLOOKUP($C90,WeatherCapacityAdjustment,2))-FP90,0),0))</f>
        <v>204864</v>
      </c>
      <c r="FY90" s="530">
        <f ca="1">IF(AND(Assumptions!$H$71="Yes",A90&gt;=Assumptions!$H$72,A90&lt;=Assumptions!$H$73),0,IF(EU90&gt;0,MAX(BI90*(1+VLOOKUP($C90,WeatherCapacityAdjustment,3))-FQ90,0),0))</f>
        <v>37248</v>
      </c>
      <c r="FZ90" s="530">
        <f ca="1">IF(AND(Assumptions!$H$71="Yes",A90&gt;=Assumptions!$H$72,A90&lt;=Assumptions!$H$73),0,IF(EV90&gt;0,MAX(BJ90*(1+VLOOKUP($C90,WeatherCapacityAdjustment,2))-FR90,0),0))</f>
        <v>0</v>
      </c>
      <c r="GA90" s="622">
        <f ca="1">IF(AND(Assumptions!$H$71="Yes",A90&gt;=Assumptions!$H$72,A90&lt;=Assumptions!$H$73),0,IF(EW90&gt;0,MAX(BK90*(1+VLOOKUP($C90,WeatherCapacityAdjustment,2))-FS90,0),0))</f>
        <v>0</v>
      </c>
      <c r="GB90" s="530">
        <f t="shared" ca="1" si="290"/>
        <v>346872</v>
      </c>
      <c r="GC90" s="545">
        <f t="shared" ca="1" si="291"/>
        <v>30.026837820191535</v>
      </c>
      <c r="GD90" s="530">
        <f t="shared" ca="1" si="223"/>
        <v>10415469.288365476</v>
      </c>
      <c r="GE90" s="1485">
        <f t="shared" ca="1" si="224"/>
        <v>831826.20047999988</v>
      </c>
      <c r="GF90" s="1776">
        <f t="shared" ca="1" si="225"/>
        <v>1715494.2604799999</v>
      </c>
      <c r="GG90" s="545">
        <f t="shared" si="190"/>
        <v>2.4545553724208804</v>
      </c>
      <c r="GH90" s="622">
        <f t="shared" ca="1" si="191"/>
        <v>6252539.1227270011</v>
      </c>
      <c r="GI90" s="621">
        <f t="shared" ca="1" si="336"/>
        <v>346872</v>
      </c>
      <c r="GJ90" s="638">
        <f t="shared" si="292"/>
        <v>1.9101744000000001</v>
      </c>
      <c r="GK90" s="625">
        <f t="shared" ca="1" si="342"/>
        <v>662586.01447679999</v>
      </c>
      <c r="GL90" s="640">
        <f t="shared" ca="1" si="226"/>
        <v>0</v>
      </c>
      <c r="GM90" s="530">
        <f t="shared" ca="1" si="227"/>
        <v>0</v>
      </c>
      <c r="GN90" s="530">
        <f t="shared" ca="1" si="228"/>
        <v>0</v>
      </c>
      <c r="GO90" s="622">
        <f t="shared" ca="1" si="229"/>
        <v>0</v>
      </c>
      <c r="GP90" s="530">
        <f t="shared" ca="1" si="293"/>
        <v>0</v>
      </c>
      <c r="GQ90" s="545">
        <f t="shared" ca="1" si="294"/>
        <v>0</v>
      </c>
      <c r="GR90" s="625">
        <f t="shared" ca="1" si="230"/>
        <v>0</v>
      </c>
      <c r="GS90" s="640">
        <f>IF($A90&gt;=BegDate,Assumptions!$C$56*24*($A91-$A90)*(1-VLOOKUP($B90,MAIN!$AA$7:$AM$28,$C90+1))*(1-VLOOKUP($B90,MAIN!$AA$33:$AM$54,$C90+1)),0)*80/168</f>
        <v>249428.57142857142</v>
      </c>
      <c r="GT90" s="1715">
        <f t="shared" si="337"/>
        <v>31.702373032217015</v>
      </c>
      <c r="GU90" s="1715">
        <f>IF($A90&gt;=BegDate,VLOOKUP($A90,GasTable,13)+Assumptions!$C$58,0)</f>
        <v>2.4545553724208804</v>
      </c>
      <c r="GV90" s="1715">
        <f>GU90*Assumptions!$C$57/1000</f>
        <v>17.795526450051383</v>
      </c>
      <c r="GW90" s="625">
        <f>IF(Assumptions!$C$60="Hourly",MAX(0,GS90*(GT90-GV90)),GS90*(GT90-GV90))</f>
        <v>3468764.8760658843</v>
      </c>
      <c r="GX90" s="640">
        <f>IF($A90&gt;=BegDate,Assumptions!$C$56*24*($A91-$A90)*(1-VLOOKUP($B90,MAIN!$AA$7:$AM$28,$C90+1))*(1-VLOOKUP($B90,MAIN!$AA$33:$AM$54,$C90+1)),0)*16/168</f>
        <v>49885.714285714283</v>
      </c>
      <c r="GY90" s="1715">
        <f t="shared" si="338"/>
        <v>31.702373032217015</v>
      </c>
      <c r="GZ90" s="1715">
        <f>IF($A90&gt;=BegDate,VLOOKUP($A90,GasTable,13)+Assumptions!$C$58,0)</f>
        <v>2.4545553724208804</v>
      </c>
      <c r="HA90" s="1715">
        <f>GZ90*Assumptions!$C$57/1000</f>
        <v>17.795526450051383</v>
      </c>
      <c r="HB90" s="625">
        <f>IF(Assumptions!$C$60="Hourly",MAX(0,GX90*(GY90-HA90)),GX90*(GY90-HA90))</f>
        <v>693752.97521317692</v>
      </c>
      <c r="HC90" s="640">
        <f>IF($A90&gt;=BegDate,Assumptions!$C$56*24*($A91-$A90)*(1-VLOOKUP($B90,MAIN!$AA$7:$AM$28,$C90+1))*(1-VLOOKUP($B90,MAIN!$AA$33:$AM$54,$C90+1)),0)*16/168</f>
        <v>49885.714285714283</v>
      </c>
      <c r="HD90" s="1715">
        <f t="shared" si="339"/>
        <v>18.56264777297044</v>
      </c>
      <c r="HE90" s="1715">
        <f>IF($A90&gt;=BegDate,VLOOKUP($A90,GasTable,13)+Assumptions!$C$58,0)</f>
        <v>2.4545553724208804</v>
      </c>
      <c r="HF90" s="1715">
        <f>HE90*Assumptions!$C$57/1000</f>
        <v>17.795526450051383</v>
      </c>
      <c r="HG90" s="625">
        <f>IF(Assumptions!$C$60="Hourly",MAX(0,HC90*(HD90-HF90)),HC90*(HD90-HF90))</f>
        <v>38268.395137619205</v>
      </c>
      <c r="HH90" s="640">
        <f>IF($A90&gt;=BegDate,Assumptions!$C$56*24*($A91-$A90)*(1-VLOOKUP($B90,MAIN!$AA$7:$AM$28,$C90+1))*(1-VLOOKUP($B90,MAIN!$AA$33:$AM$54,$C90+1)),0)*56/168</f>
        <v>174600</v>
      </c>
      <c r="HI90" s="1715">
        <f t="shared" si="340"/>
        <v>18.56264777297044</v>
      </c>
      <c r="HJ90" s="1715">
        <f>IF($A90&gt;=BegDate,VLOOKUP($A90,GasTable,13)+Assumptions!$C$58,0)</f>
        <v>2.4545553724208804</v>
      </c>
      <c r="HK90" s="1715">
        <f>HJ90*Assumptions!$C$57/1000</f>
        <v>17.795526450051383</v>
      </c>
      <c r="HL90" s="625">
        <f>IF(Assumptions!$C$60="Hourly",MAX(0,HH90*(HI90-HK90)),HH90*(HI90-HK90))</f>
        <v>133939.38298166724</v>
      </c>
      <c r="HM90" s="640">
        <f>IF(AND(Assumptions!$H$71="Yes",A90&gt;=Assumptions!$H$72,A90&lt;=Assumptions!$H$73),Assumptions!$H$74*Assumptions!$C$9*1000,0)</f>
        <v>0</v>
      </c>
      <c r="HN90" s="530"/>
      <c r="HO90" s="545"/>
      <c r="HP90" s="545"/>
      <c r="HQ90" s="545"/>
      <c r="HR90" s="545"/>
      <c r="HS90" s="545"/>
      <c r="HT90" s="545"/>
      <c r="HU90" s="545"/>
      <c r="HV90" s="545"/>
      <c r="HW90" s="545"/>
      <c r="HX90" s="545"/>
      <c r="HY90" s="545"/>
      <c r="HZ90" s="545"/>
      <c r="IA90" s="545"/>
      <c r="IB90" s="545"/>
      <c r="IC90" s="545"/>
      <c r="ID90" s="545"/>
      <c r="IE90" s="545"/>
      <c r="IF90" s="545"/>
      <c r="IG90" s="545"/>
      <c r="IH90" s="545"/>
      <c r="II90" s="1464"/>
      <c r="IJ90" s="1463"/>
      <c r="IK90" s="1463"/>
    </row>
    <row r="91" spans="1:245">
      <c r="A91" s="177">
        <f t="shared" si="295"/>
        <v>38899</v>
      </c>
      <c r="B91" s="349">
        <f t="shared" si="296"/>
        <v>2006</v>
      </c>
      <c r="C91" s="15">
        <f t="shared" si="236"/>
        <v>7</v>
      </c>
      <c r="D91" s="612">
        <f t="shared" si="297"/>
        <v>38902</v>
      </c>
      <c r="E91" s="609">
        <f t="shared" si="237"/>
        <v>38899</v>
      </c>
      <c r="F91" s="614">
        <f t="shared" si="238"/>
        <v>38929</v>
      </c>
      <c r="G91" s="1349">
        <v>0</v>
      </c>
      <c r="H91" s="152">
        <f t="shared" si="341"/>
        <v>1</v>
      </c>
      <c r="I91" s="154">
        <f>IF(Assumptions!$L$25=4,VLOOKUP($A91,'Henwood Reference'!$E$9:$R$320,10),(VLOOKUP($A91,PriceTable,2,0)+IF(BasisNumber&lt;&gt;1,VLOOKUP($A91,BasisTable,2,0),0)+I$1)/(1-I$2))</f>
        <v>55.229820446754722</v>
      </c>
      <c r="J91" s="154">
        <f>IF(Assumptions!$L$25=4,VLOOKUP($A91,'Henwood Reference'!$E$9:$R$320,10),(VLOOKUP($A91,PriceTable,3,0)+IF(BasisNumber&lt;&gt;1,VLOOKUP($A91,BasisTable,2,0),0)+J$1)/(1-J$2))</f>
        <v>55.229820446754722</v>
      </c>
      <c r="K91" s="154">
        <f>IF(Assumptions!$L$25=4,VLOOKUP($A91,'Henwood Reference'!$E$9:$R$320,10),(VLOOKUP($A91,PriceTable,4,0)+IF(BasisNumber&lt;&gt;1,VLOOKUP($A91,BasisTable,2,0),0)+K$1)/(1-K$2))</f>
        <v>55.229820446754722</v>
      </c>
      <c r="L91" s="474">
        <f>IF(Assumptions!$L$25=4,VLOOKUP($A91,'Henwood Reference'!$E$9:$R$320,10),(VLOOKUP($A91,PriceTableWeekend,2,0)+IF(BasisNumber&lt;&gt;1,VLOOKUP($A91,BasisTable,2,0),0)+L$1)/(1-L$2))</f>
        <v>55.229820446754722</v>
      </c>
      <c r="M91" s="154">
        <f>IF(Assumptions!$L$25=4,VLOOKUP($A91,'Henwood Reference'!$E$9:$R$320,10),(VLOOKUP($A91,PriceTableWeekend,3,0)+IF(BasisNumber&lt;&gt;1,VLOOKUP($A91,BasisTable,2,0),0)+M$1)/(1-M$2))</f>
        <v>55.229820446754722</v>
      </c>
      <c r="N91" s="156">
        <f>IF(Assumptions!$L$25=4,VLOOKUP($A91,'Henwood Reference'!$E$9:$R$320,10),(VLOOKUP($A91,PriceTableWeekend,4,0)+IF(BasisNumber&lt;&gt;1,VLOOKUP($A91,BasisTable,2,0),0)+N$1)/(1-N$2))</f>
        <v>55.229820446754722</v>
      </c>
      <c r="O91" s="154">
        <f>IF(Assumptions!$L$25=4,VLOOKUP($A91,'Henwood Reference'!$E$9:$R$320,11),(VLOOKUP($A91,PriceTableWeekend,6,0)+IF(BasisNumber&lt;&gt;1,VLOOKUP($A91,BasisTable,3,0),0)+O$1)/(1-O$2))</f>
        <v>24.635478618851558</v>
      </c>
      <c r="P91" s="154">
        <f>IF(Assumptions!$L$25=4,VLOOKUP($A91,'Henwood Reference'!$E$9:$R$320,11),(VLOOKUP($A91,PriceTableWeekend,7,0)+IF(BasisNumber&lt;&gt;1,VLOOKUP($A91,BasisTable,3,0),0)+P$1)/(1-P$2))</f>
        <v>24.635478618851558</v>
      </c>
      <c r="Q91" s="156">
        <f>IF(Assumptions!$L$25=4,VLOOKUP($A91,'Henwood Reference'!$E$9:$R$320,11),(VLOOKUP($A91,PriceTableWeekend,8,0)+IF(BasisNumber&lt;&gt;1,VLOOKUP($A91,BasisTable,3,0),0)+Q$1)/(1-Q$2))</f>
        <v>24.635478618851558</v>
      </c>
      <c r="R91" s="154">
        <f>IF(Assumptions!$L$25=4,VLOOKUP($A91,'Henwood Reference'!$E$9:$R$320,11),(VLOOKUP($A91,PriceTable,6,0)+IF(BasisNumber&lt;&gt;1,VLOOKUP($A91,BasisTable,3,0),0)+R$1)/(1-R$2))</f>
        <v>24.635478618851558</v>
      </c>
      <c r="S91" s="154">
        <f>IF(Assumptions!$L$25=4,VLOOKUP($A91,'Henwood Reference'!$E$9:$R$320,11),(VLOOKUP($A91,PriceTable,7,0)+IF(BasisNumber&lt;&gt;1,VLOOKUP($A91,BasisTable,3,0),0)+S$1)/(1-S$2))</f>
        <v>24.635478618851558</v>
      </c>
      <c r="T91" s="155">
        <f>IF(Assumptions!$L$25=4,VLOOKUP($A91,'Henwood Reference'!$E$9:$R$320,11),(VLOOKUP($A91,PriceTable,8,0)+IF(BasisNumber&lt;&gt;1,VLOOKUP($A91,BasisTable,3,0),0)+T$1)/(1-T$2))</f>
        <v>24.635478618851558</v>
      </c>
      <c r="U91" s="173">
        <f t="shared" si="298"/>
        <v>0.14000000000000001</v>
      </c>
      <c r="V91" s="173">
        <f t="shared" si="299"/>
        <v>0.15</v>
      </c>
      <c r="W91" s="174">
        <f t="shared" si="300"/>
        <v>0.16</v>
      </c>
      <c r="X91" s="173">
        <f t="shared" si="301"/>
        <v>0.14000000000000001</v>
      </c>
      <c r="Y91" s="173">
        <f t="shared" si="302"/>
        <v>0.15</v>
      </c>
      <c r="Z91" s="174">
        <f t="shared" si="303"/>
        <v>0.16</v>
      </c>
      <c r="AA91" s="173">
        <f t="shared" si="304"/>
        <v>0.09</v>
      </c>
      <c r="AB91" s="173">
        <f t="shared" si="305"/>
        <v>0.11</v>
      </c>
      <c r="AC91" s="174">
        <f t="shared" si="306"/>
        <v>0.13</v>
      </c>
      <c r="AD91" s="173">
        <f t="shared" si="307"/>
        <v>0.09</v>
      </c>
      <c r="AE91" s="173">
        <f t="shared" si="308"/>
        <v>0.11</v>
      </c>
      <c r="AF91" s="174">
        <f t="shared" si="309"/>
        <v>0.13</v>
      </c>
      <c r="AG91" s="173">
        <f t="shared" si="310"/>
        <v>-0.35</v>
      </c>
      <c r="AH91" s="173">
        <f t="shared" si="311"/>
        <v>3</v>
      </c>
      <c r="AI91" s="174">
        <f t="shared" si="312"/>
        <v>0.35</v>
      </c>
      <c r="AJ91" s="173">
        <f t="shared" si="313"/>
        <v>-0.35</v>
      </c>
      <c r="AK91" s="173">
        <f t="shared" si="314"/>
        <v>3</v>
      </c>
      <c r="AL91" s="174">
        <f t="shared" si="315"/>
        <v>0.35</v>
      </c>
      <c r="AM91" s="173">
        <f t="shared" si="316"/>
        <v>-0.01</v>
      </c>
      <c r="AN91" s="173">
        <f t="shared" si="317"/>
        <v>0.16</v>
      </c>
      <c r="AO91" s="174">
        <f t="shared" si="318"/>
        <v>0.01</v>
      </c>
      <c r="AP91" s="173">
        <f t="shared" si="319"/>
        <v>-0.01</v>
      </c>
      <c r="AQ91" s="173">
        <f t="shared" si="320"/>
        <v>0.16</v>
      </c>
      <c r="AR91" s="175">
        <f t="shared" si="321"/>
        <v>0.01</v>
      </c>
      <c r="AS91" s="521">
        <f t="shared" si="322"/>
        <v>0.5</v>
      </c>
      <c r="AT91" s="349">
        <f t="shared" si="239"/>
        <v>20</v>
      </c>
      <c r="AU91" s="159">
        <f t="shared" si="240"/>
        <v>5</v>
      </c>
      <c r="AV91" s="159">
        <f t="shared" si="241"/>
        <v>5</v>
      </c>
      <c r="AW91" s="159">
        <f t="shared" si="323"/>
        <v>1</v>
      </c>
      <c r="AX91" s="15">
        <f t="shared" si="242"/>
        <v>31</v>
      </c>
      <c r="AY91" s="607">
        <f>IF(E91="",0,MIN((1-(1-VLOOKUP(B91,MAIN!$AA$7:$AM$28,C91+1))*(1-VLOOKUP(B91,MAIN!$AA$33:$AM$54,C91+1))),1))</f>
        <v>3.0000000000000027E-2</v>
      </c>
      <c r="AZ91" s="337">
        <v>46560</v>
      </c>
      <c r="BA91" s="509">
        <v>11640</v>
      </c>
      <c r="BB91" s="509">
        <v>13968</v>
      </c>
      <c r="BC91" s="511">
        <v>36084</v>
      </c>
      <c r="BD91" s="153">
        <v>0.97000000361353156</v>
      </c>
      <c r="BE91" s="474">
        <v>0.97000000361353156</v>
      </c>
      <c r="BF91" s="474">
        <v>0.97000000361353156</v>
      </c>
      <c r="BG91" s="515">
        <v>0.96999998554587363</v>
      </c>
      <c r="BH91" s="262">
        <v>186240</v>
      </c>
      <c r="BI91" s="509">
        <v>46560</v>
      </c>
      <c r="BJ91" s="509">
        <v>55872</v>
      </c>
      <c r="BK91" s="511">
        <v>144336</v>
      </c>
      <c r="BL91" s="153">
        <v>0.97000000361353156</v>
      </c>
      <c r="BM91" s="474">
        <v>0.97000000361353156</v>
      </c>
      <c r="BN91" s="474">
        <v>0.97000000361353156</v>
      </c>
      <c r="BO91" s="474">
        <v>0.96999998554587363</v>
      </c>
      <c r="BP91" s="261">
        <f t="shared" si="324"/>
        <v>72168</v>
      </c>
      <c r="BQ91" s="578">
        <f t="shared" si="325"/>
        <v>108252</v>
      </c>
      <c r="BR91" s="259">
        <f t="shared" si="326"/>
        <v>288672</v>
      </c>
      <c r="BS91" s="578">
        <f t="shared" si="327"/>
        <v>433008</v>
      </c>
      <c r="BT91" s="216">
        <f t="shared" si="328"/>
        <v>6.2121834360027375</v>
      </c>
      <c r="BU91" s="218">
        <f t="shared" si="243"/>
        <v>55.229820652501836</v>
      </c>
      <c r="BV91" s="216">
        <f t="shared" si="244"/>
        <v>55.229820652501836</v>
      </c>
      <c r="BW91" s="216">
        <f t="shared" si="245"/>
        <v>24.635478710625865</v>
      </c>
      <c r="BX91" s="216">
        <f t="shared" si="329"/>
        <v>24.635478251754318</v>
      </c>
      <c r="BY91" s="216">
        <f t="shared" si="246"/>
        <v>49.308335115364549</v>
      </c>
      <c r="BZ91" s="216">
        <f t="shared" si="247"/>
        <v>41.084049494161142</v>
      </c>
      <c r="CA91" s="264">
        <f t="shared" si="248"/>
        <v>55.229820652501836</v>
      </c>
      <c r="CB91" s="216">
        <f t="shared" si="249"/>
        <v>55.229820652501836</v>
      </c>
      <c r="CC91" s="216">
        <f t="shared" si="250"/>
        <v>24.635478710625865</v>
      </c>
      <c r="CD91" s="216">
        <f t="shared" si="330"/>
        <v>24.635478251754318</v>
      </c>
      <c r="CE91" s="216">
        <f t="shared" si="251"/>
        <v>49.308335115364549</v>
      </c>
      <c r="CF91" s="571">
        <f t="shared" si="252"/>
        <v>41.084049494161142</v>
      </c>
      <c r="CG91" s="573">
        <f t="shared" si="253"/>
        <v>0.15</v>
      </c>
      <c r="CH91" s="219">
        <f t="shared" si="254"/>
        <v>0.15</v>
      </c>
      <c r="CI91" s="219">
        <f t="shared" si="255"/>
        <v>0.11</v>
      </c>
      <c r="CJ91" s="219">
        <f t="shared" si="256"/>
        <v>0.14619502347576108</v>
      </c>
      <c r="CK91" s="219">
        <f t="shared" si="257"/>
        <v>0.14619502347576108</v>
      </c>
      <c r="CL91" s="219">
        <f t="shared" si="258"/>
        <v>0.11</v>
      </c>
      <c r="CM91" s="219">
        <f t="shared" si="259"/>
        <v>0.12983713098702102</v>
      </c>
      <c r="CN91" s="569">
        <f t="shared" si="260"/>
        <v>0.12983713098702102</v>
      </c>
      <c r="CO91" s="264">
        <f t="shared" si="343"/>
        <v>17.844944757656016</v>
      </c>
      <c r="CP91" s="216">
        <f t="shared" si="331"/>
        <v>17.844944757656016</v>
      </c>
      <c r="CQ91" s="216">
        <f t="shared" ca="1" si="192"/>
        <v>17.844944757656016</v>
      </c>
      <c r="CR91" s="216">
        <f t="shared" ca="1" si="193"/>
        <v>17.844944757656016</v>
      </c>
      <c r="CS91" s="1626">
        <f t="shared" ca="1" si="194"/>
        <v>17.844944757656016</v>
      </c>
      <c r="CT91" s="216">
        <f t="shared" si="332"/>
        <v>17.844944757656016</v>
      </c>
      <c r="CU91" s="575">
        <f t="shared" si="261"/>
        <v>0.16</v>
      </c>
      <c r="CV91" s="154">
        <f t="shared" si="262"/>
        <v>0.5</v>
      </c>
      <c r="CW91" s="216">
        <f>IF(OR($BQ91,$BS91),SpreadOptPowerMargin,0)*((1+Assumptions!$C$26)^($B91-YEAR(Assumptions!$C$17)))</f>
        <v>1.9101743999999998</v>
      </c>
      <c r="CX91" s="216">
        <f>IF(OR($BQ91,$BS91),SpreadOptPowerMargin,0)*((1+Assumptions!$C$26)^($B91-YEAR(Assumptions!$C$17)))</f>
        <v>1.9101743999999998</v>
      </c>
      <c r="CY91" s="216">
        <f>IF(OR($BQ91,$BS91),SpreadOptPowerMargin,0)*((1+Assumptions!$C$26)^($B91-YEAR(Assumptions!$C$17)))</f>
        <v>1.9101743999999998</v>
      </c>
      <c r="CZ91" s="216">
        <f>IF(OR($BQ91,$BS91),SpreadOptPowerMargin,0)*((1+Assumptions!$C$26)^($B91-YEAR(Assumptions!$C$17)))</f>
        <v>1.9101743999999998</v>
      </c>
      <c r="DA91" s="440">
        <f t="shared" si="263"/>
        <v>1.9101743999999998</v>
      </c>
      <c r="DB91" s="479">
        <f t="shared" si="264"/>
        <v>0.15</v>
      </c>
      <c r="DC91" s="479">
        <f t="shared" si="265"/>
        <v>0.15</v>
      </c>
      <c r="DD91" s="479">
        <f t="shared" si="266"/>
        <v>0.11</v>
      </c>
      <c r="DE91" s="479">
        <f t="shared" si="267"/>
        <v>0.11</v>
      </c>
      <c r="DF91" s="479">
        <f t="shared" si="268"/>
        <v>0.12983713098702102</v>
      </c>
      <c r="DG91" s="574">
        <f t="shared" si="269"/>
        <v>0.12983713098702102</v>
      </c>
      <c r="DH91" s="216">
        <f t="shared" si="270"/>
        <v>35.4848457739593</v>
      </c>
      <c r="DI91" s="216">
        <f t="shared" si="271"/>
        <v>35.4848457739593</v>
      </c>
      <c r="DJ91" s="216">
        <f t="shared" ca="1" si="195"/>
        <v>5.9521778985822538</v>
      </c>
      <c r="DK91" s="216">
        <f t="shared" ca="1" si="196"/>
        <v>5.9521775308251641</v>
      </c>
      <c r="DL91" s="216">
        <f t="shared" ca="1" si="197"/>
        <v>21.391206344102045</v>
      </c>
      <c r="DM91" s="216"/>
      <c r="DN91" s="216"/>
      <c r="DO91" s="216"/>
      <c r="DP91" s="216"/>
      <c r="DQ91" s="216"/>
      <c r="DR91" s="216"/>
      <c r="DS91" s="216"/>
      <c r="DT91" s="216"/>
      <c r="DU91" s="216"/>
      <c r="DV91" s="216"/>
      <c r="DW91" s="1371">
        <f t="shared" si="272"/>
        <v>5.9521778985822538</v>
      </c>
      <c r="DX91" s="216">
        <f t="shared" si="273"/>
        <v>5.9521775308251641</v>
      </c>
      <c r="DY91" s="440">
        <f t="shared" si="274"/>
        <v>21.829956203618625</v>
      </c>
      <c r="DZ91" s="180">
        <f t="shared" si="275"/>
        <v>1652174.419235545</v>
      </c>
      <c r="EA91" s="180">
        <f t="shared" si="276"/>
        <v>413043.60480888624</v>
      </c>
      <c r="EB91" s="180">
        <f t="shared" ca="1" si="198"/>
        <v>83140.020887396924</v>
      </c>
      <c r="EC91" s="180">
        <f t="shared" ca="1" si="199"/>
        <v>214778.37402229523</v>
      </c>
      <c r="ED91" s="180">
        <f t="shared" ca="1" si="200"/>
        <v>2315640.8691617344</v>
      </c>
      <c r="EE91" s="581">
        <f t="shared" si="277"/>
        <v>1651702.1016000214</v>
      </c>
      <c r="EF91" s="554">
        <f t="shared" si="278"/>
        <v>412925.52540000534</v>
      </c>
      <c r="EG91" s="554">
        <f t="shared" ca="1" si="201"/>
        <v>68168.862235882858</v>
      </c>
      <c r="EH91" s="554">
        <f t="shared" ca="1" si="202"/>
        <v>176102.87755144315</v>
      </c>
      <c r="EI91" s="561">
        <f t="shared" ca="1" si="279"/>
        <v>2308899.3667873531</v>
      </c>
      <c r="EJ91" s="581">
        <f t="shared" si="333"/>
        <v>472.31763552362099</v>
      </c>
      <c r="EK91" s="554">
        <f t="shared" si="334"/>
        <v>118.07940888090525</v>
      </c>
      <c r="EL91" s="554">
        <f t="shared" ca="1" si="203"/>
        <v>14971.158651514066</v>
      </c>
      <c r="EM91" s="554">
        <f t="shared" ca="1" si="204"/>
        <v>38675.496470852086</v>
      </c>
      <c r="EN91" s="561">
        <f t="shared" ca="1" si="205"/>
        <v>6741.5023743812926</v>
      </c>
      <c r="EO91" s="180">
        <f t="shared" si="280"/>
        <v>6608697.6769421799</v>
      </c>
      <c r="EP91" s="180">
        <f t="shared" si="281"/>
        <v>1652174.419235545</v>
      </c>
      <c r="EQ91" s="180">
        <f t="shared" si="282"/>
        <v>332560.0835495877</v>
      </c>
      <c r="ER91" s="180">
        <f t="shared" si="283"/>
        <v>859113.49608918093</v>
      </c>
      <c r="ES91" s="180">
        <f t="shared" si="284"/>
        <v>9452545.6758164931</v>
      </c>
      <c r="ET91" s="1482">
        <f t="shared" ca="1" si="206"/>
        <v>6606808.4064000854</v>
      </c>
      <c r="EU91" s="180">
        <f t="shared" ca="1" si="207"/>
        <v>1651702.1016000214</v>
      </c>
      <c r="EV91" s="180">
        <f t="shared" ca="1" si="208"/>
        <v>272675.44894353143</v>
      </c>
      <c r="EW91" s="180">
        <f t="shared" ca="1" si="209"/>
        <v>704411.51020577259</v>
      </c>
      <c r="EX91" s="555">
        <f t="shared" ca="1" si="182"/>
        <v>9235597.4671494104</v>
      </c>
      <c r="EY91" s="180">
        <f t="shared" ca="1" si="210"/>
        <v>1889.270542094484</v>
      </c>
      <c r="EZ91" s="180">
        <f t="shared" ca="1" si="211"/>
        <v>472.31763552362099</v>
      </c>
      <c r="FA91" s="180">
        <f t="shared" ca="1" si="212"/>
        <v>59884.634606056265</v>
      </c>
      <c r="FB91" s="180">
        <f t="shared" ca="1" si="213"/>
        <v>154701.98588340834</v>
      </c>
      <c r="FC91" s="180">
        <f t="shared" ca="1" si="214"/>
        <v>216948.20866708271</v>
      </c>
      <c r="FD91" s="262">
        <f>IF(AX91,IF(VLOOKUP(C91,MAIN!$L$17:$M$28,2)="Yes",VLOOKUP(CALC!B91,MAIN!$H$17:$I$20,2),0),0)</f>
        <v>0</v>
      </c>
      <c r="FE91" s="623">
        <f t="shared" si="285"/>
        <v>0</v>
      </c>
      <c r="FF91" s="535">
        <f t="shared" si="286"/>
        <v>0</v>
      </c>
      <c r="FG91" s="535">
        <f t="shared" si="287"/>
        <v>0</v>
      </c>
      <c r="FH91" s="624">
        <f t="shared" si="288"/>
        <v>0</v>
      </c>
      <c r="FI91" s="632">
        <f>IF(AX91,VLOOKUP(CALC!B91,MAIN!$H$17:$K$20,4),0)</f>
        <v>0</v>
      </c>
      <c r="FJ91" s="535">
        <f t="shared" si="289"/>
        <v>0</v>
      </c>
      <c r="FK91" s="648">
        <f t="shared" si="335"/>
        <v>0</v>
      </c>
      <c r="FL91" s="530">
        <f t="shared" ca="1" si="215"/>
        <v>0</v>
      </c>
      <c r="FM91" s="530">
        <f t="shared" ca="1" si="216"/>
        <v>0</v>
      </c>
      <c r="FN91" s="530">
        <f t="shared" ca="1" si="217"/>
        <v>0</v>
      </c>
      <c r="FO91" s="622">
        <f t="shared" ca="1" si="218"/>
        <v>0</v>
      </c>
      <c r="FP91" s="530">
        <f t="shared" ca="1" si="219"/>
        <v>0</v>
      </c>
      <c r="FQ91" s="530">
        <f t="shared" ca="1" si="220"/>
        <v>0</v>
      </c>
      <c r="FR91" s="530">
        <f t="shared" ca="1" si="221"/>
        <v>0</v>
      </c>
      <c r="FS91" s="625">
        <f t="shared" ca="1" si="222"/>
        <v>0</v>
      </c>
      <c r="FT91" s="640">
        <f ca="1">IF(AND(Assumptions!$H$71="Yes",A91&gt;=Assumptions!$H$72,A91&lt;=Assumptions!$H$73),0,IF(AND($A91&gt;=Assumptions!$C$17,$A91&lt;=Assumptions!$C$18),MAX(AZ91*(1+VLOOKUP($C91,WeatherCapacityAdjustment,2))-FL91,0),0))</f>
        <v>46560</v>
      </c>
      <c r="FU91" s="530">
        <f ca="1">IF(AND(Assumptions!$H$71="Yes",A91&gt;=Assumptions!$H$72,A91&lt;=Assumptions!$H$73),0,IF(AND($A91&gt;=Assumptions!$C$17,$A91&lt;=Assumptions!$C$18),MAX(BA91*(1+VLOOKUP($C91,WeatherCapacityAdjustment,2))-FM91,0),0))</f>
        <v>11640</v>
      </c>
      <c r="FV91" s="530">
        <f ca="1">IF(AND(Assumptions!$H$71="Yes",A91&gt;=Assumptions!$H$72,A91&lt;=Assumptions!$H$73),0,IF(AND($A91&gt;=Assumptions!$C$17,$A91&lt;=Assumptions!$C$18),MAX(BB91*(1+VLOOKUP($C91,WeatherCapacityAdjustment,2))-FN91,0),0))</f>
        <v>13968</v>
      </c>
      <c r="FW91" s="622">
        <f ca="1">IF(AND(Assumptions!$H$71="Yes",A91&gt;=Assumptions!$H$72,A91&lt;=Assumptions!$H$73),0,IF(AND($A91&gt;=Assumptions!$C$17,$A91&lt;=Assumptions!$C$18),MAX(BC91*(1+VLOOKUP($C91,WeatherCapacityAdjustment,3))-FO91,0),0))</f>
        <v>36084</v>
      </c>
      <c r="FX91" s="621">
        <f ca="1">IF(AND(Assumptions!$H$71="Yes",A91&gt;=Assumptions!$H$72,A91&lt;=Assumptions!$H$73),0,IF(ET91&gt;0,MAX(BH91*(1+VLOOKUP($C91,WeatherCapacityAdjustment,2))-FP91,0),0))</f>
        <v>186240</v>
      </c>
      <c r="FY91" s="530">
        <f ca="1">IF(AND(Assumptions!$H$71="Yes",A91&gt;=Assumptions!$H$72,A91&lt;=Assumptions!$H$73),0,IF(EU91&gt;0,MAX(BI91*(1+VLOOKUP($C91,WeatherCapacityAdjustment,3))-FQ91,0),0))</f>
        <v>46560</v>
      </c>
      <c r="FZ91" s="530">
        <f ca="1">IF(AND(Assumptions!$H$71="Yes",A91&gt;=Assumptions!$H$72,A91&lt;=Assumptions!$H$73),0,IF(EV91&gt;0,MAX(BJ91*(1+VLOOKUP($C91,WeatherCapacityAdjustment,2))-FR91,0),0))</f>
        <v>55872</v>
      </c>
      <c r="GA91" s="622">
        <f ca="1">IF(AND(Assumptions!$H$71="Yes",A91&gt;=Assumptions!$H$72,A91&lt;=Assumptions!$H$73),0,IF(EW91&gt;0,MAX(BK91*(1+VLOOKUP($C91,WeatherCapacityAdjustment,2))-FS91,0),0))</f>
        <v>144336</v>
      </c>
      <c r="GB91" s="530">
        <f t="shared" ca="1" si="290"/>
        <v>541260</v>
      </c>
      <c r="GC91" s="545">
        <f t="shared" ca="1" si="291"/>
        <v>41.084049494161142</v>
      </c>
      <c r="GD91" s="530">
        <f t="shared" ca="1" si="223"/>
        <v>22237152.629209656</v>
      </c>
      <c r="GE91" s="1485">
        <f t="shared" ca="1" si="224"/>
        <v>767342.13696000003</v>
      </c>
      <c r="GF91" s="1776">
        <f t="shared" ca="1" si="225"/>
        <v>3069368.5478400001</v>
      </c>
      <c r="GG91" s="545">
        <f t="shared" si="190"/>
        <v>2.5174571639697105</v>
      </c>
      <c r="GH91" s="622">
        <f t="shared" ca="1" si="191"/>
        <v>9658754.7995288931</v>
      </c>
      <c r="GI91" s="621">
        <f t="shared" ca="1" si="336"/>
        <v>541260</v>
      </c>
      <c r="GJ91" s="638">
        <f t="shared" si="292"/>
        <v>1.9101743999999998</v>
      </c>
      <c r="GK91" s="625">
        <f t="shared" ca="1" si="342"/>
        <v>1033900.995744</v>
      </c>
      <c r="GL91" s="640">
        <f t="shared" ca="1" si="226"/>
        <v>0</v>
      </c>
      <c r="GM91" s="530">
        <f t="shared" ca="1" si="227"/>
        <v>0</v>
      </c>
      <c r="GN91" s="530">
        <f t="shared" ca="1" si="228"/>
        <v>0</v>
      </c>
      <c r="GO91" s="622">
        <f t="shared" ca="1" si="229"/>
        <v>0</v>
      </c>
      <c r="GP91" s="530">
        <f t="shared" ca="1" si="293"/>
        <v>0</v>
      </c>
      <c r="GQ91" s="545">
        <f t="shared" ca="1" si="294"/>
        <v>0</v>
      </c>
      <c r="GR91" s="625">
        <f t="shared" ca="1" si="230"/>
        <v>0</v>
      </c>
      <c r="GS91" s="640">
        <f>IF($A91&gt;=BegDate,Assumptions!$C$56*24*($A92-$A91)*(1-VLOOKUP($B91,MAIN!$AA$7:$AM$28,$C91+1))*(1-VLOOKUP($B91,MAIN!$AA$33:$AM$54,$C91+1)),0)*80/168</f>
        <v>257742.85714285713</v>
      </c>
      <c r="GT91" s="1715">
        <f t="shared" si="337"/>
        <v>55.229820446754722</v>
      </c>
      <c r="GU91" s="1715">
        <f>IF($A91&gt;=BegDate,VLOOKUP($A91,GasTable,13)+Assumptions!$C$58,0)</f>
        <v>2.5174571639697105</v>
      </c>
      <c r="GV91" s="1715">
        <f>GU91*Assumptions!$C$57/1000</f>
        <v>18.251564438780402</v>
      </c>
      <c r="GW91" s="625">
        <f>IF(Assumptions!$C$60="Hourly",MAX(0,GS91*(GT91-GV91)),GS91*(GT91-GV91))</f>
        <v>9530881.3556553237</v>
      </c>
      <c r="GX91" s="640">
        <f>IF($A91&gt;=BegDate,Assumptions!$C$56*24*($A92-$A91)*(1-VLOOKUP($B91,MAIN!$AA$7:$AM$28,$C91+1))*(1-VLOOKUP($B91,MAIN!$AA$33:$AM$54,$C91+1)),0)*16/168</f>
        <v>51548.571428571428</v>
      </c>
      <c r="GY91" s="1715">
        <f t="shared" si="338"/>
        <v>55.229820446754722</v>
      </c>
      <c r="GZ91" s="1715">
        <f>IF($A91&gt;=BegDate,VLOOKUP($A91,GasTable,13)+Assumptions!$C$58,0)</f>
        <v>2.5174571639697105</v>
      </c>
      <c r="HA91" s="1715">
        <f>GZ91*Assumptions!$C$57/1000</f>
        <v>18.251564438780402</v>
      </c>
      <c r="HB91" s="625">
        <f>IF(Assumptions!$C$60="Hourly",MAX(0,GX91*(GY91-HA91)),GX91*(GY91-HA91))</f>
        <v>1906176.271131065</v>
      </c>
      <c r="HC91" s="640">
        <f>IF($A91&gt;=BegDate,Assumptions!$C$56*24*($A92-$A91)*(1-VLOOKUP($B91,MAIN!$AA$7:$AM$28,$C91+1))*(1-VLOOKUP($B91,MAIN!$AA$33:$AM$54,$C91+1)),0)*16/168</f>
        <v>51548.571428571428</v>
      </c>
      <c r="HD91" s="1715">
        <f t="shared" si="339"/>
        <v>24.635478618851558</v>
      </c>
      <c r="HE91" s="1715">
        <f>IF($A91&gt;=BegDate,VLOOKUP($A91,GasTable,13)+Assumptions!$C$58,0)</f>
        <v>2.5174571639697105</v>
      </c>
      <c r="HF91" s="1715">
        <f>HE91*Assumptions!$C$57/1000</f>
        <v>18.251564438780402</v>
      </c>
      <c r="HG91" s="625">
        <f>IF(Assumptions!$C$60="Hourly",MAX(0,HC91*(HD91-HF91)),HC91*(HD91-HF91))</f>
        <v>329081.65610526793</v>
      </c>
      <c r="HH91" s="640">
        <f>IF($A91&gt;=BegDate,Assumptions!$C$56*24*($A92-$A91)*(1-VLOOKUP($B91,MAIN!$AA$7:$AM$28,$C91+1))*(1-VLOOKUP($B91,MAIN!$AA$33:$AM$54,$C91+1)),0)*56/168</f>
        <v>180420</v>
      </c>
      <c r="HI91" s="1715">
        <f t="shared" si="340"/>
        <v>24.635478618851558</v>
      </c>
      <c r="HJ91" s="1715">
        <f>IF($A91&gt;=BegDate,VLOOKUP($A91,GasTable,13)+Assumptions!$C$58,0)</f>
        <v>2.5174571639697105</v>
      </c>
      <c r="HK91" s="1715">
        <f>HJ91*Assumptions!$C$57/1000</f>
        <v>18.251564438780402</v>
      </c>
      <c r="HL91" s="625">
        <f>IF(Assumptions!$C$60="Hourly",MAX(0,HH91*(HI91-HK91)),HH91*(HI91-HK91))</f>
        <v>1151785.7963684378</v>
      </c>
      <c r="HM91" s="640">
        <f>IF(AND(Assumptions!$H$71="Yes",A91&gt;=Assumptions!$H$72,A91&lt;=Assumptions!$H$73),Assumptions!$H$74*Assumptions!$C$9*1000,0)</f>
        <v>0</v>
      </c>
      <c r="HN91" s="530"/>
      <c r="HO91" s="545"/>
      <c r="HP91" s="545"/>
      <c r="HQ91" s="545"/>
      <c r="HR91" s="545"/>
      <c r="HS91" s="545"/>
      <c r="HT91" s="545"/>
      <c r="HU91" s="545"/>
      <c r="HV91" s="545"/>
      <c r="HW91" s="545"/>
      <c r="HX91" s="545"/>
      <c r="HY91" s="545"/>
      <c r="HZ91" s="545"/>
      <c r="IA91" s="545"/>
      <c r="IB91" s="545"/>
      <c r="IC91" s="545"/>
      <c r="ID91" s="545"/>
      <c r="IE91" s="545"/>
      <c r="IF91" s="545"/>
      <c r="IG91" s="545"/>
      <c r="IH91" s="545"/>
      <c r="II91" s="1464"/>
      <c r="IJ91" s="1463"/>
      <c r="IK91" s="1463"/>
    </row>
    <row r="92" spans="1:245">
      <c r="A92" s="177">
        <f t="shared" si="295"/>
        <v>38930</v>
      </c>
      <c r="B92" s="349">
        <f t="shared" si="296"/>
        <v>2006</v>
      </c>
      <c r="C92" s="15">
        <f t="shared" si="236"/>
        <v>8</v>
      </c>
      <c r="D92" s="612" t="str">
        <f t="shared" si="297"/>
        <v/>
      </c>
      <c r="E92" s="609">
        <f t="shared" si="237"/>
        <v>38930</v>
      </c>
      <c r="F92" s="614">
        <f t="shared" si="238"/>
        <v>38960</v>
      </c>
      <c r="G92" s="1349">
        <v>0</v>
      </c>
      <c r="H92" s="152">
        <f t="shared" si="341"/>
        <v>1</v>
      </c>
      <c r="I92" s="154">
        <f>IF(Assumptions!$L$25=4,VLOOKUP($A92,'Henwood Reference'!$E$9:$R$320,10),(VLOOKUP($A92,PriceTable,2,0)+IF(BasisNumber&lt;&gt;1,VLOOKUP($A92,BasisTable,2,0),0)+I$1)/(1-I$2))</f>
        <v>108.74978849234091</v>
      </c>
      <c r="J92" s="154">
        <f>IF(Assumptions!$L$25=4,VLOOKUP($A92,'Henwood Reference'!$E$9:$R$320,10),(VLOOKUP($A92,PriceTable,3,0)+IF(BasisNumber&lt;&gt;1,VLOOKUP($A92,BasisTable,2,0),0)+J$1)/(1-J$2))</f>
        <v>108.74978849234091</v>
      </c>
      <c r="K92" s="154">
        <f>IF(Assumptions!$L$25=4,VLOOKUP($A92,'Henwood Reference'!$E$9:$R$320,10),(VLOOKUP($A92,PriceTable,4,0)+IF(BasisNumber&lt;&gt;1,VLOOKUP($A92,BasisTable,2,0),0)+K$1)/(1-K$2))</f>
        <v>108.74978849234091</v>
      </c>
      <c r="L92" s="474">
        <f>IF(Assumptions!$L$25=4,VLOOKUP($A92,'Henwood Reference'!$E$9:$R$320,10),(VLOOKUP($A92,PriceTableWeekend,2,0)+IF(BasisNumber&lt;&gt;1,VLOOKUP($A92,BasisTable,2,0),0)+L$1)/(1-L$2))</f>
        <v>108.74978849234091</v>
      </c>
      <c r="M92" s="154">
        <f>IF(Assumptions!$L$25=4,VLOOKUP($A92,'Henwood Reference'!$E$9:$R$320,10),(VLOOKUP($A92,PriceTableWeekend,3,0)+IF(BasisNumber&lt;&gt;1,VLOOKUP($A92,BasisTable,2,0),0)+M$1)/(1-M$2))</f>
        <v>108.74978849234091</v>
      </c>
      <c r="N92" s="156">
        <f>IF(Assumptions!$L$25=4,VLOOKUP($A92,'Henwood Reference'!$E$9:$R$320,10),(VLOOKUP($A92,PriceTableWeekend,4,0)+IF(BasisNumber&lt;&gt;1,VLOOKUP($A92,BasisTable,2,0),0)+N$1)/(1-N$2))</f>
        <v>108.74978849234091</v>
      </c>
      <c r="O92" s="154">
        <f>IF(Assumptions!$L$25=4,VLOOKUP($A92,'Henwood Reference'!$E$9:$R$320,11),(VLOOKUP($A92,PriceTableWeekend,6,0)+IF(BasisNumber&lt;&gt;1,VLOOKUP($A92,BasisTable,3,0),0)+O$1)/(1-O$2))</f>
        <v>30.892549636524269</v>
      </c>
      <c r="P92" s="154">
        <f>IF(Assumptions!$L$25=4,VLOOKUP($A92,'Henwood Reference'!$E$9:$R$320,11),(VLOOKUP($A92,PriceTableWeekend,7,0)+IF(BasisNumber&lt;&gt;1,VLOOKUP($A92,BasisTable,3,0),0)+P$1)/(1-P$2))</f>
        <v>30.892549636524269</v>
      </c>
      <c r="Q92" s="156">
        <f>IF(Assumptions!$L$25=4,VLOOKUP($A92,'Henwood Reference'!$E$9:$R$320,11),(VLOOKUP($A92,PriceTableWeekend,8,0)+IF(BasisNumber&lt;&gt;1,VLOOKUP($A92,BasisTable,3,0),0)+Q$1)/(1-Q$2))</f>
        <v>30.892549636524269</v>
      </c>
      <c r="R92" s="154">
        <f>IF(Assumptions!$L$25=4,VLOOKUP($A92,'Henwood Reference'!$E$9:$R$320,11),(VLOOKUP($A92,PriceTable,6,0)+IF(BasisNumber&lt;&gt;1,VLOOKUP($A92,BasisTable,3,0),0)+R$1)/(1-R$2))</f>
        <v>30.892549636524269</v>
      </c>
      <c r="S92" s="154">
        <f>IF(Assumptions!$L$25=4,VLOOKUP($A92,'Henwood Reference'!$E$9:$R$320,11),(VLOOKUP($A92,PriceTable,7,0)+IF(BasisNumber&lt;&gt;1,VLOOKUP($A92,BasisTable,3,0),0)+S$1)/(1-S$2))</f>
        <v>30.892549636524269</v>
      </c>
      <c r="T92" s="155">
        <f>IF(Assumptions!$L$25=4,VLOOKUP($A92,'Henwood Reference'!$E$9:$R$320,11),(VLOOKUP($A92,PriceTable,8,0)+IF(BasisNumber&lt;&gt;1,VLOOKUP($A92,BasisTable,3,0),0)+T$1)/(1-T$2))</f>
        <v>30.892549636524269</v>
      </c>
      <c r="U92" s="173">
        <f t="shared" si="298"/>
        <v>0.14000000000000001</v>
      </c>
      <c r="V92" s="173">
        <f t="shared" si="299"/>
        <v>0.15</v>
      </c>
      <c r="W92" s="174">
        <f t="shared" si="300"/>
        <v>0.16</v>
      </c>
      <c r="X92" s="173">
        <f t="shared" si="301"/>
        <v>0.14000000000000001</v>
      </c>
      <c r="Y92" s="173">
        <f t="shared" si="302"/>
        <v>0.15</v>
      </c>
      <c r="Z92" s="174">
        <f t="shared" si="303"/>
        <v>0.16</v>
      </c>
      <c r="AA92" s="173">
        <f t="shared" si="304"/>
        <v>0.09</v>
      </c>
      <c r="AB92" s="173">
        <f t="shared" si="305"/>
        <v>0.11</v>
      </c>
      <c r="AC92" s="174">
        <f t="shared" si="306"/>
        <v>0.13</v>
      </c>
      <c r="AD92" s="173">
        <f t="shared" si="307"/>
        <v>0.09</v>
      </c>
      <c r="AE92" s="173">
        <f t="shared" si="308"/>
        <v>0.11</v>
      </c>
      <c r="AF92" s="174">
        <f t="shared" si="309"/>
        <v>0.13</v>
      </c>
      <c r="AG92" s="173">
        <f t="shared" si="310"/>
        <v>-0.35</v>
      </c>
      <c r="AH92" s="173">
        <f t="shared" si="311"/>
        <v>3</v>
      </c>
      <c r="AI92" s="174">
        <f t="shared" si="312"/>
        <v>0.35</v>
      </c>
      <c r="AJ92" s="173">
        <f t="shared" si="313"/>
        <v>-0.35</v>
      </c>
      <c r="AK92" s="173">
        <f t="shared" si="314"/>
        <v>3</v>
      </c>
      <c r="AL92" s="174">
        <f t="shared" si="315"/>
        <v>0.35</v>
      </c>
      <c r="AM92" s="173">
        <f t="shared" si="316"/>
        <v>-0.01</v>
      </c>
      <c r="AN92" s="173">
        <f t="shared" si="317"/>
        <v>0.16</v>
      </c>
      <c r="AO92" s="174">
        <f t="shared" si="318"/>
        <v>0.01</v>
      </c>
      <c r="AP92" s="173">
        <f t="shared" si="319"/>
        <v>-0.01</v>
      </c>
      <c r="AQ92" s="173">
        <f t="shared" si="320"/>
        <v>0.16</v>
      </c>
      <c r="AR92" s="175">
        <f t="shared" si="321"/>
        <v>0.01</v>
      </c>
      <c r="AS92" s="521">
        <f t="shared" si="322"/>
        <v>0.5</v>
      </c>
      <c r="AT92" s="349">
        <f t="shared" si="239"/>
        <v>23</v>
      </c>
      <c r="AU92" s="159">
        <f t="shared" si="240"/>
        <v>4</v>
      </c>
      <c r="AV92" s="159">
        <f t="shared" si="241"/>
        <v>4</v>
      </c>
      <c r="AW92" s="159">
        <f t="shared" si="323"/>
        <v>0</v>
      </c>
      <c r="AX92" s="15">
        <f t="shared" si="242"/>
        <v>31</v>
      </c>
      <c r="AY92" s="607">
        <f>IF(E92="",0,MIN((1-(1-VLOOKUP(B92,MAIN!$AA$7:$AM$28,C92+1))*(1-VLOOKUP(B92,MAIN!$AA$33:$AM$54,C92+1))),1))</f>
        <v>3.0000000000000027E-2</v>
      </c>
      <c r="AZ92" s="337">
        <v>53544</v>
      </c>
      <c r="BA92" s="509">
        <v>9312</v>
      </c>
      <c r="BB92" s="509">
        <v>9312</v>
      </c>
      <c r="BC92" s="511">
        <v>36084</v>
      </c>
      <c r="BD92" s="153">
        <v>0.96999998915940522</v>
      </c>
      <c r="BE92" s="474">
        <v>0.96999998915940522</v>
      </c>
      <c r="BF92" s="474">
        <v>0.96999998915940522</v>
      </c>
      <c r="BG92" s="515">
        <v>0.97000000722706314</v>
      </c>
      <c r="BH92" s="262">
        <v>214176</v>
      </c>
      <c r="BI92" s="509">
        <v>37248</v>
      </c>
      <c r="BJ92" s="509">
        <v>37248</v>
      </c>
      <c r="BK92" s="511">
        <v>144336</v>
      </c>
      <c r="BL92" s="153">
        <v>0.96999998915940522</v>
      </c>
      <c r="BM92" s="474">
        <v>0.96999998915940522</v>
      </c>
      <c r="BN92" s="474">
        <v>0.96999998915940522</v>
      </c>
      <c r="BO92" s="474">
        <v>0.97000000722706314</v>
      </c>
      <c r="BP92" s="261">
        <f t="shared" si="324"/>
        <v>72168</v>
      </c>
      <c r="BQ92" s="578">
        <f t="shared" si="325"/>
        <v>108252</v>
      </c>
      <c r="BR92" s="259">
        <f t="shared" si="326"/>
        <v>288672</v>
      </c>
      <c r="BS92" s="578">
        <f t="shared" si="327"/>
        <v>433008</v>
      </c>
      <c r="BT92" s="216">
        <f t="shared" si="328"/>
        <v>6.2970568104038334</v>
      </c>
      <c r="BU92" s="218">
        <f t="shared" si="243"/>
        <v>108.74978727696733</v>
      </c>
      <c r="BV92" s="216">
        <f t="shared" si="244"/>
        <v>108.74978727696733</v>
      </c>
      <c r="BW92" s="216">
        <f t="shared" si="245"/>
        <v>30.892549291273124</v>
      </c>
      <c r="BX92" s="216">
        <f t="shared" si="329"/>
        <v>30.892549866691699</v>
      </c>
      <c r="BY92" s="216">
        <f t="shared" si="246"/>
        <v>98.703692053006762</v>
      </c>
      <c r="BZ92" s="216">
        <f t="shared" si="247"/>
        <v>76.099977990901735</v>
      </c>
      <c r="CA92" s="264">
        <f t="shared" si="248"/>
        <v>108.74978727696733</v>
      </c>
      <c r="CB92" s="216">
        <f t="shared" si="249"/>
        <v>108.74978727696733</v>
      </c>
      <c r="CC92" s="216">
        <f t="shared" si="250"/>
        <v>30.892549291273124</v>
      </c>
      <c r="CD92" s="216">
        <f t="shared" si="330"/>
        <v>30.892549866691699</v>
      </c>
      <c r="CE92" s="216">
        <f t="shared" si="251"/>
        <v>98.703692053006762</v>
      </c>
      <c r="CF92" s="571">
        <f t="shared" si="252"/>
        <v>76.099977990901735</v>
      </c>
      <c r="CG92" s="573">
        <f t="shared" si="253"/>
        <v>0.15</v>
      </c>
      <c r="CH92" s="219">
        <f t="shared" si="254"/>
        <v>0.15</v>
      </c>
      <c r="CI92" s="219">
        <f t="shared" si="255"/>
        <v>0.11</v>
      </c>
      <c r="CJ92" s="219">
        <f t="shared" si="256"/>
        <v>0.14841329143000537</v>
      </c>
      <c r="CK92" s="219">
        <f t="shared" si="257"/>
        <v>0.14841329143000537</v>
      </c>
      <c r="CL92" s="219">
        <f t="shared" si="258"/>
        <v>0.11</v>
      </c>
      <c r="CM92" s="219">
        <f t="shared" si="259"/>
        <v>0.1367816322529235</v>
      </c>
      <c r="CN92" s="569">
        <f t="shared" si="260"/>
        <v>0.1367816322529235</v>
      </c>
      <c r="CO92" s="264">
        <f t="shared" si="343"/>
        <v>18.494912638539418</v>
      </c>
      <c r="CP92" s="216">
        <f t="shared" si="331"/>
        <v>18.494912638539418</v>
      </c>
      <c r="CQ92" s="216">
        <f t="shared" ca="1" si="192"/>
        <v>18.494912638539418</v>
      </c>
      <c r="CR92" s="216">
        <f t="shared" ca="1" si="193"/>
        <v>18.494912638539418</v>
      </c>
      <c r="CS92" s="1626">
        <f t="shared" ca="1" si="194"/>
        <v>18.494912638539418</v>
      </c>
      <c r="CT92" s="216">
        <f t="shared" si="332"/>
        <v>18.494912638539418</v>
      </c>
      <c r="CU92" s="575">
        <f t="shared" si="261"/>
        <v>0.16</v>
      </c>
      <c r="CV92" s="154">
        <f t="shared" si="262"/>
        <v>0.5</v>
      </c>
      <c r="CW92" s="216">
        <f>IF(OR($BQ92,$BS92),SpreadOptPowerMargin,0)*((1+Assumptions!$C$26)^($B92-YEAR(Assumptions!$C$17)))</f>
        <v>1.9101743999999998</v>
      </c>
      <c r="CX92" s="216">
        <f>IF(OR($BQ92,$BS92),SpreadOptPowerMargin,0)*((1+Assumptions!$C$26)^($B92-YEAR(Assumptions!$C$17)))</f>
        <v>1.9101743999999998</v>
      </c>
      <c r="CY92" s="216">
        <f>IF(OR($BQ92,$BS92),SpreadOptPowerMargin,0)*((1+Assumptions!$C$26)^($B92-YEAR(Assumptions!$C$17)))</f>
        <v>1.9101743999999998</v>
      </c>
      <c r="CZ92" s="216">
        <f>IF(OR($BQ92,$BS92),SpreadOptPowerMargin,0)*((1+Assumptions!$C$26)^($B92-YEAR(Assumptions!$C$17)))</f>
        <v>1.9101743999999998</v>
      </c>
      <c r="DA92" s="440">
        <f t="shared" si="263"/>
        <v>1.9101743999999996</v>
      </c>
      <c r="DB92" s="479">
        <f t="shared" si="264"/>
        <v>0.15</v>
      </c>
      <c r="DC92" s="479">
        <f t="shared" si="265"/>
        <v>0.15</v>
      </c>
      <c r="DD92" s="479">
        <f t="shared" si="266"/>
        <v>0.11</v>
      </c>
      <c r="DE92" s="479">
        <f t="shared" si="267"/>
        <v>0.11</v>
      </c>
      <c r="DF92" s="479">
        <f t="shared" si="268"/>
        <v>0.1367816322529235</v>
      </c>
      <c r="DG92" s="574">
        <f t="shared" si="269"/>
        <v>0.1367816322529235</v>
      </c>
      <c r="DH92" s="216">
        <f t="shared" si="270"/>
        <v>88.344727232403159</v>
      </c>
      <c r="DI92" s="216">
        <f t="shared" si="271"/>
        <v>88.344727232403159</v>
      </c>
      <c r="DJ92" s="216">
        <f t="shared" ca="1" si="195"/>
        <v>10.907871877704789</v>
      </c>
      <c r="DK92" s="216">
        <f t="shared" ca="1" si="196"/>
        <v>10.907872408534175</v>
      </c>
      <c r="DL92" s="216">
        <f t="shared" ca="1" si="197"/>
        <v>55.695337016744617</v>
      </c>
      <c r="DM92" s="216"/>
      <c r="DN92" s="216"/>
      <c r="DO92" s="216"/>
      <c r="DP92" s="216"/>
      <c r="DQ92" s="216"/>
      <c r="DR92" s="216"/>
      <c r="DS92" s="216"/>
      <c r="DT92" s="216"/>
      <c r="DU92" s="216"/>
      <c r="DV92" s="216"/>
      <c r="DW92" s="1371">
        <f t="shared" si="272"/>
        <v>10.907871877704789</v>
      </c>
      <c r="DX92" s="216">
        <f t="shared" si="273"/>
        <v>10.907872408534175</v>
      </c>
      <c r="DY92" s="440">
        <f t="shared" si="274"/>
        <v>55.871207421892137</v>
      </c>
      <c r="DZ92" s="180">
        <f t="shared" si="275"/>
        <v>4730330.0749317948</v>
      </c>
      <c r="EA92" s="180">
        <f t="shared" si="276"/>
        <v>822666.09998813819</v>
      </c>
      <c r="EB92" s="180">
        <f t="shared" ca="1" si="198"/>
        <v>101574.10292518699</v>
      </c>
      <c r="EC92" s="180">
        <f t="shared" ca="1" si="199"/>
        <v>393599.66798954719</v>
      </c>
      <c r="ED92" s="180">
        <f t="shared" ca="1" si="200"/>
        <v>6029131.6227366384</v>
      </c>
      <c r="EE92" s="581">
        <f t="shared" si="277"/>
        <v>4730328.6295663835</v>
      </c>
      <c r="EF92" s="554">
        <f t="shared" si="278"/>
        <v>822665.84862024069</v>
      </c>
      <c r="EG92" s="554">
        <f t="shared" ca="1" si="201"/>
        <v>97659.248497456283</v>
      </c>
      <c r="EH92" s="554">
        <f t="shared" ca="1" si="202"/>
        <v>378429.60869104695</v>
      </c>
      <c r="EI92" s="561">
        <f t="shared" ca="1" si="279"/>
        <v>6029083.3353751255</v>
      </c>
      <c r="EJ92" s="581">
        <f t="shared" si="333"/>
        <v>1.4453654112294316</v>
      </c>
      <c r="EK92" s="554">
        <f t="shared" si="334"/>
        <v>0.25136789749376476</v>
      </c>
      <c r="EL92" s="554">
        <f t="shared" ca="1" si="203"/>
        <v>3914.8544277307083</v>
      </c>
      <c r="EM92" s="554">
        <f t="shared" ca="1" si="204"/>
        <v>15170.059298500244</v>
      </c>
      <c r="EN92" s="561">
        <f t="shared" ca="1" si="205"/>
        <v>48.287361512891948</v>
      </c>
      <c r="EO92" s="180">
        <f t="shared" si="280"/>
        <v>18921320.299727179</v>
      </c>
      <c r="EP92" s="180">
        <f t="shared" si="281"/>
        <v>3290664.3999525527</v>
      </c>
      <c r="EQ92" s="180">
        <f t="shared" si="282"/>
        <v>406296.41170074797</v>
      </c>
      <c r="ER92" s="180">
        <f t="shared" si="283"/>
        <v>1574398.6719581888</v>
      </c>
      <c r="ES92" s="180">
        <f t="shared" si="284"/>
        <v>24192679.78333867</v>
      </c>
      <c r="ET92" s="1482">
        <f t="shared" ca="1" si="206"/>
        <v>18921314.518265534</v>
      </c>
      <c r="EU92" s="180">
        <f t="shared" ca="1" si="207"/>
        <v>3290663.3944809628</v>
      </c>
      <c r="EV92" s="180">
        <f t="shared" ca="1" si="208"/>
        <v>390636.99398982513</v>
      </c>
      <c r="EW92" s="180">
        <f t="shared" ca="1" si="209"/>
        <v>1513718.4347641878</v>
      </c>
      <c r="EX92" s="555">
        <f t="shared" ca="1" si="182"/>
        <v>24116333.34150051</v>
      </c>
      <c r="EY92" s="180">
        <f t="shared" ca="1" si="210"/>
        <v>5.7814616449177265</v>
      </c>
      <c r="EZ92" s="180">
        <f t="shared" ca="1" si="211"/>
        <v>1.005471589975059</v>
      </c>
      <c r="FA92" s="180">
        <f t="shared" ca="1" si="212"/>
        <v>15659.417710922833</v>
      </c>
      <c r="FB92" s="180">
        <f t="shared" ca="1" si="213"/>
        <v>60680.237194000976</v>
      </c>
      <c r="FC92" s="180">
        <f t="shared" ca="1" si="214"/>
        <v>76346.441838160157</v>
      </c>
      <c r="FD92" s="262">
        <f>IF(AX92,IF(VLOOKUP(C92,MAIN!$L$17:$M$28,2)="Yes",VLOOKUP(CALC!B92,MAIN!$H$17:$I$20,2),0),0)</f>
        <v>0</v>
      </c>
      <c r="FE92" s="623">
        <f t="shared" si="285"/>
        <v>0</v>
      </c>
      <c r="FF92" s="535">
        <f t="shared" si="286"/>
        <v>0</v>
      </c>
      <c r="FG92" s="535">
        <f t="shared" si="287"/>
        <v>0</v>
      </c>
      <c r="FH92" s="624">
        <f t="shared" si="288"/>
        <v>0</v>
      </c>
      <c r="FI92" s="632">
        <f>IF(AX92,VLOOKUP(CALC!B92,MAIN!$H$17:$K$20,4),0)</f>
        <v>0</v>
      </c>
      <c r="FJ92" s="535">
        <f t="shared" si="289"/>
        <v>0</v>
      </c>
      <c r="FK92" s="648">
        <f t="shared" si="335"/>
        <v>0</v>
      </c>
      <c r="FL92" s="530">
        <f t="shared" ca="1" si="215"/>
        <v>0</v>
      </c>
      <c r="FM92" s="530">
        <f t="shared" ca="1" si="216"/>
        <v>0</v>
      </c>
      <c r="FN92" s="530">
        <f t="shared" ca="1" si="217"/>
        <v>0</v>
      </c>
      <c r="FO92" s="622">
        <f t="shared" ca="1" si="218"/>
        <v>0</v>
      </c>
      <c r="FP92" s="530">
        <f t="shared" ca="1" si="219"/>
        <v>0</v>
      </c>
      <c r="FQ92" s="530">
        <f t="shared" ca="1" si="220"/>
        <v>0</v>
      </c>
      <c r="FR92" s="530">
        <f t="shared" ca="1" si="221"/>
        <v>0</v>
      </c>
      <c r="FS92" s="625">
        <f t="shared" ca="1" si="222"/>
        <v>0</v>
      </c>
      <c r="FT92" s="640">
        <f ca="1">IF(AND(Assumptions!$H$71="Yes",A92&gt;=Assumptions!$H$72,A92&lt;=Assumptions!$H$73),0,IF(AND($A92&gt;=Assumptions!$C$17,$A92&lt;=Assumptions!$C$18),MAX(AZ92*(1+VLOOKUP($C92,WeatherCapacityAdjustment,2))-FL92,0),0))</f>
        <v>53544</v>
      </c>
      <c r="FU92" s="530">
        <f ca="1">IF(AND(Assumptions!$H$71="Yes",A92&gt;=Assumptions!$H$72,A92&lt;=Assumptions!$H$73),0,IF(AND($A92&gt;=Assumptions!$C$17,$A92&lt;=Assumptions!$C$18),MAX(BA92*(1+VLOOKUP($C92,WeatherCapacityAdjustment,2))-FM92,0),0))</f>
        <v>9312</v>
      </c>
      <c r="FV92" s="530">
        <f ca="1">IF(AND(Assumptions!$H$71="Yes",A92&gt;=Assumptions!$H$72,A92&lt;=Assumptions!$H$73),0,IF(AND($A92&gt;=Assumptions!$C$17,$A92&lt;=Assumptions!$C$18),MAX(BB92*(1+VLOOKUP($C92,WeatherCapacityAdjustment,2))-FN92,0),0))</f>
        <v>9312</v>
      </c>
      <c r="FW92" s="622">
        <f ca="1">IF(AND(Assumptions!$H$71="Yes",A92&gt;=Assumptions!$H$72,A92&lt;=Assumptions!$H$73),0,IF(AND($A92&gt;=Assumptions!$C$17,$A92&lt;=Assumptions!$C$18),MAX(BC92*(1+VLOOKUP($C92,WeatherCapacityAdjustment,3))-FO92,0),0))</f>
        <v>36084</v>
      </c>
      <c r="FX92" s="621">
        <f ca="1">IF(AND(Assumptions!$H$71="Yes",A92&gt;=Assumptions!$H$72,A92&lt;=Assumptions!$H$73),0,IF(ET92&gt;0,MAX(BH92*(1+VLOOKUP($C92,WeatherCapacityAdjustment,2))-FP92,0),0))</f>
        <v>214176</v>
      </c>
      <c r="FY92" s="530">
        <f ca="1">IF(AND(Assumptions!$H$71="Yes",A92&gt;=Assumptions!$H$72,A92&lt;=Assumptions!$H$73),0,IF(EU92&gt;0,MAX(BI92*(1+VLOOKUP($C92,WeatherCapacityAdjustment,3))-FQ92,0),0))</f>
        <v>37248</v>
      </c>
      <c r="FZ92" s="530">
        <f ca="1">IF(AND(Assumptions!$H$71="Yes",A92&gt;=Assumptions!$H$72,A92&lt;=Assumptions!$H$73),0,IF(EV92&gt;0,MAX(BJ92*(1+VLOOKUP($C92,WeatherCapacityAdjustment,2))-FR92,0),0))</f>
        <v>37248</v>
      </c>
      <c r="GA92" s="622">
        <f ca="1">IF(AND(Assumptions!$H$71="Yes",A92&gt;=Assumptions!$H$72,A92&lt;=Assumptions!$H$73),0,IF(EW92&gt;0,MAX(BK92*(1+VLOOKUP($C92,WeatherCapacityAdjustment,2))-FS92,0),0))</f>
        <v>144336</v>
      </c>
      <c r="GB92" s="530">
        <f t="shared" ca="1" si="290"/>
        <v>541260</v>
      </c>
      <c r="GC92" s="545">
        <f t="shared" ca="1" si="291"/>
        <v>76.099977990901749</v>
      </c>
      <c r="GD92" s="530">
        <f t="shared" ca="1" si="223"/>
        <v>41189874.08735548</v>
      </c>
      <c r="GE92" s="1485">
        <f t="shared" ca="1" si="224"/>
        <v>767660.39784000011</v>
      </c>
      <c r="GF92" s="1776">
        <f t="shared" ca="1" si="225"/>
        <v>3070641.5913600004</v>
      </c>
      <c r="GG92" s="545">
        <f t="shared" si="190"/>
        <v>2.6080689958484222</v>
      </c>
      <c r="GH92" s="622">
        <f t="shared" ca="1" si="191"/>
        <v>10010556.414735848</v>
      </c>
      <c r="GI92" s="621">
        <f t="shared" ca="1" si="336"/>
        <v>541260</v>
      </c>
      <c r="GJ92" s="638">
        <f t="shared" si="292"/>
        <v>1.9101743999999996</v>
      </c>
      <c r="GK92" s="625">
        <f t="shared" ca="1" si="342"/>
        <v>1033900.9957439998</v>
      </c>
      <c r="GL92" s="640">
        <f t="shared" ca="1" si="226"/>
        <v>0</v>
      </c>
      <c r="GM92" s="530">
        <f t="shared" ca="1" si="227"/>
        <v>0</v>
      </c>
      <c r="GN92" s="530">
        <f t="shared" ca="1" si="228"/>
        <v>0</v>
      </c>
      <c r="GO92" s="622">
        <f t="shared" ca="1" si="229"/>
        <v>0</v>
      </c>
      <c r="GP92" s="530">
        <f t="shared" ca="1" si="293"/>
        <v>0</v>
      </c>
      <c r="GQ92" s="545">
        <f t="shared" ca="1" si="294"/>
        <v>0</v>
      </c>
      <c r="GR92" s="625">
        <f t="shared" ca="1" si="230"/>
        <v>0</v>
      </c>
      <c r="GS92" s="640">
        <f>IF($A92&gt;=BegDate,Assumptions!$C$56*24*($A93-$A92)*(1-VLOOKUP($B92,MAIN!$AA$7:$AM$28,$C92+1))*(1-VLOOKUP($B92,MAIN!$AA$33:$AM$54,$C92+1)),0)*80/168</f>
        <v>257742.85714285713</v>
      </c>
      <c r="GT92" s="1715">
        <f t="shared" si="337"/>
        <v>108.74978849234091</v>
      </c>
      <c r="GU92" s="1715">
        <f>IF($A92&gt;=BegDate,VLOOKUP($A92,GasTable,13)+Assumptions!$C$58,0)</f>
        <v>2.6080689958484222</v>
      </c>
      <c r="GV92" s="1715">
        <f>GU92*Assumptions!$C$57/1000</f>
        <v>18.908500219901061</v>
      </c>
      <c r="GW92" s="625">
        <f>IF(Assumptions!$C$60="Hourly",MAX(0,GS92*(GT92-GV92)),GS92*(GT92-GV92))</f>
        <v>23155950.328733712</v>
      </c>
      <c r="GX92" s="640">
        <f>IF($A92&gt;=BegDate,Assumptions!$C$56*24*($A93-$A92)*(1-VLOOKUP($B92,MAIN!$AA$7:$AM$28,$C92+1))*(1-VLOOKUP($B92,MAIN!$AA$33:$AM$54,$C92+1)),0)*16/168</f>
        <v>51548.571428571428</v>
      </c>
      <c r="GY92" s="1715">
        <f t="shared" si="338"/>
        <v>108.74978849234091</v>
      </c>
      <c r="GZ92" s="1715">
        <f>IF($A92&gt;=BegDate,VLOOKUP($A92,GasTable,13)+Assumptions!$C$58,0)</f>
        <v>2.6080689958484222</v>
      </c>
      <c r="HA92" s="1715">
        <f>GZ92*Assumptions!$C$57/1000</f>
        <v>18.908500219901061</v>
      </c>
      <c r="HB92" s="625">
        <f>IF(Assumptions!$C$60="Hourly",MAX(0,GX92*(GY92-HA92)),GX92*(GY92-HA92))</f>
        <v>4631190.0657467423</v>
      </c>
      <c r="HC92" s="640">
        <f>IF($A92&gt;=BegDate,Assumptions!$C$56*24*($A93-$A92)*(1-VLOOKUP($B92,MAIN!$AA$7:$AM$28,$C92+1))*(1-VLOOKUP($B92,MAIN!$AA$33:$AM$54,$C92+1)),0)*16/168</f>
        <v>51548.571428571428</v>
      </c>
      <c r="HD92" s="1715">
        <f t="shared" si="339"/>
        <v>30.892549636524269</v>
      </c>
      <c r="HE92" s="1715">
        <f>IF($A92&gt;=BegDate,VLOOKUP($A92,GasTable,13)+Assumptions!$C$58,0)</f>
        <v>2.6080689958484222</v>
      </c>
      <c r="HF92" s="1715">
        <f>HE92*Assumptions!$C$57/1000</f>
        <v>18.908500219901061</v>
      </c>
      <c r="HG92" s="625">
        <f>IF(Assumptions!$C$60="Hourly",MAX(0,HC92*(HD92-HF92)),HC92*(HD92-HF92))</f>
        <v>617760.62735633121</v>
      </c>
      <c r="HH92" s="640">
        <f>IF($A92&gt;=BegDate,Assumptions!$C$56*24*($A93-$A92)*(1-VLOOKUP($B92,MAIN!$AA$7:$AM$28,$C92+1))*(1-VLOOKUP($B92,MAIN!$AA$33:$AM$54,$C92+1)),0)*56/168</f>
        <v>180420</v>
      </c>
      <c r="HI92" s="1715">
        <f t="shared" si="340"/>
        <v>30.892549636524269</v>
      </c>
      <c r="HJ92" s="1715">
        <f>IF($A92&gt;=BegDate,VLOOKUP($A92,GasTable,13)+Assumptions!$C$58,0)</f>
        <v>2.6080689958484222</v>
      </c>
      <c r="HK92" s="1715">
        <f>HJ92*Assumptions!$C$57/1000</f>
        <v>18.908500219901061</v>
      </c>
      <c r="HL92" s="625">
        <f>IF(Assumptions!$C$60="Hourly",MAX(0,HH92*(HI92-HK92)),HH92*(HI92-HK92))</f>
        <v>2162162.195747159</v>
      </c>
      <c r="HM92" s="640">
        <f>IF(AND(Assumptions!$H$71="Yes",A92&gt;=Assumptions!$H$72,A92&lt;=Assumptions!$H$73),Assumptions!$H$74*Assumptions!$C$9*1000,0)</f>
        <v>0</v>
      </c>
      <c r="HN92" s="530"/>
      <c r="HO92" s="545"/>
      <c r="HP92" s="545"/>
      <c r="HQ92" s="545"/>
      <c r="HR92" s="545"/>
      <c r="HS92" s="545"/>
      <c r="HT92" s="545"/>
      <c r="HU92" s="545"/>
      <c r="HV92" s="545"/>
      <c r="HW92" s="545"/>
      <c r="HX92" s="545"/>
      <c r="HY92" s="545"/>
      <c r="HZ92" s="545"/>
      <c r="IA92" s="545"/>
      <c r="IB92" s="545"/>
      <c r="IC92" s="545"/>
      <c r="ID92" s="545"/>
      <c r="IE92" s="545"/>
      <c r="IF92" s="545"/>
      <c r="IG92" s="545"/>
      <c r="IH92" s="545"/>
      <c r="II92" s="1464"/>
      <c r="IJ92" s="1463"/>
      <c r="IK92" s="1463"/>
    </row>
    <row r="93" spans="1:245">
      <c r="A93" s="177">
        <f t="shared" si="295"/>
        <v>38961</v>
      </c>
      <c r="B93" s="349">
        <f t="shared" si="296"/>
        <v>2006</v>
      </c>
      <c r="C93" s="15">
        <f t="shared" si="236"/>
        <v>9</v>
      </c>
      <c r="D93" s="612">
        <f t="shared" si="297"/>
        <v>38964</v>
      </c>
      <c r="E93" s="609">
        <f t="shared" si="237"/>
        <v>38961</v>
      </c>
      <c r="F93" s="614">
        <f t="shared" si="238"/>
        <v>38990</v>
      </c>
      <c r="G93" s="1349">
        <v>0</v>
      </c>
      <c r="H93" s="152">
        <f t="shared" si="341"/>
        <v>1</v>
      </c>
      <c r="I93" s="154">
        <f>IF(Assumptions!$L$25=4,VLOOKUP($A93,'Henwood Reference'!$E$9:$R$320,10),(VLOOKUP($A93,PriceTable,2,0)+IF(BasisNumber&lt;&gt;1,VLOOKUP($A93,BasisTable,2,0),0)+I$1)/(1-I$2))</f>
        <v>75.646018945591777</v>
      </c>
      <c r="J93" s="154">
        <f>IF(Assumptions!$L$25=4,VLOOKUP($A93,'Henwood Reference'!$E$9:$R$320,10),(VLOOKUP($A93,PriceTable,3,0)+IF(BasisNumber&lt;&gt;1,VLOOKUP($A93,BasisTable,2,0),0)+J$1)/(1-J$2))</f>
        <v>75.646018945591777</v>
      </c>
      <c r="K93" s="154">
        <f>IF(Assumptions!$L$25=4,VLOOKUP($A93,'Henwood Reference'!$E$9:$R$320,10),(VLOOKUP($A93,PriceTable,4,0)+IF(BasisNumber&lt;&gt;1,VLOOKUP($A93,BasisTable,2,0),0)+K$1)/(1-K$2))</f>
        <v>75.646018945591777</v>
      </c>
      <c r="L93" s="474">
        <f>IF(Assumptions!$L$25=4,VLOOKUP($A93,'Henwood Reference'!$E$9:$R$320,10),(VLOOKUP($A93,PriceTableWeekend,2,0)+IF(BasisNumber&lt;&gt;1,VLOOKUP($A93,BasisTable,2,0),0)+L$1)/(1-L$2))</f>
        <v>75.646018945591777</v>
      </c>
      <c r="M93" s="154">
        <f>IF(Assumptions!$L$25=4,VLOOKUP($A93,'Henwood Reference'!$E$9:$R$320,10),(VLOOKUP($A93,PriceTableWeekend,3,0)+IF(BasisNumber&lt;&gt;1,VLOOKUP($A93,BasisTable,2,0),0)+M$1)/(1-M$2))</f>
        <v>75.646018945591777</v>
      </c>
      <c r="N93" s="156">
        <f>IF(Assumptions!$L$25=4,VLOOKUP($A93,'Henwood Reference'!$E$9:$R$320,10),(VLOOKUP($A93,PriceTableWeekend,4,0)+IF(BasisNumber&lt;&gt;1,VLOOKUP($A93,BasisTable,2,0),0)+N$1)/(1-N$2))</f>
        <v>75.646018945591777</v>
      </c>
      <c r="O93" s="154">
        <f>IF(Assumptions!$L$25=4,VLOOKUP($A93,'Henwood Reference'!$E$9:$R$320,11),(VLOOKUP($A93,PriceTableWeekend,6,0)+IF(BasisNumber&lt;&gt;1,VLOOKUP($A93,BasisTable,3,0),0)+O$1)/(1-O$2))</f>
        <v>29.938352218681882</v>
      </c>
      <c r="P93" s="154">
        <f>IF(Assumptions!$L$25=4,VLOOKUP($A93,'Henwood Reference'!$E$9:$R$320,11),(VLOOKUP($A93,PriceTableWeekend,7,0)+IF(BasisNumber&lt;&gt;1,VLOOKUP($A93,BasisTable,3,0),0)+P$1)/(1-P$2))</f>
        <v>29.938352218681882</v>
      </c>
      <c r="Q93" s="156">
        <f>IF(Assumptions!$L$25=4,VLOOKUP($A93,'Henwood Reference'!$E$9:$R$320,11),(VLOOKUP($A93,PriceTableWeekend,8,0)+IF(BasisNumber&lt;&gt;1,VLOOKUP($A93,BasisTable,3,0),0)+Q$1)/(1-Q$2))</f>
        <v>29.938352218681882</v>
      </c>
      <c r="R93" s="154">
        <f>IF(Assumptions!$L$25=4,VLOOKUP($A93,'Henwood Reference'!$E$9:$R$320,11),(VLOOKUP($A93,PriceTable,6,0)+IF(BasisNumber&lt;&gt;1,VLOOKUP($A93,BasisTable,3,0),0)+R$1)/(1-R$2))</f>
        <v>29.938352218681882</v>
      </c>
      <c r="S93" s="154">
        <f>IF(Assumptions!$L$25=4,VLOOKUP($A93,'Henwood Reference'!$E$9:$R$320,11),(VLOOKUP($A93,PriceTable,7,0)+IF(BasisNumber&lt;&gt;1,VLOOKUP($A93,BasisTable,3,0),0)+S$1)/(1-S$2))</f>
        <v>29.938352218681882</v>
      </c>
      <c r="T93" s="155">
        <f>IF(Assumptions!$L$25=4,VLOOKUP($A93,'Henwood Reference'!$E$9:$R$320,11),(VLOOKUP($A93,PriceTable,8,0)+IF(BasisNumber&lt;&gt;1,VLOOKUP($A93,BasisTable,3,0),0)+T$1)/(1-T$2))</f>
        <v>29.938352218681882</v>
      </c>
      <c r="U93" s="173">
        <f t="shared" si="298"/>
        <v>0.14000000000000001</v>
      </c>
      <c r="V93" s="173">
        <f t="shared" si="299"/>
        <v>0.15</v>
      </c>
      <c r="W93" s="174">
        <f t="shared" si="300"/>
        <v>0.16</v>
      </c>
      <c r="X93" s="173">
        <f t="shared" si="301"/>
        <v>0.14000000000000001</v>
      </c>
      <c r="Y93" s="173">
        <f t="shared" si="302"/>
        <v>0.15</v>
      </c>
      <c r="Z93" s="174">
        <f t="shared" si="303"/>
        <v>0.16</v>
      </c>
      <c r="AA93" s="173">
        <f t="shared" si="304"/>
        <v>0.09</v>
      </c>
      <c r="AB93" s="173">
        <f t="shared" si="305"/>
        <v>0.11</v>
      </c>
      <c r="AC93" s="174">
        <f t="shared" si="306"/>
        <v>0.13</v>
      </c>
      <c r="AD93" s="173">
        <f t="shared" si="307"/>
        <v>0.09</v>
      </c>
      <c r="AE93" s="173">
        <f t="shared" si="308"/>
        <v>0.11</v>
      </c>
      <c r="AF93" s="174">
        <f t="shared" si="309"/>
        <v>0.13</v>
      </c>
      <c r="AG93" s="173">
        <f t="shared" si="310"/>
        <v>-0.35</v>
      </c>
      <c r="AH93" s="173">
        <f t="shared" si="311"/>
        <v>3</v>
      </c>
      <c r="AI93" s="174">
        <f t="shared" si="312"/>
        <v>0.2</v>
      </c>
      <c r="AJ93" s="173">
        <f t="shared" si="313"/>
        <v>-0.35</v>
      </c>
      <c r="AK93" s="173">
        <f t="shared" si="314"/>
        <v>3</v>
      </c>
      <c r="AL93" s="174">
        <f t="shared" si="315"/>
        <v>0.2</v>
      </c>
      <c r="AM93" s="173">
        <f t="shared" si="316"/>
        <v>-0.01</v>
      </c>
      <c r="AN93" s="173">
        <f t="shared" si="317"/>
        <v>0.16</v>
      </c>
      <c r="AO93" s="174">
        <f t="shared" si="318"/>
        <v>0.01</v>
      </c>
      <c r="AP93" s="173">
        <f t="shared" si="319"/>
        <v>-0.01</v>
      </c>
      <c r="AQ93" s="173">
        <f t="shared" si="320"/>
        <v>0.16</v>
      </c>
      <c r="AR93" s="175">
        <f t="shared" si="321"/>
        <v>0.01</v>
      </c>
      <c r="AS93" s="521">
        <f t="shared" si="322"/>
        <v>0.5</v>
      </c>
      <c r="AT93" s="349">
        <f t="shared" si="239"/>
        <v>20</v>
      </c>
      <c r="AU93" s="159">
        <f t="shared" si="240"/>
        <v>5</v>
      </c>
      <c r="AV93" s="159">
        <f t="shared" si="241"/>
        <v>4</v>
      </c>
      <c r="AW93" s="159">
        <f t="shared" si="323"/>
        <v>1</v>
      </c>
      <c r="AX93" s="15">
        <f t="shared" si="242"/>
        <v>30</v>
      </c>
      <c r="AY93" s="607">
        <f>IF(E93="",0,MIN((1-(1-VLOOKUP(B93,MAIN!$AA$7:$AM$28,C93+1))*(1-VLOOKUP(B93,MAIN!$AA$33:$AM$54,C93+1))),1))</f>
        <v>3.0000000000000027E-2</v>
      </c>
      <c r="AZ93" s="337">
        <v>46560</v>
      </c>
      <c r="BA93" s="509">
        <v>11640</v>
      </c>
      <c r="BB93" s="509">
        <v>11640</v>
      </c>
      <c r="BC93" s="511">
        <v>34920</v>
      </c>
      <c r="BD93" s="153">
        <v>0.9699999927729368</v>
      </c>
      <c r="BE93" s="474">
        <v>0.9699999927729368</v>
      </c>
      <c r="BF93" s="474">
        <v>0.9699999927729368</v>
      </c>
      <c r="BG93" s="515">
        <v>0.9699999927729368</v>
      </c>
      <c r="BH93" s="262">
        <v>186240</v>
      </c>
      <c r="BI93" s="509">
        <v>46560</v>
      </c>
      <c r="BJ93" s="509">
        <v>46560</v>
      </c>
      <c r="BK93" s="511">
        <v>139680</v>
      </c>
      <c r="BL93" s="153">
        <v>0.9699999927729368</v>
      </c>
      <c r="BM93" s="474">
        <v>0.9699999927729368</v>
      </c>
      <c r="BN93" s="474">
        <v>0.9699999927729368</v>
      </c>
      <c r="BO93" s="474">
        <v>0.9699999927729368</v>
      </c>
      <c r="BP93" s="261">
        <f t="shared" si="324"/>
        <v>69840</v>
      </c>
      <c r="BQ93" s="578">
        <f t="shared" si="325"/>
        <v>104760</v>
      </c>
      <c r="BR93" s="259">
        <f t="shared" si="326"/>
        <v>279360</v>
      </c>
      <c r="BS93" s="578">
        <f t="shared" si="327"/>
        <v>419040</v>
      </c>
      <c r="BT93" s="216">
        <f t="shared" si="328"/>
        <v>6.3819301848049284</v>
      </c>
      <c r="BU93" s="218">
        <f t="shared" si="243"/>
        <v>75.646018381985016</v>
      </c>
      <c r="BV93" s="216">
        <f t="shared" si="244"/>
        <v>75.646018381985016</v>
      </c>
      <c r="BW93" s="216">
        <f t="shared" si="245"/>
        <v>29.938351995623776</v>
      </c>
      <c r="BX93" s="216">
        <f t="shared" si="329"/>
        <v>29.938351995623776</v>
      </c>
      <c r="BY93" s="216">
        <f t="shared" si="246"/>
        <v>68.028073984258143</v>
      </c>
      <c r="BZ93" s="216">
        <f t="shared" si="247"/>
        <v>55.331499988046687</v>
      </c>
      <c r="CA93" s="264">
        <f t="shared" si="248"/>
        <v>75.646018381985016</v>
      </c>
      <c r="CB93" s="216">
        <f t="shared" si="249"/>
        <v>75.646018381985016</v>
      </c>
      <c r="CC93" s="216">
        <f t="shared" si="250"/>
        <v>29.938351995623776</v>
      </c>
      <c r="CD93" s="216">
        <f t="shared" si="330"/>
        <v>29.938351995623776</v>
      </c>
      <c r="CE93" s="216">
        <f t="shared" si="251"/>
        <v>68.028073984258143</v>
      </c>
      <c r="CF93" s="571">
        <f t="shared" si="252"/>
        <v>55.331499988046687</v>
      </c>
      <c r="CG93" s="573">
        <f t="shared" si="253"/>
        <v>0.15</v>
      </c>
      <c r="CH93" s="219">
        <f t="shared" si="254"/>
        <v>0.15</v>
      </c>
      <c r="CI93" s="219">
        <f t="shared" si="255"/>
        <v>0.11</v>
      </c>
      <c r="CJ93" s="219">
        <f t="shared" si="256"/>
        <v>0.14711671753595501</v>
      </c>
      <c r="CK93" s="219">
        <f t="shared" si="257"/>
        <v>0.14711671753595501</v>
      </c>
      <c r="CL93" s="219">
        <f t="shared" si="258"/>
        <v>0.11</v>
      </c>
      <c r="CM93" s="219">
        <f t="shared" si="259"/>
        <v>0.13209145791133931</v>
      </c>
      <c r="CN93" s="569">
        <f t="shared" si="260"/>
        <v>0.13209145791133931</v>
      </c>
      <c r="CO93" s="264">
        <f t="shared" si="343"/>
        <v>19.271227718091676</v>
      </c>
      <c r="CP93" s="216">
        <f t="shared" si="331"/>
        <v>19.271227718091676</v>
      </c>
      <c r="CQ93" s="216">
        <f t="shared" ca="1" si="192"/>
        <v>19.271227718091676</v>
      </c>
      <c r="CR93" s="216">
        <f t="shared" ca="1" si="193"/>
        <v>19.271227718091676</v>
      </c>
      <c r="CS93" s="1626">
        <f t="shared" ca="1" si="194"/>
        <v>19.271227718091676</v>
      </c>
      <c r="CT93" s="216">
        <f t="shared" si="332"/>
        <v>19.271227718091676</v>
      </c>
      <c r="CU93" s="575">
        <f t="shared" si="261"/>
        <v>0.16</v>
      </c>
      <c r="CV93" s="154">
        <f t="shared" si="262"/>
        <v>0.5</v>
      </c>
      <c r="CW93" s="216">
        <f>IF(OR($BQ93,$BS93),SpreadOptPowerMargin,0)*((1+Assumptions!$C$26)^($B93-YEAR(Assumptions!$C$17)))</f>
        <v>1.9101743999999998</v>
      </c>
      <c r="CX93" s="216">
        <f>IF(OR($BQ93,$BS93),SpreadOptPowerMargin,0)*((1+Assumptions!$C$26)^($B93-YEAR(Assumptions!$C$17)))</f>
        <v>1.9101743999999998</v>
      </c>
      <c r="CY93" s="216">
        <f>IF(OR($BQ93,$BS93),SpreadOptPowerMargin,0)*((1+Assumptions!$C$26)^($B93-YEAR(Assumptions!$C$17)))</f>
        <v>1.9101743999999998</v>
      </c>
      <c r="CZ93" s="216">
        <f>IF(OR($BQ93,$BS93),SpreadOptPowerMargin,0)*((1+Assumptions!$C$26)^($B93-YEAR(Assumptions!$C$17)))</f>
        <v>1.9101743999999998</v>
      </c>
      <c r="DA93" s="440">
        <f t="shared" si="263"/>
        <v>1.9101744000000001</v>
      </c>
      <c r="DB93" s="479">
        <f t="shared" si="264"/>
        <v>0.15</v>
      </c>
      <c r="DC93" s="479">
        <f t="shared" si="265"/>
        <v>0.15</v>
      </c>
      <c r="DD93" s="479">
        <f t="shared" si="266"/>
        <v>0.11</v>
      </c>
      <c r="DE93" s="479">
        <f t="shared" si="267"/>
        <v>0.11</v>
      </c>
      <c r="DF93" s="479">
        <f t="shared" si="268"/>
        <v>0.13209145791133931</v>
      </c>
      <c r="DG93" s="574">
        <f t="shared" si="269"/>
        <v>0.13209145791133931</v>
      </c>
      <c r="DH93" s="216">
        <f t="shared" si="270"/>
        <v>54.466083208108316</v>
      </c>
      <c r="DI93" s="216">
        <f t="shared" si="271"/>
        <v>54.466083208108316</v>
      </c>
      <c r="DJ93" s="216">
        <f t="shared" ca="1" si="195"/>
        <v>9.4106319526923432</v>
      </c>
      <c r="DK93" s="216">
        <f t="shared" ca="1" si="196"/>
        <v>9.4106319526923432</v>
      </c>
      <c r="DL93" s="216">
        <f t="shared" ca="1" si="197"/>
        <v>34.163325987120295</v>
      </c>
      <c r="DM93" s="216"/>
      <c r="DN93" s="216"/>
      <c r="DO93" s="216"/>
      <c r="DP93" s="216"/>
      <c r="DQ93" s="216"/>
      <c r="DR93" s="216"/>
      <c r="DS93" s="216"/>
      <c r="DT93" s="216"/>
      <c r="DU93" s="216"/>
      <c r="DV93" s="216"/>
      <c r="DW93" s="1371">
        <f t="shared" si="272"/>
        <v>9.4106319526923432</v>
      </c>
      <c r="DX93" s="216">
        <f t="shared" si="273"/>
        <v>9.4106319526923432</v>
      </c>
      <c r="DY93" s="440">
        <f t="shared" si="274"/>
        <v>34.441438205701218</v>
      </c>
      <c r="DZ93" s="180">
        <f t="shared" si="275"/>
        <v>2535940.8341695233</v>
      </c>
      <c r="EA93" s="180">
        <f t="shared" si="276"/>
        <v>633985.20854238083</v>
      </c>
      <c r="EB93" s="180">
        <f t="shared" ca="1" si="198"/>
        <v>109539.75592933888</v>
      </c>
      <c r="EC93" s="180">
        <f t="shared" ca="1" si="199"/>
        <v>328619.26778801664</v>
      </c>
      <c r="ED93" s="180">
        <f t="shared" ca="1" si="200"/>
        <v>3578950.0304107219</v>
      </c>
      <c r="EE93" s="581">
        <f t="shared" si="277"/>
        <v>2535872.5332468739</v>
      </c>
      <c r="EF93" s="554">
        <f t="shared" si="278"/>
        <v>633968.13331171847</v>
      </c>
      <c r="EG93" s="554">
        <f t="shared" ca="1" si="201"/>
        <v>101930.89657447365</v>
      </c>
      <c r="EH93" s="554">
        <f t="shared" ca="1" si="202"/>
        <v>305792.68972342095</v>
      </c>
      <c r="EI93" s="561">
        <f t="shared" ca="1" si="279"/>
        <v>3577564.2528564869</v>
      </c>
      <c r="EJ93" s="581">
        <f t="shared" si="333"/>
        <v>68.300922649446875</v>
      </c>
      <c r="EK93" s="554">
        <f t="shared" si="334"/>
        <v>17.075230662361719</v>
      </c>
      <c r="EL93" s="554">
        <f t="shared" ca="1" si="203"/>
        <v>7608.8593548652279</v>
      </c>
      <c r="EM93" s="554">
        <f t="shared" ca="1" si="204"/>
        <v>22826.578064595698</v>
      </c>
      <c r="EN93" s="561">
        <f t="shared" ca="1" si="205"/>
        <v>1385.7775542349555</v>
      </c>
      <c r="EO93" s="180">
        <f t="shared" si="280"/>
        <v>10143763.336678093</v>
      </c>
      <c r="EP93" s="180">
        <f t="shared" si="281"/>
        <v>2535940.8341695233</v>
      </c>
      <c r="EQ93" s="180">
        <f t="shared" si="282"/>
        <v>438159.02371735551</v>
      </c>
      <c r="ER93" s="180">
        <f t="shared" si="283"/>
        <v>1314477.0711520666</v>
      </c>
      <c r="ES93" s="180">
        <f t="shared" si="284"/>
        <v>14432340.265717039</v>
      </c>
      <c r="ET93" s="1482">
        <f t="shared" ca="1" si="206"/>
        <v>10143490.132987496</v>
      </c>
      <c r="EU93" s="180">
        <f t="shared" ca="1" si="207"/>
        <v>2535872.5332468739</v>
      </c>
      <c r="EV93" s="180">
        <f t="shared" ca="1" si="208"/>
        <v>407723.5862978946</v>
      </c>
      <c r="EW93" s="180">
        <f t="shared" ca="1" si="209"/>
        <v>1223170.7588936838</v>
      </c>
      <c r="EX93" s="555">
        <f t="shared" ca="1" si="182"/>
        <v>14310257.011425948</v>
      </c>
      <c r="EY93" s="180">
        <f t="shared" ca="1" si="210"/>
        <v>273.2036905977875</v>
      </c>
      <c r="EZ93" s="180">
        <f t="shared" ca="1" si="211"/>
        <v>68.300922649446875</v>
      </c>
      <c r="FA93" s="180">
        <f t="shared" ca="1" si="212"/>
        <v>30435.437419460912</v>
      </c>
      <c r="FB93" s="180">
        <f t="shared" ca="1" si="213"/>
        <v>91306.312258382794</v>
      </c>
      <c r="FC93" s="180">
        <f t="shared" ca="1" si="214"/>
        <v>122083.25429109111</v>
      </c>
      <c r="FD93" s="262">
        <f>IF(AX93,IF(VLOOKUP(C93,MAIN!$L$17:$M$28,2)="Yes",VLOOKUP(CALC!B93,MAIN!$H$17:$I$20,2),0),0)</f>
        <v>0</v>
      </c>
      <c r="FE93" s="623">
        <f t="shared" si="285"/>
        <v>0</v>
      </c>
      <c r="FF93" s="535">
        <f t="shared" si="286"/>
        <v>0</v>
      </c>
      <c r="FG93" s="535">
        <f t="shared" si="287"/>
        <v>0</v>
      </c>
      <c r="FH93" s="624">
        <f t="shared" si="288"/>
        <v>0</v>
      </c>
      <c r="FI93" s="632">
        <f>IF(AX93,VLOOKUP(CALC!B93,MAIN!$H$17:$K$20,4),0)</f>
        <v>0</v>
      </c>
      <c r="FJ93" s="535">
        <f t="shared" si="289"/>
        <v>0</v>
      </c>
      <c r="FK93" s="648">
        <f t="shared" si="335"/>
        <v>0</v>
      </c>
      <c r="FL93" s="530">
        <f t="shared" ca="1" si="215"/>
        <v>0</v>
      </c>
      <c r="FM93" s="530">
        <f t="shared" ca="1" si="216"/>
        <v>0</v>
      </c>
      <c r="FN93" s="530">
        <f t="shared" ca="1" si="217"/>
        <v>0</v>
      </c>
      <c r="FO93" s="622">
        <f t="shared" ca="1" si="218"/>
        <v>0</v>
      </c>
      <c r="FP93" s="530">
        <f t="shared" ca="1" si="219"/>
        <v>0</v>
      </c>
      <c r="FQ93" s="530">
        <f t="shared" ca="1" si="220"/>
        <v>0</v>
      </c>
      <c r="FR93" s="530">
        <f t="shared" ca="1" si="221"/>
        <v>0</v>
      </c>
      <c r="FS93" s="625">
        <f t="shared" ca="1" si="222"/>
        <v>0</v>
      </c>
      <c r="FT93" s="640">
        <f ca="1">IF(AND(Assumptions!$H$71="Yes",A93&gt;=Assumptions!$H$72,A93&lt;=Assumptions!$H$73),0,IF(AND($A93&gt;=Assumptions!$C$17,$A93&lt;=Assumptions!$C$18),MAX(AZ93*(1+VLOOKUP($C93,WeatherCapacityAdjustment,2))-FL93,0),0))</f>
        <v>46560</v>
      </c>
      <c r="FU93" s="530">
        <f ca="1">IF(AND(Assumptions!$H$71="Yes",A93&gt;=Assumptions!$H$72,A93&lt;=Assumptions!$H$73),0,IF(AND($A93&gt;=Assumptions!$C$17,$A93&lt;=Assumptions!$C$18),MAX(BA93*(1+VLOOKUP($C93,WeatherCapacityAdjustment,2))-FM93,0),0))</f>
        <v>11640</v>
      </c>
      <c r="FV93" s="530">
        <f ca="1">IF(AND(Assumptions!$H$71="Yes",A93&gt;=Assumptions!$H$72,A93&lt;=Assumptions!$H$73),0,IF(AND($A93&gt;=Assumptions!$C$17,$A93&lt;=Assumptions!$C$18),MAX(BB93*(1+VLOOKUP($C93,WeatherCapacityAdjustment,2))-FN93,0),0))</f>
        <v>11640</v>
      </c>
      <c r="FW93" s="622">
        <f ca="1">IF(AND(Assumptions!$H$71="Yes",A93&gt;=Assumptions!$H$72,A93&lt;=Assumptions!$H$73),0,IF(AND($A93&gt;=Assumptions!$C$17,$A93&lt;=Assumptions!$C$18),MAX(BC93*(1+VLOOKUP($C93,WeatherCapacityAdjustment,3))-FO93,0),0))</f>
        <v>34920</v>
      </c>
      <c r="FX93" s="621">
        <f ca="1">IF(AND(Assumptions!$H$71="Yes",A93&gt;=Assumptions!$H$72,A93&lt;=Assumptions!$H$73),0,IF(ET93&gt;0,MAX(BH93*(1+VLOOKUP($C93,WeatherCapacityAdjustment,2))-FP93,0),0))</f>
        <v>186240</v>
      </c>
      <c r="FY93" s="530">
        <f ca="1">IF(AND(Assumptions!$H$71="Yes",A93&gt;=Assumptions!$H$72,A93&lt;=Assumptions!$H$73),0,IF(EU93&gt;0,MAX(BI93*(1+VLOOKUP($C93,WeatherCapacityAdjustment,3))-FQ93,0),0))</f>
        <v>46560</v>
      </c>
      <c r="FZ93" s="530">
        <f ca="1">IF(AND(Assumptions!$H$71="Yes",A93&gt;=Assumptions!$H$72,A93&lt;=Assumptions!$H$73),0,IF(EV93&gt;0,MAX(BJ93*(1+VLOOKUP($C93,WeatherCapacityAdjustment,2))-FR93,0),0))</f>
        <v>46560</v>
      </c>
      <c r="GA93" s="622">
        <f ca="1">IF(AND(Assumptions!$H$71="Yes",A93&gt;=Assumptions!$H$72,A93&lt;=Assumptions!$H$73),0,IF(EW93&gt;0,MAX(BK93*(1+VLOOKUP($C93,WeatherCapacityAdjustment,2))-FS93,0),0))</f>
        <v>139680</v>
      </c>
      <c r="GB93" s="530">
        <f t="shared" ca="1" si="290"/>
        <v>523800</v>
      </c>
      <c r="GC93" s="545">
        <f t="shared" ca="1" si="291"/>
        <v>55.331499988046687</v>
      </c>
      <c r="GD93" s="530">
        <f t="shared" ca="1" si="223"/>
        <v>28982639.693738855</v>
      </c>
      <c r="GE93" s="1485">
        <f t="shared" ca="1" si="224"/>
        <v>743205.15359999996</v>
      </c>
      <c r="GF93" s="1776">
        <f t="shared" ca="1" si="225"/>
        <v>2972820.6143999998</v>
      </c>
      <c r="GG93" s="545">
        <f t="shared" si="190"/>
        <v>2.716415253538258</v>
      </c>
      <c r="GH93" s="622">
        <f t="shared" ca="1" si="191"/>
        <v>10094269.078736419</v>
      </c>
      <c r="GI93" s="621">
        <f t="shared" ca="1" si="336"/>
        <v>523800</v>
      </c>
      <c r="GJ93" s="638">
        <f t="shared" si="292"/>
        <v>1.9101744000000001</v>
      </c>
      <c r="GK93" s="625">
        <f t="shared" ca="1" si="342"/>
        <v>1000549.35072</v>
      </c>
      <c r="GL93" s="640">
        <f t="shared" ca="1" si="226"/>
        <v>0</v>
      </c>
      <c r="GM93" s="530">
        <f t="shared" ca="1" si="227"/>
        <v>0</v>
      </c>
      <c r="GN93" s="530">
        <f t="shared" ca="1" si="228"/>
        <v>0</v>
      </c>
      <c r="GO93" s="622">
        <f t="shared" ca="1" si="229"/>
        <v>0</v>
      </c>
      <c r="GP93" s="530">
        <f t="shared" ca="1" si="293"/>
        <v>0</v>
      </c>
      <c r="GQ93" s="545">
        <f t="shared" ca="1" si="294"/>
        <v>0</v>
      </c>
      <c r="GR93" s="625">
        <f t="shared" ca="1" si="230"/>
        <v>0</v>
      </c>
      <c r="GS93" s="640">
        <f>IF($A93&gt;=BegDate,Assumptions!$C$56*24*($A94-$A93)*(1-VLOOKUP($B93,MAIN!$AA$7:$AM$28,$C93+1))*(1-VLOOKUP($B93,MAIN!$AA$33:$AM$54,$C93+1)),0)*80/168</f>
        <v>249428.57142857142</v>
      </c>
      <c r="GT93" s="1715">
        <f t="shared" si="337"/>
        <v>75.646018945591777</v>
      </c>
      <c r="GU93" s="1715">
        <f>IF($A93&gt;=BegDate,VLOOKUP($A93,GasTable,13)+Assumptions!$C$58,0)</f>
        <v>2.716415253538258</v>
      </c>
      <c r="GV93" s="1715">
        <f>GU93*Assumptions!$C$57/1000</f>
        <v>19.69401058815237</v>
      </c>
      <c r="GW93" s="625">
        <f>IF(Assumptions!$C$60="Hourly",MAX(0,GS93*(GT93-GV93)),GS93*(GT93-GV93))</f>
        <v>13956029.513155602</v>
      </c>
      <c r="GX93" s="640">
        <f>IF($A93&gt;=BegDate,Assumptions!$C$56*24*($A94-$A93)*(1-VLOOKUP($B93,MAIN!$AA$7:$AM$28,$C93+1))*(1-VLOOKUP($B93,MAIN!$AA$33:$AM$54,$C93+1)),0)*16/168</f>
        <v>49885.714285714283</v>
      </c>
      <c r="GY93" s="1715">
        <f t="shared" si="338"/>
        <v>75.646018945591777</v>
      </c>
      <c r="GZ93" s="1715">
        <f>IF($A93&gt;=BegDate,VLOOKUP($A93,GasTable,13)+Assumptions!$C$58,0)</f>
        <v>2.716415253538258</v>
      </c>
      <c r="HA93" s="1715">
        <f>GZ93*Assumptions!$C$57/1000</f>
        <v>19.69401058815237</v>
      </c>
      <c r="HB93" s="625">
        <f>IF(Assumptions!$C$60="Hourly",MAX(0,GX93*(GY93-HA93)),GX93*(GY93-HA93))</f>
        <v>2791205.9026311203</v>
      </c>
      <c r="HC93" s="640">
        <f>IF($A93&gt;=BegDate,Assumptions!$C$56*24*($A94-$A93)*(1-VLOOKUP($B93,MAIN!$AA$7:$AM$28,$C93+1))*(1-VLOOKUP($B93,MAIN!$AA$33:$AM$54,$C93+1)),0)*16/168</f>
        <v>49885.714285714283</v>
      </c>
      <c r="HD93" s="1715">
        <f t="shared" si="339"/>
        <v>29.938352218681882</v>
      </c>
      <c r="HE93" s="1715">
        <f>IF($A93&gt;=BegDate,VLOOKUP($A93,GasTable,13)+Assumptions!$C$58,0)</f>
        <v>2.716415253538258</v>
      </c>
      <c r="HF93" s="1715">
        <f>HE93*Assumptions!$C$57/1000</f>
        <v>19.69401058815237</v>
      </c>
      <c r="HG93" s="625">
        <f>IF(Assumptions!$C$60="Hourly",MAX(0,HC93*(HD93-HF93)),HC93*(HD93-HF93))</f>
        <v>511046.29962584359</v>
      </c>
      <c r="HH93" s="640">
        <f>IF($A93&gt;=BegDate,Assumptions!$C$56*24*($A94-$A93)*(1-VLOOKUP($B93,MAIN!$AA$7:$AM$28,$C93+1))*(1-VLOOKUP($B93,MAIN!$AA$33:$AM$54,$C93+1)),0)*56/168</f>
        <v>174600</v>
      </c>
      <c r="HI93" s="1715">
        <f t="shared" si="340"/>
        <v>29.938352218681882</v>
      </c>
      <c r="HJ93" s="1715">
        <f>IF($A93&gt;=BegDate,VLOOKUP($A93,GasTable,13)+Assumptions!$C$58,0)</f>
        <v>2.716415253538258</v>
      </c>
      <c r="HK93" s="1715">
        <f>HJ93*Assumptions!$C$57/1000</f>
        <v>19.69401058815237</v>
      </c>
      <c r="HL93" s="625">
        <f>IF(Assumptions!$C$60="Hourly",MAX(0,HH93*(HI93-HK93)),HH93*(HI93-HK93))</f>
        <v>1788662.0486904527</v>
      </c>
      <c r="HM93" s="640">
        <f>IF(AND(Assumptions!$H$71="Yes",A93&gt;=Assumptions!$H$72,A93&lt;=Assumptions!$H$73),Assumptions!$H$74*Assumptions!$C$9*1000,0)</f>
        <v>0</v>
      </c>
      <c r="HN93" s="530"/>
      <c r="HO93" s="545"/>
      <c r="HP93" s="545"/>
      <c r="HQ93" s="545"/>
      <c r="HR93" s="545"/>
      <c r="HS93" s="545"/>
      <c r="HT93" s="545"/>
      <c r="HU93" s="545"/>
      <c r="HV93" s="545"/>
      <c r="HW93" s="545"/>
      <c r="HX93" s="545"/>
      <c r="HY93" s="545"/>
      <c r="HZ93" s="545"/>
      <c r="IA93" s="545"/>
      <c r="IB93" s="545"/>
      <c r="IC93" s="545"/>
      <c r="ID93" s="545"/>
      <c r="IE93" s="545"/>
      <c r="IF93" s="545"/>
      <c r="IG93" s="545"/>
      <c r="IH93" s="545"/>
      <c r="II93" s="1464"/>
      <c r="IJ93" s="1463"/>
      <c r="IK93" s="1463"/>
    </row>
    <row r="94" spans="1:245">
      <c r="A94" s="177">
        <f t="shared" si="295"/>
        <v>38991</v>
      </c>
      <c r="B94" s="349">
        <f t="shared" si="296"/>
        <v>2006</v>
      </c>
      <c r="C94" s="15">
        <f t="shared" si="236"/>
        <v>10</v>
      </c>
      <c r="D94" s="612" t="str">
        <f t="shared" si="297"/>
        <v/>
      </c>
      <c r="E94" s="609">
        <f t="shared" si="237"/>
        <v>38991</v>
      </c>
      <c r="F94" s="614">
        <f t="shared" si="238"/>
        <v>39021</v>
      </c>
      <c r="G94" s="1349">
        <v>0</v>
      </c>
      <c r="H94" s="152">
        <f t="shared" si="341"/>
        <v>1</v>
      </c>
      <c r="I94" s="154">
        <f>IF(Assumptions!$L$25=4,VLOOKUP($A94,'Henwood Reference'!$E$9:$R$320,10),(VLOOKUP($A94,PriceTable,2,0)+IF(BasisNumber&lt;&gt;1,VLOOKUP($A94,BasisTable,2,0),0)+I$1)/(1-I$2))</f>
        <v>44.525646651650405</v>
      </c>
      <c r="J94" s="154">
        <f>IF(Assumptions!$L$25=4,VLOOKUP($A94,'Henwood Reference'!$E$9:$R$320,10),(VLOOKUP($A94,PriceTable,3,0)+IF(BasisNumber&lt;&gt;1,VLOOKUP($A94,BasisTable,2,0),0)+J$1)/(1-J$2))</f>
        <v>44.525646651650405</v>
      </c>
      <c r="K94" s="154">
        <f>IF(Assumptions!$L$25=4,VLOOKUP($A94,'Henwood Reference'!$E$9:$R$320,10),(VLOOKUP($A94,PriceTable,4,0)+IF(BasisNumber&lt;&gt;1,VLOOKUP($A94,BasisTable,2,0),0)+K$1)/(1-K$2))</f>
        <v>44.525646651650405</v>
      </c>
      <c r="L94" s="474">
        <f>IF(Assumptions!$L$25=4,VLOOKUP($A94,'Henwood Reference'!$E$9:$R$320,10),(VLOOKUP($A94,PriceTableWeekend,2,0)+IF(BasisNumber&lt;&gt;1,VLOOKUP($A94,BasisTable,2,0),0)+L$1)/(1-L$2))</f>
        <v>44.525646651650405</v>
      </c>
      <c r="M94" s="154">
        <f>IF(Assumptions!$L$25=4,VLOOKUP($A94,'Henwood Reference'!$E$9:$R$320,10),(VLOOKUP($A94,PriceTableWeekend,3,0)+IF(BasisNumber&lt;&gt;1,VLOOKUP($A94,BasisTable,2,0),0)+M$1)/(1-M$2))</f>
        <v>44.525646651650405</v>
      </c>
      <c r="N94" s="156">
        <f>IF(Assumptions!$L$25=4,VLOOKUP($A94,'Henwood Reference'!$E$9:$R$320,10),(VLOOKUP($A94,PriceTableWeekend,4,0)+IF(BasisNumber&lt;&gt;1,VLOOKUP($A94,BasisTable,2,0),0)+N$1)/(1-N$2))</f>
        <v>44.525646651650405</v>
      </c>
      <c r="O94" s="154">
        <f>IF(Assumptions!$L$25=4,VLOOKUP($A94,'Henwood Reference'!$E$9:$R$320,11),(VLOOKUP($A94,PriceTableWeekend,6,0)+IF(BasisNumber&lt;&gt;1,VLOOKUP($A94,BasisTable,3,0),0)+O$1)/(1-O$2))</f>
        <v>26.33440724455323</v>
      </c>
      <c r="P94" s="154">
        <f>IF(Assumptions!$L$25=4,VLOOKUP($A94,'Henwood Reference'!$E$9:$R$320,11),(VLOOKUP($A94,PriceTableWeekend,7,0)+IF(BasisNumber&lt;&gt;1,VLOOKUP($A94,BasisTable,3,0),0)+P$1)/(1-P$2))</f>
        <v>26.33440724455323</v>
      </c>
      <c r="Q94" s="156">
        <f>IF(Assumptions!$L$25=4,VLOOKUP($A94,'Henwood Reference'!$E$9:$R$320,11),(VLOOKUP($A94,PriceTableWeekend,8,0)+IF(BasisNumber&lt;&gt;1,VLOOKUP($A94,BasisTable,3,0),0)+Q$1)/(1-Q$2))</f>
        <v>26.33440724455323</v>
      </c>
      <c r="R94" s="154">
        <f>IF(Assumptions!$L$25=4,VLOOKUP($A94,'Henwood Reference'!$E$9:$R$320,11),(VLOOKUP($A94,PriceTable,6,0)+IF(BasisNumber&lt;&gt;1,VLOOKUP($A94,BasisTable,3,0),0)+R$1)/(1-R$2))</f>
        <v>26.33440724455323</v>
      </c>
      <c r="S94" s="154">
        <f>IF(Assumptions!$L$25=4,VLOOKUP($A94,'Henwood Reference'!$E$9:$R$320,11),(VLOOKUP($A94,PriceTable,7,0)+IF(BasisNumber&lt;&gt;1,VLOOKUP($A94,BasisTable,3,0),0)+S$1)/(1-S$2))</f>
        <v>26.33440724455323</v>
      </c>
      <c r="T94" s="155">
        <f>IF(Assumptions!$L$25=4,VLOOKUP($A94,'Henwood Reference'!$E$9:$R$320,11),(VLOOKUP($A94,PriceTable,8,0)+IF(BasisNumber&lt;&gt;1,VLOOKUP($A94,BasisTable,3,0),0)+T$1)/(1-T$2))</f>
        <v>26.33440724455323</v>
      </c>
      <c r="U94" s="173">
        <f t="shared" si="298"/>
        <v>0.14000000000000001</v>
      </c>
      <c r="V94" s="173">
        <f t="shared" si="299"/>
        <v>0.15</v>
      </c>
      <c r="W94" s="174">
        <f t="shared" si="300"/>
        <v>0.16</v>
      </c>
      <c r="X94" s="173">
        <f t="shared" si="301"/>
        <v>0.14000000000000001</v>
      </c>
      <c r="Y94" s="173">
        <f t="shared" si="302"/>
        <v>0.15</v>
      </c>
      <c r="Z94" s="174">
        <f t="shared" si="303"/>
        <v>0.16</v>
      </c>
      <c r="AA94" s="173">
        <f t="shared" si="304"/>
        <v>0.09</v>
      </c>
      <c r="AB94" s="173">
        <f t="shared" si="305"/>
        <v>0.11</v>
      </c>
      <c r="AC94" s="174">
        <f t="shared" si="306"/>
        <v>0.13</v>
      </c>
      <c r="AD94" s="173">
        <f t="shared" si="307"/>
        <v>0.09</v>
      </c>
      <c r="AE94" s="173">
        <f t="shared" si="308"/>
        <v>0.11</v>
      </c>
      <c r="AF94" s="174">
        <f t="shared" si="309"/>
        <v>0.13</v>
      </c>
      <c r="AG94" s="173">
        <f t="shared" si="310"/>
        <v>-0.1</v>
      </c>
      <c r="AH94" s="173">
        <f t="shared" si="311"/>
        <v>0.6</v>
      </c>
      <c r="AI94" s="174">
        <f t="shared" si="312"/>
        <v>0.1</v>
      </c>
      <c r="AJ94" s="173">
        <f t="shared" si="313"/>
        <v>-0.1</v>
      </c>
      <c r="AK94" s="173">
        <f t="shared" si="314"/>
        <v>0.6</v>
      </c>
      <c r="AL94" s="174">
        <f t="shared" si="315"/>
        <v>0.1</v>
      </c>
      <c r="AM94" s="173">
        <f t="shared" si="316"/>
        <v>-0.01</v>
      </c>
      <c r="AN94" s="173">
        <f t="shared" si="317"/>
        <v>0.16</v>
      </c>
      <c r="AO94" s="174">
        <f t="shared" si="318"/>
        <v>0.01</v>
      </c>
      <c r="AP94" s="173">
        <f t="shared" si="319"/>
        <v>-0.01</v>
      </c>
      <c r="AQ94" s="173">
        <f t="shared" si="320"/>
        <v>0.16</v>
      </c>
      <c r="AR94" s="175">
        <f t="shared" si="321"/>
        <v>0.01</v>
      </c>
      <c r="AS94" s="521">
        <f t="shared" si="322"/>
        <v>0.5</v>
      </c>
      <c r="AT94" s="349">
        <f t="shared" si="239"/>
        <v>22</v>
      </c>
      <c r="AU94" s="159">
        <f t="shared" si="240"/>
        <v>4</v>
      </c>
      <c r="AV94" s="159">
        <f t="shared" si="241"/>
        <v>5</v>
      </c>
      <c r="AW94" s="159">
        <f t="shared" si="323"/>
        <v>0</v>
      </c>
      <c r="AX94" s="15">
        <f t="shared" si="242"/>
        <v>31</v>
      </c>
      <c r="AY94" s="607">
        <f>IF(E94="",0,MIN((1-(1-VLOOKUP(B94,MAIN!$AA$7:$AM$28,C94+1))*(1-VLOOKUP(B94,MAIN!$AA$33:$AM$54,C94+1))),1))</f>
        <v>3.0000000000000027E-2</v>
      </c>
      <c r="AZ94" s="337">
        <v>51216</v>
      </c>
      <c r="BA94" s="509">
        <v>9312</v>
      </c>
      <c r="BB94" s="509">
        <v>11640</v>
      </c>
      <c r="BC94" s="511">
        <v>36084</v>
      </c>
      <c r="BD94" s="153">
        <v>0.97000001445412631</v>
      </c>
      <c r="BE94" s="474">
        <v>0.97000001445412631</v>
      </c>
      <c r="BF94" s="474">
        <v>0.97000001445412631</v>
      </c>
      <c r="BG94" s="515">
        <v>0.9699999927729368</v>
      </c>
      <c r="BH94" s="262">
        <v>204864</v>
      </c>
      <c r="BI94" s="509">
        <v>37248</v>
      </c>
      <c r="BJ94" s="509">
        <v>46560</v>
      </c>
      <c r="BK94" s="511">
        <v>144336</v>
      </c>
      <c r="BL94" s="153">
        <v>0.97000001445412631</v>
      </c>
      <c r="BM94" s="474">
        <v>0.97000001445412631</v>
      </c>
      <c r="BN94" s="474">
        <v>0.97000001445412631</v>
      </c>
      <c r="BO94" s="474">
        <v>0.9699999927729368</v>
      </c>
      <c r="BP94" s="261">
        <f t="shared" si="324"/>
        <v>72168</v>
      </c>
      <c r="BQ94" s="578">
        <f t="shared" si="325"/>
        <v>108252</v>
      </c>
      <c r="BR94" s="259">
        <f t="shared" si="326"/>
        <v>288672</v>
      </c>
      <c r="BS94" s="578">
        <f t="shared" si="327"/>
        <v>433008</v>
      </c>
      <c r="BT94" s="216">
        <f t="shared" si="328"/>
        <v>6.4640657084188913</v>
      </c>
      <c r="BU94" s="218">
        <f t="shared" si="243"/>
        <v>44.525647315134236</v>
      </c>
      <c r="BV94" s="216">
        <f t="shared" si="244"/>
        <v>44.525647315134236</v>
      </c>
      <c r="BW94" s="216">
        <f t="shared" si="245"/>
        <v>26.334407636966478</v>
      </c>
      <c r="BX94" s="216">
        <f t="shared" si="329"/>
        <v>26.334407048346609</v>
      </c>
      <c r="BY94" s="216">
        <f t="shared" si="246"/>
        <v>41.591576399300727</v>
      </c>
      <c r="BZ94" s="216">
        <f t="shared" si="247"/>
        <v>36.505853282316025</v>
      </c>
      <c r="CA94" s="264">
        <f t="shared" si="248"/>
        <v>44.525647315134236</v>
      </c>
      <c r="CB94" s="216">
        <f t="shared" si="249"/>
        <v>44.525647315134236</v>
      </c>
      <c r="CC94" s="216">
        <f t="shared" si="250"/>
        <v>26.334407636966478</v>
      </c>
      <c r="CD94" s="216">
        <f t="shared" si="330"/>
        <v>26.334407048346609</v>
      </c>
      <c r="CE94" s="216">
        <f t="shared" si="251"/>
        <v>41.591576399300727</v>
      </c>
      <c r="CF94" s="571">
        <f t="shared" si="252"/>
        <v>36.505853282316025</v>
      </c>
      <c r="CG94" s="573">
        <f t="shared" si="253"/>
        <v>0.15</v>
      </c>
      <c r="CH94" s="219">
        <f t="shared" si="254"/>
        <v>0.15</v>
      </c>
      <c r="CI94" s="219">
        <f t="shared" si="255"/>
        <v>0.11</v>
      </c>
      <c r="CJ94" s="219">
        <f t="shared" si="256"/>
        <v>0.14598382556400474</v>
      </c>
      <c r="CK94" s="219">
        <f t="shared" si="257"/>
        <v>0.14598382556400474</v>
      </c>
      <c r="CL94" s="219">
        <f t="shared" si="258"/>
        <v>0.11</v>
      </c>
      <c r="CM94" s="219">
        <f t="shared" si="259"/>
        <v>0.12671531391652158</v>
      </c>
      <c r="CN94" s="569">
        <f t="shared" si="260"/>
        <v>0.12671531391652158</v>
      </c>
      <c r="CO94" s="264">
        <f t="shared" si="343"/>
        <v>20.103246485024464</v>
      </c>
      <c r="CP94" s="216">
        <f t="shared" si="331"/>
        <v>20.103246485024464</v>
      </c>
      <c r="CQ94" s="216">
        <f t="shared" ca="1" si="192"/>
        <v>20.103246485024464</v>
      </c>
      <c r="CR94" s="216">
        <f t="shared" ca="1" si="193"/>
        <v>20.103246485024464</v>
      </c>
      <c r="CS94" s="1626">
        <f t="shared" ca="1" si="194"/>
        <v>20.103246485024464</v>
      </c>
      <c r="CT94" s="216">
        <f t="shared" si="332"/>
        <v>20.103246485024464</v>
      </c>
      <c r="CU94" s="575">
        <f t="shared" si="261"/>
        <v>0.16</v>
      </c>
      <c r="CV94" s="154">
        <f t="shared" si="262"/>
        <v>0.5</v>
      </c>
      <c r="CW94" s="216">
        <f>IF(OR($BQ94,$BS94),SpreadOptPowerMargin,0)*((1+Assumptions!$C$26)^($B94-YEAR(Assumptions!$C$17)))</f>
        <v>1.9101743999999998</v>
      </c>
      <c r="CX94" s="216">
        <f>IF(OR($BQ94,$BS94),SpreadOptPowerMargin,0)*((1+Assumptions!$C$26)^($B94-YEAR(Assumptions!$C$17)))</f>
        <v>1.9101743999999998</v>
      </c>
      <c r="CY94" s="216">
        <f>IF(OR($BQ94,$BS94),SpreadOptPowerMargin,0)*((1+Assumptions!$C$26)^($B94-YEAR(Assumptions!$C$17)))</f>
        <v>1.9101743999999998</v>
      </c>
      <c r="CZ94" s="216">
        <f>IF(OR($BQ94,$BS94),SpreadOptPowerMargin,0)*((1+Assumptions!$C$26)^($B94-YEAR(Assumptions!$C$17)))</f>
        <v>1.9101743999999998</v>
      </c>
      <c r="DA94" s="440">
        <f t="shared" si="263"/>
        <v>1.9101743999999996</v>
      </c>
      <c r="DB94" s="479">
        <f t="shared" si="264"/>
        <v>0.15</v>
      </c>
      <c r="DC94" s="479">
        <f t="shared" si="265"/>
        <v>0.15</v>
      </c>
      <c r="DD94" s="479">
        <f t="shared" si="266"/>
        <v>0.11</v>
      </c>
      <c r="DE94" s="479">
        <f t="shared" si="267"/>
        <v>0.11</v>
      </c>
      <c r="DF94" s="479">
        <f t="shared" si="268"/>
        <v>0.12671531391652158</v>
      </c>
      <c r="DG94" s="574">
        <f t="shared" si="269"/>
        <v>0.12671531391652158</v>
      </c>
      <c r="DH94" s="216">
        <f t="shared" si="270"/>
        <v>22.656263659593971</v>
      </c>
      <c r="DI94" s="216">
        <f t="shared" si="271"/>
        <v>22.656263659593971</v>
      </c>
      <c r="DJ94" s="216">
        <f t="shared" ca="1" si="195"/>
        <v>5.8327296565951308</v>
      </c>
      <c r="DK94" s="216">
        <f t="shared" ca="1" si="196"/>
        <v>5.8327292086456106</v>
      </c>
      <c r="DL94" s="216">
        <f t="shared" ca="1" si="197"/>
        <v>14.827611640277722</v>
      </c>
      <c r="DM94" s="216"/>
      <c r="DN94" s="216"/>
      <c r="DO94" s="216"/>
      <c r="DP94" s="216"/>
      <c r="DQ94" s="216"/>
      <c r="DR94" s="216"/>
      <c r="DS94" s="216"/>
      <c r="DT94" s="216"/>
      <c r="DU94" s="216"/>
      <c r="DV94" s="216"/>
      <c r="DW94" s="1371">
        <f t="shared" si="272"/>
        <v>5.8327296565951308</v>
      </c>
      <c r="DX94" s="216">
        <f t="shared" si="273"/>
        <v>5.8327292086456106</v>
      </c>
      <c r="DY94" s="440">
        <f t="shared" si="274"/>
        <v>15.239436691751095</v>
      </c>
      <c r="DZ94" s="180">
        <f t="shared" si="275"/>
        <v>1160363.1995897649</v>
      </c>
      <c r="EA94" s="180">
        <f t="shared" si="276"/>
        <v>210975.12719813906</v>
      </c>
      <c r="EB94" s="180">
        <f t="shared" ca="1" si="198"/>
        <v>67892.973202767316</v>
      </c>
      <c r="EC94" s="180">
        <f t="shared" ca="1" si="199"/>
        <v>210468.2007647682</v>
      </c>
      <c r="ED94" s="180">
        <f t="shared" ca="1" si="200"/>
        <v>1605118.6152833439</v>
      </c>
      <c r="EE94" s="581">
        <f t="shared" si="277"/>
        <v>1152986.1888445022</v>
      </c>
      <c r="EF94" s="554">
        <f t="shared" si="278"/>
        <v>209633.85251718221</v>
      </c>
      <c r="EG94" s="554">
        <f t="shared" ca="1" si="201"/>
        <v>50296.285792605064</v>
      </c>
      <c r="EH94" s="554">
        <f t="shared" ca="1" si="202"/>
        <v>155918.46471731632</v>
      </c>
      <c r="EI94" s="561">
        <f t="shared" ca="1" si="279"/>
        <v>1568834.7918716061</v>
      </c>
      <c r="EJ94" s="581">
        <f t="shared" si="333"/>
        <v>7377.0107452627271</v>
      </c>
      <c r="EK94" s="554">
        <f t="shared" si="334"/>
        <v>1341.2746809568489</v>
      </c>
      <c r="EL94" s="554">
        <f t="shared" ca="1" si="203"/>
        <v>17596.687410162252</v>
      </c>
      <c r="EM94" s="554">
        <f t="shared" ca="1" si="204"/>
        <v>54549.736047451879</v>
      </c>
      <c r="EN94" s="561">
        <f t="shared" ca="1" si="205"/>
        <v>36283.823411737802</v>
      </c>
      <c r="EO94" s="180">
        <f t="shared" si="280"/>
        <v>4641452.7983590597</v>
      </c>
      <c r="EP94" s="180">
        <f t="shared" si="281"/>
        <v>843900.50879255624</v>
      </c>
      <c r="EQ94" s="180">
        <f t="shared" si="282"/>
        <v>271571.89281106927</v>
      </c>
      <c r="ER94" s="180">
        <f t="shared" si="283"/>
        <v>841872.80305907282</v>
      </c>
      <c r="ES94" s="180">
        <f t="shared" si="284"/>
        <v>6598798.003021758</v>
      </c>
      <c r="ET94" s="1482">
        <f t="shared" ca="1" si="206"/>
        <v>4611944.7553780088</v>
      </c>
      <c r="EU94" s="180">
        <f t="shared" ca="1" si="207"/>
        <v>838535.41006872884</v>
      </c>
      <c r="EV94" s="180">
        <f t="shared" ca="1" si="208"/>
        <v>201185.14317042026</v>
      </c>
      <c r="EW94" s="180">
        <f t="shared" ca="1" si="209"/>
        <v>623673.8588692653</v>
      </c>
      <c r="EX94" s="555">
        <f t="shared" ca="1" si="182"/>
        <v>6275339.1674864236</v>
      </c>
      <c r="EY94" s="180">
        <f t="shared" ca="1" si="210"/>
        <v>29508.042981050909</v>
      </c>
      <c r="EZ94" s="180">
        <f t="shared" ca="1" si="211"/>
        <v>5365.0987238273956</v>
      </c>
      <c r="FA94" s="180">
        <f t="shared" ca="1" si="212"/>
        <v>70386.74964064901</v>
      </c>
      <c r="FB94" s="180">
        <f t="shared" ca="1" si="213"/>
        <v>218198.94418980752</v>
      </c>
      <c r="FC94" s="180">
        <f t="shared" ca="1" si="214"/>
        <v>323458.83553533442</v>
      </c>
      <c r="FD94" s="262">
        <f>IF(AX94,IF(VLOOKUP(C94,MAIN!$L$17:$M$28,2)="Yes",VLOOKUP(CALC!B94,MAIN!$H$17:$I$20,2),0),0)</f>
        <v>0</v>
      </c>
      <c r="FE94" s="623">
        <f t="shared" si="285"/>
        <v>0</v>
      </c>
      <c r="FF94" s="535">
        <f t="shared" si="286"/>
        <v>0</v>
      </c>
      <c r="FG94" s="535">
        <f t="shared" si="287"/>
        <v>0</v>
      </c>
      <c r="FH94" s="624">
        <f t="shared" si="288"/>
        <v>0</v>
      </c>
      <c r="FI94" s="632">
        <f>IF(AX94,VLOOKUP(CALC!B94,MAIN!$H$17:$K$20,4),0)</f>
        <v>0</v>
      </c>
      <c r="FJ94" s="535">
        <f t="shared" si="289"/>
        <v>0</v>
      </c>
      <c r="FK94" s="648">
        <f t="shared" si="335"/>
        <v>0</v>
      </c>
      <c r="FL94" s="530">
        <f t="shared" ca="1" si="215"/>
        <v>0</v>
      </c>
      <c r="FM94" s="530">
        <f t="shared" ca="1" si="216"/>
        <v>0</v>
      </c>
      <c r="FN94" s="530">
        <f t="shared" ca="1" si="217"/>
        <v>0</v>
      </c>
      <c r="FO94" s="622">
        <f t="shared" ca="1" si="218"/>
        <v>0</v>
      </c>
      <c r="FP94" s="530">
        <f t="shared" ca="1" si="219"/>
        <v>0</v>
      </c>
      <c r="FQ94" s="530">
        <f t="shared" ca="1" si="220"/>
        <v>0</v>
      </c>
      <c r="FR94" s="530">
        <f t="shared" ca="1" si="221"/>
        <v>0</v>
      </c>
      <c r="FS94" s="625">
        <f t="shared" ca="1" si="222"/>
        <v>0</v>
      </c>
      <c r="FT94" s="640">
        <f ca="1">IF(AND(Assumptions!$H$71="Yes",A94&gt;=Assumptions!$H$72,A94&lt;=Assumptions!$H$73),0,IF(AND($A94&gt;=Assumptions!$C$17,$A94&lt;=Assumptions!$C$18),MAX(AZ94*(1+VLOOKUP($C94,WeatherCapacityAdjustment,2))-FL94,0),0))</f>
        <v>51216</v>
      </c>
      <c r="FU94" s="530">
        <f ca="1">IF(AND(Assumptions!$H$71="Yes",A94&gt;=Assumptions!$H$72,A94&lt;=Assumptions!$H$73),0,IF(AND($A94&gt;=Assumptions!$C$17,$A94&lt;=Assumptions!$C$18),MAX(BA94*(1+VLOOKUP($C94,WeatherCapacityAdjustment,2))-FM94,0),0))</f>
        <v>9312</v>
      </c>
      <c r="FV94" s="530">
        <f ca="1">IF(AND(Assumptions!$H$71="Yes",A94&gt;=Assumptions!$H$72,A94&lt;=Assumptions!$H$73),0,IF(AND($A94&gt;=Assumptions!$C$17,$A94&lt;=Assumptions!$C$18),MAX(BB94*(1+VLOOKUP($C94,WeatherCapacityAdjustment,2))-FN94,0),0))</f>
        <v>11640</v>
      </c>
      <c r="FW94" s="622">
        <f ca="1">IF(AND(Assumptions!$H$71="Yes",A94&gt;=Assumptions!$H$72,A94&lt;=Assumptions!$H$73),0,IF(AND($A94&gt;=Assumptions!$C$17,$A94&lt;=Assumptions!$C$18),MAX(BC94*(1+VLOOKUP($C94,WeatherCapacityAdjustment,3))-FO94,0),0))</f>
        <v>36084</v>
      </c>
      <c r="FX94" s="621">
        <f ca="1">IF(AND(Assumptions!$H$71="Yes",A94&gt;=Assumptions!$H$72,A94&lt;=Assumptions!$H$73),0,IF(ET94&gt;0,MAX(BH94*(1+VLOOKUP($C94,WeatherCapacityAdjustment,2))-FP94,0),0))</f>
        <v>204864</v>
      </c>
      <c r="FY94" s="530">
        <f ca="1">IF(AND(Assumptions!$H$71="Yes",A94&gt;=Assumptions!$H$72,A94&lt;=Assumptions!$H$73),0,IF(EU94&gt;0,MAX(BI94*(1+VLOOKUP($C94,WeatherCapacityAdjustment,3))-FQ94,0),0))</f>
        <v>37248</v>
      </c>
      <c r="FZ94" s="530">
        <f ca="1">IF(AND(Assumptions!$H$71="Yes",A94&gt;=Assumptions!$H$72,A94&lt;=Assumptions!$H$73),0,IF(EV94&gt;0,MAX(BJ94*(1+VLOOKUP($C94,WeatherCapacityAdjustment,2))-FR94,0),0))</f>
        <v>46560</v>
      </c>
      <c r="GA94" s="622">
        <f ca="1">IF(AND(Assumptions!$H$71="Yes",A94&gt;=Assumptions!$H$72,A94&lt;=Assumptions!$H$73),0,IF(EW94&gt;0,MAX(BK94*(1+VLOOKUP($C94,WeatherCapacityAdjustment,2))-FS94,0),0))</f>
        <v>144336</v>
      </c>
      <c r="GB94" s="530">
        <f t="shared" ca="1" si="290"/>
        <v>541260</v>
      </c>
      <c r="GC94" s="545">
        <f t="shared" ca="1" si="291"/>
        <v>36.505853282316018</v>
      </c>
      <c r="GD94" s="530">
        <f t="shared" ca="1" si="223"/>
        <v>19759158.147586372</v>
      </c>
      <c r="GE94" s="1485">
        <f t="shared" ca="1" si="224"/>
        <v>768296.91960000002</v>
      </c>
      <c r="GF94" s="1776">
        <f t="shared" ca="1" si="225"/>
        <v>3073187.6784000001</v>
      </c>
      <c r="GG94" s="545">
        <f t="shared" si="190"/>
        <v>2.8325203225204607</v>
      </c>
      <c r="GH94" s="622">
        <f t="shared" ca="1" si="191"/>
        <v>10881083.192484343</v>
      </c>
      <c r="GI94" s="621">
        <f t="shared" ca="1" si="336"/>
        <v>541260</v>
      </c>
      <c r="GJ94" s="638">
        <f t="shared" si="292"/>
        <v>1.9101743999999996</v>
      </c>
      <c r="GK94" s="625">
        <f t="shared" ca="1" si="342"/>
        <v>1033900.9957439998</v>
      </c>
      <c r="GL94" s="640">
        <f t="shared" ca="1" si="226"/>
        <v>0</v>
      </c>
      <c r="GM94" s="530">
        <f t="shared" ca="1" si="227"/>
        <v>0</v>
      </c>
      <c r="GN94" s="530">
        <f t="shared" ca="1" si="228"/>
        <v>0</v>
      </c>
      <c r="GO94" s="622">
        <f t="shared" ca="1" si="229"/>
        <v>0</v>
      </c>
      <c r="GP94" s="530">
        <f t="shared" ca="1" si="293"/>
        <v>0</v>
      </c>
      <c r="GQ94" s="545">
        <f t="shared" ca="1" si="294"/>
        <v>0</v>
      </c>
      <c r="GR94" s="625">
        <f t="shared" ca="1" si="230"/>
        <v>0</v>
      </c>
      <c r="GS94" s="640">
        <f>IF($A94&gt;=BegDate,Assumptions!$C$56*24*($A95-$A94)*(1-VLOOKUP($B94,MAIN!$AA$7:$AM$28,$C94+1))*(1-VLOOKUP($B94,MAIN!$AA$33:$AM$54,$C94+1)),0)*80/168</f>
        <v>257742.85714285713</v>
      </c>
      <c r="GT94" s="1715">
        <f t="shared" si="337"/>
        <v>44.525646651650405</v>
      </c>
      <c r="GU94" s="1715">
        <f>IF($A94&gt;=BegDate,VLOOKUP($A94,GasTable,13)+Assumptions!$C$58,0)</f>
        <v>2.8325203225204607</v>
      </c>
      <c r="GV94" s="1715">
        <f>GU94*Assumptions!$C$57/1000</f>
        <v>20.53577233827334</v>
      </c>
      <c r="GW94" s="625">
        <f>IF(Assumptions!$C$60="Hourly",MAX(0,GS94*(GT94-GV94)),GS94*(GT94-GV94))</f>
        <v>6183218.7480278425</v>
      </c>
      <c r="GX94" s="640">
        <f>IF($A94&gt;=BegDate,Assumptions!$C$56*24*($A95-$A94)*(1-VLOOKUP($B94,MAIN!$AA$7:$AM$28,$C94+1))*(1-VLOOKUP($B94,MAIN!$AA$33:$AM$54,$C94+1)),0)*16/168</f>
        <v>51548.571428571428</v>
      </c>
      <c r="GY94" s="1715">
        <f t="shared" si="338"/>
        <v>44.525646651650405</v>
      </c>
      <c r="GZ94" s="1715">
        <f>IF($A94&gt;=BegDate,VLOOKUP($A94,GasTable,13)+Assumptions!$C$58,0)</f>
        <v>2.8325203225204607</v>
      </c>
      <c r="HA94" s="1715">
        <f>GZ94*Assumptions!$C$57/1000</f>
        <v>20.53577233827334</v>
      </c>
      <c r="HB94" s="625">
        <f>IF(Assumptions!$C$60="Hourly",MAX(0,GX94*(GY94-HA94)),GX94*(GY94-HA94))</f>
        <v>1236643.7496055686</v>
      </c>
      <c r="HC94" s="640">
        <f>IF($A94&gt;=BegDate,Assumptions!$C$56*24*($A95-$A94)*(1-VLOOKUP($B94,MAIN!$AA$7:$AM$28,$C94+1))*(1-VLOOKUP($B94,MAIN!$AA$33:$AM$54,$C94+1)),0)*16/168</f>
        <v>51548.571428571428</v>
      </c>
      <c r="HD94" s="1715">
        <f t="shared" si="339"/>
        <v>26.33440724455323</v>
      </c>
      <c r="HE94" s="1715">
        <f>IF($A94&gt;=BegDate,VLOOKUP($A94,GasTable,13)+Assumptions!$C$58,0)</f>
        <v>2.8325203225204607</v>
      </c>
      <c r="HF94" s="1715">
        <f>HE94*Assumptions!$C$57/1000</f>
        <v>20.53577233827334</v>
      </c>
      <c r="HG94" s="625">
        <f>IF(Assumptions!$C$60="Hourly",MAX(0,HC94*(HD94-HF94)),HC94*(HD94-HF94))</f>
        <v>298911.34565457649</v>
      </c>
      <c r="HH94" s="640">
        <f>IF($A94&gt;=BegDate,Assumptions!$C$56*24*($A95-$A94)*(1-VLOOKUP($B94,MAIN!$AA$7:$AM$28,$C94+1))*(1-VLOOKUP($B94,MAIN!$AA$33:$AM$54,$C94+1)),0)*56/168</f>
        <v>180420</v>
      </c>
      <c r="HI94" s="1715">
        <f t="shared" si="340"/>
        <v>26.33440724455323</v>
      </c>
      <c r="HJ94" s="1715">
        <f>IF($A94&gt;=BegDate,VLOOKUP($A94,GasTable,13)+Assumptions!$C$58,0)</f>
        <v>2.8325203225204607</v>
      </c>
      <c r="HK94" s="1715">
        <f>HJ94*Assumptions!$C$57/1000</f>
        <v>20.53577233827334</v>
      </c>
      <c r="HL94" s="625">
        <f>IF(Assumptions!$C$60="Hourly",MAX(0,HH94*(HI94-HK94)),HH94*(HI94-HK94))</f>
        <v>1046189.7097910178</v>
      </c>
      <c r="HM94" s="640">
        <f>IF(AND(Assumptions!$H$71="Yes",A94&gt;=Assumptions!$H$72,A94&lt;=Assumptions!$H$73),Assumptions!$H$74*Assumptions!$C$9*1000,0)</f>
        <v>0</v>
      </c>
      <c r="HN94" s="530"/>
      <c r="HO94" s="545"/>
      <c r="HP94" s="545"/>
      <c r="HQ94" s="545"/>
      <c r="HR94" s="545"/>
      <c r="HS94" s="545"/>
      <c r="HT94" s="545"/>
      <c r="HU94" s="545"/>
      <c r="HV94" s="545"/>
      <c r="HW94" s="545"/>
      <c r="HX94" s="545"/>
      <c r="HY94" s="545"/>
      <c r="HZ94" s="545"/>
      <c r="IA94" s="545"/>
      <c r="IB94" s="545"/>
      <c r="IC94" s="545"/>
      <c r="ID94" s="545"/>
      <c r="IE94" s="545"/>
      <c r="IF94" s="545"/>
      <c r="IG94" s="545"/>
      <c r="IH94" s="545"/>
      <c r="II94" s="1464"/>
      <c r="IJ94" s="1463"/>
      <c r="IK94" s="1463"/>
    </row>
    <row r="95" spans="1:245">
      <c r="A95" s="177">
        <f t="shared" si="295"/>
        <v>39022</v>
      </c>
      <c r="B95" s="349">
        <f t="shared" si="296"/>
        <v>2006</v>
      </c>
      <c r="C95" s="15">
        <f t="shared" si="236"/>
        <v>11</v>
      </c>
      <c r="D95" s="612">
        <f t="shared" si="297"/>
        <v>39044</v>
      </c>
      <c r="E95" s="609">
        <f t="shared" si="237"/>
        <v>39022</v>
      </c>
      <c r="F95" s="614">
        <f t="shared" si="238"/>
        <v>39051</v>
      </c>
      <c r="G95" s="1349">
        <v>0</v>
      </c>
      <c r="H95" s="152">
        <f t="shared" si="341"/>
        <v>1</v>
      </c>
      <c r="I95" s="154">
        <f>IF(Assumptions!$L$25=4,VLOOKUP($A95,'Henwood Reference'!$E$9:$R$320,10),(VLOOKUP($A95,PriceTable,2,0)+IF(BasisNumber&lt;&gt;1,VLOOKUP($A95,BasisTable,2,0),0)+I$1)/(1-I$2))</f>
        <v>46.033127666077192</v>
      </c>
      <c r="J95" s="154">
        <f>IF(Assumptions!$L$25=4,VLOOKUP($A95,'Henwood Reference'!$E$9:$R$320,10),(VLOOKUP($A95,PriceTable,3,0)+IF(BasisNumber&lt;&gt;1,VLOOKUP($A95,BasisTable,2,0),0)+J$1)/(1-J$2))</f>
        <v>46.033127666077192</v>
      </c>
      <c r="K95" s="154">
        <f>IF(Assumptions!$L$25=4,VLOOKUP($A95,'Henwood Reference'!$E$9:$R$320,10),(VLOOKUP($A95,PriceTable,4,0)+IF(BasisNumber&lt;&gt;1,VLOOKUP($A95,BasisTable,2,0),0)+K$1)/(1-K$2))</f>
        <v>46.033127666077192</v>
      </c>
      <c r="L95" s="474">
        <f>IF(Assumptions!$L$25=4,VLOOKUP($A95,'Henwood Reference'!$E$9:$R$320,10),(VLOOKUP($A95,PriceTableWeekend,2,0)+IF(BasisNumber&lt;&gt;1,VLOOKUP($A95,BasisTable,2,0),0)+L$1)/(1-L$2))</f>
        <v>46.033127666077192</v>
      </c>
      <c r="M95" s="154">
        <f>IF(Assumptions!$L$25=4,VLOOKUP($A95,'Henwood Reference'!$E$9:$R$320,10),(VLOOKUP($A95,PriceTableWeekend,3,0)+IF(BasisNumber&lt;&gt;1,VLOOKUP($A95,BasisTable,2,0),0)+M$1)/(1-M$2))</f>
        <v>46.033127666077192</v>
      </c>
      <c r="N95" s="156">
        <f>IF(Assumptions!$L$25=4,VLOOKUP($A95,'Henwood Reference'!$E$9:$R$320,10),(VLOOKUP($A95,PriceTableWeekend,4,0)+IF(BasisNumber&lt;&gt;1,VLOOKUP($A95,BasisTable,2,0),0)+N$1)/(1-N$2))</f>
        <v>46.033127666077192</v>
      </c>
      <c r="O95" s="154">
        <f>IF(Assumptions!$L$25=4,VLOOKUP($A95,'Henwood Reference'!$E$9:$R$320,11),(VLOOKUP($A95,PriceTableWeekend,6,0)+IF(BasisNumber&lt;&gt;1,VLOOKUP($A95,BasisTable,3,0),0)+O$1)/(1-O$2))</f>
        <v>28.954987194180561</v>
      </c>
      <c r="P95" s="154">
        <f>IF(Assumptions!$L$25=4,VLOOKUP($A95,'Henwood Reference'!$E$9:$R$320,11),(VLOOKUP($A95,PriceTableWeekend,7,0)+IF(BasisNumber&lt;&gt;1,VLOOKUP($A95,BasisTable,3,0),0)+P$1)/(1-P$2))</f>
        <v>28.954987194180561</v>
      </c>
      <c r="Q95" s="156">
        <f>IF(Assumptions!$L$25=4,VLOOKUP($A95,'Henwood Reference'!$E$9:$R$320,11),(VLOOKUP($A95,PriceTableWeekend,8,0)+IF(BasisNumber&lt;&gt;1,VLOOKUP($A95,BasisTable,3,0),0)+Q$1)/(1-Q$2))</f>
        <v>28.954987194180561</v>
      </c>
      <c r="R95" s="154">
        <f>IF(Assumptions!$L$25=4,VLOOKUP($A95,'Henwood Reference'!$E$9:$R$320,11),(VLOOKUP($A95,PriceTable,6,0)+IF(BasisNumber&lt;&gt;1,VLOOKUP($A95,BasisTable,3,0),0)+R$1)/(1-R$2))</f>
        <v>28.954987194180561</v>
      </c>
      <c r="S95" s="154">
        <f>IF(Assumptions!$L$25=4,VLOOKUP($A95,'Henwood Reference'!$E$9:$R$320,11),(VLOOKUP($A95,PriceTable,7,0)+IF(BasisNumber&lt;&gt;1,VLOOKUP($A95,BasisTable,3,0),0)+S$1)/(1-S$2))</f>
        <v>28.954987194180561</v>
      </c>
      <c r="T95" s="155">
        <f>IF(Assumptions!$L$25=4,VLOOKUP($A95,'Henwood Reference'!$E$9:$R$320,11),(VLOOKUP($A95,PriceTable,8,0)+IF(BasisNumber&lt;&gt;1,VLOOKUP($A95,BasisTable,3,0),0)+T$1)/(1-T$2))</f>
        <v>28.954987194180561</v>
      </c>
      <c r="U95" s="173">
        <f t="shared" si="298"/>
        <v>0.14000000000000001</v>
      </c>
      <c r="V95" s="173">
        <f t="shared" si="299"/>
        <v>0.15</v>
      </c>
      <c r="W95" s="174">
        <f t="shared" si="300"/>
        <v>0.16</v>
      </c>
      <c r="X95" s="173">
        <f t="shared" si="301"/>
        <v>0.14000000000000001</v>
      </c>
      <c r="Y95" s="173">
        <f t="shared" si="302"/>
        <v>0.15</v>
      </c>
      <c r="Z95" s="174">
        <f t="shared" si="303"/>
        <v>0.16</v>
      </c>
      <c r="AA95" s="173">
        <f t="shared" si="304"/>
        <v>0.09</v>
      </c>
      <c r="AB95" s="173">
        <f t="shared" si="305"/>
        <v>0.11</v>
      </c>
      <c r="AC95" s="174">
        <f t="shared" si="306"/>
        <v>0.13</v>
      </c>
      <c r="AD95" s="173">
        <f t="shared" si="307"/>
        <v>0.09</v>
      </c>
      <c r="AE95" s="173">
        <f t="shared" si="308"/>
        <v>0.11</v>
      </c>
      <c r="AF95" s="174">
        <f t="shared" si="309"/>
        <v>0.13</v>
      </c>
      <c r="AG95" s="173">
        <f t="shared" si="310"/>
        <v>-0.1</v>
      </c>
      <c r="AH95" s="173">
        <f t="shared" si="311"/>
        <v>0.6</v>
      </c>
      <c r="AI95" s="174">
        <f t="shared" si="312"/>
        <v>0.1</v>
      </c>
      <c r="AJ95" s="173">
        <f t="shared" si="313"/>
        <v>-0.1</v>
      </c>
      <c r="AK95" s="173">
        <f t="shared" si="314"/>
        <v>0.6</v>
      </c>
      <c r="AL95" s="174">
        <f t="shared" si="315"/>
        <v>0.1</v>
      </c>
      <c r="AM95" s="173">
        <f t="shared" si="316"/>
        <v>-0.01</v>
      </c>
      <c r="AN95" s="173">
        <f t="shared" si="317"/>
        <v>0.16</v>
      </c>
      <c r="AO95" s="174">
        <f t="shared" si="318"/>
        <v>0.01</v>
      </c>
      <c r="AP95" s="173">
        <f t="shared" si="319"/>
        <v>-0.01</v>
      </c>
      <c r="AQ95" s="173">
        <f t="shared" si="320"/>
        <v>0.16</v>
      </c>
      <c r="AR95" s="175">
        <f t="shared" si="321"/>
        <v>0.01</v>
      </c>
      <c r="AS95" s="521">
        <f t="shared" si="322"/>
        <v>0.5</v>
      </c>
      <c r="AT95" s="349">
        <f t="shared" si="239"/>
        <v>21</v>
      </c>
      <c r="AU95" s="159">
        <f t="shared" si="240"/>
        <v>4</v>
      </c>
      <c r="AV95" s="159">
        <f t="shared" si="241"/>
        <v>4</v>
      </c>
      <c r="AW95" s="159">
        <f t="shared" si="323"/>
        <v>1</v>
      </c>
      <c r="AX95" s="15">
        <f t="shared" si="242"/>
        <v>30</v>
      </c>
      <c r="AY95" s="607">
        <f>IF(E95="",0,MIN((1-(1-VLOOKUP(B95,MAIN!$AA$7:$AM$28,C95+1))*(1-VLOOKUP(B95,MAIN!$AA$33:$AM$54,C95+1))),1))</f>
        <v>3.0000000000000027E-2</v>
      </c>
      <c r="AZ95" s="337">
        <v>48888</v>
      </c>
      <c r="BA95" s="509">
        <v>9312</v>
      </c>
      <c r="BB95" s="509">
        <v>11640</v>
      </c>
      <c r="BC95" s="511">
        <v>34920</v>
      </c>
      <c r="BD95" s="153">
        <v>0.97</v>
      </c>
      <c r="BE95" s="474">
        <v>0.97</v>
      </c>
      <c r="BF95" s="474">
        <v>0.97</v>
      </c>
      <c r="BG95" s="515">
        <v>0.9699999927729368</v>
      </c>
      <c r="BH95" s="262">
        <v>195552</v>
      </c>
      <c r="BI95" s="509">
        <v>37248</v>
      </c>
      <c r="BJ95" s="509">
        <v>46560</v>
      </c>
      <c r="BK95" s="511">
        <v>139680</v>
      </c>
      <c r="BL95" s="153">
        <v>0.97</v>
      </c>
      <c r="BM95" s="474">
        <v>0.97</v>
      </c>
      <c r="BN95" s="474">
        <v>0.97</v>
      </c>
      <c r="BO95" s="474">
        <v>0.9699999927729368</v>
      </c>
      <c r="BP95" s="261">
        <f t="shared" si="324"/>
        <v>69840</v>
      </c>
      <c r="BQ95" s="578">
        <f t="shared" si="325"/>
        <v>104760</v>
      </c>
      <c r="BR95" s="259">
        <f t="shared" si="326"/>
        <v>279360</v>
      </c>
      <c r="BS95" s="578">
        <f t="shared" si="327"/>
        <v>419040</v>
      </c>
      <c r="BT95" s="216">
        <f t="shared" si="328"/>
        <v>6.5489390828199863</v>
      </c>
      <c r="BU95" s="218">
        <f t="shared" si="243"/>
        <v>46.033127666077192</v>
      </c>
      <c r="BV95" s="216">
        <f t="shared" si="244"/>
        <v>46.033127666077192</v>
      </c>
      <c r="BW95" s="216">
        <f t="shared" si="245"/>
        <v>28.954987194180561</v>
      </c>
      <c r="BX95" s="216">
        <f t="shared" si="329"/>
        <v>28.954986978449092</v>
      </c>
      <c r="BY95" s="216">
        <f t="shared" si="246"/>
        <v>43.186770920761084</v>
      </c>
      <c r="BZ95" s="216">
        <f t="shared" si="247"/>
        <v>38.442842939990413</v>
      </c>
      <c r="CA95" s="264">
        <f t="shared" si="248"/>
        <v>46.033127666077192</v>
      </c>
      <c r="CB95" s="216">
        <f t="shared" si="249"/>
        <v>46.033127666077192</v>
      </c>
      <c r="CC95" s="216">
        <f t="shared" si="250"/>
        <v>28.954987194180561</v>
      </c>
      <c r="CD95" s="216">
        <f t="shared" si="330"/>
        <v>28.954986978449092</v>
      </c>
      <c r="CE95" s="216">
        <f t="shared" si="251"/>
        <v>43.186770920761084</v>
      </c>
      <c r="CF95" s="571">
        <f t="shared" si="252"/>
        <v>38.442842939990413</v>
      </c>
      <c r="CG95" s="573">
        <f t="shared" si="253"/>
        <v>0.15</v>
      </c>
      <c r="CH95" s="219">
        <f t="shared" si="254"/>
        <v>0.15</v>
      </c>
      <c r="CI95" s="219">
        <f t="shared" si="255"/>
        <v>0.11</v>
      </c>
      <c r="CJ95" s="219">
        <f t="shared" si="256"/>
        <v>0.145605529692441</v>
      </c>
      <c r="CK95" s="219">
        <f t="shared" si="257"/>
        <v>0.145605529692441</v>
      </c>
      <c r="CL95" s="219">
        <f t="shared" si="258"/>
        <v>0.11</v>
      </c>
      <c r="CM95" s="219">
        <f t="shared" si="259"/>
        <v>0.12568432162705215</v>
      </c>
      <c r="CN95" s="569">
        <f t="shared" si="260"/>
        <v>0.12568432162705215</v>
      </c>
      <c r="CO95" s="264">
        <f t="shared" si="343"/>
        <v>20.920208114822721</v>
      </c>
      <c r="CP95" s="216">
        <f t="shared" si="331"/>
        <v>20.920208114822721</v>
      </c>
      <c r="CQ95" s="216">
        <f t="shared" ca="1" si="192"/>
        <v>20.920208114822721</v>
      </c>
      <c r="CR95" s="216">
        <f t="shared" ca="1" si="193"/>
        <v>20.920208114822721</v>
      </c>
      <c r="CS95" s="1626">
        <f t="shared" ca="1" si="194"/>
        <v>20.920208114822721</v>
      </c>
      <c r="CT95" s="216">
        <f t="shared" si="332"/>
        <v>20.920208114822721</v>
      </c>
      <c r="CU95" s="575">
        <f t="shared" si="261"/>
        <v>0.16</v>
      </c>
      <c r="CV95" s="154">
        <f t="shared" si="262"/>
        <v>0.5</v>
      </c>
      <c r="CW95" s="216">
        <f>IF(OR($BQ95,$BS95),SpreadOptPowerMargin,0)*((1+Assumptions!$C$26)^($B95-YEAR(Assumptions!$C$17)))</f>
        <v>1.9101743999999998</v>
      </c>
      <c r="CX95" s="216">
        <f>IF(OR($BQ95,$BS95),SpreadOptPowerMargin,0)*((1+Assumptions!$C$26)^($B95-YEAR(Assumptions!$C$17)))</f>
        <v>1.9101743999999998</v>
      </c>
      <c r="CY95" s="216">
        <f>IF(OR($BQ95,$BS95),SpreadOptPowerMargin,0)*((1+Assumptions!$C$26)^($B95-YEAR(Assumptions!$C$17)))</f>
        <v>1.9101743999999998</v>
      </c>
      <c r="CZ95" s="216">
        <f>IF(OR($BQ95,$BS95),SpreadOptPowerMargin,0)*((1+Assumptions!$C$26)^($B95-YEAR(Assumptions!$C$17)))</f>
        <v>1.9101743999999998</v>
      </c>
      <c r="DA95" s="440">
        <f t="shared" si="263"/>
        <v>1.9101744000000001</v>
      </c>
      <c r="DB95" s="479">
        <f t="shared" si="264"/>
        <v>0.15</v>
      </c>
      <c r="DC95" s="479">
        <f t="shared" si="265"/>
        <v>0.15</v>
      </c>
      <c r="DD95" s="479">
        <f t="shared" si="266"/>
        <v>0.11</v>
      </c>
      <c r="DE95" s="479">
        <f t="shared" si="267"/>
        <v>0.11</v>
      </c>
      <c r="DF95" s="479">
        <f t="shared" si="268"/>
        <v>0.12568432162705215</v>
      </c>
      <c r="DG95" s="574">
        <f t="shared" si="269"/>
        <v>0.12568432162705215</v>
      </c>
      <c r="DH95" s="216">
        <f t="shared" si="270"/>
        <v>23.362101712893526</v>
      </c>
      <c r="DI95" s="216">
        <f t="shared" si="271"/>
        <v>23.362101712893526</v>
      </c>
      <c r="DJ95" s="216">
        <f t="shared" ca="1" si="195"/>
        <v>7.3662004073874598</v>
      </c>
      <c r="DK95" s="216">
        <f t="shared" ca="1" si="196"/>
        <v>7.366200232685105</v>
      </c>
      <c r="DL95" s="216">
        <f t="shared" ca="1" si="197"/>
        <v>15.938555195147503</v>
      </c>
      <c r="DM95" s="216"/>
      <c r="DN95" s="216"/>
      <c r="DO95" s="216"/>
      <c r="DP95" s="216"/>
      <c r="DQ95" s="216"/>
      <c r="DR95" s="216"/>
      <c r="DS95" s="216"/>
      <c r="DT95" s="216"/>
      <c r="DU95" s="216"/>
      <c r="DV95" s="216"/>
      <c r="DW95" s="1371">
        <f t="shared" si="272"/>
        <v>7.3662004073874598</v>
      </c>
      <c r="DX95" s="216">
        <f t="shared" si="273"/>
        <v>7.366200232685105</v>
      </c>
      <c r="DY95" s="440">
        <f t="shared" si="274"/>
        <v>16.252812185545601</v>
      </c>
      <c r="DZ95" s="180">
        <f t="shared" si="275"/>
        <v>1142126.4285399388</v>
      </c>
      <c r="EA95" s="180">
        <f t="shared" si="276"/>
        <v>217547.89115046451</v>
      </c>
      <c r="EB95" s="180">
        <f t="shared" ca="1" si="198"/>
        <v>85742.572741990036</v>
      </c>
      <c r="EC95" s="180">
        <f t="shared" ca="1" si="199"/>
        <v>257227.71212536388</v>
      </c>
      <c r="ED95" s="180">
        <f t="shared" ca="1" si="200"/>
        <v>1669723.0422436523</v>
      </c>
      <c r="EE95" s="581">
        <f t="shared" si="277"/>
        <v>1134335.8049545286</v>
      </c>
      <c r="EF95" s="554">
        <f t="shared" si="278"/>
        <v>216063.96284848163</v>
      </c>
      <c r="EG95" s="554">
        <f t="shared" ca="1" si="201"/>
        <v>71290.398467725274</v>
      </c>
      <c r="EH95" s="554">
        <f t="shared" ca="1" si="202"/>
        <v>213871.18786983294</v>
      </c>
      <c r="EI95" s="561">
        <f t="shared" ca="1" si="279"/>
        <v>1635561.3541405676</v>
      </c>
      <c r="EJ95" s="581">
        <f t="shared" si="333"/>
        <v>7790.6235854101833</v>
      </c>
      <c r="EK95" s="554">
        <f t="shared" si="334"/>
        <v>1483.9283019828727</v>
      </c>
      <c r="EL95" s="554">
        <f t="shared" ca="1" si="203"/>
        <v>14452.174274264762</v>
      </c>
      <c r="EM95" s="554">
        <f t="shared" ca="1" si="204"/>
        <v>43356.524255530938</v>
      </c>
      <c r="EN95" s="561">
        <f t="shared" ca="1" si="205"/>
        <v>34161.688103084685</v>
      </c>
      <c r="EO95" s="180">
        <f t="shared" si="280"/>
        <v>4568505.714159755</v>
      </c>
      <c r="EP95" s="180">
        <f t="shared" si="281"/>
        <v>870191.56460185803</v>
      </c>
      <c r="EQ95" s="180">
        <f t="shared" si="282"/>
        <v>342970.29096796014</v>
      </c>
      <c r="ER95" s="180">
        <f t="shared" si="283"/>
        <v>1028910.8485014555</v>
      </c>
      <c r="ES95" s="180">
        <f t="shared" si="284"/>
        <v>6810578.4182310281</v>
      </c>
      <c r="ET95" s="1482">
        <f t="shared" ca="1" si="206"/>
        <v>4537343.2198181143</v>
      </c>
      <c r="EU95" s="180">
        <f t="shared" ca="1" si="207"/>
        <v>864255.85139392654</v>
      </c>
      <c r="EV95" s="180">
        <f t="shared" ca="1" si="208"/>
        <v>285161.5938709011</v>
      </c>
      <c r="EW95" s="180">
        <f t="shared" ca="1" si="209"/>
        <v>855484.75147933175</v>
      </c>
      <c r="EX95" s="555">
        <f t="shared" ca="1" si="182"/>
        <v>6542245.4165622741</v>
      </c>
      <c r="EY95" s="180">
        <f t="shared" ca="1" si="210"/>
        <v>31162.494341640733</v>
      </c>
      <c r="EZ95" s="180">
        <f t="shared" ca="1" si="211"/>
        <v>5935.7132079314906</v>
      </c>
      <c r="FA95" s="180">
        <f t="shared" ca="1" si="212"/>
        <v>57808.697097059048</v>
      </c>
      <c r="FB95" s="180">
        <f t="shared" ca="1" si="213"/>
        <v>173426.09702212375</v>
      </c>
      <c r="FC95" s="180">
        <f t="shared" ca="1" si="214"/>
        <v>268333.00166875403</v>
      </c>
      <c r="FD95" s="262">
        <f>IF(AX95,IF(VLOOKUP(C95,MAIN!$L$17:$M$28,2)="Yes",VLOOKUP(CALC!B95,MAIN!$H$17:$I$20,2),0),0)</f>
        <v>0</v>
      </c>
      <c r="FE95" s="623">
        <f t="shared" si="285"/>
        <v>0</v>
      </c>
      <c r="FF95" s="535">
        <f t="shared" si="286"/>
        <v>0</v>
      </c>
      <c r="FG95" s="535">
        <f t="shared" si="287"/>
        <v>0</v>
      </c>
      <c r="FH95" s="624">
        <f t="shared" si="288"/>
        <v>0</v>
      </c>
      <c r="FI95" s="632">
        <f>IF(AX95,VLOOKUP(CALC!B95,MAIN!$H$17:$K$20,4),0)</f>
        <v>0</v>
      </c>
      <c r="FJ95" s="535">
        <f t="shared" si="289"/>
        <v>0</v>
      </c>
      <c r="FK95" s="648">
        <f t="shared" si="335"/>
        <v>0</v>
      </c>
      <c r="FL95" s="530">
        <f t="shared" ca="1" si="215"/>
        <v>0</v>
      </c>
      <c r="FM95" s="530">
        <f t="shared" ca="1" si="216"/>
        <v>0</v>
      </c>
      <c r="FN95" s="530">
        <f t="shared" ca="1" si="217"/>
        <v>0</v>
      </c>
      <c r="FO95" s="622">
        <f t="shared" ca="1" si="218"/>
        <v>0</v>
      </c>
      <c r="FP95" s="530">
        <f t="shared" ca="1" si="219"/>
        <v>0</v>
      </c>
      <c r="FQ95" s="530">
        <f t="shared" ca="1" si="220"/>
        <v>0</v>
      </c>
      <c r="FR95" s="530">
        <f t="shared" ca="1" si="221"/>
        <v>0</v>
      </c>
      <c r="FS95" s="625">
        <f t="shared" ca="1" si="222"/>
        <v>0</v>
      </c>
      <c r="FT95" s="640">
        <f ca="1">IF(AND(Assumptions!$H$71="Yes",A95&gt;=Assumptions!$H$72,A95&lt;=Assumptions!$H$73),0,IF(AND($A95&gt;=Assumptions!$C$17,$A95&lt;=Assumptions!$C$18),MAX(AZ95*(1+VLOOKUP($C95,WeatherCapacityAdjustment,2))-FL95,0),0))</f>
        <v>48888</v>
      </c>
      <c r="FU95" s="530">
        <f ca="1">IF(AND(Assumptions!$H$71="Yes",A95&gt;=Assumptions!$H$72,A95&lt;=Assumptions!$H$73),0,IF(AND($A95&gt;=Assumptions!$C$17,$A95&lt;=Assumptions!$C$18),MAX(BA95*(1+VLOOKUP($C95,WeatherCapacityAdjustment,2))-FM95,0),0))</f>
        <v>9312</v>
      </c>
      <c r="FV95" s="530">
        <f ca="1">IF(AND(Assumptions!$H$71="Yes",A95&gt;=Assumptions!$H$72,A95&lt;=Assumptions!$H$73),0,IF(AND($A95&gt;=Assumptions!$C$17,$A95&lt;=Assumptions!$C$18),MAX(BB95*(1+VLOOKUP($C95,WeatherCapacityAdjustment,2))-FN95,0),0))</f>
        <v>11640</v>
      </c>
      <c r="FW95" s="622">
        <f ca="1">IF(AND(Assumptions!$H$71="Yes",A95&gt;=Assumptions!$H$72,A95&lt;=Assumptions!$H$73),0,IF(AND($A95&gt;=Assumptions!$C$17,$A95&lt;=Assumptions!$C$18),MAX(BC95*(1+VLOOKUP($C95,WeatherCapacityAdjustment,3))-FO95,0),0))</f>
        <v>34920</v>
      </c>
      <c r="FX95" s="621">
        <f ca="1">IF(AND(Assumptions!$H$71="Yes",A95&gt;=Assumptions!$H$72,A95&lt;=Assumptions!$H$73),0,IF(ET95&gt;0,MAX(BH95*(1+VLOOKUP($C95,WeatherCapacityAdjustment,2))-FP95,0),0))</f>
        <v>195552</v>
      </c>
      <c r="FY95" s="530">
        <f ca="1">IF(AND(Assumptions!$H$71="Yes",A95&gt;=Assumptions!$H$72,A95&lt;=Assumptions!$H$73),0,IF(EU95&gt;0,MAX(BI95*(1+VLOOKUP($C95,WeatherCapacityAdjustment,3))-FQ95,0),0))</f>
        <v>37248</v>
      </c>
      <c r="FZ95" s="530">
        <f ca="1">IF(AND(Assumptions!$H$71="Yes",A95&gt;=Assumptions!$H$72,A95&lt;=Assumptions!$H$73),0,IF(EV95&gt;0,MAX(BJ95*(1+VLOOKUP($C95,WeatherCapacityAdjustment,2))-FR95,0),0))</f>
        <v>46560</v>
      </c>
      <c r="GA95" s="622">
        <f ca="1">IF(AND(Assumptions!$H$71="Yes",A95&gt;=Assumptions!$H$72,A95&lt;=Assumptions!$H$73),0,IF(EW95&gt;0,MAX(BK95*(1+VLOOKUP($C95,WeatherCapacityAdjustment,2))-FS95,0),0))</f>
        <v>139680</v>
      </c>
      <c r="GB95" s="530">
        <f t="shared" ca="1" si="290"/>
        <v>523800</v>
      </c>
      <c r="GC95" s="545">
        <f t="shared" ca="1" si="291"/>
        <v>38.442842939990413</v>
      </c>
      <c r="GD95" s="530">
        <f t="shared" ca="1" si="223"/>
        <v>20136361.131966982</v>
      </c>
      <c r="GE95" s="1485">
        <f t="shared" ca="1" si="224"/>
        <v>743821.14240000013</v>
      </c>
      <c r="GF95" s="1776">
        <f t="shared" ca="1" si="225"/>
        <v>2975284.5696000005</v>
      </c>
      <c r="GG95" s="545">
        <f t="shared" si="190"/>
        <v>2.9464085882762721</v>
      </c>
      <c r="GH95" s="622">
        <f t="shared" ca="1" si="191"/>
        <v>10958005.010544142</v>
      </c>
      <c r="GI95" s="621">
        <f t="shared" ca="1" si="336"/>
        <v>523800</v>
      </c>
      <c r="GJ95" s="638">
        <f t="shared" si="292"/>
        <v>1.9101744000000001</v>
      </c>
      <c r="GK95" s="625">
        <f t="shared" ca="1" si="342"/>
        <v>1000549.35072</v>
      </c>
      <c r="GL95" s="640">
        <f t="shared" ca="1" si="226"/>
        <v>0</v>
      </c>
      <c r="GM95" s="530">
        <f t="shared" ca="1" si="227"/>
        <v>0</v>
      </c>
      <c r="GN95" s="530">
        <f t="shared" ca="1" si="228"/>
        <v>0</v>
      </c>
      <c r="GO95" s="622">
        <f t="shared" ca="1" si="229"/>
        <v>0</v>
      </c>
      <c r="GP95" s="530">
        <f t="shared" ca="1" si="293"/>
        <v>0</v>
      </c>
      <c r="GQ95" s="545">
        <f t="shared" ca="1" si="294"/>
        <v>0</v>
      </c>
      <c r="GR95" s="625">
        <f t="shared" ca="1" si="230"/>
        <v>0</v>
      </c>
      <c r="GS95" s="640">
        <f>IF($A95&gt;=BegDate,Assumptions!$C$56*24*($A96-$A95)*(1-VLOOKUP($B95,MAIN!$AA$7:$AM$28,$C95+1))*(1-VLOOKUP($B95,MAIN!$AA$33:$AM$54,$C95+1)),0)*80/168</f>
        <v>249428.57142857142</v>
      </c>
      <c r="GT95" s="1715">
        <f t="shared" si="337"/>
        <v>46.033127666077192</v>
      </c>
      <c r="GU95" s="1715">
        <f>IF($A95&gt;=BegDate,VLOOKUP($A95,GasTable,13)+Assumptions!$C$58,0)</f>
        <v>2.9464085882762721</v>
      </c>
      <c r="GV95" s="1715">
        <f>GU95*Assumptions!$C$57/1000</f>
        <v>21.361462265002974</v>
      </c>
      <c r="GW95" s="625">
        <f>IF(Assumptions!$C$60="Hourly",MAX(0,GS95*(GT95-GV95)),GS95*(GT95-GV95))</f>
        <v>6153818.255753655</v>
      </c>
      <c r="GX95" s="640">
        <f>IF($A95&gt;=BegDate,Assumptions!$C$56*24*($A96-$A95)*(1-VLOOKUP($B95,MAIN!$AA$7:$AM$28,$C95+1))*(1-VLOOKUP($B95,MAIN!$AA$33:$AM$54,$C95+1)),0)*16/168</f>
        <v>49885.714285714283</v>
      </c>
      <c r="GY95" s="1715">
        <f t="shared" si="338"/>
        <v>46.033127666077192</v>
      </c>
      <c r="GZ95" s="1715">
        <f>IF($A95&gt;=BegDate,VLOOKUP($A95,GasTable,13)+Assumptions!$C$58,0)</f>
        <v>2.9464085882762721</v>
      </c>
      <c r="HA95" s="1715">
        <f>GZ95*Assumptions!$C$57/1000</f>
        <v>21.361462265002974</v>
      </c>
      <c r="HB95" s="625">
        <f>IF(Assumptions!$C$60="Hourly",MAX(0,GX95*(GY95-HA95)),GX95*(GY95-HA95))</f>
        <v>1230763.6511507309</v>
      </c>
      <c r="HC95" s="640">
        <f>IF($A95&gt;=BegDate,Assumptions!$C$56*24*($A96-$A95)*(1-VLOOKUP($B95,MAIN!$AA$7:$AM$28,$C95+1))*(1-VLOOKUP($B95,MAIN!$AA$33:$AM$54,$C95+1)),0)*16/168</f>
        <v>49885.714285714283</v>
      </c>
      <c r="HD95" s="1715">
        <f t="shared" si="339"/>
        <v>28.954987194180561</v>
      </c>
      <c r="HE95" s="1715">
        <f>IF($A95&gt;=BegDate,VLOOKUP($A95,GasTable,13)+Assumptions!$C$58,0)</f>
        <v>2.9464085882762721</v>
      </c>
      <c r="HF95" s="1715">
        <f>HE95*Assumptions!$C$57/1000</f>
        <v>21.361462265002974</v>
      </c>
      <c r="HG95" s="625">
        <f>IF(Assumptions!$C$60="Hourly",MAX(0,HC95*(HD95-HF95)),HC95*(HD95-HF95))</f>
        <v>378808.4150384019</v>
      </c>
      <c r="HH95" s="640">
        <f>IF($A95&gt;=BegDate,Assumptions!$C$56*24*($A96-$A95)*(1-VLOOKUP($B95,MAIN!$AA$7:$AM$28,$C95+1))*(1-VLOOKUP($B95,MAIN!$AA$33:$AM$54,$C95+1)),0)*56/168</f>
        <v>174600</v>
      </c>
      <c r="HI95" s="1715">
        <f t="shared" si="340"/>
        <v>28.954987194180561</v>
      </c>
      <c r="HJ95" s="1715">
        <f>IF($A95&gt;=BegDate,VLOOKUP($A95,GasTable,13)+Assumptions!$C$58,0)</f>
        <v>2.9464085882762721</v>
      </c>
      <c r="HK95" s="1715">
        <f>HJ95*Assumptions!$C$57/1000</f>
        <v>21.361462265002974</v>
      </c>
      <c r="HL95" s="625">
        <f>IF(Assumptions!$C$60="Hourly",MAX(0,HH95*(HI95-HK95)),HH95*(HI95-HK95))</f>
        <v>1325829.4526344067</v>
      </c>
      <c r="HM95" s="640">
        <f>IF(AND(Assumptions!$H$71="Yes",A95&gt;=Assumptions!$H$72,A95&lt;=Assumptions!$H$73),Assumptions!$H$74*Assumptions!$C$9*1000,0)</f>
        <v>0</v>
      </c>
      <c r="HN95" s="530"/>
      <c r="HO95" s="545"/>
      <c r="HP95" s="545"/>
      <c r="HQ95" s="545"/>
      <c r="HR95" s="545"/>
      <c r="HS95" s="545"/>
      <c r="HT95" s="545"/>
      <c r="HU95" s="545"/>
      <c r="HV95" s="545"/>
      <c r="HW95" s="545"/>
      <c r="HX95" s="545"/>
      <c r="HY95" s="545"/>
      <c r="HZ95" s="545"/>
      <c r="IA95" s="545"/>
      <c r="IB95" s="545"/>
      <c r="IC95" s="545"/>
      <c r="ID95" s="545"/>
      <c r="IE95" s="545"/>
      <c r="IF95" s="545"/>
      <c r="IG95" s="545"/>
      <c r="IH95" s="545"/>
      <c r="II95" s="1464"/>
      <c r="IJ95" s="1463"/>
      <c r="IK95" s="1463"/>
    </row>
    <row r="96" spans="1:245">
      <c r="A96" s="177">
        <f t="shared" si="295"/>
        <v>39052</v>
      </c>
      <c r="B96" s="349">
        <f t="shared" si="296"/>
        <v>2006</v>
      </c>
      <c r="C96" s="15">
        <f t="shared" si="236"/>
        <v>12</v>
      </c>
      <c r="D96" s="612">
        <f t="shared" si="297"/>
        <v>39076</v>
      </c>
      <c r="E96" s="609">
        <f t="shared" si="237"/>
        <v>39052</v>
      </c>
      <c r="F96" s="614">
        <f t="shared" si="238"/>
        <v>39082</v>
      </c>
      <c r="G96" s="1349">
        <v>0</v>
      </c>
      <c r="H96" s="152">
        <f t="shared" si="341"/>
        <v>1</v>
      </c>
      <c r="I96" s="154">
        <f>IF(Assumptions!$L$25=4,VLOOKUP($A96,'Henwood Reference'!$E$9:$R$320,10),(VLOOKUP($A96,PriceTable,2,0)+IF(BasisNumber&lt;&gt;1,VLOOKUP($A96,BasisTable,2,0),0)+I$1)/(1-I$2))</f>
        <v>47.378103443404186</v>
      </c>
      <c r="J96" s="154">
        <f>IF(Assumptions!$L$25=4,VLOOKUP($A96,'Henwood Reference'!$E$9:$R$320,10),(VLOOKUP($A96,PriceTable,3,0)+IF(BasisNumber&lt;&gt;1,VLOOKUP($A96,BasisTable,2,0),0)+J$1)/(1-J$2))</f>
        <v>47.378103443404186</v>
      </c>
      <c r="K96" s="154">
        <f>IF(Assumptions!$L$25=4,VLOOKUP($A96,'Henwood Reference'!$E$9:$R$320,10),(VLOOKUP($A96,PriceTable,4,0)+IF(BasisNumber&lt;&gt;1,VLOOKUP($A96,BasisTable,2,0),0)+K$1)/(1-K$2))</f>
        <v>47.378103443404186</v>
      </c>
      <c r="L96" s="474">
        <f>IF(Assumptions!$L$25=4,VLOOKUP($A96,'Henwood Reference'!$E$9:$R$320,10),(VLOOKUP($A96,PriceTableWeekend,2,0)+IF(BasisNumber&lt;&gt;1,VLOOKUP($A96,BasisTable,2,0),0)+L$1)/(1-L$2))</f>
        <v>47.378103443404186</v>
      </c>
      <c r="M96" s="154">
        <f>IF(Assumptions!$L$25=4,VLOOKUP($A96,'Henwood Reference'!$E$9:$R$320,10),(VLOOKUP($A96,PriceTableWeekend,3,0)+IF(BasisNumber&lt;&gt;1,VLOOKUP($A96,BasisTable,2,0),0)+M$1)/(1-M$2))</f>
        <v>47.378103443404186</v>
      </c>
      <c r="N96" s="156">
        <f>IF(Assumptions!$L$25=4,VLOOKUP($A96,'Henwood Reference'!$E$9:$R$320,10),(VLOOKUP($A96,PriceTableWeekend,4,0)+IF(BasisNumber&lt;&gt;1,VLOOKUP($A96,BasisTable,2,0),0)+N$1)/(1-N$2))</f>
        <v>47.378103443404186</v>
      </c>
      <c r="O96" s="154">
        <f>IF(Assumptions!$L$25=4,VLOOKUP($A96,'Henwood Reference'!$E$9:$R$320,11),(VLOOKUP($A96,PriceTableWeekend,6,0)+IF(BasisNumber&lt;&gt;1,VLOOKUP($A96,BasisTable,3,0),0)+O$1)/(1-O$2))</f>
        <v>29.939816229826924</v>
      </c>
      <c r="P96" s="154">
        <f>IF(Assumptions!$L$25=4,VLOOKUP($A96,'Henwood Reference'!$E$9:$R$320,11),(VLOOKUP($A96,PriceTableWeekend,7,0)+IF(BasisNumber&lt;&gt;1,VLOOKUP($A96,BasisTable,3,0),0)+P$1)/(1-P$2))</f>
        <v>29.939816229826924</v>
      </c>
      <c r="Q96" s="156">
        <f>IF(Assumptions!$L$25=4,VLOOKUP($A96,'Henwood Reference'!$E$9:$R$320,11),(VLOOKUP($A96,PriceTableWeekend,8,0)+IF(BasisNumber&lt;&gt;1,VLOOKUP($A96,BasisTable,3,0),0)+Q$1)/(1-Q$2))</f>
        <v>29.939816229826924</v>
      </c>
      <c r="R96" s="154">
        <f>IF(Assumptions!$L$25=4,VLOOKUP($A96,'Henwood Reference'!$E$9:$R$320,11),(VLOOKUP($A96,PriceTable,6,0)+IF(BasisNumber&lt;&gt;1,VLOOKUP($A96,BasisTable,3,0),0)+R$1)/(1-R$2))</f>
        <v>29.939816229826924</v>
      </c>
      <c r="S96" s="154">
        <f>IF(Assumptions!$L$25=4,VLOOKUP($A96,'Henwood Reference'!$E$9:$R$320,11),(VLOOKUP($A96,PriceTable,7,0)+IF(BasisNumber&lt;&gt;1,VLOOKUP($A96,BasisTable,3,0),0)+S$1)/(1-S$2))</f>
        <v>29.939816229826924</v>
      </c>
      <c r="T96" s="155">
        <f>IF(Assumptions!$L$25=4,VLOOKUP($A96,'Henwood Reference'!$E$9:$R$320,11),(VLOOKUP($A96,PriceTable,8,0)+IF(BasisNumber&lt;&gt;1,VLOOKUP($A96,BasisTable,3,0),0)+T$1)/(1-T$2))</f>
        <v>29.939816229826924</v>
      </c>
      <c r="U96" s="173">
        <f t="shared" si="298"/>
        <v>0.14000000000000001</v>
      </c>
      <c r="V96" s="173">
        <f t="shared" si="299"/>
        <v>0.15</v>
      </c>
      <c r="W96" s="174">
        <f t="shared" si="300"/>
        <v>0.16</v>
      </c>
      <c r="X96" s="173">
        <f t="shared" si="301"/>
        <v>0.14000000000000001</v>
      </c>
      <c r="Y96" s="173">
        <f t="shared" si="302"/>
        <v>0.15</v>
      </c>
      <c r="Z96" s="174">
        <f t="shared" si="303"/>
        <v>0.16</v>
      </c>
      <c r="AA96" s="173">
        <f t="shared" si="304"/>
        <v>0.09</v>
      </c>
      <c r="AB96" s="173">
        <f t="shared" si="305"/>
        <v>0.11</v>
      </c>
      <c r="AC96" s="174">
        <f t="shared" si="306"/>
        <v>0.13</v>
      </c>
      <c r="AD96" s="173">
        <f t="shared" si="307"/>
        <v>0.09</v>
      </c>
      <c r="AE96" s="173">
        <f t="shared" si="308"/>
        <v>0.11</v>
      </c>
      <c r="AF96" s="174">
        <f t="shared" si="309"/>
        <v>0.13</v>
      </c>
      <c r="AG96" s="173">
        <f t="shared" si="310"/>
        <v>-0.25</v>
      </c>
      <c r="AH96" s="173">
        <f t="shared" si="311"/>
        <v>0.6</v>
      </c>
      <c r="AI96" s="174">
        <f t="shared" si="312"/>
        <v>0.25</v>
      </c>
      <c r="AJ96" s="173">
        <f t="shared" si="313"/>
        <v>-0.25</v>
      </c>
      <c r="AK96" s="173">
        <f t="shared" si="314"/>
        <v>0.6</v>
      </c>
      <c r="AL96" s="174">
        <f t="shared" si="315"/>
        <v>0.25</v>
      </c>
      <c r="AM96" s="173">
        <f t="shared" si="316"/>
        <v>-0.01</v>
      </c>
      <c r="AN96" s="173">
        <f t="shared" si="317"/>
        <v>0.16</v>
      </c>
      <c r="AO96" s="174">
        <f t="shared" si="318"/>
        <v>0.01</v>
      </c>
      <c r="AP96" s="173">
        <f t="shared" si="319"/>
        <v>-0.01</v>
      </c>
      <c r="AQ96" s="173">
        <f t="shared" si="320"/>
        <v>0.16</v>
      </c>
      <c r="AR96" s="175">
        <f t="shared" si="321"/>
        <v>0.01</v>
      </c>
      <c r="AS96" s="521">
        <f t="shared" si="322"/>
        <v>0.5</v>
      </c>
      <c r="AT96" s="349">
        <f t="shared" si="239"/>
        <v>20</v>
      </c>
      <c r="AU96" s="159">
        <f t="shared" si="240"/>
        <v>5</v>
      </c>
      <c r="AV96" s="159">
        <f t="shared" si="241"/>
        <v>5</v>
      </c>
      <c r="AW96" s="159">
        <f t="shared" si="323"/>
        <v>1</v>
      </c>
      <c r="AX96" s="15">
        <f t="shared" si="242"/>
        <v>31</v>
      </c>
      <c r="AY96" s="607">
        <f>IF(E96="",0,MIN((1-(1-VLOOKUP(B96,MAIN!$AA$7:$AM$28,C96+1))*(1-VLOOKUP(B96,MAIN!$AA$33:$AM$54,C96+1))),1))</f>
        <v>3.0000000000000027E-2</v>
      </c>
      <c r="AZ96" s="337">
        <v>46560</v>
      </c>
      <c r="BA96" s="509">
        <v>11640</v>
      </c>
      <c r="BB96" s="509">
        <v>13968</v>
      </c>
      <c r="BC96" s="511">
        <v>36084</v>
      </c>
      <c r="BD96" s="153">
        <v>0.97</v>
      </c>
      <c r="BE96" s="474">
        <v>0.97</v>
      </c>
      <c r="BF96" s="474">
        <v>0.97</v>
      </c>
      <c r="BG96" s="515">
        <v>0.97</v>
      </c>
      <c r="BH96" s="262">
        <v>186240</v>
      </c>
      <c r="BI96" s="509">
        <v>46560</v>
      </c>
      <c r="BJ96" s="509">
        <v>55872</v>
      </c>
      <c r="BK96" s="511">
        <v>144336</v>
      </c>
      <c r="BL96" s="153">
        <v>0.97</v>
      </c>
      <c r="BM96" s="474">
        <v>0.97</v>
      </c>
      <c r="BN96" s="474">
        <v>0.97</v>
      </c>
      <c r="BO96" s="474">
        <v>0.97</v>
      </c>
      <c r="BP96" s="261">
        <f t="shared" si="324"/>
        <v>72168</v>
      </c>
      <c r="BQ96" s="578">
        <f t="shared" si="325"/>
        <v>108252</v>
      </c>
      <c r="BR96" s="259">
        <f t="shared" si="326"/>
        <v>288672</v>
      </c>
      <c r="BS96" s="578">
        <f t="shared" si="327"/>
        <v>433008</v>
      </c>
      <c r="BT96" s="216">
        <f t="shared" si="328"/>
        <v>6.6310746064339492</v>
      </c>
      <c r="BU96" s="218">
        <f t="shared" si="243"/>
        <v>47.378103443404186</v>
      </c>
      <c r="BV96" s="216">
        <f t="shared" si="244"/>
        <v>47.378103443404186</v>
      </c>
      <c r="BW96" s="216">
        <f t="shared" si="245"/>
        <v>29.939816229826924</v>
      </c>
      <c r="BX96" s="216">
        <f t="shared" si="329"/>
        <v>29.939816229826924</v>
      </c>
      <c r="BY96" s="216">
        <f t="shared" si="246"/>
        <v>44.002951079486003</v>
      </c>
      <c r="BZ96" s="216">
        <f t="shared" si="247"/>
        <v>39.315239462932972</v>
      </c>
      <c r="CA96" s="264">
        <f t="shared" si="248"/>
        <v>47.378103443404186</v>
      </c>
      <c r="CB96" s="216">
        <f t="shared" si="249"/>
        <v>47.378103443404186</v>
      </c>
      <c r="CC96" s="216">
        <f t="shared" si="250"/>
        <v>29.939816229826924</v>
      </c>
      <c r="CD96" s="216">
        <f t="shared" si="330"/>
        <v>29.939816229826924</v>
      </c>
      <c r="CE96" s="216">
        <f t="shared" si="251"/>
        <v>44.002951079486003</v>
      </c>
      <c r="CF96" s="571">
        <f t="shared" si="252"/>
        <v>39.315239462932972</v>
      </c>
      <c r="CG96" s="573">
        <f t="shared" si="253"/>
        <v>0.15</v>
      </c>
      <c r="CH96" s="219">
        <f t="shared" si="254"/>
        <v>0.15</v>
      </c>
      <c r="CI96" s="219">
        <f t="shared" si="255"/>
        <v>0.11</v>
      </c>
      <c r="CJ96" s="219">
        <f t="shared" si="256"/>
        <v>0.14481976160891197</v>
      </c>
      <c r="CK96" s="219">
        <f t="shared" si="257"/>
        <v>0.14481976160891197</v>
      </c>
      <c r="CL96" s="219">
        <f t="shared" si="258"/>
        <v>0.11</v>
      </c>
      <c r="CM96" s="219">
        <f t="shared" si="259"/>
        <v>0.1249081612947246</v>
      </c>
      <c r="CN96" s="569">
        <f t="shared" si="260"/>
        <v>0.1249081612947246</v>
      </c>
      <c r="CO96" s="264">
        <f t="shared" si="343"/>
        <v>21.783622311633717</v>
      </c>
      <c r="CP96" s="216">
        <f t="shared" si="331"/>
        <v>21.783622311633717</v>
      </c>
      <c r="CQ96" s="216">
        <f t="shared" ca="1" si="192"/>
        <v>21.783622311633717</v>
      </c>
      <c r="CR96" s="216">
        <f t="shared" ca="1" si="193"/>
        <v>21.783622311633717</v>
      </c>
      <c r="CS96" s="1626">
        <f t="shared" ca="1" si="194"/>
        <v>21.783622311633717</v>
      </c>
      <c r="CT96" s="216">
        <f t="shared" si="332"/>
        <v>21.783622311633717</v>
      </c>
      <c r="CU96" s="575">
        <f t="shared" si="261"/>
        <v>0.16</v>
      </c>
      <c r="CV96" s="154">
        <f t="shared" si="262"/>
        <v>0.5</v>
      </c>
      <c r="CW96" s="216">
        <f>IF(OR($BQ96,$BS96),SpreadOptPowerMargin,0)*((1+Assumptions!$C$26)^($B96-YEAR(Assumptions!$C$17)))</f>
        <v>1.9101743999999998</v>
      </c>
      <c r="CX96" s="216">
        <f>IF(OR($BQ96,$BS96),SpreadOptPowerMargin,0)*((1+Assumptions!$C$26)^($B96-YEAR(Assumptions!$C$17)))</f>
        <v>1.9101743999999998</v>
      </c>
      <c r="CY96" s="216">
        <f>IF(OR($BQ96,$BS96),SpreadOptPowerMargin,0)*((1+Assumptions!$C$26)^($B96-YEAR(Assumptions!$C$17)))</f>
        <v>1.9101743999999998</v>
      </c>
      <c r="CZ96" s="216">
        <f>IF(OR($BQ96,$BS96),SpreadOptPowerMargin,0)*((1+Assumptions!$C$26)^($B96-YEAR(Assumptions!$C$17)))</f>
        <v>1.9101743999999998</v>
      </c>
      <c r="DA96" s="440">
        <f t="shared" si="263"/>
        <v>1.9101743999999998</v>
      </c>
      <c r="DB96" s="479">
        <f t="shared" si="264"/>
        <v>0.15</v>
      </c>
      <c r="DC96" s="479">
        <f t="shared" si="265"/>
        <v>0.15</v>
      </c>
      <c r="DD96" s="479">
        <f t="shared" si="266"/>
        <v>0.11</v>
      </c>
      <c r="DE96" s="479">
        <f t="shared" si="267"/>
        <v>0.11</v>
      </c>
      <c r="DF96" s="479">
        <f t="shared" si="268"/>
        <v>0.1249081612947246</v>
      </c>
      <c r="DG96" s="574">
        <f t="shared" si="269"/>
        <v>0.1249081612947246</v>
      </c>
      <c r="DH96" s="216">
        <f t="shared" si="270"/>
        <v>23.865803601010008</v>
      </c>
      <c r="DI96" s="216">
        <f t="shared" si="271"/>
        <v>23.865803601010008</v>
      </c>
      <c r="DJ96" s="216">
        <f t="shared" ca="1" si="195"/>
        <v>7.5800151883487592</v>
      </c>
      <c r="DK96" s="216">
        <f t="shared" ca="1" si="196"/>
        <v>7.5800151883487592</v>
      </c>
      <c r="DL96" s="216">
        <f t="shared" ca="1" si="197"/>
        <v>15.999202351830519</v>
      </c>
      <c r="DM96" s="216"/>
      <c r="DN96" s="216"/>
      <c r="DO96" s="216"/>
      <c r="DP96" s="216"/>
      <c r="DQ96" s="216"/>
      <c r="DR96" s="216"/>
      <c r="DS96" s="216"/>
      <c r="DT96" s="216"/>
      <c r="DU96" s="216"/>
      <c r="DV96" s="216"/>
      <c r="DW96" s="1371">
        <f t="shared" si="272"/>
        <v>7.5800151883487592</v>
      </c>
      <c r="DX96" s="216">
        <f t="shared" si="273"/>
        <v>7.5800151883487592</v>
      </c>
      <c r="DY96" s="440">
        <f t="shared" si="274"/>
        <v>16.335815410209644</v>
      </c>
      <c r="DZ96" s="180">
        <f t="shared" si="275"/>
        <v>1111191.8156630259</v>
      </c>
      <c r="EA96" s="180">
        <f t="shared" si="276"/>
        <v>277797.95391575649</v>
      </c>
      <c r="EB96" s="180">
        <f t="shared" ca="1" si="198"/>
        <v>105877.65215085547</v>
      </c>
      <c r="EC96" s="180">
        <f t="shared" ca="1" si="199"/>
        <v>273517.2680563766</v>
      </c>
      <c r="ED96" s="180">
        <f t="shared" ca="1" si="200"/>
        <v>1731945.6529903573</v>
      </c>
      <c r="EE96" s="581">
        <f t="shared" si="277"/>
        <v>1102741.3214312331</v>
      </c>
      <c r="EF96" s="554">
        <f t="shared" si="278"/>
        <v>275685.33035780827</v>
      </c>
      <c r="EG96" s="554">
        <f t="shared" ca="1" si="201"/>
        <v>87244.400630122735</v>
      </c>
      <c r="EH96" s="554">
        <f t="shared" ca="1" si="202"/>
        <v>225381.36829448372</v>
      </c>
      <c r="EI96" s="561">
        <f t="shared" ca="1" si="279"/>
        <v>1691052.420713647</v>
      </c>
      <c r="EJ96" s="581">
        <f t="shared" si="333"/>
        <v>8450.4942317928653</v>
      </c>
      <c r="EK96" s="554">
        <f t="shared" si="334"/>
        <v>2112.6235579482163</v>
      </c>
      <c r="EL96" s="554">
        <f t="shared" ca="1" si="203"/>
        <v>18633.251520732738</v>
      </c>
      <c r="EM96" s="554">
        <f t="shared" ca="1" si="204"/>
        <v>48135.899761892884</v>
      </c>
      <c r="EN96" s="561">
        <f t="shared" ca="1" si="205"/>
        <v>40893.232276710216</v>
      </c>
      <c r="EO96" s="180">
        <f t="shared" si="280"/>
        <v>4444767.2626521038</v>
      </c>
      <c r="EP96" s="180">
        <f t="shared" si="281"/>
        <v>1111191.8156630259</v>
      </c>
      <c r="EQ96" s="180">
        <f t="shared" si="282"/>
        <v>423510.60860342189</v>
      </c>
      <c r="ER96" s="180">
        <f t="shared" si="283"/>
        <v>1094069.0722255064</v>
      </c>
      <c r="ES96" s="180">
        <f t="shared" si="284"/>
        <v>7073538.7591440575</v>
      </c>
      <c r="ET96" s="1482">
        <f t="shared" ca="1" si="206"/>
        <v>4410965.2857249323</v>
      </c>
      <c r="EU96" s="180">
        <f t="shared" ca="1" si="207"/>
        <v>1102741.3214312331</v>
      </c>
      <c r="EV96" s="180">
        <f t="shared" ca="1" si="208"/>
        <v>348977.60252049094</v>
      </c>
      <c r="EW96" s="180">
        <f t="shared" ca="1" si="209"/>
        <v>901525.47317793488</v>
      </c>
      <c r="EX96" s="555">
        <f t="shared" ca="1" si="182"/>
        <v>6764209.6828545909</v>
      </c>
      <c r="EY96" s="180">
        <f t="shared" ca="1" si="210"/>
        <v>33801.976927171461</v>
      </c>
      <c r="EZ96" s="180">
        <f t="shared" ca="1" si="211"/>
        <v>8450.4942317928653</v>
      </c>
      <c r="FA96" s="180">
        <f t="shared" ca="1" si="212"/>
        <v>74533.006082930951</v>
      </c>
      <c r="FB96" s="180">
        <f t="shared" ca="1" si="213"/>
        <v>192543.59904757154</v>
      </c>
      <c r="FC96" s="180">
        <f t="shared" ca="1" si="214"/>
        <v>309329.07628946658</v>
      </c>
      <c r="FD96" s="262">
        <f>IF(AX96,IF(VLOOKUP(C96,MAIN!$L$17:$M$28,2)="Yes",VLOOKUP(CALC!B96,MAIN!$H$17:$I$20,2),0),0)</f>
        <v>0</v>
      </c>
      <c r="FE96" s="623">
        <f t="shared" si="285"/>
        <v>0</v>
      </c>
      <c r="FF96" s="535">
        <f t="shared" si="286"/>
        <v>0</v>
      </c>
      <c r="FG96" s="535">
        <f t="shared" si="287"/>
        <v>0</v>
      </c>
      <c r="FH96" s="624">
        <f t="shared" si="288"/>
        <v>0</v>
      </c>
      <c r="FI96" s="632">
        <f>IF(AX96,VLOOKUP(CALC!B96,MAIN!$H$17:$K$20,4),0)</f>
        <v>0</v>
      </c>
      <c r="FJ96" s="535">
        <f t="shared" si="289"/>
        <v>0</v>
      </c>
      <c r="FK96" s="648">
        <f t="shared" si="335"/>
        <v>0</v>
      </c>
      <c r="FL96" s="530">
        <f t="shared" ca="1" si="215"/>
        <v>0</v>
      </c>
      <c r="FM96" s="530">
        <f t="shared" ca="1" si="216"/>
        <v>0</v>
      </c>
      <c r="FN96" s="530">
        <f t="shared" ca="1" si="217"/>
        <v>0</v>
      </c>
      <c r="FO96" s="622">
        <f t="shared" ca="1" si="218"/>
        <v>0</v>
      </c>
      <c r="FP96" s="530">
        <f t="shared" ca="1" si="219"/>
        <v>0</v>
      </c>
      <c r="FQ96" s="530">
        <f t="shared" ca="1" si="220"/>
        <v>0</v>
      </c>
      <c r="FR96" s="530">
        <f t="shared" ca="1" si="221"/>
        <v>0</v>
      </c>
      <c r="FS96" s="625">
        <f t="shared" ca="1" si="222"/>
        <v>0</v>
      </c>
      <c r="FT96" s="640">
        <f ca="1">IF(AND(Assumptions!$H$71="Yes",A96&gt;=Assumptions!$H$72,A96&lt;=Assumptions!$H$73),0,IF(AND($A96&gt;=Assumptions!$C$17,$A96&lt;=Assumptions!$C$18),MAX(AZ96*(1+VLOOKUP($C96,WeatherCapacityAdjustment,2))-FL96,0),0))</f>
        <v>46560</v>
      </c>
      <c r="FU96" s="530">
        <f ca="1">IF(AND(Assumptions!$H$71="Yes",A96&gt;=Assumptions!$H$72,A96&lt;=Assumptions!$H$73),0,IF(AND($A96&gt;=Assumptions!$C$17,$A96&lt;=Assumptions!$C$18),MAX(BA96*(1+VLOOKUP($C96,WeatherCapacityAdjustment,2))-FM96,0),0))</f>
        <v>11640</v>
      </c>
      <c r="FV96" s="530">
        <f ca="1">IF(AND(Assumptions!$H$71="Yes",A96&gt;=Assumptions!$H$72,A96&lt;=Assumptions!$H$73),0,IF(AND($A96&gt;=Assumptions!$C$17,$A96&lt;=Assumptions!$C$18),MAX(BB96*(1+VLOOKUP($C96,WeatherCapacityAdjustment,2))-FN96,0),0))</f>
        <v>13968</v>
      </c>
      <c r="FW96" s="622">
        <f ca="1">IF(AND(Assumptions!$H$71="Yes",A96&gt;=Assumptions!$H$72,A96&lt;=Assumptions!$H$73),0,IF(AND($A96&gt;=Assumptions!$C$17,$A96&lt;=Assumptions!$C$18),MAX(BC96*(1+VLOOKUP($C96,WeatherCapacityAdjustment,3))-FO96,0),0))</f>
        <v>36084</v>
      </c>
      <c r="FX96" s="621">
        <f ca="1">IF(AND(Assumptions!$H$71="Yes",A96&gt;=Assumptions!$H$72,A96&lt;=Assumptions!$H$73),0,IF(ET96&gt;0,MAX(BH96*(1+VLOOKUP($C96,WeatherCapacityAdjustment,2))-FP96,0),0))</f>
        <v>186240</v>
      </c>
      <c r="FY96" s="530">
        <f ca="1">IF(AND(Assumptions!$H$71="Yes",A96&gt;=Assumptions!$H$72,A96&lt;=Assumptions!$H$73),0,IF(EU96&gt;0,MAX(BI96*(1+VLOOKUP($C96,WeatherCapacityAdjustment,3))-FQ96,0),0))</f>
        <v>46560</v>
      </c>
      <c r="FZ96" s="530">
        <f ca="1">IF(AND(Assumptions!$H$71="Yes",A96&gt;=Assumptions!$H$72,A96&lt;=Assumptions!$H$73),0,IF(EV96&gt;0,MAX(BJ96*(1+VLOOKUP($C96,WeatherCapacityAdjustment,2))-FR96,0),0))</f>
        <v>55872</v>
      </c>
      <c r="GA96" s="622">
        <f ca="1">IF(AND(Assumptions!$H$71="Yes",A96&gt;=Assumptions!$H$72,A96&lt;=Assumptions!$H$73),0,IF(EW96&gt;0,MAX(BK96*(1+VLOOKUP($C96,WeatherCapacityAdjustment,2))-FS96,0),0))</f>
        <v>144336</v>
      </c>
      <c r="GB96" s="530">
        <f t="shared" ca="1" si="290"/>
        <v>541260</v>
      </c>
      <c r="GC96" s="545">
        <f t="shared" ca="1" si="291"/>
        <v>39.315239462932972</v>
      </c>
      <c r="GD96" s="530">
        <f t="shared" ca="1" si="223"/>
        <v>21279766.511707105</v>
      </c>
      <c r="GE96" s="1485">
        <f t="shared" ca="1" si="224"/>
        <v>768933.44135999994</v>
      </c>
      <c r="GF96" s="1776">
        <f t="shared" ca="1" si="225"/>
        <v>3075733.7654399998</v>
      </c>
      <c r="GG96" s="545">
        <f t="shared" si="190"/>
        <v>3.0667422635543122</v>
      </c>
      <c r="GH96" s="622">
        <f t="shared" ca="1" si="191"/>
        <v>11790603.412394866</v>
      </c>
      <c r="GI96" s="621">
        <f t="shared" ca="1" si="336"/>
        <v>541260</v>
      </c>
      <c r="GJ96" s="638">
        <f t="shared" si="292"/>
        <v>1.9101743999999998</v>
      </c>
      <c r="GK96" s="625">
        <f t="shared" ca="1" si="342"/>
        <v>1033900.995744</v>
      </c>
      <c r="GL96" s="640">
        <f t="shared" ca="1" si="226"/>
        <v>0</v>
      </c>
      <c r="GM96" s="530">
        <f t="shared" ca="1" si="227"/>
        <v>0</v>
      </c>
      <c r="GN96" s="530">
        <f t="shared" ca="1" si="228"/>
        <v>0</v>
      </c>
      <c r="GO96" s="622">
        <f t="shared" ca="1" si="229"/>
        <v>0</v>
      </c>
      <c r="GP96" s="530">
        <f t="shared" ca="1" si="293"/>
        <v>0</v>
      </c>
      <c r="GQ96" s="545">
        <f t="shared" ca="1" si="294"/>
        <v>0</v>
      </c>
      <c r="GR96" s="625">
        <f t="shared" ca="1" si="230"/>
        <v>0</v>
      </c>
      <c r="GS96" s="640">
        <f>IF($A96&gt;=BegDate,Assumptions!$C$56*24*($A97-$A96)*(1-VLOOKUP($B96,MAIN!$AA$7:$AM$28,$C96+1))*(1-VLOOKUP($B96,MAIN!$AA$33:$AM$54,$C96+1)),0)*80/168</f>
        <v>257742.85714285713</v>
      </c>
      <c r="GT96" s="1715">
        <f t="shared" si="337"/>
        <v>47.378103443404186</v>
      </c>
      <c r="GU96" s="1715">
        <f>IF($A96&gt;=BegDate,VLOOKUP($A96,GasTable,13)+Assumptions!$C$58,0)</f>
        <v>3.0667422635543122</v>
      </c>
      <c r="GV96" s="1715">
        <f>GU96*Assumptions!$C$57/1000</f>
        <v>22.233881410768763</v>
      </c>
      <c r="GW96" s="625">
        <f>IF(Assumptions!$C$60="Hourly",MAX(0,GS96*(GT96-GV96)),GS96*(GT96-GV96))</f>
        <v>6480743.6273258328</v>
      </c>
      <c r="GX96" s="640">
        <f>IF($A96&gt;=BegDate,Assumptions!$C$56*24*($A97-$A96)*(1-VLOOKUP($B96,MAIN!$AA$7:$AM$28,$C96+1))*(1-VLOOKUP($B96,MAIN!$AA$33:$AM$54,$C96+1)),0)*16/168</f>
        <v>51548.571428571428</v>
      </c>
      <c r="GY96" s="1715">
        <f t="shared" si="338"/>
        <v>47.378103443404186</v>
      </c>
      <c r="GZ96" s="1715">
        <f>IF($A96&gt;=BegDate,VLOOKUP($A96,GasTable,13)+Assumptions!$C$58,0)</f>
        <v>3.0667422635543122</v>
      </c>
      <c r="HA96" s="1715">
        <f>GZ96*Assumptions!$C$57/1000</f>
        <v>22.233881410768763</v>
      </c>
      <c r="HB96" s="625">
        <f>IF(Assumptions!$C$60="Hourly",MAX(0,GX96*(GY96-HA96)),GX96*(GY96-HA96))</f>
        <v>1296148.7254651666</v>
      </c>
      <c r="HC96" s="640">
        <f>IF($A96&gt;=BegDate,Assumptions!$C$56*24*($A97-$A96)*(1-VLOOKUP($B96,MAIN!$AA$7:$AM$28,$C96+1))*(1-VLOOKUP($B96,MAIN!$AA$33:$AM$54,$C96+1)),0)*16/168</f>
        <v>51548.571428571428</v>
      </c>
      <c r="HD96" s="1715">
        <f t="shared" si="339"/>
        <v>29.939816229826924</v>
      </c>
      <c r="HE96" s="1715">
        <f>IF($A96&gt;=BegDate,VLOOKUP($A96,GasTable,13)+Assumptions!$C$58,0)</f>
        <v>3.0667422635543122</v>
      </c>
      <c r="HF96" s="1715">
        <f>HE96*Assumptions!$C$57/1000</f>
        <v>22.233881410768763</v>
      </c>
      <c r="HG96" s="625">
        <f>IF(Assumptions!$C$60="Hourly",MAX(0,HC96*(HD96-HF96)),HC96*(HD96-HF96))</f>
        <v>397229.93144413526</v>
      </c>
      <c r="HH96" s="640">
        <f>IF($A96&gt;=BegDate,Assumptions!$C$56*24*($A97-$A96)*(1-VLOOKUP($B96,MAIN!$AA$7:$AM$28,$C96+1))*(1-VLOOKUP($B96,MAIN!$AA$33:$AM$54,$C96+1)),0)*56/168</f>
        <v>180420</v>
      </c>
      <c r="HI96" s="1715">
        <f t="shared" si="340"/>
        <v>29.939816229826924</v>
      </c>
      <c r="HJ96" s="1715">
        <f>IF($A96&gt;=BegDate,VLOOKUP($A96,GasTable,13)+Assumptions!$C$58,0)</f>
        <v>3.0667422635543122</v>
      </c>
      <c r="HK96" s="1715">
        <f>HJ96*Assumptions!$C$57/1000</f>
        <v>22.233881410768763</v>
      </c>
      <c r="HL96" s="625">
        <f>IF(Assumptions!$C$60="Hourly",MAX(0,HH96*(HI96-HK96)),HH96*(HI96-HK96))</f>
        <v>1390304.7600544733</v>
      </c>
      <c r="HM96" s="640">
        <f>IF(AND(Assumptions!$H$71="Yes",A96&gt;=Assumptions!$H$72,A96&lt;=Assumptions!$H$73),Assumptions!$H$74*Assumptions!$C$9*1000,0)</f>
        <v>0</v>
      </c>
      <c r="HN96" s="530"/>
      <c r="HO96" s="545"/>
      <c r="HP96" s="545"/>
      <c r="HQ96" s="545"/>
      <c r="HR96" s="545"/>
      <c r="HS96" s="545"/>
      <c r="HT96" s="545"/>
      <c r="HU96" s="545"/>
      <c r="HV96" s="545"/>
      <c r="HW96" s="545"/>
      <c r="HX96" s="545"/>
      <c r="HY96" s="545"/>
      <c r="HZ96" s="545"/>
      <c r="IA96" s="545"/>
      <c r="IB96" s="545"/>
      <c r="IC96" s="545"/>
      <c r="ID96" s="545"/>
      <c r="IE96" s="545"/>
      <c r="IF96" s="545"/>
      <c r="IG96" s="545"/>
      <c r="IH96" s="545"/>
      <c r="II96" s="1464"/>
      <c r="IJ96" s="1463"/>
      <c r="IK96" s="1463"/>
    </row>
    <row r="97" spans="1:245">
      <c r="A97" s="177">
        <f t="shared" si="295"/>
        <v>39083</v>
      </c>
      <c r="B97" s="349">
        <f t="shared" si="296"/>
        <v>2007</v>
      </c>
      <c r="C97" s="15">
        <f t="shared" ref="C97:C112" si="344">MONTH(A97)</f>
        <v>1</v>
      </c>
      <c r="D97" s="612">
        <f t="shared" si="297"/>
        <v>39083</v>
      </c>
      <c r="E97" s="609">
        <f t="shared" ref="E97:E112" si="345">IF(OR(BegDate&gt;=A98,EndDate&lt;A97,AND(VolumeMonthlyOverFlag,INDEX(VolumeMonthlyOver,C97)=0),NOT(INDEX(MonthKnockOutTable,C97))),"",MAX(A97,BegDate))</f>
        <v>39083</v>
      </c>
      <c r="F97" s="614">
        <f t="shared" ref="F97:F112" si="346">IF(E97="","",MIN(A98-1,EndDate))</f>
        <v>39113</v>
      </c>
      <c r="G97" s="1349">
        <v>0</v>
      </c>
      <c r="H97" s="152">
        <f t="shared" si="341"/>
        <v>1</v>
      </c>
      <c r="I97" s="154">
        <f>IF(Assumptions!$L$25=4,VLOOKUP($A97,'Henwood Reference'!$E$9:$R$320,10),(VLOOKUP($A97,PriceTable,2,0)+IF(BasisNumber&lt;&gt;1,VLOOKUP($A97,BasisTable,2,0),0)+I$1)/(1-I$2))</f>
        <v>48.23767619013033</v>
      </c>
      <c r="J97" s="154">
        <f>IF(Assumptions!$L$25=4,VLOOKUP($A97,'Henwood Reference'!$E$9:$R$320,10),(VLOOKUP($A97,PriceTable,3,0)+IF(BasisNumber&lt;&gt;1,VLOOKUP($A97,BasisTable,2,0),0)+J$1)/(1-J$2))</f>
        <v>48.23767619013033</v>
      </c>
      <c r="K97" s="154">
        <f>IF(Assumptions!$L$25=4,VLOOKUP($A97,'Henwood Reference'!$E$9:$R$320,10),(VLOOKUP($A97,PriceTable,4,0)+IF(BasisNumber&lt;&gt;1,VLOOKUP($A97,BasisTable,2,0),0)+K$1)/(1-K$2))</f>
        <v>48.23767619013033</v>
      </c>
      <c r="L97" s="474">
        <f>IF(Assumptions!$L$25=4,VLOOKUP($A97,'Henwood Reference'!$E$9:$R$320,10),(VLOOKUP($A97,PriceTableWeekend,2,0)+IF(BasisNumber&lt;&gt;1,VLOOKUP($A97,BasisTable,2,0),0)+L$1)/(1-L$2))</f>
        <v>48.23767619013033</v>
      </c>
      <c r="M97" s="154">
        <f>IF(Assumptions!$L$25=4,VLOOKUP($A97,'Henwood Reference'!$E$9:$R$320,10),(VLOOKUP($A97,PriceTableWeekend,3,0)+IF(BasisNumber&lt;&gt;1,VLOOKUP($A97,BasisTable,2,0),0)+M$1)/(1-M$2))</f>
        <v>48.23767619013033</v>
      </c>
      <c r="N97" s="156">
        <f>IF(Assumptions!$L$25=4,VLOOKUP($A97,'Henwood Reference'!$E$9:$R$320,10),(VLOOKUP($A97,PriceTableWeekend,4,0)+IF(BasisNumber&lt;&gt;1,VLOOKUP($A97,BasisTable,2,0),0)+N$1)/(1-N$2))</f>
        <v>48.23767619013033</v>
      </c>
      <c r="O97" s="154">
        <f>IF(Assumptions!$L$25=4,VLOOKUP($A97,'Henwood Reference'!$E$9:$R$320,11),(VLOOKUP($A97,PriceTableWeekend,6,0)+IF(BasisNumber&lt;&gt;1,VLOOKUP($A97,BasisTable,3,0),0)+O$1)/(1-O$2))</f>
        <v>29.695017800101827</v>
      </c>
      <c r="P97" s="154">
        <f>IF(Assumptions!$L$25=4,VLOOKUP($A97,'Henwood Reference'!$E$9:$R$320,11),(VLOOKUP($A97,PriceTableWeekend,7,0)+IF(BasisNumber&lt;&gt;1,VLOOKUP($A97,BasisTable,3,0),0)+P$1)/(1-P$2))</f>
        <v>29.695017800101827</v>
      </c>
      <c r="Q97" s="156">
        <f>IF(Assumptions!$L$25=4,VLOOKUP($A97,'Henwood Reference'!$E$9:$R$320,11),(VLOOKUP($A97,PriceTableWeekend,8,0)+IF(BasisNumber&lt;&gt;1,VLOOKUP($A97,BasisTable,3,0),0)+Q$1)/(1-Q$2))</f>
        <v>29.695017800101827</v>
      </c>
      <c r="R97" s="154">
        <f>IF(Assumptions!$L$25=4,VLOOKUP($A97,'Henwood Reference'!$E$9:$R$320,11),(VLOOKUP($A97,PriceTable,6,0)+IF(BasisNumber&lt;&gt;1,VLOOKUP($A97,BasisTable,3,0),0)+R$1)/(1-R$2))</f>
        <v>29.695017800101827</v>
      </c>
      <c r="S97" s="154">
        <f>IF(Assumptions!$L$25=4,VLOOKUP($A97,'Henwood Reference'!$E$9:$R$320,11),(VLOOKUP($A97,PriceTable,7,0)+IF(BasisNumber&lt;&gt;1,VLOOKUP($A97,BasisTable,3,0),0)+S$1)/(1-S$2))</f>
        <v>29.695017800101827</v>
      </c>
      <c r="T97" s="155">
        <f>IF(Assumptions!$L$25=4,VLOOKUP($A97,'Henwood Reference'!$E$9:$R$320,11),(VLOOKUP($A97,PriceTable,8,0)+IF(BasisNumber&lt;&gt;1,VLOOKUP($A97,BasisTable,3,0),0)+T$1)/(1-T$2))</f>
        <v>29.695017800101827</v>
      </c>
      <c r="U97" s="173">
        <f t="shared" si="298"/>
        <v>0.13500000000000001</v>
      </c>
      <c r="V97" s="173">
        <f t="shared" si="299"/>
        <v>0.14499999999999999</v>
      </c>
      <c r="W97" s="174">
        <f t="shared" si="300"/>
        <v>0.155</v>
      </c>
      <c r="X97" s="173">
        <f t="shared" si="301"/>
        <v>0.13500000000000001</v>
      </c>
      <c r="Y97" s="173">
        <f t="shared" si="302"/>
        <v>0.14499999999999999</v>
      </c>
      <c r="Z97" s="174">
        <f t="shared" si="303"/>
        <v>0.155</v>
      </c>
      <c r="AA97" s="173">
        <f t="shared" si="304"/>
        <v>0.09</v>
      </c>
      <c r="AB97" s="173">
        <f t="shared" si="305"/>
        <v>0.11</v>
      </c>
      <c r="AC97" s="174">
        <f t="shared" si="306"/>
        <v>0.13</v>
      </c>
      <c r="AD97" s="173">
        <f t="shared" si="307"/>
        <v>0.09</v>
      </c>
      <c r="AE97" s="173">
        <f t="shared" si="308"/>
        <v>0.11</v>
      </c>
      <c r="AF97" s="174">
        <f t="shared" si="309"/>
        <v>0.13</v>
      </c>
      <c r="AG97" s="173">
        <f t="shared" si="310"/>
        <v>-0.25</v>
      </c>
      <c r="AH97" s="173">
        <f t="shared" si="311"/>
        <v>0.65</v>
      </c>
      <c r="AI97" s="174">
        <f t="shared" si="312"/>
        <v>0.25</v>
      </c>
      <c r="AJ97" s="173">
        <f t="shared" si="313"/>
        <v>-0.25</v>
      </c>
      <c r="AK97" s="173">
        <f t="shared" si="314"/>
        <v>0.65</v>
      </c>
      <c r="AL97" s="174">
        <f t="shared" si="315"/>
        <v>0.25</v>
      </c>
      <c r="AM97" s="173">
        <f t="shared" si="316"/>
        <v>-0.01</v>
      </c>
      <c r="AN97" s="173">
        <f t="shared" si="317"/>
        <v>0.16</v>
      </c>
      <c r="AO97" s="174">
        <f t="shared" si="318"/>
        <v>0.01</v>
      </c>
      <c r="AP97" s="173">
        <f t="shared" si="319"/>
        <v>-0.01</v>
      </c>
      <c r="AQ97" s="173">
        <f t="shared" si="320"/>
        <v>0.16</v>
      </c>
      <c r="AR97" s="175">
        <f t="shared" si="321"/>
        <v>0.01</v>
      </c>
      <c r="AS97" s="521">
        <f t="shared" si="322"/>
        <v>0.5</v>
      </c>
      <c r="AT97" s="349">
        <f t="shared" ref="AT97:AT112" si="347">AX97-SUM(AU97:AW97)</f>
        <v>22</v>
      </c>
      <c r="AU97" s="159">
        <f t="shared" si="240"/>
        <v>4</v>
      </c>
      <c r="AV97" s="159">
        <f t="shared" si="241"/>
        <v>4</v>
      </c>
      <c r="AW97" s="159">
        <f t="shared" si="323"/>
        <v>1</v>
      </c>
      <c r="AX97" s="15">
        <f t="shared" ref="AX97:AX112" si="348">IF(E97="",0,F97-E97+1)</f>
        <v>31</v>
      </c>
      <c r="AY97" s="607">
        <f>IF(E97="",0,MIN((1-(1-VLOOKUP(B97,MAIN!$AA$7:$AM$28,C97+1))*(1-VLOOKUP(B97,MAIN!$AA$33:$AM$54,C97+1))),1))</f>
        <v>3.0000000000000027E-2</v>
      </c>
      <c r="AZ97" s="337">
        <v>51216</v>
      </c>
      <c r="BA97" s="509">
        <v>9312</v>
      </c>
      <c r="BB97" s="509">
        <v>11640</v>
      </c>
      <c r="BC97" s="511">
        <v>36084</v>
      </c>
      <c r="BD97" s="153">
        <v>0.96999999638646839</v>
      </c>
      <c r="BE97" s="474">
        <v>0.96999999638646839</v>
      </c>
      <c r="BF97" s="474">
        <v>0.96999999638646839</v>
      </c>
      <c r="BG97" s="515">
        <v>0.9699999927729368</v>
      </c>
      <c r="BH97" s="262">
        <v>204864</v>
      </c>
      <c r="BI97" s="509">
        <v>37248</v>
      </c>
      <c r="BJ97" s="509">
        <v>46560</v>
      </c>
      <c r="BK97" s="511">
        <v>144336</v>
      </c>
      <c r="BL97" s="153">
        <v>0.96999999638646839</v>
      </c>
      <c r="BM97" s="474">
        <v>0.96999999638646839</v>
      </c>
      <c r="BN97" s="474">
        <v>0.96999999638646839</v>
      </c>
      <c r="BO97" s="474">
        <v>0.9699999927729368</v>
      </c>
      <c r="BP97" s="261">
        <f t="shared" si="324"/>
        <v>72168</v>
      </c>
      <c r="BQ97" s="578">
        <f t="shared" si="325"/>
        <v>108252</v>
      </c>
      <c r="BR97" s="259">
        <f t="shared" si="326"/>
        <v>288672</v>
      </c>
      <c r="BS97" s="578">
        <f t="shared" si="327"/>
        <v>433008</v>
      </c>
      <c r="BT97" s="216">
        <f t="shared" si="328"/>
        <v>6.7159479808350442</v>
      </c>
      <c r="BU97" s="218">
        <f t="shared" si="243"/>
        <v>48.237676010430981</v>
      </c>
      <c r="BV97" s="216">
        <f t="shared" si="244"/>
        <v>48.237676010430981</v>
      </c>
      <c r="BW97" s="216">
        <f t="shared" si="245"/>
        <v>29.695017689479265</v>
      </c>
      <c r="BX97" s="216">
        <f t="shared" si="329"/>
        <v>29.695017578856703</v>
      </c>
      <c r="BY97" s="216">
        <f t="shared" si="246"/>
        <v>45.246924668341997</v>
      </c>
      <c r="BZ97" s="216">
        <f t="shared" si="247"/>
        <v>40.062955638513571</v>
      </c>
      <c r="CA97" s="264">
        <f t="shared" si="248"/>
        <v>48.237676010430981</v>
      </c>
      <c r="CB97" s="216">
        <f t="shared" si="249"/>
        <v>48.237676010430981</v>
      </c>
      <c r="CC97" s="216">
        <f t="shared" si="250"/>
        <v>29.695017689479265</v>
      </c>
      <c r="CD97" s="216">
        <f t="shared" si="330"/>
        <v>29.695017578856703</v>
      </c>
      <c r="CE97" s="216">
        <f t="shared" si="251"/>
        <v>45.246924668341997</v>
      </c>
      <c r="CF97" s="571">
        <f t="shared" si="252"/>
        <v>40.062955638513571</v>
      </c>
      <c r="CG97" s="573">
        <f t="shared" si="253"/>
        <v>0.14499999999999999</v>
      </c>
      <c r="CH97" s="219">
        <f t="shared" si="254"/>
        <v>0.14499999999999999</v>
      </c>
      <c r="CI97" s="219">
        <f t="shared" si="255"/>
        <v>0.11</v>
      </c>
      <c r="CJ97" s="219">
        <f t="shared" si="256"/>
        <v>0.14134986434063607</v>
      </c>
      <c r="CK97" s="219">
        <f t="shared" si="257"/>
        <v>0.14134986434063607</v>
      </c>
      <c r="CL97" s="219">
        <f t="shared" si="258"/>
        <v>0.11</v>
      </c>
      <c r="CM97" s="219">
        <f t="shared" si="259"/>
        <v>0.12276520261216682</v>
      </c>
      <c r="CN97" s="569">
        <f t="shared" si="260"/>
        <v>0.12276520261216682</v>
      </c>
      <c r="CO97" s="264">
        <f t="shared" si="343"/>
        <v>21.208391584201795</v>
      </c>
      <c r="CP97" s="216">
        <f t="shared" si="331"/>
        <v>21.208391584201795</v>
      </c>
      <c r="CQ97" s="216">
        <f t="shared" ca="1" si="192"/>
        <v>21.208391584201795</v>
      </c>
      <c r="CR97" s="216">
        <f t="shared" ca="1" si="193"/>
        <v>21.208391584201795</v>
      </c>
      <c r="CS97" s="1626">
        <f t="shared" ca="1" si="194"/>
        <v>21.208391584201795</v>
      </c>
      <c r="CT97" s="216">
        <f t="shared" si="332"/>
        <v>21.208391584201795</v>
      </c>
      <c r="CU97" s="575">
        <f t="shared" si="261"/>
        <v>0.16</v>
      </c>
      <c r="CV97" s="154">
        <f t="shared" si="262"/>
        <v>0.5</v>
      </c>
      <c r="CW97" s="216">
        <f>IF(OR($BQ97,$BS97),SpreadOptPowerMargin,0)*((1+Assumptions!$C$26)^($B97-YEAR(Assumptions!$C$17)))</f>
        <v>1.948377888</v>
      </c>
      <c r="CX97" s="216">
        <f>IF(OR($BQ97,$BS97),SpreadOptPowerMargin,0)*((1+Assumptions!$C$26)^($B97-YEAR(Assumptions!$C$17)))</f>
        <v>1.948377888</v>
      </c>
      <c r="CY97" s="216">
        <f>IF(OR($BQ97,$BS97),SpreadOptPowerMargin,0)*((1+Assumptions!$C$26)^($B97-YEAR(Assumptions!$C$17)))</f>
        <v>1.948377888</v>
      </c>
      <c r="CZ97" s="216">
        <f>IF(OR($BQ97,$BS97),SpreadOptPowerMargin,0)*((1+Assumptions!$C$26)^($B97-YEAR(Assumptions!$C$17)))</f>
        <v>1.948377888</v>
      </c>
      <c r="DA97" s="440">
        <f t="shared" si="263"/>
        <v>1.9483778880000002</v>
      </c>
      <c r="DB97" s="479">
        <f t="shared" si="264"/>
        <v>0.14499999999999999</v>
      </c>
      <c r="DC97" s="479">
        <f t="shared" si="265"/>
        <v>0.14499999999999999</v>
      </c>
      <c r="DD97" s="479">
        <f t="shared" si="266"/>
        <v>0.11</v>
      </c>
      <c r="DE97" s="479">
        <f t="shared" si="267"/>
        <v>0.11</v>
      </c>
      <c r="DF97" s="479">
        <f t="shared" si="268"/>
        <v>0.12276520261216682</v>
      </c>
      <c r="DG97" s="574">
        <f t="shared" si="269"/>
        <v>0.12276520261216682</v>
      </c>
      <c r="DH97" s="216">
        <f t="shared" si="270"/>
        <v>25.209921186163566</v>
      </c>
      <c r="DI97" s="216">
        <f t="shared" si="271"/>
        <v>25.209921186163566</v>
      </c>
      <c r="DJ97" s="216">
        <f t="shared" ca="1" si="195"/>
        <v>7.7700790360177878</v>
      </c>
      <c r="DK97" s="216">
        <f t="shared" ca="1" si="196"/>
        <v>7.770078945672485</v>
      </c>
      <c r="DL97" s="216">
        <f t="shared" ca="1" si="197"/>
        <v>17.194650109768123</v>
      </c>
      <c r="DM97" s="216"/>
      <c r="DN97" s="216"/>
      <c r="DO97" s="216"/>
      <c r="DP97" s="216"/>
      <c r="DQ97" s="216"/>
      <c r="DR97" s="216"/>
      <c r="DS97" s="216"/>
      <c r="DT97" s="216"/>
      <c r="DU97" s="216"/>
      <c r="DV97" s="216"/>
      <c r="DW97" s="1371">
        <f t="shared" si="272"/>
        <v>7.7700790360177878</v>
      </c>
      <c r="DX97" s="216">
        <f t="shared" si="273"/>
        <v>7.770078945672485</v>
      </c>
      <c r="DY97" s="440">
        <f t="shared" si="274"/>
        <v>17.52138859523151</v>
      </c>
      <c r="DZ97" s="180">
        <f t="shared" si="275"/>
        <v>1291151.3234705532</v>
      </c>
      <c r="EA97" s="180">
        <f t="shared" si="276"/>
        <v>234754.78608555513</v>
      </c>
      <c r="EB97" s="180">
        <f t="shared" ca="1" si="198"/>
        <v>90443.719979247049</v>
      </c>
      <c r="EC97" s="180">
        <f t="shared" ca="1" si="199"/>
        <v>280375.52867564594</v>
      </c>
      <c r="ED97" s="180">
        <f t="shared" ca="1" si="200"/>
        <v>1861355.2636826187</v>
      </c>
      <c r="EE97" s="581">
        <f t="shared" si="277"/>
        <v>1284543.7092619459</v>
      </c>
      <c r="EF97" s="554">
        <f t="shared" si="278"/>
        <v>233553.40168399017</v>
      </c>
      <c r="EG97" s="554">
        <f t="shared" ca="1" si="201"/>
        <v>76105.209249109757</v>
      </c>
      <c r="EH97" s="554">
        <f t="shared" ca="1" si="202"/>
        <v>235926.14468053571</v>
      </c>
      <c r="EI97" s="561">
        <f t="shared" ca="1" si="279"/>
        <v>1830128.4648755824</v>
      </c>
      <c r="EJ97" s="581">
        <f t="shared" si="333"/>
        <v>6607.6142086072359</v>
      </c>
      <c r="EK97" s="554">
        <f t="shared" si="334"/>
        <v>1201.384401564952</v>
      </c>
      <c r="EL97" s="554">
        <f t="shared" ca="1" si="203"/>
        <v>14338.510730137292</v>
      </c>
      <c r="EM97" s="554">
        <f t="shared" ca="1" si="204"/>
        <v>44449.383995110227</v>
      </c>
      <c r="EN97" s="561">
        <f t="shared" ca="1" si="205"/>
        <v>31226.798807036364</v>
      </c>
      <c r="EO97" s="180">
        <f t="shared" si="280"/>
        <v>5164605.2938822126</v>
      </c>
      <c r="EP97" s="180">
        <f t="shared" si="281"/>
        <v>939019.1443422205</v>
      </c>
      <c r="EQ97" s="180">
        <f t="shared" si="282"/>
        <v>361774.8799169882</v>
      </c>
      <c r="ER97" s="180">
        <f t="shared" si="283"/>
        <v>1121502.1147025838</v>
      </c>
      <c r="ES97" s="180">
        <f t="shared" si="284"/>
        <v>7586901.4328440055</v>
      </c>
      <c r="ET97" s="1482">
        <f t="shared" ca="1" si="206"/>
        <v>5138174.8370477837</v>
      </c>
      <c r="EU97" s="180">
        <f t="shared" ca="1" si="207"/>
        <v>934213.6067359607</v>
      </c>
      <c r="EV97" s="180">
        <f t="shared" ca="1" si="208"/>
        <v>304420.83699643903</v>
      </c>
      <c r="EW97" s="180">
        <f t="shared" ca="1" si="209"/>
        <v>943704.57872214285</v>
      </c>
      <c r="EX97" s="555">
        <f t="shared" ca="1" si="182"/>
        <v>7320513.8595023258</v>
      </c>
      <c r="EY97" s="180">
        <f t="shared" ca="1" si="210"/>
        <v>26430.456834428944</v>
      </c>
      <c r="EZ97" s="180">
        <f t="shared" ca="1" si="211"/>
        <v>4805.5376062598079</v>
      </c>
      <c r="FA97" s="180">
        <f t="shared" ca="1" si="212"/>
        <v>57354.042920549167</v>
      </c>
      <c r="FB97" s="180">
        <f t="shared" ca="1" si="213"/>
        <v>177797.53598044091</v>
      </c>
      <c r="FC97" s="180">
        <f t="shared" ca="1" si="214"/>
        <v>266387.57334167976</v>
      </c>
      <c r="FD97" s="262">
        <f>IF(AX97,IF(VLOOKUP(C97,MAIN!$L$17:$M$28,2)="Yes",VLOOKUP(CALC!B97,MAIN!$H$17:$I$20,2),0),0)</f>
        <v>0</v>
      </c>
      <c r="FE97" s="623">
        <f t="shared" si="285"/>
        <v>0</v>
      </c>
      <c r="FF97" s="535">
        <f t="shared" si="286"/>
        <v>0</v>
      </c>
      <c r="FG97" s="535">
        <f t="shared" si="287"/>
        <v>0</v>
      </c>
      <c r="FH97" s="624">
        <f t="shared" si="288"/>
        <v>0</v>
      </c>
      <c r="FI97" s="632">
        <f>IF(AX97,VLOOKUP(CALC!B97,MAIN!$H$17:$K$20,4),0)</f>
        <v>0</v>
      </c>
      <c r="FJ97" s="535">
        <f t="shared" si="289"/>
        <v>0</v>
      </c>
      <c r="FK97" s="648">
        <f t="shared" si="335"/>
        <v>0</v>
      </c>
      <c r="FL97" s="530">
        <f t="shared" ca="1" si="215"/>
        <v>0</v>
      </c>
      <c r="FM97" s="530">
        <f t="shared" ca="1" si="216"/>
        <v>0</v>
      </c>
      <c r="FN97" s="530">
        <f t="shared" ca="1" si="217"/>
        <v>0</v>
      </c>
      <c r="FO97" s="622">
        <f t="shared" ca="1" si="218"/>
        <v>0</v>
      </c>
      <c r="FP97" s="530">
        <f t="shared" ca="1" si="219"/>
        <v>0</v>
      </c>
      <c r="FQ97" s="530">
        <f t="shared" ca="1" si="220"/>
        <v>0</v>
      </c>
      <c r="FR97" s="530">
        <f t="shared" ca="1" si="221"/>
        <v>0</v>
      </c>
      <c r="FS97" s="625">
        <f t="shared" ca="1" si="222"/>
        <v>0</v>
      </c>
      <c r="FT97" s="640">
        <f ca="1">IF(AND(Assumptions!$H$71="Yes",A97&gt;=Assumptions!$H$72,A97&lt;=Assumptions!$H$73),0,IF(AND($A97&gt;=Assumptions!$C$17,$A97&lt;=Assumptions!$C$18),MAX(AZ97*(1+VLOOKUP($C97,WeatherCapacityAdjustment,2))-FL97,0),0))</f>
        <v>51216</v>
      </c>
      <c r="FU97" s="530">
        <f ca="1">IF(AND(Assumptions!$H$71="Yes",A97&gt;=Assumptions!$H$72,A97&lt;=Assumptions!$H$73),0,IF(AND($A97&gt;=Assumptions!$C$17,$A97&lt;=Assumptions!$C$18),MAX(BA97*(1+VLOOKUP($C97,WeatherCapacityAdjustment,2))-FM97,0),0))</f>
        <v>9312</v>
      </c>
      <c r="FV97" s="530">
        <f ca="1">IF(AND(Assumptions!$H$71="Yes",A97&gt;=Assumptions!$H$72,A97&lt;=Assumptions!$H$73),0,IF(AND($A97&gt;=Assumptions!$C$17,$A97&lt;=Assumptions!$C$18),MAX(BB97*(1+VLOOKUP($C97,WeatherCapacityAdjustment,2))-FN97,0),0))</f>
        <v>11640</v>
      </c>
      <c r="FW97" s="622">
        <f ca="1">IF(AND(Assumptions!$H$71="Yes",A97&gt;=Assumptions!$H$72,A97&lt;=Assumptions!$H$73),0,IF(AND($A97&gt;=Assumptions!$C$17,$A97&lt;=Assumptions!$C$18),MAX(BC97*(1+VLOOKUP($C97,WeatherCapacityAdjustment,3))-FO97,0),0))</f>
        <v>36084</v>
      </c>
      <c r="FX97" s="621">
        <f ca="1">IF(AND(Assumptions!$H$71="Yes",A97&gt;=Assumptions!$H$72,A97&lt;=Assumptions!$H$73),0,IF(ET97&gt;0,MAX(BH97*(1+VLOOKUP($C97,WeatherCapacityAdjustment,2))-FP97,0),0))</f>
        <v>204864</v>
      </c>
      <c r="FY97" s="530">
        <f ca="1">IF(AND(Assumptions!$H$71="Yes",A97&gt;=Assumptions!$H$72,A97&lt;=Assumptions!$H$73),0,IF(EU97&gt;0,MAX(BI97*(1+VLOOKUP($C97,WeatherCapacityAdjustment,3))-FQ97,0),0))</f>
        <v>37248</v>
      </c>
      <c r="FZ97" s="530">
        <f ca="1">IF(AND(Assumptions!$H$71="Yes",A97&gt;=Assumptions!$H$72,A97&lt;=Assumptions!$H$73),0,IF(EV97&gt;0,MAX(BJ97*(1+VLOOKUP($C97,WeatherCapacityAdjustment,2))-FR97,0),0))</f>
        <v>46560</v>
      </c>
      <c r="GA97" s="622">
        <f ca="1">IF(AND(Assumptions!$H$71="Yes",A97&gt;=Assumptions!$H$72,A97&lt;=Assumptions!$H$73),0,IF(EW97&gt;0,MAX(BK97*(1+VLOOKUP($C97,WeatherCapacityAdjustment,2))-FS97,0),0))</f>
        <v>144336</v>
      </c>
      <c r="GB97" s="530">
        <f t="shared" ca="1" si="290"/>
        <v>541260</v>
      </c>
      <c r="GC97" s="545">
        <f t="shared" ca="1" si="291"/>
        <v>40.062955638513571</v>
      </c>
      <c r="GD97" s="530">
        <f t="shared" ca="1" si="223"/>
        <v>21684475.368901849</v>
      </c>
      <c r="GE97" s="1485">
        <f t="shared" ca="1" si="224"/>
        <v>769251.70224000001</v>
      </c>
      <c r="GF97" s="1776">
        <f t="shared" ca="1" si="225"/>
        <v>3077006.8089600001</v>
      </c>
      <c r="GG97" s="545">
        <f t="shared" si="190"/>
        <v>2.9845248298933589</v>
      </c>
      <c r="GH97" s="622">
        <f t="shared" ca="1" si="191"/>
        <v>11479254.028865064</v>
      </c>
      <c r="GI97" s="621">
        <f t="shared" ca="1" si="336"/>
        <v>541260</v>
      </c>
      <c r="GJ97" s="638">
        <f t="shared" si="292"/>
        <v>1.9483778880000002</v>
      </c>
      <c r="GK97" s="625">
        <f t="shared" ca="1" si="342"/>
        <v>1054579.0156588801</v>
      </c>
      <c r="GL97" s="640">
        <f t="shared" ca="1" si="226"/>
        <v>0</v>
      </c>
      <c r="GM97" s="530">
        <f t="shared" ca="1" si="227"/>
        <v>0</v>
      </c>
      <c r="GN97" s="530">
        <f t="shared" ca="1" si="228"/>
        <v>0</v>
      </c>
      <c r="GO97" s="622">
        <f t="shared" ca="1" si="229"/>
        <v>0</v>
      </c>
      <c r="GP97" s="530">
        <f t="shared" ca="1" si="293"/>
        <v>0</v>
      </c>
      <c r="GQ97" s="545">
        <f t="shared" ca="1" si="294"/>
        <v>0</v>
      </c>
      <c r="GR97" s="625">
        <f t="shared" ca="1" si="230"/>
        <v>0</v>
      </c>
      <c r="GS97" s="640">
        <f>IF($A97&gt;=BegDate,Assumptions!$C$56*24*($A98-$A97)*(1-VLOOKUP($B97,MAIN!$AA$7:$AM$28,$C97+1))*(1-VLOOKUP($B97,MAIN!$AA$33:$AM$54,$C97+1)),0)*80/168</f>
        <v>257742.85714285713</v>
      </c>
      <c r="GT97" s="1715">
        <f t="shared" si="337"/>
        <v>48.23767619013033</v>
      </c>
      <c r="GU97" s="1715">
        <f>IF($A97&gt;=BegDate,VLOOKUP($A97,GasTable,13)+Assumptions!$C$58,0)</f>
        <v>2.9845248298933589</v>
      </c>
      <c r="GV97" s="1715">
        <f>GU97*Assumptions!$C$57/1000</f>
        <v>21.637805016726851</v>
      </c>
      <c r="GW97" s="625">
        <f>IF(Assumptions!$C$60="Hourly",MAX(0,GS97*(GT97-GV97)),GS97*(GT97-GV97))</f>
        <v>6855926.795864936</v>
      </c>
      <c r="GX97" s="640">
        <f>IF($A97&gt;=BegDate,Assumptions!$C$56*24*($A98-$A97)*(1-VLOOKUP($B97,MAIN!$AA$7:$AM$28,$C97+1))*(1-VLOOKUP($B97,MAIN!$AA$33:$AM$54,$C97+1)),0)*16/168</f>
        <v>51548.571428571428</v>
      </c>
      <c r="GY97" s="1715">
        <f t="shared" si="338"/>
        <v>48.23767619013033</v>
      </c>
      <c r="GZ97" s="1715">
        <f>IF($A97&gt;=BegDate,VLOOKUP($A97,GasTable,13)+Assumptions!$C$58,0)</f>
        <v>2.9845248298933589</v>
      </c>
      <c r="HA97" s="1715">
        <f>GZ97*Assumptions!$C$57/1000</f>
        <v>21.637805016726851</v>
      </c>
      <c r="HB97" s="625">
        <f>IF(Assumptions!$C$60="Hourly",MAX(0,GX97*(GY97-HA97)),GX97*(GY97-HA97))</f>
        <v>1371185.3591729873</v>
      </c>
      <c r="HC97" s="640">
        <f>IF($A97&gt;=BegDate,Assumptions!$C$56*24*($A98-$A97)*(1-VLOOKUP($B97,MAIN!$AA$7:$AM$28,$C97+1))*(1-VLOOKUP($B97,MAIN!$AA$33:$AM$54,$C97+1)),0)*16/168</f>
        <v>51548.571428571428</v>
      </c>
      <c r="HD97" s="1715">
        <f t="shared" si="339"/>
        <v>29.695017800101827</v>
      </c>
      <c r="HE97" s="1715">
        <f>IF($A97&gt;=BegDate,VLOOKUP($A97,GasTable,13)+Assumptions!$C$58,0)</f>
        <v>2.9845248298933589</v>
      </c>
      <c r="HF97" s="1715">
        <f>HE97*Assumptions!$C$57/1000</f>
        <v>21.637805016726851</v>
      </c>
      <c r="HG97" s="625">
        <f>IF(Assumptions!$C$60="Hourly",MAX(0,HC97*(HD97-HF97)),HC97*(HD97-HF97))</f>
        <v>415337.80867900373</v>
      </c>
      <c r="HH97" s="640">
        <f>IF($A97&gt;=BegDate,Assumptions!$C$56*24*($A98-$A97)*(1-VLOOKUP($B97,MAIN!$AA$7:$AM$28,$C97+1))*(1-VLOOKUP($B97,MAIN!$AA$33:$AM$54,$C97+1)),0)*56/168</f>
        <v>180420</v>
      </c>
      <c r="HI97" s="1715">
        <f t="shared" si="340"/>
        <v>29.695017800101827</v>
      </c>
      <c r="HJ97" s="1715">
        <f>IF($A97&gt;=BegDate,VLOOKUP($A97,GasTable,13)+Assumptions!$C$58,0)</f>
        <v>2.9845248298933589</v>
      </c>
      <c r="HK97" s="1715">
        <f>HJ97*Assumptions!$C$57/1000</f>
        <v>21.637805016726851</v>
      </c>
      <c r="HL97" s="625">
        <f>IF(Assumptions!$C$60="Hourly",MAX(0,HH97*(HI97-HK97)),HH97*(HI97-HK97))</f>
        <v>1453682.3303765131</v>
      </c>
      <c r="HM97" s="640">
        <f>IF(AND(Assumptions!$H$71="Yes",A97&gt;=Assumptions!$H$72,A97&lt;=Assumptions!$H$73),Assumptions!$H$74*Assumptions!$C$9*1000,0)</f>
        <v>0</v>
      </c>
      <c r="HN97" s="530"/>
      <c r="HO97" s="545"/>
      <c r="HP97" s="545"/>
      <c r="HQ97" s="545"/>
      <c r="HR97" s="545"/>
      <c r="HS97" s="545"/>
      <c r="HT97" s="545"/>
      <c r="HU97" s="545"/>
      <c r="HV97" s="545"/>
      <c r="HW97" s="545"/>
      <c r="HX97" s="545"/>
      <c r="HY97" s="545"/>
      <c r="HZ97" s="545"/>
      <c r="IA97" s="545"/>
      <c r="IB97" s="545"/>
      <c r="IC97" s="545"/>
      <c r="ID97" s="545"/>
      <c r="IE97" s="545"/>
      <c r="IF97" s="545"/>
      <c r="IG97" s="545"/>
      <c r="IH97" s="545"/>
      <c r="II97" s="1464"/>
      <c r="IJ97" s="1463"/>
      <c r="IK97" s="1463"/>
    </row>
    <row r="98" spans="1:245">
      <c r="A98" s="177">
        <f t="shared" si="295"/>
        <v>39114</v>
      </c>
      <c r="B98" s="349">
        <f t="shared" si="296"/>
        <v>2007</v>
      </c>
      <c r="C98" s="15">
        <f t="shared" si="344"/>
        <v>2</v>
      </c>
      <c r="D98" s="612" t="str">
        <f t="shared" si="297"/>
        <v/>
      </c>
      <c r="E98" s="609">
        <f t="shared" si="345"/>
        <v>39114</v>
      </c>
      <c r="F98" s="614">
        <f t="shared" si="346"/>
        <v>39141</v>
      </c>
      <c r="G98" s="1349">
        <v>0</v>
      </c>
      <c r="H98" s="152">
        <f t="shared" si="341"/>
        <v>1</v>
      </c>
      <c r="I98" s="154">
        <f>IF(Assumptions!$L$25=4,VLOOKUP($A98,'Henwood Reference'!$E$9:$R$320,10),(VLOOKUP($A98,PriceTable,2,0)+IF(BasisNumber&lt;&gt;1,VLOOKUP($A98,BasisTable,2,0),0)+I$1)/(1-I$2))</f>
        <v>41.296398437659256</v>
      </c>
      <c r="J98" s="154">
        <f>IF(Assumptions!$L$25=4,VLOOKUP($A98,'Henwood Reference'!$E$9:$R$320,10),(VLOOKUP($A98,PriceTable,3,0)+IF(BasisNumber&lt;&gt;1,VLOOKUP($A98,BasisTable,2,0),0)+J$1)/(1-J$2))</f>
        <v>41.296398437659256</v>
      </c>
      <c r="K98" s="154">
        <f>IF(Assumptions!$L$25=4,VLOOKUP($A98,'Henwood Reference'!$E$9:$R$320,10),(VLOOKUP($A98,PriceTable,4,0)+IF(BasisNumber&lt;&gt;1,VLOOKUP($A98,BasisTable,2,0),0)+K$1)/(1-K$2))</f>
        <v>41.296398437659256</v>
      </c>
      <c r="L98" s="474">
        <f>IF(Assumptions!$L$25=4,VLOOKUP($A98,'Henwood Reference'!$E$9:$R$320,10),(VLOOKUP($A98,PriceTableWeekend,2,0)+IF(BasisNumber&lt;&gt;1,VLOOKUP($A98,BasisTable,2,0),0)+L$1)/(1-L$2))</f>
        <v>41.296398437659256</v>
      </c>
      <c r="M98" s="154">
        <f>IF(Assumptions!$L$25=4,VLOOKUP($A98,'Henwood Reference'!$E$9:$R$320,10),(VLOOKUP($A98,PriceTableWeekend,3,0)+IF(BasisNumber&lt;&gt;1,VLOOKUP($A98,BasisTable,2,0),0)+M$1)/(1-M$2))</f>
        <v>41.296398437659256</v>
      </c>
      <c r="N98" s="156">
        <f>IF(Assumptions!$L$25=4,VLOOKUP($A98,'Henwood Reference'!$E$9:$R$320,10),(VLOOKUP($A98,PriceTableWeekend,4,0)+IF(BasisNumber&lt;&gt;1,VLOOKUP($A98,BasisTable,2,0),0)+N$1)/(1-N$2))</f>
        <v>41.296398437659256</v>
      </c>
      <c r="O98" s="154">
        <f>IF(Assumptions!$L$25=4,VLOOKUP($A98,'Henwood Reference'!$E$9:$R$320,11),(VLOOKUP($A98,PriceTableWeekend,6,0)+IF(BasisNumber&lt;&gt;1,VLOOKUP($A98,BasisTable,3,0),0)+O$1)/(1-O$2))</f>
        <v>25.258678883073543</v>
      </c>
      <c r="P98" s="154">
        <f>IF(Assumptions!$L$25=4,VLOOKUP($A98,'Henwood Reference'!$E$9:$R$320,11),(VLOOKUP($A98,PriceTableWeekend,7,0)+IF(BasisNumber&lt;&gt;1,VLOOKUP($A98,BasisTable,3,0),0)+P$1)/(1-P$2))</f>
        <v>25.258678883073543</v>
      </c>
      <c r="Q98" s="156">
        <f>IF(Assumptions!$L$25=4,VLOOKUP($A98,'Henwood Reference'!$E$9:$R$320,11),(VLOOKUP($A98,PriceTableWeekend,8,0)+IF(BasisNumber&lt;&gt;1,VLOOKUP($A98,BasisTable,3,0),0)+Q$1)/(1-Q$2))</f>
        <v>25.258678883073543</v>
      </c>
      <c r="R98" s="154">
        <f>IF(Assumptions!$L$25=4,VLOOKUP($A98,'Henwood Reference'!$E$9:$R$320,11),(VLOOKUP($A98,PriceTable,6,0)+IF(BasisNumber&lt;&gt;1,VLOOKUP($A98,BasisTable,3,0),0)+R$1)/(1-R$2))</f>
        <v>25.258678883073543</v>
      </c>
      <c r="S98" s="154">
        <f>IF(Assumptions!$L$25=4,VLOOKUP($A98,'Henwood Reference'!$E$9:$R$320,11),(VLOOKUP($A98,PriceTable,7,0)+IF(BasisNumber&lt;&gt;1,VLOOKUP($A98,BasisTable,3,0),0)+S$1)/(1-S$2))</f>
        <v>25.258678883073543</v>
      </c>
      <c r="T98" s="155">
        <f>IF(Assumptions!$L$25=4,VLOOKUP($A98,'Henwood Reference'!$E$9:$R$320,11),(VLOOKUP($A98,PriceTable,8,0)+IF(BasisNumber&lt;&gt;1,VLOOKUP($A98,BasisTable,3,0),0)+T$1)/(1-T$2))</f>
        <v>25.258678883073543</v>
      </c>
      <c r="U98" s="173">
        <f t="shared" si="298"/>
        <v>0.13500000000000001</v>
      </c>
      <c r="V98" s="173">
        <f t="shared" si="299"/>
        <v>0.14499999999999999</v>
      </c>
      <c r="W98" s="174">
        <f t="shared" si="300"/>
        <v>0.155</v>
      </c>
      <c r="X98" s="173">
        <f t="shared" si="301"/>
        <v>0.13500000000000001</v>
      </c>
      <c r="Y98" s="173">
        <f t="shared" si="302"/>
        <v>0.14499999999999999</v>
      </c>
      <c r="Z98" s="174">
        <f t="shared" si="303"/>
        <v>0.155</v>
      </c>
      <c r="AA98" s="173">
        <f t="shared" si="304"/>
        <v>0.09</v>
      </c>
      <c r="AB98" s="173">
        <f t="shared" si="305"/>
        <v>0.11</v>
      </c>
      <c r="AC98" s="174">
        <f t="shared" si="306"/>
        <v>0.13</v>
      </c>
      <c r="AD98" s="173">
        <f t="shared" si="307"/>
        <v>0.09</v>
      </c>
      <c r="AE98" s="173">
        <f t="shared" si="308"/>
        <v>0.11</v>
      </c>
      <c r="AF98" s="174">
        <f t="shared" si="309"/>
        <v>0.13</v>
      </c>
      <c r="AG98" s="173">
        <f t="shared" si="310"/>
        <v>-0.25</v>
      </c>
      <c r="AH98" s="173">
        <f t="shared" si="311"/>
        <v>0.65</v>
      </c>
      <c r="AI98" s="174">
        <f t="shared" si="312"/>
        <v>0.25</v>
      </c>
      <c r="AJ98" s="173">
        <f t="shared" si="313"/>
        <v>-0.25</v>
      </c>
      <c r="AK98" s="173">
        <f t="shared" si="314"/>
        <v>0.65</v>
      </c>
      <c r="AL98" s="174">
        <f t="shared" si="315"/>
        <v>0.25</v>
      </c>
      <c r="AM98" s="173">
        <f t="shared" si="316"/>
        <v>-0.01</v>
      </c>
      <c r="AN98" s="173">
        <f t="shared" si="317"/>
        <v>0.16</v>
      </c>
      <c r="AO98" s="174">
        <f t="shared" si="318"/>
        <v>0.01</v>
      </c>
      <c r="AP98" s="173">
        <f t="shared" si="319"/>
        <v>-0.01</v>
      </c>
      <c r="AQ98" s="173">
        <f t="shared" si="320"/>
        <v>0.16</v>
      </c>
      <c r="AR98" s="175">
        <f t="shared" si="321"/>
        <v>0.01</v>
      </c>
      <c r="AS98" s="521">
        <f t="shared" ref="AS98:AS113" si="349">IF(CorrPeakOffPeakOverFlag,INDEX(CorrPeakOffPeakOver,C98),CorrPeakOffPeak)</f>
        <v>0.5</v>
      </c>
      <c r="AT98" s="349">
        <f t="shared" si="347"/>
        <v>20</v>
      </c>
      <c r="AU98" s="159">
        <f t="shared" si="240"/>
        <v>4</v>
      </c>
      <c r="AV98" s="159">
        <f t="shared" si="241"/>
        <v>4</v>
      </c>
      <c r="AW98" s="159">
        <f t="shared" ref="AW98:AW113" si="350">IF(OR(E98="",D98="",D98&lt;BegDate,D98&gt;EndDate),0,1)</f>
        <v>0</v>
      </c>
      <c r="AX98" s="15">
        <f t="shared" si="348"/>
        <v>28</v>
      </c>
      <c r="AY98" s="607">
        <f>IF(E98="",0,MIN((1-(1-VLOOKUP(B98,MAIN!$AA$7:$AM$28,C98+1))*(1-VLOOKUP(B98,MAIN!$AA$33:$AM$54,C98+1))),1))</f>
        <v>3.0000000000000027E-2</v>
      </c>
      <c r="AZ98" s="337">
        <v>46560</v>
      </c>
      <c r="BA98" s="509">
        <v>9312</v>
      </c>
      <c r="BB98" s="509">
        <v>9312</v>
      </c>
      <c r="BC98" s="511">
        <v>32592</v>
      </c>
      <c r="BD98" s="153">
        <v>0.97</v>
      </c>
      <c r="BE98" s="474">
        <v>0.97</v>
      </c>
      <c r="BF98" s="474">
        <v>0.97</v>
      </c>
      <c r="BG98" s="515">
        <v>0.9699999927729368</v>
      </c>
      <c r="BH98" s="262">
        <v>186240</v>
      </c>
      <c r="BI98" s="509">
        <v>37248</v>
      </c>
      <c r="BJ98" s="509">
        <v>37248</v>
      </c>
      <c r="BK98" s="511">
        <v>130368</v>
      </c>
      <c r="BL98" s="153">
        <v>0.97</v>
      </c>
      <c r="BM98" s="474">
        <v>0.97</v>
      </c>
      <c r="BN98" s="474">
        <v>0.97</v>
      </c>
      <c r="BO98" s="474">
        <v>0.9699999927729368</v>
      </c>
      <c r="BP98" s="261">
        <f t="shared" si="324"/>
        <v>65184</v>
      </c>
      <c r="BQ98" s="578">
        <f t="shared" si="325"/>
        <v>97776</v>
      </c>
      <c r="BR98" s="259">
        <f t="shared" si="326"/>
        <v>260736</v>
      </c>
      <c r="BS98" s="578">
        <f t="shared" si="327"/>
        <v>391104</v>
      </c>
      <c r="BT98" s="216">
        <f t="shared" si="328"/>
        <v>6.8008213552361401</v>
      </c>
      <c r="BU98" s="218">
        <f t="shared" si="243"/>
        <v>41.296398437659256</v>
      </c>
      <c r="BV98" s="216">
        <f t="shared" si="244"/>
        <v>41.296398437659256</v>
      </c>
      <c r="BW98" s="216">
        <f t="shared" si="245"/>
        <v>25.258678883073543</v>
      </c>
      <c r="BX98" s="216">
        <f t="shared" si="329"/>
        <v>25.25867869488172</v>
      </c>
      <c r="BY98" s="216">
        <f t="shared" si="246"/>
        <v>39.005295644147012</v>
      </c>
      <c r="BZ98" s="216">
        <f t="shared" si="247"/>
        <v>34.423089994391916</v>
      </c>
      <c r="CA98" s="264">
        <f t="shared" si="248"/>
        <v>41.296398437659256</v>
      </c>
      <c r="CB98" s="216">
        <f t="shared" si="249"/>
        <v>41.296398437659256</v>
      </c>
      <c r="CC98" s="216">
        <f t="shared" si="250"/>
        <v>25.258678883073543</v>
      </c>
      <c r="CD98" s="216">
        <f t="shared" si="330"/>
        <v>25.25867869488172</v>
      </c>
      <c r="CE98" s="216">
        <f t="shared" si="251"/>
        <v>39.005295644147012</v>
      </c>
      <c r="CF98" s="571">
        <f t="shared" si="252"/>
        <v>34.423089994391916</v>
      </c>
      <c r="CG98" s="573">
        <f t="shared" si="253"/>
        <v>0.14499999999999999</v>
      </c>
      <c r="CH98" s="219">
        <f t="shared" si="254"/>
        <v>0.14499999999999999</v>
      </c>
      <c r="CI98" s="219">
        <f t="shared" si="255"/>
        <v>0.11</v>
      </c>
      <c r="CJ98" s="219">
        <f t="shared" si="256"/>
        <v>0.14181141536218894</v>
      </c>
      <c r="CK98" s="219">
        <f t="shared" si="257"/>
        <v>0.14181141536218894</v>
      </c>
      <c r="CL98" s="219">
        <f t="shared" si="258"/>
        <v>0.11</v>
      </c>
      <c r="CM98" s="219">
        <f t="shared" si="259"/>
        <v>0.12328395748611168</v>
      </c>
      <c r="CN98" s="569">
        <f t="shared" si="260"/>
        <v>0.12328395748611168</v>
      </c>
      <c r="CO98" s="264">
        <f t="shared" si="343"/>
        <v>19.563631691556477</v>
      </c>
      <c r="CP98" s="216">
        <f t="shared" si="331"/>
        <v>19.563631691556477</v>
      </c>
      <c r="CQ98" s="216">
        <f t="shared" ca="1" si="192"/>
        <v>19.563631691556477</v>
      </c>
      <c r="CR98" s="216">
        <f t="shared" ca="1" si="193"/>
        <v>19.563631691556477</v>
      </c>
      <c r="CS98" s="1626">
        <f t="shared" ca="1" si="194"/>
        <v>19.563631691556477</v>
      </c>
      <c r="CT98" s="216">
        <f t="shared" si="332"/>
        <v>19.563631691556477</v>
      </c>
      <c r="CU98" s="575">
        <f t="shared" si="261"/>
        <v>0.17</v>
      </c>
      <c r="CV98" s="154">
        <f t="shared" si="262"/>
        <v>0.5</v>
      </c>
      <c r="CW98" s="216">
        <f>IF(OR($BQ98,$BS98),SpreadOptPowerMargin,0)*((1+Assumptions!$C$26)^($B98-YEAR(Assumptions!$C$17)))</f>
        <v>1.948377888</v>
      </c>
      <c r="CX98" s="216">
        <f>IF(OR($BQ98,$BS98),SpreadOptPowerMargin,0)*((1+Assumptions!$C$26)^($B98-YEAR(Assumptions!$C$17)))</f>
        <v>1.948377888</v>
      </c>
      <c r="CY98" s="216">
        <f>IF(OR($BQ98,$BS98),SpreadOptPowerMargin,0)*((1+Assumptions!$C$26)^($B98-YEAR(Assumptions!$C$17)))</f>
        <v>1.948377888</v>
      </c>
      <c r="CZ98" s="216">
        <f>IF(OR($BQ98,$BS98),SpreadOptPowerMargin,0)*((1+Assumptions!$C$26)^($B98-YEAR(Assumptions!$C$17)))</f>
        <v>1.948377888</v>
      </c>
      <c r="DA98" s="440">
        <f t="shared" si="263"/>
        <v>1.948377888</v>
      </c>
      <c r="DB98" s="479">
        <f t="shared" si="264"/>
        <v>0.14499999999999999</v>
      </c>
      <c r="DC98" s="479">
        <f t="shared" si="265"/>
        <v>0.14499999999999999</v>
      </c>
      <c r="DD98" s="479">
        <f t="shared" si="266"/>
        <v>0.11</v>
      </c>
      <c r="DE98" s="479">
        <f t="shared" si="267"/>
        <v>0.11</v>
      </c>
      <c r="DF98" s="479">
        <f t="shared" si="268"/>
        <v>0.12328395748611168</v>
      </c>
      <c r="DG98" s="574">
        <f t="shared" si="269"/>
        <v>0.12328395748611168</v>
      </c>
      <c r="DH98" s="216">
        <f t="shared" si="270"/>
        <v>20.02256695139096</v>
      </c>
      <c r="DI98" s="216">
        <f t="shared" si="271"/>
        <v>20.02256695139096</v>
      </c>
      <c r="DJ98" s="216">
        <f t="shared" ca="1" si="195"/>
        <v>5.5440858233555401</v>
      </c>
      <c r="DK98" s="216">
        <f t="shared" ca="1" si="196"/>
        <v>5.5440856845201507</v>
      </c>
      <c r="DL98" s="216">
        <f t="shared" ca="1" si="197"/>
        <v>13.407554414098755</v>
      </c>
      <c r="DM98" s="216"/>
      <c r="DN98" s="216"/>
      <c r="DO98" s="216"/>
      <c r="DP98" s="216"/>
      <c r="DQ98" s="216"/>
      <c r="DR98" s="216"/>
      <c r="DS98" s="216"/>
      <c r="DT98" s="216"/>
      <c r="DU98" s="216"/>
      <c r="DV98" s="216"/>
      <c r="DW98" s="1371">
        <f t="shared" si="272"/>
        <v>5.5440858233555401</v>
      </c>
      <c r="DX98" s="216">
        <f t="shared" si="273"/>
        <v>5.5440856845201507</v>
      </c>
      <c r="DY98" s="440">
        <f t="shared" si="274"/>
        <v>13.817503564525891</v>
      </c>
      <c r="DZ98" s="180">
        <f t="shared" si="275"/>
        <v>932250.71725676314</v>
      </c>
      <c r="EA98" s="180">
        <f t="shared" si="276"/>
        <v>186450.14345135263</v>
      </c>
      <c r="EB98" s="180">
        <f t="shared" ca="1" si="198"/>
        <v>51626.527187086787</v>
      </c>
      <c r="EC98" s="180">
        <f t="shared" ca="1" si="199"/>
        <v>180692.84062988075</v>
      </c>
      <c r="ED98" s="180">
        <f t="shared" ca="1" si="200"/>
        <v>1310937.0403929199</v>
      </c>
      <c r="EE98" s="581">
        <f t="shared" si="277"/>
        <v>921161.14523326547</v>
      </c>
      <c r="EF98" s="554">
        <f t="shared" si="278"/>
        <v>184232.22904665308</v>
      </c>
      <c r="EG98" s="554">
        <f t="shared" ca="1" si="201"/>
        <v>34888.984554350922</v>
      </c>
      <c r="EH98" s="554">
        <f t="shared" ca="1" si="202"/>
        <v>122111.43980668033</v>
      </c>
      <c r="EI98" s="561">
        <f t="shared" ca="1" si="279"/>
        <v>1262393.7986409499</v>
      </c>
      <c r="EJ98" s="581">
        <f t="shared" si="333"/>
        <v>11089.572023497662</v>
      </c>
      <c r="EK98" s="554">
        <f t="shared" si="334"/>
        <v>2217.9144046995498</v>
      </c>
      <c r="EL98" s="554">
        <f t="shared" ca="1" si="203"/>
        <v>16737.542632735865</v>
      </c>
      <c r="EM98" s="554">
        <f t="shared" ca="1" si="204"/>
        <v>58581.400823200427</v>
      </c>
      <c r="EN98" s="561">
        <f t="shared" ca="1" si="205"/>
        <v>48543.241751970025</v>
      </c>
      <c r="EO98" s="180">
        <f t="shared" si="280"/>
        <v>3729002.8690270525</v>
      </c>
      <c r="EP98" s="180">
        <f t="shared" si="281"/>
        <v>745800.57380541053</v>
      </c>
      <c r="EQ98" s="180">
        <f t="shared" si="282"/>
        <v>206506.10874834715</v>
      </c>
      <c r="ER98" s="180">
        <f t="shared" si="283"/>
        <v>722771.36251952301</v>
      </c>
      <c r="ES98" s="180">
        <f t="shared" si="284"/>
        <v>5404080.914100334</v>
      </c>
      <c r="ET98" s="1482">
        <f t="shared" ca="1" si="206"/>
        <v>3684644.5809330619</v>
      </c>
      <c r="EU98" s="180">
        <f t="shared" ca="1" si="207"/>
        <v>736928.91618661233</v>
      </c>
      <c r="EV98" s="180">
        <f t="shared" ca="1" si="208"/>
        <v>139555.93821740369</v>
      </c>
      <c r="EW98" s="180">
        <f t="shared" ca="1" si="209"/>
        <v>488445.7592267213</v>
      </c>
      <c r="EX98" s="555">
        <f t="shared" ca="1" si="182"/>
        <v>5049575.1945637995</v>
      </c>
      <c r="EY98" s="180">
        <f t="shared" ca="1" si="210"/>
        <v>44358.288093990646</v>
      </c>
      <c r="EZ98" s="180">
        <f t="shared" ca="1" si="211"/>
        <v>8871.6576187981991</v>
      </c>
      <c r="FA98" s="180">
        <f t="shared" ca="1" si="212"/>
        <v>66950.170530943462</v>
      </c>
      <c r="FB98" s="180">
        <f t="shared" ca="1" si="213"/>
        <v>234325.60329280171</v>
      </c>
      <c r="FC98" s="180">
        <f t="shared" ca="1" si="214"/>
        <v>354505.71953653451</v>
      </c>
      <c r="FD98" s="262">
        <f>IF(AX98,IF(VLOOKUP(C98,MAIN!$L$17:$M$28,2)="Yes",VLOOKUP(CALC!B98,MAIN!$H$17:$I$20,2),0),0)</f>
        <v>0</v>
      </c>
      <c r="FE98" s="623">
        <f t="shared" si="285"/>
        <v>0</v>
      </c>
      <c r="FF98" s="535">
        <f t="shared" si="286"/>
        <v>0</v>
      </c>
      <c r="FG98" s="535">
        <f t="shared" si="287"/>
        <v>0</v>
      </c>
      <c r="FH98" s="624">
        <f t="shared" si="288"/>
        <v>0</v>
      </c>
      <c r="FI98" s="632">
        <f>IF(AX98,VLOOKUP(CALC!B98,MAIN!$H$17:$K$20,4),0)</f>
        <v>0</v>
      </c>
      <c r="FJ98" s="535">
        <f t="shared" si="289"/>
        <v>0</v>
      </c>
      <c r="FK98" s="648">
        <f t="shared" si="335"/>
        <v>0</v>
      </c>
      <c r="FL98" s="530">
        <f t="shared" ca="1" si="215"/>
        <v>0</v>
      </c>
      <c r="FM98" s="530">
        <f t="shared" ca="1" si="216"/>
        <v>0</v>
      </c>
      <c r="FN98" s="530">
        <f t="shared" ca="1" si="217"/>
        <v>0</v>
      </c>
      <c r="FO98" s="622">
        <f t="shared" ca="1" si="218"/>
        <v>0</v>
      </c>
      <c r="FP98" s="530">
        <f t="shared" ca="1" si="219"/>
        <v>0</v>
      </c>
      <c r="FQ98" s="530">
        <f t="shared" ca="1" si="220"/>
        <v>0</v>
      </c>
      <c r="FR98" s="530">
        <f t="shared" ca="1" si="221"/>
        <v>0</v>
      </c>
      <c r="FS98" s="625">
        <f t="shared" ca="1" si="222"/>
        <v>0</v>
      </c>
      <c r="FT98" s="640">
        <f ca="1">IF(AND(Assumptions!$H$71="Yes",A98&gt;=Assumptions!$H$72,A98&lt;=Assumptions!$H$73),0,IF(AND($A98&gt;=Assumptions!$C$17,$A98&lt;=Assumptions!$C$18),MAX(AZ98*(1+VLOOKUP($C98,WeatherCapacityAdjustment,2))-FL98,0),0))</f>
        <v>46560</v>
      </c>
      <c r="FU98" s="530">
        <f ca="1">IF(AND(Assumptions!$H$71="Yes",A98&gt;=Assumptions!$H$72,A98&lt;=Assumptions!$H$73),0,IF(AND($A98&gt;=Assumptions!$C$17,$A98&lt;=Assumptions!$C$18),MAX(BA98*(1+VLOOKUP($C98,WeatherCapacityAdjustment,2))-FM98,0),0))</f>
        <v>9312</v>
      </c>
      <c r="FV98" s="530">
        <f ca="1">IF(AND(Assumptions!$H$71="Yes",A98&gt;=Assumptions!$H$72,A98&lt;=Assumptions!$H$73),0,IF(AND($A98&gt;=Assumptions!$C$17,$A98&lt;=Assumptions!$C$18),MAX(BB98*(1+VLOOKUP($C98,WeatherCapacityAdjustment,2))-FN98,0),0))</f>
        <v>9312</v>
      </c>
      <c r="FW98" s="622">
        <f ca="1">IF(AND(Assumptions!$H$71="Yes",A98&gt;=Assumptions!$H$72,A98&lt;=Assumptions!$H$73),0,IF(AND($A98&gt;=Assumptions!$C$17,$A98&lt;=Assumptions!$C$18),MAX(BC98*(1+VLOOKUP($C98,WeatherCapacityAdjustment,3))-FO98,0),0))</f>
        <v>32592</v>
      </c>
      <c r="FX98" s="621">
        <f ca="1">IF(AND(Assumptions!$H$71="Yes",A98&gt;=Assumptions!$H$72,A98&lt;=Assumptions!$H$73),0,IF(ET98&gt;0,MAX(BH98*(1+VLOOKUP($C98,WeatherCapacityAdjustment,2))-FP98,0),0))</f>
        <v>186240</v>
      </c>
      <c r="FY98" s="530">
        <f ca="1">IF(AND(Assumptions!$H$71="Yes",A98&gt;=Assumptions!$H$72,A98&lt;=Assumptions!$H$73),0,IF(EU98&gt;0,MAX(BI98*(1+VLOOKUP($C98,WeatherCapacityAdjustment,3))-FQ98,0),0))</f>
        <v>37248</v>
      </c>
      <c r="FZ98" s="530">
        <f ca="1">IF(AND(Assumptions!$H$71="Yes",A98&gt;=Assumptions!$H$72,A98&lt;=Assumptions!$H$73),0,IF(EV98&gt;0,MAX(BJ98*(1+VLOOKUP($C98,WeatherCapacityAdjustment,2))-FR98,0),0))</f>
        <v>37248</v>
      </c>
      <c r="GA98" s="622">
        <f ca="1">IF(AND(Assumptions!$H$71="Yes",A98&gt;=Assumptions!$H$72,A98&lt;=Assumptions!$H$73),0,IF(EW98&gt;0,MAX(BK98*(1+VLOOKUP($C98,WeatherCapacityAdjustment,2))-FS98,0),0))</f>
        <v>130368</v>
      </c>
      <c r="GB98" s="530">
        <f t="shared" ca="1" si="290"/>
        <v>488880</v>
      </c>
      <c r="GC98" s="545">
        <f t="shared" ca="1" si="291"/>
        <v>34.423089994391916</v>
      </c>
      <c r="GD98" s="530">
        <f t="shared" ca="1" si="223"/>
        <v>16828760.236458316</v>
      </c>
      <c r="GE98" s="1485">
        <f t="shared" ca="1" si="224"/>
        <v>695095.45055999991</v>
      </c>
      <c r="GF98" s="1776">
        <f t="shared" ca="1" si="225"/>
        <v>2780381.8022399996</v>
      </c>
      <c r="GG98" s="545">
        <f t="shared" si="190"/>
        <v>2.7519294662805605</v>
      </c>
      <c r="GH98" s="622">
        <f t="shared" ca="1" si="191"/>
        <v>9564268.2613681313</v>
      </c>
      <c r="GI98" s="621">
        <f t="shared" ca="1" si="336"/>
        <v>488880</v>
      </c>
      <c r="GJ98" s="638">
        <f t="shared" si="292"/>
        <v>1.948377888</v>
      </c>
      <c r="GK98" s="625">
        <f t="shared" ca="1" si="342"/>
        <v>952522.98188543995</v>
      </c>
      <c r="GL98" s="640">
        <f t="shared" ca="1" si="226"/>
        <v>0</v>
      </c>
      <c r="GM98" s="530">
        <f t="shared" ca="1" si="227"/>
        <v>0</v>
      </c>
      <c r="GN98" s="530">
        <f t="shared" ca="1" si="228"/>
        <v>0</v>
      </c>
      <c r="GO98" s="622">
        <f t="shared" ca="1" si="229"/>
        <v>0</v>
      </c>
      <c r="GP98" s="530">
        <f t="shared" ca="1" si="293"/>
        <v>0</v>
      </c>
      <c r="GQ98" s="545">
        <f t="shared" ca="1" si="294"/>
        <v>0</v>
      </c>
      <c r="GR98" s="625">
        <f t="shared" ca="1" si="230"/>
        <v>0</v>
      </c>
      <c r="GS98" s="640">
        <f>IF($A98&gt;=BegDate,Assumptions!$C$56*24*($A99-$A98)*(1-VLOOKUP($B98,MAIN!$AA$7:$AM$28,$C98+1))*(1-VLOOKUP($B98,MAIN!$AA$33:$AM$54,$C98+1)),0)*80/168</f>
        <v>232800</v>
      </c>
      <c r="GT98" s="1715">
        <f t="shared" si="337"/>
        <v>41.296398437659256</v>
      </c>
      <c r="GU98" s="1715">
        <f>IF($A98&gt;=BegDate,VLOOKUP($A98,GasTable,13)+Assumptions!$C$58,0)</f>
        <v>2.7519294662805605</v>
      </c>
      <c r="GV98" s="1715">
        <f>GU98*Assumptions!$C$57/1000</f>
        <v>19.951488630534062</v>
      </c>
      <c r="GW98" s="625">
        <f>IF(Assumptions!$C$60="Hourly",MAX(0,GS98*(GT98-GV98)),GS98*(GT98-GV98))</f>
        <v>4969095.0030987449</v>
      </c>
      <c r="GX98" s="640">
        <f>IF($A98&gt;=BegDate,Assumptions!$C$56*24*($A99-$A98)*(1-VLOOKUP($B98,MAIN!$AA$7:$AM$28,$C98+1))*(1-VLOOKUP($B98,MAIN!$AA$33:$AM$54,$C98+1)),0)*16/168</f>
        <v>46560</v>
      </c>
      <c r="GY98" s="1715">
        <f t="shared" si="338"/>
        <v>41.296398437659256</v>
      </c>
      <c r="GZ98" s="1715">
        <f>IF($A98&gt;=BegDate,VLOOKUP($A98,GasTable,13)+Assumptions!$C$58,0)</f>
        <v>2.7519294662805605</v>
      </c>
      <c r="HA98" s="1715">
        <f>GZ98*Assumptions!$C$57/1000</f>
        <v>19.951488630534062</v>
      </c>
      <c r="HB98" s="625">
        <f>IF(Assumptions!$C$60="Hourly",MAX(0,GX98*(GY98-HA98)),GX98*(GY98-HA98))</f>
        <v>993819.00061974907</v>
      </c>
      <c r="HC98" s="640">
        <f>IF($A98&gt;=BegDate,Assumptions!$C$56*24*($A99-$A98)*(1-VLOOKUP($B98,MAIN!$AA$7:$AM$28,$C98+1))*(1-VLOOKUP($B98,MAIN!$AA$33:$AM$54,$C98+1)),0)*16/168</f>
        <v>46560</v>
      </c>
      <c r="HD98" s="1715">
        <f t="shared" si="339"/>
        <v>25.258678883073543</v>
      </c>
      <c r="HE98" s="1715">
        <f>IF($A98&gt;=BegDate,VLOOKUP($A98,GasTable,13)+Assumptions!$C$58,0)</f>
        <v>2.7519294662805605</v>
      </c>
      <c r="HF98" s="1715">
        <f>HE98*Assumptions!$C$57/1000</f>
        <v>19.951488630534062</v>
      </c>
      <c r="HG98" s="625">
        <f>IF(Assumptions!$C$60="Hourly",MAX(0,HC98*(HD98-HF98)),HC98*(HD98-HF98))</f>
        <v>247102.77815823824</v>
      </c>
      <c r="HH98" s="640">
        <f>IF($A98&gt;=BegDate,Assumptions!$C$56*24*($A99-$A98)*(1-VLOOKUP($B98,MAIN!$AA$7:$AM$28,$C98+1))*(1-VLOOKUP($B98,MAIN!$AA$33:$AM$54,$C98+1)),0)*56/168</f>
        <v>162960</v>
      </c>
      <c r="HI98" s="1715">
        <f t="shared" si="340"/>
        <v>25.258678883073543</v>
      </c>
      <c r="HJ98" s="1715">
        <f>IF($A98&gt;=BegDate,VLOOKUP($A98,GasTable,13)+Assumptions!$C$58,0)</f>
        <v>2.7519294662805605</v>
      </c>
      <c r="HK98" s="1715">
        <f>HJ98*Assumptions!$C$57/1000</f>
        <v>19.951488630534062</v>
      </c>
      <c r="HL98" s="625">
        <f>IF(Assumptions!$C$60="Hourly",MAX(0,HH98*(HI98-HK98)),HH98*(HI98-HK98))</f>
        <v>864859.7235538339</v>
      </c>
      <c r="HM98" s="640">
        <f>IF(AND(Assumptions!$H$71="Yes",A98&gt;=Assumptions!$H$72,A98&lt;=Assumptions!$H$73),Assumptions!$H$74*Assumptions!$C$9*1000,0)</f>
        <v>0</v>
      </c>
      <c r="HN98" s="530"/>
      <c r="HO98" s="545"/>
      <c r="HP98" s="545"/>
      <c r="HQ98" s="545"/>
      <c r="HR98" s="545"/>
      <c r="HS98" s="545"/>
      <c r="HT98" s="545"/>
      <c r="HU98" s="545"/>
      <c r="HV98" s="545"/>
      <c r="HW98" s="545"/>
      <c r="HX98" s="545"/>
      <c r="HY98" s="545"/>
      <c r="HZ98" s="545"/>
      <c r="IA98" s="545"/>
      <c r="IB98" s="545"/>
      <c r="IC98" s="545"/>
      <c r="ID98" s="545"/>
      <c r="IE98" s="545"/>
      <c r="IF98" s="545"/>
      <c r="IG98" s="545"/>
      <c r="IH98" s="545"/>
      <c r="II98" s="1464"/>
      <c r="IJ98" s="1463"/>
      <c r="IK98" s="1463"/>
    </row>
    <row r="99" spans="1:245">
      <c r="A99" s="177">
        <f t="shared" si="295"/>
        <v>39142</v>
      </c>
      <c r="B99" s="349">
        <f t="shared" si="296"/>
        <v>2007</v>
      </c>
      <c r="C99" s="15">
        <f t="shared" si="344"/>
        <v>3</v>
      </c>
      <c r="D99" s="612" t="str">
        <f t="shared" si="297"/>
        <v/>
      </c>
      <c r="E99" s="609">
        <f t="shared" si="345"/>
        <v>39142</v>
      </c>
      <c r="F99" s="614">
        <f t="shared" si="346"/>
        <v>39172</v>
      </c>
      <c r="G99" s="1349">
        <v>0</v>
      </c>
      <c r="H99" s="152">
        <f t="shared" si="341"/>
        <v>1</v>
      </c>
      <c r="I99" s="154">
        <f>IF(Assumptions!$L$25=4,VLOOKUP($A99,'Henwood Reference'!$E$9:$R$320,10),(VLOOKUP($A99,PriceTable,2,0)+IF(BasisNumber&lt;&gt;1,VLOOKUP($A99,BasisTable,2,0),0)+I$1)/(1-I$2))</f>
        <v>35.624303479373879</v>
      </c>
      <c r="J99" s="154">
        <f>IF(Assumptions!$L$25=4,VLOOKUP($A99,'Henwood Reference'!$E$9:$R$320,10),(VLOOKUP($A99,PriceTable,3,0)+IF(BasisNumber&lt;&gt;1,VLOOKUP($A99,BasisTable,2,0),0)+J$1)/(1-J$2))</f>
        <v>35.624303479373879</v>
      </c>
      <c r="K99" s="154">
        <f>IF(Assumptions!$L$25=4,VLOOKUP($A99,'Henwood Reference'!$E$9:$R$320,10),(VLOOKUP($A99,PriceTable,4,0)+IF(BasisNumber&lt;&gt;1,VLOOKUP($A99,BasisTable,2,0),0)+K$1)/(1-K$2))</f>
        <v>35.624303479373879</v>
      </c>
      <c r="L99" s="474">
        <f>IF(Assumptions!$L$25=4,VLOOKUP($A99,'Henwood Reference'!$E$9:$R$320,10),(VLOOKUP($A99,PriceTableWeekend,2,0)+IF(BasisNumber&lt;&gt;1,VLOOKUP($A99,BasisTable,2,0),0)+L$1)/(1-L$2))</f>
        <v>35.624303479373879</v>
      </c>
      <c r="M99" s="154">
        <f>IF(Assumptions!$L$25=4,VLOOKUP($A99,'Henwood Reference'!$E$9:$R$320,10),(VLOOKUP($A99,PriceTableWeekend,3,0)+IF(BasisNumber&lt;&gt;1,VLOOKUP($A99,BasisTable,2,0),0)+M$1)/(1-M$2))</f>
        <v>35.624303479373879</v>
      </c>
      <c r="N99" s="156">
        <f>IF(Assumptions!$L$25=4,VLOOKUP($A99,'Henwood Reference'!$E$9:$R$320,10),(VLOOKUP($A99,PriceTableWeekend,4,0)+IF(BasisNumber&lt;&gt;1,VLOOKUP($A99,BasisTable,2,0),0)+N$1)/(1-N$2))</f>
        <v>35.624303479373879</v>
      </c>
      <c r="O99" s="154">
        <f>IF(Assumptions!$L$25=4,VLOOKUP($A99,'Henwood Reference'!$E$9:$R$320,11),(VLOOKUP($A99,PriceTableWeekend,6,0)+IF(BasisNumber&lt;&gt;1,VLOOKUP($A99,BasisTable,3,0),0)+O$1)/(1-O$2))</f>
        <v>24.091614244741873</v>
      </c>
      <c r="P99" s="154">
        <f>IF(Assumptions!$L$25=4,VLOOKUP($A99,'Henwood Reference'!$E$9:$R$320,11),(VLOOKUP($A99,PriceTableWeekend,7,0)+IF(BasisNumber&lt;&gt;1,VLOOKUP($A99,BasisTable,3,0),0)+P$1)/(1-P$2))</f>
        <v>24.091614244741873</v>
      </c>
      <c r="Q99" s="156">
        <f>IF(Assumptions!$L$25=4,VLOOKUP($A99,'Henwood Reference'!$E$9:$R$320,11),(VLOOKUP($A99,PriceTableWeekend,8,0)+IF(BasisNumber&lt;&gt;1,VLOOKUP($A99,BasisTable,3,0),0)+Q$1)/(1-Q$2))</f>
        <v>24.091614244741873</v>
      </c>
      <c r="R99" s="154">
        <f>IF(Assumptions!$L$25=4,VLOOKUP($A99,'Henwood Reference'!$E$9:$R$320,11),(VLOOKUP($A99,PriceTable,6,0)+IF(BasisNumber&lt;&gt;1,VLOOKUP($A99,BasisTable,3,0),0)+R$1)/(1-R$2))</f>
        <v>24.091614244741873</v>
      </c>
      <c r="S99" s="154">
        <f>IF(Assumptions!$L$25=4,VLOOKUP($A99,'Henwood Reference'!$E$9:$R$320,11),(VLOOKUP($A99,PriceTable,7,0)+IF(BasisNumber&lt;&gt;1,VLOOKUP($A99,BasisTable,3,0),0)+S$1)/(1-S$2))</f>
        <v>24.091614244741873</v>
      </c>
      <c r="T99" s="155">
        <f>IF(Assumptions!$L$25=4,VLOOKUP($A99,'Henwood Reference'!$E$9:$R$320,11),(VLOOKUP($A99,PriceTable,8,0)+IF(BasisNumber&lt;&gt;1,VLOOKUP($A99,BasisTable,3,0),0)+T$1)/(1-T$2))</f>
        <v>24.091614244741873</v>
      </c>
      <c r="U99" s="173">
        <f t="shared" si="298"/>
        <v>0.13500000000000001</v>
      </c>
      <c r="V99" s="173">
        <f t="shared" si="299"/>
        <v>0.14499999999999999</v>
      </c>
      <c r="W99" s="174">
        <f t="shared" si="300"/>
        <v>0.155</v>
      </c>
      <c r="X99" s="173">
        <f t="shared" si="301"/>
        <v>0.13500000000000001</v>
      </c>
      <c r="Y99" s="173">
        <f t="shared" si="302"/>
        <v>0.14499999999999999</v>
      </c>
      <c r="Z99" s="174">
        <f t="shared" si="303"/>
        <v>0.155</v>
      </c>
      <c r="AA99" s="173">
        <f t="shared" si="304"/>
        <v>0.09</v>
      </c>
      <c r="AB99" s="173">
        <f t="shared" si="305"/>
        <v>0.11</v>
      </c>
      <c r="AC99" s="174">
        <f t="shared" si="306"/>
        <v>0.13</v>
      </c>
      <c r="AD99" s="173">
        <f t="shared" si="307"/>
        <v>0.09</v>
      </c>
      <c r="AE99" s="173">
        <f t="shared" si="308"/>
        <v>0.11</v>
      </c>
      <c r="AF99" s="174">
        <f t="shared" si="309"/>
        <v>0.13</v>
      </c>
      <c r="AG99" s="173">
        <f t="shared" si="310"/>
        <v>-0.1</v>
      </c>
      <c r="AH99" s="173">
        <f t="shared" si="311"/>
        <v>0.65</v>
      </c>
      <c r="AI99" s="174">
        <f t="shared" si="312"/>
        <v>0.1</v>
      </c>
      <c r="AJ99" s="173">
        <f t="shared" si="313"/>
        <v>-0.1</v>
      </c>
      <c r="AK99" s="173">
        <f t="shared" si="314"/>
        <v>0.65</v>
      </c>
      <c r="AL99" s="174">
        <f t="shared" si="315"/>
        <v>0.1</v>
      </c>
      <c r="AM99" s="173">
        <f t="shared" si="316"/>
        <v>-0.01</v>
      </c>
      <c r="AN99" s="173">
        <f t="shared" si="317"/>
        <v>0.16</v>
      </c>
      <c r="AO99" s="174">
        <f t="shared" si="318"/>
        <v>0.01</v>
      </c>
      <c r="AP99" s="173">
        <f t="shared" si="319"/>
        <v>-0.01</v>
      </c>
      <c r="AQ99" s="173">
        <f t="shared" si="320"/>
        <v>0.16</v>
      </c>
      <c r="AR99" s="175">
        <f t="shared" si="321"/>
        <v>0.01</v>
      </c>
      <c r="AS99" s="521">
        <f t="shared" si="349"/>
        <v>0.5</v>
      </c>
      <c r="AT99" s="349">
        <f t="shared" si="347"/>
        <v>22</v>
      </c>
      <c r="AU99" s="159">
        <f t="shared" si="240"/>
        <v>5</v>
      </c>
      <c r="AV99" s="159">
        <f t="shared" si="241"/>
        <v>4</v>
      </c>
      <c r="AW99" s="159">
        <f t="shared" si="350"/>
        <v>0</v>
      </c>
      <c r="AX99" s="15">
        <f t="shared" si="348"/>
        <v>31</v>
      </c>
      <c r="AY99" s="607">
        <f>IF(E99="",0,MIN((1-(1-VLOOKUP(B99,MAIN!$AA$7:$AM$28,C99+1))*(1-VLOOKUP(B99,MAIN!$AA$33:$AM$54,C99+1))),1))</f>
        <v>3.0000000000000027E-2</v>
      </c>
      <c r="AZ99" s="337">
        <v>51216</v>
      </c>
      <c r="BA99" s="509">
        <v>11640</v>
      </c>
      <c r="BB99" s="509">
        <v>9312</v>
      </c>
      <c r="BC99" s="511">
        <v>36084</v>
      </c>
      <c r="BD99" s="153">
        <v>0.96999999638646839</v>
      </c>
      <c r="BE99" s="474">
        <v>0.96999999638646839</v>
      </c>
      <c r="BF99" s="474">
        <v>0.96999999638646839</v>
      </c>
      <c r="BG99" s="515">
        <v>0.97000000722706314</v>
      </c>
      <c r="BH99" s="262">
        <v>204864</v>
      </c>
      <c r="BI99" s="509">
        <v>46560</v>
      </c>
      <c r="BJ99" s="509">
        <v>37248</v>
      </c>
      <c r="BK99" s="511">
        <v>144336</v>
      </c>
      <c r="BL99" s="153">
        <v>0.96999999638646839</v>
      </c>
      <c r="BM99" s="474">
        <v>0.96999999638646839</v>
      </c>
      <c r="BN99" s="474">
        <v>0.96999999638646839</v>
      </c>
      <c r="BO99" s="474">
        <v>0.97000000722706314</v>
      </c>
      <c r="BP99" s="261">
        <f t="shared" si="324"/>
        <v>72168</v>
      </c>
      <c r="BQ99" s="578">
        <f t="shared" si="325"/>
        <v>108252</v>
      </c>
      <c r="BR99" s="259">
        <f t="shared" si="326"/>
        <v>288672</v>
      </c>
      <c r="BS99" s="578">
        <f t="shared" si="327"/>
        <v>433008</v>
      </c>
      <c r="BT99" s="216">
        <f t="shared" si="328"/>
        <v>6.8774811772758389</v>
      </c>
      <c r="BU99" s="218">
        <f t="shared" si="243"/>
        <v>35.624303346663005</v>
      </c>
      <c r="BV99" s="216">
        <f t="shared" si="244"/>
        <v>35.624303346663005</v>
      </c>
      <c r="BW99" s="216">
        <f t="shared" si="245"/>
        <v>24.091614154993614</v>
      </c>
      <c r="BX99" s="216">
        <f t="shared" si="329"/>
        <v>24.091614424238387</v>
      </c>
      <c r="BY99" s="216">
        <f t="shared" si="246"/>
        <v>34.13621441870567</v>
      </c>
      <c r="BZ99" s="216">
        <f t="shared" si="247"/>
        <v>30.788014420549906</v>
      </c>
      <c r="CA99" s="264">
        <f t="shared" si="248"/>
        <v>35.624303346663005</v>
      </c>
      <c r="CB99" s="216">
        <f t="shared" si="249"/>
        <v>35.624303346663005</v>
      </c>
      <c r="CC99" s="216">
        <f t="shared" si="250"/>
        <v>24.091614154993614</v>
      </c>
      <c r="CD99" s="216">
        <f t="shared" si="330"/>
        <v>24.091614424238387</v>
      </c>
      <c r="CE99" s="216">
        <f t="shared" si="251"/>
        <v>34.13621441870567</v>
      </c>
      <c r="CF99" s="571">
        <f t="shared" si="252"/>
        <v>30.788014420549906</v>
      </c>
      <c r="CG99" s="573">
        <f t="shared" si="253"/>
        <v>0.14499999999999999</v>
      </c>
      <c r="CH99" s="219">
        <f t="shared" si="254"/>
        <v>0.14499999999999999</v>
      </c>
      <c r="CI99" s="219">
        <f t="shared" si="255"/>
        <v>0.11</v>
      </c>
      <c r="CJ99" s="219">
        <f t="shared" si="256"/>
        <v>0.14186187602397812</v>
      </c>
      <c r="CK99" s="219">
        <f t="shared" si="257"/>
        <v>0.14186187602397812</v>
      </c>
      <c r="CL99" s="219">
        <f t="shared" si="258"/>
        <v>0.11</v>
      </c>
      <c r="CM99" s="219">
        <f t="shared" si="259"/>
        <v>0.12225704521172563</v>
      </c>
      <c r="CN99" s="569">
        <f t="shared" si="260"/>
        <v>0.12225704521172563</v>
      </c>
      <c r="CO99" s="264">
        <f t="shared" si="343"/>
        <v>18.492950076688704</v>
      </c>
      <c r="CP99" s="216">
        <f t="shared" si="331"/>
        <v>18.492950076688704</v>
      </c>
      <c r="CQ99" s="216">
        <f t="shared" ca="1" si="192"/>
        <v>18.492950076688704</v>
      </c>
      <c r="CR99" s="216">
        <f t="shared" ca="1" si="193"/>
        <v>18.492950076688704</v>
      </c>
      <c r="CS99" s="1626">
        <f t="shared" ca="1" si="194"/>
        <v>18.492950076688704</v>
      </c>
      <c r="CT99" s="216">
        <f t="shared" si="332"/>
        <v>18.492950076688704</v>
      </c>
      <c r="CU99" s="575">
        <f t="shared" si="261"/>
        <v>0.17</v>
      </c>
      <c r="CV99" s="154">
        <f t="shared" si="262"/>
        <v>0.5</v>
      </c>
      <c r="CW99" s="216">
        <f>IF(OR($BQ99,$BS99),SpreadOptPowerMargin,0)*((1+Assumptions!$C$26)^($B99-YEAR(Assumptions!$C$17)))</f>
        <v>1.948377888</v>
      </c>
      <c r="CX99" s="216">
        <f>IF(OR($BQ99,$BS99),SpreadOptPowerMargin,0)*((1+Assumptions!$C$26)^($B99-YEAR(Assumptions!$C$17)))</f>
        <v>1.948377888</v>
      </c>
      <c r="CY99" s="216">
        <f>IF(OR($BQ99,$BS99),SpreadOptPowerMargin,0)*((1+Assumptions!$C$26)^($B99-YEAR(Assumptions!$C$17)))</f>
        <v>1.948377888</v>
      </c>
      <c r="CZ99" s="216">
        <f>IF(OR($BQ99,$BS99),SpreadOptPowerMargin,0)*((1+Assumptions!$C$26)^($B99-YEAR(Assumptions!$C$17)))</f>
        <v>1.948377888</v>
      </c>
      <c r="DA99" s="440">
        <f t="shared" si="263"/>
        <v>1.9483778879999998</v>
      </c>
      <c r="DB99" s="479">
        <f t="shared" si="264"/>
        <v>0.14499999999999999</v>
      </c>
      <c r="DC99" s="479">
        <f t="shared" si="265"/>
        <v>0.14499999999999999</v>
      </c>
      <c r="DD99" s="479">
        <f t="shared" si="266"/>
        <v>0.11</v>
      </c>
      <c r="DE99" s="479">
        <f t="shared" si="267"/>
        <v>0.11</v>
      </c>
      <c r="DF99" s="479">
        <f t="shared" si="268"/>
        <v>0.12225704521172563</v>
      </c>
      <c r="DG99" s="574">
        <f t="shared" si="269"/>
        <v>0.12225704521172563</v>
      </c>
      <c r="DH99" s="216">
        <f t="shared" si="270"/>
        <v>15.56489971509172</v>
      </c>
      <c r="DI99" s="216">
        <f t="shared" si="271"/>
        <v>15.56489971509172</v>
      </c>
      <c r="DJ99" s="216">
        <f t="shared" ca="1" si="195"/>
        <v>5.3392491075319173</v>
      </c>
      <c r="DK99" s="216">
        <f t="shared" ca="1" si="196"/>
        <v>5.3392493070766784</v>
      </c>
      <c r="DL99" s="216">
        <f t="shared" ca="1" si="197"/>
        <v>10.981510974159491</v>
      </c>
      <c r="DM99" s="216"/>
      <c r="DN99" s="216"/>
      <c r="DO99" s="216"/>
      <c r="DP99" s="216"/>
      <c r="DQ99" s="216"/>
      <c r="DR99" s="216"/>
      <c r="DS99" s="216"/>
      <c r="DT99" s="216"/>
      <c r="DU99" s="216"/>
      <c r="DV99" s="216"/>
      <c r="DW99" s="1371">
        <f t="shared" si="272"/>
        <v>5.3392491075319173</v>
      </c>
      <c r="DX99" s="216">
        <f t="shared" si="273"/>
        <v>5.3392493070766784</v>
      </c>
      <c r="DY99" s="440">
        <f t="shared" si="274"/>
        <v>11.276723720371884</v>
      </c>
      <c r="DZ99" s="180">
        <f t="shared" si="275"/>
        <v>797171.90380813752</v>
      </c>
      <c r="EA99" s="180">
        <f t="shared" si="276"/>
        <v>181175.4326836676</v>
      </c>
      <c r="EB99" s="180">
        <f t="shared" ca="1" si="198"/>
        <v>49719.087689337211</v>
      </c>
      <c r="EC99" s="180">
        <f t="shared" ca="1" si="199"/>
        <v>192661.47199655487</v>
      </c>
      <c r="ED99" s="180">
        <f t="shared" ca="1" si="200"/>
        <v>1188770.5259747133</v>
      </c>
      <c r="EE99" s="581">
        <f t="shared" si="277"/>
        <v>777611.26716319588</v>
      </c>
      <c r="EF99" s="554">
        <f t="shared" si="278"/>
        <v>176729.83344618088</v>
      </c>
      <c r="EG99" s="554">
        <f t="shared" ca="1" si="201"/>
        <v>33991.465004119331</v>
      </c>
      <c r="EH99" s="554">
        <f t="shared" ca="1" si="202"/>
        <v>131716.93660639078</v>
      </c>
      <c r="EI99" s="561">
        <f t="shared" ca="1" si="279"/>
        <v>1120049.502219887</v>
      </c>
      <c r="EJ99" s="581">
        <f t="shared" si="333"/>
        <v>19560.636644941638</v>
      </c>
      <c r="EK99" s="554">
        <f t="shared" si="334"/>
        <v>4445.5992374867201</v>
      </c>
      <c r="EL99" s="554">
        <f t="shared" ca="1" si="203"/>
        <v>15727.622685217881</v>
      </c>
      <c r="EM99" s="554">
        <f t="shared" ca="1" si="204"/>
        <v>60944.535390164092</v>
      </c>
      <c r="EN99" s="561">
        <f t="shared" ca="1" si="205"/>
        <v>68721.023754826281</v>
      </c>
      <c r="EO99" s="180">
        <f t="shared" si="280"/>
        <v>3188687.6152325501</v>
      </c>
      <c r="EP99" s="180">
        <f t="shared" si="281"/>
        <v>724701.73073467042</v>
      </c>
      <c r="EQ99" s="180">
        <f t="shared" si="282"/>
        <v>198876.35075734885</v>
      </c>
      <c r="ER99" s="180">
        <f t="shared" si="283"/>
        <v>770645.88798621949</v>
      </c>
      <c r="ES99" s="180">
        <f t="shared" si="284"/>
        <v>4882911.5847107889</v>
      </c>
      <c r="ET99" s="1482">
        <f t="shared" ca="1" si="206"/>
        <v>3110445.0686527835</v>
      </c>
      <c r="EU99" s="180">
        <f t="shared" ca="1" si="207"/>
        <v>706919.33378472354</v>
      </c>
      <c r="EV99" s="180">
        <f t="shared" ca="1" si="208"/>
        <v>135965.86001647732</v>
      </c>
      <c r="EW99" s="180">
        <f t="shared" ca="1" si="209"/>
        <v>526867.74642556312</v>
      </c>
      <c r="EX99" s="555">
        <f t="shared" ca="1" si="182"/>
        <v>4480198.0088795479</v>
      </c>
      <c r="EY99" s="180">
        <f t="shared" ca="1" si="210"/>
        <v>78242.546579766553</v>
      </c>
      <c r="EZ99" s="180">
        <f t="shared" ca="1" si="211"/>
        <v>17782.39694994688</v>
      </c>
      <c r="FA99" s="180">
        <f t="shared" ca="1" si="212"/>
        <v>62910.490740871523</v>
      </c>
      <c r="FB99" s="180">
        <f t="shared" ca="1" si="213"/>
        <v>243778.14156065637</v>
      </c>
      <c r="FC99" s="180">
        <f t="shared" ca="1" si="214"/>
        <v>402713.57583124097</v>
      </c>
      <c r="FD99" s="262">
        <f>IF(AX99,IF(VLOOKUP(C99,MAIN!$L$17:$M$28,2)="Yes",VLOOKUP(CALC!B99,MAIN!$H$17:$I$20,2),0),0)</f>
        <v>0</v>
      </c>
      <c r="FE99" s="623">
        <f t="shared" si="285"/>
        <v>0</v>
      </c>
      <c r="FF99" s="535">
        <f t="shared" si="286"/>
        <v>0</v>
      </c>
      <c r="FG99" s="535">
        <f t="shared" si="287"/>
        <v>0</v>
      </c>
      <c r="FH99" s="624">
        <f t="shared" si="288"/>
        <v>0</v>
      </c>
      <c r="FI99" s="632">
        <f>IF(AX99,VLOOKUP(CALC!B99,MAIN!$H$17:$K$20,4),0)</f>
        <v>0</v>
      </c>
      <c r="FJ99" s="535">
        <f t="shared" si="289"/>
        <v>0</v>
      </c>
      <c r="FK99" s="648">
        <f t="shared" si="335"/>
        <v>0</v>
      </c>
      <c r="FL99" s="530">
        <f t="shared" ca="1" si="215"/>
        <v>0</v>
      </c>
      <c r="FM99" s="530">
        <f t="shared" ca="1" si="216"/>
        <v>0</v>
      </c>
      <c r="FN99" s="530">
        <f t="shared" ca="1" si="217"/>
        <v>0</v>
      </c>
      <c r="FO99" s="622">
        <f t="shared" ca="1" si="218"/>
        <v>0</v>
      </c>
      <c r="FP99" s="530">
        <f t="shared" ca="1" si="219"/>
        <v>0</v>
      </c>
      <c r="FQ99" s="530">
        <f t="shared" ca="1" si="220"/>
        <v>0</v>
      </c>
      <c r="FR99" s="530">
        <f t="shared" ca="1" si="221"/>
        <v>0</v>
      </c>
      <c r="FS99" s="625">
        <f t="shared" ca="1" si="222"/>
        <v>0</v>
      </c>
      <c r="FT99" s="640">
        <f ca="1">IF(AND(Assumptions!$H$71="Yes",A99&gt;=Assumptions!$H$72,A99&lt;=Assumptions!$H$73),0,IF(AND($A99&gt;=Assumptions!$C$17,$A99&lt;=Assumptions!$C$18),MAX(AZ99*(1+VLOOKUP($C99,WeatherCapacityAdjustment,2))-FL99,0),0))</f>
        <v>51216</v>
      </c>
      <c r="FU99" s="530">
        <f ca="1">IF(AND(Assumptions!$H$71="Yes",A99&gt;=Assumptions!$H$72,A99&lt;=Assumptions!$H$73),0,IF(AND($A99&gt;=Assumptions!$C$17,$A99&lt;=Assumptions!$C$18),MAX(BA99*(1+VLOOKUP($C99,WeatherCapacityAdjustment,2))-FM99,0),0))</f>
        <v>11640</v>
      </c>
      <c r="FV99" s="530">
        <f ca="1">IF(AND(Assumptions!$H$71="Yes",A99&gt;=Assumptions!$H$72,A99&lt;=Assumptions!$H$73),0,IF(AND($A99&gt;=Assumptions!$C$17,$A99&lt;=Assumptions!$C$18),MAX(BB99*(1+VLOOKUP($C99,WeatherCapacityAdjustment,2))-FN99,0),0))</f>
        <v>9312</v>
      </c>
      <c r="FW99" s="622">
        <f ca="1">IF(AND(Assumptions!$H$71="Yes",A99&gt;=Assumptions!$H$72,A99&lt;=Assumptions!$H$73),0,IF(AND($A99&gt;=Assumptions!$C$17,$A99&lt;=Assumptions!$C$18),MAX(BC99*(1+VLOOKUP($C99,WeatherCapacityAdjustment,3))-FO99,0),0))</f>
        <v>36084</v>
      </c>
      <c r="FX99" s="621">
        <f ca="1">IF(AND(Assumptions!$H$71="Yes",A99&gt;=Assumptions!$H$72,A99&lt;=Assumptions!$H$73),0,IF(ET99&gt;0,MAX(BH99*(1+VLOOKUP($C99,WeatherCapacityAdjustment,2))-FP99,0),0))</f>
        <v>204864</v>
      </c>
      <c r="FY99" s="530">
        <f ca="1">IF(AND(Assumptions!$H$71="Yes",A99&gt;=Assumptions!$H$72,A99&lt;=Assumptions!$H$73),0,IF(EU99&gt;0,MAX(BI99*(1+VLOOKUP($C99,WeatherCapacityAdjustment,3))-FQ99,0),0))</f>
        <v>46560</v>
      </c>
      <c r="FZ99" s="530">
        <f ca="1">IF(AND(Assumptions!$H$71="Yes",A99&gt;=Assumptions!$H$72,A99&lt;=Assumptions!$H$73),0,IF(EV99&gt;0,MAX(BJ99*(1+VLOOKUP($C99,WeatherCapacityAdjustment,2))-FR99,0),0))</f>
        <v>37248</v>
      </c>
      <c r="GA99" s="622">
        <f ca="1">IF(AND(Assumptions!$H$71="Yes",A99&gt;=Assumptions!$H$72,A99&lt;=Assumptions!$H$73),0,IF(EW99&gt;0,MAX(BK99*(1+VLOOKUP($C99,WeatherCapacityAdjustment,2))-FS99,0),0))</f>
        <v>144336</v>
      </c>
      <c r="GB99" s="530">
        <f t="shared" ca="1" si="290"/>
        <v>541260</v>
      </c>
      <c r="GC99" s="545">
        <f t="shared" ca="1" si="291"/>
        <v>30.788014420549906</v>
      </c>
      <c r="GD99" s="530">
        <f t="shared" ca="1" si="223"/>
        <v>16664320.685266843</v>
      </c>
      <c r="GE99" s="1485">
        <f t="shared" ca="1" si="224"/>
        <v>769888.22400000005</v>
      </c>
      <c r="GF99" s="1776">
        <f t="shared" ca="1" si="225"/>
        <v>3079552.8960000002</v>
      </c>
      <c r="GG99" s="545">
        <f t="shared" si="190"/>
        <v>2.6002460737751272</v>
      </c>
      <c r="GH99" s="622">
        <f t="shared" ca="1" si="191"/>
        <v>10009494.158508528</v>
      </c>
      <c r="GI99" s="621">
        <f t="shared" ca="1" si="336"/>
        <v>541260</v>
      </c>
      <c r="GJ99" s="638">
        <f t="shared" si="292"/>
        <v>1.9483778879999998</v>
      </c>
      <c r="GK99" s="625">
        <f t="shared" ca="1" si="342"/>
        <v>1054579.0156588799</v>
      </c>
      <c r="GL99" s="640">
        <f t="shared" ca="1" si="226"/>
        <v>0</v>
      </c>
      <c r="GM99" s="530">
        <f t="shared" ca="1" si="227"/>
        <v>0</v>
      </c>
      <c r="GN99" s="530">
        <f t="shared" ca="1" si="228"/>
        <v>0</v>
      </c>
      <c r="GO99" s="622">
        <f t="shared" ca="1" si="229"/>
        <v>0</v>
      </c>
      <c r="GP99" s="530">
        <f t="shared" ca="1" si="293"/>
        <v>0</v>
      </c>
      <c r="GQ99" s="545">
        <f t="shared" ca="1" si="294"/>
        <v>0</v>
      </c>
      <c r="GR99" s="625">
        <f t="shared" ca="1" si="230"/>
        <v>0</v>
      </c>
      <c r="GS99" s="640">
        <f>IF($A99&gt;=BegDate,Assumptions!$C$56*24*($A100-$A99)*(1-VLOOKUP($B99,MAIN!$AA$7:$AM$28,$C99+1))*(1-VLOOKUP($B99,MAIN!$AA$33:$AM$54,$C99+1)),0)*80/168</f>
        <v>257742.85714285713</v>
      </c>
      <c r="GT99" s="1715">
        <f t="shared" si="337"/>
        <v>35.624303479373879</v>
      </c>
      <c r="GU99" s="1715">
        <f>IF($A99&gt;=BegDate,VLOOKUP($A99,GasTable,13)+Assumptions!$C$58,0)</f>
        <v>2.6002460737751272</v>
      </c>
      <c r="GV99" s="1715">
        <f>GU99*Assumptions!$C$57/1000</f>
        <v>18.851784034869674</v>
      </c>
      <c r="GW99" s="625">
        <f>IF(Assumptions!$C$60="Hourly",MAX(0,GS99*(GT99-GV99)),GS99*(GT99-GV99))</f>
        <v>4322997.0831106408</v>
      </c>
      <c r="GX99" s="640">
        <f>IF($A99&gt;=BegDate,Assumptions!$C$56*24*($A100-$A99)*(1-VLOOKUP($B99,MAIN!$AA$7:$AM$28,$C99+1))*(1-VLOOKUP($B99,MAIN!$AA$33:$AM$54,$C99+1)),0)*16/168</f>
        <v>51548.571428571428</v>
      </c>
      <c r="GY99" s="1715">
        <f t="shared" si="338"/>
        <v>35.624303479373879</v>
      </c>
      <c r="GZ99" s="1715">
        <f>IF($A99&gt;=BegDate,VLOOKUP($A99,GasTable,13)+Assumptions!$C$58,0)</f>
        <v>2.6002460737751272</v>
      </c>
      <c r="HA99" s="1715">
        <f>GZ99*Assumptions!$C$57/1000</f>
        <v>18.851784034869674</v>
      </c>
      <c r="HB99" s="625">
        <f>IF(Assumptions!$C$60="Hourly",MAX(0,GX99*(GY99-HA99)),GX99*(GY99-HA99))</f>
        <v>864599.41662212822</v>
      </c>
      <c r="HC99" s="640">
        <f>IF($A99&gt;=BegDate,Assumptions!$C$56*24*($A100-$A99)*(1-VLOOKUP($B99,MAIN!$AA$7:$AM$28,$C99+1))*(1-VLOOKUP($B99,MAIN!$AA$33:$AM$54,$C99+1)),0)*16/168</f>
        <v>51548.571428571428</v>
      </c>
      <c r="HD99" s="1715">
        <f t="shared" si="339"/>
        <v>24.091614244741873</v>
      </c>
      <c r="HE99" s="1715">
        <f>IF($A99&gt;=BegDate,VLOOKUP($A99,GasTable,13)+Assumptions!$C$58,0)</f>
        <v>2.6002460737751272</v>
      </c>
      <c r="HF99" s="1715">
        <f>HE99*Assumptions!$C$57/1000</f>
        <v>18.851784034869674</v>
      </c>
      <c r="HG99" s="625">
        <f>IF(Assumptions!$C$60="Hourly",MAX(0,HC99*(HD99-HF99)),HC99*(HD99-HF99))</f>
        <v>270105.76184718346</v>
      </c>
      <c r="HH99" s="640">
        <f>IF($A99&gt;=BegDate,Assumptions!$C$56*24*($A100-$A99)*(1-VLOOKUP($B99,MAIN!$AA$7:$AM$28,$C99+1))*(1-VLOOKUP($B99,MAIN!$AA$33:$AM$54,$C99+1)),0)*56/168</f>
        <v>180420</v>
      </c>
      <c r="HI99" s="1715">
        <f t="shared" si="340"/>
        <v>24.091614244741873</v>
      </c>
      <c r="HJ99" s="1715">
        <f>IF($A99&gt;=BegDate,VLOOKUP($A99,GasTable,13)+Assumptions!$C$58,0)</f>
        <v>2.6002460737751272</v>
      </c>
      <c r="HK99" s="1715">
        <f>HJ99*Assumptions!$C$57/1000</f>
        <v>18.851784034869674</v>
      </c>
      <c r="HL99" s="625">
        <f>IF(Assumptions!$C$60="Hourly",MAX(0,HH99*(HI99-HK99)),HH99*(HI99-HK99))</f>
        <v>945370.16646514216</v>
      </c>
      <c r="HM99" s="640">
        <f>IF(AND(Assumptions!$H$71="Yes",A99&gt;=Assumptions!$H$72,A99&lt;=Assumptions!$H$73),Assumptions!$H$74*Assumptions!$C$9*1000,0)</f>
        <v>0</v>
      </c>
      <c r="HN99" s="530"/>
      <c r="HO99" s="545"/>
      <c r="HP99" s="545"/>
      <c r="HQ99" s="545"/>
      <c r="HR99" s="545"/>
      <c r="HS99" s="545"/>
      <c r="HT99" s="545"/>
      <c r="HU99" s="545"/>
      <c r="HV99" s="545"/>
      <c r="HW99" s="545"/>
      <c r="HX99" s="545"/>
      <c r="HY99" s="545"/>
      <c r="HZ99" s="545"/>
      <c r="IA99" s="545"/>
      <c r="IB99" s="545"/>
      <c r="IC99" s="545"/>
      <c r="ID99" s="545"/>
      <c r="IE99" s="545"/>
      <c r="IF99" s="545"/>
      <c r="IG99" s="545"/>
      <c r="IH99" s="545"/>
      <c r="II99" s="1464"/>
      <c r="IJ99" s="1463"/>
      <c r="IK99" s="1463"/>
    </row>
    <row r="100" spans="1:245">
      <c r="A100" s="177">
        <f t="shared" si="295"/>
        <v>39173</v>
      </c>
      <c r="B100" s="349">
        <f t="shared" si="296"/>
        <v>2007</v>
      </c>
      <c r="C100" s="15">
        <f t="shared" si="344"/>
        <v>4</v>
      </c>
      <c r="D100" s="612" t="str">
        <f t="shared" si="297"/>
        <v/>
      </c>
      <c r="E100" s="609">
        <f t="shared" si="345"/>
        <v>39173</v>
      </c>
      <c r="F100" s="614">
        <f t="shared" si="346"/>
        <v>39202</v>
      </c>
      <c r="G100" s="1349">
        <v>0</v>
      </c>
      <c r="H100" s="152">
        <f t="shared" si="341"/>
        <v>1</v>
      </c>
      <c r="I100" s="154">
        <f>IF(Assumptions!$L$25=4,VLOOKUP($A100,'Henwood Reference'!$E$9:$R$320,10),(VLOOKUP($A100,PriceTable,2,0)+IF(BasisNumber&lt;&gt;1,VLOOKUP($A100,BasisTable,2,0),0)+I$1)/(1-I$2))</f>
        <v>34.564526082400654</v>
      </c>
      <c r="J100" s="154">
        <f>IF(Assumptions!$L$25=4,VLOOKUP($A100,'Henwood Reference'!$E$9:$R$320,10),(VLOOKUP($A100,PriceTable,3,0)+IF(BasisNumber&lt;&gt;1,VLOOKUP($A100,BasisTable,2,0),0)+J$1)/(1-J$2))</f>
        <v>34.564526082400654</v>
      </c>
      <c r="K100" s="154">
        <f>IF(Assumptions!$L$25=4,VLOOKUP($A100,'Henwood Reference'!$E$9:$R$320,10),(VLOOKUP($A100,PriceTable,4,0)+IF(BasisNumber&lt;&gt;1,VLOOKUP($A100,BasisTable,2,0),0)+K$1)/(1-K$2))</f>
        <v>34.564526082400654</v>
      </c>
      <c r="L100" s="474">
        <f>IF(Assumptions!$L$25=4,VLOOKUP($A100,'Henwood Reference'!$E$9:$R$320,10),(VLOOKUP($A100,PriceTableWeekend,2,0)+IF(BasisNumber&lt;&gt;1,VLOOKUP($A100,BasisTable,2,0),0)+L$1)/(1-L$2))</f>
        <v>34.564526082400654</v>
      </c>
      <c r="M100" s="154">
        <f>IF(Assumptions!$L$25=4,VLOOKUP($A100,'Henwood Reference'!$E$9:$R$320,10),(VLOOKUP($A100,PriceTableWeekend,3,0)+IF(BasisNumber&lt;&gt;1,VLOOKUP($A100,BasisTable,2,0),0)+M$1)/(1-M$2))</f>
        <v>34.564526082400654</v>
      </c>
      <c r="N100" s="156">
        <f>IF(Assumptions!$L$25=4,VLOOKUP($A100,'Henwood Reference'!$E$9:$R$320,10),(VLOOKUP($A100,PriceTableWeekend,4,0)+IF(BasisNumber&lt;&gt;1,VLOOKUP($A100,BasisTable,2,0),0)+N$1)/(1-N$2))</f>
        <v>34.564526082400654</v>
      </c>
      <c r="O100" s="154">
        <f>IF(Assumptions!$L$25=4,VLOOKUP($A100,'Henwood Reference'!$E$9:$R$320,11),(VLOOKUP($A100,PriceTableWeekend,6,0)+IF(BasisNumber&lt;&gt;1,VLOOKUP($A100,BasisTable,3,0),0)+O$1)/(1-O$2))</f>
        <v>22.614289607578137</v>
      </c>
      <c r="P100" s="154">
        <f>IF(Assumptions!$L$25=4,VLOOKUP($A100,'Henwood Reference'!$E$9:$R$320,11),(VLOOKUP($A100,PriceTableWeekend,7,0)+IF(BasisNumber&lt;&gt;1,VLOOKUP($A100,BasisTable,3,0),0)+P$1)/(1-P$2))</f>
        <v>22.614289607578137</v>
      </c>
      <c r="Q100" s="156">
        <f>IF(Assumptions!$L$25=4,VLOOKUP($A100,'Henwood Reference'!$E$9:$R$320,11),(VLOOKUP($A100,PriceTableWeekend,8,0)+IF(BasisNumber&lt;&gt;1,VLOOKUP($A100,BasisTable,3,0),0)+Q$1)/(1-Q$2))</f>
        <v>22.614289607578137</v>
      </c>
      <c r="R100" s="154">
        <f>IF(Assumptions!$L$25=4,VLOOKUP($A100,'Henwood Reference'!$E$9:$R$320,11),(VLOOKUP($A100,PriceTable,6,0)+IF(BasisNumber&lt;&gt;1,VLOOKUP($A100,BasisTable,3,0),0)+R$1)/(1-R$2))</f>
        <v>22.614289607578137</v>
      </c>
      <c r="S100" s="154">
        <f>IF(Assumptions!$L$25=4,VLOOKUP($A100,'Henwood Reference'!$E$9:$R$320,11),(VLOOKUP($A100,PriceTable,7,0)+IF(BasisNumber&lt;&gt;1,VLOOKUP($A100,BasisTable,3,0),0)+S$1)/(1-S$2))</f>
        <v>22.614289607578137</v>
      </c>
      <c r="T100" s="155">
        <f>IF(Assumptions!$L$25=4,VLOOKUP($A100,'Henwood Reference'!$E$9:$R$320,11),(VLOOKUP($A100,PriceTable,8,0)+IF(BasisNumber&lt;&gt;1,VLOOKUP($A100,BasisTable,3,0),0)+T$1)/(1-T$2))</f>
        <v>22.614289607578137</v>
      </c>
      <c r="U100" s="173">
        <f t="shared" si="298"/>
        <v>0.13500000000000001</v>
      </c>
      <c r="V100" s="173">
        <f t="shared" si="299"/>
        <v>0.14499999999999999</v>
      </c>
      <c r="W100" s="174">
        <f t="shared" si="300"/>
        <v>0.155</v>
      </c>
      <c r="X100" s="173">
        <f t="shared" si="301"/>
        <v>0.13500000000000001</v>
      </c>
      <c r="Y100" s="173">
        <f t="shared" si="302"/>
        <v>0.14499999999999999</v>
      </c>
      <c r="Z100" s="174">
        <f t="shared" si="303"/>
        <v>0.155</v>
      </c>
      <c r="AA100" s="173">
        <f t="shared" si="304"/>
        <v>0.09</v>
      </c>
      <c r="AB100" s="173">
        <f t="shared" si="305"/>
        <v>0.11</v>
      </c>
      <c r="AC100" s="174">
        <f t="shared" si="306"/>
        <v>0.13</v>
      </c>
      <c r="AD100" s="173">
        <f t="shared" si="307"/>
        <v>0.09</v>
      </c>
      <c r="AE100" s="173">
        <f t="shared" si="308"/>
        <v>0.11</v>
      </c>
      <c r="AF100" s="174">
        <f t="shared" si="309"/>
        <v>0.13</v>
      </c>
      <c r="AG100" s="173">
        <f t="shared" si="310"/>
        <v>-0.1</v>
      </c>
      <c r="AH100" s="173">
        <f t="shared" si="311"/>
        <v>0.65</v>
      </c>
      <c r="AI100" s="174">
        <f t="shared" si="312"/>
        <v>0.1</v>
      </c>
      <c r="AJ100" s="173">
        <f t="shared" si="313"/>
        <v>-0.1</v>
      </c>
      <c r="AK100" s="173">
        <f t="shared" si="314"/>
        <v>0.65</v>
      </c>
      <c r="AL100" s="174">
        <f t="shared" si="315"/>
        <v>0.1</v>
      </c>
      <c r="AM100" s="173">
        <f t="shared" si="316"/>
        <v>-0.01</v>
      </c>
      <c r="AN100" s="173">
        <f t="shared" si="317"/>
        <v>0.16</v>
      </c>
      <c r="AO100" s="174">
        <f t="shared" si="318"/>
        <v>0.01</v>
      </c>
      <c r="AP100" s="173">
        <f t="shared" si="319"/>
        <v>-0.01</v>
      </c>
      <c r="AQ100" s="173">
        <f t="shared" si="320"/>
        <v>0.16</v>
      </c>
      <c r="AR100" s="175">
        <f t="shared" si="321"/>
        <v>0.01</v>
      </c>
      <c r="AS100" s="521">
        <f t="shared" si="349"/>
        <v>0.5</v>
      </c>
      <c r="AT100" s="349">
        <f t="shared" si="347"/>
        <v>21</v>
      </c>
      <c r="AU100" s="159">
        <f t="shared" si="240"/>
        <v>4</v>
      </c>
      <c r="AV100" s="159">
        <f t="shared" si="241"/>
        <v>5</v>
      </c>
      <c r="AW100" s="159">
        <f t="shared" si="350"/>
        <v>0</v>
      </c>
      <c r="AX100" s="15">
        <f t="shared" si="348"/>
        <v>30</v>
      </c>
      <c r="AY100" s="607">
        <f>IF(E100="",0,MIN((1-(1-VLOOKUP(B100,MAIN!$AA$7:$AM$28,C100+1))*(1-VLOOKUP(B100,MAIN!$AA$33:$AM$54,C100+1))),1))</f>
        <v>0.127</v>
      </c>
      <c r="AZ100" s="337">
        <v>43999.199999999997</v>
      </c>
      <c r="BA100" s="509">
        <v>8380.7999999999993</v>
      </c>
      <c r="BB100" s="509">
        <v>10476</v>
      </c>
      <c r="BC100" s="511">
        <v>31428</v>
      </c>
      <c r="BD100" s="153">
        <v>0.873</v>
      </c>
      <c r="BE100" s="474">
        <v>0.873</v>
      </c>
      <c r="BF100" s="474">
        <v>0.873</v>
      </c>
      <c r="BG100" s="515">
        <v>0.87300000650435683</v>
      </c>
      <c r="BH100" s="262">
        <v>175996.79999999999</v>
      </c>
      <c r="BI100" s="509">
        <v>33523.199999999997</v>
      </c>
      <c r="BJ100" s="509">
        <v>41904</v>
      </c>
      <c r="BK100" s="511">
        <v>125712</v>
      </c>
      <c r="BL100" s="153">
        <v>0.873</v>
      </c>
      <c r="BM100" s="474">
        <v>0.873</v>
      </c>
      <c r="BN100" s="474">
        <v>0.873</v>
      </c>
      <c r="BO100" s="474">
        <v>0.87300000650435683</v>
      </c>
      <c r="BP100" s="261">
        <f t="shared" si="324"/>
        <v>62856</v>
      </c>
      <c r="BQ100" s="578">
        <f t="shared" si="325"/>
        <v>94284</v>
      </c>
      <c r="BR100" s="259">
        <f t="shared" si="326"/>
        <v>251424</v>
      </c>
      <c r="BS100" s="578">
        <f t="shared" si="327"/>
        <v>377136</v>
      </c>
      <c r="BT100" s="216">
        <f t="shared" si="328"/>
        <v>6.9623545516769338</v>
      </c>
      <c r="BU100" s="218">
        <f t="shared" si="243"/>
        <v>34.564526082400654</v>
      </c>
      <c r="BV100" s="216">
        <f t="shared" si="244"/>
        <v>34.564526082400654</v>
      </c>
      <c r="BW100" s="216">
        <f t="shared" si="245"/>
        <v>22.614289607578137</v>
      </c>
      <c r="BX100" s="216">
        <f t="shared" si="329"/>
        <v>22.614289776067722</v>
      </c>
      <c r="BY100" s="216">
        <f t="shared" si="246"/>
        <v>32.572820003263566</v>
      </c>
      <c r="BZ100" s="216">
        <f t="shared" si="247"/>
        <v>29.253309927531618</v>
      </c>
      <c r="CA100" s="264">
        <f t="shared" si="248"/>
        <v>34.564526082400654</v>
      </c>
      <c r="CB100" s="216">
        <f t="shared" si="249"/>
        <v>34.564526082400654</v>
      </c>
      <c r="CC100" s="216">
        <f t="shared" si="250"/>
        <v>22.614289607578137</v>
      </c>
      <c r="CD100" s="216">
        <f t="shared" si="330"/>
        <v>22.614289776067722</v>
      </c>
      <c r="CE100" s="216">
        <f t="shared" si="251"/>
        <v>32.572820003263566</v>
      </c>
      <c r="CF100" s="571">
        <f t="shared" si="252"/>
        <v>29.253309927531618</v>
      </c>
      <c r="CG100" s="573">
        <f t="shared" si="253"/>
        <v>0.14499999999999999</v>
      </c>
      <c r="CH100" s="219">
        <f t="shared" si="254"/>
        <v>0.14499999999999999</v>
      </c>
      <c r="CI100" s="219">
        <f t="shared" si="255"/>
        <v>0.11</v>
      </c>
      <c r="CJ100" s="219">
        <f t="shared" si="256"/>
        <v>0.14101128693450665</v>
      </c>
      <c r="CK100" s="219">
        <f t="shared" si="257"/>
        <v>0.14101128693450665</v>
      </c>
      <c r="CL100" s="219">
        <f t="shared" si="258"/>
        <v>0.11</v>
      </c>
      <c r="CM100" s="219">
        <f t="shared" si="259"/>
        <v>0.12183677773095472</v>
      </c>
      <c r="CN100" s="569">
        <f t="shared" si="260"/>
        <v>0.12183677773095472</v>
      </c>
      <c r="CO100" s="264">
        <f t="shared" si="343"/>
        <v>17.915427688703989</v>
      </c>
      <c r="CP100" s="216">
        <f t="shared" si="331"/>
        <v>17.915427688703989</v>
      </c>
      <c r="CQ100" s="216">
        <f t="shared" ca="1" si="192"/>
        <v>17.915427688703989</v>
      </c>
      <c r="CR100" s="216">
        <f t="shared" ca="1" si="193"/>
        <v>17.915427688703989</v>
      </c>
      <c r="CS100" s="1626">
        <f t="shared" ca="1" si="194"/>
        <v>17.915427688703986</v>
      </c>
      <c r="CT100" s="216">
        <f t="shared" si="332"/>
        <v>17.915427688703989</v>
      </c>
      <c r="CU100" s="575">
        <f t="shared" si="261"/>
        <v>0.17</v>
      </c>
      <c r="CV100" s="154">
        <f t="shared" si="262"/>
        <v>0.5</v>
      </c>
      <c r="CW100" s="216">
        <f>IF(OR($BQ100,$BS100),SpreadOptPowerMargin,0)*((1+Assumptions!$C$26)^($B100-YEAR(Assumptions!$C$17)))</f>
        <v>1.948377888</v>
      </c>
      <c r="CX100" s="216">
        <f>IF(OR($BQ100,$BS100),SpreadOptPowerMargin,0)*((1+Assumptions!$C$26)^($B100-YEAR(Assumptions!$C$17)))</f>
        <v>1.948377888</v>
      </c>
      <c r="CY100" s="216">
        <f>IF(OR($BQ100,$BS100),SpreadOptPowerMargin,0)*((1+Assumptions!$C$26)^($B100-YEAR(Assumptions!$C$17)))</f>
        <v>1.948377888</v>
      </c>
      <c r="CZ100" s="216">
        <f>IF(OR($BQ100,$BS100),SpreadOptPowerMargin,0)*((1+Assumptions!$C$26)^($B100-YEAR(Assumptions!$C$17)))</f>
        <v>1.948377888</v>
      </c>
      <c r="DA100" s="440">
        <f t="shared" si="263"/>
        <v>1.9483778879999998</v>
      </c>
      <c r="DB100" s="479">
        <f t="shared" si="264"/>
        <v>0.14499999999999999</v>
      </c>
      <c r="DC100" s="479">
        <f t="shared" si="265"/>
        <v>0.14499999999999999</v>
      </c>
      <c r="DD100" s="479">
        <f t="shared" si="266"/>
        <v>0.11</v>
      </c>
      <c r="DE100" s="479">
        <f t="shared" si="267"/>
        <v>0.11</v>
      </c>
      <c r="DF100" s="479">
        <f t="shared" si="268"/>
        <v>0.12183677773095472</v>
      </c>
      <c r="DG100" s="574">
        <f t="shared" si="269"/>
        <v>0.12183677773095472</v>
      </c>
      <c r="DH100" s="216">
        <f t="shared" si="270"/>
        <v>15.081777442024901</v>
      </c>
      <c r="DI100" s="216">
        <f t="shared" si="271"/>
        <v>15.081777442024901</v>
      </c>
      <c r="DJ100" s="216">
        <f t="shared" ca="1" si="195"/>
        <v>4.6210028213949172</v>
      </c>
      <c r="DK100" s="216">
        <f t="shared" ca="1" si="196"/>
        <v>4.621002940892172</v>
      </c>
      <c r="DL100" s="216">
        <f t="shared" ca="1" si="197"/>
        <v>10.081602623875856</v>
      </c>
      <c r="DM100" s="216"/>
      <c r="DN100" s="216"/>
      <c r="DO100" s="216"/>
      <c r="DP100" s="216"/>
      <c r="DQ100" s="216"/>
      <c r="DR100" s="216"/>
      <c r="DS100" s="216"/>
      <c r="DT100" s="216"/>
      <c r="DU100" s="216"/>
      <c r="DV100" s="216"/>
      <c r="DW100" s="1371">
        <f t="shared" si="272"/>
        <v>4.6210028213949172</v>
      </c>
      <c r="DX100" s="216">
        <f t="shared" si="273"/>
        <v>4.621002940892172</v>
      </c>
      <c r="DY100" s="440">
        <f t="shared" si="274"/>
        <v>10.432544317132882</v>
      </c>
      <c r="DZ100" s="180">
        <f t="shared" si="275"/>
        <v>663586.14202714199</v>
      </c>
      <c r="EA100" s="180">
        <f t="shared" si="276"/>
        <v>126397.36038612228</v>
      </c>
      <c r="EB100" s="180">
        <f t="shared" ca="1" si="198"/>
        <v>48409.625556933155</v>
      </c>
      <c r="EC100" s="180">
        <f t="shared" ca="1" si="199"/>
        <v>145228.88042635919</v>
      </c>
      <c r="ED100" s="180">
        <f t="shared" ca="1" si="200"/>
        <v>950533.82178951125</v>
      </c>
      <c r="EE100" s="581">
        <f t="shared" si="277"/>
        <v>646819.94167424866</v>
      </c>
      <c r="EF100" s="554">
        <f t="shared" si="278"/>
        <v>123203.7984141426</v>
      </c>
      <c r="EG100" s="554">
        <f t="shared" ca="1" si="201"/>
        <v>28814.070707437571</v>
      </c>
      <c r="EH100" s="554">
        <f t="shared" ca="1" si="202"/>
        <v>86442.217417603388</v>
      </c>
      <c r="EI100" s="561">
        <f t="shared" ca="1" si="279"/>
        <v>885280.02821343252</v>
      </c>
      <c r="EJ100" s="581">
        <f t="shared" si="333"/>
        <v>16766.200352893327</v>
      </c>
      <c r="EK100" s="554">
        <f t="shared" si="334"/>
        <v>3193.5619719796814</v>
      </c>
      <c r="EL100" s="554">
        <f t="shared" ca="1" si="203"/>
        <v>19595.554849495584</v>
      </c>
      <c r="EM100" s="554">
        <f t="shared" ca="1" si="204"/>
        <v>58786.663008755801</v>
      </c>
      <c r="EN100" s="561">
        <f t="shared" ca="1" si="205"/>
        <v>65253.793576078722</v>
      </c>
      <c r="EO100" s="180">
        <f t="shared" si="280"/>
        <v>2654344.568108568</v>
      </c>
      <c r="EP100" s="180">
        <f t="shared" si="281"/>
        <v>505589.44154448912</v>
      </c>
      <c r="EQ100" s="180">
        <f t="shared" si="282"/>
        <v>193638.50222773262</v>
      </c>
      <c r="ER100" s="180">
        <f t="shared" si="283"/>
        <v>580915.52170543675</v>
      </c>
      <c r="ES100" s="180">
        <f t="shared" si="284"/>
        <v>3934488.0335862264</v>
      </c>
      <c r="ET100" s="1482">
        <f t="shared" ca="1" si="206"/>
        <v>2587279.7666969947</v>
      </c>
      <c r="EU100" s="180">
        <f t="shared" ca="1" si="207"/>
        <v>492815.19365657039</v>
      </c>
      <c r="EV100" s="180">
        <f t="shared" ca="1" si="208"/>
        <v>115256.28282975029</v>
      </c>
      <c r="EW100" s="180">
        <f t="shared" ca="1" si="209"/>
        <v>345768.86967041355</v>
      </c>
      <c r="EX100" s="555">
        <f t="shared" ca="1" si="182"/>
        <v>3541120.1128537287</v>
      </c>
      <c r="EY100" s="180">
        <f t="shared" ca="1" si="210"/>
        <v>67064.801411573309</v>
      </c>
      <c r="EZ100" s="180">
        <f t="shared" ca="1" si="211"/>
        <v>12774.247887918726</v>
      </c>
      <c r="FA100" s="180">
        <f t="shared" ca="1" si="212"/>
        <v>78382.219397982335</v>
      </c>
      <c r="FB100" s="180">
        <f t="shared" ca="1" si="213"/>
        <v>235146.6520350232</v>
      </c>
      <c r="FC100" s="180">
        <f t="shared" ca="1" si="214"/>
        <v>393367.9207324977</v>
      </c>
      <c r="FD100" s="262">
        <f>IF(AX100,IF(VLOOKUP(C100,MAIN!$L$17:$M$28,2)="Yes",VLOOKUP(CALC!B100,MAIN!$H$17:$I$20,2),0),0)</f>
        <v>0</v>
      </c>
      <c r="FE100" s="623">
        <f t="shared" si="285"/>
        <v>0</v>
      </c>
      <c r="FF100" s="535">
        <f t="shared" si="286"/>
        <v>0</v>
      </c>
      <c r="FG100" s="535">
        <f t="shared" si="287"/>
        <v>0</v>
      </c>
      <c r="FH100" s="624">
        <f t="shared" si="288"/>
        <v>0</v>
      </c>
      <c r="FI100" s="632">
        <f>IF(AX100,VLOOKUP(CALC!B100,MAIN!$H$17:$K$20,4),0)</f>
        <v>0</v>
      </c>
      <c r="FJ100" s="535">
        <f t="shared" si="289"/>
        <v>0</v>
      </c>
      <c r="FK100" s="648">
        <f t="shared" si="335"/>
        <v>0</v>
      </c>
      <c r="FL100" s="530">
        <f t="shared" ca="1" si="215"/>
        <v>0</v>
      </c>
      <c r="FM100" s="530">
        <f t="shared" ca="1" si="216"/>
        <v>0</v>
      </c>
      <c r="FN100" s="530">
        <f t="shared" ca="1" si="217"/>
        <v>0</v>
      </c>
      <c r="FO100" s="622">
        <f t="shared" ca="1" si="218"/>
        <v>0</v>
      </c>
      <c r="FP100" s="530">
        <f t="shared" ca="1" si="219"/>
        <v>0</v>
      </c>
      <c r="FQ100" s="530">
        <f t="shared" ca="1" si="220"/>
        <v>0</v>
      </c>
      <c r="FR100" s="530">
        <f t="shared" ca="1" si="221"/>
        <v>0</v>
      </c>
      <c r="FS100" s="625">
        <f t="shared" ca="1" si="222"/>
        <v>0</v>
      </c>
      <c r="FT100" s="640">
        <f ca="1">IF(AND(Assumptions!$H$71="Yes",A100&gt;=Assumptions!$H$72,A100&lt;=Assumptions!$H$73),0,IF(AND($A100&gt;=Assumptions!$C$17,$A100&lt;=Assumptions!$C$18),MAX(AZ100*(1+VLOOKUP($C100,WeatherCapacityAdjustment,2))-FL100,0),0))</f>
        <v>43999.199999999997</v>
      </c>
      <c r="FU100" s="530">
        <f ca="1">IF(AND(Assumptions!$H$71="Yes",A100&gt;=Assumptions!$H$72,A100&lt;=Assumptions!$H$73),0,IF(AND($A100&gt;=Assumptions!$C$17,$A100&lt;=Assumptions!$C$18),MAX(BA100*(1+VLOOKUP($C100,WeatherCapacityAdjustment,2))-FM100,0),0))</f>
        <v>8380.7999999999993</v>
      </c>
      <c r="FV100" s="530">
        <f ca="1">IF(AND(Assumptions!$H$71="Yes",A100&gt;=Assumptions!$H$72,A100&lt;=Assumptions!$H$73),0,IF(AND($A100&gt;=Assumptions!$C$17,$A100&lt;=Assumptions!$C$18),MAX(BB100*(1+VLOOKUP($C100,WeatherCapacityAdjustment,2))-FN100,0),0))</f>
        <v>10476</v>
      </c>
      <c r="FW100" s="622">
        <f ca="1">IF(AND(Assumptions!$H$71="Yes",A100&gt;=Assumptions!$H$72,A100&lt;=Assumptions!$H$73),0,IF(AND($A100&gt;=Assumptions!$C$17,$A100&lt;=Assumptions!$C$18),MAX(BC100*(1+VLOOKUP($C100,WeatherCapacityAdjustment,3))-FO100,0),0))</f>
        <v>31428</v>
      </c>
      <c r="FX100" s="621">
        <f ca="1">IF(AND(Assumptions!$H$71="Yes",A100&gt;=Assumptions!$H$72,A100&lt;=Assumptions!$H$73),0,IF(ET100&gt;0,MAX(BH100*(1+VLOOKUP($C100,WeatherCapacityAdjustment,2))-FP100,0),0))</f>
        <v>175996.79999999999</v>
      </c>
      <c r="FY100" s="530">
        <f ca="1">IF(AND(Assumptions!$H$71="Yes",A100&gt;=Assumptions!$H$72,A100&lt;=Assumptions!$H$73),0,IF(EU100&gt;0,MAX(BI100*(1+VLOOKUP($C100,WeatherCapacityAdjustment,3))-FQ100,0),0))</f>
        <v>33523.199999999997</v>
      </c>
      <c r="FZ100" s="530">
        <f ca="1">IF(AND(Assumptions!$H$71="Yes",A100&gt;=Assumptions!$H$72,A100&lt;=Assumptions!$H$73),0,IF(EV100&gt;0,MAX(BJ100*(1+VLOOKUP($C100,WeatherCapacityAdjustment,2))-FR100,0),0))</f>
        <v>41904</v>
      </c>
      <c r="GA100" s="622">
        <f ca="1">IF(AND(Assumptions!$H$71="Yes",A100&gt;=Assumptions!$H$72,A100&lt;=Assumptions!$H$73),0,IF(EW100&gt;0,MAX(BK100*(1+VLOOKUP($C100,WeatherCapacityAdjustment,2))-FS100,0),0))</f>
        <v>125712</v>
      </c>
      <c r="GB100" s="530">
        <f t="shared" ca="1" si="290"/>
        <v>471420</v>
      </c>
      <c r="GC100" s="545">
        <f t="shared" ca="1" si="291"/>
        <v>29.253309927531618</v>
      </c>
      <c r="GD100" s="530">
        <f t="shared" ca="1" si="223"/>
        <v>13790595.366036955</v>
      </c>
      <c r="GE100" s="1485">
        <f t="shared" ca="1" si="224"/>
        <v>670825.00296000007</v>
      </c>
      <c r="GF100" s="1776">
        <f t="shared" ca="1" si="225"/>
        <v>2683300.0118400003</v>
      </c>
      <c r="GG100" s="545">
        <f t="shared" si="190"/>
        <v>2.5180012324354086</v>
      </c>
      <c r="GH100" s="622">
        <f t="shared" ca="1" si="191"/>
        <v>8445690.9210088346</v>
      </c>
      <c r="GI100" s="621">
        <f t="shared" ca="1" si="336"/>
        <v>471420</v>
      </c>
      <c r="GJ100" s="638">
        <f t="shared" si="292"/>
        <v>1.9483778879999998</v>
      </c>
      <c r="GK100" s="625">
        <f t="shared" ca="1" si="342"/>
        <v>918504.30396095989</v>
      </c>
      <c r="GL100" s="640">
        <f t="shared" ca="1" si="226"/>
        <v>0</v>
      </c>
      <c r="GM100" s="530">
        <f t="shared" ca="1" si="227"/>
        <v>0</v>
      </c>
      <c r="GN100" s="530">
        <f t="shared" ca="1" si="228"/>
        <v>0</v>
      </c>
      <c r="GO100" s="622">
        <f t="shared" ca="1" si="229"/>
        <v>0</v>
      </c>
      <c r="GP100" s="530">
        <f t="shared" ca="1" si="293"/>
        <v>0</v>
      </c>
      <c r="GQ100" s="545">
        <f t="shared" ca="1" si="294"/>
        <v>0</v>
      </c>
      <c r="GR100" s="625">
        <f t="shared" ca="1" si="230"/>
        <v>0</v>
      </c>
      <c r="GS100" s="640">
        <f>IF($A100&gt;=BegDate,Assumptions!$C$56*24*($A101-$A100)*(1-VLOOKUP($B100,MAIN!$AA$7:$AM$28,$C100+1))*(1-VLOOKUP($B100,MAIN!$AA$33:$AM$54,$C100+1)),0)*80/168</f>
        <v>224485.71428571429</v>
      </c>
      <c r="GT100" s="1715">
        <f t="shared" si="337"/>
        <v>34.564526082400654</v>
      </c>
      <c r="GU100" s="1715">
        <f>IF($A100&gt;=BegDate,VLOOKUP($A100,GasTable,13)+Assumptions!$C$58,0)</f>
        <v>2.5180012324354086</v>
      </c>
      <c r="GV100" s="1715">
        <f>GU100*Assumptions!$C$57/1000</f>
        <v>18.255508935156712</v>
      </c>
      <c r="GW100" s="625">
        <f>IF(Assumptions!$C$60="Hourly",MAX(0,GS100*(GT100-GV100)),GS100*(GT100-GV100))</f>
        <v>3661141.3635970186</v>
      </c>
      <c r="GX100" s="640">
        <f>IF($A100&gt;=BegDate,Assumptions!$C$56*24*($A101-$A100)*(1-VLOOKUP($B100,MAIN!$AA$7:$AM$28,$C100+1))*(1-VLOOKUP($B100,MAIN!$AA$33:$AM$54,$C100+1)),0)*16/168</f>
        <v>44897.142857142855</v>
      </c>
      <c r="GY100" s="1715">
        <f t="shared" si="338"/>
        <v>34.564526082400654</v>
      </c>
      <c r="GZ100" s="1715">
        <f>IF($A100&gt;=BegDate,VLOOKUP($A100,GasTable,13)+Assumptions!$C$58,0)</f>
        <v>2.5180012324354086</v>
      </c>
      <c r="HA100" s="1715">
        <f>GZ100*Assumptions!$C$57/1000</f>
        <v>18.255508935156712</v>
      </c>
      <c r="HB100" s="625">
        <f>IF(Assumptions!$C$60="Hourly",MAX(0,GX100*(GY100-HA100)),GX100*(GY100-HA100))</f>
        <v>732228.27271940373</v>
      </c>
      <c r="HC100" s="640">
        <f>IF($A100&gt;=BegDate,Assumptions!$C$56*24*($A101-$A100)*(1-VLOOKUP($B100,MAIN!$AA$7:$AM$28,$C100+1))*(1-VLOOKUP($B100,MAIN!$AA$33:$AM$54,$C100+1)),0)*16/168</f>
        <v>44897.142857142855</v>
      </c>
      <c r="HD100" s="1715">
        <f t="shared" si="339"/>
        <v>22.614289607578137</v>
      </c>
      <c r="HE100" s="1715">
        <f>IF($A100&gt;=BegDate,VLOOKUP($A100,GasTable,13)+Assumptions!$C$58,0)</f>
        <v>2.5180012324354086</v>
      </c>
      <c r="HF100" s="1715">
        <f>HE100*Assumptions!$C$57/1000</f>
        <v>18.255508935156712</v>
      </c>
      <c r="HG100" s="625">
        <f>IF(Assumptions!$C$60="Hourly",MAX(0,HC100*(HD100-HF100)),HC100*(HD100-HF100))</f>
        <v>195696.79853265791</v>
      </c>
      <c r="HH100" s="640">
        <f>IF($A100&gt;=BegDate,Assumptions!$C$56*24*($A101-$A100)*(1-VLOOKUP($B100,MAIN!$AA$7:$AM$28,$C100+1))*(1-VLOOKUP($B100,MAIN!$AA$33:$AM$54,$C100+1)),0)*56/168</f>
        <v>157140</v>
      </c>
      <c r="HI100" s="1715">
        <f t="shared" si="340"/>
        <v>22.614289607578137</v>
      </c>
      <c r="HJ100" s="1715">
        <f>IF($A100&gt;=BegDate,VLOOKUP($A100,GasTable,13)+Assumptions!$C$58,0)</f>
        <v>2.5180012324354086</v>
      </c>
      <c r="HK100" s="1715">
        <f>HJ100*Assumptions!$C$57/1000</f>
        <v>18.255508935156712</v>
      </c>
      <c r="HL100" s="625">
        <f>IF(Assumptions!$C$60="Hourly",MAX(0,HH100*(HI100-HK100)),HH100*(HI100-HK100))</f>
        <v>684938.79486430262</v>
      </c>
      <c r="HM100" s="640">
        <f>IF(AND(Assumptions!$H$71="Yes",A100&gt;=Assumptions!$H$72,A100&lt;=Assumptions!$H$73),Assumptions!$H$74*Assumptions!$C$9*1000,0)</f>
        <v>0</v>
      </c>
      <c r="HN100" s="530"/>
      <c r="HO100" s="545"/>
      <c r="HP100" s="545"/>
      <c r="HQ100" s="545"/>
      <c r="HR100" s="545"/>
      <c r="HS100" s="545"/>
      <c r="HT100" s="545"/>
      <c r="HU100" s="545"/>
      <c r="HV100" s="545"/>
      <c r="HW100" s="545"/>
      <c r="HX100" s="545"/>
      <c r="HY100" s="545"/>
      <c r="HZ100" s="545"/>
      <c r="IA100" s="545"/>
      <c r="IB100" s="545"/>
      <c r="IC100" s="545"/>
      <c r="ID100" s="545"/>
      <c r="IE100" s="545"/>
      <c r="IF100" s="545"/>
      <c r="IG100" s="545"/>
      <c r="IH100" s="545"/>
      <c r="II100" s="1464"/>
      <c r="IJ100" s="1463"/>
      <c r="IK100" s="1463"/>
    </row>
    <row r="101" spans="1:245">
      <c r="A101" s="177">
        <f t="shared" si="295"/>
        <v>39203</v>
      </c>
      <c r="B101" s="349">
        <f t="shared" si="296"/>
        <v>2007</v>
      </c>
      <c r="C101" s="15">
        <f t="shared" si="344"/>
        <v>5</v>
      </c>
      <c r="D101" s="612">
        <f t="shared" si="297"/>
        <v>39230</v>
      </c>
      <c r="E101" s="609">
        <f t="shared" si="345"/>
        <v>39203</v>
      </c>
      <c r="F101" s="614">
        <f t="shared" si="346"/>
        <v>39233</v>
      </c>
      <c r="G101" s="1349">
        <v>0</v>
      </c>
      <c r="H101" s="152">
        <f t="shared" si="341"/>
        <v>1</v>
      </c>
      <c r="I101" s="154">
        <f>IF(Assumptions!$L$25=4,VLOOKUP($A101,'Henwood Reference'!$E$9:$R$320,10),(VLOOKUP($A101,PriceTable,2,0)+IF(BasisNumber&lt;&gt;1,VLOOKUP($A101,BasisTable,2,0),0)+I$1)/(1-I$2))</f>
        <v>35.39135002597461</v>
      </c>
      <c r="J101" s="154">
        <f>IF(Assumptions!$L$25=4,VLOOKUP($A101,'Henwood Reference'!$E$9:$R$320,10),(VLOOKUP($A101,PriceTable,3,0)+IF(BasisNumber&lt;&gt;1,VLOOKUP($A101,BasisTable,2,0),0)+J$1)/(1-J$2))</f>
        <v>35.39135002597461</v>
      </c>
      <c r="K101" s="154">
        <f>IF(Assumptions!$L$25=4,VLOOKUP($A101,'Henwood Reference'!$E$9:$R$320,10),(VLOOKUP($A101,PriceTable,4,0)+IF(BasisNumber&lt;&gt;1,VLOOKUP($A101,BasisTable,2,0),0)+K$1)/(1-K$2))</f>
        <v>35.39135002597461</v>
      </c>
      <c r="L101" s="474">
        <f>IF(Assumptions!$L$25=4,VLOOKUP($A101,'Henwood Reference'!$E$9:$R$320,10),(VLOOKUP($A101,PriceTableWeekend,2,0)+IF(BasisNumber&lt;&gt;1,VLOOKUP($A101,BasisTable,2,0),0)+L$1)/(1-L$2))</f>
        <v>35.39135002597461</v>
      </c>
      <c r="M101" s="154">
        <f>IF(Assumptions!$L$25=4,VLOOKUP($A101,'Henwood Reference'!$E$9:$R$320,10),(VLOOKUP($A101,PriceTableWeekend,3,0)+IF(BasisNumber&lt;&gt;1,VLOOKUP($A101,BasisTable,2,0),0)+M$1)/(1-M$2))</f>
        <v>35.39135002597461</v>
      </c>
      <c r="N101" s="156">
        <f>IF(Assumptions!$L$25=4,VLOOKUP($A101,'Henwood Reference'!$E$9:$R$320,10),(VLOOKUP($A101,PriceTableWeekend,4,0)+IF(BasisNumber&lt;&gt;1,VLOOKUP($A101,BasisTable,2,0),0)+N$1)/(1-N$2))</f>
        <v>35.39135002597461</v>
      </c>
      <c r="O101" s="154">
        <f>IF(Assumptions!$L$25=4,VLOOKUP($A101,'Henwood Reference'!$E$9:$R$320,11),(VLOOKUP($A101,PriceTableWeekend,6,0)+IF(BasisNumber&lt;&gt;1,VLOOKUP($A101,BasisTable,3,0),0)+O$1)/(1-O$2))</f>
        <v>21.465144465661794</v>
      </c>
      <c r="P101" s="154">
        <f>IF(Assumptions!$L$25=4,VLOOKUP($A101,'Henwood Reference'!$E$9:$R$320,11),(VLOOKUP($A101,PriceTableWeekend,7,0)+IF(BasisNumber&lt;&gt;1,VLOOKUP($A101,BasisTable,3,0),0)+P$1)/(1-P$2))</f>
        <v>21.465144465661794</v>
      </c>
      <c r="Q101" s="156">
        <f>IF(Assumptions!$L$25=4,VLOOKUP($A101,'Henwood Reference'!$E$9:$R$320,11),(VLOOKUP($A101,PriceTableWeekend,8,0)+IF(BasisNumber&lt;&gt;1,VLOOKUP($A101,BasisTable,3,0),0)+Q$1)/(1-Q$2))</f>
        <v>21.465144465661794</v>
      </c>
      <c r="R101" s="154">
        <f>IF(Assumptions!$L$25=4,VLOOKUP($A101,'Henwood Reference'!$E$9:$R$320,11),(VLOOKUP($A101,PriceTable,6,0)+IF(BasisNumber&lt;&gt;1,VLOOKUP($A101,BasisTable,3,0),0)+R$1)/(1-R$2))</f>
        <v>21.465144465661794</v>
      </c>
      <c r="S101" s="154">
        <f>IF(Assumptions!$L$25=4,VLOOKUP($A101,'Henwood Reference'!$E$9:$R$320,11),(VLOOKUP($A101,PriceTable,7,0)+IF(BasisNumber&lt;&gt;1,VLOOKUP($A101,BasisTable,3,0),0)+S$1)/(1-S$2))</f>
        <v>21.465144465661794</v>
      </c>
      <c r="T101" s="155">
        <f>IF(Assumptions!$L$25=4,VLOOKUP($A101,'Henwood Reference'!$E$9:$R$320,11),(VLOOKUP($A101,PriceTable,8,0)+IF(BasisNumber&lt;&gt;1,VLOOKUP($A101,BasisTable,3,0),0)+T$1)/(1-T$2))</f>
        <v>21.465144465661794</v>
      </c>
      <c r="U101" s="173">
        <f t="shared" si="298"/>
        <v>0.13500000000000001</v>
      </c>
      <c r="V101" s="173">
        <f t="shared" si="299"/>
        <v>0.14499999999999999</v>
      </c>
      <c r="W101" s="174">
        <f t="shared" si="300"/>
        <v>0.155</v>
      </c>
      <c r="X101" s="173">
        <f t="shared" si="301"/>
        <v>0.13500000000000001</v>
      </c>
      <c r="Y101" s="173">
        <f t="shared" si="302"/>
        <v>0.14499999999999999</v>
      </c>
      <c r="Z101" s="174">
        <f t="shared" si="303"/>
        <v>0.155</v>
      </c>
      <c r="AA101" s="173">
        <f t="shared" si="304"/>
        <v>0.09</v>
      </c>
      <c r="AB101" s="173">
        <f t="shared" si="305"/>
        <v>0.11</v>
      </c>
      <c r="AC101" s="174">
        <f t="shared" si="306"/>
        <v>0.13</v>
      </c>
      <c r="AD101" s="173">
        <f t="shared" si="307"/>
        <v>0.09</v>
      </c>
      <c r="AE101" s="173">
        <f t="shared" si="308"/>
        <v>0.11</v>
      </c>
      <c r="AF101" s="174">
        <f t="shared" si="309"/>
        <v>0.13</v>
      </c>
      <c r="AG101" s="173">
        <f t="shared" si="310"/>
        <v>-0.1</v>
      </c>
      <c r="AH101" s="173">
        <f t="shared" si="311"/>
        <v>0.65</v>
      </c>
      <c r="AI101" s="174">
        <f t="shared" si="312"/>
        <v>0.1</v>
      </c>
      <c r="AJ101" s="173">
        <f t="shared" si="313"/>
        <v>-0.1</v>
      </c>
      <c r="AK101" s="173">
        <f t="shared" si="314"/>
        <v>0.65</v>
      </c>
      <c r="AL101" s="174">
        <f t="shared" si="315"/>
        <v>0.1</v>
      </c>
      <c r="AM101" s="173">
        <f t="shared" si="316"/>
        <v>-0.01</v>
      </c>
      <c r="AN101" s="173">
        <f t="shared" si="317"/>
        <v>0.16</v>
      </c>
      <c r="AO101" s="174">
        <f t="shared" si="318"/>
        <v>0.01</v>
      </c>
      <c r="AP101" s="173">
        <f t="shared" si="319"/>
        <v>-0.01</v>
      </c>
      <c r="AQ101" s="173">
        <f t="shared" si="320"/>
        <v>0.16</v>
      </c>
      <c r="AR101" s="175">
        <f t="shared" si="321"/>
        <v>0.01</v>
      </c>
      <c r="AS101" s="521">
        <f t="shared" si="349"/>
        <v>0.5</v>
      </c>
      <c r="AT101" s="349">
        <f t="shared" si="347"/>
        <v>22</v>
      </c>
      <c r="AU101" s="159">
        <f t="shared" si="240"/>
        <v>4</v>
      </c>
      <c r="AV101" s="159">
        <f t="shared" si="241"/>
        <v>4</v>
      </c>
      <c r="AW101" s="159">
        <f t="shared" si="350"/>
        <v>1</v>
      </c>
      <c r="AX101" s="15">
        <f t="shared" si="348"/>
        <v>31</v>
      </c>
      <c r="AY101" s="607">
        <f>IF(E101="",0,MIN((1-(1-VLOOKUP(B101,MAIN!$AA$7:$AM$28,C101+1))*(1-VLOOKUP(B101,MAIN!$AA$33:$AM$54,C101+1))),1))</f>
        <v>3.0000000000000027E-2</v>
      </c>
      <c r="AZ101" s="337">
        <v>51216</v>
      </c>
      <c r="BA101" s="509">
        <v>9312</v>
      </c>
      <c r="BB101" s="509">
        <v>11640</v>
      </c>
      <c r="BC101" s="511">
        <v>36084</v>
      </c>
      <c r="BD101" s="153">
        <v>0.97</v>
      </c>
      <c r="BE101" s="474">
        <v>0.97</v>
      </c>
      <c r="BF101" s="474">
        <v>0.97</v>
      </c>
      <c r="BG101" s="515">
        <v>0.97</v>
      </c>
      <c r="BH101" s="262">
        <v>204864</v>
      </c>
      <c r="BI101" s="509">
        <v>37248</v>
      </c>
      <c r="BJ101" s="509">
        <v>46560</v>
      </c>
      <c r="BK101" s="511">
        <v>144336</v>
      </c>
      <c r="BL101" s="153">
        <v>0.97</v>
      </c>
      <c r="BM101" s="474">
        <v>0.97</v>
      </c>
      <c r="BN101" s="474">
        <v>0.97</v>
      </c>
      <c r="BO101" s="474">
        <v>0.97</v>
      </c>
      <c r="BP101" s="261">
        <f t="shared" si="324"/>
        <v>72168</v>
      </c>
      <c r="BQ101" s="578">
        <f t="shared" si="325"/>
        <v>108252</v>
      </c>
      <c r="BR101" s="259">
        <f t="shared" si="326"/>
        <v>288672</v>
      </c>
      <c r="BS101" s="578">
        <f t="shared" si="327"/>
        <v>433008</v>
      </c>
      <c r="BT101" s="216">
        <f t="shared" si="328"/>
        <v>7.0444900752908968</v>
      </c>
      <c r="BU101" s="218">
        <f t="shared" si="243"/>
        <v>35.39135002597461</v>
      </c>
      <c r="BV101" s="216">
        <f t="shared" si="244"/>
        <v>35.39135002597461</v>
      </c>
      <c r="BW101" s="216">
        <f t="shared" si="245"/>
        <v>21.465144465661794</v>
      </c>
      <c r="BX101" s="216">
        <f t="shared" si="329"/>
        <v>21.465144465661794</v>
      </c>
      <c r="BY101" s="216">
        <f t="shared" si="246"/>
        <v>33.145187838827383</v>
      </c>
      <c r="BZ101" s="216">
        <f t="shared" si="247"/>
        <v>29.251840047772188</v>
      </c>
      <c r="CA101" s="264">
        <f t="shared" si="248"/>
        <v>35.39135002597461</v>
      </c>
      <c r="CB101" s="216">
        <f t="shared" si="249"/>
        <v>35.39135002597461</v>
      </c>
      <c r="CC101" s="216">
        <f t="shared" si="250"/>
        <v>21.465144465661794</v>
      </c>
      <c r="CD101" s="216">
        <f t="shared" si="330"/>
        <v>21.465144465661794</v>
      </c>
      <c r="CE101" s="216">
        <f t="shared" si="251"/>
        <v>33.145187838827383</v>
      </c>
      <c r="CF101" s="571">
        <f t="shared" si="252"/>
        <v>29.251840047772188</v>
      </c>
      <c r="CG101" s="573">
        <f t="shared" si="253"/>
        <v>0.14499999999999999</v>
      </c>
      <c r="CH101" s="219">
        <f t="shared" si="254"/>
        <v>0.14499999999999999</v>
      </c>
      <c r="CI101" s="219">
        <f t="shared" si="255"/>
        <v>0.11</v>
      </c>
      <c r="CJ101" s="219">
        <f t="shared" si="256"/>
        <v>0.14140085410435152</v>
      </c>
      <c r="CK101" s="219">
        <f t="shared" si="257"/>
        <v>0.14140085410435152</v>
      </c>
      <c r="CL101" s="219">
        <f t="shared" si="258"/>
        <v>0.11</v>
      </c>
      <c r="CM101" s="219">
        <f t="shared" si="259"/>
        <v>0.12298910937165598</v>
      </c>
      <c r="CN101" s="569">
        <f t="shared" si="260"/>
        <v>0.12298910937165598</v>
      </c>
      <c r="CO101" s="264">
        <f t="shared" si="343"/>
        <v>17.758754066260604</v>
      </c>
      <c r="CP101" s="216">
        <f t="shared" si="331"/>
        <v>17.758754066260604</v>
      </c>
      <c r="CQ101" s="216">
        <f t="shared" ca="1" si="192"/>
        <v>17.758754066260604</v>
      </c>
      <c r="CR101" s="216">
        <f t="shared" ca="1" si="193"/>
        <v>17.758754066260604</v>
      </c>
      <c r="CS101" s="1626">
        <f t="shared" ca="1" si="194"/>
        <v>17.758754066260604</v>
      </c>
      <c r="CT101" s="216">
        <f t="shared" si="332"/>
        <v>17.758754066260604</v>
      </c>
      <c r="CU101" s="575">
        <f t="shared" si="261"/>
        <v>0.17</v>
      </c>
      <c r="CV101" s="154">
        <f t="shared" si="262"/>
        <v>0.5</v>
      </c>
      <c r="CW101" s="216">
        <f>IF(OR($BQ101,$BS101),SpreadOptPowerMargin,0)*((1+Assumptions!$C$26)^($B101-YEAR(Assumptions!$C$17)))</f>
        <v>1.948377888</v>
      </c>
      <c r="CX101" s="216">
        <f>IF(OR($BQ101,$BS101),SpreadOptPowerMargin,0)*((1+Assumptions!$C$26)^($B101-YEAR(Assumptions!$C$17)))</f>
        <v>1.948377888</v>
      </c>
      <c r="CY101" s="216">
        <f>IF(OR($BQ101,$BS101),SpreadOptPowerMargin,0)*((1+Assumptions!$C$26)^($B101-YEAR(Assumptions!$C$17)))</f>
        <v>1.948377888</v>
      </c>
      <c r="CZ101" s="216">
        <f>IF(OR($BQ101,$BS101),SpreadOptPowerMargin,0)*((1+Assumptions!$C$26)^($B101-YEAR(Assumptions!$C$17)))</f>
        <v>1.948377888</v>
      </c>
      <c r="DA101" s="440">
        <f t="shared" si="263"/>
        <v>1.9483778880000002</v>
      </c>
      <c r="DB101" s="479">
        <f t="shared" si="264"/>
        <v>0.14499999999999999</v>
      </c>
      <c r="DC101" s="479">
        <f t="shared" si="265"/>
        <v>0.14499999999999999</v>
      </c>
      <c r="DD101" s="479">
        <f t="shared" si="266"/>
        <v>0.11</v>
      </c>
      <c r="DE101" s="479">
        <f t="shared" si="267"/>
        <v>0.11</v>
      </c>
      <c r="DF101" s="479">
        <f t="shared" si="268"/>
        <v>0.12298910937165598</v>
      </c>
      <c r="DG101" s="574">
        <f t="shared" si="269"/>
        <v>0.12298910937165598</v>
      </c>
      <c r="DH101" s="216">
        <f t="shared" si="270"/>
        <v>16.01412068636327</v>
      </c>
      <c r="DI101" s="216">
        <f t="shared" si="271"/>
        <v>16.01412068636327</v>
      </c>
      <c r="DJ101" s="216">
        <f t="shared" ca="1" si="195"/>
        <v>3.9313117551765639</v>
      </c>
      <c r="DK101" s="216">
        <f t="shared" ca="1" si="196"/>
        <v>3.9313117551765639</v>
      </c>
      <c r="DL101" s="216">
        <f t="shared" ca="1" si="197"/>
        <v>10.222559241838095</v>
      </c>
      <c r="DM101" s="216"/>
      <c r="DN101" s="216"/>
      <c r="DO101" s="216"/>
      <c r="DP101" s="216"/>
      <c r="DQ101" s="216"/>
      <c r="DR101" s="216"/>
      <c r="DS101" s="216"/>
      <c r="DT101" s="216"/>
      <c r="DU101" s="216"/>
      <c r="DV101" s="216"/>
      <c r="DW101" s="1371">
        <f t="shared" si="272"/>
        <v>3.9313117551765639</v>
      </c>
      <c r="DX101" s="216">
        <f t="shared" si="273"/>
        <v>3.9313117551765639</v>
      </c>
      <c r="DY101" s="440">
        <f t="shared" si="274"/>
        <v>10.687290942506767</v>
      </c>
      <c r="DZ101" s="180">
        <f t="shared" si="275"/>
        <v>820179.2050727813</v>
      </c>
      <c r="EA101" s="180">
        <f t="shared" si="276"/>
        <v>149123.49183141478</v>
      </c>
      <c r="EB101" s="180">
        <f t="shared" ca="1" si="198"/>
        <v>45760.468830255202</v>
      </c>
      <c r="EC101" s="180">
        <f t="shared" ca="1" si="199"/>
        <v>141857.45337379113</v>
      </c>
      <c r="ED101" s="180">
        <f t="shared" ca="1" si="200"/>
        <v>1106612.4830474574</v>
      </c>
      <c r="EE101" s="581">
        <f t="shared" si="277"/>
        <v>803282.91276090452</v>
      </c>
      <c r="EF101" s="554">
        <f t="shared" si="278"/>
        <v>146051.43868380084</v>
      </c>
      <c r="EG101" s="554">
        <f t="shared" ca="1" si="201"/>
        <v>20463.265632709859</v>
      </c>
      <c r="EH101" s="554">
        <f t="shared" ca="1" si="202"/>
        <v>63436.123461400566</v>
      </c>
      <c r="EI101" s="561">
        <f t="shared" ca="1" si="279"/>
        <v>1033233.740538816</v>
      </c>
      <c r="EJ101" s="581">
        <f t="shared" si="333"/>
        <v>16896.292311876779</v>
      </c>
      <c r="EK101" s="554">
        <f t="shared" si="334"/>
        <v>3072.053147613944</v>
      </c>
      <c r="EL101" s="554">
        <f t="shared" ca="1" si="203"/>
        <v>25297.203197545343</v>
      </c>
      <c r="EM101" s="554">
        <f t="shared" ca="1" si="204"/>
        <v>78421.32991239056</v>
      </c>
      <c r="EN101" s="561">
        <f t="shared" ca="1" si="205"/>
        <v>73378.742508641444</v>
      </c>
      <c r="EO101" s="180">
        <f t="shared" si="280"/>
        <v>3280716.8202911252</v>
      </c>
      <c r="EP101" s="180">
        <f t="shared" si="281"/>
        <v>596493.96732565912</v>
      </c>
      <c r="EQ101" s="180">
        <f t="shared" si="282"/>
        <v>183041.87532102081</v>
      </c>
      <c r="ER101" s="180">
        <f t="shared" si="283"/>
        <v>567429.8134951645</v>
      </c>
      <c r="ES101" s="180">
        <f t="shared" si="284"/>
        <v>4627682.4764329698</v>
      </c>
      <c r="ET101" s="1482">
        <f t="shared" ca="1" si="206"/>
        <v>3213131.6510436181</v>
      </c>
      <c r="EU101" s="180">
        <f t="shared" ca="1" si="207"/>
        <v>584205.75473520334</v>
      </c>
      <c r="EV101" s="180">
        <f t="shared" ca="1" si="208"/>
        <v>81853.062530839437</v>
      </c>
      <c r="EW101" s="180">
        <f t="shared" ca="1" si="209"/>
        <v>253744.49384560226</v>
      </c>
      <c r="EX101" s="555">
        <f t="shared" ca="1" si="182"/>
        <v>4132934.9621552629</v>
      </c>
      <c r="EY101" s="180">
        <f t="shared" ca="1" si="210"/>
        <v>67585.169247507118</v>
      </c>
      <c r="EZ101" s="180">
        <f t="shared" ca="1" si="211"/>
        <v>12288.212590455776</v>
      </c>
      <c r="FA101" s="180">
        <f t="shared" ca="1" si="212"/>
        <v>101188.81279018137</v>
      </c>
      <c r="FB101" s="180">
        <f t="shared" ca="1" si="213"/>
        <v>313685.31964956224</v>
      </c>
      <c r="FC101" s="180">
        <f t="shared" ca="1" si="214"/>
        <v>494747.51427770685</v>
      </c>
      <c r="FD101" s="262">
        <f>IF(AX101,IF(VLOOKUP(C101,MAIN!$L$17:$M$28,2)="Yes",VLOOKUP(CALC!B101,MAIN!$H$17:$I$20,2),0),0)</f>
        <v>0</v>
      </c>
      <c r="FE101" s="623">
        <f t="shared" si="285"/>
        <v>0</v>
      </c>
      <c r="FF101" s="535">
        <f t="shared" si="286"/>
        <v>0</v>
      </c>
      <c r="FG101" s="535">
        <f t="shared" si="287"/>
        <v>0</v>
      </c>
      <c r="FH101" s="624">
        <f t="shared" si="288"/>
        <v>0</v>
      </c>
      <c r="FI101" s="632">
        <f>IF(AX101,VLOOKUP(CALC!B101,MAIN!$H$17:$K$20,4),0)</f>
        <v>0</v>
      </c>
      <c r="FJ101" s="535">
        <f t="shared" si="289"/>
        <v>0</v>
      </c>
      <c r="FK101" s="648">
        <f t="shared" si="335"/>
        <v>0</v>
      </c>
      <c r="FL101" s="530">
        <f t="shared" ca="1" si="215"/>
        <v>0</v>
      </c>
      <c r="FM101" s="530">
        <f t="shared" ca="1" si="216"/>
        <v>0</v>
      </c>
      <c r="FN101" s="530">
        <f t="shared" ca="1" si="217"/>
        <v>0</v>
      </c>
      <c r="FO101" s="622">
        <f t="shared" ca="1" si="218"/>
        <v>0</v>
      </c>
      <c r="FP101" s="530">
        <f t="shared" ca="1" si="219"/>
        <v>0</v>
      </c>
      <c r="FQ101" s="530">
        <f t="shared" ca="1" si="220"/>
        <v>0</v>
      </c>
      <c r="FR101" s="530">
        <f t="shared" ca="1" si="221"/>
        <v>0</v>
      </c>
      <c r="FS101" s="625">
        <f t="shared" ca="1" si="222"/>
        <v>0</v>
      </c>
      <c r="FT101" s="640">
        <f ca="1">IF(AND(Assumptions!$H$71="Yes",A101&gt;=Assumptions!$H$72,A101&lt;=Assumptions!$H$73),0,IF(AND($A101&gt;=Assumptions!$C$17,$A101&lt;=Assumptions!$C$18),MAX(AZ101*(1+VLOOKUP($C101,WeatherCapacityAdjustment,2))-FL101,0),0))</f>
        <v>51216</v>
      </c>
      <c r="FU101" s="530">
        <f ca="1">IF(AND(Assumptions!$H$71="Yes",A101&gt;=Assumptions!$H$72,A101&lt;=Assumptions!$H$73),0,IF(AND($A101&gt;=Assumptions!$C$17,$A101&lt;=Assumptions!$C$18),MAX(BA101*(1+VLOOKUP($C101,WeatherCapacityAdjustment,2))-FM101,0),0))</f>
        <v>9312</v>
      </c>
      <c r="FV101" s="530">
        <f ca="1">IF(AND(Assumptions!$H$71="Yes",A101&gt;=Assumptions!$H$72,A101&lt;=Assumptions!$H$73),0,IF(AND($A101&gt;=Assumptions!$C$17,$A101&lt;=Assumptions!$C$18),MAX(BB101*(1+VLOOKUP($C101,WeatherCapacityAdjustment,2))-FN101,0),0))</f>
        <v>11640</v>
      </c>
      <c r="FW101" s="622">
        <f ca="1">IF(AND(Assumptions!$H$71="Yes",A101&gt;=Assumptions!$H$72,A101&lt;=Assumptions!$H$73),0,IF(AND($A101&gt;=Assumptions!$C$17,$A101&lt;=Assumptions!$C$18),MAX(BC101*(1+VLOOKUP($C101,WeatherCapacityAdjustment,3))-FO101,0),0))</f>
        <v>36084</v>
      </c>
      <c r="FX101" s="621">
        <f ca="1">IF(AND(Assumptions!$H$71="Yes",A101&gt;=Assumptions!$H$72,A101&lt;=Assumptions!$H$73),0,IF(ET101&gt;0,MAX(BH101*(1+VLOOKUP($C101,WeatherCapacityAdjustment,2))-FP101,0),0))</f>
        <v>204864</v>
      </c>
      <c r="FY101" s="530">
        <f ca="1">IF(AND(Assumptions!$H$71="Yes",A101&gt;=Assumptions!$H$72,A101&lt;=Assumptions!$H$73),0,IF(EU101&gt;0,MAX(BI101*(1+VLOOKUP($C101,WeatherCapacityAdjustment,3))-FQ101,0),0))</f>
        <v>37248</v>
      </c>
      <c r="FZ101" s="530">
        <f ca="1">IF(AND(Assumptions!$H$71="Yes",A101&gt;=Assumptions!$H$72,A101&lt;=Assumptions!$H$73),0,IF(EV101&gt;0,MAX(BJ101*(1+VLOOKUP($C101,WeatherCapacityAdjustment,2))-FR101,0),0))</f>
        <v>46560</v>
      </c>
      <c r="GA101" s="622">
        <f ca="1">IF(AND(Assumptions!$H$71="Yes",A101&gt;=Assumptions!$H$72,A101&lt;=Assumptions!$H$73),0,IF(EW101&gt;0,MAX(BK101*(1+VLOOKUP($C101,WeatherCapacityAdjustment,2))-FS101,0),0))</f>
        <v>144336</v>
      </c>
      <c r="GB101" s="530">
        <f t="shared" ca="1" si="290"/>
        <v>541260</v>
      </c>
      <c r="GC101" s="545">
        <f t="shared" ca="1" si="291"/>
        <v>29.251840047772188</v>
      </c>
      <c r="GD101" s="530">
        <f t="shared" ca="1" si="223"/>
        <v>15832850.944257174</v>
      </c>
      <c r="GE101" s="1485">
        <f t="shared" ca="1" si="224"/>
        <v>770524.74575999996</v>
      </c>
      <c r="GF101" s="1776">
        <f t="shared" ca="1" si="225"/>
        <v>3082098.9830399998</v>
      </c>
      <c r="GG101" s="545">
        <f t="shared" si="190"/>
        <v>2.4949499101221999</v>
      </c>
      <c r="GH101" s="622">
        <f t="shared" ca="1" si="191"/>
        <v>9612103.2259042133</v>
      </c>
      <c r="GI101" s="621">
        <f t="shared" ca="1" si="336"/>
        <v>541260</v>
      </c>
      <c r="GJ101" s="638">
        <f t="shared" si="292"/>
        <v>1.9483778880000002</v>
      </c>
      <c r="GK101" s="625">
        <f t="shared" ca="1" si="342"/>
        <v>1054579.0156588801</v>
      </c>
      <c r="GL101" s="640">
        <f t="shared" ca="1" si="226"/>
        <v>0</v>
      </c>
      <c r="GM101" s="530">
        <f t="shared" ca="1" si="227"/>
        <v>0</v>
      </c>
      <c r="GN101" s="530">
        <f t="shared" ca="1" si="228"/>
        <v>0</v>
      </c>
      <c r="GO101" s="622">
        <f t="shared" ca="1" si="229"/>
        <v>0</v>
      </c>
      <c r="GP101" s="530">
        <f t="shared" ca="1" si="293"/>
        <v>0</v>
      </c>
      <c r="GQ101" s="545">
        <f t="shared" ca="1" si="294"/>
        <v>0</v>
      </c>
      <c r="GR101" s="625">
        <f t="shared" ca="1" si="230"/>
        <v>0</v>
      </c>
      <c r="GS101" s="640">
        <f>IF($A101&gt;=BegDate,Assumptions!$C$56*24*($A102-$A101)*(1-VLOOKUP($B101,MAIN!$AA$7:$AM$28,$C101+1))*(1-VLOOKUP($B101,MAIN!$AA$33:$AM$54,$C101+1)),0)*80/168</f>
        <v>257742.85714285713</v>
      </c>
      <c r="GT101" s="1715">
        <f t="shared" si="337"/>
        <v>35.39135002597461</v>
      </c>
      <c r="GU101" s="1715">
        <f>IF($A101&gt;=BegDate,VLOOKUP($A101,GasTable,13)+Assumptions!$C$58,0)</f>
        <v>2.4949499101221999</v>
      </c>
      <c r="GV101" s="1715">
        <f>GU101*Assumptions!$C$57/1000</f>
        <v>18.088386848385948</v>
      </c>
      <c r="GW101" s="625">
        <f>IF(Assumptions!$C$60="Hourly",MAX(0,GS101*(GT101-GV101)),GS101*(GT101-GV101))</f>
        <v>4459715.166429352</v>
      </c>
      <c r="GX101" s="640">
        <f>IF($A101&gt;=BegDate,Assumptions!$C$56*24*($A102-$A101)*(1-VLOOKUP($B101,MAIN!$AA$7:$AM$28,$C101+1))*(1-VLOOKUP($B101,MAIN!$AA$33:$AM$54,$C101+1)),0)*16/168</f>
        <v>51548.571428571428</v>
      </c>
      <c r="GY101" s="1715">
        <f t="shared" si="338"/>
        <v>35.39135002597461</v>
      </c>
      <c r="GZ101" s="1715">
        <f>IF($A101&gt;=BegDate,VLOOKUP($A101,GasTable,13)+Assumptions!$C$58,0)</f>
        <v>2.4949499101221999</v>
      </c>
      <c r="HA101" s="1715">
        <f>GZ101*Assumptions!$C$57/1000</f>
        <v>18.088386848385948</v>
      </c>
      <c r="HB101" s="625">
        <f>IF(Assumptions!$C$60="Hourly",MAX(0,GX101*(GY101-HA101)),GX101*(GY101-HA101))</f>
        <v>891943.03328587033</v>
      </c>
      <c r="HC101" s="640">
        <f>IF($A101&gt;=BegDate,Assumptions!$C$56*24*($A102-$A101)*(1-VLOOKUP($B101,MAIN!$AA$7:$AM$28,$C101+1))*(1-VLOOKUP($B101,MAIN!$AA$33:$AM$54,$C101+1)),0)*16/168</f>
        <v>51548.571428571428</v>
      </c>
      <c r="HD101" s="1715">
        <f t="shared" si="339"/>
        <v>21.465144465661794</v>
      </c>
      <c r="HE101" s="1715">
        <f>IF($A101&gt;=BegDate,VLOOKUP($A101,GasTable,13)+Assumptions!$C$58,0)</f>
        <v>2.4949499101221999</v>
      </c>
      <c r="HF101" s="1715">
        <f>HE101*Assumptions!$C$57/1000</f>
        <v>18.088386848385948</v>
      </c>
      <c r="HG101" s="625">
        <f>IF(Assumptions!$C$60="Hourly",MAX(0,HC101*(HD101-HF101)),HC101*(HD101-HF101))</f>
        <v>174067.03123111662</v>
      </c>
      <c r="HH101" s="640">
        <f>IF($A101&gt;=BegDate,Assumptions!$C$56*24*($A102-$A101)*(1-VLOOKUP($B101,MAIN!$AA$7:$AM$28,$C101+1))*(1-VLOOKUP($B101,MAIN!$AA$33:$AM$54,$C101+1)),0)*56/168</f>
        <v>180420</v>
      </c>
      <c r="HI101" s="1715">
        <f t="shared" si="340"/>
        <v>21.465144465661794</v>
      </c>
      <c r="HJ101" s="1715">
        <f>IF($A101&gt;=BegDate,VLOOKUP($A101,GasTable,13)+Assumptions!$C$58,0)</f>
        <v>2.4949499101221999</v>
      </c>
      <c r="HK101" s="1715">
        <f>HJ101*Assumptions!$C$57/1000</f>
        <v>18.088386848385948</v>
      </c>
      <c r="HL101" s="625">
        <f>IF(Assumptions!$C$60="Hourly",MAX(0,HH101*(HI101-HK101)),HH101*(HI101-HK101))</f>
        <v>609234.60930890811</v>
      </c>
      <c r="HM101" s="640">
        <f>IF(AND(Assumptions!$H$71="Yes",A101&gt;=Assumptions!$H$72,A101&lt;=Assumptions!$H$73),Assumptions!$H$74*Assumptions!$C$9*1000,0)</f>
        <v>0</v>
      </c>
      <c r="HN101" s="530"/>
      <c r="HO101" s="545"/>
      <c r="HP101" s="545"/>
      <c r="HQ101" s="545"/>
      <c r="HR101" s="545"/>
      <c r="HS101" s="545"/>
      <c r="HT101" s="545"/>
      <c r="HU101" s="545"/>
      <c r="HV101" s="545"/>
      <c r="HW101" s="545"/>
      <c r="HX101" s="545"/>
      <c r="HY101" s="545"/>
      <c r="HZ101" s="545"/>
      <c r="IA101" s="545"/>
      <c r="IB101" s="545"/>
      <c r="IC101" s="545"/>
      <c r="ID101" s="545"/>
      <c r="IE101" s="545"/>
      <c r="IF101" s="545"/>
      <c r="IG101" s="545"/>
      <c r="IH101" s="545"/>
      <c r="II101" s="1464"/>
      <c r="IJ101" s="1463"/>
      <c r="IK101" s="1463"/>
    </row>
    <row r="102" spans="1:245">
      <c r="A102" s="177">
        <f t="shared" si="295"/>
        <v>39234</v>
      </c>
      <c r="B102" s="349">
        <f t="shared" si="296"/>
        <v>2007</v>
      </c>
      <c r="C102" s="15">
        <f t="shared" si="344"/>
        <v>6</v>
      </c>
      <c r="D102" s="612" t="str">
        <f t="shared" si="297"/>
        <v/>
      </c>
      <c r="E102" s="609">
        <f t="shared" si="345"/>
        <v>39234</v>
      </c>
      <c r="F102" s="614">
        <f t="shared" si="346"/>
        <v>39263</v>
      </c>
      <c r="G102" s="1349">
        <v>0</v>
      </c>
      <c r="H102" s="152">
        <f t="shared" si="341"/>
        <v>1</v>
      </c>
      <c r="I102" s="154">
        <f>IF(Assumptions!$L$25=4,VLOOKUP($A102,'Henwood Reference'!$E$9:$R$320,10),(VLOOKUP($A102,PriceTable,2,0)+IF(BasisNumber&lt;&gt;1,VLOOKUP($A102,BasisTable,2,0),0)+I$1)/(1-I$2))</f>
        <v>33.46557850416059</v>
      </c>
      <c r="J102" s="154">
        <f>IF(Assumptions!$L$25=4,VLOOKUP($A102,'Henwood Reference'!$E$9:$R$320,10),(VLOOKUP($A102,PriceTable,3,0)+IF(BasisNumber&lt;&gt;1,VLOOKUP($A102,BasisTable,2,0),0)+J$1)/(1-J$2))</f>
        <v>33.46557850416059</v>
      </c>
      <c r="K102" s="154">
        <f>IF(Assumptions!$L$25=4,VLOOKUP($A102,'Henwood Reference'!$E$9:$R$320,10),(VLOOKUP($A102,PriceTable,4,0)+IF(BasisNumber&lt;&gt;1,VLOOKUP($A102,BasisTable,2,0),0)+K$1)/(1-K$2))</f>
        <v>33.46557850416059</v>
      </c>
      <c r="L102" s="474">
        <f>IF(Assumptions!$L$25=4,VLOOKUP($A102,'Henwood Reference'!$E$9:$R$320,10),(VLOOKUP($A102,PriceTableWeekend,2,0)+IF(BasisNumber&lt;&gt;1,VLOOKUP($A102,BasisTable,2,0),0)+L$1)/(1-L$2))</f>
        <v>33.46557850416059</v>
      </c>
      <c r="M102" s="154">
        <f>IF(Assumptions!$L$25=4,VLOOKUP($A102,'Henwood Reference'!$E$9:$R$320,10),(VLOOKUP($A102,PriceTableWeekend,3,0)+IF(BasisNumber&lt;&gt;1,VLOOKUP($A102,BasisTable,2,0),0)+M$1)/(1-M$2))</f>
        <v>33.46557850416059</v>
      </c>
      <c r="N102" s="156">
        <f>IF(Assumptions!$L$25=4,VLOOKUP($A102,'Henwood Reference'!$E$9:$R$320,10),(VLOOKUP($A102,PriceTableWeekend,4,0)+IF(BasisNumber&lt;&gt;1,VLOOKUP($A102,BasisTable,2,0),0)+N$1)/(1-N$2))</f>
        <v>33.46557850416059</v>
      </c>
      <c r="O102" s="154">
        <f>IF(Assumptions!$L$25=4,VLOOKUP($A102,'Henwood Reference'!$E$9:$R$320,11),(VLOOKUP($A102,PriceTableWeekend,6,0)+IF(BasisNumber&lt;&gt;1,VLOOKUP($A102,BasisTable,3,0),0)+O$1)/(1-O$2))</f>
        <v>19.640687019734447</v>
      </c>
      <c r="P102" s="154">
        <f>IF(Assumptions!$L$25=4,VLOOKUP($A102,'Henwood Reference'!$E$9:$R$320,11),(VLOOKUP($A102,PriceTableWeekend,7,0)+IF(BasisNumber&lt;&gt;1,VLOOKUP($A102,BasisTable,3,0),0)+P$1)/(1-P$2))</f>
        <v>19.640687019734447</v>
      </c>
      <c r="Q102" s="156">
        <f>IF(Assumptions!$L$25=4,VLOOKUP($A102,'Henwood Reference'!$E$9:$R$320,11),(VLOOKUP($A102,PriceTableWeekend,8,0)+IF(BasisNumber&lt;&gt;1,VLOOKUP($A102,BasisTable,3,0),0)+Q$1)/(1-Q$2))</f>
        <v>19.640687019734447</v>
      </c>
      <c r="R102" s="154">
        <f>IF(Assumptions!$L$25=4,VLOOKUP($A102,'Henwood Reference'!$E$9:$R$320,11),(VLOOKUP($A102,PriceTable,6,0)+IF(BasisNumber&lt;&gt;1,VLOOKUP($A102,BasisTable,3,0),0)+R$1)/(1-R$2))</f>
        <v>19.640687019734447</v>
      </c>
      <c r="S102" s="154">
        <f>IF(Assumptions!$L$25=4,VLOOKUP($A102,'Henwood Reference'!$E$9:$R$320,11),(VLOOKUP($A102,PriceTable,7,0)+IF(BasisNumber&lt;&gt;1,VLOOKUP($A102,BasisTable,3,0),0)+S$1)/(1-S$2))</f>
        <v>19.640687019734447</v>
      </c>
      <c r="T102" s="155">
        <f>IF(Assumptions!$L$25=4,VLOOKUP($A102,'Henwood Reference'!$E$9:$R$320,11),(VLOOKUP($A102,PriceTable,8,0)+IF(BasisNumber&lt;&gt;1,VLOOKUP($A102,BasisTable,3,0),0)+T$1)/(1-T$2))</f>
        <v>19.640687019734447</v>
      </c>
      <c r="U102" s="173">
        <f t="shared" si="298"/>
        <v>0.13500000000000001</v>
      </c>
      <c r="V102" s="173">
        <f t="shared" si="299"/>
        <v>0.14499999999999999</v>
      </c>
      <c r="W102" s="174">
        <f t="shared" si="300"/>
        <v>0.155</v>
      </c>
      <c r="X102" s="173">
        <f t="shared" si="301"/>
        <v>0.13500000000000001</v>
      </c>
      <c r="Y102" s="173">
        <f t="shared" si="302"/>
        <v>0.14499999999999999</v>
      </c>
      <c r="Z102" s="174">
        <f t="shared" si="303"/>
        <v>0.155</v>
      </c>
      <c r="AA102" s="173">
        <f t="shared" si="304"/>
        <v>0.09</v>
      </c>
      <c r="AB102" s="173">
        <f t="shared" si="305"/>
        <v>0.11</v>
      </c>
      <c r="AC102" s="174">
        <f t="shared" si="306"/>
        <v>0.13</v>
      </c>
      <c r="AD102" s="173">
        <f t="shared" si="307"/>
        <v>0.09</v>
      </c>
      <c r="AE102" s="173">
        <f t="shared" si="308"/>
        <v>0.11</v>
      </c>
      <c r="AF102" s="174">
        <f t="shared" si="309"/>
        <v>0.13</v>
      </c>
      <c r="AG102" s="173">
        <f t="shared" si="310"/>
        <v>-0.35</v>
      </c>
      <c r="AH102" s="173">
        <f t="shared" si="311"/>
        <v>0.65</v>
      </c>
      <c r="AI102" s="174">
        <f t="shared" si="312"/>
        <v>0.2</v>
      </c>
      <c r="AJ102" s="173">
        <f t="shared" si="313"/>
        <v>-0.35</v>
      </c>
      <c r="AK102" s="173">
        <f t="shared" si="314"/>
        <v>0.65</v>
      </c>
      <c r="AL102" s="174">
        <f t="shared" si="315"/>
        <v>0.2</v>
      </c>
      <c r="AM102" s="173">
        <f t="shared" si="316"/>
        <v>-0.01</v>
      </c>
      <c r="AN102" s="173">
        <f t="shared" si="317"/>
        <v>0.16</v>
      </c>
      <c r="AO102" s="174">
        <f t="shared" si="318"/>
        <v>0.01</v>
      </c>
      <c r="AP102" s="173">
        <f t="shared" si="319"/>
        <v>-0.01</v>
      </c>
      <c r="AQ102" s="173">
        <f t="shared" si="320"/>
        <v>0.16</v>
      </c>
      <c r="AR102" s="175">
        <f t="shared" si="321"/>
        <v>0.01</v>
      </c>
      <c r="AS102" s="521">
        <f t="shared" si="349"/>
        <v>0.5</v>
      </c>
      <c r="AT102" s="349">
        <f t="shared" si="347"/>
        <v>21</v>
      </c>
      <c r="AU102" s="159">
        <f t="shared" si="240"/>
        <v>5</v>
      </c>
      <c r="AV102" s="159">
        <f t="shared" si="241"/>
        <v>4</v>
      </c>
      <c r="AW102" s="159">
        <f t="shared" si="350"/>
        <v>0</v>
      </c>
      <c r="AX102" s="15">
        <f t="shared" si="348"/>
        <v>30</v>
      </c>
      <c r="AY102" s="607">
        <f>IF(E102="",0,MIN((1-(1-VLOOKUP(B102,MAIN!$AA$7:$AM$28,C102+1))*(1-VLOOKUP(B102,MAIN!$AA$33:$AM$54,C102+1))),1))</f>
        <v>3.0000000000000027E-2</v>
      </c>
      <c r="AZ102" s="337">
        <v>48888</v>
      </c>
      <c r="BA102" s="509">
        <v>11640</v>
      </c>
      <c r="BB102" s="509">
        <v>9312</v>
      </c>
      <c r="BC102" s="511">
        <v>34920</v>
      </c>
      <c r="BD102" s="153">
        <v>0.97000000722706314</v>
      </c>
      <c r="BE102" s="474">
        <v>0.97000000722706314</v>
      </c>
      <c r="BF102" s="474">
        <v>0.97000000722706314</v>
      </c>
      <c r="BG102" s="515">
        <v>0.97000000722706314</v>
      </c>
      <c r="BH102" s="262">
        <v>195552</v>
      </c>
      <c r="BI102" s="509">
        <v>46560</v>
      </c>
      <c r="BJ102" s="509">
        <v>37248</v>
      </c>
      <c r="BK102" s="511">
        <v>139680</v>
      </c>
      <c r="BL102" s="153">
        <v>0.97000000722706314</v>
      </c>
      <c r="BM102" s="474">
        <v>0.97000000722706314</v>
      </c>
      <c r="BN102" s="474">
        <v>0.97000000722706314</v>
      </c>
      <c r="BO102" s="474">
        <v>0.97000000722706314</v>
      </c>
      <c r="BP102" s="261">
        <f t="shared" si="324"/>
        <v>69840</v>
      </c>
      <c r="BQ102" s="578">
        <f t="shared" si="325"/>
        <v>104760</v>
      </c>
      <c r="BR102" s="259">
        <f t="shared" si="326"/>
        <v>279360</v>
      </c>
      <c r="BS102" s="578">
        <f t="shared" si="327"/>
        <v>419040</v>
      </c>
      <c r="BT102" s="216">
        <f t="shared" si="328"/>
        <v>7.1293634496919918</v>
      </c>
      <c r="BU102" s="218">
        <f t="shared" si="243"/>
        <v>33.465578753498576</v>
      </c>
      <c r="BV102" s="216">
        <f t="shared" si="244"/>
        <v>33.465578753498576</v>
      </c>
      <c r="BW102" s="216">
        <f t="shared" si="245"/>
        <v>19.640687166068968</v>
      </c>
      <c r="BX102" s="216">
        <f t="shared" si="329"/>
        <v>19.640687166068968</v>
      </c>
      <c r="BY102" s="216">
        <f t="shared" si="246"/>
        <v>31.622259875174631</v>
      </c>
      <c r="BZ102" s="216">
        <f t="shared" si="247"/>
        <v>27.62840230547274</v>
      </c>
      <c r="CA102" s="264">
        <f t="shared" si="248"/>
        <v>33.465578753498576</v>
      </c>
      <c r="CB102" s="216">
        <f t="shared" si="249"/>
        <v>33.465578753498576</v>
      </c>
      <c r="CC102" s="216">
        <f t="shared" si="250"/>
        <v>19.640687166068968</v>
      </c>
      <c r="CD102" s="216">
        <f t="shared" si="330"/>
        <v>19.640687166068968</v>
      </c>
      <c r="CE102" s="216">
        <f t="shared" si="251"/>
        <v>31.622259875174631</v>
      </c>
      <c r="CF102" s="571">
        <f t="shared" si="252"/>
        <v>27.62840230547274</v>
      </c>
      <c r="CG102" s="573">
        <f t="shared" si="253"/>
        <v>0.14499999999999999</v>
      </c>
      <c r="CH102" s="219">
        <f t="shared" si="254"/>
        <v>0.14499999999999999</v>
      </c>
      <c r="CI102" s="219">
        <f t="shared" si="255"/>
        <v>0.11</v>
      </c>
      <c r="CJ102" s="219">
        <f t="shared" si="256"/>
        <v>0.14214831340204398</v>
      </c>
      <c r="CK102" s="219">
        <f t="shared" si="257"/>
        <v>0.14214831340204398</v>
      </c>
      <c r="CL102" s="219">
        <f t="shared" si="258"/>
        <v>0.11</v>
      </c>
      <c r="CM102" s="219">
        <f t="shared" si="259"/>
        <v>0.12407512927472436</v>
      </c>
      <c r="CN102" s="569">
        <f t="shared" si="260"/>
        <v>0.12407512927472436</v>
      </c>
      <c r="CO102" s="264">
        <f t="shared" si="343"/>
        <v>17.950498266438899</v>
      </c>
      <c r="CP102" s="216">
        <f t="shared" si="331"/>
        <v>17.950498266438899</v>
      </c>
      <c r="CQ102" s="216">
        <f t="shared" ca="1" si="192"/>
        <v>23.079212056850011</v>
      </c>
      <c r="CR102" s="216">
        <f t="shared" ca="1" si="193"/>
        <v>23.079212056850011</v>
      </c>
      <c r="CS102" s="1626">
        <f t="shared" ca="1" si="194"/>
        <v>20.115955200168038</v>
      </c>
      <c r="CT102" s="216">
        <f t="shared" si="332"/>
        <v>17.950498266438899</v>
      </c>
      <c r="CU102" s="575">
        <f t="shared" si="261"/>
        <v>0.17</v>
      </c>
      <c r="CV102" s="154">
        <f t="shared" si="262"/>
        <v>0.5</v>
      </c>
      <c r="CW102" s="216">
        <f>IF(OR($BQ102,$BS102),SpreadOptPowerMargin,0)*((1+Assumptions!$C$26)^($B102-YEAR(Assumptions!$C$17)))</f>
        <v>1.948377888</v>
      </c>
      <c r="CX102" s="216">
        <f>IF(OR($BQ102,$BS102),SpreadOptPowerMargin,0)*((1+Assumptions!$C$26)^($B102-YEAR(Assumptions!$C$17)))</f>
        <v>1.948377888</v>
      </c>
      <c r="CY102" s="216">
        <f>IF(OR($BQ102,$BS102),SpreadOptPowerMargin,0)*((1+Assumptions!$C$26)^($B102-YEAR(Assumptions!$C$17)))</f>
        <v>1.948377888</v>
      </c>
      <c r="CZ102" s="216">
        <f>IF(OR($BQ102,$BS102),SpreadOptPowerMargin,0)*((1+Assumptions!$C$26)^($B102-YEAR(Assumptions!$C$17)))</f>
        <v>1.948377888</v>
      </c>
      <c r="DA102" s="440">
        <f t="shared" si="263"/>
        <v>1.948377888</v>
      </c>
      <c r="DB102" s="479">
        <f t="shared" si="264"/>
        <v>0.14499999999999999</v>
      </c>
      <c r="DC102" s="479">
        <f t="shared" si="265"/>
        <v>0.14499999999999999</v>
      </c>
      <c r="DD102" s="479">
        <f t="shared" si="266"/>
        <v>0.11</v>
      </c>
      <c r="DE102" s="479">
        <f t="shared" si="267"/>
        <v>0.11</v>
      </c>
      <c r="DF102" s="479">
        <f t="shared" si="268"/>
        <v>0.12407512927472436</v>
      </c>
      <c r="DG102" s="574">
        <f t="shared" si="269"/>
        <v>0.12407512927472436</v>
      </c>
      <c r="DH102" s="216">
        <f t="shared" si="270"/>
        <v>14.038475829875528</v>
      </c>
      <c r="DI102" s="216">
        <f t="shared" si="271"/>
        <v>14.038475829875528</v>
      </c>
      <c r="DJ102" s="216">
        <f t="shared" ca="1" si="195"/>
        <v>1.2460830544682107</v>
      </c>
      <c r="DK102" s="216">
        <f t="shared" ca="1" si="196"/>
        <v>1.2460830544682107</v>
      </c>
      <c r="DL102" s="216">
        <f t="shared" ca="1" si="197"/>
        <v>7.1611708624062667</v>
      </c>
      <c r="DM102" s="216"/>
      <c r="DN102" s="216"/>
      <c r="DO102" s="216"/>
      <c r="DP102" s="216"/>
      <c r="DQ102" s="216"/>
      <c r="DR102" s="216"/>
      <c r="DS102" s="216"/>
      <c r="DT102" s="216"/>
      <c r="DU102" s="216"/>
      <c r="DV102" s="216"/>
      <c r="DW102" s="1371">
        <f t="shared" si="272"/>
        <v>2.7361241562896499</v>
      </c>
      <c r="DX102" s="216">
        <f t="shared" si="273"/>
        <v>2.7361241562896499</v>
      </c>
      <c r="DY102" s="440">
        <f t="shared" si="274"/>
        <v>9.2663717899170468</v>
      </c>
      <c r="DZ102" s="180">
        <f t="shared" si="275"/>
        <v>686313.0063709548</v>
      </c>
      <c r="EA102" s="180">
        <f t="shared" si="276"/>
        <v>163407.85865975116</v>
      </c>
      <c r="EB102" s="180">
        <f t="shared" ca="1" si="198"/>
        <v>11603.525403207977</v>
      </c>
      <c r="EC102" s="180">
        <f t="shared" ca="1" si="199"/>
        <v>43513.220262029914</v>
      </c>
      <c r="ED102" s="180">
        <f t="shared" ca="1" si="200"/>
        <v>750204.25954568048</v>
      </c>
      <c r="EE102" s="581">
        <f t="shared" si="277"/>
        <v>663248.9566628295</v>
      </c>
      <c r="EF102" s="554">
        <f t="shared" si="278"/>
        <v>157916.41825305464</v>
      </c>
      <c r="EG102" s="554">
        <f t="shared" ca="1" si="201"/>
        <v>0</v>
      </c>
      <c r="EH102" s="554">
        <f t="shared" ca="1" si="202"/>
        <v>0</v>
      </c>
      <c r="EI102" s="561">
        <f t="shared" ca="1" si="279"/>
        <v>582891.89120484062</v>
      </c>
      <c r="EJ102" s="581">
        <f t="shared" si="333"/>
        <v>23064.049708125298</v>
      </c>
      <c r="EK102" s="554">
        <f t="shared" si="334"/>
        <v>5491.4404066965217</v>
      </c>
      <c r="EL102" s="554">
        <f t="shared" ca="1" si="203"/>
        <v>11603.525403207977</v>
      </c>
      <c r="EM102" s="554">
        <f t="shared" ca="1" si="204"/>
        <v>43513.220262029914</v>
      </c>
      <c r="EN102" s="561">
        <f t="shared" ca="1" si="205"/>
        <v>167312.36834083986</v>
      </c>
      <c r="EO102" s="180">
        <f t="shared" si="280"/>
        <v>2745252.0254838192</v>
      </c>
      <c r="EP102" s="180">
        <f t="shared" si="281"/>
        <v>653631.43463900464</v>
      </c>
      <c r="EQ102" s="180">
        <f t="shared" si="282"/>
        <v>101915.15257347688</v>
      </c>
      <c r="ER102" s="180">
        <f t="shared" si="283"/>
        <v>382181.82215053827</v>
      </c>
      <c r="ES102" s="180">
        <f t="shared" si="284"/>
        <v>3882980.4348468394</v>
      </c>
      <c r="ET102" s="1482">
        <f t="shared" ca="1" si="206"/>
        <v>2652995.826651318</v>
      </c>
      <c r="EU102" s="180">
        <f t="shared" ca="1" si="207"/>
        <v>631665.67301221855</v>
      </c>
      <c r="EV102" s="180">
        <f t="shared" ca="1" si="208"/>
        <v>0</v>
      </c>
      <c r="EW102" s="180">
        <f t="shared" ca="1" si="209"/>
        <v>0</v>
      </c>
      <c r="EX102" s="555">
        <f t="shared" ca="1" si="182"/>
        <v>3284661.4996635364</v>
      </c>
      <c r="EY102" s="180">
        <f t="shared" ca="1" si="210"/>
        <v>92256.198832501192</v>
      </c>
      <c r="EZ102" s="180">
        <f t="shared" ca="1" si="211"/>
        <v>21965.761626786087</v>
      </c>
      <c r="FA102" s="180">
        <f t="shared" ca="1" si="212"/>
        <v>101915.15257347688</v>
      </c>
      <c r="FB102" s="180">
        <f t="shared" ca="1" si="213"/>
        <v>382181.82215053827</v>
      </c>
      <c r="FC102" s="180">
        <f t="shared" ca="1" si="214"/>
        <v>598318.93518330297</v>
      </c>
      <c r="FD102" s="262">
        <f>IF(AX102,IF(VLOOKUP(C102,MAIN!$L$17:$M$28,2)="Yes",VLOOKUP(CALC!B102,MAIN!$H$17:$I$20,2),0),0)</f>
        <v>0</v>
      </c>
      <c r="FE102" s="623">
        <f t="shared" si="285"/>
        <v>0</v>
      </c>
      <c r="FF102" s="535">
        <f t="shared" si="286"/>
        <v>0</v>
      </c>
      <c r="FG102" s="535">
        <f t="shared" si="287"/>
        <v>0</v>
      </c>
      <c r="FH102" s="624">
        <f t="shared" si="288"/>
        <v>0</v>
      </c>
      <c r="FI102" s="632">
        <f>IF(AX102,VLOOKUP(CALC!B102,MAIN!$H$17:$K$20,4),0)</f>
        <v>0</v>
      </c>
      <c r="FJ102" s="535">
        <f t="shared" si="289"/>
        <v>0</v>
      </c>
      <c r="FK102" s="648">
        <f t="shared" si="335"/>
        <v>0</v>
      </c>
      <c r="FL102" s="530">
        <f t="shared" ca="1" si="215"/>
        <v>0</v>
      </c>
      <c r="FM102" s="530">
        <f t="shared" ca="1" si="216"/>
        <v>0</v>
      </c>
      <c r="FN102" s="530">
        <f t="shared" ca="1" si="217"/>
        <v>0</v>
      </c>
      <c r="FO102" s="622">
        <f t="shared" ca="1" si="218"/>
        <v>0</v>
      </c>
      <c r="FP102" s="530">
        <f t="shared" ca="1" si="219"/>
        <v>0</v>
      </c>
      <c r="FQ102" s="530">
        <f t="shared" ca="1" si="220"/>
        <v>0</v>
      </c>
      <c r="FR102" s="530">
        <f t="shared" ca="1" si="221"/>
        <v>0</v>
      </c>
      <c r="FS102" s="625">
        <f t="shared" ca="1" si="222"/>
        <v>0</v>
      </c>
      <c r="FT102" s="640">
        <f ca="1">IF(AND(Assumptions!$H$71="Yes",A102&gt;=Assumptions!$H$72,A102&lt;=Assumptions!$H$73),0,IF(AND($A102&gt;=Assumptions!$C$17,$A102&lt;=Assumptions!$C$18),MAX(AZ102*(1+VLOOKUP($C102,WeatherCapacityAdjustment,2))-FL102,0),0))</f>
        <v>48888</v>
      </c>
      <c r="FU102" s="530">
        <f ca="1">IF(AND(Assumptions!$H$71="Yes",A102&gt;=Assumptions!$H$72,A102&lt;=Assumptions!$H$73),0,IF(AND($A102&gt;=Assumptions!$C$17,$A102&lt;=Assumptions!$C$18),MAX(BA102*(1+VLOOKUP($C102,WeatherCapacityAdjustment,2))-FM102,0),0))</f>
        <v>11640</v>
      </c>
      <c r="FV102" s="530">
        <f ca="1">IF(AND(Assumptions!$H$71="Yes",A102&gt;=Assumptions!$H$72,A102&lt;=Assumptions!$H$73),0,IF(AND($A102&gt;=Assumptions!$C$17,$A102&lt;=Assumptions!$C$18),MAX(BB102*(1+VLOOKUP($C102,WeatherCapacityAdjustment,2))-FN102,0),0))</f>
        <v>9312</v>
      </c>
      <c r="FW102" s="622">
        <f ca="1">IF(AND(Assumptions!$H$71="Yes",A102&gt;=Assumptions!$H$72,A102&lt;=Assumptions!$H$73),0,IF(AND($A102&gt;=Assumptions!$C$17,$A102&lt;=Assumptions!$C$18),MAX(BC102*(1+VLOOKUP($C102,WeatherCapacityAdjustment,3))-FO102,0),0))</f>
        <v>34920</v>
      </c>
      <c r="FX102" s="621">
        <f ca="1">IF(AND(Assumptions!$H$71="Yes",A102&gt;=Assumptions!$H$72,A102&lt;=Assumptions!$H$73),0,IF(ET102&gt;0,MAX(BH102*(1+VLOOKUP($C102,WeatherCapacityAdjustment,2))-FP102,0),0))</f>
        <v>195552</v>
      </c>
      <c r="FY102" s="530">
        <f ca="1">IF(AND(Assumptions!$H$71="Yes",A102&gt;=Assumptions!$H$72,A102&lt;=Assumptions!$H$73),0,IF(EU102&gt;0,MAX(BI102*(1+VLOOKUP($C102,WeatherCapacityAdjustment,3))-FQ102,0),0))</f>
        <v>46560</v>
      </c>
      <c r="FZ102" s="530">
        <f ca="1">IF(AND(Assumptions!$H$71="Yes",A102&gt;=Assumptions!$H$72,A102&lt;=Assumptions!$H$73),0,IF(EV102&gt;0,MAX(BJ102*(1+VLOOKUP($C102,WeatherCapacityAdjustment,2))-FR102,0),0))</f>
        <v>0</v>
      </c>
      <c r="GA102" s="622">
        <f ca="1">IF(AND(Assumptions!$H$71="Yes",A102&gt;=Assumptions!$H$72,A102&lt;=Assumptions!$H$73),0,IF(EW102&gt;0,MAX(BK102*(1+VLOOKUP($C102,WeatherCapacityAdjustment,2))-FS102,0),0))</f>
        <v>0</v>
      </c>
      <c r="GB102" s="530">
        <f t="shared" ca="1" si="290"/>
        <v>346872</v>
      </c>
      <c r="GC102" s="545">
        <f t="shared" ca="1" si="291"/>
        <v>31.702673114833058</v>
      </c>
      <c r="GD102" s="530">
        <f t="shared" ca="1" si="223"/>
        <v>10996769.628688373</v>
      </c>
      <c r="GE102" s="1485">
        <f t="shared" ca="1" si="224"/>
        <v>835967.99184000003</v>
      </c>
      <c r="GF102" s="1776">
        <f t="shared" ca="1" si="225"/>
        <v>1724035.97184</v>
      </c>
      <c r="GG102" s="545">
        <f t="shared" si="190"/>
        <v>2.5208470746962988</v>
      </c>
      <c r="GH102" s="622">
        <f t="shared" ca="1" si="191"/>
        <v>6453378.5030536577</v>
      </c>
      <c r="GI102" s="621">
        <f t="shared" ca="1" si="336"/>
        <v>346872</v>
      </c>
      <c r="GJ102" s="638">
        <f t="shared" si="292"/>
        <v>1.948377888</v>
      </c>
      <c r="GK102" s="625">
        <f t="shared" ca="1" si="342"/>
        <v>675837.73476633604</v>
      </c>
      <c r="GL102" s="640">
        <f t="shared" ca="1" si="226"/>
        <v>0</v>
      </c>
      <c r="GM102" s="530">
        <f t="shared" ca="1" si="227"/>
        <v>0</v>
      </c>
      <c r="GN102" s="530">
        <f t="shared" ca="1" si="228"/>
        <v>0</v>
      </c>
      <c r="GO102" s="622">
        <f t="shared" ca="1" si="229"/>
        <v>0</v>
      </c>
      <c r="GP102" s="530">
        <f t="shared" ca="1" si="293"/>
        <v>0</v>
      </c>
      <c r="GQ102" s="545">
        <f t="shared" ca="1" si="294"/>
        <v>0</v>
      </c>
      <c r="GR102" s="625">
        <f t="shared" ca="1" si="230"/>
        <v>0</v>
      </c>
      <c r="GS102" s="640">
        <f>IF($A102&gt;=BegDate,Assumptions!$C$56*24*($A103-$A102)*(1-VLOOKUP($B102,MAIN!$AA$7:$AM$28,$C102+1))*(1-VLOOKUP($B102,MAIN!$AA$33:$AM$54,$C102+1)),0)*80/168</f>
        <v>249428.57142857142</v>
      </c>
      <c r="GT102" s="1715">
        <f t="shared" si="337"/>
        <v>33.46557850416059</v>
      </c>
      <c r="GU102" s="1715">
        <f>IF($A102&gt;=BegDate,VLOOKUP($A102,GasTable,13)+Assumptions!$C$58,0)</f>
        <v>2.5208470746962988</v>
      </c>
      <c r="GV102" s="1715">
        <f>GU102*Assumptions!$C$57/1000</f>
        <v>18.276141291548168</v>
      </c>
      <c r="GW102" s="625">
        <f>IF(Assumptions!$C$60="Hourly",MAX(0,GS102*(GT102-GV102)),GS102*(GT102-GV102))</f>
        <v>3788679.6247458984</v>
      </c>
      <c r="GX102" s="640">
        <f>IF($A102&gt;=BegDate,Assumptions!$C$56*24*($A103-$A102)*(1-VLOOKUP($B102,MAIN!$AA$7:$AM$28,$C102+1))*(1-VLOOKUP($B102,MAIN!$AA$33:$AM$54,$C102+1)),0)*16/168</f>
        <v>49885.714285714283</v>
      </c>
      <c r="GY102" s="1715">
        <f t="shared" si="338"/>
        <v>33.46557850416059</v>
      </c>
      <c r="GZ102" s="1715">
        <f>IF($A102&gt;=BegDate,VLOOKUP($A102,GasTable,13)+Assumptions!$C$58,0)</f>
        <v>2.5208470746962988</v>
      </c>
      <c r="HA102" s="1715">
        <f>GZ102*Assumptions!$C$57/1000</f>
        <v>18.276141291548168</v>
      </c>
      <c r="HB102" s="625">
        <f>IF(Assumptions!$C$60="Hourly",MAX(0,GX102*(GY102-HA102)),GX102*(GY102-HA102))</f>
        <v>757735.92494917964</v>
      </c>
      <c r="HC102" s="640">
        <f>IF($A102&gt;=BegDate,Assumptions!$C$56*24*($A103-$A102)*(1-VLOOKUP($B102,MAIN!$AA$7:$AM$28,$C102+1))*(1-VLOOKUP($B102,MAIN!$AA$33:$AM$54,$C102+1)),0)*16/168</f>
        <v>49885.714285714283</v>
      </c>
      <c r="HD102" s="1715">
        <f t="shared" si="339"/>
        <v>19.640687019734447</v>
      </c>
      <c r="HE102" s="1715">
        <f>IF($A102&gt;=BegDate,VLOOKUP($A102,GasTable,13)+Assumptions!$C$58,0)</f>
        <v>2.5208470746962988</v>
      </c>
      <c r="HF102" s="1715">
        <f>HE102*Assumptions!$C$57/1000</f>
        <v>18.276141291548168</v>
      </c>
      <c r="HG102" s="625">
        <f>IF(Assumptions!$C$60="Hourly",MAX(0,HC102*(HD102-HF102)),HC102*(HD102-HF102))</f>
        <v>68071.338326092649</v>
      </c>
      <c r="HH102" s="640">
        <f>IF($A102&gt;=BegDate,Assumptions!$C$56*24*($A103-$A102)*(1-VLOOKUP($B102,MAIN!$AA$7:$AM$28,$C102+1))*(1-VLOOKUP($B102,MAIN!$AA$33:$AM$54,$C102+1)),0)*56/168</f>
        <v>174600</v>
      </c>
      <c r="HI102" s="1715">
        <f t="shared" si="340"/>
        <v>19.640687019734447</v>
      </c>
      <c r="HJ102" s="1715">
        <f>IF($A102&gt;=BegDate,VLOOKUP($A102,GasTable,13)+Assumptions!$C$58,0)</f>
        <v>2.5208470746962988</v>
      </c>
      <c r="HK102" s="1715">
        <f>HJ102*Assumptions!$C$57/1000</f>
        <v>18.276141291548168</v>
      </c>
      <c r="HL102" s="625">
        <f>IF(Assumptions!$C$60="Hourly",MAX(0,HH102*(HI102-HK102)),HH102*(HI102-HK102))</f>
        <v>238249.68414132431</v>
      </c>
      <c r="HM102" s="640">
        <f>IF(AND(Assumptions!$H$71="Yes",A102&gt;=Assumptions!$H$72,A102&lt;=Assumptions!$H$73),Assumptions!$H$74*Assumptions!$C$9*1000,0)</f>
        <v>0</v>
      </c>
      <c r="HN102" s="530"/>
      <c r="HO102" s="545"/>
      <c r="HP102" s="545"/>
      <c r="HQ102" s="545"/>
      <c r="HR102" s="545"/>
      <c r="HS102" s="545"/>
      <c r="HT102" s="545"/>
      <c r="HU102" s="545"/>
      <c r="HV102" s="545"/>
      <c r="HW102" s="545"/>
      <c r="HX102" s="545"/>
      <c r="HY102" s="545"/>
      <c r="HZ102" s="545"/>
      <c r="IA102" s="545"/>
      <c r="IB102" s="545"/>
      <c r="IC102" s="545"/>
      <c r="ID102" s="545"/>
      <c r="IE102" s="545"/>
      <c r="IF102" s="545"/>
      <c r="IG102" s="545"/>
      <c r="IH102" s="545"/>
      <c r="II102" s="1464"/>
      <c r="IJ102" s="1463"/>
      <c r="IK102" s="1463"/>
    </row>
    <row r="103" spans="1:245">
      <c r="A103" s="177">
        <f t="shared" si="295"/>
        <v>39264</v>
      </c>
      <c r="B103" s="349">
        <f t="shared" si="296"/>
        <v>2007</v>
      </c>
      <c r="C103" s="15">
        <f t="shared" si="344"/>
        <v>7</v>
      </c>
      <c r="D103" s="612">
        <f t="shared" si="297"/>
        <v>39267</v>
      </c>
      <c r="E103" s="609">
        <f t="shared" si="345"/>
        <v>39264</v>
      </c>
      <c r="F103" s="614">
        <f t="shared" si="346"/>
        <v>39294</v>
      </c>
      <c r="G103" s="1349">
        <v>0</v>
      </c>
      <c r="H103" s="152">
        <f t="shared" si="341"/>
        <v>1</v>
      </c>
      <c r="I103" s="154">
        <f>IF(Assumptions!$L$25=4,VLOOKUP($A103,'Henwood Reference'!$E$9:$R$320,10),(VLOOKUP($A103,PriceTable,2,0)+IF(BasisNumber&lt;&gt;1,VLOOKUP($A103,BasisTable,2,0),0)+I$1)/(1-I$2))</f>
        <v>62.870897778881272</v>
      </c>
      <c r="J103" s="154">
        <f>IF(Assumptions!$L$25=4,VLOOKUP($A103,'Henwood Reference'!$E$9:$R$320,10),(VLOOKUP($A103,PriceTable,3,0)+IF(BasisNumber&lt;&gt;1,VLOOKUP($A103,BasisTable,2,0),0)+J$1)/(1-J$2))</f>
        <v>62.870897778881272</v>
      </c>
      <c r="K103" s="154">
        <f>IF(Assumptions!$L$25=4,VLOOKUP($A103,'Henwood Reference'!$E$9:$R$320,10),(VLOOKUP($A103,PriceTable,4,0)+IF(BasisNumber&lt;&gt;1,VLOOKUP($A103,BasisTable,2,0),0)+K$1)/(1-K$2))</f>
        <v>62.870897778881272</v>
      </c>
      <c r="L103" s="474">
        <f>IF(Assumptions!$L$25=4,VLOOKUP($A103,'Henwood Reference'!$E$9:$R$320,10),(VLOOKUP($A103,PriceTableWeekend,2,0)+IF(BasisNumber&lt;&gt;1,VLOOKUP($A103,BasisTable,2,0),0)+L$1)/(1-L$2))</f>
        <v>62.870897778881272</v>
      </c>
      <c r="M103" s="154">
        <f>IF(Assumptions!$L$25=4,VLOOKUP($A103,'Henwood Reference'!$E$9:$R$320,10),(VLOOKUP($A103,PriceTableWeekend,3,0)+IF(BasisNumber&lt;&gt;1,VLOOKUP($A103,BasisTable,2,0),0)+M$1)/(1-M$2))</f>
        <v>62.870897778881272</v>
      </c>
      <c r="N103" s="156">
        <f>IF(Assumptions!$L$25=4,VLOOKUP($A103,'Henwood Reference'!$E$9:$R$320,10),(VLOOKUP($A103,PriceTableWeekend,4,0)+IF(BasisNumber&lt;&gt;1,VLOOKUP($A103,BasisTable,2,0),0)+N$1)/(1-N$2))</f>
        <v>62.870897778881272</v>
      </c>
      <c r="O103" s="154">
        <f>IF(Assumptions!$L$25=4,VLOOKUP($A103,'Henwood Reference'!$E$9:$R$320,11),(VLOOKUP($A103,PriceTableWeekend,6,0)+IF(BasisNumber&lt;&gt;1,VLOOKUP($A103,BasisTable,3,0),0)+O$1)/(1-O$2))</f>
        <v>25.938241324054857</v>
      </c>
      <c r="P103" s="154">
        <f>IF(Assumptions!$L$25=4,VLOOKUP($A103,'Henwood Reference'!$E$9:$R$320,11),(VLOOKUP($A103,PriceTableWeekend,7,0)+IF(BasisNumber&lt;&gt;1,VLOOKUP($A103,BasisTable,3,0),0)+P$1)/(1-P$2))</f>
        <v>25.938241324054857</v>
      </c>
      <c r="Q103" s="156">
        <f>IF(Assumptions!$L$25=4,VLOOKUP($A103,'Henwood Reference'!$E$9:$R$320,11),(VLOOKUP($A103,PriceTableWeekend,8,0)+IF(BasisNumber&lt;&gt;1,VLOOKUP($A103,BasisTable,3,0),0)+Q$1)/(1-Q$2))</f>
        <v>25.938241324054857</v>
      </c>
      <c r="R103" s="154">
        <f>IF(Assumptions!$L$25=4,VLOOKUP($A103,'Henwood Reference'!$E$9:$R$320,11),(VLOOKUP($A103,PriceTable,6,0)+IF(BasisNumber&lt;&gt;1,VLOOKUP($A103,BasisTable,3,0),0)+R$1)/(1-R$2))</f>
        <v>25.938241324054857</v>
      </c>
      <c r="S103" s="154">
        <f>IF(Assumptions!$L$25=4,VLOOKUP($A103,'Henwood Reference'!$E$9:$R$320,11),(VLOOKUP($A103,PriceTable,7,0)+IF(BasisNumber&lt;&gt;1,VLOOKUP($A103,BasisTable,3,0),0)+S$1)/(1-S$2))</f>
        <v>25.938241324054857</v>
      </c>
      <c r="T103" s="155">
        <f>IF(Assumptions!$L$25=4,VLOOKUP($A103,'Henwood Reference'!$E$9:$R$320,11),(VLOOKUP($A103,PriceTable,8,0)+IF(BasisNumber&lt;&gt;1,VLOOKUP($A103,BasisTable,3,0),0)+T$1)/(1-T$2))</f>
        <v>25.938241324054857</v>
      </c>
      <c r="U103" s="173">
        <f t="shared" si="298"/>
        <v>0.13500000000000001</v>
      </c>
      <c r="V103" s="173">
        <f t="shared" si="299"/>
        <v>0.14499999999999999</v>
      </c>
      <c r="W103" s="174">
        <f t="shared" si="300"/>
        <v>0.155</v>
      </c>
      <c r="X103" s="173">
        <f t="shared" si="301"/>
        <v>0.13500000000000001</v>
      </c>
      <c r="Y103" s="173">
        <f t="shared" si="302"/>
        <v>0.14499999999999999</v>
      </c>
      <c r="Z103" s="174">
        <f t="shared" si="303"/>
        <v>0.155</v>
      </c>
      <c r="AA103" s="173">
        <f t="shared" si="304"/>
        <v>0.09</v>
      </c>
      <c r="AB103" s="173">
        <f t="shared" si="305"/>
        <v>0.11</v>
      </c>
      <c r="AC103" s="174">
        <f t="shared" si="306"/>
        <v>0.13</v>
      </c>
      <c r="AD103" s="173">
        <f t="shared" si="307"/>
        <v>0.09</v>
      </c>
      <c r="AE103" s="173">
        <f t="shared" si="308"/>
        <v>0.11</v>
      </c>
      <c r="AF103" s="174">
        <f t="shared" si="309"/>
        <v>0.13</v>
      </c>
      <c r="AG103" s="173">
        <f t="shared" si="310"/>
        <v>-0.35</v>
      </c>
      <c r="AH103" s="173">
        <f t="shared" si="311"/>
        <v>3</v>
      </c>
      <c r="AI103" s="174">
        <f t="shared" si="312"/>
        <v>0.35</v>
      </c>
      <c r="AJ103" s="173">
        <f t="shared" si="313"/>
        <v>-0.35</v>
      </c>
      <c r="AK103" s="173">
        <f t="shared" si="314"/>
        <v>3</v>
      </c>
      <c r="AL103" s="174">
        <f t="shared" si="315"/>
        <v>0.35</v>
      </c>
      <c r="AM103" s="173">
        <f t="shared" si="316"/>
        <v>-0.01</v>
      </c>
      <c r="AN103" s="173">
        <f t="shared" si="317"/>
        <v>0.16</v>
      </c>
      <c r="AO103" s="174">
        <f t="shared" si="318"/>
        <v>0.01</v>
      </c>
      <c r="AP103" s="173">
        <f t="shared" si="319"/>
        <v>-0.01</v>
      </c>
      <c r="AQ103" s="173">
        <f t="shared" si="320"/>
        <v>0.16</v>
      </c>
      <c r="AR103" s="175">
        <f t="shared" si="321"/>
        <v>0.01</v>
      </c>
      <c r="AS103" s="521">
        <f t="shared" si="349"/>
        <v>0.5</v>
      </c>
      <c r="AT103" s="349">
        <f t="shared" si="347"/>
        <v>21</v>
      </c>
      <c r="AU103" s="159">
        <f t="shared" si="240"/>
        <v>4</v>
      </c>
      <c r="AV103" s="159">
        <f t="shared" si="241"/>
        <v>5</v>
      </c>
      <c r="AW103" s="159">
        <f t="shared" si="350"/>
        <v>1</v>
      </c>
      <c r="AX103" s="15">
        <f t="shared" si="348"/>
        <v>31</v>
      </c>
      <c r="AY103" s="607">
        <f>IF(E103="",0,MIN((1-(1-VLOOKUP(B103,MAIN!$AA$7:$AM$28,C103+1))*(1-VLOOKUP(B103,MAIN!$AA$33:$AM$54,C103+1))),1))</f>
        <v>3.0000000000000027E-2</v>
      </c>
      <c r="AZ103" s="337">
        <v>48888</v>
      </c>
      <c r="BA103" s="509">
        <v>9312</v>
      </c>
      <c r="BB103" s="509">
        <v>13968</v>
      </c>
      <c r="BC103" s="511">
        <v>36084</v>
      </c>
      <c r="BD103" s="153">
        <v>0.97000000361353156</v>
      </c>
      <c r="BE103" s="474">
        <v>0.97000000361353156</v>
      </c>
      <c r="BF103" s="474">
        <v>0.97000000361353156</v>
      </c>
      <c r="BG103" s="515">
        <v>0.96999998554587363</v>
      </c>
      <c r="BH103" s="262">
        <v>195552</v>
      </c>
      <c r="BI103" s="509">
        <v>37248</v>
      </c>
      <c r="BJ103" s="509">
        <v>55872</v>
      </c>
      <c r="BK103" s="511">
        <v>144336</v>
      </c>
      <c r="BL103" s="153">
        <v>0.97000000361353156</v>
      </c>
      <c r="BM103" s="474">
        <v>0.97000000361353156</v>
      </c>
      <c r="BN103" s="474">
        <v>0.97000000361353156</v>
      </c>
      <c r="BO103" s="474">
        <v>0.96999998554587363</v>
      </c>
      <c r="BP103" s="261">
        <f t="shared" si="324"/>
        <v>72168</v>
      </c>
      <c r="BQ103" s="578">
        <f t="shared" si="325"/>
        <v>108252</v>
      </c>
      <c r="BR103" s="259">
        <f t="shared" si="326"/>
        <v>288672</v>
      </c>
      <c r="BS103" s="578">
        <f t="shared" si="327"/>
        <v>433008</v>
      </c>
      <c r="BT103" s="216">
        <f t="shared" si="328"/>
        <v>7.2114989733059547</v>
      </c>
      <c r="BU103" s="218">
        <f t="shared" si="243"/>
        <v>62.870898013093615</v>
      </c>
      <c r="BV103" s="216">
        <f t="shared" si="244"/>
        <v>62.870898013093615</v>
      </c>
      <c r="BW103" s="216">
        <f t="shared" si="245"/>
        <v>25.938241420682335</v>
      </c>
      <c r="BX103" s="216">
        <f t="shared" si="329"/>
        <v>25.93824093754494</v>
      </c>
      <c r="BY103" s="216">
        <f t="shared" si="246"/>
        <v>55.722641898433366</v>
      </c>
      <c r="BZ103" s="216">
        <f t="shared" si="247"/>
        <v>45.794508244803886</v>
      </c>
      <c r="CA103" s="264">
        <f t="shared" si="248"/>
        <v>62.870898013093615</v>
      </c>
      <c r="CB103" s="216">
        <f t="shared" si="249"/>
        <v>62.870898013093615</v>
      </c>
      <c r="CC103" s="216">
        <f t="shared" si="250"/>
        <v>25.938241420682335</v>
      </c>
      <c r="CD103" s="216">
        <f t="shared" si="330"/>
        <v>25.93824093754494</v>
      </c>
      <c r="CE103" s="216">
        <f t="shared" si="251"/>
        <v>55.722641898433366</v>
      </c>
      <c r="CF103" s="571">
        <f t="shared" si="252"/>
        <v>45.794508244803886</v>
      </c>
      <c r="CG103" s="573">
        <f t="shared" si="253"/>
        <v>0.14499999999999999</v>
      </c>
      <c r="CH103" s="219">
        <f t="shared" si="254"/>
        <v>0.14499999999999999</v>
      </c>
      <c r="CI103" s="219">
        <f t="shared" si="255"/>
        <v>0.11</v>
      </c>
      <c r="CJ103" s="219">
        <f t="shared" si="256"/>
        <v>0.14189770247695963</v>
      </c>
      <c r="CK103" s="219">
        <f t="shared" si="257"/>
        <v>0.14189770247695963</v>
      </c>
      <c r="CL103" s="219">
        <f t="shared" si="258"/>
        <v>0.11</v>
      </c>
      <c r="CM103" s="219">
        <f t="shared" si="259"/>
        <v>0.1272284497682494</v>
      </c>
      <c r="CN103" s="569">
        <f t="shared" si="260"/>
        <v>0.1272284497682494</v>
      </c>
      <c r="CO103" s="264">
        <f t="shared" si="343"/>
        <v>18.418108864741228</v>
      </c>
      <c r="CP103" s="216">
        <f t="shared" si="331"/>
        <v>18.418108864741228</v>
      </c>
      <c r="CQ103" s="216">
        <f t="shared" ca="1" si="192"/>
        <v>18.418108864741228</v>
      </c>
      <c r="CR103" s="216">
        <f t="shared" ca="1" si="193"/>
        <v>18.418108864741228</v>
      </c>
      <c r="CS103" s="1626">
        <f t="shared" ca="1" si="194"/>
        <v>18.418108864741228</v>
      </c>
      <c r="CT103" s="216">
        <f t="shared" si="332"/>
        <v>18.418108864741228</v>
      </c>
      <c r="CU103" s="575">
        <f t="shared" si="261"/>
        <v>0.17</v>
      </c>
      <c r="CV103" s="154">
        <f t="shared" si="262"/>
        <v>0.5</v>
      </c>
      <c r="CW103" s="216">
        <f>IF(OR($BQ103,$BS103),SpreadOptPowerMargin,0)*((1+Assumptions!$C$26)^($B103-YEAR(Assumptions!$C$17)))</f>
        <v>1.948377888</v>
      </c>
      <c r="CX103" s="216">
        <f>IF(OR($BQ103,$BS103),SpreadOptPowerMargin,0)*((1+Assumptions!$C$26)^($B103-YEAR(Assumptions!$C$17)))</f>
        <v>1.948377888</v>
      </c>
      <c r="CY103" s="216">
        <f>IF(OR($BQ103,$BS103),SpreadOptPowerMargin,0)*((1+Assumptions!$C$26)^($B103-YEAR(Assumptions!$C$17)))</f>
        <v>1.948377888</v>
      </c>
      <c r="CZ103" s="216">
        <f>IF(OR($BQ103,$BS103),SpreadOptPowerMargin,0)*((1+Assumptions!$C$26)^($B103-YEAR(Assumptions!$C$17)))</f>
        <v>1.948377888</v>
      </c>
      <c r="DA103" s="440">
        <f t="shared" si="263"/>
        <v>1.9483778879999998</v>
      </c>
      <c r="DB103" s="479">
        <f t="shared" si="264"/>
        <v>0.14499999999999999</v>
      </c>
      <c r="DC103" s="479">
        <f t="shared" si="265"/>
        <v>0.14499999999999999</v>
      </c>
      <c r="DD103" s="479">
        <f t="shared" si="266"/>
        <v>0.11</v>
      </c>
      <c r="DE103" s="479">
        <f t="shared" si="267"/>
        <v>0.11</v>
      </c>
      <c r="DF103" s="479">
        <f t="shared" si="268"/>
        <v>0.1272284497682494</v>
      </c>
      <c r="DG103" s="574">
        <f t="shared" si="269"/>
        <v>0.1272284497682494</v>
      </c>
      <c r="DH103" s="216">
        <f t="shared" si="270"/>
        <v>42.516749394985538</v>
      </c>
      <c r="DI103" s="216">
        <f t="shared" si="271"/>
        <v>42.516749394985538</v>
      </c>
      <c r="DJ103" s="216">
        <f t="shared" ca="1" si="195"/>
        <v>6.8801592633470197</v>
      </c>
      <c r="DK103" s="216">
        <f t="shared" ca="1" si="196"/>
        <v>6.8801588758608068</v>
      </c>
      <c r="DL103" s="216">
        <f t="shared" ca="1" si="197"/>
        <v>25.506904907081591</v>
      </c>
      <c r="DM103" s="216"/>
      <c r="DN103" s="216"/>
      <c r="DO103" s="216"/>
      <c r="DP103" s="216"/>
      <c r="DQ103" s="216"/>
      <c r="DR103" s="216"/>
      <c r="DS103" s="216"/>
      <c r="DT103" s="216"/>
      <c r="DU103" s="216"/>
      <c r="DV103" s="216"/>
      <c r="DW103" s="1371">
        <f t="shared" si="272"/>
        <v>6.8801592633470197</v>
      </c>
      <c r="DX103" s="216">
        <f t="shared" si="273"/>
        <v>6.8801588758608068</v>
      </c>
      <c r="DY103" s="440">
        <f t="shared" si="274"/>
        <v>26.039616194205664</v>
      </c>
      <c r="DZ103" s="180">
        <f t="shared" si="275"/>
        <v>2078558.8444220531</v>
      </c>
      <c r="EA103" s="180">
        <f t="shared" si="276"/>
        <v>395915.97036610532</v>
      </c>
      <c r="EB103" s="180">
        <f t="shared" ca="1" si="198"/>
        <v>96102.064590431168</v>
      </c>
      <c r="EC103" s="180">
        <f t="shared" ca="1" si="199"/>
        <v>248263.65287656136</v>
      </c>
      <c r="ED103" s="180">
        <f t="shared" ca="1" si="200"/>
        <v>2761173.4700013963</v>
      </c>
      <c r="EE103" s="581">
        <f t="shared" si="277"/>
        <v>2077955.6576961074</v>
      </c>
      <c r="EF103" s="554">
        <f t="shared" si="278"/>
        <v>395801.07765640138</v>
      </c>
      <c r="EG103" s="554">
        <f t="shared" ca="1" si="201"/>
        <v>77826.269201801391</v>
      </c>
      <c r="EH103" s="554">
        <f t="shared" ca="1" si="202"/>
        <v>201051.17800445715</v>
      </c>
      <c r="EI103" s="561">
        <f t="shared" ca="1" si="279"/>
        <v>2752634.182558767</v>
      </c>
      <c r="EJ103" s="581">
        <f t="shared" si="333"/>
        <v>603.18672594567761</v>
      </c>
      <c r="EK103" s="554">
        <f t="shared" si="334"/>
        <v>114.89270970394136</v>
      </c>
      <c r="EL103" s="554">
        <f t="shared" ca="1" si="203"/>
        <v>18275.795388629776</v>
      </c>
      <c r="EM103" s="554">
        <f t="shared" ca="1" si="204"/>
        <v>47212.474872104212</v>
      </c>
      <c r="EN103" s="561">
        <f t="shared" ca="1" si="205"/>
        <v>8539.2874426292256</v>
      </c>
      <c r="EO103" s="180">
        <f t="shared" si="280"/>
        <v>8314235.3776882123</v>
      </c>
      <c r="EP103" s="180">
        <f t="shared" si="281"/>
        <v>1583663.8814644213</v>
      </c>
      <c r="EQ103" s="180">
        <f t="shared" si="282"/>
        <v>384408.25836172467</v>
      </c>
      <c r="ER103" s="180">
        <f t="shared" si="283"/>
        <v>993054.61150624545</v>
      </c>
      <c r="ES103" s="180">
        <f t="shared" si="284"/>
        <v>11275362.129020605</v>
      </c>
      <c r="ET103" s="1482">
        <f t="shared" ca="1" si="206"/>
        <v>8311822.6307844296</v>
      </c>
      <c r="EU103" s="180">
        <f t="shared" ca="1" si="207"/>
        <v>1583204.3106256055</v>
      </c>
      <c r="EV103" s="180">
        <f t="shared" ca="1" si="208"/>
        <v>311305.07680720557</v>
      </c>
      <c r="EW103" s="180">
        <f t="shared" ca="1" si="209"/>
        <v>804204.7120178286</v>
      </c>
      <c r="EX103" s="555">
        <f t="shared" ca="1" si="182"/>
        <v>11010536.730235068</v>
      </c>
      <c r="EY103" s="180">
        <f t="shared" ca="1" si="210"/>
        <v>2412.7469037827104</v>
      </c>
      <c r="EZ103" s="180">
        <f t="shared" ca="1" si="211"/>
        <v>459.57083881576546</v>
      </c>
      <c r="FA103" s="180">
        <f t="shared" ca="1" si="212"/>
        <v>73103.181554519106</v>
      </c>
      <c r="FB103" s="180">
        <f t="shared" ca="1" si="213"/>
        <v>188849.89948841685</v>
      </c>
      <c r="FC103" s="180">
        <f t="shared" ca="1" si="214"/>
        <v>264825.39878553711</v>
      </c>
      <c r="FD103" s="262">
        <f>IF(AX103,IF(VLOOKUP(C103,MAIN!$L$17:$M$28,2)="Yes",VLOOKUP(CALC!B103,MAIN!$H$17:$I$20,2),0),0)</f>
        <v>0</v>
      </c>
      <c r="FE103" s="623">
        <f t="shared" si="285"/>
        <v>0</v>
      </c>
      <c r="FF103" s="535">
        <f t="shared" si="286"/>
        <v>0</v>
      </c>
      <c r="FG103" s="535">
        <f t="shared" si="287"/>
        <v>0</v>
      </c>
      <c r="FH103" s="624">
        <f t="shared" si="288"/>
        <v>0</v>
      </c>
      <c r="FI103" s="632">
        <f>IF(AX103,VLOOKUP(CALC!B103,MAIN!$H$17:$K$20,4),0)</f>
        <v>0</v>
      </c>
      <c r="FJ103" s="535">
        <f t="shared" si="289"/>
        <v>0</v>
      </c>
      <c r="FK103" s="648">
        <f t="shared" si="335"/>
        <v>0</v>
      </c>
      <c r="FL103" s="530">
        <f t="shared" ca="1" si="215"/>
        <v>0</v>
      </c>
      <c r="FM103" s="530">
        <f t="shared" ca="1" si="216"/>
        <v>0</v>
      </c>
      <c r="FN103" s="530">
        <f t="shared" ca="1" si="217"/>
        <v>0</v>
      </c>
      <c r="FO103" s="622">
        <f t="shared" ca="1" si="218"/>
        <v>0</v>
      </c>
      <c r="FP103" s="530">
        <f t="shared" ca="1" si="219"/>
        <v>0</v>
      </c>
      <c r="FQ103" s="530">
        <f t="shared" ca="1" si="220"/>
        <v>0</v>
      </c>
      <c r="FR103" s="530">
        <f t="shared" ca="1" si="221"/>
        <v>0</v>
      </c>
      <c r="FS103" s="625">
        <f t="shared" ca="1" si="222"/>
        <v>0</v>
      </c>
      <c r="FT103" s="640">
        <f ca="1">IF(AND(Assumptions!$H$71="Yes",A103&gt;=Assumptions!$H$72,A103&lt;=Assumptions!$H$73),0,IF(AND($A103&gt;=Assumptions!$C$17,$A103&lt;=Assumptions!$C$18),MAX(AZ103*(1+VLOOKUP($C103,WeatherCapacityAdjustment,2))-FL103,0),0))</f>
        <v>48888</v>
      </c>
      <c r="FU103" s="530">
        <f ca="1">IF(AND(Assumptions!$H$71="Yes",A103&gt;=Assumptions!$H$72,A103&lt;=Assumptions!$H$73),0,IF(AND($A103&gt;=Assumptions!$C$17,$A103&lt;=Assumptions!$C$18),MAX(BA103*(1+VLOOKUP($C103,WeatherCapacityAdjustment,2))-FM103,0),0))</f>
        <v>9312</v>
      </c>
      <c r="FV103" s="530">
        <f ca="1">IF(AND(Assumptions!$H$71="Yes",A103&gt;=Assumptions!$H$72,A103&lt;=Assumptions!$H$73),0,IF(AND($A103&gt;=Assumptions!$C$17,$A103&lt;=Assumptions!$C$18),MAX(BB103*(1+VLOOKUP($C103,WeatherCapacityAdjustment,2))-FN103,0),0))</f>
        <v>13968</v>
      </c>
      <c r="FW103" s="622">
        <f ca="1">IF(AND(Assumptions!$H$71="Yes",A103&gt;=Assumptions!$H$72,A103&lt;=Assumptions!$H$73),0,IF(AND($A103&gt;=Assumptions!$C$17,$A103&lt;=Assumptions!$C$18),MAX(BC103*(1+VLOOKUP($C103,WeatherCapacityAdjustment,3))-FO103,0),0))</f>
        <v>36084</v>
      </c>
      <c r="FX103" s="621">
        <f ca="1">IF(AND(Assumptions!$H$71="Yes",A103&gt;=Assumptions!$H$72,A103&lt;=Assumptions!$H$73),0,IF(ET103&gt;0,MAX(BH103*(1+VLOOKUP($C103,WeatherCapacityAdjustment,2))-FP103,0),0))</f>
        <v>195552</v>
      </c>
      <c r="FY103" s="530">
        <f ca="1">IF(AND(Assumptions!$H$71="Yes",A103&gt;=Assumptions!$H$72,A103&lt;=Assumptions!$H$73),0,IF(EU103&gt;0,MAX(BI103*(1+VLOOKUP($C103,WeatherCapacityAdjustment,3))-FQ103,0),0))</f>
        <v>37248</v>
      </c>
      <c r="FZ103" s="530">
        <f ca="1">IF(AND(Assumptions!$H$71="Yes",A103&gt;=Assumptions!$H$72,A103&lt;=Assumptions!$H$73),0,IF(EV103&gt;0,MAX(BJ103*(1+VLOOKUP($C103,WeatherCapacityAdjustment,2))-FR103,0),0))</f>
        <v>55872</v>
      </c>
      <c r="GA103" s="622">
        <f ca="1">IF(AND(Assumptions!$H$71="Yes",A103&gt;=Assumptions!$H$72,A103&lt;=Assumptions!$H$73),0,IF(EW103&gt;0,MAX(BK103*(1+VLOOKUP($C103,WeatherCapacityAdjustment,2))-FS103,0),0))</f>
        <v>144336</v>
      </c>
      <c r="GB103" s="530">
        <f t="shared" ca="1" si="290"/>
        <v>541260</v>
      </c>
      <c r="GC103" s="545">
        <f t="shared" ca="1" si="291"/>
        <v>45.794508244803886</v>
      </c>
      <c r="GD103" s="530">
        <f t="shared" ca="1" si="223"/>
        <v>24786735.532582555</v>
      </c>
      <c r="GE103" s="1485">
        <f t="shared" ca="1" si="224"/>
        <v>771161.26751999999</v>
      </c>
      <c r="GF103" s="1776">
        <f t="shared" ca="1" si="225"/>
        <v>3084645.07008</v>
      </c>
      <c r="GG103" s="545">
        <f t="shared" si="190"/>
        <v>2.5854476940185003</v>
      </c>
      <c r="GH103" s="622">
        <f t="shared" ca="1" si="191"/>
        <v>9968985.6041298397</v>
      </c>
      <c r="GI103" s="621">
        <f t="shared" ca="1" si="336"/>
        <v>541260</v>
      </c>
      <c r="GJ103" s="638">
        <f t="shared" si="292"/>
        <v>1.9483778879999998</v>
      </c>
      <c r="GK103" s="625">
        <f t="shared" ca="1" si="342"/>
        <v>1054579.0156588799</v>
      </c>
      <c r="GL103" s="640">
        <f t="shared" ca="1" si="226"/>
        <v>0</v>
      </c>
      <c r="GM103" s="530">
        <f t="shared" ca="1" si="227"/>
        <v>0</v>
      </c>
      <c r="GN103" s="530">
        <f t="shared" ca="1" si="228"/>
        <v>0</v>
      </c>
      <c r="GO103" s="622">
        <f t="shared" ca="1" si="229"/>
        <v>0</v>
      </c>
      <c r="GP103" s="530">
        <f t="shared" ca="1" si="293"/>
        <v>0</v>
      </c>
      <c r="GQ103" s="545">
        <f t="shared" ca="1" si="294"/>
        <v>0</v>
      </c>
      <c r="GR103" s="625">
        <f t="shared" ca="1" si="230"/>
        <v>0</v>
      </c>
      <c r="GS103" s="640">
        <f>IF($A103&gt;=BegDate,Assumptions!$C$56*24*($A104-$A103)*(1-VLOOKUP($B103,MAIN!$AA$7:$AM$28,$C103+1))*(1-VLOOKUP($B103,MAIN!$AA$33:$AM$54,$C103+1)),0)*80/168</f>
        <v>257742.85714285713</v>
      </c>
      <c r="GT103" s="1715">
        <f t="shared" si="337"/>
        <v>62.870897778881272</v>
      </c>
      <c r="GU103" s="1715">
        <f>IF($A103&gt;=BegDate,VLOOKUP($A103,GasTable,13)+Assumptions!$C$58,0)</f>
        <v>2.5854476940185003</v>
      </c>
      <c r="GV103" s="1715">
        <f>GU103*Assumptions!$C$57/1000</f>
        <v>18.744495781634125</v>
      </c>
      <c r="GW103" s="625">
        <f>IF(Assumptions!$C$60="Hourly",MAX(0,GS103*(GT103-GV103)),GS103*(GT103-GV103))</f>
        <v>11373264.926204756</v>
      </c>
      <c r="GX103" s="640">
        <f>IF($A103&gt;=BegDate,Assumptions!$C$56*24*($A104-$A103)*(1-VLOOKUP($B103,MAIN!$AA$7:$AM$28,$C103+1))*(1-VLOOKUP($B103,MAIN!$AA$33:$AM$54,$C103+1)),0)*16/168</f>
        <v>51548.571428571428</v>
      </c>
      <c r="GY103" s="1715">
        <f t="shared" si="338"/>
        <v>62.870897778881272</v>
      </c>
      <c r="GZ103" s="1715">
        <f>IF($A103&gt;=BegDate,VLOOKUP($A103,GasTable,13)+Assumptions!$C$58,0)</f>
        <v>2.5854476940185003</v>
      </c>
      <c r="HA103" s="1715">
        <f>GZ103*Assumptions!$C$57/1000</f>
        <v>18.744495781634125</v>
      </c>
      <c r="HB103" s="625">
        <f>IF(Assumptions!$C$60="Hourly",MAX(0,GX103*(GY103-HA103)),GX103*(GY103-HA103))</f>
        <v>2274652.9852409512</v>
      </c>
      <c r="HC103" s="640">
        <f>IF($A103&gt;=BegDate,Assumptions!$C$56*24*($A104-$A103)*(1-VLOOKUP($B103,MAIN!$AA$7:$AM$28,$C103+1))*(1-VLOOKUP($B103,MAIN!$AA$33:$AM$54,$C103+1)),0)*16/168</f>
        <v>51548.571428571428</v>
      </c>
      <c r="HD103" s="1715">
        <f t="shared" si="339"/>
        <v>25.938241324054857</v>
      </c>
      <c r="HE103" s="1715">
        <f>IF($A103&gt;=BegDate,VLOOKUP($A103,GasTable,13)+Assumptions!$C$58,0)</f>
        <v>2.5854476940185003</v>
      </c>
      <c r="HF103" s="1715">
        <f>HE103*Assumptions!$C$57/1000</f>
        <v>18.744495781634125</v>
      </c>
      <c r="HG103" s="625">
        <f>IF(Assumptions!$C$60="Hourly",MAX(0,HC103*(HD103-HF103)),HC103*(HD103-HF103))</f>
        <v>370827.30593244242</v>
      </c>
      <c r="HH103" s="640">
        <f>IF($A103&gt;=BegDate,Assumptions!$C$56*24*($A104-$A103)*(1-VLOOKUP($B103,MAIN!$AA$7:$AM$28,$C103+1))*(1-VLOOKUP($B103,MAIN!$AA$33:$AM$54,$C103+1)),0)*56/168</f>
        <v>180420</v>
      </c>
      <c r="HI103" s="1715">
        <f t="shared" si="340"/>
        <v>25.938241324054857</v>
      </c>
      <c r="HJ103" s="1715">
        <f>IF($A103&gt;=BegDate,VLOOKUP($A103,GasTable,13)+Assumptions!$C$58,0)</f>
        <v>2.5854476940185003</v>
      </c>
      <c r="HK103" s="1715">
        <f>HJ103*Assumptions!$C$57/1000</f>
        <v>18.744495781634125</v>
      </c>
      <c r="HL103" s="625">
        <f>IF(Assumptions!$C$60="Hourly",MAX(0,HH103*(HI103-HK103)),HH103*(HI103-HK103))</f>
        <v>1297895.5707635486</v>
      </c>
      <c r="HM103" s="640">
        <f>IF(AND(Assumptions!$H$71="Yes",A103&gt;=Assumptions!$H$72,A103&lt;=Assumptions!$H$73),Assumptions!$H$74*Assumptions!$C$9*1000,0)</f>
        <v>0</v>
      </c>
      <c r="HN103" s="530"/>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1464"/>
      <c r="IJ103" s="1463"/>
      <c r="IK103" s="1463"/>
    </row>
    <row r="104" spans="1:245">
      <c r="A104" s="177">
        <f t="shared" si="295"/>
        <v>39295</v>
      </c>
      <c r="B104" s="349">
        <f t="shared" si="296"/>
        <v>2007</v>
      </c>
      <c r="C104" s="15">
        <f t="shared" si="344"/>
        <v>8</v>
      </c>
      <c r="D104" s="612" t="str">
        <f t="shared" si="297"/>
        <v/>
      </c>
      <c r="E104" s="609">
        <f t="shared" si="345"/>
        <v>39295</v>
      </c>
      <c r="F104" s="614">
        <f t="shared" si="346"/>
        <v>39325</v>
      </c>
      <c r="G104" s="1349">
        <v>0</v>
      </c>
      <c r="H104" s="152">
        <f t="shared" si="341"/>
        <v>1</v>
      </c>
      <c r="I104" s="154">
        <f>IF(Assumptions!$L$25=4,VLOOKUP($A104,'Henwood Reference'!$E$9:$R$320,10),(VLOOKUP($A104,PriceTable,2,0)+IF(BasisNumber&lt;&gt;1,VLOOKUP($A104,BasisTable,2,0),0)+I$1)/(1-I$2))</f>
        <v>107.50296452682727</v>
      </c>
      <c r="J104" s="154">
        <f>IF(Assumptions!$L$25=4,VLOOKUP($A104,'Henwood Reference'!$E$9:$R$320,10),(VLOOKUP($A104,PriceTable,3,0)+IF(BasisNumber&lt;&gt;1,VLOOKUP($A104,BasisTable,2,0),0)+J$1)/(1-J$2))</f>
        <v>107.50296452682727</v>
      </c>
      <c r="K104" s="154">
        <f>IF(Assumptions!$L$25=4,VLOOKUP($A104,'Henwood Reference'!$E$9:$R$320,10),(VLOOKUP($A104,PriceTable,4,0)+IF(BasisNumber&lt;&gt;1,VLOOKUP($A104,BasisTable,2,0),0)+K$1)/(1-K$2))</f>
        <v>107.50296452682727</v>
      </c>
      <c r="L104" s="474">
        <f>IF(Assumptions!$L$25=4,VLOOKUP($A104,'Henwood Reference'!$E$9:$R$320,10),(VLOOKUP($A104,PriceTableWeekend,2,0)+IF(BasisNumber&lt;&gt;1,VLOOKUP($A104,BasisTable,2,0),0)+L$1)/(1-L$2))</f>
        <v>107.50296452682727</v>
      </c>
      <c r="M104" s="154">
        <f>IF(Assumptions!$L$25=4,VLOOKUP($A104,'Henwood Reference'!$E$9:$R$320,10),(VLOOKUP($A104,PriceTableWeekend,3,0)+IF(BasisNumber&lt;&gt;1,VLOOKUP($A104,BasisTable,2,0),0)+M$1)/(1-M$2))</f>
        <v>107.50296452682727</v>
      </c>
      <c r="N104" s="156">
        <f>IF(Assumptions!$L$25=4,VLOOKUP($A104,'Henwood Reference'!$E$9:$R$320,10),(VLOOKUP($A104,PriceTableWeekend,4,0)+IF(BasisNumber&lt;&gt;1,VLOOKUP($A104,BasisTable,2,0),0)+N$1)/(1-N$2))</f>
        <v>107.50296452682727</v>
      </c>
      <c r="O104" s="154">
        <f>IF(Assumptions!$L$25=4,VLOOKUP($A104,'Henwood Reference'!$E$9:$R$320,11),(VLOOKUP($A104,PriceTableWeekend,6,0)+IF(BasisNumber&lt;&gt;1,VLOOKUP($A104,BasisTable,3,0),0)+O$1)/(1-O$2))</f>
        <v>31.093772337598356</v>
      </c>
      <c r="P104" s="154">
        <f>IF(Assumptions!$L$25=4,VLOOKUP($A104,'Henwood Reference'!$E$9:$R$320,11),(VLOOKUP($A104,PriceTableWeekend,7,0)+IF(BasisNumber&lt;&gt;1,VLOOKUP($A104,BasisTable,3,0),0)+P$1)/(1-P$2))</f>
        <v>31.093772337598356</v>
      </c>
      <c r="Q104" s="156">
        <f>IF(Assumptions!$L$25=4,VLOOKUP($A104,'Henwood Reference'!$E$9:$R$320,11),(VLOOKUP($A104,PriceTableWeekend,8,0)+IF(BasisNumber&lt;&gt;1,VLOOKUP($A104,BasisTable,3,0),0)+Q$1)/(1-Q$2))</f>
        <v>31.093772337598356</v>
      </c>
      <c r="R104" s="154">
        <f>IF(Assumptions!$L$25=4,VLOOKUP($A104,'Henwood Reference'!$E$9:$R$320,11),(VLOOKUP($A104,PriceTable,6,0)+IF(BasisNumber&lt;&gt;1,VLOOKUP($A104,BasisTable,3,0),0)+R$1)/(1-R$2))</f>
        <v>31.093772337598356</v>
      </c>
      <c r="S104" s="154">
        <f>IF(Assumptions!$L$25=4,VLOOKUP($A104,'Henwood Reference'!$E$9:$R$320,11),(VLOOKUP($A104,PriceTable,7,0)+IF(BasisNumber&lt;&gt;1,VLOOKUP($A104,BasisTable,3,0),0)+S$1)/(1-S$2))</f>
        <v>31.093772337598356</v>
      </c>
      <c r="T104" s="155">
        <f>IF(Assumptions!$L$25=4,VLOOKUP($A104,'Henwood Reference'!$E$9:$R$320,11),(VLOOKUP($A104,PriceTable,8,0)+IF(BasisNumber&lt;&gt;1,VLOOKUP($A104,BasisTable,3,0),0)+T$1)/(1-T$2))</f>
        <v>31.093772337598356</v>
      </c>
      <c r="U104" s="173">
        <f t="shared" si="298"/>
        <v>0.13500000000000001</v>
      </c>
      <c r="V104" s="173">
        <f t="shared" si="299"/>
        <v>0.14499999999999999</v>
      </c>
      <c r="W104" s="174">
        <f t="shared" si="300"/>
        <v>0.155</v>
      </c>
      <c r="X104" s="173">
        <f t="shared" si="301"/>
        <v>0.13500000000000001</v>
      </c>
      <c r="Y104" s="173">
        <f t="shared" si="302"/>
        <v>0.14499999999999999</v>
      </c>
      <c r="Z104" s="174">
        <f t="shared" si="303"/>
        <v>0.155</v>
      </c>
      <c r="AA104" s="173">
        <f t="shared" si="304"/>
        <v>0.09</v>
      </c>
      <c r="AB104" s="173">
        <f t="shared" si="305"/>
        <v>0.11</v>
      </c>
      <c r="AC104" s="174">
        <f t="shared" si="306"/>
        <v>0.13</v>
      </c>
      <c r="AD104" s="173">
        <f t="shared" si="307"/>
        <v>0.09</v>
      </c>
      <c r="AE104" s="173">
        <f t="shared" si="308"/>
        <v>0.11</v>
      </c>
      <c r="AF104" s="174">
        <f t="shared" si="309"/>
        <v>0.13</v>
      </c>
      <c r="AG104" s="173">
        <f t="shared" si="310"/>
        <v>-0.35</v>
      </c>
      <c r="AH104" s="173">
        <f t="shared" si="311"/>
        <v>3</v>
      </c>
      <c r="AI104" s="174">
        <f t="shared" si="312"/>
        <v>0.35</v>
      </c>
      <c r="AJ104" s="173">
        <f t="shared" si="313"/>
        <v>-0.35</v>
      </c>
      <c r="AK104" s="173">
        <f t="shared" si="314"/>
        <v>3</v>
      </c>
      <c r="AL104" s="174">
        <f t="shared" si="315"/>
        <v>0.35</v>
      </c>
      <c r="AM104" s="173">
        <f t="shared" si="316"/>
        <v>-0.01</v>
      </c>
      <c r="AN104" s="173">
        <f t="shared" si="317"/>
        <v>0.16</v>
      </c>
      <c r="AO104" s="174">
        <f t="shared" si="318"/>
        <v>0.01</v>
      </c>
      <c r="AP104" s="173">
        <f t="shared" si="319"/>
        <v>-0.01</v>
      </c>
      <c r="AQ104" s="173">
        <f t="shared" si="320"/>
        <v>0.16</v>
      </c>
      <c r="AR104" s="175">
        <f t="shared" si="321"/>
        <v>0.01</v>
      </c>
      <c r="AS104" s="521">
        <f t="shared" si="349"/>
        <v>0.5</v>
      </c>
      <c r="AT104" s="349">
        <f t="shared" si="347"/>
        <v>23</v>
      </c>
      <c r="AU104" s="159">
        <f t="shared" si="240"/>
        <v>4</v>
      </c>
      <c r="AV104" s="159">
        <f t="shared" si="241"/>
        <v>4</v>
      </c>
      <c r="AW104" s="159">
        <f t="shared" si="350"/>
        <v>0</v>
      </c>
      <c r="AX104" s="15">
        <f t="shared" si="348"/>
        <v>31</v>
      </c>
      <c r="AY104" s="607">
        <f>IF(E104="",0,MIN((1-(1-VLOOKUP(B104,MAIN!$AA$7:$AM$28,C104+1))*(1-VLOOKUP(B104,MAIN!$AA$33:$AM$54,C104+1))),1))</f>
        <v>3.0000000000000027E-2</v>
      </c>
      <c r="AZ104" s="337">
        <v>53544</v>
      </c>
      <c r="BA104" s="509">
        <v>9312</v>
      </c>
      <c r="BB104" s="509">
        <v>9312</v>
      </c>
      <c r="BC104" s="511">
        <v>36084</v>
      </c>
      <c r="BD104" s="153">
        <v>0.96999998915940522</v>
      </c>
      <c r="BE104" s="474">
        <v>0.96999998915940522</v>
      </c>
      <c r="BF104" s="474">
        <v>0.96999998915940522</v>
      </c>
      <c r="BG104" s="515">
        <v>0.97000000722706314</v>
      </c>
      <c r="BH104" s="262">
        <v>214176</v>
      </c>
      <c r="BI104" s="509">
        <v>37248</v>
      </c>
      <c r="BJ104" s="509">
        <v>37248</v>
      </c>
      <c r="BK104" s="511">
        <v>144336</v>
      </c>
      <c r="BL104" s="153">
        <v>0.96999998915940522</v>
      </c>
      <c r="BM104" s="474">
        <v>0.96999998915940522</v>
      </c>
      <c r="BN104" s="474">
        <v>0.96999998915940522</v>
      </c>
      <c r="BO104" s="474">
        <v>0.97000000722706314</v>
      </c>
      <c r="BP104" s="261">
        <f t="shared" si="324"/>
        <v>72168</v>
      </c>
      <c r="BQ104" s="578">
        <f t="shared" si="325"/>
        <v>108252</v>
      </c>
      <c r="BR104" s="259">
        <f t="shared" si="326"/>
        <v>288672</v>
      </c>
      <c r="BS104" s="578">
        <f t="shared" si="327"/>
        <v>433008</v>
      </c>
      <c r="BT104" s="216">
        <f t="shared" si="328"/>
        <v>7.2963723477070497</v>
      </c>
      <c r="BU104" s="218">
        <f t="shared" si="243"/>
        <v>107.50296332538802</v>
      </c>
      <c r="BV104" s="216">
        <f t="shared" si="244"/>
        <v>107.50296332538802</v>
      </c>
      <c r="BW104" s="216">
        <f t="shared" si="245"/>
        <v>31.093771990098368</v>
      </c>
      <c r="BX104" s="216">
        <f t="shared" si="329"/>
        <v>31.09377256926501</v>
      </c>
      <c r="BY104" s="216">
        <f t="shared" si="246"/>
        <v>97.64371283051193</v>
      </c>
      <c r="BZ104" s="216">
        <f t="shared" si="247"/>
        <v>75.460399410096286</v>
      </c>
      <c r="CA104" s="264">
        <f t="shared" si="248"/>
        <v>107.50296332538802</v>
      </c>
      <c r="CB104" s="216">
        <f t="shared" si="249"/>
        <v>107.50296332538802</v>
      </c>
      <c r="CC104" s="216">
        <f t="shared" si="250"/>
        <v>31.093771990098368</v>
      </c>
      <c r="CD104" s="216">
        <f t="shared" si="330"/>
        <v>31.09377256926501</v>
      </c>
      <c r="CE104" s="216">
        <f t="shared" si="251"/>
        <v>97.64371283051193</v>
      </c>
      <c r="CF104" s="571">
        <f t="shared" si="252"/>
        <v>75.460399410096286</v>
      </c>
      <c r="CG104" s="573">
        <f t="shared" si="253"/>
        <v>0.14499999999999999</v>
      </c>
      <c r="CH104" s="219">
        <f t="shared" si="254"/>
        <v>0.14499999999999999</v>
      </c>
      <c r="CI104" s="219">
        <f t="shared" si="255"/>
        <v>0.11</v>
      </c>
      <c r="CJ104" s="219">
        <f t="shared" si="256"/>
        <v>0.14358691053851719</v>
      </c>
      <c r="CK104" s="219">
        <f t="shared" si="257"/>
        <v>0.14358691053851719</v>
      </c>
      <c r="CL104" s="219">
        <f t="shared" si="258"/>
        <v>0.11</v>
      </c>
      <c r="CM104" s="219">
        <f t="shared" si="259"/>
        <v>0.13247150045203784</v>
      </c>
      <c r="CN104" s="569">
        <f t="shared" si="260"/>
        <v>0.13247150045203784</v>
      </c>
      <c r="CO104" s="264">
        <f t="shared" si="343"/>
        <v>19.088913955092014</v>
      </c>
      <c r="CP104" s="216">
        <f t="shared" si="331"/>
        <v>19.088913955092014</v>
      </c>
      <c r="CQ104" s="216">
        <f t="shared" ca="1" si="192"/>
        <v>19.088913955092014</v>
      </c>
      <c r="CR104" s="216">
        <f t="shared" ca="1" si="193"/>
        <v>19.088913955092014</v>
      </c>
      <c r="CS104" s="1626">
        <f t="shared" ca="1" si="194"/>
        <v>19.088913955092014</v>
      </c>
      <c r="CT104" s="216">
        <f t="shared" si="332"/>
        <v>19.088913955092014</v>
      </c>
      <c r="CU104" s="575">
        <f t="shared" si="261"/>
        <v>0.17</v>
      </c>
      <c r="CV104" s="154">
        <f t="shared" si="262"/>
        <v>0.5</v>
      </c>
      <c r="CW104" s="216">
        <f>IF(OR($BQ104,$BS104),SpreadOptPowerMargin,0)*((1+Assumptions!$C$26)^($B104-YEAR(Assumptions!$C$17)))</f>
        <v>1.948377888</v>
      </c>
      <c r="CX104" s="216">
        <f>IF(OR($BQ104,$BS104),SpreadOptPowerMargin,0)*((1+Assumptions!$C$26)^($B104-YEAR(Assumptions!$C$17)))</f>
        <v>1.948377888</v>
      </c>
      <c r="CY104" s="216">
        <f>IF(OR($BQ104,$BS104),SpreadOptPowerMargin,0)*((1+Assumptions!$C$26)^($B104-YEAR(Assumptions!$C$17)))</f>
        <v>1.948377888</v>
      </c>
      <c r="CZ104" s="216">
        <f>IF(OR($BQ104,$BS104),SpreadOptPowerMargin,0)*((1+Assumptions!$C$26)^($B104-YEAR(Assumptions!$C$17)))</f>
        <v>1.948377888</v>
      </c>
      <c r="DA104" s="440">
        <f t="shared" si="263"/>
        <v>1.9483778879999998</v>
      </c>
      <c r="DB104" s="479">
        <f t="shared" si="264"/>
        <v>0.14499999999999999</v>
      </c>
      <c r="DC104" s="479">
        <f t="shared" si="265"/>
        <v>0.14499999999999999</v>
      </c>
      <c r="DD104" s="479">
        <f t="shared" si="266"/>
        <v>0.11</v>
      </c>
      <c r="DE104" s="479">
        <f t="shared" si="267"/>
        <v>0.11</v>
      </c>
      <c r="DF104" s="479">
        <f t="shared" si="268"/>
        <v>0.13247150045203784</v>
      </c>
      <c r="DG104" s="574">
        <f t="shared" si="269"/>
        <v>0.13247150045203784</v>
      </c>
      <c r="DH104" s="216">
        <f t="shared" si="270"/>
        <v>86.465855575866954</v>
      </c>
      <c r="DI104" s="216">
        <f t="shared" si="271"/>
        <v>86.465855575866954</v>
      </c>
      <c r="DJ104" s="216">
        <f t="shared" ca="1" si="195"/>
        <v>10.78979675488829</v>
      </c>
      <c r="DK104" s="216">
        <f t="shared" ca="1" si="196"/>
        <v>10.789797271619824</v>
      </c>
      <c r="DL104" s="216">
        <f t="shared" ca="1" si="197"/>
        <v>54.42600439884108</v>
      </c>
      <c r="DM104" s="216"/>
      <c r="DN104" s="216"/>
      <c r="DO104" s="216"/>
      <c r="DP104" s="216"/>
      <c r="DQ104" s="216"/>
      <c r="DR104" s="216"/>
      <c r="DS104" s="216"/>
      <c r="DT104" s="216"/>
      <c r="DU104" s="216"/>
      <c r="DV104" s="216"/>
      <c r="DW104" s="1371">
        <f t="shared" si="272"/>
        <v>10.78979675488829</v>
      </c>
      <c r="DX104" s="216">
        <f t="shared" si="273"/>
        <v>10.789797271619824</v>
      </c>
      <c r="DY104" s="440">
        <f t="shared" si="274"/>
        <v>54.730734307055229</v>
      </c>
      <c r="DZ104" s="180">
        <f t="shared" si="275"/>
        <v>4629727.7709542206</v>
      </c>
      <c r="EA104" s="180">
        <f t="shared" si="276"/>
        <v>805170.04712247313</v>
      </c>
      <c r="EB104" s="180">
        <f t="shared" ca="1" si="198"/>
        <v>100474.58738151976</v>
      </c>
      <c r="EC104" s="180">
        <f t="shared" ca="1" si="199"/>
        <v>389339.04474912974</v>
      </c>
      <c r="ED104" s="180">
        <f t="shared" ca="1" si="200"/>
        <v>5891723.8281833446</v>
      </c>
      <c r="EE104" s="581">
        <f t="shared" si="277"/>
        <v>4629717.9138480583</v>
      </c>
      <c r="EF104" s="554">
        <f t="shared" si="278"/>
        <v>805168.33284314047</v>
      </c>
      <c r="EG104" s="554">
        <f t="shared" ca="1" si="201"/>
        <v>93645.943128923172</v>
      </c>
      <c r="EH104" s="554">
        <f t="shared" ca="1" si="202"/>
        <v>362878.05052322638</v>
      </c>
      <c r="EI104" s="561">
        <f t="shared" ca="1" si="279"/>
        <v>5891410.2403433463</v>
      </c>
      <c r="EJ104" s="581">
        <f t="shared" si="333"/>
        <v>9.8571061622351408</v>
      </c>
      <c r="EK104" s="554">
        <f t="shared" si="334"/>
        <v>1.7142793326638639</v>
      </c>
      <c r="EL104" s="554">
        <f t="shared" ca="1" si="203"/>
        <v>6828.6442525965831</v>
      </c>
      <c r="EM104" s="554">
        <f t="shared" ca="1" si="204"/>
        <v>26460.994225903356</v>
      </c>
      <c r="EN104" s="561">
        <f t="shared" ca="1" si="205"/>
        <v>313.58783999830484</v>
      </c>
      <c r="EO104" s="180">
        <f t="shared" si="280"/>
        <v>18518911.083816882</v>
      </c>
      <c r="EP104" s="180">
        <f t="shared" si="281"/>
        <v>3220680.1884898925</v>
      </c>
      <c r="EQ104" s="180">
        <f t="shared" si="282"/>
        <v>401898.34952607902</v>
      </c>
      <c r="ER104" s="180">
        <f t="shared" si="283"/>
        <v>1557356.178996519</v>
      </c>
      <c r="ES104" s="180">
        <f t="shared" si="284"/>
        <v>23698845.80082937</v>
      </c>
      <c r="ET104" s="1482">
        <f t="shared" ca="1" si="206"/>
        <v>18518871.655392233</v>
      </c>
      <c r="EU104" s="180">
        <f t="shared" ca="1" si="207"/>
        <v>3220673.3313725619</v>
      </c>
      <c r="EV104" s="180">
        <f t="shared" ca="1" si="208"/>
        <v>374583.77251569269</v>
      </c>
      <c r="EW104" s="180">
        <f t="shared" ca="1" si="209"/>
        <v>1451512.2020929055</v>
      </c>
      <c r="EX104" s="555">
        <f t="shared" ca="1" si="182"/>
        <v>23565640.961373392</v>
      </c>
      <c r="EY104" s="180">
        <f t="shared" ca="1" si="210"/>
        <v>39.428424648940563</v>
      </c>
      <c r="EZ104" s="180">
        <f t="shared" ca="1" si="211"/>
        <v>6.8571173306554556</v>
      </c>
      <c r="FA104" s="180">
        <f t="shared" ca="1" si="212"/>
        <v>27314.577010386332</v>
      </c>
      <c r="FB104" s="180">
        <f t="shared" ca="1" si="213"/>
        <v>105843.97690361342</v>
      </c>
      <c r="FC104" s="180">
        <f t="shared" ca="1" si="214"/>
        <v>133204.83945597708</v>
      </c>
      <c r="FD104" s="262">
        <f>IF(AX104,IF(VLOOKUP(C104,MAIN!$L$17:$M$28,2)="Yes",VLOOKUP(CALC!B104,MAIN!$H$17:$I$20,2),0),0)</f>
        <v>0</v>
      </c>
      <c r="FE104" s="623">
        <f t="shared" si="285"/>
        <v>0</v>
      </c>
      <c r="FF104" s="535">
        <f t="shared" si="286"/>
        <v>0</v>
      </c>
      <c r="FG104" s="535">
        <f t="shared" si="287"/>
        <v>0</v>
      </c>
      <c r="FH104" s="624">
        <f t="shared" si="288"/>
        <v>0</v>
      </c>
      <c r="FI104" s="632">
        <f>IF(AX104,VLOOKUP(CALC!B104,MAIN!$H$17:$K$20,4),0)</f>
        <v>0</v>
      </c>
      <c r="FJ104" s="535">
        <f t="shared" si="289"/>
        <v>0</v>
      </c>
      <c r="FK104" s="648">
        <f t="shared" si="335"/>
        <v>0</v>
      </c>
      <c r="FL104" s="530">
        <f t="shared" ca="1" si="215"/>
        <v>0</v>
      </c>
      <c r="FM104" s="530">
        <f t="shared" ca="1" si="216"/>
        <v>0</v>
      </c>
      <c r="FN104" s="530">
        <f t="shared" ca="1" si="217"/>
        <v>0</v>
      </c>
      <c r="FO104" s="622">
        <f t="shared" ca="1" si="218"/>
        <v>0</v>
      </c>
      <c r="FP104" s="530">
        <f t="shared" ca="1" si="219"/>
        <v>0</v>
      </c>
      <c r="FQ104" s="530">
        <f t="shared" ca="1" si="220"/>
        <v>0</v>
      </c>
      <c r="FR104" s="530">
        <f t="shared" ca="1" si="221"/>
        <v>0</v>
      </c>
      <c r="FS104" s="625">
        <f t="shared" ca="1" si="222"/>
        <v>0</v>
      </c>
      <c r="FT104" s="640">
        <f ca="1">IF(AND(Assumptions!$H$71="Yes",A104&gt;=Assumptions!$H$72,A104&lt;=Assumptions!$H$73),0,IF(AND($A104&gt;=Assumptions!$C$17,$A104&lt;=Assumptions!$C$18),MAX(AZ104*(1+VLOOKUP($C104,WeatherCapacityAdjustment,2))-FL104,0),0))</f>
        <v>53544</v>
      </c>
      <c r="FU104" s="530">
        <f ca="1">IF(AND(Assumptions!$H$71="Yes",A104&gt;=Assumptions!$H$72,A104&lt;=Assumptions!$H$73),0,IF(AND($A104&gt;=Assumptions!$C$17,$A104&lt;=Assumptions!$C$18),MAX(BA104*(1+VLOOKUP($C104,WeatherCapacityAdjustment,2))-FM104,0),0))</f>
        <v>9312</v>
      </c>
      <c r="FV104" s="530">
        <f ca="1">IF(AND(Assumptions!$H$71="Yes",A104&gt;=Assumptions!$H$72,A104&lt;=Assumptions!$H$73),0,IF(AND($A104&gt;=Assumptions!$C$17,$A104&lt;=Assumptions!$C$18),MAX(BB104*(1+VLOOKUP($C104,WeatherCapacityAdjustment,2))-FN104,0),0))</f>
        <v>9312</v>
      </c>
      <c r="FW104" s="622">
        <f ca="1">IF(AND(Assumptions!$H$71="Yes",A104&gt;=Assumptions!$H$72,A104&lt;=Assumptions!$H$73),0,IF(AND($A104&gt;=Assumptions!$C$17,$A104&lt;=Assumptions!$C$18),MAX(BC104*(1+VLOOKUP($C104,WeatherCapacityAdjustment,3))-FO104,0),0))</f>
        <v>36084</v>
      </c>
      <c r="FX104" s="621">
        <f ca="1">IF(AND(Assumptions!$H$71="Yes",A104&gt;=Assumptions!$H$72,A104&lt;=Assumptions!$H$73),0,IF(ET104&gt;0,MAX(BH104*(1+VLOOKUP($C104,WeatherCapacityAdjustment,2))-FP104,0),0))</f>
        <v>214176</v>
      </c>
      <c r="FY104" s="530">
        <f ca="1">IF(AND(Assumptions!$H$71="Yes",A104&gt;=Assumptions!$H$72,A104&lt;=Assumptions!$H$73),0,IF(EU104&gt;0,MAX(BI104*(1+VLOOKUP($C104,WeatherCapacityAdjustment,3))-FQ104,0),0))</f>
        <v>37248</v>
      </c>
      <c r="FZ104" s="530">
        <f ca="1">IF(AND(Assumptions!$H$71="Yes",A104&gt;=Assumptions!$H$72,A104&lt;=Assumptions!$H$73),0,IF(EV104&gt;0,MAX(BJ104*(1+VLOOKUP($C104,WeatherCapacityAdjustment,2))-FR104,0),0))</f>
        <v>37248</v>
      </c>
      <c r="GA104" s="622">
        <f ca="1">IF(AND(Assumptions!$H$71="Yes",A104&gt;=Assumptions!$H$72,A104&lt;=Assumptions!$H$73),0,IF(EW104&gt;0,MAX(BK104*(1+VLOOKUP($C104,WeatherCapacityAdjustment,2))-FS104,0),0))</f>
        <v>144336</v>
      </c>
      <c r="GB104" s="530">
        <f t="shared" ca="1" si="290"/>
        <v>541260</v>
      </c>
      <c r="GC104" s="545">
        <f t="shared" ca="1" si="291"/>
        <v>75.460399410096286</v>
      </c>
      <c r="GD104" s="530">
        <f t="shared" ca="1" si="223"/>
        <v>40843695.784708716</v>
      </c>
      <c r="GE104" s="1485">
        <f t="shared" ca="1" si="224"/>
        <v>771479.52839999995</v>
      </c>
      <c r="GF104" s="1776">
        <f t="shared" ca="1" si="225"/>
        <v>3085918.1135999998</v>
      </c>
      <c r="GG104" s="545">
        <f t="shared" si="190"/>
        <v>2.6785067359496004</v>
      </c>
      <c r="GH104" s="622">
        <f t="shared" ca="1" si="191"/>
        <v>10332065.567333106</v>
      </c>
      <c r="GI104" s="621">
        <f t="shared" ca="1" si="336"/>
        <v>541260</v>
      </c>
      <c r="GJ104" s="638">
        <f t="shared" si="292"/>
        <v>1.9483778879999998</v>
      </c>
      <c r="GK104" s="625">
        <f t="shared" ca="1" si="342"/>
        <v>1054579.0156588799</v>
      </c>
      <c r="GL104" s="640">
        <f t="shared" ca="1" si="226"/>
        <v>0</v>
      </c>
      <c r="GM104" s="530">
        <f t="shared" ca="1" si="227"/>
        <v>0</v>
      </c>
      <c r="GN104" s="530">
        <f t="shared" ca="1" si="228"/>
        <v>0</v>
      </c>
      <c r="GO104" s="622">
        <f t="shared" ca="1" si="229"/>
        <v>0</v>
      </c>
      <c r="GP104" s="530">
        <f t="shared" ca="1" si="293"/>
        <v>0</v>
      </c>
      <c r="GQ104" s="545">
        <f t="shared" ca="1" si="294"/>
        <v>0</v>
      </c>
      <c r="GR104" s="625">
        <f t="shared" ca="1" si="230"/>
        <v>0</v>
      </c>
      <c r="GS104" s="640">
        <f>IF($A104&gt;=BegDate,Assumptions!$C$56*24*($A105-$A104)*(1-VLOOKUP($B104,MAIN!$AA$7:$AM$28,$C104+1))*(1-VLOOKUP($B104,MAIN!$AA$33:$AM$54,$C104+1)),0)*80/168</f>
        <v>257742.85714285713</v>
      </c>
      <c r="GT104" s="1715">
        <f t="shared" si="337"/>
        <v>107.50296452682727</v>
      </c>
      <c r="GU104" s="1715">
        <f>IF($A104&gt;=BegDate,VLOOKUP($A104,GasTable,13)+Assumptions!$C$58,0)</f>
        <v>2.6785067359496004</v>
      </c>
      <c r="GV104" s="1715">
        <f>GU104*Assumptions!$C$57/1000</f>
        <v>19.419173835634602</v>
      </c>
      <c r="GW104" s="625">
        <f>IF(Assumptions!$C$60="Hourly",MAX(0,GS104*(GT104-GV104)),GS104*(GT104-GV104))</f>
        <v>22702967.880721398</v>
      </c>
      <c r="GX104" s="640">
        <f>IF($A104&gt;=BegDate,Assumptions!$C$56*24*($A105-$A104)*(1-VLOOKUP($B104,MAIN!$AA$7:$AM$28,$C104+1))*(1-VLOOKUP($B104,MAIN!$AA$33:$AM$54,$C104+1)),0)*16/168</f>
        <v>51548.571428571428</v>
      </c>
      <c r="GY104" s="1715">
        <f t="shared" si="338"/>
        <v>107.50296452682727</v>
      </c>
      <c r="GZ104" s="1715">
        <f>IF($A104&gt;=BegDate,VLOOKUP($A104,GasTable,13)+Assumptions!$C$58,0)</f>
        <v>2.6785067359496004</v>
      </c>
      <c r="HA104" s="1715">
        <f>GZ104*Assumptions!$C$57/1000</f>
        <v>19.419173835634602</v>
      </c>
      <c r="HB104" s="625">
        <f>IF(Assumptions!$C$60="Hourly",MAX(0,GX104*(GY104-HA104)),GX104*(GY104-HA104))</f>
        <v>4540593.5761442799</v>
      </c>
      <c r="HC104" s="640">
        <f>IF($A104&gt;=BegDate,Assumptions!$C$56*24*($A105-$A104)*(1-VLOOKUP($B104,MAIN!$AA$7:$AM$28,$C104+1))*(1-VLOOKUP($B104,MAIN!$AA$33:$AM$54,$C104+1)),0)*16/168</f>
        <v>51548.571428571428</v>
      </c>
      <c r="HD104" s="1715">
        <f t="shared" si="339"/>
        <v>31.093772337598356</v>
      </c>
      <c r="HE104" s="1715">
        <f>IF($A104&gt;=BegDate,VLOOKUP($A104,GasTable,13)+Assumptions!$C$58,0)</f>
        <v>2.6785067359496004</v>
      </c>
      <c r="HF104" s="1715">
        <f>HE104*Assumptions!$C$57/1000</f>
        <v>19.419173835634602</v>
      </c>
      <c r="HG104" s="625">
        <f>IF(Assumptions!$C$60="Hourly",MAX(0,HC104*(HD104-HF104)),HC104*(HD104-HF104))</f>
        <v>601808.87477837154</v>
      </c>
      <c r="HH104" s="640">
        <f>IF($A104&gt;=BegDate,Assumptions!$C$56*24*($A105-$A104)*(1-VLOOKUP($B104,MAIN!$AA$7:$AM$28,$C104+1))*(1-VLOOKUP($B104,MAIN!$AA$33:$AM$54,$C104+1)),0)*56/168</f>
        <v>180420</v>
      </c>
      <c r="HI104" s="1715">
        <f t="shared" si="340"/>
        <v>31.093772337598356</v>
      </c>
      <c r="HJ104" s="1715">
        <f>IF($A104&gt;=BegDate,VLOOKUP($A104,GasTable,13)+Assumptions!$C$58,0)</f>
        <v>2.6785067359496004</v>
      </c>
      <c r="HK104" s="1715">
        <f>HJ104*Assumptions!$C$57/1000</f>
        <v>19.419173835634602</v>
      </c>
      <c r="HL104" s="625">
        <f>IF(Assumptions!$C$60="Hourly",MAX(0,HH104*(HI104-HK104)),HH104*(HI104-HK104))</f>
        <v>2106331.0617243005</v>
      </c>
      <c r="HM104" s="640">
        <f>IF(AND(Assumptions!$H$71="Yes",A104&gt;=Assumptions!$H$72,A104&lt;=Assumptions!$H$73),Assumptions!$H$74*Assumptions!$C$9*1000,0)</f>
        <v>0</v>
      </c>
      <c r="HN104" s="530"/>
      <c r="HO104" s="545"/>
      <c r="HP104" s="545"/>
      <c r="HQ104" s="545"/>
      <c r="HR104" s="545"/>
      <c r="HS104" s="545"/>
      <c r="HT104" s="545"/>
      <c r="HU104" s="545"/>
      <c r="HV104" s="545"/>
      <c r="HW104" s="545"/>
      <c r="HX104" s="545"/>
      <c r="HY104" s="545"/>
      <c r="HZ104" s="545"/>
      <c r="IA104" s="545"/>
      <c r="IB104" s="545"/>
      <c r="IC104" s="545"/>
      <c r="ID104" s="545"/>
      <c r="IE104" s="545"/>
      <c r="IF104" s="545"/>
      <c r="IG104" s="545"/>
      <c r="IH104" s="545"/>
      <c r="II104" s="1464"/>
      <c r="IJ104" s="1463"/>
      <c r="IK104" s="1463"/>
    </row>
    <row r="105" spans="1:245">
      <c r="A105" s="177">
        <f t="shared" si="295"/>
        <v>39326</v>
      </c>
      <c r="B105" s="349">
        <f t="shared" si="296"/>
        <v>2007</v>
      </c>
      <c r="C105" s="15">
        <f t="shared" si="344"/>
        <v>9</v>
      </c>
      <c r="D105" s="612">
        <f t="shared" si="297"/>
        <v>39328</v>
      </c>
      <c r="E105" s="609">
        <f t="shared" si="345"/>
        <v>39326</v>
      </c>
      <c r="F105" s="614">
        <f t="shared" si="346"/>
        <v>39355</v>
      </c>
      <c r="G105" s="1349">
        <v>0</v>
      </c>
      <c r="H105" s="152">
        <f t="shared" si="341"/>
        <v>1</v>
      </c>
      <c r="I105" s="154">
        <f>IF(Assumptions!$L$25=4,VLOOKUP($A105,'Henwood Reference'!$E$9:$R$320,10),(VLOOKUP($A105,PriceTable,2,0)+IF(BasisNumber&lt;&gt;1,VLOOKUP($A105,BasisTable,2,0),0)+I$1)/(1-I$2))</f>
        <v>70.373193611432242</v>
      </c>
      <c r="J105" s="154">
        <f>IF(Assumptions!$L$25=4,VLOOKUP($A105,'Henwood Reference'!$E$9:$R$320,10),(VLOOKUP($A105,PriceTable,3,0)+IF(BasisNumber&lt;&gt;1,VLOOKUP($A105,BasisTable,2,0),0)+J$1)/(1-J$2))</f>
        <v>70.373193611432242</v>
      </c>
      <c r="K105" s="154">
        <f>IF(Assumptions!$L$25=4,VLOOKUP($A105,'Henwood Reference'!$E$9:$R$320,10),(VLOOKUP($A105,PriceTable,4,0)+IF(BasisNumber&lt;&gt;1,VLOOKUP($A105,BasisTable,2,0),0)+K$1)/(1-K$2))</f>
        <v>70.373193611432242</v>
      </c>
      <c r="L105" s="474">
        <f>IF(Assumptions!$L$25=4,VLOOKUP($A105,'Henwood Reference'!$E$9:$R$320,10),(VLOOKUP($A105,PriceTableWeekend,2,0)+IF(BasisNumber&lt;&gt;1,VLOOKUP($A105,BasisTable,2,0),0)+L$1)/(1-L$2))</f>
        <v>70.373193611432242</v>
      </c>
      <c r="M105" s="154">
        <f>IF(Assumptions!$L$25=4,VLOOKUP($A105,'Henwood Reference'!$E$9:$R$320,10),(VLOOKUP($A105,PriceTableWeekend,3,0)+IF(BasisNumber&lt;&gt;1,VLOOKUP($A105,BasisTable,2,0),0)+M$1)/(1-M$2))</f>
        <v>70.373193611432242</v>
      </c>
      <c r="N105" s="156">
        <f>IF(Assumptions!$L$25=4,VLOOKUP($A105,'Henwood Reference'!$E$9:$R$320,10),(VLOOKUP($A105,PriceTableWeekend,4,0)+IF(BasisNumber&lt;&gt;1,VLOOKUP($A105,BasisTable,2,0),0)+N$1)/(1-N$2))</f>
        <v>70.373193611432242</v>
      </c>
      <c r="O105" s="154">
        <f>IF(Assumptions!$L$25=4,VLOOKUP($A105,'Henwood Reference'!$E$9:$R$320,11),(VLOOKUP($A105,PriceTableWeekend,6,0)+IF(BasisNumber&lt;&gt;1,VLOOKUP($A105,BasisTable,3,0),0)+O$1)/(1-O$2))</f>
        <v>28.911269569064725</v>
      </c>
      <c r="P105" s="154">
        <f>IF(Assumptions!$L$25=4,VLOOKUP($A105,'Henwood Reference'!$E$9:$R$320,11),(VLOOKUP($A105,PriceTableWeekend,7,0)+IF(BasisNumber&lt;&gt;1,VLOOKUP($A105,BasisTable,3,0),0)+P$1)/(1-P$2))</f>
        <v>28.911269569064725</v>
      </c>
      <c r="Q105" s="156">
        <f>IF(Assumptions!$L$25=4,VLOOKUP($A105,'Henwood Reference'!$E$9:$R$320,11),(VLOOKUP($A105,PriceTableWeekend,8,0)+IF(BasisNumber&lt;&gt;1,VLOOKUP($A105,BasisTable,3,0),0)+Q$1)/(1-Q$2))</f>
        <v>28.911269569064725</v>
      </c>
      <c r="R105" s="154">
        <f>IF(Assumptions!$L$25=4,VLOOKUP($A105,'Henwood Reference'!$E$9:$R$320,11),(VLOOKUP($A105,PriceTable,6,0)+IF(BasisNumber&lt;&gt;1,VLOOKUP($A105,BasisTable,3,0),0)+R$1)/(1-R$2))</f>
        <v>28.911269569064725</v>
      </c>
      <c r="S105" s="154">
        <f>IF(Assumptions!$L$25=4,VLOOKUP($A105,'Henwood Reference'!$E$9:$R$320,11),(VLOOKUP($A105,PriceTable,7,0)+IF(BasisNumber&lt;&gt;1,VLOOKUP($A105,BasisTable,3,0),0)+S$1)/(1-S$2))</f>
        <v>28.911269569064725</v>
      </c>
      <c r="T105" s="155">
        <f>IF(Assumptions!$L$25=4,VLOOKUP($A105,'Henwood Reference'!$E$9:$R$320,11),(VLOOKUP($A105,PriceTable,8,0)+IF(BasisNumber&lt;&gt;1,VLOOKUP($A105,BasisTable,3,0),0)+T$1)/(1-T$2))</f>
        <v>28.911269569064725</v>
      </c>
      <c r="U105" s="173">
        <f t="shared" si="298"/>
        <v>0.13500000000000001</v>
      </c>
      <c r="V105" s="173">
        <f t="shared" si="299"/>
        <v>0.14499999999999999</v>
      </c>
      <c r="W105" s="174">
        <f t="shared" si="300"/>
        <v>0.155</v>
      </c>
      <c r="X105" s="173">
        <f t="shared" si="301"/>
        <v>0.13500000000000001</v>
      </c>
      <c r="Y105" s="173">
        <f t="shared" si="302"/>
        <v>0.14499999999999999</v>
      </c>
      <c r="Z105" s="174">
        <f t="shared" si="303"/>
        <v>0.155</v>
      </c>
      <c r="AA105" s="173">
        <f t="shared" si="304"/>
        <v>0.09</v>
      </c>
      <c r="AB105" s="173">
        <f t="shared" si="305"/>
        <v>0.11</v>
      </c>
      <c r="AC105" s="174">
        <f t="shared" si="306"/>
        <v>0.13</v>
      </c>
      <c r="AD105" s="173">
        <f t="shared" si="307"/>
        <v>0.09</v>
      </c>
      <c r="AE105" s="173">
        <f t="shared" si="308"/>
        <v>0.11</v>
      </c>
      <c r="AF105" s="174">
        <f t="shared" si="309"/>
        <v>0.13</v>
      </c>
      <c r="AG105" s="173">
        <f t="shared" si="310"/>
        <v>-0.35</v>
      </c>
      <c r="AH105" s="173">
        <f t="shared" si="311"/>
        <v>3</v>
      </c>
      <c r="AI105" s="174">
        <f t="shared" si="312"/>
        <v>0.2</v>
      </c>
      <c r="AJ105" s="173">
        <f t="shared" si="313"/>
        <v>-0.35</v>
      </c>
      <c r="AK105" s="173">
        <f t="shared" si="314"/>
        <v>3</v>
      </c>
      <c r="AL105" s="174">
        <f t="shared" si="315"/>
        <v>0.2</v>
      </c>
      <c r="AM105" s="173">
        <f t="shared" si="316"/>
        <v>-0.01</v>
      </c>
      <c r="AN105" s="173">
        <f t="shared" si="317"/>
        <v>0.16</v>
      </c>
      <c r="AO105" s="174">
        <f t="shared" si="318"/>
        <v>0.01</v>
      </c>
      <c r="AP105" s="173">
        <f t="shared" si="319"/>
        <v>-0.01</v>
      </c>
      <c r="AQ105" s="173">
        <f t="shared" si="320"/>
        <v>0.16</v>
      </c>
      <c r="AR105" s="175">
        <f t="shared" si="321"/>
        <v>0.01</v>
      </c>
      <c r="AS105" s="521">
        <f t="shared" si="349"/>
        <v>0.5</v>
      </c>
      <c r="AT105" s="349">
        <f t="shared" si="347"/>
        <v>19</v>
      </c>
      <c r="AU105" s="159">
        <f t="shared" si="240"/>
        <v>5</v>
      </c>
      <c r="AV105" s="159">
        <f t="shared" si="241"/>
        <v>5</v>
      </c>
      <c r="AW105" s="159">
        <f t="shared" si="350"/>
        <v>1</v>
      </c>
      <c r="AX105" s="15">
        <f t="shared" si="348"/>
        <v>30</v>
      </c>
      <c r="AY105" s="607">
        <f>IF(E105="",0,MIN((1-(1-VLOOKUP(B105,MAIN!$AA$7:$AM$28,C105+1))*(1-VLOOKUP(B105,MAIN!$AA$33:$AM$54,C105+1))),1))</f>
        <v>3.0000000000000027E-2</v>
      </c>
      <c r="AZ105" s="337">
        <v>44232</v>
      </c>
      <c r="BA105" s="509">
        <v>11640</v>
      </c>
      <c r="BB105" s="509">
        <v>13968</v>
      </c>
      <c r="BC105" s="511">
        <v>34920</v>
      </c>
      <c r="BD105" s="153">
        <v>0.9699999927729368</v>
      </c>
      <c r="BE105" s="474">
        <v>0.9699999927729368</v>
      </c>
      <c r="BF105" s="474">
        <v>0.9699999927729368</v>
      </c>
      <c r="BG105" s="515">
        <v>0.9699999927729368</v>
      </c>
      <c r="BH105" s="262">
        <v>176928</v>
      </c>
      <c r="BI105" s="509">
        <v>46560</v>
      </c>
      <c r="BJ105" s="509">
        <v>55872</v>
      </c>
      <c r="BK105" s="511">
        <v>139680</v>
      </c>
      <c r="BL105" s="153">
        <v>0.9699999927729368</v>
      </c>
      <c r="BM105" s="474">
        <v>0.9699999927729368</v>
      </c>
      <c r="BN105" s="474">
        <v>0.9699999927729368</v>
      </c>
      <c r="BO105" s="474">
        <v>0.9699999927729368</v>
      </c>
      <c r="BP105" s="261">
        <f t="shared" si="324"/>
        <v>69840</v>
      </c>
      <c r="BQ105" s="578">
        <f t="shared" si="325"/>
        <v>104760</v>
      </c>
      <c r="BR105" s="259">
        <f t="shared" si="326"/>
        <v>279360</v>
      </c>
      <c r="BS105" s="578">
        <f t="shared" si="327"/>
        <v>419040</v>
      </c>
      <c r="BT105" s="216">
        <f t="shared" si="328"/>
        <v>7.3812457221081447</v>
      </c>
      <c r="BU105" s="218">
        <f t="shared" si="243"/>
        <v>70.37319308711109</v>
      </c>
      <c r="BV105" s="216">
        <f t="shared" si="244"/>
        <v>70.37319308711109</v>
      </c>
      <c r="BW105" s="216">
        <f t="shared" si="245"/>
        <v>28.911269353658984</v>
      </c>
      <c r="BX105" s="216">
        <f t="shared" si="329"/>
        <v>28.911269353658984</v>
      </c>
      <c r="BY105" s="216">
        <f t="shared" si="246"/>
        <v>62.080808340420667</v>
      </c>
      <c r="BZ105" s="216">
        <f t="shared" si="247"/>
        <v>51.02429534483344</v>
      </c>
      <c r="CA105" s="264">
        <f t="shared" si="248"/>
        <v>70.37319308711109</v>
      </c>
      <c r="CB105" s="216">
        <f t="shared" si="249"/>
        <v>70.37319308711109</v>
      </c>
      <c r="CC105" s="216">
        <f t="shared" si="250"/>
        <v>28.911269353658984</v>
      </c>
      <c r="CD105" s="216">
        <f t="shared" si="330"/>
        <v>28.911269353658984</v>
      </c>
      <c r="CE105" s="216">
        <f t="shared" si="251"/>
        <v>62.080808340420667</v>
      </c>
      <c r="CF105" s="571">
        <f t="shared" si="252"/>
        <v>51.02429534483344</v>
      </c>
      <c r="CG105" s="573">
        <f t="shared" si="253"/>
        <v>0.14499999999999999</v>
      </c>
      <c r="CH105" s="219">
        <f t="shared" si="254"/>
        <v>0.14499999999999999</v>
      </c>
      <c r="CI105" s="219">
        <f t="shared" si="255"/>
        <v>0.11</v>
      </c>
      <c r="CJ105" s="219">
        <f t="shared" si="256"/>
        <v>0.14179382645983576</v>
      </c>
      <c r="CK105" s="219">
        <f t="shared" si="257"/>
        <v>0.14179382645983576</v>
      </c>
      <c r="CL105" s="219">
        <f t="shared" si="258"/>
        <v>0.11</v>
      </c>
      <c r="CM105" s="219">
        <f t="shared" si="259"/>
        <v>0.12714903605005926</v>
      </c>
      <c r="CN105" s="569">
        <f t="shared" si="260"/>
        <v>0.12714903605005926</v>
      </c>
      <c r="CO105" s="264">
        <f t="shared" si="343"/>
        <v>19.890121149837725</v>
      </c>
      <c r="CP105" s="216">
        <f t="shared" si="331"/>
        <v>19.890121149837725</v>
      </c>
      <c r="CQ105" s="216">
        <f t="shared" ca="1" si="192"/>
        <v>19.890121149837725</v>
      </c>
      <c r="CR105" s="216">
        <f t="shared" ca="1" si="193"/>
        <v>19.890121149837725</v>
      </c>
      <c r="CS105" s="1626">
        <f t="shared" ca="1" si="194"/>
        <v>19.890121149837725</v>
      </c>
      <c r="CT105" s="216">
        <f t="shared" si="332"/>
        <v>19.890121149837725</v>
      </c>
      <c r="CU105" s="575">
        <f t="shared" si="261"/>
        <v>0.17</v>
      </c>
      <c r="CV105" s="154">
        <f t="shared" si="262"/>
        <v>0.5</v>
      </c>
      <c r="CW105" s="216">
        <f>IF(OR($BQ105,$BS105),SpreadOptPowerMargin,0)*((1+Assumptions!$C$26)^($B105-YEAR(Assumptions!$C$17)))</f>
        <v>1.948377888</v>
      </c>
      <c r="CX105" s="216">
        <f>IF(OR($BQ105,$BS105),SpreadOptPowerMargin,0)*((1+Assumptions!$C$26)^($B105-YEAR(Assumptions!$C$17)))</f>
        <v>1.948377888</v>
      </c>
      <c r="CY105" s="216">
        <f>IF(OR($BQ105,$BS105),SpreadOptPowerMargin,0)*((1+Assumptions!$C$26)^($B105-YEAR(Assumptions!$C$17)))</f>
        <v>1.948377888</v>
      </c>
      <c r="CZ105" s="216">
        <f>IF(OR($BQ105,$BS105),SpreadOptPowerMargin,0)*((1+Assumptions!$C$26)^($B105-YEAR(Assumptions!$C$17)))</f>
        <v>1.948377888</v>
      </c>
      <c r="DA105" s="440">
        <f t="shared" si="263"/>
        <v>1.948377888</v>
      </c>
      <c r="DB105" s="479">
        <f t="shared" si="264"/>
        <v>0.14499999999999999</v>
      </c>
      <c r="DC105" s="479">
        <f t="shared" si="265"/>
        <v>0.14499999999999999</v>
      </c>
      <c r="DD105" s="479">
        <f t="shared" si="266"/>
        <v>0.11</v>
      </c>
      <c r="DE105" s="479">
        <f t="shared" si="267"/>
        <v>0.11</v>
      </c>
      <c r="DF105" s="479">
        <f t="shared" si="268"/>
        <v>0.12714903605005926</v>
      </c>
      <c r="DG105" s="574">
        <f t="shared" si="269"/>
        <v>0.12714903605005926</v>
      </c>
      <c r="DH105" s="216">
        <f t="shared" si="270"/>
        <v>48.545837380140235</v>
      </c>
      <c r="DI105" s="216">
        <f t="shared" si="271"/>
        <v>48.545837380140235</v>
      </c>
      <c r="DJ105" s="216">
        <f t="shared" ca="1" si="195"/>
        <v>8.3206981570195815</v>
      </c>
      <c r="DK105" s="216">
        <f t="shared" ca="1" si="196"/>
        <v>8.3206981570195815</v>
      </c>
      <c r="DL105" s="216">
        <f t="shared" ca="1" si="197"/>
        <v>29.259086659589869</v>
      </c>
      <c r="DM105" s="216"/>
      <c r="DN105" s="216"/>
      <c r="DO105" s="216"/>
      <c r="DP105" s="216"/>
      <c r="DQ105" s="216"/>
      <c r="DR105" s="216"/>
      <c r="DS105" s="216"/>
      <c r="DT105" s="216"/>
      <c r="DU105" s="216"/>
      <c r="DV105" s="216"/>
      <c r="DW105" s="1371">
        <f t="shared" si="272"/>
        <v>8.3206981570195815</v>
      </c>
      <c r="DX105" s="216">
        <f t="shared" si="273"/>
        <v>8.3206981570195815</v>
      </c>
      <c r="DY105" s="440">
        <f t="shared" si="274"/>
        <v>29.774105742683929</v>
      </c>
      <c r="DZ105" s="180">
        <f t="shared" si="275"/>
        <v>2147279.478998363</v>
      </c>
      <c r="EA105" s="180">
        <f t="shared" si="276"/>
        <v>565073.54710483237</v>
      </c>
      <c r="EB105" s="180">
        <f t="shared" ca="1" si="198"/>
        <v>116223.51185724951</v>
      </c>
      <c r="EC105" s="180">
        <f t="shared" ca="1" si="199"/>
        <v>290558.77964312379</v>
      </c>
      <c r="ED105" s="180">
        <f t="shared" ca="1" si="200"/>
        <v>3065181.9184586345</v>
      </c>
      <c r="EE105" s="581">
        <f t="shared" si="277"/>
        <v>2146786.5871874597</v>
      </c>
      <c r="EF105" s="554">
        <f t="shared" si="278"/>
        <v>564943.83873354201</v>
      </c>
      <c r="EG105" s="554">
        <f t="shared" ca="1" si="201"/>
        <v>98792.455771391353</v>
      </c>
      <c r="EH105" s="554">
        <f t="shared" ca="1" si="202"/>
        <v>246981.13942847837</v>
      </c>
      <c r="EI105" s="561">
        <f t="shared" ca="1" si="279"/>
        <v>3057504.0211208714</v>
      </c>
      <c r="EJ105" s="581">
        <f t="shared" si="333"/>
        <v>492.89181090332568</v>
      </c>
      <c r="EK105" s="554">
        <f t="shared" si="334"/>
        <v>129.70837129035499</v>
      </c>
      <c r="EL105" s="554">
        <f t="shared" ca="1" si="203"/>
        <v>17431.056085858159</v>
      </c>
      <c r="EM105" s="554">
        <f t="shared" ca="1" si="204"/>
        <v>43577.64021464542</v>
      </c>
      <c r="EN105" s="561">
        <f t="shared" ca="1" si="205"/>
        <v>7677.8973377631046</v>
      </c>
      <c r="EO105" s="180">
        <f t="shared" si="280"/>
        <v>8589117.9159934521</v>
      </c>
      <c r="EP105" s="180">
        <f t="shared" si="281"/>
        <v>2260294.1884193295</v>
      </c>
      <c r="EQ105" s="180">
        <f t="shared" si="282"/>
        <v>464894.04742899805</v>
      </c>
      <c r="ER105" s="180">
        <f t="shared" si="283"/>
        <v>1162235.1185724952</v>
      </c>
      <c r="ES105" s="180">
        <f t="shared" si="284"/>
        <v>12476541.270414274</v>
      </c>
      <c r="ET105" s="1482">
        <f t="shared" ca="1" si="206"/>
        <v>8587146.3487498388</v>
      </c>
      <c r="EU105" s="180">
        <f t="shared" ca="1" si="207"/>
        <v>2259775.354934168</v>
      </c>
      <c r="EV105" s="180">
        <f t="shared" ca="1" si="208"/>
        <v>395169.82308556541</v>
      </c>
      <c r="EW105" s="180">
        <f t="shared" ca="1" si="209"/>
        <v>987924.5577139135</v>
      </c>
      <c r="EX105" s="555">
        <f t="shared" ca="1" si="182"/>
        <v>12230016.084483484</v>
      </c>
      <c r="EY105" s="180">
        <f t="shared" ca="1" si="210"/>
        <v>1971.5672436133027</v>
      </c>
      <c r="EZ105" s="180">
        <f t="shared" ca="1" si="211"/>
        <v>518.83348516141996</v>
      </c>
      <c r="FA105" s="180">
        <f t="shared" ca="1" si="212"/>
        <v>69724.224343432637</v>
      </c>
      <c r="FB105" s="180">
        <f t="shared" ca="1" si="213"/>
        <v>174310.56085858168</v>
      </c>
      <c r="FC105" s="180">
        <f t="shared" ca="1" si="214"/>
        <v>246525.18593079038</v>
      </c>
      <c r="FD105" s="262">
        <f>IF(AX105,IF(VLOOKUP(C105,MAIN!$L$17:$M$28,2)="Yes",VLOOKUP(CALC!B105,MAIN!$H$17:$I$20,2),0),0)</f>
        <v>0</v>
      </c>
      <c r="FE105" s="623">
        <f t="shared" si="285"/>
        <v>0</v>
      </c>
      <c r="FF105" s="535">
        <f t="shared" si="286"/>
        <v>0</v>
      </c>
      <c r="FG105" s="535">
        <f t="shared" si="287"/>
        <v>0</v>
      </c>
      <c r="FH105" s="624">
        <f t="shared" si="288"/>
        <v>0</v>
      </c>
      <c r="FI105" s="632">
        <f>IF(AX105,VLOOKUP(CALC!B105,MAIN!$H$17:$K$20,4),0)</f>
        <v>0</v>
      </c>
      <c r="FJ105" s="535">
        <f t="shared" si="289"/>
        <v>0</v>
      </c>
      <c r="FK105" s="648">
        <f t="shared" si="335"/>
        <v>0</v>
      </c>
      <c r="FL105" s="530">
        <f t="shared" ca="1" si="215"/>
        <v>0</v>
      </c>
      <c r="FM105" s="530">
        <f t="shared" ca="1" si="216"/>
        <v>0</v>
      </c>
      <c r="FN105" s="530">
        <f t="shared" ca="1" si="217"/>
        <v>0</v>
      </c>
      <c r="FO105" s="622">
        <f t="shared" ca="1" si="218"/>
        <v>0</v>
      </c>
      <c r="FP105" s="530">
        <f t="shared" ca="1" si="219"/>
        <v>0</v>
      </c>
      <c r="FQ105" s="530">
        <f t="shared" ca="1" si="220"/>
        <v>0</v>
      </c>
      <c r="FR105" s="530">
        <f t="shared" ca="1" si="221"/>
        <v>0</v>
      </c>
      <c r="FS105" s="625">
        <f t="shared" ca="1" si="222"/>
        <v>0</v>
      </c>
      <c r="FT105" s="640">
        <f ca="1">IF(AND(Assumptions!$H$71="Yes",A105&gt;=Assumptions!$H$72,A105&lt;=Assumptions!$H$73),0,IF(AND($A105&gt;=Assumptions!$C$17,$A105&lt;=Assumptions!$C$18),MAX(AZ105*(1+VLOOKUP($C105,WeatherCapacityAdjustment,2))-FL105,0),0))</f>
        <v>44232</v>
      </c>
      <c r="FU105" s="530">
        <f ca="1">IF(AND(Assumptions!$H$71="Yes",A105&gt;=Assumptions!$H$72,A105&lt;=Assumptions!$H$73),0,IF(AND($A105&gt;=Assumptions!$C$17,$A105&lt;=Assumptions!$C$18),MAX(BA105*(1+VLOOKUP($C105,WeatherCapacityAdjustment,2))-FM105,0),0))</f>
        <v>11640</v>
      </c>
      <c r="FV105" s="530">
        <f ca="1">IF(AND(Assumptions!$H$71="Yes",A105&gt;=Assumptions!$H$72,A105&lt;=Assumptions!$H$73),0,IF(AND($A105&gt;=Assumptions!$C$17,$A105&lt;=Assumptions!$C$18),MAX(BB105*(1+VLOOKUP($C105,WeatherCapacityAdjustment,2))-FN105,0),0))</f>
        <v>13968</v>
      </c>
      <c r="FW105" s="622">
        <f ca="1">IF(AND(Assumptions!$H$71="Yes",A105&gt;=Assumptions!$H$72,A105&lt;=Assumptions!$H$73),0,IF(AND($A105&gt;=Assumptions!$C$17,$A105&lt;=Assumptions!$C$18),MAX(BC105*(1+VLOOKUP($C105,WeatherCapacityAdjustment,3))-FO105,0),0))</f>
        <v>34920</v>
      </c>
      <c r="FX105" s="621">
        <f ca="1">IF(AND(Assumptions!$H$71="Yes",A105&gt;=Assumptions!$H$72,A105&lt;=Assumptions!$H$73),0,IF(ET105&gt;0,MAX(BH105*(1+VLOOKUP($C105,WeatherCapacityAdjustment,2))-FP105,0),0))</f>
        <v>176928</v>
      </c>
      <c r="FY105" s="530">
        <f ca="1">IF(AND(Assumptions!$H$71="Yes",A105&gt;=Assumptions!$H$72,A105&lt;=Assumptions!$H$73),0,IF(EU105&gt;0,MAX(BI105*(1+VLOOKUP($C105,WeatherCapacityAdjustment,3))-FQ105,0),0))</f>
        <v>46560</v>
      </c>
      <c r="FZ105" s="530">
        <f ca="1">IF(AND(Assumptions!$H$71="Yes",A105&gt;=Assumptions!$H$72,A105&lt;=Assumptions!$H$73),0,IF(EV105&gt;0,MAX(BJ105*(1+VLOOKUP($C105,WeatherCapacityAdjustment,2))-FR105,0),0))</f>
        <v>55872</v>
      </c>
      <c r="GA105" s="622">
        <f ca="1">IF(AND(Assumptions!$H$71="Yes",A105&gt;=Assumptions!$H$72,A105&lt;=Assumptions!$H$73),0,IF(EW105&gt;0,MAX(BK105*(1+VLOOKUP($C105,WeatherCapacityAdjustment,2))-FS105,0),0))</f>
        <v>139680</v>
      </c>
      <c r="GB105" s="530">
        <f t="shared" ca="1" si="290"/>
        <v>523800</v>
      </c>
      <c r="GC105" s="545">
        <f t="shared" ca="1" si="291"/>
        <v>51.02429534483344</v>
      </c>
      <c r="GD105" s="530">
        <f t="shared" ca="1" si="223"/>
        <v>26726525.901623756</v>
      </c>
      <c r="GE105" s="1485">
        <f t="shared" ca="1" si="224"/>
        <v>746901.08640000003</v>
      </c>
      <c r="GF105" s="1776">
        <f t="shared" ca="1" si="225"/>
        <v>2987604.3456000001</v>
      </c>
      <c r="GG105" s="545">
        <f t="shared" si="190"/>
        <v>2.7897791683503965</v>
      </c>
      <c r="GH105" s="622">
        <f t="shared" ca="1" si="191"/>
        <v>10418445.458284998</v>
      </c>
      <c r="GI105" s="621">
        <f t="shared" ca="1" si="336"/>
        <v>523800</v>
      </c>
      <c r="GJ105" s="638">
        <f t="shared" si="292"/>
        <v>1.948377888</v>
      </c>
      <c r="GK105" s="625">
        <f t="shared" ca="1" si="342"/>
        <v>1020560.3377343999</v>
      </c>
      <c r="GL105" s="640">
        <f t="shared" ca="1" si="226"/>
        <v>0</v>
      </c>
      <c r="GM105" s="530">
        <f t="shared" ca="1" si="227"/>
        <v>0</v>
      </c>
      <c r="GN105" s="530">
        <f t="shared" ca="1" si="228"/>
        <v>0</v>
      </c>
      <c r="GO105" s="622">
        <f t="shared" ca="1" si="229"/>
        <v>0</v>
      </c>
      <c r="GP105" s="530">
        <f t="shared" ca="1" si="293"/>
        <v>0</v>
      </c>
      <c r="GQ105" s="545">
        <f t="shared" ca="1" si="294"/>
        <v>0</v>
      </c>
      <c r="GR105" s="625">
        <f t="shared" ca="1" si="230"/>
        <v>0</v>
      </c>
      <c r="GS105" s="640">
        <f>IF($A105&gt;=BegDate,Assumptions!$C$56*24*($A106-$A105)*(1-VLOOKUP($B105,MAIN!$AA$7:$AM$28,$C105+1))*(1-VLOOKUP($B105,MAIN!$AA$33:$AM$54,$C105+1)),0)*80/168</f>
        <v>249428.57142857142</v>
      </c>
      <c r="GT105" s="1715">
        <f t="shared" si="337"/>
        <v>70.373193611432242</v>
      </c>
      <c r="GU105" s="1715">
        <f>IF($A105&gt;=BegDate,VLOOKUP($A105,GasTable,13)+Assumptions!$C$58,0)</f>
        <v>2.7897791683503965</v>
      </c>
      <c r="GV105" s="1715">
        <f>GU105*Assumptions!$C$57/1000</f>
        <v>20.225898970540378</v>
      </c>
      <c r="GW105" s="625">
        <f>IF(Assumptions!$C$60="Hourly",MAX(0,GS105*(GT105-GV105)),GS105*(GT105-GV105))</f>
        <v>12508168.063285314</v>
      </c>
      <c r="GX105" s="640">
        <f>IF($A105&gt;=BegDate,Assumptions!$C$56*24*($A106-$A105)*(1-VLOOKUP($B105,MAIN!$AA$7:$AM$28,$C105+1))*(1-VLOOKUP($B105,MAIN!$AA$33:$AM$54,$C105+1)),0)*16/168</f>
        <v>49885.714285714283</v>
      </c>
      <c r="GY105" s="1715">
        <f t="shared" si="338"/>
        <v>70.373193611432242</v>
      </c>
      <c r="GZ105" s="1715">
        <f>IF($A105&gt;=BegDate,VLOOKUP($A105,GasTable,13)+Assumptions!$C$58,0)</f>
        <v>2.7897791683503965</v>
      </c>
      <c r="HA105" s="1715">
        <f>GZ105*Assumptions!$C$57/1000</f>
        <v>20.225898970540378</v>
      </c>
      <c r="HB105" s="625">
        <f>IF(Assumptions!$C$60="Hourly",MAX(0,GX105*(GY105-HA105)),GX105*(GY105-HA105))</f>
        <v>2501633.6126570627</v>
      </c>
      <c r="HC105" s="640">
        <f>IF($A105&gt;=BegDate,Assumptions!$C$56*24*($A106-$A105)*(1-VLOOKUP($B105,MAIN!$AA$7:$AM$28,$C105+1))*(1-VLOOKUP($B105,MAIN!$AA$33:$AM$54,$C105+1)),0)*16/168</f>
        <v>49885.714285714283</v>
      </c>
      <c r="HD105" s="1715">
        <f t="shared" si="339"/>
        <v>28.911269569064725</v>
      </c>
      <c r="HE105" s="1715">
        <f>IF($A105&gt;=BegDate,VLOOKUP($A105,GasTable,13)+Assumptions!$C$58,0)</f>
        <v>2.7897791683503965</v>
      </c>
      <c r="HF105" s="1715">
        <f>HE105*Assumptions!$C$57/1000</f>
        <v>20.225898970540378</v>
      </c>
      <c r="HG105" s="625">
        <f>IF(Assumptions!$C$60="Hourly",MAX(0,HC105*(HD105-HF105)),HC105*(HD105-HF105))</f>
        <v>433275.91614352883</v>
      </c>
      <c r="HH105" s="640">
        <f>IF($A105&gt;=BegDate,Assumptions!$C$56*24*($A106-$A105)*(1-VLOOKUP($B105,MAIN!$AA$7:$AM$28,$C105+1))*(1-VLOOKUP($B105,MAIN!$AA$33:$AM$54,$C105+1)),0)*56/168</f>
        <v>174600</v>
      </c>
      <c r="HI105" s="1715">
        <f t="shared" si="340"/>
        <v>28.911269569064725</v>
      </c>
      <c r="HJ105" s="1715">
        <f>IF($A105&gt;=BegDate,VLOOKUP($A105,GasTable,13)+Assumptions!$C$58,0)</f>
        <v>2.7897791683503965</v>
      </c>
      <c r="HK105" s="1715">
        <f>HJ105*Assumptions!$C$57/1000</f>
        <v>20.225898970540378</v>
      </c>
      <c r="HL105" s="625">
        <f>IF(Assumptions!$C$60="Hourly",MAX(0,HH105*(HI105-HK105)),HH105*(HI105-HK105))</f>
        <v>1516465.706502351</v>
      </c>
      <c r="HM105" s="640">
        <f>IF(AND(Assumptions!$H$71="Yes",A105&gt;=Assumptions!$H$72,A105&lt;=Assumptions!$H$73),Assumptions!$H$74*Assumptions!$C$9*1000,0)</f>
        <v>0</v>
      </c>
      <c r="HN105" s="530"/>
      <c r="HO105" s="545"/>
      <c r="HP105" s="545"/>
      <c r="HQ105" s="545"/>
      <c r="HR105" s="545"/>
      <c r="HS105" s="545"/>
      <c r="HT105" s="545"/>
      <c r="HU105" s="545"/>
      <c r="HV105" s="545"/>
      <c r="HW105" s="545"/>
      <c r="HX105" s="545"/>
      <c r="HY105" s="545"/>
      <c r="HZ105" s="545"/>
      <c r="IA105" s="545"/>
      <c r="IB105" s="545"/>
      <c r="IC105" s="545"/>
      <c r="ID105" s="545"/>
      <c r="IE105" s="545"/>
      <c r="IF105" s="545"/>
      <c r="IG105" s="545"/>
      <c r="IH105" s="545"/>
      <c r="II105" s="1464"/>
      <c r="IJ105" s="1463"/>
      <c r="IK105" s="1463"/>
    </row>
    <row r="106" spans="1:245">
      <c r="A106" s="177">
        <f t="shared" si="295"/>
        <v>39356</v>
      </c>
      <c r="B106" s="349">
        <f t="shared" si="296"/>
        <v>2007</v>
      </c>
      <c r="C106" s="15">
        <f t="shared" si="344"/>
        <v>10</v>
      </c>
      <c r="D106" s="612" t="str">
        <f t="shared" si="297"/>
        <v/>
      </c>
      <c r="E106" s="609">
        <f t="shared" si="345"/>
        <v>39356</v>
      </c>
      <c r="F106" s="614">
        <f t="shared" si="346"/>
        <v>39386</v>
      </c>
      <c r="G106" s="1349">
        <v>0</v>
      </c>
      <c r="H106" s="152">
        <f t="shared" si="341"/>
        <v>1</v>
      </c>
      <c r="I106" s="154">
        <f>IF(Assumptions!$L$25=4,VLOOKUP($A106,'Henwood Reference'!$E$9:$R$320,10),(VLOOKUP($A106,PriceTable,2,0)+IF(BasisNumber&lt;&gt;1,VLOOKUP($A106,BasisTable,2,0),0)+I$1)/(1-I$2))</f>
        <v>44.831823185550206</v>
      </c>
      <c r="J106" s="154">
        <f>IF(Assumptions!$L$25=4,VLOOKUP($A106,'Henwood Reference'!$E$9:$R$320,10),(VLOOKUP($A106,PriceTable,3,0)+IF(BasisNumber&lt;&gt;1,VLOOKUP($A106,BasisTable,2,0),0)+J$1)/(1-J$2))</f>
        <v>44.831823185550206</v>
      </c>
      <c r="K106" s="154">
        <f>IF(Assumptions!$L$25=4,VLOOKUP($A106,'Henwood Reference'!$E$9:$R$320,10),(VLOOKUP($A106,PriceTable,4,0)+IF(BasisNumber&lt;&gt;1,VLOOKUP($A106,BasisTable,2,0),0)+K$1)/(1-K$2))</f>
        <v>44.831823185550206</v>
      </c>
      <c r="L106" s="474">
        <f>IF(Assumptions!$L$25=4,VLOOKUP($A106,'Henwood Reference'!$E$9:$R$320,10),(VLOOKUP($A106,PriceTableWeekend,2,0)+IF(BasisNumber&lt;&gt;1,VLOOKUP($A106,BasisTable,2,0),0)+L$1)/(1-L$2))</f>
        <v>44.831823185550206</v>
      </c>
      <c r="M106" s="154">
        <f>IF(Assumptions!$L$25=4,VLOOKUP($A106,'Henwood Reference'!$E$9:$R$320,10),(VLOOKUP($A106,PriceTableWeekend,3,0)+IF(BasisNumber&lt;&gt;1,VLOOKUP($A106,BasisTable,2,0),0)+M$1)/(1-M$2))</f>
        <v>44.831823185550206</v>
      </c>
      <c r="N106" s="156">
        <f>IF(Assumptions!$L$25=4,VLOOKUP($A106,'Henwood Reference'!$E$9:$R$320,10),(VLOOKUP($A106,PriceTableWeekend,4,0)+IF(BasisNumber&lt;&gt;1,VLOOKUP($A106,BasisTable,2,0),0)+N$1)/(1-N$2))</f>
        <v>44.831823185550206</v>
      </c>
      <c r="O106" s="154">
        <f>IF(Assumptions!$L$25=4,VLOOKUP($A106,'Henwood Reference'!$E$9:$R$320,11),(VLOOKUP($A106,PriceTableWeekend,6,0)+IF(BasisNumber&lt;&gt;1,VLOOKUP($A106,BasisTable,3,0),0)+O$1)/(1-O$2))</f>
        <v>25.793966404198109</v>
      </c>
      <c r="P106" s="154">
        <f>IF(Assumptions!$L$25=4,VLOOKUP($A106,'Henwood Reference'!$E$9:$R$320,11),(VLOOKUP($A106,PriceTableWeekend,7,0)+IF(BasisNumber&lt;&gt;1,VLOOKUP($A106,BasisTable,3,0),0)+P$1)/(1-P$2))</f>
        <v>25.793966404198109</v>
      </c>
      <c r="Q106" s="156">
        <f>IF(Assumptions!$L$25=4,VLOOKUP($A106,'Henwood Reference'!$E$9:$R$320,11),(VLOOKUP($A106,PriceTableWeekend,8,0)+IF(BasisNumber&lt;&gt;1,VLOOKUP($A106,BasisTable,3,0),0)+Q$1)/(1-Q$2))</f>
        <v>25.793966404198109</v>
      </c>
      <c r="R106" s="154">
        <f>IF(Assumptions!$L$25=4,VLOOKUP($A106,'Henwood Reference'!$E$9:$R$320,11),(VLOOKUP($A106,PriceTable,6,0)+IF(BasisNumber&lt;&gt;1,VLOOKUP($A106,BasisTable,3,0),0)+R$1)/(1-R$2))</f>
        <v>25.793966404198109</v>
      </c>
      <c r="S106" s="154">
        <f>IF(Assumptions!$L$25=4,VLOOKUP($A106,'Henwood Reference'!$E$9:$R$320,11),(VLOOKUP($A106,PriceTable,7,0)+IF(BasisNumber&lt;&gt;1,VLOOKUP($A106,BasisTable,3,0),0)+S$1)/(1-S$2))</f>
        <v>25.793966404198109</v>
      </c>
      <c r="T106" s="155">
        <f>IF(Assumptions!$L$25=4,VLOOKUP($A106,'Henwood Reference'!$E$9:$R$320,11),(VLOOKUP($A106,PriceTable,8,0)+IF(BasisNumber&lt;&gt;1,VLOOKUP($A106,BasisTable,3,0),0)+T$1)/(1-T$2))</f>
        <v>25.793966404198109</v>
      </c>
      <c r="U106" s="173">
        <f t="shared" si="298"/>
        <v>0.13500000000000001</v>
      </c>
      <c r="V106" s="173">
        <f t="shared" si="299"/>
        <v>0.14499999999999999</v>
      </c>
      <c r="W106" s="174">
        <f t="shared" si="300"/>
        <v>0.155</v>
      </c>
      <c r="X106" s="173">
        <f t="shared" si="301"/>
        <v>0.13500000000000001</v>
      </c>
      <c r="Y106" s="173">
        <f t="shared" si="302"/>
        <v>0.14499999999999999</v>
      </c>
      <c r="Z106" s="174">
        <f t="shared" si="303"/>
        <v>0.155</v>
      </c>
      <c r="AA106" s="173">
        <f t="shared" si="304"/>
        <v>0.09</v>
      </c>
      <c r="AB106" s="173">
        <f t="shared" si="305"/>
        <v>0.11</v>
      </c>
      <c r="AC106" s="174">
        <f t="shared" si="306"/>
        <v>0.13</v>
      </c>
      <c r="AD106" s="173">
        <f t="shared" si="307"/>
        <v>0.09</v>
      </c>
      <c r="AE106" s="173">
        <f t="shared" si="308"/>
        <v>0.11</v>
      </c>
      <c r="AF106" s="174">
        <f t="shared" si="309"/>
        <v>0.13</v>
      </c>
      <c r="AG106" s="173">
        <f t="shared" si="310"/>
        <v>-0.1</v>
      </c>
      <c r="AH106" s="173">
        <f t="shared" si="311"/>
        <v>0.6</v>
      </c>
      <c r="AI106" s="174">
        <f t="shared" si="312"/>
        <v>0.1</v>
      </c>
      <c r="AJ106" s="173">
        <f t="shared" si="313"/>
        <v>-0.1</v>
      </c>
      <c r="AK106" s="173">
        <f t="shared" si="314"/>
        <v>0.6</v>
      </c>
      <c r="AL106" s="174">
        <f t="shared" si="315"/>
        <v>0.1</v>
      </c>
      <c r="AM106" s="173">
        <f t="shared" si="316"/>
        <v>-0.01</v>
      </c>
      <c r="AN106" s="173">
        <f t="shared" si="317"/>
        <v>0.16</v>
      </c>
      <c r="AO106" s="174">
        <f t="shared" si="318"/>
        <v>0.01</v>
      </c>
      <c r="AP106" s="173">
        <f t="shared" si="319"/>
        <v>-0.01</v>
      </c>
      <c r="AQ106" s="173">
        <f t="shared" si="320"/>
        <v>0.16</v>
      </c>
      <c r="AR106" s="175">
        <f t="shared" si="321"/>
        <v>0.01</v>
      </c>
      <c r="AS106" s="521">
        <f t="shared" si="349"/>
        <v>0.5</v>
      </c>
      <c r="AT106" s="349">
        <f t="shared" si="347"/>
        <v>23</v>
      </c>
      <c r="AU106" s="159">
        <f t="shared" si="240"/>
        <v>4</v>
      </c>
      <c r="AV106" s="159">
        <f t="shared" si="241"/>
        <v>4</v>
      </c>
      <c r="AW106" s="159">
        <f t="shared" si="350"/>
        <v>0</v>
      </c>
      <c r="AX106" s="15">
        <f t="shared" si="348"/>
        <v>31</v>
      </c>
      <c r="AY106" s="607">
        <f>IF(E106="",0,MIN((1-(1-VLOOKUP(B106,MAIN!$AA$7:$AM$28,C106+1))*(1-VLOOKUP(B106,MAIN!$AA$33:$AM$54,C106+1))),1))</f>
        <v>3.0000000000000027E-2</v>
      </c>
      <c r="AZ106" s="337">
        <v>53544</v>
      </c>
      <c r="BA106" s="509">
        <v>9312</v>
      </c>
      <c r="BB106" s="509">
        <v>9312</v>
      </c>
      <c r="BC106" s="511">
        <v>36084</v>
      </c>
      <c r="BD106" s="153">
        <v>0.97000001445412631</v>
      </c>
      <c r="BE106" s="474">
        <v>0.97000001445412631</v>
      </c>
      <c r="BF106" s="474">
        <v>0.97000001445412631</v>
      </c>
      <c r="BG106" s="515">
        <v>0.9699999927729368</v>
      </c>
      <c r="BH106" s="262">
        <v>214176</v>
      </c>
      <c r="BI106" s="509">
        <v>37248</v>
      </c>
      <c r="BJ106" s="509">
        <v>37248</v>
      </c>
      <c r="BK106" s="511">
        <v>144336</v>
      </c>
      <c r="BL106" s="153">
        <v>0.97000001445412631</v>
      </c>
      <c r="BM106" s="474">
        <v>0.97000001445412631</v>
      </c>
      <c r="BN106" s="474">
        <v>0.97000001445412631</v>
      </c>
      <c r="BO106" s="474">
        <v>0.9699999927729368</v>
      </c>
      <c r="BP106" s="261">
        <f t="shared" si="324"/>
        <v>72168</v>
      </c>
      <c r="BQ106" s="578">
        <f t="shared" si="325"/>
        <v>108252</v>
      </c>
      <c r="BR106" s="259">
        <f t="shared" si="326"/>
        <v>288672</v>
      </c>
      <c r="BS106" s="578">
        <f t="shared" si="327"/>
        <v>433008</v>
      </c>
      <c r="BT106" s="216">
        <f t="shared" si="328"/>
        <v>7.4633812457221085</v>
      </c>
      <c r="BU106" s="218">
        <f t="shared" si="243"/>
        <v>44.831823853596433</v>
      </c>
      <c r="BV106" s="216">
        <f t="shared" si="244"/>
        <v>44.831823853596433</v>
      </c>
      <c r="BW106" s="216">
        <f t="shared" si="245"/>
        <v>25.793966788558162</v>
      </c>
      <c r="BX106" s="216">
        <f t="shared" si="329"/>
        <v>25.793966212018084</v>
      </c>
      <c r="BY106" s="216">
        <f t="shared" si="246"/>
        <v>42.37532616778504</v>
      </c>
      <c r="BZ106" s="216">
        <f t="shared" si="247"/>
        <v>36.848206182529388</v>
      </c>
      <c r="CA106" s="264">
        <f t="shared" si="248"/>
        <v>44.831823853596433</v>
      </c>
      <c r="CB106" s="216">
        <f t="shared" si="249"/>
        <v>44.831823853596433</v>
      </c>
      <c r="CC106" s="216">
        <f t="shared" si="250"/>
        <v>25.793966788558162</v>
      </c>
      <c r="CD106" s="216">
        <f t="shared" si="330"/>
        <v>25.793966212018084</v>
      </c>
      <c r="CE106" s="216">
        <f t="shared" si="251"/>
        <v>42.37532616778504</v>
      </c>
      <c r="CF106" s="571">
        <f t="shared" si="252"/>
        <v>36.848206182529388</v>
      </c>
      <c r="CG106" s="573">
        <f t="shared" si="253"/>
        <v>0.14499999999999999</v>
      </c>
      <c r="CH106" s="219">
        <f t="shared" si="254"/>
        <v>0.14499999999999999</v>
      </c>
      <c r="CI106" s="219">
        <f t="shared" si="255"/>
        <v>0.11</v>
      </c>
      <c r="CJ106" s="219">
        <f t="shared" si="256"/>
        <v>0.14229771485288856</v>
      </c>
      <c r="CK106" s="219">
        <f t="shared" si="257"/>
        <v>0.14229771485288856</v>
      </c>
      <c r="CL106" s="219">
        <f t="shared" si="258"/>
        <v>0.11</v>
      </c>
      <c r="CM106" s="219">
        <f t="shared" si="259"/>
        <v>0.12445908366707188</v>
      </c>
      <c r="CN106" s="569">
        <f t="shared" si="260"/>
        <v>0.12445908366707188</v>
      </c>
      <c r="CO106" s="264">
        <f t="shared" si="343"/>
        <v>20.748817579746845</v>
      </c>
      <c r="CP106" s="216">
        <f t="shared" si="331"/>
        <v>20.748817579746845</v>
      </c>
      <c r="CQ106" s="216">
        <f t="shared" ca="1" si="192"/>
        <v>20.748817579746845</v>
      </c>
      <c r="CR106" s="216">
        <f t="shared" ca="1" si="193"/>
        <v>20.748817579746845</v>
      </c>
      <c r="CS106" s="1626">
        <f t="shared" ca="1" si="194"/>
        <v>20.748817579746845</v>
      </c>
      <c r="CT106" s="216">
        <f t="shared" si="332"/>
        <v>20.748817579746845</v>
      </c>
      <c r="CU106" s="575">
        <f t="shared" si="261"/>
        <v>0.17</v>
      </c>
      <c r="CV106" s="154">
        <f t="shared" si="262"/>
        <v>0.5</v>
      </c>
      <c r="CW106" s="216">
        <f>IF(OR($BQ106,$BS106),SpreadOptPowerMargin,0)*((1+Assumptions!$C$26)^($B106-YEAR(Assumptions!$C$17)))</f>
        <v>1.948377888</v>
      </c>
      <c r="CX106" s="216">
        <f>IF(OR($BQ106,$BS106),SpreadOptPowerMargin,0)*((1+Assumptions!$C$26)^($B106-YEAR(Assumptions!$C$17)))</f>
        <v>1.948377888</v>
      </c>
      <c r="CY106" s="216">
        <f>IF(OR($BQ106,$BS106),SpreadOptPowerMargin,0)*((1+Assumptions!$C$26)^($B106-YEAR(Assumptions!$C$17)))</f>
        <v>1.948377888</v>
      </c>
      <c r="CZ106" s="216">
        <f>IF(OR($BQ106,$BS106),SpreadOptPowerMargin,0)*((1+Assumptions!$C$26)^($B106-YEAR(Assumptions!$C$17)))</f>
        <v>1.948377888</v>
      </c>
      <c r="DA106" s="440">
        <f t="shared" si="263"/>
        <v>1.9483778879999998</v>
      </c>
      <c r="DB106" s="479">
        <f t="shared" si="264"/>
        <v>0.14499999999999999</v>
      </c>
      <c r="DC106" s="479">
        <f t="shared" si="265"/>
        <v>0.14499999999999999</v>
      </c>
      <c r="DD106" s="479">
        <f t="shared" si="266"/>
        <v>0.11</v>
      </c>
      <c r="DE106" s="479">
        <f t="shared" si="267"/>
        <v>0.11</v>
      </c>
      <c r="DF106" s="479">
        <f t="shared" si="268"/>
        <v>0.12445908366707188</v>
      </c>
      <c r="DG106" s="574">
        <f t="shared" si="269"/>
        <v>0.12445908366707188</v>
      </c>
      <c r="DH106" s="216">
        <f t="shared" si="270"/>
        <v>22.409029453574153</v>
      </c>
      <c r="DI106" s="216">
        <f t="shared" si="271"/>
        <v>22.409029453574153</v>
      </c>
      <c r="DJ106" s="216">
        <f t="shared" ca="1" si="195"/>
        <v>5.3973155388608127</v>
      </c>
      <c r="DK106" s="216">
        <f t="shared" ca="1" si="196"/>
        <v>5.3973151325441568</v>
      </c>
      <c r="DL106" s="216">
        <f t="shared" ca="1" si="197"/>
        <v>14.739251632878608</v>
      </c>
      <c r="DM106" s="216"/>
      <c r="DN106" s="216"/>
      <c r="DO106" s="216"/>
      <c r="DP106" s="216"/>
      <c r="DQ106" s="216"/>
      <c r="DR106" s="216"/>
      <c r="DS106" s="216"/>
      <c r="DT106" s="216"/>
      <c r="DU106" s="216"/>
      <c r="DV106" s="216"/>
      <c r="DW106" s="1371">
        <f t="shared" si="272"/>
        <v>5.3973155388608127</v>
      </c>
      <c r="DX106" s="216">
        <f t="shared" si="273"/>
        <v>5.3973151325441568</v>
      </c>
      <c r="DY106" s="440">
        <f t="shared" si="274"/>
        <v>15.275084773255481</v>
      </c>
      <c r="DZ106" s="180">
        <f t="shared" si="275"/>
        <v>1199869.0730621745</v>
      </c>
      <c r="EA106" s="180">
        <f t="shared" si="276"/>
        <v>208672.88227168252</v>
      </c>
      <c r="EB106" s="180">
        <f t="shared" ca="1" si="198"/>
        <v>50259.802297871887</v>
      </c>
      <c r="EC106" s="180">
        <f t="shared" ca="1" si="199"/>
        <v>194756.71924272337</v>
      </c>
      <c r="ED106" s="180">
        <f t="shared" ca="1" si="200"/>
        <v>1595553.467762375</v>
      </c>
      <c r="EE106" s="581">
        <f t="shared" si="277"/>
        <v>1185176.5422919304</v>
      </c>
      <c r="EF106" s="554">
        <f t="shared" si="278"/>
        <v>206117.65952903137</v>
      </c>
      <c r="EG106" s="554">
        <f t="shared" ca="1" si="201"/>
        <v>28837.134539394989</v>
      </c>
      <c r="EH106" s="554">
        <f t="shared" ca="1" si="202"/>
        <v>111743.87553628341</v>
      </c>
      <c r="EI106" s="561">
        <f t="shared" ca="1" si="279"/>
        <v>1531875.21189664</v>
      </c>
      <c r="EJ106" s="581">
        <f t="shared" si="333"/>
        <v>14692.530770244077</v>
      </c>
      <c r="EK106" s="554">
        <f t="shared" si="334"/>
        <v>2555.2227426511527</v>
      </c>
      <c r="EL106" s="554">
        <f t="shared" ca="1" si="203"/>
        <v>21422.667758476899</v>
      </c>
      <c r="EM106" s="554">
        <f t="shared" ca="1" si="204"/>
        <v>83012.843706439962</v>
      </c>
      <c r="EN106" s="561">
        <f t="shared" ca="1" si="205"/>
        <v>63678.255865735002</v>
      </c>
      <c r="EO106" s="180">
        <f t="shared" si="280"/>
        <v>4799476.292248698</v>
      </c>
      <c r="EP106" s="180">
        <f t="shared" si="281"/>
        <v>834691.52908673009</v>
      </c>
      <c r="EQ106" s="180">
        <f t="shared" si="282"/>
        <v>201039.20919148755</v>
      </c>
      <c r="ER106" s="180">
        <f t="shared" si="283"/>
        <v>779026.87697089347</v>
      </c>
      <c r="ES106" s="180">
        <f t="shared" si="284"/>
        <v>6614233.9074978093</v>
      </c>
      <c r="ET106" s="1482">
        <f t="shared" ca="1" si="206"/>
        <v>4740706.1691677216</v>
      </c>
      <c r="EU106" s="180">
        <f t="shared" ca="1" si="207"/>
        <v>824470.63811612548</v>
      </c>
      <c r="EV106" s="180">
        <f t="shared" ca="1" si="208"/>
        <v>115348.53815757995</v>
      </c>
      <c r="EW106" s="180">
        <f t="shared" ca="1" si="209"/>
        <v>446975.50214513362</v>
      </c>
      <c r="EX106" s="555">
        <f t="shared" ref="EX106:EX169" ca="1" si="351">IF(EI106,SUM(ET106:EW106),0)</f>
        <v>6127500.847586561</v>
      </c>
      <c r="EY106" s="180">
        <f t="shared" ca="1" si="210"/>
        <v>58770.123080976307</v>
      </c>
      <c r="EZ106" s="180">
        <f t="shared" ca="1" si="211"/>
        <v>10220.890970604611</v>
      </c>
      <c r="FA106" s="180">
        <f t="shared" ca="1" si="212"/>
        <v>85690.671033907594</v>
      </c>
      <c r="FB106" s="180">
        <f t="shared" ca="1" si="213"/>
        <v>332051.37482575985</v>
      </c>
      <c r="FC106" s="180">
        <f t="shared" ca="1" si="214"/>
        <v>486733.05991124827</v>
      </c>
      <c r="FD106" s="262">
        <f>IF(AX106,IF(VLOOKUP(C106,MAIN!$L$17:$M$28,2)="Yes",VLOOKUP(CALC!B106,MAIN!$H$17:$I$20,2),0),0)</f>
        <v>0</v>
      </c>
      <c r="FE106" s="623">
        <f t="shared" si="285"/>
        <v>0</v>
      </c>
      <c r="FF106" s="535">
        <f t="shared" si="286"/>
        <v>0</v>
      </c>
      <c r="FG106" s="535">
        <f t="shared" si="287"/>
        <v>0</v>
      </c>
      <c r="FH106" s="624">
        <f t="shared" si="288"/>
        <v>0</v>
      </c>
      <c r="FI106" s="632">
        <f>IF(AX106,VLOOKUP(CALC!B106,MAIN!$H$17:$K$20,4),0)</f>
        <v>0</v>
      </c>
      <c r="FJ106" s="535">
        <f t="shared" si="289"/>
        <v>0</v>
      </c>
      <c r="FK106" s="648">
        <f t="shared" si="335"/>
        <v>0</v>
      </c>
      <c r="FL106" s="530">
        <f t="shared" ca="1" si="215"/>
        <v>0</v>
      </c>
      <c r="FM106" s="530">
        <f t="shared" ca="1" si="216"/>
        <v>0</v>
      </c>
      <c r="FN106" s="530">
        <f t="shared" ca="1" si="217"/>
        <v>0</v>
      </c>
      <c r="FO106" s="622">
        <f t="shared" ca="1" si="218"/>
        <v>0</v>
      </c>
      <c r="FP106" s="530">
        <f t="shared" ca="1" si="219"/>
        <v>0</v>
      </c>
      <c r="FQ106" s="530">
        <f t="shared" ca="1" si="220"/>
        <v>0</v>
      </c>
      <c r="FR106" s="530">
        <f t="shared" ca="1" si="221"/>
        <v>0</v>
      </c>
      <c r="FS106" s="625">
        <f t="shared" ca="1" si="222"/>
        <v>0</v>
      </c>
      <c r="FT106" s="640">
        <f ca="1">IF(AND(Assumptions!$H$71="Yes",A106&gt;=Assumptions!$H$72,A106&lt;=Assumptions!$H$73),0,IF(AND($A106&gt;=Assumptions!$C$17,$A106&lt;=Assumptions!$C$18),MAX(AZ106*(1+VLOOKUP($C106,WeatherCapacityAdjustment,2))-FL106,0),0))</f>
        <v>53544</v>
      </c>
      <c r="FU106" s="530">
        <f ca="1">IF(AND(Assumptions!$H$71="Yes",A106&gt;=Assumptions!$H$72,A106&lt;=Assumptions!$H$73),0,IF(AND($A106&gt;=Assumptions!$C$17,$A106&lt;=Assumptions!$C$18),MAX(BA106*(1+VLOOKUP($C106,WeatherCapacityAdjustment,2))-FM106,0),0))</f>
        <v>9312</v>
      </c>
      <c r="FV106" s="530">
        <f ca="1">IF(AND(Assumptions!$H$71="Yes",A106&gt;=Assumptions!$H$72,A106&lt;=Assumptions!$H$73),0,IF(AND($A106&gt;=Assumptions!$C$17,$A106&lt;=Assumptions!$C$18),MAX(BB106*(1+VLOOKUP($C106,WeatherCapacityAdjustment,2))-FN106,0),0))</f>
        <v>9312</v>
      </c>
      <c r="FW106" s="622">
        <f ca="1">IF(AND(Assumptions!$H$71="Yes",A106&gt;=Assumptions!$H$72,A106&lt;=Assumptions!$H$73),0,IF(AND($A106&gt;=Assumptions!$C$17,$A106&lt;=Assumptions!$C$18),MAX(BC106*(1+VLOOKUP($C106,WeatherCapacityAdjustment,3))-FO106,0),0))</f>
        <v>36084</v>
      </c>
      <c r="FX106" s="621">
        <f ca="1">IF(AND(Assumptions!$H$71="Yes",A106&gt;=Assumptions!$H$72,A106&lt;=Assumptions!$H$73),0,IF(ET106&gt;0,MAX(BH106*(1+VLOOKUP($C106,WeatherCapacityAdjustment,2))-FP106,0),0))</f>
        <v>214176</v>
      </c>
      <c r="FY106" s="530">
        <f ca="1">IF(AND(Assumptions!$H$71="Yes",A106&gt;=Assumptions!$H$72,A106&lt;=Assumptions!$H$73),0,IF(EU106&gt;0,MAX(BI106*(1+VLOOKUP($C106,WeatherCapacityAdjustment,3))-FQ106,0),0))</f>
        <v>37248</v>
      </c>
      <c r="FZ106" s="530">
        <f ca="1">IF(AND(Assumptions!$H$71="Yes",A106&gt;=Assumptions!$H$72,A106&lt;=Assumptions!$H$73),0,IF(EV106&gt;0,MAX(BJ106*(1+VLOOKUP($C106,WeatherCapacityAdjustment,2))-FR106,0),0))</f>
        <v>37248</v>
      </c>
      <c r="GA106" s="622">
        <f ca="1">IF(AND(Assumptions!$H$71="Yes",A106&gt;=Assumptions!$H$72,A106&lt;=Assumptions!$H$73),0,IF(EW106&gt;0,MAX(BK106*(1+VLOOKUP($C106,WeatherCapacityAdjustment,2))-FS106,0),0))</f>
        <v>144336</v>
      </c>
      <c r="GB106" s="530">
        <f t="shared" ca="1" si="290"/>
        <v>541260</v>
      </c>
      <c r="GC106" s="545">
        <f t="shared" ca="1" si="291"/>
        <v>36.848206182529388</v>
      </c>
      <c r="GD106" s="530">
        <f t="shared" ca="1" si="223"/>
        <v>19944460.078355856</v>
      </c>
      <c r="GE106" s="1485">
        <f t="shared" ca="1" si="224"/>
        <v>772116.05015999998</v>
      </c>
      <c r="GF106" s="1776">
        <f t="shared" ca="1" si="225"/>
        <v>3088464.2006399999</v>
      </c>
      <c r="GG106" s="545">
        <f t="shared" si="190"/>
        <v>2.9090199590816854</v>
      </c>
      <c r="GH106" s="622">
        <f t="shared" ca="1" si="191"/>
        <v>11230505.003213778</v>
      </c>
      <c r="GI106" s="621">
        <f t="shared" ca="1" si="336"/>
        <v>541260</v>
      </c>
      <c r="GJ106" s="638">
        <f t="shared" si="292"/>
        <v>1.9483778879999998</v>
      </c>
      <c r="GK106" s="625">
        <f t="shared" ca="1" si="342"/>
        <v>1054579.0156588799</v>
      </c>
      <c r="GL106" s="640">
        <f t="shared" ca="1" si="226"/>
        <v>0</v>
      </c>
      <c r="GM106" s="530">
        <f t="shared" ca="1" si="227"/>
        <v>0</v>
      </c>
      <c r="GN106" s="530">
        <f t="shared" ca="1" si="228"/>
        <v>0</v>
      </c>
      <c r="GO106" s="622">
        <f t="shared" ca="1" si="229"/>
        <v>0</v>
      </c>
      <c r="GP106" s="530">
        <f t="shared" ca="1" si="293"/>
        <v>0</v>
      </c>
      <c r="GQ106" s="545">
        <f t="shared" ca="1" si="294"/>
        <v>0</v>
      </c>
      <c r="GR106" s="625">
        <f t="shared" ca="1" si="230"/>
        <v>0</v>
      </c>
      <c r="GS106" s="640">
        <f>IF($A106&gt;=BegDate,Assumptions!$C$56*24*($A107-$A106)*(1-VLOOKUP($B106,MAIN!$AA$7:$AM$28,$C106+1))*(1-VLOOKUP($B106,MAIN!$AA$33:$AM$54,$C106+1)),0)*80/168</f>
        <v>257742.85714285713</v>
      </c>
      <c r="GT106" s="1715">
        <f t="shared" si="337"/>
        <v>44.831823185550206</v>
      </c>
      <c r="GU106" s="1715">
        <f>IF($A106&gt;=BegDate,VLOOKUP($A106,GasTable,13)+Assumptions!$C$58,0)</f>
        <v>2.9090199590816854</v>
      </c>
      <c r="GV106" s="1715">
        <f>GU106*Assumptions!$C$57/1000</f>
        <v>21.09039470334222</v>
      </c>
      <c r="GW106" s="625">
        <f>IF(Assumptions!$C$60="Hourly",MAX(0,GS106*(GT106-GV106)),GS106*(GT106-GV106))</f>
        <v>6119183.609657092</v>
      </c>
      <c r="GX106" s="640">
        <f>IF($A106&gt;=BegDate,Assumptions!$C$56*24*($A107-$A106)*(1-VLOOKUP($B106,MAIN!$AA$7:$AM$28,$C106+1))*(1-VLOOKUP($B106,MAIN!$AA$33:$AM$54,$C106+1)),0)*16/168</f>
        <v>51548.571428571428</v>
      </c>
      <c r="GY106" s="1715">
        <f t="shared" si="338"/>
        <v>44.831823185550206</v>
      </c>
      <c r="GZ106" s="1715">
        <f>IF($A106&gt;=BegDate,VLOOKUP($A106,GasTable,13)+Assumptions!$C$58,0)</f>
        <v>2.9090199590816854</v>
      </c>
      <c r="HA106" s="1715">
        <f>GZ106*Assumptions!$C$57/1000</f>
        <v>21.09039470334222</v>
      </c>
      <c r="HB106" s="625">
        <f>IF(Assumptions!$C$60="Hourly",MAX(0,GX106*(GY106-HA106)),GX106*(GY106-HA106))</f>
        <v>1223836.7219314184</v>
      </c>
      <c r="HC106" s="640">
        <f>IF($A106&gt;=BegDate,Assumptions!$C$56*24*($A107-$A106)*(1-VLOOKUP($B106,MAIN!$AA$7:$AM$28,$C106+1))*(1-VLOOKUP($B106,MAIN!$AA$33:$AM$54,$C106+1)),0)*16/168</f>
        <v>51548.571428571428</v>
      </c>
      <c r="HD106" s="1715">
        <f t="shared" si="339"/>
        <v>25.793966404198109</v>
      </c>
      <c r="HE106" s="1715">
        <f>IF($A106&gt;=BegDate,VLOOKUP($A106,GasTable,13)+Assumptions!$C$58,0)</f>
        <v>2.9090199590816854</v>
      </c>
      <c r="HF106" s="1715">
        <f>HE106*Assumptions!$C$57/1000</f>
        <v>21.09039470334222</v>
      </c>
      <c r="HG106" s="625">
        <f>IF(Assumptions!$C$60="Hourly",MAX(0,HC106*(HD106-HF106)),HC106*(HD106-HF106))</f>
        <v>242462.40179097699</v>
      </c>
      <c r="HH106" s="640">
        <f>IF($A106&gt;=BegDate,Assumptions!$C$56*24*($A107-$A106)*(1-VLOOKUP($B106,MAIN!$AA$7:$AM$28,$C106+1))*(1-VLOOKUP($B106,MAIN!$AA$33:$AM$54,$C106+1)),0)*56/168</f>
        <v>180420</v>
      </c>
      <c r="HI106" s="1715">
        <f t="shared" si="340"/>
        <v>25.793966404198109</v>
      </c>
      <c r="HJ106" s="1715">
        <f>IF($A106&gt;=BegDate,VLOOKUP($A106,GasTable,13)+Assumptions!$C$58,0)</f>
        <v>2.9090199590816854</v>
      </c>
      <c r="HK106" s="1715">
        <f>HJ106*Assumptions!$C$57/1000</f>
        <v>21.09039470334222</v>
      </c>
      <c r="HL106" s="625">
        <f>IF(Assumptions!$C$60="Hourly",MAX(0,HH106*(HI106-HK106)),HH106*(HI106-HK106))</f>
        <v>848618.40626841947</v>
      </c>
      <c r="HM106" s="640">
        <f>IF(AND(Assumptions!$H$71="Yes",A106&gt;=Assumptions!$H$72,A106&lt;=Assumptions!$H$73),Assumptions!$H$74*Assumptions!$C$9*1000,0)</f>
        <v>0</v>
      </c>
      <c r="HN106" s="530"/>
      <c r="HO106" s="545"/>
      <c r="HP106" s="545"/>
      <c r="HQ106" s="545"/>
      <c r="HR106" s="545"/>
      <c r="HS106" s="545"/>
      <c r="HT106" s="545"/>
      <c r="HU106" s="545"/>
      <c r="HV106" s="545"/>
      <c r="HW106" s="545"/>
      <c r="HX106" s="545"/>
      <c r="HY106" s="545"/>
      <c r="HZ106" s="545"/>
      <c r="IA106" s="545"/>
      <c r="IB106" s="545"/>
      <c r="IC106" s="545"/>
      <c r="ID106" s="545"/>
      <c r="IE106" s="545"/>
      <c r="IF106" s="545"/>
      <c r="IG106" s="545"/>
      <c r="IH106" s="545"/>
      <c r="II106" s="1464"/>
      <c r="IJ106" s="1463"/>
      <c r="IK106" s="1463"/>
    </row>
    <row r="107" spans="1:245">
      <c r="A107" s="177">
        <f t="shared" si="295"/>
        <v>39387</v>
      </c>
      <c r="B107" s="349">
        <f t="shared" si="296"/>
        <v>2007</v>
      </c>
      <c r="C107" s="15">
        <f t="shared" si="344"/>
        <v>11</v>
      </c>
      <c r="D107" s="612">
        <f t="shared" si="297"/>
        <v>39408</v>
      </c>
      <c r="E107" s="609">
        <f t="shared" si="345"/>
        <v>39387</v>
      </c>
      <c r="F107" s="614">
        <f t="shared" si="346"/>
        <v>39416</v>
      </c>
      <c r="G107" s="1349">
        <v>0</v>
      </c>
      <c r="H107" s="152">
        <f t="shared" si="341"/>
        <v>1</v>
      </c>
      <c r="I107" s="154">
        <f>IF(Assumptions!$L$25=4,VLOOKUP($A107,'Henwood Reference'!$E$9:$R$320,10),(VLOOKUP($A107,PriceTable,2,0)+IF(BasisNumber&lt;&gt;1,VLOOKUP($A107,BasisTable,2,0),0)+I$1)/(1-I$2))</f>
        <v>45.986596887238036</v>
      </c>
      <c r="J107" s="154">
        <f>IF(Assumptions!$L$25=4,VLOOKUP($A107,'Henwood Reference'!$E$9:$R$320,10),(VLOOKUP($A107,PriceTable,3,0)+IF(BasisNumber&lt;&gt;1,VLOOKUP($A107,BasisTable,2,0),0)+J$1)/(1-J$2))</f>
        <v>45.986596887238036</v>
      </c>
      <c r="K107" s="154">
        <f>IF(Assumptions!$L$25=4,VLOOKUP($A107,'Henwood Reference'!$E$9:$R$320,10),(VLOOKUP($A107,PriceTable,4,0)+IF(BasisNumber&lt;&gt;1,VLOOKUP($A107,BasisTable,2,0),0)+K$1)/(1-K$2))</f>
        <v>45.986596887238036</v>
      </c>
      <c r="L107" s="474">
        <f>IF(Assumptions!$L$25=4,VLOOKUP($A107,'Henwood Reference'!$E$9:$R$320,10),(VLOOKUP($A107,PriceTableWeekend,2,0)+IF(BasisNumber&lt;&gt;1,VLOOKUP($A107,BasisTable,2,0),0)+L$1)/(1-L$2))</f>
        <v>45.986596887238036</v>
      </c>
      <c r="M107" s="154">
        <f>IF(Assumptions!$L$25=4,VLOOKUP($A107,'Henwood Reference'!$E$9:$R$320,10),(VLOOKUP($A107,PriceTableWeekend,3,0)+IF(BasisNumber&lt;&gt;1,VLOOKUP($A107,BasisTable,2,0),0)+M$1)/(1-M$2))</f>
        <v>45.986596887238036</v>
      </c>
      <c r="N107" s="156">
        <f>IF(Assumptions!$L$25=4,VLOOKUP($A107,'Henwood Reference'!$E$9:$R$320,10),(VLOOKUP($A107,PriceTableWeekend,4,0)+IF(BasisNumber&lt;&gt;1,VLOOKUP($A107,BasisTable,2,0),0)+N$1)/(1-N$2))</f>
        <v>45.986596887238036</v>
      </c>
      <c r="O107" s="154">
        <f>IF(Assumptions!$L$25=4,VLOOKUP($A107,'Henwood Reference'!$E$9:$R$320,11),(VLOOKUP($A107,PriceTableWeekend,6,0)+IF(BasisNumber&lt;&gt;1,VLOOKUP($A107,BasisTable,3,0),0)+O$1)/(1-O$2))</f>
        <v>28.181050090140076</v>
      </c>
      <c r="P107" s="154">
        <f>IF(Assumptions!$L$25=4,VLOOKUP($A107,'Henwood Reference'!$E$9:$R$320,11),(VLOOKUP($A107,PriceTableWeekend,7,0)+IF(BasisNumber&lt;&gt;1,VLOOKUP($A107,BasisTable,3,0),0)+P$1)/(1-P$2))</f>
        <v>28.181050090140076</v>
      </c>
      <c r="Q107" s="156">
        <f>IF(Assumptions!$L$25=4,VLOOKUP($A107,'Henwood Reference'!$E$9:$R$320,11),(VLOOKUP($A107,PriceTableWeekend,8,0)+IF(BasisNumber&lt;&gt;1,VLOOKUP($A107,BasisTable,3,0),0)+Q$1)/(1-Q$2))</f>
        <v>28.181050090140076</v>
      </c>
      <c r="R107" s="154">
        <f>IF(Assumptions!$L$25=4,VLOOKUP($A107,'Henwood Reference'!$E$9:$R$320,11),(VLOOKUP($A107,PriceTable,6,0)+IF(BasisNumber&lt;&gt;1,VLOOKUP($A107,BasisTable,3,0),0)+R$1)/(1-R$2))</f>
        <v>28.181050090140076</v>
      </c>
      <c r="S107" s="154">
        <f>IF(Assumptions!$L$25=4,VLOOKUP($A107,'Henwood Reference'!$E$9:$R$320,11),(VLOOKUP($A107,PriceTable,7,0)+IF(BasisNumber&lt;&gt;1,VLOOKUP($A107,BasisTable,3,0),0)+S$1)/(1-S$2))</f>
        <v>28.181050090140076</v>
      </c>
      <c r="T107" s="155">
        <f>IF(Assumptions!$L$25=4,VLOOKUP($A107,'Henwood Reference'!$E$9:$R$320,11),(VLOOKUP($A107,PriceTable,8,0)+IF(BasisNumber&lt;&gt;1,VLOOKUP($A107,BasisTable,3,0),0)+T$1)/(1-T$2))</f>
        <v>28.181050090140076</v>
      </c>
      <c r="U107" s="173">
        <f t="shared" si="298"/>
        <v>0.13500000000000001</v>
      </c>
      <c r="V107" s="173">
        <f t="shared" si="299"/>
        <v>0.14499999999999999</v>
      </c>
      <c r="W107" s="174">
        <f t="shared" si="300"/>
        <v>0.155</v>
      </c>
      <c r="X107" s="173">
        <f t="shared" si="301"/>
        <v>0.13500000000000001</v>
      </c>
      <c r="Y107" s="173">
        <f t="shared" si="302"/>
        <v>0.14499999999999999</v>
      </c>
      <c r="Z107" s="174">
        <f t="shared" si="303"/>
        <v>0.155</v>
      </c>
      <c r="AA107" s="173">
        <f t="shared" si="304"/>
        <v>0.09</v>
      </c>
      <c r="AB107" s="173">
        <f t="shared" si="305"/>
        <v>0.11</v>
      </c>
      <c r="AC107" s="174">
        <f t="shared" si="306"/>
        <v>0.13</v>
      </c>
      <c r="AD107" s="173">
        <f t="shared" si="307"/>
        <v>0.09</v>
      </c>
      <c r="AE107" s="173">
        <f t="shared" si="308"/>
        <v>0.11</v>
      </c>
      <c r="AF107" s="174">
        <f t="shared" si="309"/>
        <v>0.13</v>
      </c>
      <c r="AG107" s="173">
        <f t="shared" si="310"/>
        <v>-0.1</v>
      </c>
      <c r="AH107" s="173">
        <f t="shared" si="311"/>
        <v>0.6</v>
      </c>
      <c r="AI107" s="174">
        <f t="shared" si="312"/>
        <v>0.1</v>
      </c>
      <c r="AJ107" s="173">
        <f t="shared" si="313"/>
        <v>-0.1</v>
      </c>
      <c r="AK107" s="173">
        <f t="shared" si="314"/>
        <v>0.6</v>
      </c>
      <c r="AL107" s="174">
        <f t="shared" si="315"/>
        <v>0.1</v>
      </c>
      <c r="AM107" s="173">
        <f t="shared" si="316"/>
        <v>-0.01</v>
      </c>
      <c r="AN107" s="173">
        <f t="shared" si="317"/>
        <v>0.16</v>
      </c>
      <c r="AO107" s="174">
        <f t="shared" si="318"/>
        <v>0.01</v>
      </c>
      <c r="AP107" s="173">
        <f t="shared" si="319"/>
        <v>-0.01</v>
      </c>
      <c r="AQ107" s="173">
        <f t="shared" si="320"/>
        <v>0.16</v>
      </c>
      <c r="AR107" s="175">
        <f t="shared" si="321"/>
        <v>0.01</v>
      </c>
      <c r="AS107" s="521">
        <f t="shared" si="349"/>
        <v>0.5</v>
      </c>
      <c r="AT107" s="349">
        <f t="shared" si="347"/>
        <v>21</v>
      </c>
      <c r="AU107" s="159">
        <f t="shared" si="240"/>
        <v>4</v>
      </c>
      <c r="AV107" s="159">
        <f t="shared" si="241"/>
        <v>4</v>
      </c>
      <c r="AW107" s="159">
        <f t="shared" si="350"/>
        <v>1</v>
      </c>
      <c r="AX107" s="15">
        <f t="shared" si="348"/>
        <v>30</v>
      </c>
      <c r="AY107" s="607">
        <f>IF(E107="",0,MIN((1-(1-VLOOKUP(B107,MAIN!$AA$7:$AM$28,C107+1))*(1-VLOOKUP(B107,MAIN!$AA$33:$AM$54,C107+1))),1))</f>
        <v>3.0000000000000027E-2</v>
      </c>
      <c r="AZ107" s="337">
        <v>48888</v>
      </c>
      <c r="BA107" s="509">
        <v>9312</v>
      </c>
      <c r="BB107" s="509">
        <v>11640</v>
      </c>
      <c r="BC107" s="511">
        <v>34920</v>
      </c>
      <c r="BD107" s="153">
        <v>0.97</v>
      </c>
      <c r="BE107" s="474">
        <v>0.97</v>
      </c>
      <c r="BF107" s="474">
        <v>0.97</v>
      </c>
      <c r="BG107" s="515">
        <v>0.9699999927729368</v>
      </c>
      <c r="BH107" s="262">
        <v>195552</v>
      </c>
      <c r="BI107" s="509">
        <v>37248</v>
      </c>
      <c r="BJ107" s="509">
        <v>46560</v>
      </c>
      <c r="BK107" s="511">
        <v>139680</v>
      </c>
      <c r="BL107" s="153">
        <v>0.97</v>
      </c>
      <c r="BM107" s="474">
        <v>0.97</v>
      </c>
      <c r="BN107" s="474">
        <v>0.97</v>
      </c>
      <c r="BO107" s="474">
        <v>0.9699999927729368</v>
      </c>
      <c r="BP107" s="261">
        <f t="shared" si="324"/>
        <v>69840</v>
      </c>
      <c r="BQ107" s="578">
        <f t="shared" si="325"/>
        <v>104760</v>
      </c>
      <c r="BR107" s="259">
        <f t="shared" si="326"/>
        <v>279360</v>
      </c>
      <c r="BS107" s="578">
        <f t="shared" si="327"/>
        <v>419040</v>
      </c>
      <c r="BT107" s="216">
        <f t="shared" si="328"/>
        <v>7.5482546201232035</v>
      </c>
      <c r="BU107" s="218">
        <f t="shared" si="243"/>
        <v>45.986596887238036</v>
      </c>
      <c r="BV107" s="216">
        <f t="shared" si="244"/>
        <v>45.986596887238036</v>
      </c>
      <c r="BW107" s="216">
        <f t="shared" si="245"/>
        <v>28.181050090140076</v>
      </c>
      <c r="BX107" s="216">
        <f t="shared" si="329"/>
        <v>28.181049880174889</v>
      </c>
      <c r="BY107" s="216">
        <f t="shared" si="246"/>
        <v>43.019005754388374</v>
      </c>
      <c r="BZ107" s="216">
        <f t="shared" si="247"/>
        <v>38.073020462983877</v>
      </c>
      <c r="CA107" s="264">
        <f t="shared" si="248"/>
        <v>45.986596887238036</v>
      </c>
      <c r="CB107" s="216">
        <f t="shared" si="249"/>
        <v>45.986596887238036</v>
      </c>
      <c r="CC107" s="216">
        <f t="shared" si="250"/>
        <v>28.181050090140076</v>
      </c>
      <c r="CD107" s="216">
        <f t="shared" si="330"/>
        <v>28.181049880174889</v>
      </c>
      <c r="CE107" s="216">
        <f t="shared" si="251"/>
        <v>43.019005754388374</v>
      </c>
      <c r="CF107" s="571">
        <f t="shared" si="252"/>
        <v>38.073020462983877</v>
      </c>
      <c r="CG107" s="573">
        <f t="shared" si="253"/>
        <v>0.14499999999999999</v>
      </c>
      <c r="CH107" s="219">
        <f t="shared" si="254"/>
        <v>0.14499999999999999</v>
      </c>
      <c r="CI107" s="219">
        <f t="shared" si="255"/>
        <v>0.11</v>
      </c>
      <c r="CJ107" s="219">
        <f t="shared" si="256"/>
        <v>0.14124176809903838</v>
      </c>
      <c r="CK107" s="219">
        <f t="shared" si="257"/>
        <v>0.14124176809903838</v>
      </c>
      <c r="CL107" s="219">
        <f t="shared" si="258"/>
        <v>0.11</v>
      </c>
      <c r="CM107" s="219">
        <f t="shared" si="259"/>
        <v>0.12276296099521025</v>
      </c>
      <c r="CN107" s="569">
        <f t="shared" si="260"/>
        <v>0.12276296099521025</v>
      </c>
      <c r="CO107" s="264">
        <f t="shared" si="343"/>
        <v>21.591969894009917</v>
      </c>
      <c r="CP107" s="216">
        <f t="shared" si="331"/>
        <v>21.591969894009917</v>
      </c>
      <c r="CQ107" s="216">
        <f t="shared" ca="1" si="192"/>
        <v>21.591969894009917</v>
      </c>
      <c r="CR107" s="216">
        <f t="shared" ca="1" si="193"/>
        <v>21.591969894009917</v>
      </c>
      <c r="CS107" s="1626">
        <f t="shared" ca="1" si="194"/>
        <v>21.591969894009917</v>
      </c>
      <c r="CT107" s="216">
        <f t="shared" si="332"/>
        <v>21.591969894009917</v>
      </c>
      <c r="CU107" s="575">
        <f t="shared" si="261"/>
        <v>0.17</v>
      </c>
      <c r="CV107" s="154">
        <f t="shared" si="262"/>
        <v>0.5</v>
      </c>
      <c r="CW107" s="216">
        <f>IF(OR($BQ107,$BS107),SpreadOptPowerMargin,0)*((1+Assumptions!$C$26)^($B107-YEAR(Assumptions!$C$17)))</f>
        <v>1.948377888</v>
      </c>
      <c r="CX107" s="216">
        <f>IF(OR($BQ107,$BS107),SpreadOptPowerMargin,0)*((1+Assumptions!$C$26)^($B107-YEAR(Assumptions!$C$17)))</f>
        <v>1.948377888</v>
      </c>
      <c r="CY107" s="216">
        <f>IF(OR($BQ107,$BS107),SpreadOptPowerMargin,0)*((1+Assumptions!$C$26)^($B107-YEAR(Assumptions!$C$17)))</f>
        <v>1.948377888</v>
      </c>
      <c r="CZ107" s="216">
        <f>IF(OR($BQ107,$BS107),SpreadOptPowerMargin,0)*((1+Assumptions!$C$26)^($B107-YEAR(Assumptions!$C$17)))</f>
        <v>1.948377888</v>
      </c>
      <c r="DA107" s="440">
        <f t="shared" si="263"/>
        <v>1.948377888</v>
      </c>
      <c r="DB107" s="479">
        <f t="shared" si="264"/>
        <v>0.14499999999999999</v>
      </c>
      <c r="DC107" s="479">
        <f t="shared" si="265"/>
        <v>0.14499999999999999</v>
      </c>
      <c r="DD107" s="479">
        <f t="shared" si="266"/>
        <v>0.11</v>
      </c>
      <c r="DE107" s="479">
        <f t="shared" si="267"/>
        <v>0.11</v>
      </c>
      <c r="DF107" s="479">
        <f t="shared" si="268"/>
        <v>0.12276296099521025</v>
      </c>
      <c r="DG107" s="574">
        <f t="shared" si="269"/>
        <v>0.12276296099521025</v>
      </c>
      <c r="DH107" s="216">
        <f t="shared" si="270"/>
        <v>22.758307754251973</v>
      </c>
      <c r="DI107" s="216">
        <f t="shared" si="271"/>
        <v>22.758307754251973</v>
      </c>
      <c r="DJ107" s="216">
        <f t="shared" ca="1" si="195"/>
        <v>6.6662633520343286</v>
      </c>
      <c r="DK107" s="216">
        <f t="shared" ca="1" si="196"/>
        <v>6.6662631947237445</v>
      </c>
      <c r="DL107" s="216">
        <f t="shared" ca="1" si="197"/>
        <v>15.162967201852142</v>
      </c>
      <c r="DM107" s="216"/>
      <c r="DN107" s="216"/>
      <c r="DO107" s="216"/>
      <c r="DP107" s="216"/>
      <c r="DQ107" s="216"/>
      <c r="DR107" s="216"/>
      <c r="DS107" s="216"/>
      <c r="DT107" s="216"/>
      <c r="DU107" s="216"/>
      <c r="DV107" s="216"/>
      <c r="DW107" s="1371">
        <f t="shared" si="272"/>
        <v>6.6662633520343286</v>
      </c>
      <c r="DX107" s="216">
        <f t="shared" si="273"/>
        <v>6.6662631947237445</v>
      </c>
      <c r="DY107" s="440">
        <f t="shared" si="274"/>
        <v>15.606287967496156</v>
      </c>
      <c r="DZ107" s="180">
        <f t="shared" si="275"/>
        <v>1112608.1494898705</v>
      </c>
      <c r="EA107" s="180">
        <f t="shared" si="276"/>
        <v>211925.36180759437</v>
      </c>
      <c r="EB107" s="180">
        <f t="shared" ca="1" si="198"/>
        <v>77595.305417679585</v>
      </c>
      <c r="EC107" s="180">
        <f t="shared" ca="1" si="199"/>
        <v>232785.91075975317</v>
      </c>
      <c r="ED107" s="180">
        <f t="shared" ca="1" si="200"/>
        <v>1588472.4440660304</v>
      </c>
      <c r="EE107" s="581">
        <f t="shared" si="277"/>
        <v>1097352.2262563922</v>
      </c>
      <c r="EF107" s="554">
        <f t="shared" si="278"/>
        <v>209019.47166788424</v>
      </c>
      <c r="EG107" s="554">
        <f t="shared" ca="1" si="201"/>
        <v>54017.774866635045</v>
      </c>
      <c r="EH107" s="554">
        <f t="shared" ca="1" si="202"/>
        <v>162053.31726792082</v>
      </c>
      <c r="EI107" s="561">
        <f t="shared" ca="1" si="279"/>
        <v>1522442.7900588319</v>
      </c>
      <c r="EJ107" s="581">
        <f t="shared" si="333"/>
        <v>15255.92323347833</v>
      </c>
      <c r="EK107" s="554">
        <f t="shared" si="334"/>
        <v>2905.890139710129</v>
      </c>
      <c r="EL107" s="554">
        <f t="shared" ca="1" si="203"/>
        <v>23577.53055104454</v>
      </c>
      <c r="EM107" s="554">
        <f t="shared" ca="1" si="204"/>
        <v>70732.593491832347</v>
      </c>
      <c r="EN107" s="561">
        <f t="shared" ca="1" si="205"/>
        <v>66029.654007198522</v>
      </c>
      <c r="EO107" s="180">
        <f t="shared" si="280"/>
        <v>4450432.5979594821</v>
      </c>
      <c r="EP107" s="180">
        <f t="shared" si="281"/>
        <v>847701.44723037747</v>
      </c>
      <c r="EQ107" s="180">
        <f t="shared" si="282"/>
        <v>310381.22167071834</v>
      </c>
      <c r="ER107" s="180">
        <f t="shared" si="283"/>
        <v>931143.64303901268</v>
      </c>
      <c r="ES107" s="180">
        <f t="shared" si="284"/>
        <v>6539658.9098995896</v>
      </c>
      <c r="ET107" s="1482">
        <f t="shared" ca="1" si="206"/>
        <v>4389408.9050255688</v>
      </c>
      <c r="EU107" s="180">
        <f t="shared" ca="1" si="207"/>
        <v>836077.88667153695</v>
      </c>
      <c r="EV107" s="180">
        <f t="shared" ca="1" si="208"/>
        <v>216071.09946654018</v>
      </c>
      <c r="EW107" s="180">
        <f t="shared" ca="1" si="209"/>
        <v>648213.26907168329</v>
      </c>
      <c r="EX107" s="555">
        <f t="shared" ca="1" si="351"/>
        <v>6089771.1602353286</v>
      </c>
      <c r="EY107" s="180">
        <f t="shared" ca="1" si="210"/>
        <v>61023.69293391332</v>
      </c>
      <c r="EZ107" s="180">
        <f t="shared" ca="1" si="211"/>
        <v>11623.560558840516</v>
      </c>
      <c r="FA107" s="180">
        <f t="shared" ca="1" si="212"/>
        <v>94310.122204178158</v>
      </c>
      <c r="FB107" s="180">
        <f t="shared" ca="1" si="213"/>
        <v>282930.37396732939</v>
      </c>
      <c r="FC107" s="180">
        <f t="shared" ca="1" si="214"/>
        <v>449887.74966426101</v>
      </c>
      <c r="FD107" s="262">
        <f>IF(AX107,IF(VLOOKUP(C107,MAIN!$L$17:$M$28,2)="Yes",VLOOKUP(CALC!B107,MAIN!$H$17:$I$20,2),0),0)</f>
        <v>0</v>
      </c>
      <c r="FE107" s="623">
        <f t="shared" si="285"/>
        <v>0</v>
      </c>
      <c r="FF107" s="535">
        <f t="shared" si="286"/>
        <v>0</v>
      </c>
      <c r="FG107" s="535">
        <f t="shared" si="287"/>
        <v>0</v>
      </c>
      <c r="FH107" s="624">
        <f t="shared" si="288"/>
        <v>0</v>
      </c>
      <c r="FI107" s="632">
        <f>IF(AX107,VLOOKUP(CALC!B107,MAIN!$H$17:$K$20,4),0)</f>
        <v>0</v>
      </c>
      <c r="FJ107" s="535">
        <f t="shared" si="289"/>
        <v>0</v>
      </c>
      <c r="FK107" s="648">
        <f t="shared" si="335"/>
        <v>0</v>
      </c>
      <c r="FL107" s="530">
        <f t="shared" ca="1" si="215"/>
        <v>0</v>
      </c>
      <c r="FM107" s="530">
        <f t="shared" ca="1" si="216"/>
        <v>0</v>
      </c>
      <c r="FN107" s="530">
        <f t="shared" ca="1" si="217"/>
        <v>0</v>
      </c>
      <c r="FO107" s="622">
        <f t="shared" ca="1" si="218"/>
        <v>0</v>
      </c>
      <c r="FP107" s="530">
        <f t="shared" ca="1" si="219"/>
        <v>0</v>
      </c>
      <c r="FQ107" s="530">
        <f t="shared" ca="1" si="220"/>
        <v>0</v>
      </c>
      <c r="FR107" s="530">
        <f t="shared" ca="1" si="221"/>
        <v>0</v>
      </c>
      <c r="FS107" s="625">
        <f t="shared" ca="1" si="222"/>
        <v>0</v>
      </c>
      <c r="FT107" s="640">
        <f ca="1">IF(AND(Assumptions!$H$71="Yes",A107&gt;=Assumptions!$H$72,A107&lt;=Assumptions!$H$73),0,IF(AND($A107&gt;=Assumptions!$C$17,$A107&lt;=Assumptions!$C$18),MAX(AZ107*(1+VLOOKUP($C107,WeatherCapacityAdjustment,2))-FL107,0),0))</f>
        <v>48888</v>
      </c>
      <c r="FU107" s="530">
        <f ca="1">IF(AND(Assumptions!$H$71="Yes",A107&gt;=Assumptions!$H$72,A107&lt;=Assumptions!$H$73),0,IF(AND($A107&gt;=Assumptions!$C$17,$A107&lt;=Assumptions!$C$18),MAX(BA107*(1+VLOOKUP($C107,WeatherCapacityAdjustment,2))-FM107,0),0))</f>
        <v>9312</v>
      </c>
      <c r="FV107" s="530">
        <f ca="1">IF(AND(Assumptions!$H$71="Yes",A107&gt;=Assumptions!$H$72,A107&lt;=Assumptions!$H$73),0,IF(AND($A107&gt;=Assumptions!$C$17,$A107&lt;=Assumptions!$C$18),MAX(BB107*(1+VLOOKUP($C107,WeatherCapacityAdjustment,2))-FN107,0),0))</f>
        <v>11640</v>
      </c>
      <c r="FW107" s="622">
        <f ca="1">IF(AND(Assumptions!$H$71="Yes",A107&gt;=Assumptions!$H$72,A107&lt;=Assumptions!$H$73),0,IF(AND($A107&gt;=Assumptions!$C$17,$A107&lt;=Assumptions!$C$18),MAX(BC107*(1+VLOOKUP($C107,WeatherCapacityAdjustment,3))-FO107,0),0))</f>
        <v>34920</v>
      </c>
      <c r="FX107" s="621">
        <f ca="1">IF(AND(Assumptions!$H$71="Yes",A107&gt;=Assumptions!$H$72,A107&lt;=Assumptions!$H$73),0,IF(ET107&gt;0,MAX(BH107*(1+VLOOKUP($C107,WeatherCapacityAdjustment,2))-FP107,0),0))</f>
        <v>195552</v>
      </c>
      <c r="FY107" s="530">
        <f ca="1">IF(AND(Assumptions!$H$71="Yes",A107&gt;=Assumptions!$H$72,A107&lt;=Assumptions!$H$73),0,IF(EU107&gt;0,MAX(BI107*(1+VLOOKUP($C107,WeatherCapacityAdjustment,3))-FQ107,0),0))</f>
        <v>37248</v>
      </c>
      <c r="FZ107" s="530">
        <f ca="1">IF(AND(Assumptions!$H$71="Yes",A107&gt;=Assumptions!$H$72,A107&lt;=Assumptions!$H$73),0,IF(EV107&gt;0,MAX(BJ107*(1+VLOOKUP($C107,WeatherCapacityAdjustment,2))-FR107,0),0))</f>
        <v>46560</v>
      </c>
      <c r="GA107" s="622">
        <f ca="1">IF(AND(Assumptions!$H$71="Yes",A107&gt;=Assumptions!$H$72,A107&lt;=Assumptions!$H$73),0,IF(EW107&gt;0,MAX(BK107*(1+VLOOKUP($C107,WeatherCapacityAdjustment,2))-FS107,0),0))</f>
        <v>139680</v>
      </c>
      <c r="GB107" s="530">
        <f t="shared" ca="1" si="290"/>
        <v>523800</v>
      </c>
      <c r="GC107" s="545">
        <f t="shared" ca="1" si="291"/>
        <v>38.073020462983884</v>
      </c>
      <c r="GD107" s="530">
        <f t="shared" ca="1" si="223"/>
        <v>19942648.118510954</v>
      </c>
      <c r="GE107" s="1485">
        <f t="shared" ca="1" si="224"/>
        <v>747517.07520000008</v>
      </c>
      <c r="GF107" s="1776">
        <f t="shared" ca="1" si="225"/>
        <v>2990068.3008000003</v>
      </c>
      <c r="GG107" s="545">
        <f t="shared" si="190"/>
        <v>3.0259840760042604</v>
      </c>
      <c r="GH107" s="622">
        <f t="shared" ca="1" si="191"/>
        <v>11309873.830482397</v>
      </c>
      <c r="GI107" s="621">
        <f t="shared" ca="1" si="336"/>
        <v>523800</v>
      </c>
      <c r="GJ107" s="638">
        <f t="shared" si="292"/>
        <v>1.948377888</v>
      </c>
      <c r="GK107" s="625">
        <f t="shared" ca="1" si="342"/>
        <v>1020560.3377343999</v>
      </c>
      <c r="GL107" s="640">
        <f t="shared" ca="1" si="226"/>
        <v>0</v>
      </c>
      <c r="GM107" s="530">
        <f t="shared" ca="1" si="227"/>
        <v>0</v>
      </c>
      <c r="GN107" s="530">
        <f t="shared" ca="1" si="228"/>
        <v>0</v>
      </c>
      <c r="GO107" s="622">
        <f t="shared" ca="1" si="229"/>
        <v>0</v>
      </c>
      <c r="GP107" s="530">
        <f t="shared" ca="1" si="293"/>
        <v>0</v>
      </c>
      <c r="GQ107" s="545">
        <f t="shared" ca="1" si="294"/>
        <v>0</v>
      </c>
      <c r="GR107" s="625">
        <f t="shared" ca="1" si="230"/>
        <v>0</v>
      </c>
      <c r="GS107" s="640">
        <f>IF($A107&gt;=BegDate,Assumptions!$C$56*24*($A108-$A107)*(1-VLOOKUP($B107,MAIN!$AA$7:$AM$28,$C107+1))*(1-VLOOKUP($B107,MAIN!$AA$33:$AM$54,$C107+1)),0)*80/168</f>
        <v>249428.57142857142</v>
      </c>
      <c r="GT107" s="1715">
        <f t="shared" si="337"/>
        <v>45.986596887238036</v>
      </c>
      <c r="GU107" s="1715">
        <f>IF($A107&gt;=BegDate,VLOOKUP($A107,GasTable,13)+Assumptions!$C$58,0)</f>
        <v>3.0259840760042604</v>
      </c>
      <c r="GV107" s="1715">
        <f>GU107*Assumptions!$C$57/1000</f>
        <v>21.938384551030889</v>
      </c>
      <c r="GW107" s="625">
        <f>IF(Assumptions!$C$60="Hourly",MAX(0,GS107*(GT107-GV107)),GS107*(GT107-GV107))</f>
        <v>5998311.2484310968</v>
      </c>
      <c r="GX107" s="640">
        <f>IF($A107&gt;=BegDate,Assumptions!$C$56*24*($A108-$A107)*(1-VLOOKUP($B107,MAIN!$AA$7:$AM$28,$C107+1))*(1-VLOOKUP($B107,MAIN!$AA$33:$AM$54,$C107+1)),0)*16/168</f>
        <v>49885.714285714283</v>
      </c>
      <c r="GY107" s="1715">
        <f t="shared" si="338"/>
        <v>45.986596887238036</v>
      </c>
      <c r="GZ107" s="1715">
        <f>IF($A107&gt;=BegDate,VLOOKUP($A107,GasTable,13)+Assumptions!$C$58,0)</f>
        <v>3.0259840760042604</v>
      </c>
      <c r="HA107" s="1715">
        <f>GZ107*Assumptions!$C$57/1000</f>
        <v>21.938384551030889</v>
      </c>
      <c r="HB107" s="625">
        <f>IF(Assumptions!$C$60="Hourly",MAX(0,GX107*(GY107-HA107)),GX107*(GY107-HA107))</f>
        <v>1199662.2496862193</v>
      </c>
      <c r="HC107" s="640">
        <f>IF($A107&gt;=BegDate,Assumptions!$C$56*24*($A108-$A107)*(1-VLOOKUP($B107,MAIN!$AA$7:$AM$28,$C107+1))*(1-VLOOKUP($B107,MAIN!$AA$33:$AM$54,$C107+1)),0)*16/168</f>
        <v>49885.714285714283</v>
      </c>
      <c r="HD107" s="1715">
        <f t="shared" si="339"/>
        <v>28.181050090140076</v>
      </c>
      <c r="HE107" s="1715">
        <f>IF($A107&gt;=BegDate,VLOOKUP($A107,GasTable,13)+Assumptions!$C$58,0)</f>
        <v>3.0259840760042604</v>
      </c>
      <c r="HF107" s="1715">
        <f>HE107*Assumptions!$C$57/1000</f>
        <v>21.938384551030889</v>
      </c>
      <c r="HG107" s="625">
        <f>IF(Assumptions!$C$60="Hourly",MAX(0,HC107*(HD107-HF107)),HC107*(HD107-HF107))</f>
        <v>311419.8294652754</v>
      </c>
      <c r="HH107" s="640">
        <f>IF($A107&gt;=BegDate,Assumptions!$C$56*24*($A108-$A107)*(1-VLOOKUP($B107,MAIN!$AA$7:$AM$28,$C107+1))*(1-VLOOKUP($B107,MAIN!$AA$33:$AM$54,$C107+1)),0)*56/168</f>
        <v>174600</v>
      </c>
      <c r="HI107" s="1715">
        <f t="shared" si="340"/>
        <v>28.181050090140076</v>
      </c>
      <c r="HJ107" s="1715">
        <f>IF($A107&gt;=BegDate,VLOOKUP($A107,GasTable,13)+Assumptions!$C$58,0)</f>
        <v>3.0259840760042604</v>
      </c>
      <c r="HK107" s="1715">
        <f>HJ107*Assumptions!$C$57/1000</f>
        <v>21.938384551030889</v>
      </c>
      <c r="HL107" s="625">
        <f>IF(Assumptions!$C$60="Hourly",MAX(0,HH107*(HI107-HK107)),HH107*(HI107-HK107))</f>
        <v>1089969.403128464</v>
      </c>
      <c r="HM107" s="640">
        <f>IF(AND(Assumptions!$H$71="Yes",A107&gt;=Assumptions!$H$72,A107&lt;=Assumptions!$H$73),Assumptions!$H$74*Assumptions!$C$9*1000,0)</f>
        <v>0</v>
      </c>
      <c r="HN107" s="530"/>
      <c r="HO107" s="545"/>
      <c r="HP107" s="545"/>
      <c r="HQ107" s="545"/>
      <c r="HR107" s="545"/>
      <c r="HS107" s="545"/>
      <c r="HT107" s="545"/>
      <c r="HU107" s="545"/>
      <c r="HV107" s="545"/>
      <c r="HW107" s="545"/>
      <c r="HX107" s="545"/>
      <c r="HY107" s="545"/>
      <c r="HZ107" s="545"/>
      <c r="IA107" s="545"/>
      <c r="IB107" s="545"/>
      <c r="IC107" s="545"/>
      <c r="ID107" s="545"/>
      <c r="IE107" s="545"/>
      <c r="IF107" s="545"/>
      <c r="IG107" s="545"/>
      <c r="IH107" s="545"/>
      <c r="II107" s="1464"/>
      <c r="IJ107" s="1463"/>
      <c r="IK107" s="1463"/>
    </row>
    <row r="108" spans="1:245">
      <c r="A108" s="177">
        <f t="shared" si="295"/>
        <v>39417</v>
      </c>
      <c r="B108" s="349">
        <f t="shared" si="296"/>
        <v>2007</v>
      </c>
      <c r="C108" s="15">
        <f t="shared" si="344"/>
        <v>12</v>
      </c>
      <c r="D108" s="612">
        <f t="shared" si="297"/>
        <v>39441</v>
      </c>
      <c r="E108" s="609">
        <f t="shared" si="345"/>
        <v>39417</v>
      </c>
      <c r="F108" s="614">
        <f t="shared" si="346"/>
        <v>39447</v>
      </c>
      <c r="G108" s="1349">
        <v>0</v>
      </c>
      <c r="H108" s="152">
        <f t="shared" si="341"/>
        <v>1</v>
      </c>
      <c r="I108" s="154">
        <f>IF(Assumptions!$L$25=4,VLOOKUP($A108,'Henwood Reference'!$E$9:$R$320,10),(VLOOKUP($A108,PriceTable,2,0)+IF(BasisNumber&lt;&gt;1,VLOOKUP($A108,BasisTable,2,0),0)+I$1)/(1-I$2))</f>
        <v>45.09326404350719</v>
      </c>
      <c r="J108" s="154">
        <f>IF(Assumptions!$L$25=4,VLOOKUP($A108,'Henwood Reference'!$E$9:$R$320,10),(VLOOKUP($A108,PriceTable,3,0)+IF(BasisNumber&lt;&gt;1,VLOOKUP($A108,BasisTable,2,0),0)+J$1)/(1-J$2))</f>
        <v>45.09326404350719</v>
      </c>
      <c r="K108" s="154">
        <f>IF(Assumptions!$L$25=4,VLOOKUP($A108,'Henwood Reference'!$E$9:$R$320,10),(VLOOKUP($A108,PriceTable,4,0)+IF(BasisNumber&lt;&gt;1,VLOOKUP($A108,BasisTable,2,0),0)+K$1)/(1-K$2))</f>
        <v>45.09326404350719</v>
      </c>
      <c r="L108" s="474">
        <f>IF(Assumptions!$L$25=4,VLOOKUP($A108,'Henwood Reference'!$E$9:$R$320,10),(VLOOKUP($A108,PriceTableWeekend,2,0)+IF(BasisNumber&lt;&gt;1,VLOOKUP($A108,BasisTable,2,0),0)+L$1)/(1-L$2))</f>
        <v>45.09326404350719</v>
      </c>
      <c r="M108" s="154">
        <f>IF(Assumptions!$L$25=4,VLOOKUP($A108,'Henwood Reference'!$E$9:$R$320,10),(VLOOKUP($A108,PriceTableWeekend,3,0)+IF(BasisNumber&lt;&gt;1,VLOOKUP($A108,BasisTable,2,0),0)+M$1)/(1-M$2))</f>
        <v>45.09326404350719</v>
      </c>
      <c r="N108" s="156">
        <f>IF(Assumptions!$L$25=4,VLOOKUP($A108,'Henwood Reference'!$E$9:$R$320,10),(VLOOKUP($A108,PriceTableWeekend,4,0)+IF(BasisNumber&lt;&gt;1,VLOOKUP($A108,BasisTable,2,0),0)+N$1)/(1-N$2))</f>
        <v>45.09326404350719</v>
      </c>
      <c r="O108" s="154">
        <f>IF(Assumptions!$L$25=4,VLOOKUP($A108,'Henwood Reference'!$E$9:$R$320,11),(VLOOKUP($A108,PriceTableWeekend,6,0)+IF(BasisNumber&lt;&gt;1,VLOOKUP($A108,BasisTable,3,0),0)+O$1)/(1-O$2))</f>
        <v>30.481752613874821</v>
      </c>
      <c r="P108" s="154">
        <f>IF(Assumptions!$L$25=4,VLOOKUP($A108,'Henwood Reference'!$E$9:$R$320,11),(VLOOKUP($A108,PriceTableWeekend,7,0)+IF(BasisNumber&lt;&gt;1,VLOOKUP($A108,BasisTable,3,0),0)+P$1)/(1-P$2))</f>
        <v>30.481752613874821</v>
      </c>
      <c r="Q108" s="156">
        <f>IF(Assumptions!$L$25=4,VLOOKUP($A108,'Henwood Reference'!$E$9:$R$320,11),(VLOOKUP($A108,PriceTableWeekend,8,0)+IF(BasisNumber&lt;&gt;1,VLOOKUP($A108,BasisTable,3,0),0)+Q$1)/(1-Q$2))</f>
        <v>30.481752613874821</v>
      </c>
      <c r="R108" s="154">
        <f>IF(Assumptions!$L$25=4,VLOOKUP($A108,'Henwood Reference'!$E$9:$R$320,11),(VLOOKUP($A108,PriceTable,6,0)+IF(BasisNumber&lt;&gt;1,VLOOKUP($A108,BasisTable,3,0),0)+R$1)/(1-R$2))</f>
        <v>30.481752613874821</v>
      </c>
      <c r="S108" s="154">
        <f>IF(Assumptions!$L$25=4,VLOOKUP($A108,'Henwood Reference'!$E$9:$R$320,11),(VLOOKUP($A108,PriceTable,7,0)+IF(BasisNumber&lt;&gt;1,VLOOKUP($A108,BasisTable,3,0),0)+S$1)/(1-S$2))</f>
        <v>30.481752613874821</v>
      </c>
      <c r="T108" s="155">
        <f>IF(Assumptions!$L$25=4,VLOOKUP($A108,'Henwood Reference'!$E$9:$R$320,11),(VLOOKUP($A108,PriceTable,8,0)+IF(BasisNumber&lt;&gt;1,VLOOKUP($A108,BasisTable,3,0),0)+T$1)/(1-T$2))</f>
        <v>30.481752613874821</v>
      </c>
      <c r="U108" s="173">
        <f t="shared" si="298"/>
        <v>0.13500000000000001</v>
      </c>
      <c r="V108" s="173">
        <f t="shared" si="299"/>
        <v>0.14499999999999999</v>
      </c>
      <c r="W108" s="174">
        <f t="shared" si="300"/>
        <v>0.155</v>
      </c>
      <c r="X108" s="173">
        <f t="shared" si="301"/>
        <v>0.13500000000000001</v>
      </c>
      <c r="Y108" s="173">
        <f t="shared" si="302"/>
        <v>0.14499999999999999</v>
      </c>
      <c r="Z108" s="174">
        <f t="shared" si="303"/>
        <v>0.155</v>
      </c>
      <c r="AA108" s="173">
        <f t="shared" si="304"/>
        <v>0.09</v>
      </c>
      <c r="AB108" s="173">
        <f t="shared" si="305"/>
        <v>0.11</v>
      </c>
      <c r="AC108" s="174">
        <f t="shared" si="306"/>
        <v>0.13</v>
      </c>
      <c r="AD108" s="173">
        <f t="shared" si="307"/>
        <v>0.09</v>
      </c>
      <c r="AE108" s="173">
        <f t="shared" si="308"/>
        <v>0.11</v>
      </c>
      <c r="AF108" s="174">
        <f t="shared" si="309"/>
        <v>0.13</v>
      </c>
      <c r="AG108" s="173">
        <f t="shared" si="310"/>
        <v>-0.25</v>
      </c>
      <c r="AH108" s="173">
        <f t="shared" si="311"/>
        <v>0.6</v>
      </c>
      <c r="AI108" s="174">
        <f t="shared" si="312"/>
        <v>0.25</v>
      </c>
      <c r="AJ108" s="173">
        <f t="shared" si="313"/>
        <v>-0.25</v>
      </c>
      <c r="AK108" s="173">
        <f t="shared" si="314"/>
        <v>0.6</v>
      </c>
      <c r="AL108" s="174">
        <f t="shared" si="315"/>
        <v>0.25</v>
      </c>
      <c r="AM108" s="173">
        <f t="shared" si="316"/>
        <v>-0.01</v>
      </c>
      <c r="AN108" s="173">
        <f t="shared" si="317"/>
        <v>0.16</v>
      </c>
      <c r="AO108" s="174">
        <f t="shared" si="318"/>
        <v>0.01</v>
      </c>
      <c r="AP108" s="173">
        <f t="shared" si="319"/>
        <v>-0.01</v>
      </c>
      <c r="AQ108" s="173">
        <f t="shared" si="320"/>
        <v>0.16</v>
      </c>
      <c r="AR108" s="175">
        <f t="shared" si="321"/>
        <v>0.01</v>
      </c>
      <c r="AS108" s="521">
        <f t="shared" si="349"/>
        <v>0.5</v>
      </c>
      <c r="AT108" s="349">
        <f t="shared" si="347"/>
        <v>20</v>
      </c>
      <c r="AU108" s="159">
        <f t="shared" si="240"/>
        <v>5</v>
      </c>
      <c r="AV108" s="159">
        <f t="shared" si="241"/>
        <v>5</v>
      </c>
      <c r="AW108" s="159">
        <f t="shared" si="350"/>
        <v>1</v>
      </c>
      <c r="AX108" s="15">
        <f t="shared" si="348"/>
        <v>31</v>
      </c>
      <c r="AY108" s="607">
        <f>IF(E108="",0,MIN((1-(1-VLOOKUP(B108,MAIN!$AA$7:$AM$28,C108+1))*(1-VLOOKUP(B108,MAIN!$AA$33:$AM$54,C108+1))),1))</f>
        <v>3.0000000000000027E-2</v>
      </c>
      <c r="AZ108" s="337">
        <v>46560</v>
      </c>
      <c r="BA108" s="509">
        <v>11640</v>
      </c>
      <c r="BB108" s="509">
        <v>13968</v>
      </c>
      <c r="BC108" s="511">
        <v>36084</v>
      </c>
      <c r="BD108" s="153">
        <v>0.97</v>
      </c>
      <c r="BE108" s="474">
        <v>0.97</v>
      </c>
      <c r="BF108" s="474">
        <v>0.97</v>
      </c>
      <c r="BG108" s="515">
        <v>0.97</v>
      </c>
      <c r="BH108" s="262">
        <v>186240</v>
      </c>
      <c r="BI108" s="509">
        <v>46560</v>
      </c>
      <c r="BJ108" s="509">
        <v>55872</v>
      </c>
      <c r="BK108" s="511">
        <v>144336</v>
      </c>
      <c r="BL108" s="153">
        <v>0.97</v>
      </c>
      <c r="BM108" s="474">
        <v>0.97</v>
      </c>
      <c r="BN108" s="474">
        <v>0.97</v>
      </c>
      <c r="BO108" s="474">
        <v>0.97</v>
      </c>
      <c r="BP108" s="261">
        <f t="shared" si="324"/>
        <v>72168</v>
      </c>
      <c r="BQ108" s="578">
        <f t="shared" si="325"/>
        <v>108252</v>
      </c>
      <c r="BR108" s="259">
        <f t="shared" si="326"/>
        <v>288672</v>
      </c>
      <c r="BS108" s="578">
        <f t="shared" si="327"/>
        <v>433008</v>
      </c>
      <c r="BT108" s="216">
        <f t="shared" si="328"/>
        <v>7.6303901437371664</v>
      </c>
      <c r="BU108" s="218">
        <f t="shared" si="243"/>
        <v>45.09326404350719</v>
      </c>
      <c r="BV108" s="216">
        <f t="shared" si="244"/>
        <v>45.09326404350719</v>
      </c>
      <c r="BW108" s="216">
        <f t="shared" si="245"/>
        <v>30.481752613874821</v>
      </c>
      <c r="BX108" s="216">
        <f t="shared" si="329"/>
        <v>30.481752613874821</v>
      </c>
      <c r="BY108" s="216">
        <f t="shared" si="246"/>
        <v>42.265229573255759</v>
      </c>
      <c r="BZ108" s="216">
        <f t="shared" si="247"/>
        <v>38.337403920128779</v>
      </c>
      <c r="CA108" s="264">
        <f t="shared" si="248"/>
        <v>45.09326404350719</v>
      </c>
      <c r="CB108" s="216">
        <f t="shared" si="249"/>
        <v>45.09326404350719</v>
      </c>
      <c r="CC108" s="216">
        <f t="shared" si="250"/>
        <v>30.481752613874821</v>
      </c>
      <c r="CD108" s="216">
        <f t="shared" si="330"/>
        <v>30.481752613874821</v>
      </c>
      <c r="CE108" s="216">
        <f t="shared" si="251"/>
        <v>42.265229573255759</v>
      </c>
      <c r="CF108" s="571">
        <f t="shared" si="252"/>
        <v>38.337403920128779</v>
      </c>
      <c r="CG108" s="573">
        <f t="shared" si="253"/>
        <v>0.14499999999999999</v>
      </c>
      <c r="CH108" s="219">
        <f t="shared" si="254"/>
        <v>0.14499999999999999</v>
      </c>
      <c r="CI108" s="219">
        <f t="shared" si="255"/>
        <v>0.11</v>
      </c>
      <c r="CJ108" s="219">
        <f t="shared" si="256"/>
        <v>0.14019272794136314</v>
      </c>
      <c r="CK108" s="219">
        <f t="shared" si="257"/>
        <v>0.14019272794136314</v>
      </c>
      <c r="CL108" s="219">
        <f t="shared" si="258"/>
        <v>0.11</v>
      </c>
      <c r="CM108" s="219">
        <f t="shared" si="259"/>
        <v>0.12080901756478203</v>
      </c>
      <c r="CN108" s="569">
        <f t="shared" si="260"/>
        <v>0.12080901756478203</v>
      </c>
      <c r="CO108" s="264">
        <f t="shared" si="343"/>
        <v>22.483062884050344</v>
      </c>
      <c r="CP108" s="216">
        <f t="shared" si="331"/>
        <v>22.483062884050344</v>
      </c>
      <c r="CQ108" s="216">
        <f t="shared" ca="1" si="192"/>
        <v>22.483062884050344</v>
      </c>
      <c r="CR108" s="216">
        <f t="shared" ca="1" si="193"/>
        <v>22.483062884050344</v>
      </c>
      <c r="CS108" s="1626">
        <f t="shared" ca="1" si="194"/>
        <v>22.483062884050341</v>
      </c>
      <c r="CT108" s="216">
        <f t="shared" si="332"/>
        <v>22.483062884050344</v>
      </c>
      <c r="CU108" s="575">
        <f t="shared" si="261"/>
        <v>0.17</v>
      </c>
      <c r="CV108" s="154">
        <f t="shared" si="262"/>
        <v>0.5</v>
      </c>
      <c r="CW108" s="216">
        <f>IF(OR($BQ108,$BS108),SpreadOptPowerMargin,0)*((1+Assumptions!$C$26)^($B108-YEAR(Assumptions!$C$17)))</f>
        <v>1.948377888</v>
      </c>
      <c r="CX108" s="216">
        <f>IF(OR($BQ108,$BS108),SpreadOptPowerMargin,0)*((1+Assumptions!$C$26)^($B108-YEAR(Assumptions!$C$17)))</f>
        <v>1.948377888</v>
      </c>
      <c r="CY108" s="216">
        <f>IF(OR($BQ108,$BS108),SpreadOptPowerMargin,0)*((1+Assumptions!$C$26)^($B108-YEAR(Assumptions!$C$17)))</f>
        <v>1.948377888</v>
      </c>
      <c r="CZ108" s="216">
        <f>IF(OR($BQ108,$BS108),SpreadOptPowerMargin,0)*((1+Assumptions!$C$26)^($B108-YEAR(Assumptions!$C$17)))</f>
        <v>1.948377888</v>
      </c>
      <c r="DA108" s="440">
        <f t="shared" si="263"/>
        <v>1.9483778880000002</v>
      </c>
      <c r="DB108" s="479">
        <f t="shared" si="264"/>
        <v>0.14499999999999999</v>
      </c>
      <c r="DC108" s="479">
        <f t="shared" si="265"/>
        <v>0.14499999999999999</v>
      </c>
      <c r="DD108" s="479">
        <f t="shared" si="266"/>
        <v>0.11</v>
      </c>
      <c r="DE108" s="479">
        <f t="shared" si="267"/>
        <v>0.11</v>
      </c>
      <c r="DF108" s="479">
        <f t="shared" si="268"/>
        <v>0.12080901756478203</v>
      </c>
      <c r="DG108" s="574">
        <f t="shared" si="269"/>
        <v>0.12080901756478203</v>
      </c>
      <c r="DH108" s="216">
        <f t="shared" si="270"/>
        <v>21.104576318808306</v>
      </c>
      <c r="DI108" s="216">
        <f t="shared" si="271"/>
        <v>21.104576318808306</v>
      </c>
      <c r="DJ108" s="216">
        <f t="shared" ca="1" si="195"/>
        <v>7.8913481837153618</v>
      </c>
      <c r="DK108" s="216">
        <f t="shared" ca="1" si="196"/>
        <v>7.8913481837153618</v>
      </c>
      <c r="DL108" s="216">
        <f t="shared" ca="1" si="197"/>
        <v>14.66672049566832</v>
      </c>
      <c r="DM108" s="216"/>
      <c r="DN108" s="216"/>
      <c r="DO108" s="216"/>
      <c r="DP108" s="216"/>
      <c r="DQ108" s="216"/>
      <c r="DR108" s="216"/>
      <c r="DS108" s="216"/>
      <c r="DT108" s="216"/>
      <c r="DU108" s="216"/>
      <c r="DV108" s="216"/>
      <c r="DW108" s="1371">
        <f t="shared" si="272"/>
        <v>7.8913481837153618</v>
      </c>
      <c r="DX108" s="216">
        <f t="shared" si="273"/>
        <v>7.8913481837153618</v>
      </c>
      <c r="DY108" s="440">
        <f t="shared" si="274"/>
        <v>14.995234277851354</v>
      </c>
      <c r="DZ108" s="180">
        <f t="shared" si="275"/>
        <v>982629.07340371469</v>
      </c>
      <c r="EA108" s="180">
        <f t="shared" si="276"/>
        <v>245657.26835092867</v>
      </c>
      <c r="EB108" s="180">
        <f t="shared" ca="1" si="198"/>
        <v>110226.35143013617</v>
      </c>
      <c r="EC108" s="180">
        <f t="shared" ca="1" si="199"/>
        <v>284751.40786118514</v>
      </c>
      <c r="ED108" s="180">
        <f t="shared" ca="1" si="200"/>
        <v>1587701.8270970869</v>
      </c>
      <c r="EE108" s="581">
        <f t="shared" si="277"/>
        <v>962014.49151903077</v>
      </c>
      <c r="EF108" s="554">
        <f t="shared" si="278"/>
        <v>240503.62287975769</v>
      </c>
      <c r="EG108" s="554">
        <f t="shared" ca="1" si="201"/>
        <v>84510.755806604298</v>
      </c>
      <c r="EH108" s="554">
        <f t="shared" ca="1" si="202"/>
        <v>218319.45250039446</v>
      </c>
      <c r="EI108" s="561">
        <f t="shared" ca="1" si="279"/>
        <v>1505348.3227057871</v>
      </c>
      <c r="EJ108" s="581">
        <f t="shared" si="333"/>
        <v>20614.581884683925</v>
      </c>
      <c r="EK108" s="554">
        <f t="shared" si="334"/>
        <v>5153.6454711709812</v>
      </c>
      <c r="EL108" s="554">
        <f t="shared" ca="1" si="203"/>
        <v>25715.595623531874</v>
      </c>
      <c r="EM108" s="554">
        <f t="shared" ca="1" si="204"/>
        <v>66431.955360790686</v>
      </c>
      <c r="EN108" s="561">
        <f t="shared" ca="1" si="205"/>
        <v>82353.504391299793</v>
      </c>
      <c r="EO108" s="180">
        <f t="shared" si="280"/>
        <v>3930516.2936148588</v>
      </c>
      <c r="EP108" s="180">
        <f t="shared" si="281"/>
        <v>982629.07340371469</v>
      </c>
      <c r="EQ108" s="180">
        <f t="shared" si="282"/>
        <v>440905.40572054469</v>
      </c>
      <c r="ER108" s="180">
        <f t="shared" si="283"/>
        <v>1139005.6314447406</v>
      </c>
      <c r="ES108" s="180">
        <f t="shared" si="284"/>
        <v>6493056.404183859</v>
      </c>
      <c r="ET108" s="1482">
        <f t="shared" ca="1" si="206"/>
        <v>3848057.9660761231</v>
      </c>
      <c r="EU108" s="180">
        <f t="shared" ca="1" si="207"/>
        <v>962014.49151903077</v>
      </c>
      <c r="EV108" s="180">
        <f t="shared" ca="1" si="208"/>
        <v>338043.02322641719</v>
      </c>
      <c r="EW108" s="180">
        <f t="shared" ca="1" si="209"/>
        <v>873277.81000157783</v>
      </c>
      <c r="EX108" s="555">
        <f t="shared" ca="1" si="351"/>
        <v>6021393.2908231495</v>
      </c>
      <c r="EY108" s="180">
        <f t="shared" ca="1" si="210"/>
        <v>82458.327538735699</v>
      </c>
      <c r="EZ108" s="180">
        <f t="shared" ca="1" si="211"/>
        <v>20614.581884683925</v>
      </c>
      <c r="FA108" s="180">
        <f t="shared" ca="1" si="212"/>
        <v>102862.38249412749</v>
      </c>
      <c r="FB108" s="180">
        <f t="shared" ca="1" si="213"/>
        <v>265727.82144316274</v>
      </c>
      <c r="FC108" s="180">
        <f t="shared" ca="1" si="214"/>
        <v>471663.11336070951</v>
      </c>
      <c r="FD108" s="262">
        <f>IF(AX108,IF(VLOOKUP(C108,MAIN!$L$17:$M$28,2)="Yes",VLOOKUP(CALC!B108,MAIN!$H$17:$I$20,2),0),0)</f>
        <v>0</v>
      </c>
      <c r="FE108" s="623">
        <f t="shared" si="285"/>
        <v>0</v>
      </c>
      <c r="FF108" s="535">
        <f t="shared" si="286"/>
        <v>0</v>
      </c>
      <c r="FG108" s="535">
        <f t="shared" si="287"/>
        <v>0</v>
      </c>
      <c r="FH108" s="624">
        <f t="shared" si="288"/>
        <v>0</v>
      </c>
      <c r="FI108" s="632">
        <f>IF(AX108,VLOOKUP(CALC!B108,MAIN!$H$17:$K$20,4),0)</f>
        <v>0</v>
      </c>
      <c r="FJ108" s="535">
        <f t="shared" si="289"/>
        <v>0</v>
      </c>
      <c r="FK108" s="648">
        <f t="shared" si="335"/>
        <v>0</v>
      </c>
      <c r="FL108" s="530">
        <f t="shared" ca="1" si="215"/>
        <v>0</v>
      </c>
      <c r="FM108" s="530">
        <f t="shared" ca="1" si="216"/>
        <v>0</v>
      </c>
      <c r="FN108" s="530">
        <f t="shared" ca="1" si="217"/>
        <v>0</v>
      </c>
      <c r="FO108" s="622">
        <f t="shared" ca="1" si="218"/>
        <v>0</v>
      </c>
      <c r="FP108" s="530">
        <f t="shared" ca="1" si="219"/>
        <v>0</v>
      </c>
      <c r="FQ108" s="530">
        <f t="shared" ca="1" si="220"/>
        <v>0</v>
      </c>
      <c r="FR108" s="530">
        <f t="shared" ca="1" si="221"/>
        <v>0</v>
      </c>
      <c r="FS108" s="625">
        <f t="shared" ca="1" si="222"/>
        <v>0</v>
      </c>
      <c r="FT108" s="640">
        <f ca="1">IF(AND(Assumptions!$H$71="Yes",A108&gt;=Assumptions!$H$72,A108&lt;=Assumptions!$H$73),0,IF(AND($A108&gt;=Assumptions!$C$17,$A108&lt;=Assumptions!$C$18),MAX(AZ108*(1+VLOOKUP($C108,WeatherCapacityAdjustment,2))-FL108,0),0))</f>
        <v>46560</v>
      </c>
      <c r="FU108" s="530">
        <f ca="1">IF(AND(Assumptions!$H$71="Yes",A108&gt;=Assumptions!$H$72,A108&lt;=Assumptions!$H$73),0,IF(AND($A108&gt;=Assumptions!$C$17,$A108&lt;=Assumptions!$C$18),MAX(BA108*(1+VLOOKUP($C108,WeatherCapacityAdjustment,2))-FM108,0),0))</f>
        <v>11640</v>
      </c>
      <c r="FV108" s="530">
        <f ca="1">IF(AND(Assumptions!$H$71="Yes",A108&gt;=Assumptions!$H$72,A108&lt;=Assumptions!$H$73),0,IF(AND($A108&gt;=Assumptions!$C$17,$A108&lt;=Assumptions!$C$18),MAX(BB108*(1+VLOOKUP($C108,WeatherCapacityAdjustment,2))-FN108,0),0))</f>
        <v>13968</v>
      </c>
      <c r="FW108" s="622">
        <f ca="1">IF(AND(Assumptions!$H$71="Yes",A108&gt;=Assumptions!$H$72,A108&lt;=Assumptions!$H$73),0,IF(AND($A108&gt;=Assumptions!$C$17,$A108&lt;=Assumptions!$C$18),MAX(BC108*(1+VLOOKUP($C108,WeatherCapacityAdjustment,3))-FO108,0),0))</f>
        <v>36084</v>
      </c>
      <c r="FX108" s="621">
        <f ca="1">IF(AND(Assumptions!$H$71="Yes",A108&gt;=Assumptions!$H$72,A108&lt;=Assumptions!$H$73),0,IF(ET108&gt;0,MAX(BH108*(1+VLOOKUP($C108,WeatherCapacityAdjustment,2))-FP108,0),0))</f>
        <v>186240</v>
      </c>
      <c r="FY108" s="530">
        <f ca="1">IF(AND(Assumptions!$H$71="Yes",A108&gt;=Assumptions!$H$72,A108&lt;=Assumptions!$H$73),0,IF(EU108&gt;0,MAX(BI108*(1+VLOOKUP($C108,WeatherCapacityAdjustment,3))-FQ108,0),0))</f>
        <v>46560</v>
      </c>
      <c r="FZ108" s="530">
        <f ca="1">IF(AND(Assumptions!$H$71="Yes",A108&gt;=Assumptions!$H$72,A108&lt;=Assumptions!$H$73),0,IF(EV108&gt;0,MAX(BJ108*(1+VLOOKUP($C108,WeatherCapacityAdjustment,2))-FR108,0),0))</f>
        <v>55872</v>
      </c>
      <c r="GA108" s="622">
        <f ca="1">IF(AND(Assumptions!$H$71="Yes",A108&gt;=Assumptions!$H$72,A108&lt;=Assumptions!$H$73),0,IF(EW108&gt;0,MAX(BK108*(1+VLOOKUP($C108,WeatherCapacityAdjustment,2))-FS108,0),0))</f>
        <v>144336</v>
      </c>
      <c r="GB108" s="530">
        <f t="shared" ca="1" si="290"/>
        <v>541260</v>
      </c>
      <c r="GC108" s="545">
        <f t="shared" ca="1" si="291"/>
        <v>38.337403920128772</v>
      </c>
      <c r="GD108" s="530">
        <f t="shared" ca="1" si="223"/>
        <v>20750503.245808903</v>
      </c>
      <c r="GE108" s="1485">
        <f t="shared" ca="1" si="224"/>
        <v>772752.5719199999</v>
      </c>
      <c r="GF108" s="1776">
        <f t="shared" ca="1" si="225"/>
        <v>3091010.2876799996</v>
      </c>
      <c r="GG108" s="545">
        <f t="shared" si="190"/>
        <v>3.1495676776293977</v>
      </c>
      <c r="GH108" s="622">
        <f t="shared" ca="1" si="191"/>
        <v>12169182.616621092</v>
      </c>
      <c r="GI108" s="621">
        <f t="shared" ca="1" si="336"/>
        <v>541260</v>
      </c>
      <c r="GJ108" s="638">
        <f t="shared" si="292"/>
        <v>1.9483778880000002</v>
      </c>
      <c r="GK108" s="625">
        <f t="shared" ca="1" si="342"/>
        <v>1054579.0156588801</v>
      </c>
      <c r="GL108" s="640">
        <f t="shared" ca="1" si="226"/>
        <v>0</v>
      </c>
      <c r="GM108" s="530">
        <f t="shared" ca="1" si="227"/>
        <v>0</v>
      </c>
      <c r="GN108" s="530">
        <f t="shared" ca="1" si="228"/>
        <v>0</v>
      </c>
      <c r="GO108" s="622">
        <f t="shared" ca="1" si="229"/>
        <v>0</v>
      </c>
      <c r="GP108" s="530">
        <f t="shared" ca="1" si="293"/>
        <v>0</v>
      </c>
      <c r="GQ108" s="545">
        <f t="shared" ca="1" si="294"/>
        <v>0</v>
      </c>
      <c r="GR108" s="625">
        <f t="shared" ca="1" si="230"/>
        <v>0</v>
      </c>
      <c r="GS108" s="640">
        <f>IF($A108&gt;=BegDate,Assumptions!$C$56*24*($A109-$A108)*(1-VLOOKUP($B108,MAIN!$AA$7:$AM$28,$C108+1))*(1-VLOOKUP($B108,MAIN!$AA$33:$AM$54,$C108+1)),0)*80/168</f>
        <v>257742.85714285713</v>
      </c>
      <c r="GT108" s="1715">
        <f t="shared" si="337"/>
        <v>45.09326404350719</v>
      </c>
      <c r="GU108" s="1715">
        <f>IF($A108&gt;=BegDate,VLOOKUP($A108,GasTable,13)+Assumptions!$C$58,0)</f>
        <v>3.1495676776293977</v>
      </c>
      <c r="GV108" s="1715">
        <f>GU108*Assumptions!$C$57/1000</f>
        <v>22.834365662813131</v>
      </c>
      <c r="GW108" s="625">
        <f>IF(Assumptions!$C$60="Hourly",MAX(0,GS108*(GT108-GV108)),GS108*(GT108-GV108))</f>
        <v>5737072.065492603</v>
      </c>
      <c r="GX108" s="640">
        <f>IF($A108&gt;=BegDate,Assumptions!$C$56*24*($A109-$A108)*(1-VLOOKUP($B108,MAIN!$AA$7:$AM$28,$C108+1))*(1-VLOOKUP($B108,MAIN!$AA$33:$AM$54,$C108+1)),0)*16/168</f>
        <v>51548.571428571428</v>
      </c>
      <c r="GY108" s="1715">
        <f t="shared" si="338"/>
        <v>45.09326404350719</v>
      </c>
      <c r="GZ108" s="1715">
        <f>IF($A108&gt;=BegDate,VLOOKUP($A108,GasTable,13)+Assumptions!$C$58,0)</f>
        <v>3.1495676776293977</v>
      </c>
      <c r="HA108" s="1715">
        <f>GZ108*Assumptions!$C$57/1000</f>
        <v>22.834365662813131</v>
      </c>
      <c r="HB108" s="625">
        <f>IF(Assumptions!$C$60="Hourly",MAX(0,GX108*(GY108-HA108)),GX108*(GY108-HA108))</f>
        <v>1147414.4130985206</v>
      </c>
      <c r="HC108" s="640">
        <f>IF($A108&gt;=BegDate,Assumptions!$C$56*24*($A109-$A108)*(1-VLOOKUP($B108,MAIN!$AA$7:$AM$28,$C108+1))*(1-VLOOKUP($B108,MAIN!$AA$33:$AM$54,$C108+1)),0)*16/168</f>
        <v>51548.571428571428</v>
      </c>
      <c r="HD108" s="1715">
        <f t="shared" si="339"/>
        <v>30.481752613874821</v>
      </c>
      <c r="HE108" s="1715">
        <f>IF($A108&gt;=BegDate,VLOOKUP($A108,GasTable,13)+Assumptions!$C$58,0)</f>
        <v>3.1495676776293977</v>
      </c>
      <c r="HF108" s="1715">
        <f>HE108*Assumptions!$C$57/1000</f>
        <v>22.834365662813131</v>
      </c>
      <c r="HG108" s="625">
        <f>IF(Assumptions!$C$60="Hourly",MAX(0,HC108*(HD108-HF108)),HC108*(HD108-HF108))</f>
        <v>394211.87248872861</v>
      </c>
      <c r="HH108" s="640">
        <f>IF($A108&gt;=BegDate,Assumptions!$C$56*24*($A109-$A108)*(1-VLOOKUP($B108,MAIN!$AA$7:$AM$28,$C108+1))*(1-VLOOKUP($B108,MAIN!$AA$33:$AM$54,$C108+1)),0)*56/168</f>
        <v>180420</v>
      </c>
      <c r="HI108" s="1715">
        <f t="shared" si="340"/>
        <v>30.481752613874821</v>
      </c>
      <c r="HJ108" s="1715">
        <f>IF($A108&gt;=BegDate,VLOOKUP($A108,GasTable,13)+Assumptions!$C$58,0)</f>
        <v>3.1495676776293977</v>
      </c>
      <c r="HK108" s="1715">
        <f>HJ108*Assumptions!$C$57/1000</f>
        <v>22.834365662813131</v>
      </c>
      <c r="HL108" s="625">
        <f>IF(Assumptions!$C$60="Hourly",MAX(0,HH108*(HI108-HK108)),HH108*(HI108-HK108))</f>
        <v>1379741.5537105503</v>
      </c>
      <c r="HM108" s="640">
        <f>IF(AND(Assumptions!$H$71="Yes",A108&gt;=Assumptions!$H$72,A108&lt;=Assumptions!$H$73),Assumptions!$H$74*Assumptions!$C$9*1000,0)</f>
        <v>0</v>
      </c>
      <c r="HN108" s="530"/>
      <c r="HO108" s="545"/>
      <c r="HP108" s="545"/>
      <c r="HQ108" s="545"/>
      <c r="HR108" s="545"/>
      <c r="HS108" s="545"/>
      <c r="HT108" s="545"/>
      <c r="HU108" s="545"/>
      <c r="HV108" s="545"/>
      <c r="HW108" s="545"/>
      <c r="HX108" s="545"/>
      <c r="HY108" s="545"/>
      <c r="HZ108" s="545"/>
      <c r="IA108" s="545"/>
      <c r="IB108" s="545"/>
      <c r="IC108" s="545"/>
      <c r="ID108" s="545"/>
      <c r="IE108" s="545"/>
      <c r="IF108" s="545"/>
      <c r="IG108" s="545"/>
      <c r="IH108" s="545"/>
      <c r="II108" s="1464"/>
      <c r="IJ108" s="1463"/>
      <c r="IK108" s="1463"/>
    </row>
    <row r="109" spans="1:245">
      <c r="A109" s="177">
        <f t="shared" si="295"/>
        <v>39448</v>
      </c>
      <c r="B109" s="349">
        <f t="shared" si="296"/>
        <v>2008</v>
      </c>
      <c r="C109" s="15">
        <f t="shared" si="344"/>
        <v>1</v>
      </c>
      <c r="D109" s="612">
        <f t="shared" si="297"/>
        <v>39448</v>
      </c>
      <c r="E109" s="609">
        <f t="shared" si="345"/>
        <v>39448</v>
      </c>
      <c r="F109" s="614">
        <f t="shared" si="346"/>
        <v>39478</v>
      </c>
      <c r="G109" s="1349">
        <v>0</v>
      </c>
      <c r="H109" s="152">
        <f t="shared" si="341"/>
        <v>1</v>
      </c>
      <c r="I109" s="154">
        <f>IF(Assumptions!$L$25=4,VLOOKUP($A109,'Henwood Reference'!$E$9:$R$320,10),(VLOOKUP($A109,PriceTable,2,0)+IF(BasisNumber&lt;&gt;1,VLOOKUP($A109,BasisTable,2,0),0)+I$1)/(1-I$2))</f>
        <v>48.534935364575951</v>
      </c>
      <c r="J109" s="154">
        <f>IF(Assumptions!$L$25=4,VLOOKUP($A109,'Henwood Reference'!$E$9:$R$320,10),(VLOOKUP($A109,PriceTable,3,0)+IF(BasisNumber&lt;&gt;1,VLOOKUP($A109,BasisTable,2,0),0)+J$1)/(1-J$2))</f>
        <v>48.534935364575951</v>
      </c>
      <c r="K109" s="154">
        <f>IF(Assumptions!$L$25=4,VLOOKUP($A109,'Henwood Reference'!$E$9:$R$320,10),(VLOOKUP($A109,PriceTable,4,0)+IF(BasisNumber&lt;&gt;1,VLOOKUP($A109,BasisTable,2,0),0)+K$1)/(1-K$2))</f>
        <v>48.534935364575951</v>
      </c>
      <c r="L109" s="474">
        <f>IF(Assumptions!$L$25=4,VLOOKUP($A109,'Henwood Reference'!$E$9:$R$320,10),(VLOOKUP($A109,PriceTableWeekend,2,0)+IF(BasisNumber&lt;&gt;1,VLOOKUP($A109,BasisTable,2,0),0)+L$1)/(1-L$2))</f>
        <v>48.534935364575951</v>
      </c>
      <c r="M109" s="154">
        <f>IF(Assumptions!$L$25=4,VLOOKUP($A109,'Henwood Reference'!$E$9:$R$320,10),(VLOOKUP($A109,PriceTableWeekend,3,0)+IF(BasisNumber&lt;&gt;1,VLOOKUP($A109,BasisTable,2,0),0)+M$1)/(1-M$2))</f>
        <v>48.534935364575951</v>
      </c>
      <c r="N109" s="156">
        <f>IF(Assumptions!$L$25=4,VLOOKUP($A109,'Henwood Reference'!$E$9:$R$320,10),(VLOOKUP($A109,PriceTableWeekend,4,0)+IF(BasisNumber&lt;&gt;1,VLOOKUP($A109,BasisTable,2,0),0)+N$1)/(1-N$2))</f>
        <v>48.534935364575951</v>
      </c>
      <c r="O109" s="154">
        <f>IF(Assumptions!$L$25=4,VLOOKUP($A109,'Henwood Reference'!$E$9:$R$320,11),(VLOOKUP($A109,PriceTableWeekend,6,0)+IF(BasisNumber&lt;&gt;1,VLOOKUP($A109,BasisTable,3,0),0)+O$1)/(1-O$2))</f>
        <v>29.831853831574886</v>
      </c>
      <c r="P109" s="154">
        <f>IF(Assumptions!$L$25=4,VLOOKUP($A109,'Henwood Reference'!$E$9:$R$320,11),(VLOOKUP($A109,PriceTableWeekend,7,0)+IF(BasisNumber&lt;&gt;1,VLOOKUP($A109,BasisTable,3,0),0)+P$1)/(1-P$2))</f>
        <v>29.831853831574886</v>
      </c>
      <c r="Q109" s="156">
        <f>IF(Assumptions!$L$25=4,VLOOKUP($A109,'Henwood Reference'!$E$9:$R$320,11),(VLOOKUP($A109,PriceTableWeekend,8,0)+IF(BasisNumber&lt;&gt;1,VLOOKUP($A109,BasisTable,3,0),0)+Q$1)/(1-Q$2))</f>
        <v>29.831853831574886</v>
      </c>
      <c r="R109" s="154">
        <f>IF(Assumptions!$L$25=4,VLOOKUP($A109,'Henwood Reference'!$E$9:$R$320,11),(VLOOKUP($A109,PriceTable,6,0)+IF(BasisNumber&lt;&gt;1,VLOOKUP($A109,BasisTable,3,0),0)+R$1)/(1-R$2))</f>
        <v>29.831853831574886</v>
      </c>
      <c r="S109" s="154">
        <f>IF(Assumptions!$L$25=4,VLOOKUP($A109,'Henwood Reference'!$E$9:$R$320,11),(VLOOKUP($A109,PriceTable,7,0)+IF(BasisNumber&lt;&gt;1,VLOOKUP($A109,BasisTable,3,0),0)+S$1)/(1-S$2))</f>
        <v>29.831853831574886</v>
      </c>
      <c r="T109" s="155">
        <f>IF(Assumptions!$L$25=4,VLOOKUP($A109,'Henwood Reference'!$E$9:$R$320,11),(VLOOKUP($A109,PriceTable,8,0)+IF(BasisNumber&lt;&gt;1,VLOOKUP($A109,BasisTable,3,0),0)+T$1)/(1-T$2))</f>
        <v>29.831853831574886</v>
      </c>
      <c r="U109" s="173">
        <f t="shared" si="298"/>
        <v>0.13</v>
      </c>
      <c r="V109" s="173">
        <f t="shared" si="299"/>
        <v>0.14000000000000001</v>
      </c>
      <c r="W109" s="174">
        <f t="shared" si="300"/>
        <v>0.15</v>
      </c>
      <c r="X109" s="173">
        <f t="shared" si="301"/>
        <v>0.13</v>
      </c>
      <c r="Y109" s="173">
        <f t="shared" si="302"/>
        <v>0.14000000000000001</v>
      </c>
      <c r="Z109" s="174">
        <f t="shared" si="303"/>
        <v>0.15</v>
      </c>
      <c r="AA109" s="173">
        <f t="shared" si="304"/>
        <v>0.09</v>
      </c>
      <c r="AB109" s="173">
        <f t="shared" si="305"/>
        <v>0.11</v>
      </c>
      <c r="AC109" s="174">
        <f t="shared" si="306"/>
        <v>0.13</v>
      </c>
      <c r="AD109" s="173">
        <f t="shared" si="307"/>
        <v>0.09</v>
      </c>
      <c r="AE109" s="173">
        <f t="shared" si="308"/>
        <v>0.11</v>
      </c>
      <c r="AF109" s="174">
        <f t="shared" si="309"/>
        <v>0.13</v>
      </c>
      <c r="AG109" s="173">
        <f t="shared" si="310"/>
        <v>-0.25</v>
      </c>
      <c r="AH109" s="173">
        <f t="shared" si="311"/>
        <v>0.65</v>
      </c>
      <c r="AI109" s="174">
        <f t="shared" si="312"/>
        <v>0.25</v>
      </c>
      <c r="AJ109" s="173">
        <f t="shared" si="313"/>
        <v>-0.25</v>
      </c>
      <c r="AK109" s="173">
        <f t="shared" si="314"/>
        <v>0.65</v>
      </c>
      <c r="AL109" s="174">
        <f t="shared" si="315"/>
        <v>0.25</v>
      </c>
      <c r="AM109" s="173">
        <f t="shared" si="316"/>
        <v>-0.01</v>
      </c>
      <c r="AN109" s="173">
        <f t="shared" si="317"/>
        <v>0.16</v>
      </c>
      <c r="AO109" s="174">
        <f t="shared" si="318"/>
        <v>0.01</v>
      </c>
      <c r="AP109" s="173">
        <f t="shared" si="319"/>
        <v>-0.01</v>
      </c>
      <c r="AQ109" s="173">
        <f t="shared" si="320"/>
        <v>0.16</v>
      </c>
      <c r="AR109" s="175">
        <f t="shared" si="321"/>
        <v>0.01</v>
      </c>
      <c r="AS109" s="521">
        <f t="shared" si="349"/>
        <v>0.5</v>
      </c>
      <c r="AT109" s="349">
        <f t="shared" si="347"/>
        <v>22</v>
      </c>
      <c r="AU109" s="159">
        <f t="shared" si="240"/>
        <v>4</v>
      </c>
      <c r="AV109" s="159">
        <f t="shared" si="241"/>
        <v>4</v>
      </c>
      <c r="AW109" s="159">
        <f t="shared" si="350"/>
        <v>1</v>
      </c>
      <c r="AX109" s="15">
        <f t="shared" si="348"/>
        <v>31</v>
      </c>
      <c r="AY109" s="607">
        <f>IF(E109="",0,MIN((1-(1-VLOOKUP(B109,MAIN!$AA$7:$AM$28,C109+1))*(1-VLOOKUP(B109,MAIN!$AA$33:$AM$54,C109+1))),1))</f>
        <v>3.0000000000000027E-2</v>
      </c>
      <c r="AZ109" s="337">
        <v>51216</v>
      </c>
      <c r="BA109" s="509">
        <v>9312</v>
      </c>
      <c r="BB109" s="509">
        <v>11640</v>
      </c>
      <c r="BC109" s="511">
        <v>36084</v>
      </c>
      <c r="BD109" s="153">
        <v>0.96999999638646839</v>
      </c>
      <c r="BE109" s="474">
        <v>0.96999999638646839</v>
      </c>
      <c r="BF109" s="474">
        <v>0.96999999638646839</v>
      </c>
      <c r="BG109" s="515">
        <v>0.9699999927729368</v>
      </c>
      <c r="BH109" s="262">
        <v>204864</v>
      </c>
      <c r="BI109" s="509">
        <v>37248</v>
      </c>
      <c r="BJ109" s="509">
        <v>46560</v>
      </c>
      <c r="BK109" s="511">
        <v>144336</v>
      </c>
      <c r="BL109" s="153">
        <v>0.96999999638646839</v>
      </c>
      <c r="BM109" s="474">
        <v>0.96999999638646839</v>
      </c>
      <c r="BN109" s="474">
        <v>0.96999999638646839</v>
      </c>
      <c r="BO109" s="474">
        <v>0.9699999927729368</v>
      </c>
      <c r="BP109" s="261">
        <f t="shared" si="324"/>
        <v>72168</v>
      </c>
      <c r="BQ109" s="578">
        <f t="shared" si="325"/>
        <v>108252</v>
      </c>
      <c r="BR109" s="259">
        <f t="shared" si="326"/>
        <v>288672</v>
      </c>
      <c r="BS109" s="578">
        <f t="shared" si="327"/>
        <v>433008</v>
      </c>
      <c r="BT109" s="216">
        <f t="shared" si="328"/>
        <v>7.7152635181382614</v>
      </c>
      <c r="BU109" s="218">
        <f t="shared" si="243"/>
        <v>48.534935183769228</v>
      </c>
      <c r="BV109" s="216">
        <f t="shared" si="244"/>
        <v>48.534935183769228</v>
      </c>
      <c r="BW109" s="216">
        <f t="shared" si="245"/>
        <v>29.83185372044257</v>
      </c>
      <c r="BX109" s="216">
        <f t="shared" si="329"/>
        <v>29.831853609310254</v>
      </c>
      <c r="BY109" s="216">
        <f t="shared" si="246"/>
        <v>45.518309141297181</v>
      </c>
      <c r="BZ109" s="216">
        <f t="shared" si="247"/>
        <v>40.289490630634873</v>
      </c>
      <c r="CA109" s="264">
        <f t="shared" si="248"/>
        <v>48.534935183769228</v>
      </c>
      <c r="CB109" s="216">
        <f t="shared" si="249"/>
        <v>48.534935183769228</v>
      </c>
      <c r="CC109" s="216">
        <f t="shared" si="250"/>
        <v>29.83185372044257</v>
      </c>
      <c r="CD109" s="216">
        <f t="shared" si="330"/>
        <v>29.831853609310254</v>
      </c>
      <c r="CE109" s="216">
        <f t="shared" si="251"/>
        <v>45.518309141297181</v>
      </c>
      <c r="CF109" s="571">
        <f t="shared" si="252"/>
        <v>40.289490630634873</v>
      </c>
      <c r="CG109" s="573">
        <f t="shared" si="253"/>
        <v>0.14000000000000001</v>
      </c>
      <c r="CH109" s="219">
        <f t="shared" si="254"/>
        <v>0.14000000000000001</v>
      </c>
      <c r="CI109" s="219">
        <f t="shared" si="255"/>
        <v>0.11</v>
      </c>
      <c r="CJ109" s="219">
        <f t="shared" si="256"/>
        <v>0.13687345401088702</v>
      </c>
      <c r="CK109" s="219">
        <f t="shared" si="257"/>
        <v>0.13687345401088702</v>
      </c>
      <c r="CL109" s="219">
        <f t="shared" si="258"/>
        <v>0.11</v>
      </c>
      <c r="CM109" s="219">
        <f t="shared" si="259"/>
        <v>0.11947000946580154</v>
      </c>
      <c r="CN109" s="569">
        <f t="shared" si="260"/>
        <v>0.11947000946580154</v>
      </c>
      <c r="CO109" s="264">
        <f t="shared" si="343"/>
        <v>22.017400101353367</v>
      </c>
      <c r="CP109" s="216">
        <f t="shared" si="331"/>
        <v>22.017400101353367</v>
      </c>
      <c r="CQ109" s="216">
        <f t="shared" ca="1" si="192"/>
        <v>22.017400101353367</v>
      </c>
      <c r="CR109" s="216">
        <f t="shared" ca="1" si="193"/>
        <v>22.017400101353367</v>
      </c>
      <c r="CS109" s="1626">
        <f t="shared" ca="1" si="194"/>
        <v>22.017400101353367</v>
      </c>
      <c r="CT109" s="216">
        <f t="shared" si="332"/>
        <v>22.017400101353367</v>
      </c>
      <c r="CU109" s="575">
        <f t="shared" si="261"/>
        <v>0.17</v>
      </c>
      <c r="CV109" s="154">
        <f t="shared" si="262"/>
        <v>0.5</v>
      </c>
      <c r="CW109" s="216">
        <f>IF(OR($BQ109,$BS109),SpreadOptPowerMargin,0)*((1+Assumptions!$C$26)^($B109-YEAR(Assumptions!$C$17)))</f>
        <v>1.9873454457600002</v>
      </c>
      <c r="CX109" s="216">
        <f>IF(OR($BQ109,$BS109),SpreadOptPowerMargin,0)*((1+Assumptions!$C$26)^($B109-YEAR(Assumptions!$C$17)))</f>
        <v>1.9873454457600002</v>
      </c>
      <c r="CY109" s="216">
        <f>IF(OR($BQ109,$BS109),SpreadOptPowerMargin,0)*((1+Assumptions!$C$26)^($B109-YEAR(Assumptions!$C$17)))</f>
        <v>1.9873454457600002</v>
      </c>
      <c r="CZ109" s="216">
        <f>IF(OR($BQ109,$BS109),SpreadOptPowerMargin,0)*((1+Assumptions!$C$26)^($B109-YEAR(Assumptions!$C$17)))</f>
        <v>1.9873454457600002</v>
      </c>
      <c r="DA109" s="440">
        <f t="shared" si="263"/>
        <v>1.9873454457600002</v>
      </c>
      <c r="DB109" s="479">
        <f t="shared" si="264"/>
        <v>0.14000000000000001</v>
      </c>
      <c r="DC109" s="479">
        <f t="shared" si="265"/>
        <v>0.14000000000000001</v>
      </c>
      <c r="DD109" s="479">
        <f t="shared" si="266"/>
        <v>0.11</v>
      </c>
      <c r="DE109" s="479">
        <f t="shared" si="267"/>
        <v>0.11</v>
      </c>
      <c r="DF109" s="479">
        <f t="shared" si="268"/>
        <v>0.11947000946580154</v>
      </c>
      <c r="DG109" s="574">
        <f t="shared" si="269"/>
        <v>0.11947000946580154</v>
      </c>
      <c r="DH109" s="216">
        <f t="shared" si="270"/>
        <v>24.793240222160289</v>
      </c>
      <c r="DI109" s="216">
        <f t="shared" si="271"/>
        <v>24.793240222160289</v>
      </c>
      <c r="DJ109" s="216">
        <f t="shared" ca="1" si="195"/>
        <v>7.6722824471798825</v>
      </c>
      <c r="DK109" s="216">
        <f t="shared" ca="1" si="196"/>
        <v>7.6722823607276256</v>
      </c>
      <c r="DL109" s="216">
        <f t="shared" ca="1" si="197"/>
        <v>16.832850510535668</v>
      </c>
      <c r="DM109" s="216"/>
      <c r="DN109" s="216"/>
      <c r="DO109" s="216"/>
      <c r="DP109" s="216"/>
      <c r="DQ109" s="216"/>
      <c r="DR109" s="216"/>
      <c r="DS109" s="216"/>
      <c r="DT109" s="216"/>
      <c r="DU109" s="216"/>
      <c r="DV109" s="216"/>
      <c r="DW109" s="1371">
        <f t="shared" si="272"/>
        <v>7.6722824471798825</v>
      </c>
      <c r="DX109" s="216">
        <f t="shared" si="273"/>
        <v>7.6722823607276256</v>
      </c>
      <c r="DY109" s="440">
        <f t="shared" si="274"/>
        <v>17.245291066738606</v>
      </c>
      <c r="DZ109" s="180">
        <f t="shared" si="275"/>
        <v>1269810.5912181614</v>
      </c>
      <c r="EA109" s="180">
        <f t="shared" si="276"/>
        <v>230874.65294875661</v>
      </c>
      <c r="EB109" s="180">
        <f t="shared" ca="1" si="198"/>
        <v>89305.367685173827</v>
      </c>
      <c r="EC109" s="180">
        <f t="shared" ca="1" si="199"/>
        <v>276846.63670449564</v>
      </c>
      <c r="ED109" s="180">
        <f t="shared" ca="1" si="200"/>
        <v>1822189.7334665072</v>
      </c>
      <c r="EE109" s="581">
        <f t="shared" si="277"/>
        <v>1256338.1924309665</v>
      </c>
      <c r="EF109" s="554">
        <f t="shared" si="278"/>
        <v>228425.12589653939</v>
      </c>
      <c r="EG109" s="554">
        <f t="shared" ca="1" si="201"/>
        <v>67827.539137551939</v>
      </c>
      <c r="EH109" s="554">
        <f t="shared" ca="1" si="202"/>
        <v>210265.36731631253</v>
      </c>
      <c r="EI109" s="561">
        <f t="shared" ca="1" si="279"/>
        <v>1762856.2247813703</v>
      </c>
      <c r="EJ109" s="581">
        <f t="shared" si="333"/>
        <v>13472.398787194863</v>
      </c>
      <c r="EK109" s="554">
        <f t="shared" si="334"/>
        <v>2449.5270522172214</v>
      </c>
      <c r="EL109" s="554">
        <f t="shared" ca="1" si="203"/>
        <v>21477.828547621888</v>
      </c>
      <c r="EM109" s="554">
        <f t="shared" ca="1" si="204"/>
        <v>66581.269388183107</v>
      </c>
      <c r="EN109" s="561">
        <f t="shared" ca="1" si="205"/>
        <v>59333.508685136912</v>
      </c>
      <c r="EO109" s="180">
        <f t="shared" si="280"/>
        <v>5079242.3648726456</v>
      </c>
      <c r="EP109" s="180">
        <f t="shared" si="281"/>
        <v>923498.61179502646</v>
      </c>
      <c r="EQ109" s="180">
        <f t="shared" si="282"/>
        <v>357221.47074069531</v>
      </c>
      <c r="ER109" s="180">
        <f t="shared" si="283"/>
        <v>1107386.5468179826</v>
      </c>
      <c r="ES109" s="180">
        <f t="shared" si="284"/>
        <v>7467348.9942263504</v>
      </c>
      <c r="ET109" s="1482">
        <f t="shared" ca="1" si="206"/>
        <v>5025352.7697238661</v>
      </c>
      <c r="EU109" s="180">
        <f t="shared" ca="1" si="207"/>
        <v>913700.50358615757</v>
      </c>
      <c r="EV109" s="180">
        <f t="shared" ca="1" si="208"/>
        <v>271310.15655020776</v>
      </c>
      <c r="EW109" s="180">
        <f t="shared" ca="1" si="209"/>
        <v>841061.46926525014</v>
      </c>
      <c r="EX109" s="555">
        <f t="shared" ca="1" si="351"/>
        <v>7051424.899125482</v>
      </c>
      <c r="EY109" s="180">
        <f t="shared" ca="1" si="210"/>
        <v>53889.595148779452</v>
      </c>
      <c r="EZ109" s="180">
        <f t="shared" ca="1" si="211"/>
        <v>9798.1082088688854</v>
      </c>
      <c r="FA109" s="180">
        <f t="shared" ca="1" si="212"/>
        <v>85911.314190487552</v>
      </c>
      <c r="FB109" s="180">
        <f t="shared" ca="1" si="213"/>
        <v>266325.07755273243</v>
      </c>
      <c r="FC109" s="180">
        <f t="shared" ca="1" si="214"/>
        <v>415924.09510086849</v>
      </c>
      <c r="FD109" s="262">
        <f>IF(AX109,IF(VLOOKUP(C109,MAIN!$L$17:$M$28,2)="Yes",VLOOKUP(CALC!B109,MAIN!$H$17:$I$20,2),0),0)</f>
        <v>0</v>
      </c>
      <c r="FE109" s="623">
        <f t="shared" si="285"/>
        <v>0</v>
      </c>
      <c r="FF109" s="535">
        <f t="shared" si="286"/>
        <v>0</v>
      </c>
      <c r="FG109" s="535">
        <f t="shared" si="287"/>
        <v>0</v>
      </c>
      <c r="FH109" s="624">
        <f t="shared" si="288"/>
        <v>0</v>
      </c>
      <c r="FI109" s="632">
        <f>IF(AX109,VLOOKUP(CALC!B109,MAIN!$H$17:$K$20,4),0)</f>
        <v>0</v>
      </c>
      <c r="FJ109" s="535">
        <f t="shared" si="289"/>
        <v>0</v>
      </c>
      <c r="FK109" s="648">
        <f t="shared" si="335"/>
        <v>0</v>
      </c>
      <c r="FL109" s="530">
        <f t="shared" ca="1" si="215"/>
        <v>0</v>
      </c>
      <c r="FM109" s="530">
        <f t="shared" ca="1" si="216"/>
        <v>0</v>
      </c>
      <c r="FN109" s="530">
        <f t="shared" ca="1" si="217"/>
        <v>0</v>
      </c>
      <c r="FO109" s="622">
        <f t="shared" ca="1" si="218"/>
        <v>0</v>
      </c>
      <c r="FP109" s="530">
        <f t="shared" ca="1" si="219"/>
        <v>0</v>
      </c>
      <c r="FQ109" s="530">
        <f t="shared" ca="1" si="220"/>
        <v>0</v>
      </c>
      <c r="FR109" s="530">
        <f t="shared" ca="1" si="221"/>
        <v>0</v>
      </c>
      <c r="FS109" s="625">
        <f t="shared" ca="1" si="222"/>
        <v>0</v>
      </c>
      <c r="FT109" s="640">
        <f ca="1">IF(AND(Assumptions!$H$71="Yes",A109&gt;=Assumptions!$H$72,A109&lt;=Assumptions!$H$73),0,IF(AND($A109&gt;=Assumptions!$C$17,$A109&lt;=Assumptions!$C$18),MAX(AZ109*(1+VLOOKUP($C109,WeatherCapacityAdjustment,2))-FL109,0),0))</f>
        <v>51216</v>
      </c>
      <c r="FU109" s="530">
        <f ca="1">IF(AND(Assumptions!$H$71="Yes",A109&gt;=Assumptions!$H$72,A109&lt;=Assumptions!$H$73),0,IF(AND($A109&gt;=Assumptions!$C$17,$A109&lt;=Assumptions!$C$18),MAX(BA109*(1+VLOOKUP($C109,WeatherCapacityAdjustment,2))-FM109,0),0))</f>
        <v>9312</v>
      </c>
      <c r="FV109" s="530">
        <f ca="1">IF(AND(Assumptions!$H$71="Yes",A109&gt;=Assumptions!$H$72,A109&lt;=Assumptions!$H$73),0,IF(AND($A109&gt;=Assumptions!$C$17,$A109&lt;=Assumptions!$C$18),MAX(BB109*(1+VLOOKUP($C109,WeatherCapacityAdjustment,2))-FN109,0),0))</f>
        <v>11640</v>
      </c>
      <c r="FW109" s="622">
        <f ca="1">IF(AND(Assumptions!$H$71="Yes",A109&gt;=Assumptions!$H$72,A109&lt;=Assumptions!$H$73),0,IF(AND($A109&gt;=Assumptions!$C$17,$A109&lt;=Assumptions!$C$18),MAX(BC109*(1+VLOOKUP($C109,WeatherCapacityAdjustment,3))-FO109,0),0))</f>
        <v>36084</v>
      </c>
      <c r="FX109" s="621">
        <f ca="1">IF(AND(Assumptions!$H$71="Yes",A109&gt;=Assumptions!$H$72,A109&lt;=Assumptions!$H$73),0,IF(ET109&gt;0,MAX(BH109*(1+VLOOKUP($C109,WeatherCapacityAdjustment,2))-FP109,0),0))</f>
        <v>204864</v>
      </c>
      <c r="FY109" s="530">
        <f ca="1">IF(AND(Assumptions!$H$71="Yes",A109&gt;=Assumptions!$H$72,A109&lt;=Assumptions!$H$73),0,IF(EU109&gt;0,MAX(BI109*(1+VLOOKUP($C109,WeatherCapacityAdjustment,3))-FQ109,0),0))</f>
        <v>37248</v>
      </c>
      <c r="FZ109" s="530">
        <f ca="1">IF(AND(Assumptions!$H$71="Yes",A109&gt;=Assumptions!$H$72,A109&lt;=Assumptions!$H$73),0,IF(EV109&gt;0,MAX(BJ109*(1+VLOOKUP($C109,WeatherCapacityAdjustment,2))-FR109,0),0))</f>
        <v>46560</v>
      </c>
      <c r="GA109" s="622">
        <f ca="1">IF(AND(Assumptions!$H$71="Yes",A109&gt;=Assumptions!$H$72,A109&lt;=Assumptions!$H$73),0,IF(EW109&gt;0,MAX(BK109*(1+VLOOKUP($C109,WeatherCapacityAdjustment,2))-FS109,0),0))</f>
        <v>144336</v>
      </c>
      <c r="GB109" s="530">
        <f t="shared" ca="1" si="290"/>
        <v>541260</v>
      </c>
      <c r="GC109" s="545">
        <f t="shared" ca="1" si="291"/>
        <v>40.289490630634873</v>
      </c>
      <c r="GD109" s="530">
        <f t="shared" ca="1" si="223"/>
        <v>21807089.698737435</v>
      </c>
      <c r="GE109" s="1485">
        <f t="shared" ca="1" si="224"/>
        <v>773070.83279999997</v>
      </c>
      <c r="GF109" s="1776">
        <f t="shared" ca="1" si="225"/>
        <v>3092283.3311999999</v>
      </c>
      <c r="GG109" s="545">
        <f t="shared" si="190"/>
        <v>3.0830649594411974</v>
      </c>
      <c r="GH109" s="622">
        <f t="shared" ca="1" si="191"/>
        <v>11917137.978858523</v>
      </c>
      <c r="GI109" s="621">
        <f t="shared" ca="1" si="336"/>
        <v>541260</v>
      </c>
      <c r="GJ109" s="638">
        <f t="shared" si="292"/>
        <v>1.9873454457600002</v>
      </c>
      <c r="GK109" s="625">
        <f t="shared" ca="1" si="342"/>
        <v>1075670.5959720577</v>
      </c>
      <c r="GL109" s="640">
        <f t="shared" ca="1" si="226"/>
        <v>0</v>
      </c>
      <c r="GM109" s="530">
        <f t="shared" ca="1" si="227"/>
        <v>0</v>
      </c>
      <c r="GN109" s="530">
        <f t="shared" ca="1" si="228"/>
        <v>0</v>
      </c>
      <c r="GO109" s="622">
        <f t="shared" ca="1" si="229"/>
        <v>0</v>
      </c>
      <c r="GP109" s="530">
        <f t="shared" ca="1" si="293"/>
        <v>0</v>
      </c>
      <c r="GQ109" s="545">
        <f t="shared" ca="1" si="294"/>
        <v>0</v>
      </c>
      <c r="GR109" s="625">
        <f t="shared" ca="1" si="230"/>
        <v>0</v>
      </c>
      <c r="GS109" s="640">
        <f>IF($A109&gt;=BegDate,Assumptions!$C$56*24*($A110-$A109)*(1-VLOOKUP($B109,MAIN!$AA$7:$AM$28,$C109+1))*(1-VLOOKUP($B109,MAIN!$AA$33:$AM$54,$C109+1)),0)*80/168</f>
        <v>257742.85714285713</v>
      </c>
      <c r="GT109" s="1715">
        <f t="shared" si="337"/>
        <v>48.534935364575951</v>
      </c>
      <c r="GU109" s="1715">
        <f>IF($A109&gt;=BegDate,VLOOKUP($A109,GasTable,13)+Assumptions!$C$58,0)</f>
        <v>3.0830649594411974</v>
      </c>
      <c r="GV109" s="1715">
        <f>GU109*Assumptions!$C$57/1000</f>
        <v>22.352220955948681</v>
      </c>
      <c r="GW109" s="625">
        <f>IF(Assumptions!$C$60="Hourly",MAX(0,GS109*(GT109-GV109)),GS109*(GT109-GV109))</f>
        <v>6748407.6194350449</v>
      </c>
      <c r="GX109" s="640">
        <f>IF($A109&gt;=BegDate,Assumptions!$C$56*24*($A110-$A109)*(1-VLOOKUP($B109,MAIN!$AA$7:$AM$28,$C109+1))*(1-VLOOKUP($B109,MAIN!$AA$33:$AM$54,$C109+1)),0)*16/168</f>
        <v>51548.571428571428</v>
      </c>
      <c r="GY109" s="1715">
        <f t="shared" si="338"/>
        <v>48.534935364575951</v>
      </c>
      <c r="GZ109" s="1715">
        <f>IF($A109&gt;=BegDate,VLOOKUP($A109,GasTable,13)+Assumptions!$C$58,0)</f>
        <v>3.0830649594411974</v>
      </c>
      <c r="HA109" s="1715">
        <f>GZ109*Assumptions!$C$57/1000</f>
        <v>22.352220955948681</v>
      </c>
      <c r="HB109" s="625">
        <f>IF(Assumptions!$C$60="Hourly",MAX(0,GX109*(GY109-HA109)),GX109*(GY109-HA109))</f>
        <v>1349681.5238870091</v>
      </c>
      <c r="HC109" s="640">
        <f>IF($A109&gt;=BegDate,Assumptions!$C$56*24*($A110-$A109)*(1-VLOOKUP($B109,MAIN!$AA$7:$AM$28,$C109+1))*(1-VLOOKUP($B109,MAIN!$AA$33:$AM$54,$C109+1)),0)*16/168</f>
        <v>51548.571428571428</v>
      </c>
      <c r="HD109" s="1715">
        <f t="shared" si="339"/>
        <v>29.831853831574886</v>
      </c>
      <c r="HE109" s="1715">
        <f>IF($A109&gt;=BegDate,VLOOKUP($A109,GasTable,13)+Assumptions!$C$58,0)</f>
        <v>3.0830649594411974</v>
      </c>
      <c r="HF109" s="1715">
        <f>HE109*Assumptions!$C$57/1000</f>
        <v>22.352220955948681</v>
      </c>
      <c r="HG109" s="625">
        <f>IF(Assumptions!$C$60="Hourly",MAX(0,HC109*(HD109-HF109)),HC109*(HD109-HF109))</f>
        <v>385564.38954870851</v>
      </c>
      <c r="HH109" s="640">
        <f>IF($A109&gt;=BegDate,Assumptions!$C$56*24*($A110-$A109)*(1-VLOOKUP($B109,MAIN!$AA$7:$AM$28,$C109+1))*(1-VLOOKUP($B109,MAIN!$AA$33:$AM$54,$C109+1)),0)*56/168</f>
        <v>180420</v>
      </c>
      <c r="HI109" s="1715">
        <f t="shared" si="340"/>
        <v>29.831853831574886</v>
      </c>
      <c r="HJ109" s="1715">
        <f>IF($A109&gt;=BegDate,VLOOKUP($A109,GasTable,13)+Assumptions!$C$58,0)</f>
        <v>3.0830649594411974</v>
      </c>
      <c r="HK109" s="1715">
        <f>HJ109*Assumptions!$C$57/1000</f>
        <v>22.352220955948681</v>
      </c>
      <c r="HL109" s="625">
        <f>IF(Assumptions!$C$60="Hourly",MAX(0,HH109*(HI109-HK109)),HH109*(HI109-HK109))</f>
        <v>1349475.3634204799</v>
      </c>
      <c r="HM109" s="640">
        <f>IF(AND(Assumptions!$H$71="Yes",A109&gt;=Assumptions!$H$72,A109&lt;=Assumptions!$H$73),Assumptions!$H$74*Assumptions!$C$9*1000,0)</f>
        <v>0</v>
      </c>
      <c r="HN109" s="530"/>
      <c r="HO109" s="545"/>
      <c r="HP109" s="545"/>
      <c r="HQ109" s="545"/>
      <c r="HR109" s="545"/>
      <c r="HS109" s="545"/>
      <c r="HT109" s="545"/>
      <c r="HU109" s="545"/>
      <c r="HV109" s="545"/>
      <c r="HW109" s="545"/>
      <c r="HX109" s="545"/>
      <c r="HY109" s="545"/>
      <c r="HZ109" s="545"/>
      <c r="IA109" s="545"/>
      <c r="IB109" s="545"/>
      <c r="IC109" s="545"/>
      <c r="ID109" s="545"/>
      <c r="IE109" s="545"/>
      <c r="IF109" s="545"/>
      <c r="IG109" s="545"/>
      <c r="IH109" s="545"/>
      <c r="II109" s="1464"/>
      <c r="IJ109" s="1463"/>
      <c r="IK109" s="1463"/>
    </row>
    <row r="110" spans="1:245">
      <c r="A110" s="177">
        <f t="shared" si="295"/>
        <v>39479</v>
      </c>
      <c r="B110" s="349">
        <f t="shared" si="296"/>
        <v>2008</v>
      </c>
      <c r="C110" s="15">
        <f t="shared" si="344"/>
        <v>2</v>
      </c>
      <c r="D110" s="612" t="str">
        <f t="shared" si="297"/>
        <v/>
      </c>
      <c r="E110" s="609">
        <f t="shared" si="345"/>
        <v>39479</v>
      </c>
      <c r="F110" s="614">
        <f t="shared" si="346"/>
        <v>39507</v>
      </c>
      <c r="G110" s="1349">
        <v>0</v>
      </c>
      <c r="H110" s="152">
        <f t="shared" si="341"/>
        <v>1</v>
      </c>
      <c r="I110" s="154">
        <f>IF(Assumptions!$L$25=4,VLOOKUP($A110,'Henwood Reference'!$E$9:$R$320,10),(VLOOKUP($A110,PriceTable,2,0)+IF(BasisNumber&lt;&gt;1,VLOOKUP($A110,BasisTable,2,0),0)+I$1)/(1-I$2))</f>
        <v>42.325492143078243</v>
      </c>
      <c r="J110" s="154">
        <f>IF(Assumptions!$L$25=4,VLOOKUP($A110,'Henwood Reference'!$E$9:$R$320,10),(VLOOKUP($A110,PriceTable,3,0)+IF(BasisNumber&lt;&gt;1,VLOOKUP($A110,BasisTable,2,0),0)+J$1)/(1-J$2))</f>
        <v>42.325492143078243</v>
      </c>
      <c r="K110" s="154">
        <f>IF(Assumptions!$L$25=4,VLOOKUP($A110,'Henwood Reference'!$E$9:$R$320,10),(VLOOKUP($A110,PriceTable,4,0)+IF(BasisNumber&lt;&gt;1,VLOOKUP($A110,BasisTable,2,0),0)+K$1)/(1-K$2))</f>
        <v>42.325492143078243</v>
      </c>
      <c r="L110" s="474">
        <f>IF(Assumptions!$L$25=4,VLOOKUP($A110,'Henwood Reference'!$E$9:$R$320,10),(VLOOKUP($A110,PriceTableWeekend,2,0)+IF(BasisNumber&lt;&gt;1,VLOOKUP($A110,BasisTable,2,0),0)+L$1)/(1-L$2))</f>
        <v>42.325492143078243</v>
      </c>
      <c r="M110" s="154">
        <f>IF(Assumptions!$L$25=4,VLOOKUP($A110,'Henwood Reference'!$E$9:$R$320,10),(VLOOKUP($A110,PriceTableWeekend,3,0)+IF(BasisNumber&lt;&gt;1,VLOOKUP($A110,BasisTable,2,0),0)+M$1)/(1-M$2))</f>
        <v>42.325492143078243</v>
      </c>
      <c r="N110" s="156">
        <f>IF(Assumptions!$L$25=4,VLOOKUP($A110,'Henwood Reference'!$E$9:$R$320,10),(VLOOKUP($A110,PriceTableWeekend,4,0)+IF(BasisNumber&lt;&gt;1,VLOOKUP($A110,BasisTable,2,0),0)+N$1)/(1-N$2))</f>
        <v>42.325492143078243</v>
      </c>
      <c r="O110" s="154">
        <f>IF(Assumptions!$L$25=4,VLOOKUP($A110,'Henwood Reference'!$E$9:$R$320,11),(VLOOKUP($A110,PriceTableWeekend,6,0)+IF(BasisNumber&lt;&gt;1,VLOOKUP($A110,BasisTable,3,0),0)+O$1)/(1-O$2))</f>
        <v>24.005308895788716</v>
      </c>
      <c r="P110" s="154">
        <f>IF(Assumptions!$L$25=4,VLOOKUP($A110,'Henwood Reference'!$E$9:$R$320,11),(VLOOKUP($A110,PriceTableWeekend,7,0)+IF(BasisNumber&lt;&gt;1,VLOOKUP($A110,BasisTable,3,0),0)+P$1)/(1-P$2))</f>
        <v>24.005308895788716</v>
      </c>
      <c r="Q110" s="156">
        <f>IF(Assumptions!$L$25=4,VLOOKUP($A110,'Henwood Reference'!$E$9:$R$320,11),(VLOOKUP($A110,PriceTableWeekend,8,0)+IF(BasisNumber&lt;&gt;1,VLOOKUP($A110,BasisTable,3,0),0)+Q$1)/(1-Q$2))</f>
        <v>24.005308895788716</v>
      </c>
      <c r="R110" s="154">
        <f>IF(Assumptions!$L$25=4,VLOOKUP($A110,'Henwood Reference'!$E$9:$R$320,11),(VLOOKUP($A110,PriceTable,6,0)+IF(BasisNumber&lt;&gt;1,VLOOKUP($A110,BasisTable,3,0),0)+R$1)/(1-R$2))</f>
        <v>24.005308895788716</v>
      </c>
      <c r="S110" s="154">
        <f>IF(Assumptions!$L$25=4,VLOOKUP($A110,'Henwood Reference'!$E$9:$R$320,11),(VLOOKUP($A110,PriceTable,7,0)+IF(BasisNumber&lt;&gt;1,VLOOKUP($A110,BasisTable,3,0),0)+S$1)/(1-S$2))</f>
        <v>24.005308895788716</v>
      </c>
      <c r="T110" s="155">
        <f>IF(Assumptions!$L$25=4,VLOOKUP($A110,'Henwood Reference'!$E$9:$R$320,11),(VLOOKUP($A110,PriceTable,8,0)+IF(BasisNumber&lt;&gt;1,VLOOKUP($A110,BasisTable,3,0),0)+T$1)/(1-T$2))</f>
        <v>24.005308895788716</v>
      </c>
      <c r="U110" s="173">
        <f t="shared" si="298"/>
        <v>0.13</v>
      </c>
      <c r="V110" s="173">
        <f t="shared" si="299"/>
        <v>0.14000000000000001</v>
      </c>
      <c r="W110" s="174">
        <f t="shared" si="300"/>
        <v>0.15</v>
      </c>
      <c r="X110" s="173">
        <f t="shared" si="301"/>
        <v>0.13</v>
      </c>
      <c r="Y110" s="173">
        <f t="shared" si="302"/>
        <v>0.14000000000000001</v>
      </c>
      <c r="Z110" s="174">
        <f t="shared" si="303"/>
        <v>0.15</v>
      </c>
      <c r="AA110" s="173">
        <f t="shared" si="304"/>
        <v>0.09</v>
      </c>
      <c r="AB110" s="173">
        <f t="shared" si="305"/>
        <v>0.11</v>
      </c>
      <c r="AC110" s="174">
        <f t="shared" si="306"/>
        <v>0.13</v>
      </c>
      <c r="AD110" s="173">
        <f t="shared" si="307"/>
        <v>0.09</v>
      </c>
      <c r="AE110" s="173">
        <f t="shared" si="308"/>
        <v>0.11</v>
      </c>
      <c r="AF110" s="174">
        <f t="shared" si="309"/>
        <v>0.13</v>
      </c>
      <c r="AG110" s="173">
        <f t="shared" si="310"/>
        <v>-0.25</v>
      </c>
      <c r="AH110" s="173">
        <f t="shared" si="311"/>
        <v>0.65</v>
      </c>
      <c r="AI110" s="174">
        <f t="shared" si="312"/>
        <v>0.25</v>
      </c>
      <c r="AJ110" s="173">
        <f t="shared" si="313"/>
        <v>-0.25</v>
      </c>
      <c r="AK110" s="173">
        <f t="shared" si="314"/>
        <v>0.65</v>
      </c>
      <c r="AL110" s="174">
        <f t="shared" si="315"/>
        <v>0.25</v>
      </c>
      <c r="AM110" s="173">
        <f t="shared" si="316"/>
        <v>-0.01</v>
      </c>
      <c r="AN110" s="173">
        <f t="shared" si="317"/>
        <v>0.16</v>
      </c>
      <c r="AO110" s="174">
        <f t="shared" si="318"/>
        <v>0.01</v>
      </c>
      <c r="AP110" s="173">
        <f t="shared" si="319"/>
        <v>-0.01</v>
      </c>
      <c r="AQ110" s="173">
        <f t="shared" si="320"/>
        <v>0.16</v>
      </c>
      <c r="AR110" s="175">
        <f t="shared" si="321"/>
        <v>0.01</v>
      </c>
      <c r="AS110" s="521">
        <f t="shared" si="349"/>
        <v>0.5</v>
      </c>
      <c r="AT110" s="349">
        <f t="shared" si="347"/>
        <v>21</v>
      </c>
      <c r="AU110" s="159">
        <f t="shared" si="240"/>
        <v>4</v>
      </c>
      <c r="AV110" s="159">
        <f t="shared" si="241"/>
        <v>4</v>
      </c>
      <c r="AW110" s="159">
        <f t="shared" si="350"/>
        <v>0</v>
      </c>
      <c r="AX110" s="15">
        <f t="shared" si="348"/>
        <v>29</v>
      </c>
      <c r="AY110" s="607">
        <f>IF(E110="",0,MIN((1-(1-VLOOKUP(B110,MAIN!$AA$7:$AM$28,C110+1))*(1-VLOOKUP(B110,MAIN!$AA$33:$AM$54,C110+1))),1))</f>
        <v>3.0000000000000027E-2</v>
      </c>
      <c r="AZ110" s="337">
        <v>48888</v>
      </c>
      <c r="BA110" s="509">
        <v>9312</v>
      </c>
      <c r="BB110" s="509">
        <v>9312</v>
      </c>
      <c r="BC110" s="511">
        <v>33756</v>
      </c>
      <c r="BD110" s="153">
        <v>0.97</v>
      </c>
      <c r="BE110" s="474">
        <v>0.97</v>
      </c>
      <c r="BF110" s="474">
        <v>0.97</v>
      </c>
      <c r="BG110" s="515">
        <v>0.9699999927729368</v>
      </c>
      <c r="BH110" s="262">
        <v>195552</v>
      </c>
      <c r="BI110" s="509">
        <v>37248</v>
      </c>
      <c r="BJ110" s="509">
        <v>37248</v>
      </c>
      <c r="BK110" s="511">
        <v>135024</v>
      </c>
      <c r="BL110" s="153">
        <v>0.97</v>
      </c>
      <c r="BM110" s="474">
        <v>0.97</v>
      </c>
      <c r="BN110" s="474">
        <v>0.97</v>
      </c>
      <c r="BO110" s="474">
        <v>0.9699999927729368</v>
      </c>
      <c r="BP110" s="261">
        <f t="shared" si="324"/>
        <v>67512</v>
      </c>
      <c r="BQ110" s="578">
        <f t="shared" si="325"/>
        <v>101268</v>
      </c>
      <c r="BR110" s="259">
        <f t="shared" si="326"/>
        <v>270048</v>
      </c>
      <c r="BS110" s="578">
        <f t="shared" si="327"/>
        <v>405072</v>
      </c>
      <c r="BT110" s="216">
        <f t="shared" si="328"/>
        <v>7.8001368925393564</v>
      </c>
      <c r="BU110" s="218">
        <f t="shared" si="243"/>
        <v>42.325492143078243</v>
      </c>
      <c r="BV110" s="216">
        <f t="shared" si="244"/>
        <v>42.325492143078243</v>
      </c>
      <c r="BW110" s="216">
        <f t="shared" si="245"/>
        <v>24.005308895788716</v>
      </c>
      <c r="BX110" s="216">
        <f t="shared" si="329"/>
        <v>24.005308716935225</v>
      </c>
      <c r="BY110" s="216">
        <f t="shared" si="246"/>
        <v>39.798570315865895</v>
      </c>
      <c r="BZ110" s="216">
        <f t="shared" si="247"/>
        <v>34.534149782889003</v>
      </c>
      <c r="CA110" s="264">
        <f t="shared" si="248"/>
        <v>42.325492143078243</v>
      </c>
      <c r="CB110" s="216">
        <f t="shared" si="249"/>
        <v>42.325492143078243</v>
      </c>
      <c r="CC110" s="216">
        <f t="shared" si="250"/>
        <v>24.005308895788716</v>
      </c>
      <c r="CD110" s="216">
        <f t="shared" si="330"/>
        <v>24.005308716935225</v>
      </c>
      <c r="CE110" s="216">
        <f t="shared" si="251"/>
        <v>39.798570315865895</v>
      </c>
      <c r="CF110" s="571">
        <f t="shared" si="252"/>
        <v>34.534149782889003</v>
      </c>
      <c r="CG110" s="573">
        <f t="shared" si="253"/>
        <v>0.14000000000000001</v>
      </c>
      <c r="CH110" s="219">
        <f t="shared" si="254"/>
        <v>0.14000000000000001</v>
      </c>
      <c r="CI110" s="219">
        <f t="shared" si="255"/>
        <v>0.11</v>
      </c>
      <c r="CJ110" s="219">
        <f t="shared" si="256"/>
        <v>0.13754068758538177</v>
      </c>
      <c r="CK110" s="219">
        <f t="shared" si="257"/>
        <v>0.13754068758538177</v>
      </c>
      <c r="CL110" s="219">
        <f t="shared" si="258"/>
        <v>0.11</v>
      </c>
      <c r="CM110" s="219">
        <f t="shared" si="259"/>
        <v>0.12091994488205365</v>
      </c>
      <c r="CN110" s="569">
        <f t="shared" si="260"/>
        <v>0.12091994488205365</v>
      </c>
      <c r="CO110" s="264">
        <f t="shared" si="343"/>
        <v>20.30985823001356</v>
      </c>
      <c r="CP110" s="216">
        <f t="shared" si="331"/>
        <v>20.30985823001356</v>
      </c>
      <c r="CQ110" s="216">
        <f t="shared" ca="1" si="192"/>
        <v>20.30985823001356</v>
      </c>
      <c r="CR110" s="216">
        <f t="shared" ca="1" si="193"/>
        <v>20.30985823001356</v>
      </c>
      <c r="CS110" s="1626">
        <f t="shared" ca="1" si="194"/>
        <v>20.30985823001356</v>
      </c>
      <c r="CT110" s="216">
        <f t="shared" si="332"/>
        <v>20.30985823001356</v>
      </c>
      <c r="CU110" s="575">
        <f t="shared" si="261"/>
        <v>0.16</v>
      </c>
      <c r="CV110" s="154">
        <f t="shared" si="262"/>
        <v>0.5</v>
      </c>
      <c r="CW110" s="216">
        <f>IF(OR($BQ110,$BS110),SpreadOptPowerMargin,0)*((1+Assumptions!$C$26)^($B110-YEAR(Assumptions!$C$17)))</f>
        <v>1.9873454457600002</v>
      </c>
      <c r="CX110" s="216">
        <f>IF(OR($BQ110,$BS110),SpreadOptPowerMargin,0)*((1+Assumptions!$C$26)^($B110-YEAR(Assumptions!$C$17)))</f>
        <v>1.9873454457600002</v>
      </c>
      <c r="CY110" s="216">
        <f>IF(OR($BQ110,$BS110),SpreadOptPowerMargin,0)*((1+Assumptions!$C$26)^($B110-YEAR(Assumptions!$C$17)))</f>
        <v>1.9873454457600002</v>
      </c>
      <c r="CZ110" s="216">
        <f>IF(OR($BQ110,$BS110),SpreadOptPowerMargin,0)*((1+Assumptions!$C$26)^($B110-YEAR(Assumptions!$C$17)))</f>
        <v>1.9873454457600002</v>
      </c>
      <c r="DA110" s="440">
        <f t="shared" si="263"/>
        <v>1.9873454457599999</v>
      </c>
      <c r="DB110" s="479">
        <f t="shared" si="264"/>
        <v>0.14000000000000001</v>
      </c>
      <c r="DC110" s="479">
        <f t="shared" si="265"/>
        <v>0.14000000000000001</v>
      </c>
      <c r="DD110" s="479">
        <f t="shared" si="266"/>
        <v>0.11</v>
      </c>
      <c r="DE110" s="479">
        <f t="shared" si="267"/>
        <v>0.11</v>
      </c>
      <c r="DF110" s="479">
        <f t="shared" si="268"/>
        <v>0.12091994488205365</v>
      </c>
      <c r="DG110" s="574">
        <f t="shared" si="269"/>
        <v>0.12091994488205365</v>
      </c>
      <c r="DH110" s="216">
        <f t="shared" si="270"/>
        <v>20.316349579061988</v>
      </c>
      <c r="DI110" s="216">
        <f t="shared" si="271"/>
        <v>20.316349579061988</v>
      </c>
      <c r="DJ110" s="216">
        <f t="shared" ca="1" si="195"/>
        <v>4.299817570119572</v>
      </c>
      <c r="DK110" s="216">
        <f t="shared" ca="1" si="196"/>
        <v>4.2998174532350006</v>
      </c>
      <c r="DL110" s="216">
        <f t="shared" ca="1" si="197"/>
        <v>12.884570054204154</v>
      </c>
      <c r="DM110" s="216"/>
      <c r="DN110" s="216"/>
      <c r="DO110" s="216"/>
      <c r="DP110" s="216"/>
      <c r="DQ110" s="216"/>
      <c r="DR110" s="216"/>
      <c r="DS110" s="216"/>
      <c r="DT110" s="216"/>
      <c r="DU110" s="216"/>
      <c r="DV110" s="216"/>
      <c r="DW110" s="1371">
        <f t="shared" si="272"/>
        <v>4.299817570119572</v>
      </c>
      <c r="DX110" s="216">
        <f t="shared" si="273"/>
        <v>4.2998174532350006</v>
      </c>
      <c r="DY110" s="440">
        <f t="shared" si="274"/>
        <v>13.504720984573229</v>
      </c>
      <c r="DZ110" s="180">
        <f t="shared" si="275"/>
        <v>993225.69822118245</v>
      </c>
      <c r="EA110" s="180">
        <f t="shared" si="276"/>
        <v>189185.84728022522</v>
      </c>
      <c r="EB110" s="180">
        <f t="shared" ca="1" si="198"/>
        <v>40039.901212953453</v>
      </c>
      <c r="EC110" s="180">
        <f t="shared" ca="1" si="199"/>
        <v>145144.63795140068</v>
      </c>
      <c r="ED110" s="180">
        <f t="shared" ca="1" si="200"/>
        <v>1304794.6402491464</v>
      </c>
      <c r="EE110" s="581">
        <f t="shared" si="277"/>
        <v>979142.96658959135</v>
      </c>
      <c r="EF110" s="554">
        <f t="shared" si="278"/>
        <v>186503.42220754121</v>
      </c>
      <c r="EG110" s="554">
        <f t="shared" ca="1" si="201"/>
        <v>15905.875808781133</v>
      </c>
      <c r="EH110" s="554">
        <f t="shared" ca="1" si="202"/>
        <v>57658.793769453194</v>
      </c>
      <c r="EI110" s="561">
        <f t="shared" ca="1" si="279"/>
        <v>1239211.0583753667</v>
      </c>
      <c r="EJ110" s="581">
        <f t="shared" si="333"/>
        <v>14082.731631591101</v>
      </c>
      <c r="EK110" s="554">
        <f t="shared" si="334"/>
        <v>2682.425072684011</v>
      </c>
      <c r="EL110" s="554">
        <f t="shared" ca="1" si="203"/>
        <v>24134.02540417232</v>
      </c>
      <c r="EM110" s="554">
        <f t="shared" ca="1" si="204"/>
        <v>87485.844181947497</v>
      </c>
      <c r="EN110" s="561">
        <f t="shared" ca="1" si="205"/>
        <v>65583.581873779651</v>
      </c>
      <c r="EO110" s="180">
        <f t="shared" si="280"/>
        <v>3972902.7928847298</v>
      </c>
      <c r="EP110" s="180">
        <f t="shared" si="281"/>
        <v>756743.38912090089</v>
      </c>
      <c r="EQ110" s="180">
        <f t="shared" si="282"/>
        <v>160159.60485181381</v>
      </c>
      <c r="ER110" s="180">
        <f t="shared" si="283"/>
        <v>580578.55180560274</v>
      </c>
      <c r="ES110" s="180">
        <f t="shared" si="284"/>
        <v>5470384.3386630472</v>
      </c>
      <c r="ET110" s="1482">
        <f t="shared" ca="1" si="206"/>
        <v>3916571.8663583654</v>
      </c>
      <c r="EU110" s="180">
        <f t="shared" ca="1" si="207"/>
        <v>746013.68883016484</v>
      </c>
      <c r="EV110" s="180">
        <f t="shared" ca="1" si="208"/>
        <v>63623.503235124532</v>
      </c>
      <c r="EW110" s="180">
        <f t="shared" ca="1" si="209"/>
        <v>230635.17507781278</v>
      </c>
      <c r="EX110" s="555">
        <f t="shared" ca="1" si="351"/>
        <v>4956844.2335014679</v>
      </c>
      <c r="EY110" s="180">
        <f t="shared" ca="1" si="210"/>
        <v>56330.926526364405</v>
      </c>
      <c r="EZ110" s="180">
        <f t="shared" ca="1" si="211"/>
        <v>10729.700290736044</v>
      </c>
      <c r="FA110" s="180">
        <f t="shared" ca="1" si="212"/>
        <v>96536.10161668928</v>
      </c>
      <c r="FB110" s="180">
        <f t="shared" ca="1" si="213"/>
        <v>349943.37672778999</v>
      </c>
      <c r="FC110" s="180">
        <f t="shared" ca="1" si="214"/>
        <v>513540.10516157933</v>
      </c>
      <c r="FD110" s="262">
        <f>IF(AX110,IF(VLOOKUP(C110,MAIN!$L$17:$M$28,2)="Yes",VLOOKUP(CALC!B110,MAIN!$H$17:$I$20,2),0),0)</f>
        <v>0</v>
      </c>
      <c r="FE110" s="623">
        <f t="shared" si="285"/>
        <v>0</v>
      </c>
      <c r="FF110" s="535">
        <f t="shared" si="286"/>
        <v>0</v>
      </c>
      <c r="FG110" s="535">
        <f t="shared" si="287"/>
        <v>0</v>
      </c>
      <c r="FH110" s="624">
        <f t="shared" si="288"/>
        <v>0</v>
      </c>
      <c r="FI110" s="632">
        <f>IF(AX110,VLOOKUP(CALC!B110,MAIN!$H$17:$K$20,4),0)</f>
        <v>0</v>
      </c>
      <c r="FJ110" s="535">
        <f t="shared" si="289"/>
        <v>0</v>
      </c>
      <c r="FK110" s="648">
        <f t="shared" si="335"/>
        <v>0</v>
      </c>
      <c r="FL110" s="530">
        <f t="shared" ca="1" si="215"/>
        <v>0</v>
      </c>
      <c r="FM110" s="530">
        <f t="shared" ca="1" si="216"/>
        <v>0</v>
      </c>
      <c r="FN110" s="530">
        <f t="shared" ca="1" si="217"/>
        <v>0</v>
      </c>
      <c r="FO110" s="622">
        <f t="shared" ca="1" si="218"/>
        <v>0</v>
      </c>
      <c r="FP110" s="530">
        <f t="shared" ca="1" si="219"/>
        <v>0</v>
      </c>
      <c r="FQ110" s="530">
        <f t="shared" ca="1" si="220"/>
        <v>0</v>
      </c>
      <c r="FR110" s="530">
        <f t="shared" ca="1" si="221"/>
        <v>0</v>
      </c>
      <c r="FS110" s="625">
        <f t="shared" ca="1" si="222"/>
        <v>0</v>
      </c>
      <c r="FT110" s="640">
        <f ca="1">IF(AND(Assumptions!$H$71="Yes",A110&gt;=Assumptions!$H$72,A110&lt;=Assumptions!$H$73),0,IF(AND($A110&gt;=Assumptions!$C$17,$A110&lt;=Assumptions!$C$18),MAX(AZ110*(1+VLOOKUP($C110,WeatherCapacityAdjustment,2))-FL110,0),0))</f>
        <v>48888</v>
      </c>
      <c r="FU110" s="530">
        <f ca="1">IF(AND(Assumptions!$H$71="Yes",A110&gt;=Assumptions!$H$72,A110&lt;=Assumptions!$H$73),0,IF(AND($A110&gt;=Assumptions!$C$17,$A110&lt;=Assumptions!$C$18),MAX(BA110*(1+VLOOKUP($C110,WeatherCapacityAdjustment,2))-FM110,0),0))</f>
        <v>9312</v>
      </c>
      <c r="FV110" s="530">
        <f ca="1">IF(AND(Assumptions!$H$71="Yes",A110&gt;=Assumptions!$H$72,A110&lt;=Assumptions!$H$73),0,IF(AND($A110&gt;=Assumptions!$C$17,$A110&lt;=Assumptions!$C$18),MAX(BB110*(1+VLOOKUP($C110,WeatherCapacityAdjustment,2))-FN110,0),0))</f>
        <v>9312</v>
      </c>
      <c r="FW110" s="622">
        <f ca="1">IF(AND(Assumptions!$H$71="Yes",A110&gt;=Assumptions!$H$72,A110&lt;=Assumptions!$H$73),0,IF(AND($A110&gt;=Assumptions!$C$17,$A110&lt;=Assumptions!$C$18),MAX(BC110*(1+VLOOKUP($C110,WeatherCapacityAdjustment,3))-FO110,0),0))</f>
        <v>33756</v>
      </c>
      <c r="FX110" s="621">
        <f ca="1">IF(AND(Assumptions!$H$71="Yes",A110&gt;=Assumptions!$H$72,A110&lt;=Assumptions!$H$73),0,IF(ET110&gt;0,MAX(BH110*(1+VLOOKUP($C110,WeatherCapacityAdjustment,2))-FP110,0),0))</f>
        <v>195552</v>
      </c>
      <c r="FY110" s="530">
        <f ca="1">IF(AND(Assumptions!$H$71="Yes",A110&gt;=Assumptions!$H$72,A110&lt;=Assumptions!$H$73),0,IF(EU110&gt;0,MAX(BI110*(1+VLOOKUP($C110,WeatherCapacityAdjustment,3))-FQ110,0),0))</f>
        <v>37248</v>
      </c>
      <c r="FZ110" s="530">
        <f ca="1">IF(AND(Assumptions!$H$71="Yes",A110&gt;=Assumptions!$H$72,A110&lt;=Assumptions!$H$73),0,IF(EV110&gt;0,MAX(BJ110*(1+VLOOKUP($C110,WeatherCapacityAdjustment,2))-FR110,0),0))</f>
        <v>37248</v>
      </c>
      <c r="GA110" s="622">
        <f ca="1">IF(AND(Assumptions!$H$71="Yes",A110&gt;=Assumptions!$H$72,A110&lt;=Assumptions!$H$73),0,IF(EW110&gt;0,MAX(BK110*(1+VLOOKUP($C110,WeatherCapacityAdjustment,2))-FS110,0),0))</f>
        <v>135024</v>
      </c>
      <c r="GB110" s="530">
        <f t="shared" ca="1" si="290"/>
        <v>506340</v>
      </c>
      <c r="GC110" s="545">
        <f t="shared" ca="1" si="291"/>
        <v>34.534149782889003</v>
      </c>
      <c r="GD110" s="530">
        <f t="shared" ca="1" si="223"/>
        <v>17486021.401068017</v>
      </c>
      <c r="GE110" s="1485">
        <f t="shared" ca="1" si="224"/>
        <v>723493.02312000003</v>
      </c>
      <c r="GF110" s="1776">
        <f t="shared" ca="1" si="225"/>
        <v>2893972.0924800001</v>
      </c>
      <c r="GG110" s="545">
        <f t="shared" si="190"/>
        <v>2.8427899890001815</v>
      </c>
      <c r="GH110" s="622">
        <f t="shared" ca="1" si="191"/>
        <v>10283693.616185065</v>
      </c>
      <c r="GI110" s="621">
        <f t="shared" ca="1" si="336"/>
        <v>506340</v>
      </c>
      <c r="GJ110" s="638">
        <f t="shared" si="292"/>
        <v>1.9873454457599999</v>
      </c>
      <c r="GK110" s="625">
        <f t="shared" ca="1" si="342"/>
        <v>1006272.4930061183</v>
      </c>
      <c r="GL110" s="640">
        <f t="shared" ca="1" si="226"/>
        <v>0</v>
      </c>
      <c r="GM110" s="530">
        <f t="shared" ca="1" si="227"/>
        <v>0</v>
      </c>
      <c r="GN110" s="530">
        <f t="shared" ca="1" si="228"/>
        <v>0</v>
      </c>
      <c r="GO110" s="622">
        <f t="shared" ca="1" si="229"/>
        <v>0</v>
      </c>
      <c r="GP110" s="530">
        <f t="shared" ca="1" si="293"/>
        <v>0</v>
      </c>
      <c r="GQ110" s="545">
        <f t="shared" ca="1" si="294"/>
        <v>0</v>
      </c>
      <c r="GR110" s="625">
        <f t="shared" ca="1" si="230"/>
        <v>0</v>
      </c>
      <c r="GS110" s="640">
        <f>IF($A110&gt;=BegDate,Assumptions!$C$56*24*($A111-$A110)*(1-VLOOKUP($B110,MAIN!$AA$7:$AM$28,$C110+1))*(1-VLOOKUP($B110,MAIN!$AA$33:$AM$54,$C110+1)),0)*80/168</f>
        <v>241114.28571428571</v>
      </c>
      <c r="GT110" s="1715">
        <f t="shared" si="337"/>
        <v>42.325492143078243</v>
      </c>
      <c r="GU110" s="1715">
        <f>IF($A110&gt;=BegDate,VLOOKUP($A110,GasTable,13)+Assumptions!$C$58,0)</f>
        <v>2.8427899890001815</v>
      </c>
      <c r="GV110" s="1715">
        <f>GU110*Assumptions!$C$57/1000</f>
        <v>20.610227420251313</v>
      </c>
      <c r="GW110" s="625">
        <f>IF(Assumptions!$C$60="Hourly",MAX(0,GS110*(GT110-GV110)),GS110*(GT110-GV110))</f>
        <v>5235860.5427410416</v>
      </c>
      <c r="GX110" s="640">
        <f>IF($A110&gt;=BegDate,Assumptions!$C$56*24*($A111-$A110)*(1-VLOOKUP($B110,MAIN!$AA$7:$AM$28,$C110+1))*(1-VLOOKUP($B110,MAIN!$AA$33:$AM$54,$C110+1)),0)*16/168</f>
        <v>48222.857142857145</v>
      </c>
      <c r="GY110" s="1715">
        <f t="shared" si="338"/>
        <v>42.325492143078243</v>
      </c>
      <c r="GZ110" s="1715">
        <f>IF($A110&gt;=BegDate,VLOOKUP($A110,GasTable,13)+Assumptions!$C$58,0)</f>
        <v>2.8427899890001815</v>
      </c>
      <c r="HA110" s="1715">
        <f>GZ110*Assumptions!$C$57/1000</f>
        <v>20.610227420251313</v>
      </c>
      <c r="HB110" s="625">
        <f>IF(Assumptions!$C$60="Hourly",MAX(0,GX110*(GY110-HA110)),GX110*(GY110-HA110))</f>
        <v>1047172.1085482084</v>
      </c>
      <c r="HC110" s="640">
        <f>IF($A110&gt;=BegDate,Assumptions!$C$56*24*($A111-$A110)*(1-VLOOKUP($B110,MAIN!$AA$7:$AM$28,$C110+1))*(1-VLOOKUP($B110,MAIN!$AA$33:$AM$54,$C110+1)),0)*16/168</f>
        <v>48222.857142857145</v>
      </c>
      <c r="HD110" s="1715">
        <f t="shared" si="339"/>
        <v>24.005308895788716</v>
      </c>
      <c r="HE110" s="1715">
        <f>IF($A110&gt;=BegDate,VLOOKUP($A110,GasTable,13)+Assumptions!$C$58,0)</f>
        <v>2.8427899890001815</v>
      </c>
      <c r="HF110" s="1715">
        <f>HE110*Assumptions!$C$57/1000</f>
        <v>20.610227420251313</v>
      </c>
      <c r="HG110" s="625">
        <f>IF(Assumptions!$C$60="Hourly",MAX(0,HC110*(HD110-HF110)),HC110*(HD110-HF110))</f>
        <v>163720.52898320081</v>
      </c>
      <c r="HH110" s="640">
        <f>IF($A110&gt;=BegDate,Assumptions!$C$56*24*($A111-$A110)*(1-VLOOKUP($B110,MAIN!$AA$7:$AM$28,$C110+1))*(1-VLOOKUP($B110,MAIN!$AA$33:$AM$54,$C110+1)),0)*56/168</f>
        <v>168780</v>
      </c>
      <c r="HI110" s="1715">
        <f t="shared" si="340"/>
        <v>24.005308895788716</v>
      </c>
      <c r="HJ110" s="1715">
        <f>IF($A110&gt;=BegDate,VLOOKUP($A110,GasTable,13)+Assumptions!$C$58,0)</f>
        <v>2.8427899890001815</v>
      </c>
      <c r="HK110" s="1715">
        <f>HJ110*Assumptions!$C$57/1000</f>
        <v>20.610227420251313</v>
      </c>
      <c r="HL110" s="625">
        <f>IF(Assumptions!$C$60="Hourly",MAX(0,HH110*(HI110-HK110)),HH110*(HI110-HK110))</f>
        <v>573021.8514412028</v>
      </c>
      <c r="HM110" s="640">
        <f>IF(AND(Assumptions!$H$71="Yes",A110&gt;=Assumptions!$H$72,A110&lt;=Assumptions!$H$73),Assumptions!$H$74*Assumptions!$C$9*1000,0)</f>
        <v>0</v>
      </c>
      <c r="HN110" s="530"/>
      <c r="HO110" s="545"/>
      <c r="HP110" s="545"/>
      <c r="HQ110" s="545"/>
      <c r="HR110" s="545"/>
      <c r="HS110" s="545"/>
      <c r="HT110" s="545"/>
      <c r="HU110" s="545"/>
      <c r="HV110" s="545"/>
      <c r="HW110" s="545"/>
      <c r="HX110" s="545"/>
      <c r="HY110" s="545"/>
      <c r="HZ110" s="545"/>
      <c r="IA110" s="545"/>
      <c r="IB110" s="545"/>
      <c r="IC110" s="545"/>
      <c r="ID110" s="545"/>
      <c r="IE110" s="545"/>
      <c r="IF110" s="545"/>
      <c r="IG110" s="545"/>
      <c r="IH110" s="545"/>
      <c r="II110" s="1464"/>
      <c r="IJ110" s="1463"/>
      <c r="IK110" s="1463"/>
    </row>
    <row r="111" spans="1:245">
      <c r="A111" s="177">
        <f t="shared" si="295"/>
        <v>39508</v>
      </c>
      <c r="B111" s="349">
        <f t="shared" si="296"/>
        <v>2008</v>
      </c>
      <c r="C111" s="15">
        <f t="shared" si="344"/>
        <v>3</v>
      </c>
      <c r="D111" s="612" t="str">
        <f t="shared" si="297"/>
        <v/>
      </c>
      <c r="E111" s="609">
        <f t="shared" si="345"/>
        <v>39508</v>
      </c>
      <c r="F111" s="614">
        <f t="shared" si="346"/>
        <v>39538</v>
      </c>
      <c r="G111" s="1349">
        <v>0</v>
      </c>
      <c r="H111" s="152">
        <f t="shared" si="341"/>
        <v>1</v>
      </c>
      <c r="I111" s="154">
        <f>IF(Assumptions!$L$25=4,VLOOKUP($A111,'Henwood Reference'!$E$9:$R$320,10),(VLOOKUP($A111,PriceTable,2,0)+IF(BasisNumber&lt;&gt;1,VLOOKUP($A111,BasisTable,2,0),0)+I$1)/(1-I$2))</f>
        <v>36.592328459957955</v>
      </c>
      <c r="J111" s="154">
        <f>IF(Assumptions!$L$25=4,VLOOKUP($A111,'Henwood Reference'!$E$9:$R$320,10),(VLOOKUP($A111,PriceTable,3,0)+IF(BasisNumber&lt;&gt;1,VLOOKUP($A111,BasisTable,2,0),0)+J$1)/(1-J$2))</f>
        <v>36.592328459957955</v>
      </c>
      <c r="K111" s="154">
        <f>IF(Assumptions!$L$25=4,VLOOKUP($A111,'Henwood Reference'!$E$9:$R$320,10),(VLOOKUP($A111,PriceTable,4,0)+IF(BasisNumber&lt;&gt;1,VLOOKUP($A111,BasisTable,2,0),0)+K$1)/(1-K$2))</f>
        <v>36.592328459957955</v>
      </c>
      <c r="L111" s="474">
        <f>IF(Assumptions!$L$25=4,VLOOKUP($A111,'Henwood Reference'!$E$9:$R$320,10),(VLOOKUP($A111,PriceTableWeekend,2,0)+IF(BasisNumber&lt;&gt;1,VLOOKUP($A111,BasisTable,2,0),0)+L$1)/(1-L$2))</f>
        <v>36.592328459957955</v>
      </c>
      <c r="M111" s="154">
        <f>IF(Assumptions!$L$25=4,VLOOKUP($A111,'Henwood Reference'!$E$9:$R$320,10),(VLOOKUP($A111,PriceTableWeekend,3,0)+IF(BasisNumber&lt;&gt;1,VLOOKUP($A111,BasisTable,2,0),0)+M$1)/(1-M$2))</f>
        <v>36.592328459957955</v>
      </c>
      <c r="N111" s="156">
        <f>IF(Assumptions!$L$25=4,VLOOKUP($A111,'Henwood Reference'!$E$9:$R$320,10),(VLOOKUP($A111,PriceTableWeekend,4,0)+IF(BasisNumber&lt;&gt;1,VLOOKUP($A111,BasisTable,2,0),0)+N$1)/(1-N$2))</f>
        <v>36.592328459957955</v>
      </c>
      <c r="O111" s="154">
        <f>IF(Assumptions!$L$25=4,VLOOKUP($A111,'Henwood Reference'!$E$9:$R$320,11),(VLOOKUP($A111,PriceTableWeekend,6,0)+IF(BasisNumber&lt;&gt;1,VLOOKUP($A111,BasisTable,3,0),0)+O$1)/(1-O$2))</f>
        <v>23.314732856625984</v>
      </c>
      <c r="P111" s="154">
        <f>IF(Assumptions!$L$25=4,VLOOKUP($A111,'Henwood Reference'!$E$9:$R$320,11),(VLOOKUP($A111,PriceTableWeekend,7,0)+IF(BasisNumber&lt;&gt;1,VLOOKUP($A111,BasisTable,3,0),0)+P$1)/(1-P$2))</f>
        <v>23.314732856625984</v>
      </c>
      <c r="Q111" s="156">
        <f>IF(Assumptions!$L$25=4,VLOOKUP($A111,'Henwood Reference'!$E$9:$R$320,11),(VLOOKUP($A111,PriceTableWeekend,8,0)+IF(BasisNumber&lt;&gt;1,VLOOKUP($A111,BasisTable,3,0),0)+Q$1)/(1-Q$2))</f>
        <v>23.314732856625984</v>
      </c>
      <c r="R111" s="154">
        <f>IF(Assumptions!$L$25=4,VLOOKUP($A111,'Henwood Reference'!$E$9:$R$320,11),(VLOOKUP($A111,PriceTable,6,0)+IF(BasisNumber&lt;&gt;1,VLOOKUP($A111,BasisTable,3,0),0)+R$1)/(1-R$2))</f>
        <v>23.314732856625984</v>
      </c>
      <c r="S111" s="154">
        <f>IF(Assumptions!$L$25=4,VLOOKUP($A111,'Henwood Reference'!$E$9:$R$320,11),(VLOOKUP($A111,PriceTable,7,0)+IF(BasisNumber&lt;&gt;1,VLOOKUP($A111,BasisTable,3,0),0)+S$1)/(1-S$2))</f>
        <v>23.314732856625984</v>
      </c>
      <c r="T111" s="155">
        <f>IF(Assumptions!$L$25=4,VLOOKUP($A111,'Henwood Reference'!$E$9:$R$320,11),(VLOOKUP($A111,PriceTable,8,0)+IF(BasisNumber&lt;&gt;1,VLOOKUP($A111,BasisTable,3,0),0)+T$1)/(1-T$2))</f>
        <v>23.314732856625984</v>
      </c>
      <c r="U111" s="173">
        <f t="shared" si="298"/>
        <v>0.13</v>
      </c>
      <c r="V111" s="173">
        <f t="shared" si="299"/>
        <v>0.14000000000000001</v>
      </c>
      <c r="W111" s="174">
        <f t="shared" si="300"/>
        <v>0.15</v>
      </c>
      <c r="X111" s="173">
        <f t="shared" si="301"/>
        <v>0.13</v>
      </c>
      <c r="Y111" s="173">
        <f t="shared" si="302"/>
        <v>0.14000000000000001</v>
      </c>
      <c r="Z111" s="174">
        <f t="shared" si="303"/>
        <v>0.15</v>
      </c>
      <c r="AA111" s="173">
        <f t="shared" si="304"/>
        <v>0.09</v>
      </c>
      <c r="AB111" s="173">
        <f t="shared" si="305"/>
        <v>0.11</v>
      </c>
      <c r="AC111" s="174">
        <f t="shared" si="306"/>
        <v>0.13</v>
      </c>
      <c r="AD111" s="173">
        <f t="shared" si="307"/>
        <v>0.09</v>
      </c>
      <c r="AE111" s="173">
        <f t="shared" si="308"/>
        <v>0.11</v>
      </c>
      <c r="AF111" s="174">
        <f t="shared" si="309"/>
        <v>0.13</v>
      </c>
      <c r="AG111" s="173">
        <f t="shared" si="310"/>
        <v>-0.1</v>
      </c>
      <c r="AH111" s="173">
        <f t="shared" si="311"/>
        <v>0.65</v>
      </c>
      <c r="AI111" s="174">
        <f t="shared" si="312"/>
        <v>0.1</v>
      </c>
      <c r="AJ111" s="173">
        <f t="shared" si="313"/>
        <v>-0.1</v>
      </c>
      <c r="AK111" s="173">
        <f t="shared" si="314"/>
        <v>0.65</v>
      </c>
      <c r="AL111" s="174">
        <f t="shared" si="315"/>
        <v>0.1</v>
      </c>
      <c r="AM111" s="173">
        <f t="shared" si="316"/>
        <v>-0.01</v>
      </c>
      <c r="AN111" s="173">
        <f t="shared" si="317"/>
        <v>0.16</v>
      </c>
      <c r="AO111" s="174">
        <f t="shared" si="318"/>
        <v>0.01</v>
      </c>
      <c r="AP111" s="173">
        <f t="shared" si="319"/>
        <v>-0.01</v>
      </c>
      <c r="AQ111" s="173">
        <f t="shared" si="320"/>
        <v>0.16</v>
      </c>
      <c r="AR111" s="175">
        <f t="shared" si="321"/>
        <v>0.01</v>
      </c>
      <c r="AS111" s="521">
        <f t="shared" si="349"/>
        <v>0.5</v>
      </c>
      <c r="AT111" s="349">
        <f t="shared" si="347"/>
        <v>21</v>
      </c>
      <c r="AU111" s="159">
        <f t="shared" si="240"/>
        <v>5</v>
      </c>
      <c r="AV111" s="159">
        <f t="shared" si="241"/>
        <v>5</v>
      </c>
      <c r="AW111" s="159">
        <f t="shared" si="350"/>
        <v>0</v>
      </c>
      <c r="AX111" s="15">
        <f t="shared" si="348"/>
        <v>31</v>
      </c>
      <c r="AY111" s="607">
        <f>IF(E111="",0,MIN((1-(1-VLOOKUP(B111,MAIN!$AA$7:$AM$28,C111+1))*(1-VLOOKUP(B111,MAIN!$AA$33:$AM$54,C111+1))),1))</f>
        <v>3.0000000000000027E-2</v>
      </c>
      <c r="AZ111" s="337">
        <v>48888</v>
      </c>
      <c r="BA111" s="509">
        <v>11640</v>
      </c>
      <c r="BB111" s="509">
        <v>11640</v>
      </c>
      <c r="BC111" s="511">
        <v>36084</v>
      </c>
      <c r="BD111" s="153">
        <v>0.96999999638646839</v>
      </c>
      <c r="BE111" s="474">
        <v>0.96999999638646839</v>
      </c>
      <c r="BF111" s="474">
        <v>0.96999999638646839</v>
      </c>
      <c r="BG111" s="515">
        <v>0.97000000722706314</v>
      </c>
      <c r="BH111" s="262">
        <v>195552</v>
      </c>
      <c r="BI111" s="509">
        <v>46560</v>
      </c>
      <c r="BJ111" s="509">
        <v>46560</v>
      </c>
      <c r="BK111" s="511">
        <v>144336</v>
      </c>
      <c r="BL111" s="153">
        <v>0.96999999638646839</v>
      </c>
      <c r="BM111" s="474">
        <v>0.96999999638646839</v>
      </c>
      <c r="BN111" s="474">
        <v>0.96999999638646839</v>
      </c>
      <c r="BO111" s="474">
        <v>0.97000000722706314</v>
      </c>
      <c r="BP111" s="261">
        <f t="shared" si="324"/>
        <v>72168</v>
      </c>
      <c r="BQ111" s="578">
        <f t="shared" si="325"/>
        <v>108252</v>
      </c>
      <c r="BR111" s="259">
        <f t="shared" si="326"/>
        <v>288672</v>
      </c>
      <c r="BS111" s="578">
        <f t="shared" si="327"/>
        <v>433008</v>
      </c>
      <c r="BT111" s="216">
        <f t="shared" si="328"/>
        <v>7.8795345653661872</v>
      </c>
      <c r="BU111" s="218">
        <f t="shared" si="243"/>
        <v>36.592328323640906</v>
      </c>
      <c r="BV111" s="216">
        <f t="shared" si="244"/>
        <v>36.592328323640906</v>
      </c>
      <c r="BW111" s="216">
        <f t="shared" si="245"/>
        <v>23.314732769771833</v>
      </c>
      <c r="BX111" s="216">
        <f t="shared" si="329"/>
        <v>23.314733030334278</v>
      </c>
      <c r="BY111" s="216">
        <f t="shared" si="246"/>
        <v>34.450780653662022</v>
      </c>
      <c r="BZ111" s="216">
        <f t="shared" si="247"/>
        <v>30.738764779219437</v>
      </c>
      <c r="CA111" s="264">
        <f t="shared" si="248"/>
        <v>36.592328323640906</v>
      </c>
      <c r="CB111" s="216">
        <f t="shared" si="249"/>
        <v>36.592328323640906</v>
      </c>
      <c r="CC111" s="216">
        <f t="shared" si="250"/>
        <v>23.314732769771833</v>
      </c>
      <c r="CD111" s="216">
        <f t="shared" si="330"/>
        <v>23.314733030334278</v>
      </c>
      <c r="CE111" s="216">
        <f t="shared" si="251"/>
        <v>34.450780653662022</v>
      </c>
      <c r="CF111" s="571">
        <f t="shared" si="252"/>
        <v>30.738764779219437</v>
      </c>
      <c r="CG111" s="573">
        <f t="shared" si="253"/>
        <v>0.14000000000000001</v>
      </c>
      <c r="CH111" s="219">
        <f t="shared" si="254"/>
        <v>0.14000000000000001</v>
      </c>
      <c r="CI111" s="219">
        <f t="shared" si="255"/>
        <v>0.11</v>
      </c>
      <c r="CJ111" s="219">
        <f t="shared" si="256"/>
        <v>0.1367722548339077</v>
      </c>
      <c r="CK111" s="219">
        <f t="shared" si="257"/>
        <v>0.1367722548339077</v>
      </c>
      <c r="CL111" s="219">
        <f t="shared" si="258"/>
        <v>0.11</v>
      </c>
      <c r="CM111" s="219">
        <f t="shared" si="259"/>
        <v>0.11903936490037487</v>
      </c>
      <c r="CN111" s="569">
        <f t="shared" si="260"/>
        <v>0.11903936490037487</v>
      </c>
      <c r="CO111" s="264">
        <f t="shared" si="343"/>
        <v>19.198297816928086</v>
      </c>
      <c r="CP111" s="216">
        <f t="shared" si="331"/>
        <v>19.198297816928086</v>
      </c>
      <c r="CQ111" s="216">
        <f t="shared" ca="1" si="192"/>
        <v>19.198297816928086</v>
      </c>
      <c r="CR111" s="216">
        <f t="shared" ca="1" si="193"/>
        <v>19.198297816928086</v>
      </c>
      <c r="CS111" s="1626">
        <f t="shared" ca="1" si="194"/>
        <v>19.198297816928086</v>
      </c>
      <c r="CT111" s="216">
        <f t="shared" si="332"/>
        <v>19.198297816928086</v>
      </c>
      <c r="CU111" s="575">
        <f t="shared" si="261"/>
        <v>0.16</v>
      </c>
      <c r="CV111" s="154">
        <f t="shared" si="262"/>
        <v>0.5</v>
      </c>
      <c r="CW111" s="216">
        <f>IF(OR($BQ111,$BS111),SpreadOptPowerMargin,0)*((1+Assumptions!$C$26)^($B111-YEAR(Assumptions!$C$17)))</f>
        <v>1.9873454457600002</v>
      </c>
      <c r="CX111" s="216">
        <f>IF(OR($BQ111,$BS111),SpreadOptPowerMargin,0)*((1+Assumptions!$C$26)^($B111-YEAR(Assumptions!$C$17)))</f>
        <v>1.9873454457600002</v>
      </c>
      <c r="CY111" s="216">
        <f>IF(OR($BQ111,$BS111),SpreadOptPowerMargin,0)*((1+Assumptions!$C$26)^($B111-YEAR(Assumptions!$C$17)))</f>
        <v>1.9873454457600002</v>
      </c>
      <c r="CZ111" s="216">
        <f>IF(OR($BQ111,$BS111),SpreadOptPowerMargin,0)*((1+Assumptions!$C$26)^($B111-YEAR(Assumptions!$C$17)))</f>
        <v>1.9873454457600002</v>
      </c>
      <c r="DA111" s="440">
        <f t="shared" si="263"/>
        <v>1.9873454457600006</v>
      </c>
      <c r="DB111" s="479">
        <f t="shared" si="264"/>
        <v>0.14000000000000001</v>
      </c>
      <c r="DC111" s="479">
        <f t="shared" si="265"/>
        <v>0.14000000000000001</v>
      </c>
      <c r="DD111" s="479">
        <f t="shared" si="266"/>
        <v>0.11</v>
      </c>
      <c r="DE111" s="479">
        <f t="shared" si="267"/>
        <v>0.11</v>
      </c>
      <c r="DF111" s="479">
        <f t="shared" si="268"/>
        <v>0.11903936490037487</v>
      </c>
      <c r="DG111" s="574">
        <f t="shared" si="269"/>
        <v>0.11903936490037487</v>
      </c>
      <c r="DH111" s="216">
        <f t="shared" si="270"/>
        <v>15.853185483870631</v>
      </c>
      <c r="DI111" s="216">
        <f t="shared" si="271"/>
        <v>15.853185483870631</v>
      </c>
      <c r="DJ111" s="216">
        <f t="shared" ca="1" si="195"/>
        <v>4.4255829472717299</v>
      </c>
      <c r="DK111" s="216">
        <f t="shared" ca="1" si="196"/>
        <v>4.4255831232454597</v>
      </c>
      <c r="DL111" s="216">
        <f t="shared" ca="1" si="197"/>
        <v>10.376632984001423</v>
      </c>
      <c r="DM111" s="216"/>
      <c r="DN111" s="216"/>
      <c r="DO111" s="216"/>
      <c r="DP111" s="216"/>
      <c r="DQ111" s="216"/>
      <c r="DR111" s="216"/>
      <c r="DS111" s="216"/>
      <c r="DT111" s="216"/>
      <c r="DU111" s="216"/>
      <c r="DV111" s="216"/>
      <c r="DW111" s="1371">
        <f t="shared" si="272"/>
        <v>4.4255829472717299</v>
      </c>
      <c r="DX111" s="216">
        <f t="shared" si="273"/>
        <v>4.4255831232454597</v>
      </c>
      <c r="DY111" s="440">
        <f t="shared" si="274"/>
        <v>10.815210230694616</v>
      </c>
      <c r="DZ111" s="180">
        <f t="shared" si="275"/>
        <v>775030.53193546738</v>
      </c>
      <c r="EA111" s="180">
        <f t="shared" si="276"/>
        <v>184531.07903225414</v>
      </c>
      <c r="EB111" s="180">
        <f t="shared" ca="1" si="198"/>
        <v>51513.785506242937</v>
      </c>
      <c r="EC111" s="180">
        <f t="shared" ca="1" si="199"/>
        <v>159692.74141918917</v>
      </c>
      <c r="ED111" s="180">
        <f t="shared" ca="1" si="200"/>
        <v>1123291.273784122</v>
      </c>
      <c r="EE111" s="581">
        <f t="shared" si="277"/>
        <v>753202.01925986155</v>
      </c>
      <c r="EF111" s="554">
        <f t="shared" si="278"/>
        <v>179333.81410949084</v>
      </c>
      <c r="EG111" s="554">
        <f t="shared" ca="1" si="201"/>
        <v>24782.601862454827</v>
      </c>
      <c r="EH111" s="554">
        <f t="shared" ca="1" si="202"/>
        <v>76826.075175745209</v>
      </c>
      <c r="EI111" s="561">
        <f t="shared" ca="1" si="279"/>
        <v>1034144.5104075519</v>
      </c>
      <c r="EJ111" s="581">
        <f t="shared" si="333"/>
        <v>21828.512675605831</v>
      </c>
      <c r="EK111" s="554">
        <f t="shared" si="334"/>
        <v>5197.2649227633083</v>
      </c>
      <c r="EL111" s="554">
        <f t="shared" ca="1" si="203"/>
        <v>26731.18364378811</v>
      </c>
      <c r="EM111" s="554">
        <f t="shared" ca="1" si="204"/>
        <v>82866.666243443964</v>
      </c>
      <c r="EN111" s="561">
        <f t="shared" ca="1" si="205"/>
        <v>89146.763376570074</v>
      </c>
      <c r="EO111" s="180">
        <f t="shared" si="280"/>
        <v>3100122.1277418695</v>
      </c>
      <c r="EP111" s="180">
        <f t="shared" si="281"/>
        <v>738124.31612901657</v>
      </c>
      <c r="EQ111" s="180">
        <f t="shared" si="282"/>
        <v>206055.14202497175</v>
      </c>
      <c r="ER111" s="180">
        <f t="shared" si="283"/>
        <v>638770.96567675669</v>
      </c>
      <c r="ES111" s="180">
        <f t="shared" si="284"/>
        <v>4683072.5515726143</v>
      </c>
      <c r="ET111" s="1482">
        <f t="shared" ca="1" si="206"/>
        <v>3012808.0770394462</v>
      </c>
      <c r="EU111" s="180">
        <f t="shared" ca="1" si="207"/>
        <v>717335.25643796334</v>
      </c>
      <c r="EV111" s="180">
        <f t="shared" ca="1" si="208"/>
        <v>99130.407449819308</v>
      </c>
      <c r="EW111" s="180">
        <f t="shared" ca="1" si="209"/>
        <v>307304.30070298084</v>
      </c>
      <c r="EX111" s="555">
        <f t="shared" ca="1" si="351"/>
        <v>4136578.0416302094</v>
      </c>
      <c r="EY111" s="180">
        <f t="shared" ca="1" si="210"/>
        <v>87314.050702423323</v>
      </c>
      <c r="EZ111" s="180">
        <f t="shared" ca="1" si="211"/>
        <v>20789.059691053233</v>
      </c>
      <c r="FA111" s="180">
        <f t="shared" ca="1" si="212"/>
        <v>106924.73457515244</v>
      </c>
      <c r="FB111" s="180">
        <f t="shared" ca="1" si="213"/>
        <v>331466.66497377586</v>
      </c>
      <c r="FC111" s="180">
        <f t="shared" ca="1" si="214"/>
        <v>546494.50994240493</v>
      </c>
      <c r="FD111" s="262">
        <f>IF(AX111,IF(VLOOKUP(C111,MAIN!$L$17:$M$28,2)="Yes",VLOOKUP(CALC!B111,MAIN!$H$17:$I$20,2),0),0)</f>
        <v>0</v>
      </c>
      <c r="FE111" s="623">
        <f t="shared" si="285"/>
        <v>0</v>
      </c>
      <c r="FF111" s="535">
        <f t="shared" si="286"/>
        <v>0</v>
      </c>
      <c r="FG111" s="535">
        <f t="shared" si="287"/>
        <v>0</v>
      </c>
      <c r="FH111" s="624">
        <f t="shared" si="288"/>
        <v>0</v>
      </c>
      <c r="FI111" s="632">
        <f>IF(AX111,VLOOKUP(CALC!B111,MAIN!$H$17:$K$20,4),0)</f>
        <v>0</v>
      </c>
      <c r="FJ111" s="535">
        <f t="shared" si="289"/>
        <v>0</v>
      </c>
      <c r="FK111" s="648">
        <f t="shared" si="335"/>
        <v>0</v>
      </c>
      <c r="FL111" s="530">
        <f t="shared" ca="1" si="215"/>
        <v>0</v>
      </c>
      <c r="FM111" s="530">
        <f t="shared" ca="1" si="216"/>
        <v>0</v>
      </c>
      <c r="FN111" s="530">
        <f t="shared" ca="1" si="217"/>
        <v>0</v>
      </c>
      <c r="FO111" s="622">
        <f t="shared" ca="1" si="218"/>
        <v>0</v>
      </c>
      <c r="FP111" s="530">
        <f t="shared" ca="1" si="219"/>
        <v>0</v>
      </c>
      <c r="FQ111" s="530">
        <f t="shared" ca="1" si="220"/>
        <v>0</v>
      </c>
      <c r="FR111" s="530">
        <f t="shared" ca="1" si="221"/>
        <v>0</v>
      </c>
      <c r="FS111" s="625">
        <f t="shared" ca="1" si="222"/>
        <v>0</v>
      </c>
      <c r="FT111" s="640">
        <f ca="1">IF(AND(Assumptions!$H$71="Yes",A111&gt;=Assumptions!$H$72,A111&lt;=Assumptions!$H$73),0,IF(AND($A111&gt;=Assumptions!$C$17,$A111&lt;=Assumptions!$C$18),MAX(AZ111*(1+VLOOKUP($C111,WeatherCapacityAdjustment,2))-FL111,0),0))</f>
        <v>48888</v>
      </c>
      <c r="FU111" s="530">
        <f ca="1">IF(AND(Assumptions!$H$71="Yes",A111&gt;=Assumptions!$H$72,A111&lt;=Assumptions!$H$73),0,IF(AND($A111&gt;=Assumptions!$C$17,$A111&lt;=Assumptions!$C$18),MAX(BA111*(1+VLOOKUP($C111,WeatherCapacityAdjustment,2))-FM111,0),0))</f>
        <v>11640</v>
      </c>
      <c r="FV111" s="530">
        <f ca="1">IF(AND(Assumptions!$H$71="Yes",A111&gt;=Assumptions!$H$72,A111&lt;=Assumptions!$H$73),0,IF(AND($A111&gt;=Assumptions!$C$17,$A111&lt;=Assumptions!$C$18),MAX(BB111*(1+VLOOKUP($C111,WeatherCapacityAdjustment,2))-FN111,0),0))</f>
        <v>11640</v>
      </c>
      <c r="FW111" s="622">
        <f ca="1">IF(AND(Assumptions!$H$71="Yes",A111&gt;=Assumptions!$H$72,A111&lt;=Assumptions!$H$73),0,IF(AND($A111&gt;=Assumptions!$C$17,$A111&lt;=Assumptions!$C$18),MAX(BC111*(1+VLOOKUP($C111,WeatherCapacityAdjustment,3))-FO111,0),0))</f>
        <v>36084</v>
      </c>
      <c r="FX111" s="621">
        <f ca="1">IF(AND(Assumptions!$H$71="Yes",A111&gt;=Assumptions!$H$72,A111&lt;=Assumptions!$H$73),0,IF(ET111&gt;0,MAX(BH111*(1+VLOOKUP($C111,WeatherCapacityAdjustment,2))-FP111,0),0))</f>
        <v>195552</v>
      </c>
      <c r="FY111" s="530">
        <f ca="1">IF(AND(Assumptions!$H$71="Yes",A111&gt;=Assumptions!$H$72,A111&lt;=Assumptions!$H$73),0,IF(EU111&gt;0,MAX(BI111*(1+VLOOKUP($C111,WeatherCapacityAdjustment,3))-FQ111,0),0))</f>
        <v>46560</v>
      </c>
      <c r="FZ111" s="530">
        <f ca="1">IF(AND(Assumptions!$H$71="Yes",A111&gt;=Assumptions!$H$72,A111&lt;=Assumptions!$H$73),0,IF(EV111&gt;0,MAX(BJ111*(1+VLOOKUP($C111,WeatherCapacityAdjustment,2))-FR111,0),0))</f>
        <v>46560</v>
      </c>
      <c r="GA111" s="622">
        <f ca="1">IF(AND(Assumptions!$H$71="Yes",A111&gt;=Assumptions!$H$72,A111&lt;=Assumptions!$H$73),0,IF(EW111&gt;0,MAX(BK111*(1+VLOOKUP($C111,WeatherCapacityAdjustment,2))-FS111,0),0))</f>
        <v>144336</v>
      </c>
      <c r="GB111" s="530">
        <f t="shared" ca="1" si="290"/>
        <v>541260</v>
      </c>
      <c r="GC111" s="545">
        <f t="shared" ca="1" si="291"/>
        <v>30.738764779219437</v>
      </c>
      <c r="GD111" s="530">
        <f t="shared" ca="1" si="223"/>
        <v>16637663.824400313</v>
      </c>
      <c r="GE111" s="1485">
        <f t="shared" ca="1" si="224"/>
        <v>773707.35456000001</v>
      </c>
      <c r="GF111" s="1776">
        <f t="shared" ca="1" si="225"/>
        <v>3094829.41824</v>
      </c>
      <c r="GG111" s="545">
        <f t="shared" si="190"/>
        <v>2.6860984622021364</v>
      </c>
      <c r="GH111" s="622">
        <f t="shared" ca="1" si="191"/>
        <v>10391270.676390495</v>
      </c>
      <c r="GI111" s="621">
        <f t="shared" ca="1" si="336"/>
        <v>541260</v>
      </c>
      <c r="GJ111" s="638">
        <f t="shared" si="292"/>
        <v>1.9873454457600006</v>
      </c>
      <c r="GK111" s="625">
        <f t="shared" ca="1" si="342"/>
        <v>1075670.5959720579</v>
      </c>
      <c r="GL111" s="640">
        <f t="shared" ca="1" si="226"/>
        <v>0</v>
      </c>
      <c r="GM111" s="530">
        <f t="shared" ca="1" si="227"/>
        <v>0</v>
      </c>
      <c r="GN111" s="530">
        <f t="shared" ca="1" si="228"/>
        <v>0</v>
      </c>
      <c r="GO111" s="622">
        <f t="shared" ca="1" si="229"/>
        <v>0</v>
      </c>
      <c r="GP111" s="530">
        <f t="shared" ca="1" si="293"/>
        <v>0</v>
      </c>
      <c r="GQ111" s="545">
        <f t="shared" ca="1" si="294"/>
        <v>0</v>
      </c>
      <c r="GR111" s="625">
        <f t="shared" ca="1" si="230"/>
        <v>0</v>
      </c>
      <c r="GS111" s="640">
        <f>IF($A111&gt;=BegDate,Assumptions!$C$56*24*($A112-$A111)*(1-VLOOKUP($B111,MAIN!$AA$7:$AM$28,$C111+1))*(1-VLOOKUP($B111,MAIN!$AA$33:$AM$54,$C111+1)),0)*80/168</f>
        <v>257742.85714285713</v>
      </c>
      <c r="GT111" s="1715">
        <f t="shared" si="337"/>
        <v>36.592328459957955</v>
      </c>
      <c r="GU111" s="1715">
        <f>IF($A111&gt;=BegDate,VLOOKUP($A111,GasTable,13)+Assumptions!$C$58,0)</f>
        <v>2.6860984622021364</v>
      </c>
      <c r="GV111" s="1715">
        <f>GU111*Assumptions!$C$57/1000</f>
        <v>19.474213850965491</v>
      </c>
      <c r="GW111" s="625">
        <f>IF(Assumptions!$C$60="Hourly",MAX(0,GS111*(GT111-GV111)),GS111*(GT111-GV111))</f>
        <v>4412071.7682206007</v>
      </c>
      <c r="GX111" s="640">
        <f>IF($A111&gt;=BegDate,Assumptions!$C$56*24*($A112-$A111)*(1-VLOOKUP($B111,MAIN!$AA$7:$AM$28,$C111+1))*(1-VLOOKUP($B111,MAIN!$AA$33:$AM$54,$C111+1)),0)*16/168</f>
        <v>51548.571428571428</v>
      </c>
      <c r="GY111" s="1715">
        <f t="shared" si="338"/>
        <v>36.592328459957955</v>
      </c>
      <c r="GZ111" s="1715">
        <f>IF($A111&gt;=BegDate,VLOOKUP($A111,GasTable,13)+Assumptions!$C$58,0)</f>
        <v>2.6860984622021364</v>
      </c>
      <c r="HA111" s="1715">
        <f>GZ111*Assumptions!$C$57/1000</f>
        <v>19.474213850965491</v>
      </c>
      <c r="HB111" s="625">
        <f>IF(Assumptions!$C$60="Hourly",MAX(0,GX111*(GY111-HA111)),GX111*(GY111-HA111))</f>
        <v>882414.35364412004</v>
      </c>
      <c r="HC111" s="640">
        <f>IF($A111&gt;=BegDate,Assumptions!$C$56*24*($A112-$A111)*(1-VLOOKUP($B111,MAIN!$AA$7:$AM$28,$C111+1))*(1-VLOOKUP($B111,MAIN!$AA$33:$AM$54,$C111+1)),0)*16/168</f>
        <v>51548.571428571428</v>
      </c>
      <c r="HD111" s="1715">
        <f t="shared" si="339"/>
        <v>23.314732856625984</v>
      </c>
      <c r="HE111" s="1715">
        <f>IF($A111&gt;=BegDate,VLOOKUP($A111,GasTable,13)+Assumptions!$C$58,0)</f>
        <v>2.6860984622021364</v>
      </c>
      <c r="HF111" s="1715">
        <f>HE111*Assumptions!$C$57/1000</f>
        <v>19.474213850965491</v>
      </c>
      <c r="HG111" s="625">
        <f>IF(Assumptions!$C$60="Hourly",MAX(0,HC111*(HD111-HF111)),HC111*(HD111-HF111))</f>
        <v>197973.26828607603</v>
      </c>
      <c r="HH111" s="640">
        <f>IF($A111&gt;=BegDate,Assumptions!$C$56*24*($A112-$A111)*(1-VLOOKUP($B111,MAIN!$AA$7:$AM$28,$C111+1))*(1-VLOOKUP($B111,MAIN!$AA$33:$AM$54,$C111+1)),0)*56/168</f>
        <v>180420</v>
      </c>
      <c r="HI111" s="1715">
        <f t="shared" si="340"/>
        <v>23.314732856625984</v>
      </c>
      <c r="HJ111" s="1715">
        <f>IF($A111&gt;=BegDate,VLOOKUP($A111,GasTable,13)+Assumptions!$C$58,0)</f>
        <v>2.6860984622021364</v>
      </c>
      <c r="HK111" s="1715">
        <f>HJ111*Assumptions!$C$57/1000</f>
        <v>19.474213850965491</v>
      </c>
      <c r="HL111" s="625">
        <f>IF(Assumptions!$C$60="Hourly",MAX(0,HH111*(HI111-HK111)),HH111*(HI111-HK111))</f>
        <v>692906.43900126615</v>
      </c>
      <c r="HM111" s="640">
        <f>IF(AND(Assumptions!$H$71="Yes",A111&gt;=Assumptions!$H$72,A111&lt;=Assumptions!$H$73),Assumptions!$H$74*Assumptions!$C$9*1000,0)</f>
        <v>0</v>
      </c>
      <c r="HN111" s="530"/>
      <c r="HO111" s="545"/>
      <c r="HP111" s="545"/>
      <c r="HQ111" s="545"/>
      <c r="HR111" s="545"/>
      <c r="HS111" s="545"/>
      <c r="HT111" s="545"/>
      <c r="HU111" s="545"/>
      <c r="HV111" s="545"/>
      <c r="HW111" s="545"/>
      <c r="HX111" s="545"/>
      <c r="HY111" s="545"/>
      <c r="HZ111" s="545"/>
      <c r="IA111" s="545"/>
      <c r="IB111" s="545"/>
      <c r="IC111" s="545"/>
      <c r="ID111" s="545"/>
      <c r="IE111" s="545"/>
      <c r="IF111" s="545"/>
      <c r="IG111" s="545"/>
      <c r="IH111" s="545"/>
      <c r="II111" s="1464"/>
      <c r="IJ111" s="1463"/>
      <c r="IK111" s="1463"/>
    </row>
    <row r="112" spans="1:245">
      <c r="A112" s="177">
        <f t="shared" si="295"/>
        <v>39539</v>
      </c>
      <c r="B112" s="349">
        <f t="shared" si="296"/>
        <v>2008</v>
      </c>
      <c r="C112" s="15">
        <f t="shared" si="344"/>
        <v>4</v>
      </c>
      <c r="D112" s="612" t="str">
        <f t="shared" si="297"/>
        <v/>
      </c>
      <c r="E112" s="609">
        <f t="shared" si="345"/>
        <v>39539</v>
      </c>
      <c r="F112" s="614">
        <f t="shared" si="346"/>
        <v>39568</v>
      </c>
      <c r="G112" s="1349">
        <v>0</v>
      </c>
      <c r="H112" s="152">
        <f t="shared" si="341"/>
        <v>1</v>
      </c>
      <c r="I112" s="154">
        <f>IF(Assumptions!$L$25=4,VLOOKUP($A112,'Henwood Reference'!$E$9:$R$320,10),(VLOOKUP($A112,PriceTable,2,0)+IF(BasisNumber&lt;&gt;1,VLOOKUP($A112,BasisTable,2,0),0)+I$1)/(1-I$2))</f>
        <v>35.212933870703985</v>
      </c>
      <c r="J112" s="154">
        <f>IF(Assumptions!$L$25=4,VLOOKUP($A112,'Henwood Reference'!$E$9:$R$320,10),(VLOOKUP($A112,PriceTable,3,0)+IF(BasisNumber&lt;&gt;1,VLOOKUP($A112,BasisTable,2,0),0)+J$1)/(1-J$2))</f>
        <v>35.212933870703985</v>
      </c>
      <c r="K112" s="154">
        <f>IF(Assumptions!$L$25=4,VLOOKUP($A112,'Henwood Reference'!$E$9:$R$320,10),(VLOOKUP($A112,PriceTable,4,0)+IF(BasisNumber&lt;&gt;1,VLOOKUP($A112,BasisTable,2,0),0)+K$1)/(1-K$2))</f>
        <v>35.212933870703985</v>
      </c>
      <c r="L112" s="474">
        <f>IF(Assumptions!$L$25=4,VLOOKUP($A112,'Henwood Reference'!$E$9:$R$320,10),(VLOOKUP($A112,PriceTableWeekend,2,0)+IF(BasisNumber&lt;&gt;1,VLOOKUP($A112,BasisTable,2,0),0)+L$1)/(1-L$2))</f>
        <v>35.212933870703985</v>
      </c>
      <c r="M112" s="154">
        <f>IF(Assumptions!$L$25=4,VLOOKUP($A112,'Henwood Reference'!$E$9:$R$320,10),(VLOOKUP($A112,PriceTableWeekend,3,0)+IF(BasisNumber&lt;&gt;1,VLOOKUP($A112,BasisTable,2,0),0)+M$1)/(1-M$2))</f>
        <v>35.212933870703985</v>
      </c>
      <c r="N112" s="156">
        <f>IF(Assumptions!$L$25=4,VLOOKUP($A112,'Henwood Reference'!$E$9:$R$320,10),(VLOOKUP($A112,PriceTableWeekend,4,0)+IF(BasisNumber&lt;&gt;1,VLOOKUP($A112,BasisTable,2,0),0)+N$1)/(1-N$2))</f>
        <v>35.212933870703985</v>
      </c>
      <c r="O112" s="154">
        <f>IF(Assumptions!$L$25=4,VLOOKUP($A112,'Henwood Reference'!$E$9:$R$320,11),(VLOOKUP($A112,PriceTableWeekend,6,0)+IF(BasisNumber&lt;&gt;1,VLOOKUP($A112,BasisTable,3,0),0)+O$1)/(1-O$2))</f>
        <v>23.414089572134973</v>
      </c>
      <c r="P112" s="154">
        <f>IF(Assumptions!$L$25=4,VLOOKUP($A112,'Henwood Reference'!$E$9:$R$320,11),(VLOOKUP($A112,PriceTableWeekend,7,0)+IF(BasisNumber&lt;&gt;1,VLOOKUP($A112,BasisTable,3,0),0)+P$1)/(1-P$2))</f>
        <v>23.414089572134973</v>
      </c>
      <c r="Q112" s="156">
        <f>IF(Assumptions!$L$25=4,VLOOKUP($A112,'Henwood Reference'!$E$9:$R$320,11),(VLOOKUP($A112,PriceTableWeekend,8,0)+IF(BasisNumber&lt;&gt;1,VLOOKUP($A112,BasisTable,3,0),0)+Q$1)/(1-Q$2))</f>
        <v>23.414089572134973</v>
      </c>
      <c r="R112" s="154">
        <f>IF(Assumptions!$L$25=4,VLOOKUP($A112,'Henwood Reference'!$E$9:$R$320,11),(VLOOKUP($A112,PriceTable,6,0)+IF(BasisNumber&lt;&gt;1,VLOOKUP($A112,BasisTable,3,0),0)+R$1)/(1-R$2))</f>
        <v>23.414089572134973</v>
      </c>
      <c r="S112" s="154">
        <f>IF(Assumptions!$L$25=4,VLOOKUP($A112,'Henwood Reference'!$E$9:$R$320,11),(VLOOKUP($A112,PriceTable,7,0)+IF(BasisNumber&lt;&gt;1,VLOOKUP($A112,BasisTable,3,0),0)+S$1)/(1-S$2))</f>
        <v>23.414089572134973</v>
      </c>
      <c r="T112" s="155">
        <f>IF(Assumptions!$L$25=4,VLOOKUP($A112,'Henwood Reference'!$E$9:$R$320,11),(VLOOKUP($A112,PriceTable,8,0)+IF(BasisNumber&lt;&gt;1,VLOOKUP($A112,BasisTable,3,0),0)+T$1)/(1-T$2))</f>
        <v>23.414089572134973</v>
      </c>
      <c r="U112" s="173">
        <f t="shared" si="298"/>
        <v>0.13</v>
      </c>
      <c r="V112" s="173">
        <f t="shared" si="299"/>
        <v>0.14000000000000001</v>
      </c>
      <c r="W112" s="174">
        <f t="shared" si="300"/>
        <v>0.15</v>
      </c>
      <c r="X112" s="173">
        <f t="shared" si="301"/>
        <v>0.13</v>
      </c>
      <c r="Y112" s="173">
        <f t="shared" si="302"/>
        <v>0.14000000000000001</v>
      </c>
      <c r="Z112" s="174">
        <f t="shared" si="303"/>
        <v>0.15</v>
      </c>
      <c r="AA112" s="173">
        <f t="shared" si="304"/>
        <v>0.09</v>
      </c>
      <c r="AB112" s="173">
        <f t="shared" si="305"/>
        <v>0.11</v>
      </c>
      <c r="AC112" s="174">
        <f t="shared" si="306"/>
        <v>0.13</v>
      </c>
      <c r="AD112" s="173">
        <f t="shared" si="307"/>
        <v>0.09</v>
      </c>
      <c r="AE112" s="173">
        <f t="shared" si="308"/>
        <v>0.11</v>
      </c>
      <c r="AF112" s="174">
        <f t="shared" si="309"/>
        <v>0.13</v>
      </c>
      <c r="AG112" s="173">
        <f t="shared" si="310"/>
        <v>-0.1</v>
      </c>
      <c r="AH112" s="173">
        <f t="shared" si="311"/>
        <v>0.65</v>
      </c>
      <c r="AI112" s="174">
        <f t="shared" si="312"/>
        <v>0.1</v>
      </c>
      <c r="AJ112" s="173">
        <f t="shared" si="313"/>
        <v>-0.1</v>
      </c>
      <c r="AK112" s="173">
        <f t="shared" si="314"/>
        <v>0.65</v>
      </c>
      <c r="AL112" s="174">
        <f t="shared" si="315"/>
        <v>0.1</v>
      </c>
      <c r="AM112" s="173">
        <f t="shared" si="316"/>
        <v>-0.01</v>
      </c>
      <c r="AN112" s="173">
        <f t="shared" si="317"/>
        <v>0.16</v>
      </c>
      <c r="AO112" s="174">
        <f t="shared" si="318"/>
        <v>0.01</v>
      </c>
      <c r="AP112" s="173">
        <f t="shared" si="319"/>
        <v>-0.01</v>
      </c>
      <c r="AQ112" s="173">
        <f t="shared" si="320"/>
        <v>0.16</v>
      </c>
      <c r="AR112" s="175">
        <f t="shared" si="321"/>
        <v>0.01</v>
      </c>
      <c r="AS112" s="521">
        <f t="shared" si="349"/>
        <v>0.5</v>
      </c>
      <c r="AT112" s="349">
        <f t="shared" si="347"/>
        <v>22</v>
      </c>
      <c r="AU112" s="159">
        <f t="shared" si="240"/>
        <v>4</v>
      </c>
      <c r="AV112" s="159">
        <f t="shared" si="241"/>
        <v>4</v>
      </c>
      <c r="AW112" s="159">
        <f t="shared" si="350"/>
        <v>0</v>
      </c>
      <c r="AX112" s="15">
        <f t="shared" si="348"/>
        <v>30</v>
      </c>
      <c r="AY112" s="607">
        <f>IF(E112="",0,MIN((1-(1-VLOOKUP(B112,MAIN!$AA$7:$AM$28,C112+1))*(1-VLOOKUP(B112,MAIN!$AA$33:$AM$54,C112+1))),1))</f>
        <v>0.127</v>
      </c>
      <c r="AZ112" s="337">
        <v>46094.400000000001</v>
      </c>
      <c r="BA112" s="509">
        <v>8380.7999999999993</v>
      </c>
      <c r="BB112" s="509">
        <v>8380.7999999999993</v>
      </c>
      <c r="BC112" s="511">
        <v>31428</v>
      </c>
      <c r="BD112" s="153">
        <v>0.873</v>
      </c>
      <c r="BE112" s="474">
        <v>0.873</v>
      </c>
      <c r="BF112" s="474">
        <v>0.873</v>
      </c>
      <c r="BG112" s="515">
        <v>0.87300000650435683</v>
      </c>
      <c r="BH112" s="262">
        <v>184377.60000000001</v>
      </c>
      <c r="BI112" s="509">
        <v>33523.199999999997</v>
      </c>
      <c r="BJ112" s="509">
        <v>33523.199999999997</v>
      </c>
      <c r="BK112" s="511">
        <v>125712</v>
      </c>
      <c r="BL112" s="153">
        <v>0.873</v>
      </c>
      <c r="BM112" s="474">
        <v>0.873</v>
      </c>
      <c r="BN112" s="474">
        <v>0.873</v>
      </c>
      <c r="BO112" s="474">
        <v>0.87300000650435683</v>
      </c>
      <c r="BP112" s="261">
        <f t="shared" si="324"/>
        <v>62856</v>
      </c>
      <c r="BQ112" s="578">
        <f t="shared" si="325"/>
        <v>94284</v>
      </c>
      <c r="BR112" s="259">
        <f t="shared" si="326"/>
        <v>251424</v>
      </c>
      <c r="BS112" s="578">
        <f t="shared" si="327"/>
        <v>377136</v>
      </c>
      <c r="BT112" s="216">
        <f t="shared" si="328"/>
        <v>7.9644079397672831</v>
      </c>
      <c r="BU112" s="218">
        <f t="shared" si="243"/>
        <v>35.212933870703985</v>
      </c>
      <c r="BV112" s="216">
        <f t="shared" si="244"/>
        <v>35.212933870703985</v>
      </c>
      <c r="BW112" s="216">
        <f t="shared" si="245"/>
        <v>23.414089572134973</v>
      </c>
      <c r="BX112" s="216">
        <f t="shared" si="329"/>
        <v>23.414089746583535</v>
      </c>
      <c r="BY112" s="216">
        <f t="shared" si="246"/>
        <v>33.639754630894778</v>
      </c>
      <c r="BZ112" s="216">
        <f t="shared" si="247"/>
        <v>30.231199669457695</v>
      </c>
      <c r="CA112" s="264">
        <f t="shared" si="248"/>
        <v>35.212933870703985</v>
      </c>
      <c r="CB112" s="216">
        <f t="shared" si="249"/>
        <v>35.212933870703985</v>
      </c>
      <c r="CC112" s="216">
        <f t="shared" si="250"/>
        <v>23.414089572134973</v>
      </c>
      <c r="CD112" s="216">
        <f t="shared" si="330"/>
        <v>23.414089746583535</v>
      </c>
      <c r="CE112" s="216">
        <f t="shared" si="251"/>
        <v>33.639754630894778</v>
      </c>
      <c r="CF112" s="571">
        <f t="shared" si="252"/>
        <v>30.231199669457695</v>
      </c>
      <c r="CG112" s="573">
        <f t="shared" si="253"/>
        <v>0.14000000000000001</v>
      </c>
      <c r="CH112" s="219">
        <f t="shared" si="254"/>
        <v>0.14000000000000001</v>
      </c>
      <c r="CI112" s="219">
        <f t="shared" si="255"/>
        <v>0.11</v>
      </c>
      <c r="CJ112" s="219">
        <f t="shared" si="256"/>
        <v>0.1372570363814552</v>
      </c>
      <c r="CK112" s="219">
        <f t="shared" si="257"/>
        <v>0.1372570363814552</v>
      </c>
      <c r="CL112" s="219">
        <f t="shared" si="258"/>
        <v>0.11</v>
      </c>
      <c r="CM112" s="219">
        <f t="shared" si="259"/>
        <v>0.11908373261997106</v>
      </c>
      <c r="CN112" s="569">
        <f t="shared" si="260"/>
        <v>0.11908373261997106</v>
      </c>
      <c r="CO112" s="264">
        <f t="shared" si="343"/>
        <v>18.598709957952146</v>
      </c>
      <c r="CP112" s="216">
        <f t="shared" si="331"/>
        <v>18.598709957952146</v>
      </c>
      <c r="CQ112" s="216">
        <f t="shared" ca="1" si="192"/>
        <v>18.598709957952146</v>
      </c>
      <c r="CR112" s="216">
        <f t="shared" ca="1" si="193"/>
        <v>18.598709957952146</v>
      </c>
      <c r="CS112" s="1626">
        <f t="shared" ca="1" si="194"/>
        <v>18.598709957952146</v>
      </c>
      <c r="CT112" s="216">
        <f t="shared" si="332"/>
        <v>18.598709957952146</v>
      </c>
      <c r="CU112" s="575">
        <f t="shared" si="261"/>
        <v>0.16</v>
      </c>
      <c r="CV112" s="154">
        <f t="shared" si="262"/>
        <v>0.5</v>
      </c>
      <c r="CW112" s="216">
        <f>IF(OR($BQ112,$BS112),SpreadOptPowerMargin,0)*((1+Assumptions!$C$26)^($B112-YEAR(Assumptions!$C$17)))</f>
        <v>1.9873454457600002</v>
      </c>
      <c r="CX112" s="216">
        <f>IF(OR($BQ112,$BS112),SpreadOptPowerMargin,0)*((1+Assumptions!$C$26)^($B112-YEAR(Assumptions!$C$17)))</f>
        <v>1.9873454457600002</v>
      </c>
      <c r="CY112" s="216">
        <f>IF(OR($BQ112,$BS112),SpreadOptPowerMargin,0)*((1+Assumptions!$C$26)^($B112-YEAR(Assumptions!$C$17)))</f>
        <v>1.9873454457600002</v>
      </c>
      <c r="CZ112" s="216">
        <f>IF(OR($BQ112,$BS112),SpreadOptPowerMargin,0)*((1+Assumptions!$C$26)^($B112-YEAR(Assumptions!$C$17)))</f>
        <v>1.9873454457600002</v>
      </c>
      <c r="DA112" s="440">
        <f t="shared" si="263"/>
        <v>1.9873454457600002</v>
      </c>
      <c r="DB112" s="479">
        <f t="shared" si="264"/>
        <v>0.14000000000000001</v>
      </c>
      <c r="DC112" s="479">
        <f t="shared" si="265"/>
        <v>0.14000000000000001</v>
      </c>
      <c r="DD112" s="479">
        <f t="shared" si="266"/>
        <v>0.11</v>
      </c>
      <c r="DE112" s="479">
        <f t="shared" si="267"/>
        <v>0.11</v>
      </c>
      <c r="DF112" s="479">
        <f t="shared" si="268"/>
        <v>0.11908373261997106</v>
      </c>
      <c r="DG112" s="574">
        <f t="shared" si="269"/>
        <v>0.11908373261997106</v>
      </c>
      <c r="DH112" s="216">
        <f t="shared" si="270"/>
        <v>15.088376117105906</v>
      </c>
      <c r="DI112" s="216">
        <f t="shared" si="271"/>
        <v>15.088376117105906</v>
      </c>
      <c r="DJ112" s="216">
        <f t="shared" ca="1" si="195"/>
        <v>4.8345308611370523</v>
      </c>
      <c r="DK112" s="216">
        <f t="shared" ca="1" si="196"/>
        <v>4.8345309844161664</v>
      </c>
      <c r="DL112" s="216">
        <f t="shared" ca="1" si="197"/>
        <v>10.41132173259958</v>
      </c>
      <c r="DM112" s="216"/>
      <c r="DN112" s="216"/>
      <c r="DO112" s="216"/>
      <c r="DP112" s="216"/>
      <c r="DQ112" s="216"/>
      <c r="DR112" s="216"/>
      <c r="DS112" s="216"/>
      <c r="DT112" s="216"/>
      <c r="DU112" s="216"/>
      <c r="DV112" s="216"/>
      <c r="DW112" s="1371">
        <f t="shared" si="272"/>
        <v>4.8345308611370523</v>
      </c>
      <c r="DX112" s="216">
        <f t="shared" si="273"/>
        <v>4.8345309844161664</v>
      </c>
      <c r="DY112" s="440">
        <f t="shared" si="274"/>
        <v>10.758974827900984</v>
      </c>
      <c r="DZ112" s="180">
        <f t="shared" si="275"/>
        <v>695489.64409232652</v>
      </c>
      <c r="EA112" s="180">
        <f t="shared" si="276"/>
        <v>126452.66256224117</v>
      </c>
      <c r="EB112" s="180">
        <f t="shared" ca="1" si="198"/>
        <v>40517.236241017403</v>
      </c>
      <c r="EC112" s="180">
        <f t="shared" ca="1" si="199"/>
        <v>151939.63977823127</v>
      </c>
      <c r="ED112" s="180">
        <f t="shared" ca="1" si="200"/>
        <v>981621.05823641876</v>
      </c>
      <c r="EE112" s="581">
        <f t="shared" si="277"/>
        <v>674217.18680890871</v>
      </c>
      <c r="EF112" s="554">
        <f t="shared" si="278"/>
        <v>122584.94305616521</v>
      </c>
      <c r="EG112" s="554">
        <f t="shared" ca="1" si="201"/>
        <v>23701.188758718039</v>
      </c>
      <c r="EH112" s="554">
        <f t="shared" ca="1" si="202"/>
        <v>88879.46332776206</v>
      </c>
      <c r="EI112" s="561">
        <f t="shared" ca="1" si="279"/>
        <v>909382.78195155342</v>
      </c>
      <c r="EJ112" s="581">
        <f t="shared" si="333"/>
        <v>21272.457283417811</v>
      </c>
      <c r="EK112" s="554">
        <f t="shared" si="334"/>
        <v>3867.719506075955</v>
      </c>
      <c r="EL112" s="554">
        <f t="shared" ca="1" si="203"/>
        <v>16816.047482299364</v>
      </c>
      <c r="EM112" s="554">
        <f t="shared" ca="1" si="204"/>
        <v>63060.176450469211</v>
      </c>
      <c r="EN112" s="561">
        <f t="shared" ca="1" si="205"/>
        <v>72238.276284865336</v>
      </c>
      <c r="EO112" s="180">
        <f t="shared" si="280"/>
        <v>2781958.5763693061</v>
      </c>
      <c r="EP112" s="180">
        <f t="shared" si="281"/>
        <v>505810.65024896467</v>
      </c>
      <c r="EQ112" s="180">
        <f t="shared" si="282"/>
        <v>162068.94496406961</v>
      </c>
      <c r="ER112" s="180">
        <f t="shared" si="283"/>
        <v>607758.55911292508</v>
      </c>
      <c r="ES112" s="180">
        <f t="shared" si="284"/>
        <v>4057596.7306952653</v>
      </c>
      <c r="ET112" s="1482">
        <f t="shared" ca="1" si="206"/>
        <v>2696868.7472356348</v>
      </c>
      <c r="EU112" s="180">
        <f t="shared" ca="1" si="207"/>
        <v>490339.77222466085</v>
      </c>
      <c r="EV112" s="180">
        <f t="shared" ca="1" si="208"/>
        <v>94804.755034872156</v>
      </c>
      <c r="EW112" s="180">
        <f t="shared" ca="1" si="209"/>
        <v>355517.85331104824</v>
      </c>
      <c r="EX112" s="555">
        <f t="shared" ca="1" si="351"/>
        <v>3637531.1278062165</v>
      </c>
      <c r="EY112" s="180">
        <f t="shared" ca="1" si="210"/>
        <v>85089.829133671243</v>
      </c>
      <c r="EZ112" s="180">
        <f t="shared" ca="1" si="211"/>
        <v>15470.87802430382</v>
      </c>
      <c r="FA112" s="180">
        <f t="shared" ca="1" si="212"/>
        <v>67264.189929197455</v>
      </c>
      <c r="FB112" s="180">
        <f t="shared" ca="1" si="213"/>
        <v>252240.70580187684</v>
      </c>
      <c r="FC112" s="180">
        <f t="shared" ca="1" si="214"/>
        <v>420065.60288904887</v>
      </c>
      <c r="FD112" s="262">
        <f>IF(AX112,IF(VLOOKUP(C112,MAIN!$L$17:$M$28,2)="Yes",VLOOKUP(CALC!B112,MAIN!$H$17:$I$20,2),0),0)</f>
        <v>0</v>
      </c>
      <c r="FE112" s="623">
        <f t="shared" si="285"/>
        <v>0</v>
      </c>
      <c r="FF112" s="535">
        <f t="shared" si="286"/>
        <v>0</v>
      </c>
      <c r="FG112" s="535">
        <f t="shared" si="287"/>
        <v>0</v>
      </c>
      <c r="FH112" s="624">
        <f t="shared" si="288"/>
        <v>0</v>
      </c>
      <c r="FI112" s="632">
        <f>IF(AX112,VLOOKUP(CALC!B112,MAIN!$H$17:$K$20,4),0)</f>
        <v>0</v>
      </c>
      <c r="FJ112" s="535">
        <f t="shared" si="289"/>
        <v>0</v>
      </c>
      <c r="FK112" s="648">
        <f t="shared" si="335"/>
        <v>0</v>
      </c>
      <c r="FL112" s="530">
        <f t="shared" ca="1" si="215"/>
        <v>0</v>
      </c>
      <c r="FM112" s="530">
        <f t="shared" ca="1" si="216"/>
        <v>0</v>
      </c>
      <c r="FN112" s="530">
        <f t="shared" ca="1" si="217"/>
        <v>0</v>
      </c>
      <c r="FO112" s="622">
        <f t="shared" ca="1" si="218"/>
        <v>0</v>
      </c>
      <c r="FP112" s="530">
        <f t="shared" ca="1" si="219"/>
        <v>0</v>
      </c>
      <c r="FQ112" s="530">
        <f t="shared" ca="1" si="220"/>
        <v>0</v>
      </c>
      <c r="FR112" s="530">
        <f t="shared" ca="1" si="221"/>
        <v>0</v>
      </c>
      <c r="FS112" s="625">
        <f t="shared" ca="1" si="222"/>
        <v>0</v>
      </c>
      <c r="FT112" s="640">
        <f ca="1">IF(AND(Assumptions!$H$71="Yes",A112&gt;=Assumptions!$H$72,A112&lt;=Assumptions!$H$73),0,IF(AND($A112&gt;=Assumptions!$C$17,$A112&lt;=Assumptions!$C$18),MAX(AZ112*(1+VLOOKUP($C112,WeatherCapacityAdjustment,2))-FL112,0),0))</f>
        <v>46094.400000000001</v>
      </c>
      <c r="FU112" s="530">
        <f ca="1">IF(AND(Assumptions!$H$71="Yes",A112&gt;=Assumptions!$H$72,A112&lt;=Assumptions!$H$73),0,IF(AND($A112&gt;=Assumptions!$C$17,$A112&lt;=Assumptions!$C$18),MAX(BA112*(1+VLOOKUP($C112,WeatherCapacityAdjustment,2))-FM112,0),0))</f>
        <v>8380.7999999999993</v>
      </c>
      <c r="FV112" s="530">
        <f ca="1">IF(AND(Assumptions!$H$71="Yes",A112&gt;=Assumptions!$H$72,A112&lt;=Assumptions!$H$73),0,IF(AND($A112&gt;=Assumptions!$C$17,$A112&lt;=Assumptions!$C$18),MAX(BB112*(1+VLOOKUP($C112,WeatherCapacityAdjustment,2))-FN112,0),0))</f>
        <v>8380.7999999999993</v>
      </c>
      <c r="FW112" s="622">
        <f ca="1">IF(AND(Assumptions!$H$71="Yes",A112&gt;=Assumptions!$H$72,A112&lt;=Assumptions!$H$73),0,IF(AND($A112&gt;=Assumptions!$C$17,$A112&lt;=Assumptions!$C$18),MAX(BC112*(1+VLOOKUP($C112,WeatherCapacityAdjustment,3))-FO112,0),0))</f>
        <v>31428</v>
      </c>
      <c r="FX112" s="621">
        <f ca="1">IF(AND(Assumptions!$H$71="Yes",A112&gt;=Assumptions!$H$72,A112&lt;=Assumptions!$H$73),0,IF(ET112&gt;0,MAX(BH112*(1+VLOOKUP($C112,WeatherCapacityAdjustment,2))-FP112,0),0))</f>
        <v>184377.60000000001</v>
      </c>
      <c r="FY112" s="530">
        <f ca="1">IF(AND(Assumptions!$H$71="Yes",A112&gt;=Assumptions!$H$72,A112&lt;=Assumptions!$H$73),0,IF(EU112&gt;0,MAX(BI112*(1+VLOOKUP($C112,WeatherCapacityAdjustment,3))-FQ112,0),0))</f>
        <v>33523.199999999997</v>
      </c>
      <c r="FZ112" s="530">
        <f ca="1">IF(AND(Assumptions!$H$71="Yes",A112&gt;=Assumptions!$H$72,A112&lt;=Assumptions!$H$73),0,IF(EV112&gt;0,MAX(BJ112*(1+VLOOKUP($C112,WeatherCapacityAdjustment,2))-FR112,0),0))</f>
        <v>33523.199999999997</v>
      </c>
      <c r="GA112" s="622">
        <f ca="1">IF(AND(Assumptions!$H$71="Yes",A112&gt;=Assumptions!$H$72,A112&lt;=Assumptions!$H$73),0,IF(EW112&gt;0,MAX(BK112*(1+VLOOKUP($C112,WeatherCapacityAdjustment,2))-FS112,0),0))</f>
        <v>125712</v>
      </c>
      <c r="GB112" s="530">
        <f t="shared" ca="1" si="290"/>
        <v>471420</v>
      </c>
      <c r="GC112" s="545">
        <f t="shared" ca="1" si="291"/>
        <v>30.231199669457695</v>
      </c>
      <c r="GD112" s="530">
        <f t="shared" ca="1" si="223"/>
        <v>14251592.14817575</v>
      </c>
      <c r="GE112" s="1485">
        <f t="shared" ca="1" si="224"/>
        <v>674151.34247999999</v>
      </c>
      <c r="GF112" s="1776">
        <f t="shared" ca="1" si="225"/>
        <v>2696605.36992</v>
      </c>
      <c r="GG112" s="545">
        <f t="shared" si="190"/>
        <v>2.6011381409176426</v>
      </c>
      <c r="GH112" s="622">
        <f t="shared" ca="1" si="191"/>
        <v>8767803.8483778015</v>
      </c>
      <c r="GI112" s="621">
        <f t="shared" ca="1" si="336"/>
        <v>471420</v>
      </c>
      <c r="GJ112" s="638">
        <f t="shared" si="292"/>
        <v>1.9873454457600002</v>
      </c>
      <c r="GK112" s="625">
        <f t="shared" ca="1" si="342"/>
        <v>936874.39004017925</v>
      </c>
      <c r="GL112" s="640">
        <f t="shared" ca="1" si="226"/>
        <v>0</v>
      </c>
      <c r="GM112" s="530">
        <f t="shared" ca="1" si="227"/>
        <v>0</v>
      </c>
      <c r="GN112" s="530">
        <f t="shared" ca="1" si="228"/>
        <v>0</v>
      </c>
      <c r="GO112" s="622">
        <f t="shared" ca="1" si="229"/>
        <v>0</v>
      </c>
      <c r="GP112" s="530">
        <f t="shared" ca="1" si="293"/>
        <v>0</v>
      </c>
      <c r="GQ112" s="545">
        <f t="shared" ca="1" si="294"/>
        <v>0</v>
      </c>
      <c r="GR112" s="625">
        <f t="shared" ca="1" si="230"/>
        <v>0</v>
      </c>
      <c r="GS112" s="640">
        <f>IF($A112&gt;=BegDate,Assumptions!$C$56*24*($A113-$A112)*(1-VLOOKUP($B112,MAIN!$AA$7:$AM$28,$C112+1))*(1-VLOOKUP($B112,MAIN!$AA$33:$AM$54,$C112+1)),0)*80/168</f>
        <v>224485.71428571429</v>
      </c>
      <c r="GT112" s="1715">
        <f t="shared" si="337"/>
        <v>35.212933870703985</v>
      </c>
      <c r="GU112" s="1715">
        <f>IF($A112&gt;=BegDate,VLOOKUP($A112,GasTable,13)+Assumptions!$C$58,0)</f>
        <v>2.6011381409176426</v>
      </c>
      <c r="GV112" s="1715">
        <f>GU112*Assumptions!$C$57/1000</f>
        <v>18.85825152165291</v>
      </c>
      <c r="GW112" s="625">
        <f>IF(Assumptions!$C$60="Hourly",MAX(0,GS112*(GT112-GV112)),GS112*(GT112-GV112))</f>
        <v>3671392.5490426943</v>
      </c>
      <c r="GX112" s="640">
        <f>IF($A112&gt;=BegDate,Assumptions!$C$56*24*($A113-$A112)*(1-VLOOKUP($B112,MAIN!$AA$7:$AM$28,$C112+1))*(1-VLOOKUP($B112,MAIN!$AA$33:$AM$54,$C112+1)),0)*16/168</f>
        <v>44897.142857142855</v>
      </c>
      <c r="GY112" s="1715">
        <f t="shared" si="338"/>
        <v>35.212933870703985</v>
      </c>
      <c r="GZ112" s="1715">
        <f>IF($A112&gt;=BegDate,VLOOKUP($A112,GasTable,13)+Assumptions!$C$58,0)</f>
        <v>2.6011381409176426</v>
      </c>
      <c r="HA112" s="1715">
        <f>GZ112*Assumptions!$C$57/1000</f>
        <v>18.85825152165291</v>
      </c>
      <c r="HB112" s="625">
        <f>IF(Assumptions!$C$60="Hourly",MAX(0,GX112*(GY112-HA112)),GX112*(GY112-HA112))</f>
        <v>734278.50980853883</v>
      </c>
      <c r="HC112" s="640">
        <f>IF($A112&gt;=BegDate,Assumptions!$C$56*24*($A113-$A112)*(1-VLOOKUP($B112,MAIN!$AA$7:$AM$28,$C112+1))*(1-VLOOKUP($B112,MAIN!$AA$33:$AM$54,$C112+1)),0)*16/168</f>
        <v>44897.142857142855</v>
      </c>
      <c r="HD112" s="1715">
        <f t="shared" si="339"/>
        <v>23.414089572134973</v>
      </c>
      <c r="HE112" s="1715">
        <f>IF($A112&gt;=BegDate,VLOOKUP($A112,GasTable,13)+Assumptions!$C$58,0)</f>
        <v>2.6011381409176426</v>
      </c>
      <c r="HF112" s="1715">
        <f>HE112*Assumptions!$C$57/1000</f>
        <v>18.85825152165291</v>
      </c>
      <c r="HG112" s="625">
        <f>IF(Assumptions!$C$60="Hourly",MAX(0,HC112*(HD112-HF112)),HC112*(HD112-HF112))</f>
        <v>204544.11178650038</v>
      </c>
      <c r="HH112" s="640">
        <f>IF($A112&gt;=BegDate,Assumptions!$C$56*24*($A113-$A112)*(1-VLOOKUP($B112,MAIN!$AA$7:$AM$28,$C112+1))*(1-VLOOKUP($B112,MAIN!$AA$33:$AM$54,$C112+1)),0)*56/168</f>
        <v>157140</v>
      </c>
      <c r="HI112" s="1715">
        <f t="shared" si="340"/>
        <v>23.414089572134973</v>
      </c>
      <c r="HJ112" s="1715">
        <f>IF($A112&gt;=BegDate,VLOOKUP($A112,GasTable,13)+Assumptions!$C$58,0)</f>
        <v>2.6011381409176426</v>
      </c>
      <c r="HK112" s="1715">
        <f>HJ112*Assumptions!$C$57/1000</f>
        <v>18.85825152165291</v>
      </c>
      <c r="HL112" s="625">
        <f>IF(Assumptions!$C$60="Hourly",MAX(0,HH112*(HI112-HK112)),HH112*(HI112-HK112))</f>
        <v>715904.39125275135</v>
      </c>
      <c r="HM112" s="640">
        <f>IF(AND(Assumptions!$H$71="Yes",A112&gt;=Assumptions!$H$72,A112&lt;=Assumptions!$H$73),Assumptions!$H$74*Assumptions!$C$9*1000,0)</f>
        <v>0</v>
      </c>
      <c r="HN112" s="530"/>
      <c r="HO112" s="545"/>
      <c r="HP112" s="545"/>
      <c r="HQ112" s="545"/>
      <c r="HR112" s="545"/>
      <c r="HS112" s="545"/>
      <c r="HT112" s="545"/>
      <c r="HU112" s="545"/>
      <c r="HV112" s="545"/>
      <c r="HW112" s="545"/>
      <c r="HX112" s="545"/>
      <c r="HY112" s="545"/>
      <c r="HZ112" s="545"/>
      <c r="IA112" s="545"/>
      <c r="IB112" s="545"/>
      <c r="IC112" s="545"/>
      <c r="ID112" s="545"/>
      <c r="IE112" s="545"/>
      <c r="IF112" s="545"/>
      <c r="IG112" s="545"/>
      <c r="IH112" s="545"/>
      <c r="II112" s="1464"/>
      <c r="IJ112" s="1463"/>
      <c r="IK112" s="1463"/>
    </row>
    <row r="113" spans="1:245">
      <c r="A113" s="177">
        <f t="shared" si="295"/>
        <v>39569</v>
      </c>
      <c r="B113" s="349">
        <f t="shared" si="296"/>
        <v>2008</v>
      </c>
      <c r="C113" s="15">
        <f t="shared" ref="C113:C128" si="352">MONTH(A113)</f>
        <v>5</v>
      </c>
      <c r="D113" s="612">
        <f t="shared" si="297"/>
        <v>39594</v>
      </c>
      <c r="E113" s="609">
        <f t="shared" ref="E113:E128" si="353">IF(OR(BegDate&gt;=A114,EndDate&lt;A113,AND(VolumeMonthlyOverFlag,INDEX(VolumeMonthlyOver,C113)=0),NOT(INDEX(MonthKnockOutTable,C113))),"",MAX(A113,BegDate))</f>
        <v>39569</v>
      </c>
      <c r="F113" s="614">
        <f t="shared" ref="F113:F128" si="354">IF(E113="","",MIN(A114-1,EndDate))</f>
        <v>39599</v>
      </c>
      <c r="G113" s="1349">
        <v>0</v>
      </c>
      <c r="H113" s="152">
        <f t="shared" si="341"/>
        <v>1</v>
      </c>
      <c r="I113" s="154">
        <f>IF(Assumptions!$L$25=4,VLOOKUP($A113,'Henwood Reference'!$E$9:$R$320,10),(VLOOKUP($A113,PriceTable,2,0)+IF(BasisNumber&lt;&gt;1,VLOOKUP($A113,BasisTable,2,0),0)+I$1)/(1-I$2))</f>
        <v>36.612832499125496</v>
      </c>
      <c r="J113" s="154">
        <f>IF(Assumptions!$L$25=4,VLOOKUP($A113,'Henwood Reference'!$E$9:$R$320,10),(VLOOKUP($A113,PriceTable,3,0)+IF(BasisNumber&lt;&gt;1,VLOOKUP($A113,BasisTable,2,0),0)+J$1)/(1-J$2))</f>
        <v>36.612832499125496</v>
      </c>
      <c r="K113" s="154">
        <f>IF(Assumptions!$L$25=4,VLOOKUP($A113,'Henwood Reference'!$E$9:$R$320,10),(VLOOKUP($A113,PriceTable,4,0)+IF(BasisNumber&lt;&gt;1,VLOOKUP($A113,BasisTable,2,0),0)+K$1)/(1-K$2))</f>
        <v>36.612832499125496</v>
      </c>
      <c r="L113" s="474">
        <f>IF(Assumptions!$L$25=4,VLOOKUP($A113,'Henwood Reference'!$E$9:$R$320,10),(VLOOKUP($A113,PriceTableWeekend,2,0)+IF(BasisNumber&lt;&gt;1,VLOOKUP($A113,BasisTable,2,0),0)+L$1)/(1-L$2))</f>
        <v>36.612832499125496</v>
      </c>
      <c r="M113" s="154">
        <f>IF(Assumptions!$L$25=4,VLOOKUP($A113,'Henwood Reference'!$E$9:$R$320,10),(VLOOKUP($A113,PriceTableWeekend,3,0)+IF(BasisNumber&lt;&gt;1,VLOOKUP($A113,BasisTable,2,0),0)+M$1)/(1-M$2))</f>
        <v>36.612832499125496</v>
      </c>
      <c r="N113" s="156">
        <f>IF(Assumptions!$L$25=4,VLOOKUP($A113,'Henwood Reference'!$E$9:$R$320,10),(VLOOKUP($A113,PriceTableWeekend,4,0)+IF(BasisNumber&lt;&gt;1,VLOOKUP($A113,BasisTable,2,0),0)+N$1)/(1-N$2))</f>
        <v>36.612832499125496</v>
      </c>
      <c r="O113" s="154">
        <f>IF(Assumptions!$L$25=4,VLOOKUP($A113,'Henwood Reference'!$E$9:$R$320,11),(VLOOKUP($A113,PriceTableWeekend,6,0)+IF(BasisNumber&lt;&gt;1,VLOOKUP($A113,BasisTable,3,0),0)+O$1)/(1-O$2))</f>
        <v>22.153852741928937</v>
      </c>
      <c r="P113" s="154">
        <f>IF(Assumptions!$L$25=4,VLOOKUP($A113,'Henwood Reference'!$E$9:$R$320,11),(VLOOKUP($A113,PriceTableWeekend,7,0)+IF(BasisNumber&lt;&gt;1,VLOOKUP($A113,BasisTable,3,0),0)+P$1)/(1-P$2))</f>
        <v>22.153852741928937</v>
      </c>
      <c r="Q113" s="156">
        <f>IF(Assumptions!$L$25=4,VLOOKUP($A113,'Henwood Reference'!$E$9:$R$320,11),(VLOOKUP($A113,PriceTableWeekend,8,0)+IF(BasisNumber&lt;&gt;1,VLOOKUP($A113,BasisTable,3,0),0)+Q$1)/(1-Q$2))</f>
        <v>22.153852741928937</v>
      </c>
      <c r="R113" s="154">
        <f>IF(Assumptions!$L$25=4,VLOOKUP($A113,'Henwood Reference'!$E$9:$R$320,11),(VLOOKUP($A113,PriceTable,6,0)+IF(BasisNumber&lt;&gt;1,VLOOKUP($A113,BasisTable,3,0),0)+R$1)/(1-R$2))</f>
        <v>22.153852741928937</v>
      </c>
      <c r="S113" s="154">
        <f>IF(Assumptions!$L$25=4,VLOOKUP($A113,'Henwood Reference'!$E$9:$R$320,11),(VLOOKUP($A113,PriceTable,7,0)+IF(BasisNumber&lt;&gt;1,VLOOKUP($A113,BasisTable,3,0),0)+S$1)/(1-S$2))</f>
        <v>22.153852741928937</v>
      </c>
      <c r="T113" s="155">
        <f>IF(Assumptions!$L$25=4,VLOOKUP($A113,'Henwood Reference'!$E$9:$R$320,11),(VLOOKUP($A113,PriceTable,8,0)+IF(BasisNumber&lt;&gt;1,VLOOKUP($A113,BasisTable,3,0),0)+T$1)/(1-T$2))</f>
        <v>22.153852741928937</v>
      </c>
      <c r="U113" s="173">
        <f t="shared" si="298"/>
        <v>0.13</v>
      </c>
      <c r="V113" s="173">
        <f t="shared" si="299"/>
        <v>0.14000000000000001</v>
      </c>
      <c r="W113" s="174">
        <f t="shared" si="300"/>
        <v>0.15</v>
      </c>
      <c r="X113" s="173">
        <f t="shared" si="301"/>
        <v>0.13</v>
      </c>
      <c r="Y113" s="173">
        <f t="shared" si="302"/>
        <v>0.14000000000000001</v>
      </c>
      <c r="Z113" s="174">
        <f t="shared" si="303"/>
        <v>0.15</v>
      </c>
      <c r="AA113" s="173">
        <f t="shared" si="304"/>
        <v>0.09</v>
      </c>
      <c r="AB113" s="173">
        <f t="shared" si="305"/>
        <v>0.11</v>
      </c>
      <c r="AC113" s="174">
        <f t="shared" si="306"/>
        <v>0.13</v>
      </c>
      <c r="AD113" s="173">
        <f t="shared" si="307"/>
        <v>0.09</v>
      </c>
      <c r="AE113" s="173">
        <f t="shared" si="308"/>
        <v>0.11</v>
      </c>
      <c r="AF113" s="174">
        <f t="shared" si="309"/>
        <v>0.13</v>
      </c>
      <c r="AG113" s="173">
        <f t="shared" si="310"/>
        <v>-0.1</v>
      </c>
      <c r="AH113" s="173">
        <f t="shared" si="311"/>
        <v>0.65</v>
      </c>
      <c r="AI113" s="174">
        <f t="shared" si="312"/>
        <v>0.1</v>
      </c>
      <c r="AJ113" s="173">
        <f t="shared" si="313"/>
        <v>-0.1</v>
      </c>
      <c r="AK113" s="173">
        <f t="shared" si="314"/>
        <v>0.65</v>
      </c>
      <c r="AL113" s="174">
        <f t="shared" si="315"/>
        <v>0.1</v>
      </c>
      <c r="AM113" s="173">
        <f t="shared" si="316"/>
        <v>-0.01</v>
      </c>
      <c r="AN113" s="173">
        <f t="shared" si="317"/>
        <v>0.16</v>
      </c>
      <c r="AO113" s="174">
        <f t="shared" si="318"/>
        <v>0.01</v>
      </c>
      <c r="AP113" s="173">
        <f t="shared" si="319"/>
        <v>-0.01</v>
      </c>
      <c r="AQ113" s="173">
        <f t="shared" si="320"/>
        <v>0.16</v>
      </c>
      <c r="AR113" s="175">
        <f t="shared" si="321"/>
        <v>0.01</v>
      </c>
      <c r="AS113" s="521">
        <f t="shared" si="349"/>
        <v>0.5</v>
      </c>
      <c r="AT113" s="349">
        <f t="shared" ref="AT113:AT128" si="355">AX113-SUM(AU113:AW113)</f>
        <v>21</v>
      </c>
      <c r="AU113" s="159">
        <f t="shared" si="240"/>
        <v>5</v>
      </c>
      <c r="AV113" s="159">
        <f t="shared" si="241"/>
        <v>4</v>
      </c>
      <c r="AW113" s="159">
        <f t="shared" si="350"/>
        <v>1</v>
      </c>
      <c r="AX113" s="15">
        <f t="shared" ref="AX113:AX128" si="356">IF(E113="",0,F113-E113+1)</f>
        <v>31</v>
      </c>
      <c r="AY113" s="607">
        <f>IF(E113="",0,MIN((1-(1-VLOOKUP(B113,MAIN!$AA$7:$AM$28,C113+1))*(1-VLOOKUP(B113,MAIN!$AA$33:$AM$54,C113+1))),1))</f>
        <v>3.0000000000000027E-2</v>
      </c>
      <c r="AZ113" s="337">
        <v>48888</v>
      </c>
      <c r="BA113" s="509">
        <v>11640</v>
      </c>
      <c r="BB113" s="509">
        <v>11640</v>
      </c>
      <c r="BC113" s="511">
        <v>36084</v>
      </c>
      <c r="BD113" s="153">
        <v>0.97</v>
      </c>
      <c r="BE113" s="474">
        <v>0.97</v>
      </c>
      <c r="BF113" s="474">
        <v>0.97</v>
      </c>
      <c r="BG113" s="515">
        <v>0.97</v>
      </c>
      <c r="BH113" s="262">
        <v>195552</v>
      </c>
      <c r="BI113" s="509">
        <v>46560</v>
      </c>
      <c r="BJ113" s="509">
        <v>46560</v>
      </c>
      <c r="BK113" s="511">
        <v>144336</v>
      </c>
      <c r="BL113" s="153">
        <v>0.97</v>
      </c>
      <c r="BM113" s="474">
        <v>0.97</v>
      </c>
      <c r="BN113" s="474">
        <v>0.97</v>
      </c>
      <c r="BO113" s="474">
        <v>0.97</v>
      </c>
      <c r="BP113" s="261">
        <f t="shared" si="324"/>
        <v>72168</v>
      </c>
      <c r="BQ113" s="578">
        <f t="shared" si="325"/>
        <v>108252</v>
      </c>
      <c r="BR113" s="259">
        <f t="shared" si="326"/>
        <v>288672</v>
      </c>
      <c r="BS113" s="578">
        <f t="shared" si="327"/>
        <v>433008</v>
      </c>
      <c r="BT113" s="216">
        <f t="shared" si="328"/>
        <v>8.046543463381246</v>
      </c>
      <c r="BU113" s="218">
        <f t="shared" si="243"/>
        <v>36.612832499125496</v>
      </c>
      <c r="BV113" s="216">
        <f t="shared" si="244"/>
        <v>36.612832499125496</v>
      </c>
      <c r="BW113" s="216">
        <f t="shared" si="245"/>
        <v>22.153852741928937</v>
      </c>
      <c r="BX113" s="216">
        <f t="shared" si="329"/>
        <v>22.153852741928937</v>
      </c>
      <c r="BY113" s="216">
        <f t="shared" si="246"/>
        <v>34.28073898990025</v>
      </c>
      <c r="BZ113" s="216">
        <f t="shared" si="247"/>
        <v>30.238443573909809</v>
      </c>
      <c r="CA113" s="264">
        <f t="shared" si="248"/>
        <v>36.612832499125496</v>
      </c>
      <c r="CB113" s="216">
        <f t="shared" si="249"/>
        <v>36.612832499125496</v>
      </c>
      <c r="CC113" s="216">
        <f t="shared" si="250"/>
        <v>22.153852741928937</v>
      </c>
      <c r="CD113" s="216">
        <f t="shared" si="330"/>
        <v>22.153852741928937</v>
      </c>
      <c r="CE113" s="216">
        <f t="shared" si="251"/>
        <v>34.28073898990025</v>
      </c>
      <c r="CF113" s="571">
        <f t="shared" si="252"/>
        <v>30.238443573909809</v>
      </c>
      <c r="CG113" s="573">
        <f t="shared" si="253"/>
        <v>0.14000000000000001</v>
      </c>
      <c r="CH113" s="219">
        <f t="shared" si="254"/>
        <v>0.14000000000000001</v>
      </c>
      <c r="CI113" s="219">
        <f t="shared" si="255"/>
        <v>0.11</v>
      </c>
      <c r="CJ113" s="219">
        <f t="shared" si="256"/>
        <v>0.13691898879208939</v>
      </c>
      <c r="CK113" s="219">
        <f t="shared" si="257"/>
        <v>0.13691898879208939</v>
      </c>
      <c r="CL113" s="219">
        <f t="shared" si="258"/>
        <v>0.11</v>
      </c>
      <c r="CM113" s="219">
        <f t="shared" si="259"/>
        <v>0.11968265823002433</v>
      </c>
      <c r="CN113" s="569">
        <f t="shared" si="260"/>
        <v>0.11968265823002433</v>
      </c>
      <c r="CO113" s="264">
        <f t="shared" si="343"/>
        <v>18.436023336903919</v>
      </c>
      <c r="CP113" s="216">
        <f t="shared" si="331"/>
        <v>18.436023336903919</v>
      </c>
      <c r="CQ113" s="216">
        <f t="shared" ca="1" si="192"/>
        <v>18.436023336903919</v>
      </c>
      <c r="CR113" s="216">
        <f t="shared" ca="1" si="193"/>
        <v>18.436023336903919</v>
      </c>
      <c r="CS113" s="1626">
        <f t="shared" ca="1" si="194"/>
        <v>18.436023336903919</v>
      </c>
      <c r="CT113" s="216">
        <f t="shared" si="332"/>
        <v>18.436023336903919</v>
      </c>
      <c r="CU113" s="575">
        <f t="shared" si="261"/>
        <v>0.16</v>
      </c>
      <c r="CV113" s="154">
        <f t="shared" si="262"/>
        <v>0.5</v>
      </c>
      <c r="CW113" s="216">
        <f>IF(OR($BQ113,$BS113),SpreadOptPowerMargin,0)*((1+Assumptions!$C$26)^($B113-YEAR(Assumptions!$C$17)))</f>
        <v>1.9873454457600002</v>
      </c>
      <c r="CX113" s="216">
        <f>IF(OR($BQ113,$BS113),SpreadOptPowerMargin,0)*((1+Assumptions!$C$26)^($B113-YEAR(Assumptions!$C$17)))</f>
        <v>1.9873454457600002</v>
      </c>
      <c r="CY113" s="216">
        <f>IF(OR($BQ113,$BS113),SpreadOptPowerMargin,0)*((1+Assumptions!$C$26)^($B113-YEAR(Assumptions!$C$17)))</f>
        <v>1.9873454457600002</v>
      </c>
      <c r="CZ113" s="216">
        <f>IF(OR($BQ113,$BS113),SpreadOptPowerMargin,0)*((1+Assumptions!$C$26)^($B113-YEAR(Assumptions!$C$17)))</f>
        <v>1.9873454457600002</v>
      </c>
      <c r="DA113" s="440">
        <f t="shared" si="263"/>
        <v>1.9873454457600006</v>
      </c>
      <c r="DB113" s="479">
        <f t="shared" si="264"/>
        <v>0.14000000000000001</v>
      </c>
      <c r="DC113" s="479">
        <f t="shared" si="265"/>
        <v>0.14000000000000001</v>
      </c>
      <c r="DD113" s="479">
        <f t="shared" si="266"/>
        <v>0.11</v>
      </c>
      <c r="DE113" s="479">
        <f t="shared" si="267"/>
        <v>0.11</v>
      </c>
      <c r="DF113" s="479">
        <f t="shared" si="268"/>
        <v>0.11968265823002433</v>
      </c>
      <c r="DG113" s="574">
        <f t="shared" si="269"/>
        <v>0.11968265823002433</v>
      </c>
      <c r="DH113" s="216">
        <f t="shared" si="270"/>
        <v>16.561088356584662</v>
      </c>
      <c r="DI113" s="216">
        <f t="shared" si="271"/>
        <v>16.561088356584662</v>
      </c>
      <c r="DJ113" s="216">
        <f t="shared" ca="1" si="195"/>
        <v>4.0740091377631291</v>
      </c>
      <c r="DK113" s="216">
        <f t="shared" ca="1" si="196"/>
        <v>4.0740091377631291</v>
      </c>
      <c r="DL113" s="216">
        <f t="shared" ca="1" si="197"/>
        <v>10.561074456885763</v>
      </c>
      <c r="DM113" s="216"/>
      <c r="DN113" s="216"/>
      <c r="DO113" s="216"/>
      <c r="DP113" s="216"/>
      <c r="DQ113" s="216"/>
      <c r="DR113" s="216"/>
      <c r="DS113" s="216"/>
      <c r="DT113" s="216"/>
      <c r="DU113" s="216"/>
      <c r="DV113" s="216"/>
      <c r="DW113" s="1371">
        <f t="shared" si="272"/>
        <v>4.0740091377631291</v>
      </c>
      <c r="DX113" s="216">
        <f t="shared" si="273"/>
        <v>4.0740091377631291</v>
      </c>
      <c r="DY113" s="440">
        <f t="shared" si="274"/>
        <v>11.056031926781621</v>
      </c>
      <c r="DZ113" s="180">
        <f t="shared" si="275"/>
        <v>809638.48757671099</v>
      </c>
      <c r="EA113" s="180">
        <f t="shared" si="276"/>
        <v>192771.06847064546</v>
      </c>
      <c r="EB113" s="180">
        <f t="shared" ca="1" si="198"/>
        <v>47421.466363562824</v>
      </c>
      <c r="EC113" s="180">
        <f t="shared" ca="1" si="199"/>
        <v>147006.54572704475</v>
      </c>
      <c r="ED113" s="180">
        <f t="shared" ca="1" si="200"/>
        <v>1143257.4321067976</v>
      </c>
      <c r="EE113" s="581">
        <f t="shared" si="277"/>
        <v>791470.50217037357</v>
      </c>
      <c r="EF113" s="554">
        <f t="shared" si="278"/>
        <v>188445.35765961278</v>
      </c>
      <c r="EG113" s="554">
        <f t="shared" ca="1" si="201"/>
        <v>20142.833285844819</v>
      </c>
      <c r="EH113" s="554">
        <f t="shared" ca="1" si="202"/>
        <v>62442.783186118948</v>
      </c>
      <c r="EI113" s="561">
        <f t="shared" ca="1" si="279"/>
        <v>1062501.4763019502</v>
      </c>
      <c r="EJ113" s="581">
        <f t="shared" si="333"/>
        <v>18167.985406337422</v>
      </c>
      <c r="EK113" s="554">
        <f t="shared" si="334"/>
        <v>4325.7108110326808</v>
      </c>
      <c r="EL113" s="554">
        <f t="shared" ca="1" si="203"/>
        <v>27278.633077718005</v>
      </c>
      <c r="EM113" s="554">
        <f t="shared" ca="1" si="204"/>
        <v>84563.762540925803</v>
      </c>
      <c r="EN113" s="561">
        <f t="shared" ca="1" si="205"/>
        <v>80755.955804847414</v>
      </c>
      <c r="EO113" s="180">
        <f t="shared" si="280"/>
        <v>3238553.950306844</v>
      </c>
      <c r="EP113" s="180">
        <f t="shared" si="281"/>
        <v>771084.27388258185</v>
      </c>
      <c r="EQ113" s="180">
        <f t="shared" si="282"/>
        <v>189685.8654542513</v>
      </c>
      <c r="ER113" s="180">
        <f t="shared" si="283"/>
        <v>588026.18290817901</v>
      </c>
      <c r="ES113" s="180">
        <f t="shared" si="284"/>
        <v>4787350.272551856</v>
      </c>
      <c r="ET113" s="1482">
        <f t="shared" ca="1" si="206"/>
        <v>3165882.0086814943</v>
      </c>
      <c r="EU113" s="180">
        <f t="shared" ca="1" si="207"/>
        <v>753781.43063845113</v>
      </c>
      <c r="EV113" s="180">
        <f t="shared" ca="1" si="208"/>
        <v>80571.333143379277</v>
      </c>
      <c r="EW113" s="180">
        <f t="shared" ca="1" si="209"/>
        <v>249771.13274447579</v>
      </c>
      <c r="EX113" s="555">
        <f t="shared" ca="1" si="351"/>
        <v>4250005.9052078007</v>
      </c>
      <c r="EY113" s="180">
        <f t="shared" ca="1" si="210"/>
        <v>72671.941625349689</v>
      </c>
      <c r="EZ113" s="180">
        <f t="shared" ca="1" si="211"/>
        <v>17302.843244130723</v>
      </c>
      <c r="FA113" s="180">
        <f t="shared" ca="1" si="212"/>
        <v>109114.53231087202</v>
      </c>
      <c r="FB113" s="180">
        <f t="shared" ca="1" si="213"/>
        <v>338255.05016370321</v>
      </c>
      <c r="FC113" s="180">
        <f t="shared" ca="1" si="214"/>
        <v>537344.36734405532</v>
      </c>
      <c r="FD113" s="262">
        <f>IF(AX113,IF(VLOOKUP(C113,MAIN!$L$17:$M$28,2)="Yes",VLOOKUP(CALC!B113,MAIN!$H$17:$I$20,2),0),0)</f>
        <v>0</v>
      </c>
      <c r="FE113" s="623">
        <f t="shared" si="285"/>
        <v>0</v>
      </c>
      <c r="FF113" s="535">
        <f t="shared" si="286"/>
        <v>0</v>
      </c>
      <c r="FG113" s="535">
        <f t="shared" si="287"/>
        <v>0</v>
      </c>
      <c r="FH113" s="624">
        <f t="shared" si="288"/>
        <v>0</v>
      </c>
      <c r="FI113" s="632">
        <f>IF(AX113,VLOOKUP(CALC!B113,MAIN!$H$17:$K$20,4),0)</f>
        <v>0</v>
      </c>
      <c r="FJ113" s="535">
        <f t="shared" si="289"/>
        <v>0</v>
      </c>
      <c r="FK113" s="648">
        <f t="shared" si="335"/>
        <v>0</v>
      </c>
      <c r="FL113" s="530">
        <f t="shared" ca="1" si="215"/>
        <v>0</v>
      </c>
      <c r="FM113" s="530">
        <f t="shared" ca="1" si="216"/>
        <v>0</v>
      </c>
      <c r="FN113" s="530">
        <f t="shared" ca="1" si="217"/>
        <v>0</v>
      </c>
      <c r="FO113" s="622">
        <f t="shared" ca="1" si="218"/>
        <v>0</v>
      </c>
      <c r="FP113" s="530">
        <f t="shared" ca="1" si="219"/>
        <v>0</v>
      </c>
      <c r="FQ113" s="530">
        <f t="shared" ca="1" si="220"/>
        <v>0</v>
      </c>
      <c r="FR113" s="530">
        <f t="shared" ca="1" si="221"/>
        <v>0</v>
      </c>
      <c r="FS113" s="625">
        <f t="shared" ca="1" si="222"/>
        <v>0</v>
      </c>
      <c r="FT113" s="640">
        <f ca="1">IF(AND(Assumptions!$H$71="Yes",A113&gt;=Assumptions!$H$72,A113&lt;=Assumptions!$H$73),0,IF(AND($A113&gt;=Assumptions!$C$17,$A113&lt;=Assumptions!$C$18),MAX(AZ113*(1+VLOOKUP($C113,WeatherCapacityAdjustment,2))-FL113,0),0))</f>
        <v>48888</v>
      </c>
      <c r="FU113" s="530">
        <f ca="1">IF(AND(Assumptions!$H$71="Yes",A113&gt;=Assumptions!$H$72,A113&lt;=Assumptions!$H$73),0,IF(AND($A113&gt;=Assumptions!$C$17,$A113&lt;=Assumptions!$C$18),MAX(BA113*(1+VLOOKUP($C113,WeatherCapacityAdjustment,2))-FM113,0),0))</f>
        <v>11640</v>
      </c>
      <c r="FV113" s="530">
        <f ca="1">IF(AND(Assumptions!$H$71="Yes",A113&gt;=Assumptions!$H$72,A113&lt;=Assumptions!$H$73),0,IF(AND($A113&gt;=Assumptions!$C$17,$A113&lt;=Assumptions!$C$18),MAX(BB113*(1+VLOOKUP($C113,WeatherCapacityAdjustment,2))-FN113,0),0))</f>
        <v>11640</v>
      </c>
      <c r="FW113" s="622">
        <f ca="1">IF(AND(Assumptions!$H$71="Yes",A113&gt;=Assumptions!$H$72,A113&lt;=Assumptions!$H$73),0,IF(AND($A113&gt;=Assumptions!$C$17,$A113&lt;=Assumptions!$C$18),MAX(BC113*(1+VLOOKUP($C113,WeatherCapacityAdjustment,3))-FO113,0),0))</f>
        <v>36084</v>
      </c>
      <c r="FX113" s="621">
        <f ca="1">IF(AND(Assumptions!$H$71="Yes",A113&gt;=Assumptions!$H$72,A113&lt;=Assumptions!$H$73),0,IF(ET113&gt;0,MAX(BH113*(1+VLOOKUP($C113,WeatherCapacityAdjustment,2))-FP113,0),0))</f>
        <v>195552</v>
      </c>
      <c r="FY113" s="530">
        <f ca="1">IF(AND(Assumptions!$H$71="Yes",A113&gt;=Assumptions!$H$72,A113&lt;=Assumptions!$H$73),0,IF(EU113&gt;0,MAX(BI113*(1+VLOOKUP($C113,WeatherCapacityAdjustment,3))-FQ113,0),0))</f>
        <v>46560</v>
      </c>
      <c r="FZ113" s="530">
        <f ca="1">IF(AND(Assumptions!$H$71="Yes",A113&gt;=Assumptions!$H$72,A113&lt;=Assumptions!$H$73),0,IF(EV113&gt;0,MAX(BJ113*(1+VLOOKUP($C113,WeatherCapacityAdjustment,2))-FR113,0),0))</f>
        <v>46560</v>
      </c>
      <c r="GA113" s="622">
        <f ca="1">IF(AND(Assumptions!$H$71="Yes",A113&gt;=Assumptions!$H$72,A113&lt;=Assumptions!$H$73),0,IF(EW113&gt;0,MAX(BK113*(1+VLOOKUP($C113,WeatherCapacityAdjustment,2))-FS113,0),0))</f>
        <v>144336</v>
      </c>
      <c r="GB113" s="530">
        <f t="shared" ca="1" si="290"/>
        <v>541260</v>
      </c>
      <c r="GC113" s="545">
        <f t="shared" ca="1" si="291"/>
        <v>30.238443573909809</v>
      </c>
      <c r="GD113" s="530">
        <f t="shared" ca="1" si="223"/>
        <v>16366859.968814425</v>
      </c>
      <c r="GE113" s="1485">
        <f t="shared" ca="1" si="224"/>
        <v>774343.87631999992</v>
      </c>
      <c r="GF113" s="1776">
        <f t="shared" ca="1" si="225"/>
        <v>3097375.5052799997</v>
      </c>
      <c r="GG113" s="545">
        <f t="shared" si="190"/>
        <v>2.5773257325299475</v>
      </c>
      <c r="GH113" s="622">
        <f t="shared" ca="1" si="191"/>
        <v>9978681.9913326148</v>
      </c>
      <c r="GI113" s="621">
        <f t="shared" ca="1" si="336"/>
        <v>541260</v>
      </c>
      <c r="GJ113" s="638">
        <f t="shared" si="292"/>
        <v>1.9873454457600006</v>
      </c>
      <c r="GK113" s="625">
        <f t="shared" ca="1" si="342"/>
        <v>1075670.5959720579</v>
      </c>
      <c r="GL113" s="640">
        <f t="shared" ca="1" si="226"/>
        <v>0</v>
      </c>
      <c r="GM113" s="530">
        <f t="shared" ca="1" si="227"/>
        <v>0</v>
      </c>
      <c r="GN113" s="530">
        <f t="shared" ca="1" si="228"/>
        <v>0</v>
      </c>
      <c r="GO113" s="622">
        <f t="shared" ca="1" si="229"/>
        <v>0</v>
      </c>
      <c r="GP113" s="530">
        <f t="shared" ca="1" si="293"/>
        <v>0</v>
      </c>
      <c r="GQ113" s="545">
        <f t="shared" ca="1" si="294"/>
        <v>0</v>
      </c>
      <c r="GR113" s="625">
        <f t="shared" ca="1" si="230"/>
        <v>0</v>
      </c>
      <c r="GS113" s="640">
        <f>IF($A113&gt;=BegDate,Assumptions!$C$56*24*($A114-$A113)*(1-VLOOKUP($B113,MAIN!$AA$7:$AM$28,$C113+1))*(1-VLOOKUP($B113,MAIN!$AA$33:$AM$54,$C113+1)),0)*80/168</f>
        <v>257742.85714285713</v>
      </c>
      <c r="GT113" s="1715">
        <f t="shared" si="337"/>
        <v>36.612832499125496</v>
      </c>
      <c r="GU113" s="1715">
        <f>IF($A113&gt;=BegDate,VLOOKUP($A113,GasTable,13)+Assumptions!$C$58,0)</f>
        <v>2.5773257325299475</v>
      </c>
      <c r="GV113" s="1715">
        <f>GU113*Assumptions!$C$57/1000</f>
        <v>18.685611560842119</v>
      </c>
      <c r="GW113" s="625">
        <f>IF(Assumptions!$C$60="Hourly",MAX(0,GS113*(GT113-GV113)),GS113*(GT113-GV113))</f>
        <v>4620613.1452644095</v>
      </c>
      <c r="GX113" s="640">
        <f>IF($A113&gt;=BegDate,Assumptions!$C$56*24*($A114-$A113)*(1-VLOOKUP($B113,MAIN!$AA$7:$AM$28,$C113+1))*(1-VLOOKUP($B113,MAIN!$AA$33:$AM$54,$C113+1)),0)*16/168</f>
        <v>51548.571428571428</v>
      </c>
      <c r="GY113" s="1715">
        <f t="shared" si="338"/>
        <v>36.612832499125496</v>
      </c>
      <c r="GZ113" s="1715">
        <f>IF($A113&gt;=BegDate,VLOOKUP($A113,GasTable,13)+Assumptions!$C$58,0)</f>
        <v>2.5773257325299475</v>
      </c>
      <c r="HA113" s="1715">
        <f>GZ113*Assumptions!$C$57/1000</f>
        <v>18.685611560842119</v>
      </c>
      <c r="HB113" s="625">
        <f>IF(Assumptions!$C$60="Hourly",MAX(0,GX113*(GY113-HA113)),GX113*(GY113-HA113))</f>
        <v>924122.62905288197</v>
      </c>
      <c r="HC113" s="640">
        <f>IF($A113&gt;=BegDate,Assumptions!$C$56*24*($A114-$A113)*(1-VLOOKUP($B113,MAIN!$AA$7:$AM$28,$C113+1))*(1-VLOOKUP($B113,MAIN!$AA$33:$AM$54,$C113+1)),0)*16/168</f>
        <v>51548.571428571428</v>
      </c>
      <c r="HD113" s="1715">
        <f t="shared" si="339"/>
        <v>22.153852741928937</v>
      </c>
      <c r="HE113" s="1715">
        <f>IF($A113&gt;=BegDate,VLOOKUP($A113,GasTable,13)+Assumptions!$C$58,0)</f>
        <v>2.5773257325299475</v>
      </c>
      <c r="HF113" s="1715">
        <f>HE113*Assumptions!$C$57/1000</f>
        <v>18.685611560842119</v>
      </c>
      <c r="HG113" s="625">
        <f>IF(Assumptions!$C$60="Hourly",MAX(0,HC113*(HD113-HF113)),HC113*(HD113-HF113))</f>
        <v>178782.87825476675</v>
      </c>
      <c r="HH113" s="640">
        <f>IF($A113&gt;=BegDate,Assumptions!$C$56*24*($A114-$A113)*(1-VLOOKUP($B113,MAIN!$AA$7:$AM$28,$C113+1))*(1-VLOOKUP($B113,MAIN!$AA$33:$AM$54,$C113+1)),0)*56/168</f>
        <v>180420</v>
      </c>
      <c r="HI113" s="1715">
        <f t="shared" si="340"/>
        <v>22.153852741928937</v>
      </c>
      <c r="HJ113" s="1715">
        <f>IF($A113&gt;=BegDate,VLOOKUP($A113,GasTable,13)+Assumptions!$C$58,0)</f>
        <v>2.5773257325299475</v>
      </c>
      <c r="HK113" s="1715">
        <f>HJ113*Assumptions!$C$57/1000</f>
        <v>18.685611560842119</v>
      </c>
      <c r="HL113" s="625">
        <f>IF(Assumptions!$C$60="Hourly",MAX(0,HH113*(HI113-HK113)),HH113*(HI113-HK113))</f>
        <v>625740.0738916836</v>
      </c>
      <c r="HM113" s="640">
        <f>IF(AND(Assumptions!$H$71="Yes",A113&gt;=Assumptions!$H$72,A113&lt;=Assumptions!$H$73),Assumptions!$H$74*Assumptions!$C$9*1000,0)</f>
        <v>0</v>
      </c>
      <c r="HN113" s="530"/>
      <c r="HO113" s="545"/>
      <c r="HP113" s="545"/>
      <c r="HQ113" s="545"/>
      <c r="HR113" s="545"/>
      <c r="HS113" s="545"/>
      <c r="HT113" s="545"/>
      <c r="HU113" s="545"/>
      <c r="HV113" s="545"/>
      <c r="HW113" s="545"/>
      <c r="HX113" s="545"/>
      <c r="HY113" s="545"/>
      <c r="HZ113" s="545"/>
      <c r="IA113" s="545"/>
      <c r="IB113" s="545"/>
      <c r="IC113" s="545"/>
      <c r="ID113" s="545"/>
      <c r="IE113" s="545"/>
      <c r="IF113" s="545"/>
      <c r="IG113" s="545"/>
      <c r="IH113" s="545"/>
      <c r="II113" s="1464"/>
      <c r="IJ113" s="1463"/>
      <c r="IK113" s="1463"/>
    </row>
    <row r="114" spans="1:245">
      <c r="A114" s="177">
        <f t="shared" si="295"/>
        <v>39600</v>
      </c>
      <c r="B114" s="349">
        <f t="shared" si="296"/>
        <v>2008</v>
      </c>
      <c r="C114" s="15">
        <f t="shared" si="352"/>
        <v>6</v>
      </c>
      <c r="D114" s="612" t="str">
        <f t="shared" si="297"/>
        <v/>
      </c>
      <c r="E114" s="609">
        <f t="shared" si="353"/>
        <v>39600</v>
      </c>
      <c r="F114" s="614">
        <f t="shared" si="354"/>
        <v>39629</v>
      </c>
      <c r="G114" s="1349">
        <v>0</v>
      </c>
      <c r="H114" s="152">
        <f t="shared" si="341"/>
        <v>1</v>
      </c>
      <c r="I114" s="154">
        <f>IF(Assumptions!$L$25=4,VLOOKUP($A114,'Henwood Reference'!$E$9:$R$320,10),(VLOOKUP($A114,PriceTable,2,0)+IF(BasisNumber&lt;&gt;1,VLOOKUP($A114,BasisTable,2,0),0)+I$1)/(1-I$2))</f>
        <v>33.389949039802566</v>
      </c>
      <c r="J114" s="154">
        <f>IF(Assumptions!$L$25=4,VLOOKUP($A114,'Henwood Reference'!$E$9:$R$320,10),(VLOOKUP($A114,PriceTable,3,0)+IF(BasisNumber&lt;&gt;1,VLOOKUP($A114,BasisTable,2,0),0)+J$1)/(1-J$2))</f>
        <v>33.389949039802566</v>
      </c>
      <c r="K114" s="154">
        <f>IF(Assumptions!$L$25=4,VLOOKUP($A114,'Henwood Reference'!$E$9:$R$320,10),(VLOOKUP($A114,PriceTable,4,0)+IF(BasisNumber&lt;&gt;1,VLOOKUP($A114,BasisTable,2,0),0)+K$1)/(1-K$2))</f>
        <v>33.389949039802566</v>
      </c>
      <c r="L114" s="474">
        <f>IF(Assumptions!$L$25=4,VLOOKUP($A114,'Henwood Reference'!$E$9:$R$320,10),(VLOOKUP($A114,PriceTableWeekend,2,0)+IF(BasisNumber&lt;&gt;1,VLOOKUP($A114,BasisTable,2,0),0)+L$1)/(1-L$2))</f>
        <v>33.389949039802566</v>
      </c>
      <c r="M114" s="154">
        <f>IF(Assumptions!$L$25=4,VLOOKUP($A114,'Henwood Reference'!$E$9:$R$320,10),(VLOOKUP($A114,PriceTableWeekend,3,0)+IF(BasisNumber&lt;&gt;1,VLOOKUP($A114,BasisTable,2,0),0)+M$1)/(1-M$2))</f>
        <v>33.389949039802566</v>
      </c>
      <c r="N114" s="156">
        <f>IF(Assumptions!$L$25=4,VLOOKUP($A114,'Henwood Reference'!$E$9:$R$320,10),(VLOOKUP($A114,PriceTableWeekend,4,0)+IF(BasisNumber&lt;&gt;1,VLOOKUP($A114,BasisTable,2,0),0)+N$1)/(1-N$2))</f>
        <v>33.389949039802566</v>
      </c>
      <c r="O114" s="154">
        <f>IF(Assumptions!$L$25=4,VLOOKUP($A114,'Henwood Reference'!$E$9:$R$320,11),(VLOOKUP($A114,PriceTableWeekend,6,0)+IF(BasisNumber&lt;&gt;1,VLOOKUP($A114,BasisTable,3,0),0)+O$1)/(1-O$2))</f>
        <v>20.411946740192867</v>
      </c>
      <c r="P114" s="154">
        <f>IF(Assumptions!$L$25=4,VLOOKUP($A114,'Henwood Reference'!$E$9:$R$320,11),(VLOOKUP($A114,PriceTableWeekend,7,0)+IF(BasisNumber&lt;&gt;1,VLOOKUP($A114,BasisTable,3,0),0)+P$1)/(1-P$2))</f>
        <v>20.411946740192867</v>
      </c>
      <c r="Q114" s="156">
        <f>IF(Assumptions!$L$25=4,VLOOKUP($A114,'Henwood Reference'!$E$9:$R$320,11),(VLOOKUP($A114,PriceTableWeekend,8,0)+IF(BasisNumber&lt;&gt;1,VLOOKUP($A114,BasisTable,3,0),0)+Q$1)/(1-Q$2))</f>
        <v>20.411946740192867</v>
      </c>
      <c r="R114" s="154">
        <f>IF(Assumptions!$L$25=4,VLOOKUP($A114,'Henwood Reference'!$E$9:$R$320,11),(VLOOKUP($A114,PriceTable,6,0)+IF(BasisNumber&lt;&gt;1,VLOOKUP($A114,BasisTable,3,0),0)+R$1)/(1-R$2))</f>
        <v>20.411946740192867</v>
      </c>
      <c r="S114" s="154">
        <f>IF(Assumptions!$L$25=4,VLOOKUP($A114,'Henwood Reference'!$E$9:$R$320,11),(VLOOKUP($A114,PriceTable,7,0)+IF(BasisNumber&lt;&gt;1,VLOOKUP($A114,BasisTable,3,0),0)+S$1)/(1-S$2))</f>
        <v>20.411946740192867</v>
      </c>
      <c r="T114" s="155">
        <f>IF(Assumptions!$L$25=4,VLOOKUP($A114,'Henwood Reference'!$E$9:$R$320,11),(VLOOKUP($A114,PriceTable,8,0)+IF(BasisNumber&lt;&gt;1,VLOOKUP($A114,BasisTable,3,0),0)+T$1)/(1-T$2))</f>
        <v>20.411946740192867</v>
      </c>
      <c r="U114" s="173">
        <f t="shared" si="298"/>
        <v>0.13</v>
      </c>
      <c r="V114" s="173">
        <f t="shared" si="299"/>
        <v>0.14000000000000001</v>
      </c>
      <c r="W114" s="174">
        <f t="shared" si="300"/>
        <v>0.15</v>
      </c>
      <c r="X114" s="173">
        <f t="shared" si="301"/>
        <v>0.13</v>
      </c>
      <c r="Y114" s="173">
        <f t="shared" si="302"/>
        <v>0.14000000000000001</v>
      </c>
      <c r="Z114" s="174">
        <f t="shared" si="303"/>
        <v>0.15</v>
      </c>
      <c r="AA114" s="173">
        <f t="shared" si="304"/>
        <v>0.09</v>
      </c>
      <c r="AB114" s="173">
        <f t="shared" si="305"/>
        <v>0.11</v>
      </c>
      <c r="AC114" s="174">
        <f t="shared" si="306"/>
        <v>0.13</v>
      </c>
      <c r="AD114" s="173">
        <f t="shared" si="307"/>
        <v>0.09</v>
      </c>
      <c r="AE114" s="173">
        <f t="shared" si="308"/>
        <v>0.11</v>
      </c>
      <c r="AF114" s="174">
        <f t="shared" si="309"/>
        <v>0.13</v>
      </c>
      <c r="AG114" s="173">
        <f t="shared" si="310"/>
        <v>-0.35</v>
      </c>
      <c r="AH114" s="173">
        <f t="shared" si="311"/>
        <v>0.65</v>
      </c>
      <c r="AI114" s="174">
        <f t="shared" si="312"/>
        <v>0.2</v>
      </c>
      <c r="AJ114" s="173">
        <f t="shared" si="313"/>
        <v>-0.35</v>
      </c>
      <c r="AK114" s="173">
        <f t="shared" si="314"/>
        <v>0.65</v>
      </c>
      <c r="AL114" s="174">
        <f t="shared" si="315"/>
        <v>0.2</v>
      </c>
      <c r="AM114" s="173">
        <f t="shared" si="316"/>
        <v>-0.01</v>
      </c>
      <c r="AN114" s="173">
        <f t="shared" si="317"/>
        <v>0.16</v>
      </c>
      <c r="AO114" s="174">
        <f t="shared" si="318"/>
        <v>0.01</v>
      </c>
      <c r="AP114" s="173">
        <f t="shared" si="319"/>
        <v>-0.01</v>
      </c>
      <c r="AQ114" s="173">
        <f t="shared" si="320"/>
        <v>0.16</v>
      </c>
      <c r="AR114" s="175">
        <f t="shared" si="321"/>
        <v>0.01</v>
      </c>
      <c r="AS114" s="521">
        <f t="shared" ref="AS114:AS129" si="357">IF(CorrPeakOffPeakOverFlag,INDEX(CorrPeakOffPeakOver,C114),CorrPeakOffPeak)</f>
        <v>0.5</v>
      </c>
      <c r="AT114" s="349">
        <f t="shared" si="355"/>
        <v>21</v>
      </c>
      <c r="AU114" s="159">
        <f t="shared" si="240"/>
        <v>4</v>
      </c>
      <c r="AV114" s="159">
        <f t="shared" si="241"/>
        <v>5</v>
      </c>
      <c r="AW114" s="159">
        <f t="shared" ref="AW114:AW129" si="358">IF(OR(E114="",D114="",D114&lt;BegDate,D114&gt;EndDate),0,1)</f>
        <v>0</v>
      </c>
      <c r="AX114" s="15">
        <f t="shared" si="356"/>
        <v>30</v>
      </c>
      <c r="AY114" s="607">
        <f>IF(E114="",0,MIN((1-(1-VLOOKUP(B114,MAIN!$AA$7:$AM$28,C114+1))*(1-VLOOKUP(B114,MAIN!$AA$33:$AM$54,C114+1))),1))</f>
        <v>3.0000000000000027E-2</v>
      </c>
      <c r="AZ114" s="337">
        <v>48888</v>
      </c>
      <c r="BA114" s="509">
        <v>9312</v>
      </c>
      <c r="BB114" s="509">
        <v>11640</v>
      </c>
      <c r="BC114" s="511">
        <v>34920</v>
      </c>
      <c r="BD114" s="153">
        <v>0.97000000722706314</v>
      </c>
      <c r="BE114" s="474">
        <v>0.97000000722706314</v>
      </c>
      <c r="BF114" s="474">
        <v>0.97000000722706314</v>
      </c>
      <c r="BG114" s="515">
        <v>0.97000000722706314</v>
      </c>
      <c r="BH114" s="262">
        <v>195552</v>
      </c>
      <c r="BI114" s="509">
        <v>37248</v>
      </c>
      <c r="BJ114" s="509">
        <v>46560</v>
      </c>
      <c r="BK114" s="511">
        <v>139680</v>
      </c>
      <c r="BL114" s="153">
        <v>0.97000000722706314</v>
      </c>
      <c r="BM114" s="474">
        <v>0.97000000722706314</v>
      </c>
      <c r="BN114" s="474">
        <v>0.97000000722706314</v>
      </c>
      <c r="BO114" s="474">
        <v>0.97000000722706314</v>
      </c>
      <c r="BP114" s="261">
        <f t="shared" si="324"/>
        <v>69840</v>
      </c>
      <c r="BQ114" s="578">
        <f t="shared" si="325"/>
        <v>104760</v>
      </c>
      <c r="BR114" s="259">
        <f t="shared" si="326"/>
        <v>279360</v>
      </c>
      <c r="BS114" s="578">
        <f t="shared" si="327"/>
        <v>419040</v>
      </c>
      <c r="BT114" s="216">
        <f t="shared" si="328"/>
        <v>8.131416837782341</v>
      </c>
      <c r="BU114" s="218">
        <f t="shared" si="243"/>
        <v>33.389949288577071</v>
      </c>
      <c r="BV114" s="216">
        <f t="shared" si="244"/>
        <v>33.389949288577071</v>
      </c>
      <c r="BW114" s="216">
        <f t="shared" si="245"/>
        <v>20.411946892273718</v>
      </c>
      <c r="BX114" s="216">
        <f t="shared" si="329"/>
        <v>20.411946892273718</v>
      </c>
      <c r="BY114" s="216">
        <f t="shared" si="246"/>
        <v>31.226948889193178</v>
      </c>
      <c r="BZ114" s="216">
        <f t="shared" si="247"/>
        <v>27.621948223553357</v>
      </c>
      <c r="CA114" s="264">
        <f t="shared" si="248"/>
        <v>33.389949288577071</v>
      </c>
      <c r="CB114" s="216">
        <f t="shared" si="249"/>
        <v>33.389949288577071</v>
      </c>
      <c r="CC114" s="216">
        <f t="shared" si="250"/>
        <v>20.411946892273718</v>
      </c>
      <c r="CD114" s="216">
        <f t="shared" si="330"/>
        <v>20.411946892273718</v>
      </c>
      <c r="CE114" s="216">
        <f t="shared" si="251"/>
        <v>31.226948889193178</v>
      </c>
      <c r="CF114" s="571">
        <f t="shared" si="252"/>
        <v>27.621948223553357</v>
      </c>
      <c r="CG114" s="573">
        <f t="shared" si="253"/>
        <v>0.14000000000000001</v>
      </c>
      <c r="CH114" s="219">
        <f t="shared" si="254"/>
        <v>0.14000000000000001</v>
      </c>
      <c r="CI114" s="219">
        <f t="shared" si="255"/>
        <v>0.11</v>
      </c>
      <c r="CJ114" s="219">
        <f t="shared" si="256"/>
        <v>0.13677995887768965</v>
      </c>
      <c r="CK114" s="219">
        <f t="shared" si="257"/>
        <v>0.13677995887768965</v>
      </c>
      <c r="CL114" s="219">
        <f t="shared" si="258"/>
        <v>0.11</v>
      </c>
      <c r="CM114" s="219">
        <f t="shared" si="259"/>
        <v>0.11945360927345215</v>
      </c>
      <c r="CN114" s="569">
        <f t="shared" si="260"/>
        <v>0.11945360927345215</v>
      </c>
      <c r="CO114" s="264">
        <f t="shared" si="343"/>
        <v>18.635042178080401</v>
      </c>
      <c r="CP114" s="216">
        <f t="shared" si="331"/>
        <v>18.635042178080401</v>
      </c>
      <c r="CQ114" s="216">
        <f t="shared" ca="1" si="192"/>
        <v>23.959339943246228</v>
      </c>
      <c r="CR114" s="216">
        <f t="shared" ca="1" si="193"/>
        <v>23.959339943246228</v>
      </c>
      <c r="CS114" s="1626">
        <f t="shared" ca="1" si="194"/>
        <v>21.001396740376325</v>
      </c>
      <c r="CT114" s="216">
        <f t="shared" si="332"/>
        <v>18.635042178080401</v>
      </c>
      <c r="CU114" s="575">
        <f t="shared" si="261"/>
        <v>0.16</v>
      </c>
      <c r="CV114" s="154">
        <f t="shared" si="262"/>
        <v>0.5</v>
      </c>
      <c r="CW114" s="216">
        <f>IF(OR($BQ114,$BS114),SpreadOptPowerMargin,0)*((1+Assumptions!$C$26)^($B114-YEAR(Assumptions!$C$17)))</f>
        <v>1.9873454457600002</v>
      </c>
      <c r="CX114" s="216">
        <f>IF(OR($BQ114,$BS114),SpreadOptPowerMargin,0)*((1+Assumptions!$C$26)^($B114-YEAR(Assumptions!$C$17)))</f>
        <v>1.9873454457600002</v>
      </c>
      <c r="CY114" s="216">
        <f>IF(OR($BQ114,$BS114),SpreadOptPowerMargin,0)*((1+Assumptions!$C$26)^($B114-YEAR(Assumptions!$C$17)))</f>
        <v>1.9873454457600002</v>
      </c>
      <c r="CZ114" s="216">
        <f>IF(OR($BQ114,$BS114),SpreadOptPowerMargin,0)*((1+Assumptions!$C$26)^($B114-YEAR(Assumptions!$C$17)))</f>
        <v>1.9873454457600002</v>
      </c>
      <c r="DA114" s="440">
        <f t="shared" si="263"/>
        <v>1.9873454457600002</v>
      </c>
      <c r="DB114" s="479">
        <f t="shared" si="264"/>
        <v>0.14000000000000001</v>
      </c>
      <c r="DC114" s="479">
        <f t="shared" si="265"/>
        <v>0.14000000000000001</v>
      </c>
      <c r="DD114" s="479">
        <f t="shared" si="266"/>
        <v>0.11</v>
      </c>
      <c r="DE114" s="479">
        <f t="shared" si="267"/>
        <v>0.11</v>
      </c>
      <c r="DF114" s="479">
        <f t="shared" si="268"/>
        <v>0.11945360927345215</v>
      </c>
      <c r="DG114" s="574">
        <f t="shared" si="269"/>
        <v>0.11945360927345215</v>
      </c>
      <c r="DH114" s="216">
        <f t="shared" si="270"/>
        <v>13.385721360926356</v>
      </c>
      <c r="DI114" s="216">
        <f t="shared" si="271"/>
        <v>13.385721360926356</v>
      </c>
      <c r="DJ114" s="216">
        <f t="shared" ca="1" si="195"/>
        <v>1.3611562750809225</v>
      </c>
      <c r="DK114" s="216">
        <f t="shared" ca="1" si="196"/>
        <v>1.3611562750809225</v>
      </c>
      <c r="DL114" s="216">
        <f t="shared" ca="1" si="197"/>
        <v>6.6098971542562328</v>
      </c>
      <c r="DM114" s="216"/>
      <c r="DN114" s="216"/>
      <c r="DO114" s="216"/>
      <c r="DP114" s="216"/>
      <c r="DQ114" s="216"/>
      <c r="DR114" s="216"/>
      <c r="DS114" s="216"/>
      <c r="DT114" s="216"/>
      <c r="DU114" s="216"/>
      <c r="DV114" s="216"/>
      <c r="DW114" s="1371">
        <f t="shared" si="272"/>
        <v>2.9267396812286739</v>
      </c>
      <c r="DX114" s="216">
        <f t="shared" si="273"/>
        <v>2.9267396812286739</v>
      </c>
      <c r="DY114" s="440">
        <f t="shared" si="274"/>
        <v>8.7372850588384967</v>
      </c>
      <c r="DZ114" s="180">
        <f t="shared" si="275"/>
        <v>654401.1458929677</v>
      </c>
      <c r="EA114" s="180">
        <f t="shared" si="276"/>
        <v>124647.83731294623</v>
      </c>
      <c r="EB114" s="180">
        <f t="shared" ca="1" si="198"/>
        <v>15843.859041941938</v>
      </c>
      <c r="EC114" s="180">
        <f t="shared" ca="1" si="199"/>
        <v>47531.577125825817</v>
      </c>
      <c r="ED114" s="180">
        <f t="shared" ca="1" si="200"/>
        <v>692452.8258798829</v>
      </c>
      <c r="EE114" s="581">
        <f t="shared" si="277"/>
        <v>624180.5546656464</v>
      </c>
      <c r="EF114" s="554">
        <f t="shared" si="278"/>
        <v>118891.53422202788</v>
      </c>
      <c r="EG114" s="554">
        <f t="shared" ca="1" si="201"/>
        <v>0</v>
      </c>
      <c r="EH114" s="554">
        <f t="shared" ca="1" si="202"/>
        <v>0</v>
      </c>
      <c r="EI114" s="561">
        <f t="shared" ca="1" si="279"/>
        <v>485374.6644798083</v>
      </c>
      <c r="EJ114" s="581">
        <f t="shared" si="333"/>
        <v>30220.591227321303</v>
      </c>
      <c r="EK114" s="554">
        <f t="shared" si="334"/>
        <v>5756.3030909183435</v>
      </c>
      <c r="EL114" s="554">
        <f t="shared" ca="1" si="203"/>
        <v>15843.859041941938</v>
      </c>
      <c r="EM114" s="554">
        <f t="shared" ca="1" si="204"/>
        <v>47531.577125825817</v>
      </c>
      <c r="EN114" s="561">
        <f t="shared" ca="1" si="205"/>
        <v>207078.1614000746</v>
      </c>
      <c r="EO114" s="180">
        <f t="shared" si="280"/>
        <v>2617604.5835718708</v>
      </c>
      <c r="EP114" s="180">
        <f t="shared" si="281"/>
        <v>498591.34925178491</v>
      </c>
      <c r="EQ114" s="180">
        <f t="shared" si="282"/>
        <v>136268.99955800705</v>
      </c>
      <c r="ER114" s="180">
        <f t="shared" si="283"/>
        <v>408806.99867402116</v>
      </c>
      <c r="ES114" s="180">
        <f t="shared" si="284"/>
        <v>3661271.9310556836</v>
      </c>
      <c r="ET114" s="1482">
        <f t="shared" ca="1" si="206"/>
        <v>2496722.2186625856</v>
      </c>
      <c r="EU114" s="180">
        <f t="shared" ca="1" si="207"/>
        <v>475566.13688811153</v>
      </c>
      <c r="EV114" s="180">
        <f t="shared" ca="1" si="208"/>
        <v>0</v>
      </c>
      <c r="EW114" s="180">
        <f t="shared" ca="1" si="209"/>
        <v>0</v>
      </c>
      <c r="EX114" s="555">
        <f t="shared" ca="1" si="351"/>
        <v>2972288.3555506971</v>
      </c>
      <c r="EY114" s="180">
        <f t="shared" ca="1" si="210"/>
        <v>120882.36490928521</v>
      </c>
      <c r="EZ114" s="180">
        <f t="shared" ca="1" si="211"/>
        <v>23025.212363673374</v>
      </c>
      <c r="FA114" s="180">
        <f t="shared" ca="1" si="212"/>
        <v>136268.99955800705</v>
      </c>
      <c r="FB114" s="180">
        <f t="shared" ca="1" si="213"/>
        <v>408806.99867402116</v>
      </c>
      <c r="FC114" s="180">
        <f t="shared" ca="1" si="214"/>
        <v>688983.57550498657</v>
      </c>
      <c r="FD114" s="262">
        <f>IF(AX114,IF(VLOOKUP(C114,MAIN!$L$17:$M$28,2)="Yes",VLOOKUP(CALC!B114,MAIN!$H$17:$I$20,2),0),0)</f>
        <v>0</v>
      </c>
      <c r="FE114" s="623">
        <f t="shared" si="285"/>
        <v>0</v>
      </c>
      <c r="FF114" s="535">
        <f t="shared" si="286"/>
        <v>0</v>
      </c>
      <c r="FG114" s="535">
        <f t="shared" si="287"/>
        <v>0</v>
      </c>
      <c r="FH114" s="624">
        <f t="shared" si="288"/>
        <v>0</v>
      </c>
      <c r="FI114" s="632">
        <f>IF(AX114,VLOOKUP(CALC!B114,MAIN!$H$17:$K$20,4),0)</f>
        <v>0</v>
      </c>
      <c r="FJ114" s="535">
        <f t="shared" si="289"/>
        <v>0</v>
      </c>
      <c r="FK114" s="648">
        <f t="shared" si="335"/>
        <v>0</v>
      </c>
      <c r="FL114" s="530">
        <f t="shared" ca="1" si="215"/>
        <v>0</v>
      </c>
      <c r="FM114" s="530">
        <f t="shared" ca="1" si="216"/>
        <v>0</v>
      </c>
      <c r="FN114" s="530">
        <f t="shared" ca="1" si="217"/>
        <v>0</v>
      </c>
      <c r="FO114" s="622">
        <f t="shared" ca="1" si="218"/>
        <v>0</v>
      </c>
      <c r="FP114" s="530">
        <f t="shared" ca="1" si="219"/>
        <v>0</v>
      </c>
      <c r="FQ114" s="530">
        <f t="shared" ca="1" si="220"/>
        <v>0</v>
      </c>
      <c r="FR114" s="530">
        <f t="shared" ca="1" si="221"/>
        <v>0</v>
      </c>
      <c r="FS114" s="625">
        <f t="shared" ca="1" si="222"/>
        <v>0</v>
      </c>
      <c r="FT114" s="640">
        <f ca="1">IF(AND(Assumptions!$H$71="Yes",A114&gt;=Assumptions!$H$72,A114&lt;=Assumptions!$H$73),0,IF(AND($A114&gt;=Assumptions!$C$17,$A114&lt;=Assumptions!$C$18),MAX(AZ114*(1+VLOOKUP($C114,WeatherCapacityAdjustment,2))-FL114,0),0))</f>
        <v>48888</v>
      </c>
      <c r="FU114" s="530">
        <f ca="1">IF(AND(Assumptions!$H$71="Yes",A114&gt;=Assumptions!$H$72,A114&lt;=Assumptions!$H$73),0,IF(AND($A114&gt;=Assumptions!$C$17,$A114&lt;=Assumptions!$C$18),MAX(BA114*(1+VLOOKUP($C114,WeatherCapacityAdjustment,2))-FM114,0),0))</f>
        <v>9312</v>
      </c>
      <c r="FV114" s="530">
        <f ca="1">IF(AND(Assumptions!$H$71="Yes",A114&gt;=Assumptions!$H$72,A114&lt;=Assumptions!$H$73),0,IF(AND($A114&gt;=Assumptions!$C$17,$A114&lt;=Assumptions!$C$18),MAX(BB114*(1+VLOOKUP($C114,WeatherCapacityAdjustment,2))-FN114,0),0))</f>
        <v>11640</v>
      </c>
      <c r="FW114" s="622">
        <f ca="1">IF(AND(Assumptions!$H$71="Yes",A114&gt;=Assumptions!$H$72,A114&lt;=Assumptions!$H$73),0,IF(AND($A114&gt;=Assumptions!$C$17,$A114&lt;=Assumptions!$C$18),MAX(BC114*(1+VLOOKUP($C114,WeatherCapacityAdjustment,3))-FO114,0),0))</f>
        <v>34920</v>
      </c>
      <c r="FX114" s="621">
        <f ca="1">IF(AND(Assumptions!$H$71="Yes",A114&gt;=Assumptions!$H$72,A114&lt;=Assumptions!$H$73),0,IF(ET114&gt;0,MAX(BH114*(1+VLOOKUP($C114,WeatherCapacityAdjustment,2))-FP114,0),0))</f>
        <v>195552</v>
      </c>
      <c r="FY114" s="530">
        <f ca="1">IF(AND(Assumptions!$H$71="Yes",A114&gt;=Assumptions!$H$72,A114&lt;=Assumptions!$H$73),0,IF(EU114&gt;0,MAX(BI114*(1+VLOOKUP($C114,WeatherCapacityAdjustment,3))-FQ114,0),0))</f>
        <v>37248</v>
      </c>
      <c r="FZ114" s="530">
        <f ca="1">IF(AND(Assumptions!$H$71="Yes",A114&gt;=Assumptions!$H$72,A114&lt;=Assumptions!$H$73),0,IF(EV114&gt;0,MAX(BJ114*(1+VLOOKUP($C114,WeatherCapacityAdjustment,2))-FR114,0),0))</f>
        <v>0</v>
      </c>
      <c r="GA114" s="622">
        <f ca="1">IF(AND(Assumptions!$H$71="Yes",A114&gt;=Assumptions!$H$72,A114&lt;=Assumptions!$H$73),0,IF(EW114&gt;0,MAX(BK114*(1+VLOOKUP($C114,WeatherCapacityAdjustment,2))-FS114,0),0))</f>
        <v>0</v>
      </c>
      <c r="GB114" s="530">
        <f t="shared" ca="1" si="290"/>
        <v>337560</v>
      </c>
      <c r="GC114" s="545">
        <f t="shared" ca="1" si="291"/>
        <v>31.599879992535229</v>
      </c>
      <c r="GD114" s="530">
        <f t="shared" ca="1" si="223"/>
        <v>10666855.49028019</v>
      </c>
      <c r="GE114" s="1485">
        <f t="shared" ca="1" si="224"/>
        <v>844869.61199999996</v>
      </c>
      <c r="GF114" s="1776">
        <f t="shared" ca="1" si="225"/>
        <v>1665940.08</v>
      </c>
      <c r="GG114" s="545">
        <f t="shared" ref="GG114:GG177" si="359">IF(BQ114,VLOOKUP(A114,GasTable,13),0)</f>
        <v>2.604077944422297</v>
      </c>
      <c r="GH114" s="622">
        <f t="shared" ref="GH114:GH177" ca="1" si="360">(GE114+GF114)*GG114</f>
        <v>6538344.1415789397</v>
      </c>
      <c r="GI114" s="621">
        <f t="shared" ca="1" si="336"/>
        <v>337560</v>
      </c>
      <c r="GJ114" s="638">
        <f t="shared" si="292"/>
        <v>1.9873454457600002</v>
      </c>
      <c r="GK114" s="625">
        <f t="shared" ca="1" si="342"/>
        <v>670848.3286707456</v>
      </c>
      <c r="GL114" s="640">
        <f t="shared" ca="1" si="226"/>
        <v>0</v>
      </c>
      <c r="GM114" s="530">
        <f t="shared" ca="1" si="227"/>
        <v>0</v>
      </c>
      <c r="GN114" s="530">
        <f t="shared" ca="1" si="228"/>
        <v>0</v>
      </c>
      <c r="GO114" s="622">
        <f t="shared" ca="1" si="229"/>
        <v>0</v>
      </c>
      <c r="GP114" s="530">
        <f t="shared" ca="1" si="293"/>
        <v>0</v>
      </c>
      <c r="GQ114" s="545">
        <f t="shared" ca="1" si="294"/>
        <v>0</v>
      </c>
      <c r="GR114" s="625">
        <f t="shared" ca="1" si="230"/>
        <v>0</v>
      </c>
      <c r="GS114" s="640">
        <f>IF($A114&gt;=BegDate,Assumptions!$C$56*24*($A115-$A114)*(1-VLOOKUP($B114,MAIN!$AA$7:$AM$28,$C114+1))*(1-VLOOKUP($B114,MAIN!$AA$33:$AM$54,$C114+1)),0)*80/168</f>
        <v>249428.57142857142</v>
      </c>
      <c r="GT114" s="1715">
        <f t="shared" si="337"/>
        <v>33.389949039802566</v>
      </c>
      <c r="GU114" s="1715">
        <f>IF($A114&gt;=BegDate,VLOOKUP($A114,GasTable,13)+Assumptions!$C$58,0)</f>
        <v>2.604077944422297</v>
      </c>
      <c r="GV114" s="1715">
        <f>GU114*Assumptions!$C$57/1000</f>
        <v>18.879565097061651</v>
      </c>
      <c r="GW114" s="625">
        <f>IF(Assumptions!$C$60="Hourly",MAX(0,GS114*(GT114-GV114)),GS114*(GT114-GV114))</f>
        <v>3619304.3377179485</v>
      </c>
      <c r="GX114" s="640">
        <f>IF($A114&gt;=BegDate,Assumptions!$C$56*24*($A115-$A114)*(1-VLOOKUP($B114,MAIN!$AA$7:$AM$28,$C114+1))*(1-VLOOKUP($B114,MAIN!$AA$33:$AM$54,$C114+1)),0)*16/168</f>
        <v>49885.714285714283</v>
      </c>
      <c r="GY114" s="1715">
        <f t="shared" si="338"/>
        <v>33.389949039802566</v>
      </c>
      <c r="GZ114" s="1715">
        <f>IF($A114&gt;=BegDate,VLOOKUP($A114,GasTable,13)+Assumptions!$C$58,0)</f>
        <v>2.604077944422297</v>
      </c>
      <c r="HA114" s="1715">
        <f>GZ114*Assumptions!$C$57/1000</f>
        <v>18.879565097061651</v>
      </c>
      <c r="HB114" s="625">
        <f>IF(Assumptions!$C$60="Hourly",MAX(0,GX114*(GY114-HA114)),GX114*(GY114-HA114))</f>
        <v>723860.86754358967</v>
      </c>
      <c r="HC114" s="640">
        <f>IF($A114&gt;=BegDate,Assumptions!$C$56*24*($A115-$A114)*(1-VLOOKUP($B114,MAIN!$AA$7:$AM$28,$C114+1))*(1-VLOOKUP($B114,MAIN!$AA$33:$AM$54,$C114+1)),0)*16/168</f>
        <v>49885.714285714283</v>
      </c>
      <c r="HD114" s="1715">
        <f t="shared" si="339"/>
        <v>20.411946740192867</v>
      </c>
      <c r="HE114" s="1715">
        <f>IF($A114&gt;=BegDate,VLOOKUP($A114,GasTable,13)+Assumptions!$C$58,0)</f>
        <v>2.604077944422297</v>
      </c>
      <c r="HF114" s="1715">
        <f>HE114*Assumptions!$C$57/1000</f>
        <v>18.879565097061651</v>
      </c>
      <c r="HG114" s="625">
        <f>IF(Assumptions!$C$60="Hourly",MAX(0,HC114*(HD114-HF114)),HC114*(HD114-HF114))</f>
        <v>76443.952825917266</v>
      </c>
      <c r="HH114" s="640">
        <f>IF($A114&gt;=BegDate,Assumptions!$C$56*24*($A115-$A114)*(1-VLOOKUP($B114,MAIN!$AA$7:$AM$28,$C114+1))*(1-VLOOKUP($B114,MAIN!$AA$33:$AM$54,$C114+1)),0)*56/168</f>
        <v>174600</v>
      </c>
      <c r="HI114" s="1715">
        <f t="shared" si="340"/>
        <v>20.411946740192867</v>
      </c>
      <c r="HJ114" s="1715">
        <f>IF($A114&gt;=BegDate,VLOOKUP($A114,GasTable,13)+Assumptions!$C$58,0)</f>
        <v>2.604077944422297</v>
      </c>
      <c r="HK114" s="1715">
        <f>HJ114*Assumptions!$C$57/1000</f>
        <v>18.879565097061651</v>
      </c>
      <c r="HL114" s="625">
        <f>IF(Assumptions!$C$60="Hourly",MAX(0,HH114*(HI114-HK114)),HH114*(HI114-HK114))</f>
        <v>267553.83489071042</v>
      </c>
      <c r="HM114" s="640">
        <f>IF(AND(Assumptions!$H$71="Yes",A114&gt;=Assumptions!$H$72,A114&lt;=Assumptions!$H$73),Assumptions!$H$74*Assumptions!$C$9*1000,0)</f>
        <v>0</v>
      </c>
      <c r="HN114" s="530"/>
      <c r="HO114" s="545"/>
      <c r="HP114" s="545"/>
      <c r="HQ114" s="545"/>
      <c r="HR114" s="545"/>
      <c r="HS114" s="545"/>
      <c r="HT114" s="545"/>
      <c r="HU114" s="545"/>
      <c r="HV114" s="545"/>
      <c r="HW114" s="545"/>
      <c r="HX114" s="545"/>
      <c r="HY114" s="545"/>
      <c r="HZ114" s="545"/>
      <c r="IA114" s="545"/>
      <c r="IB114" s="545"/>
      <c r="IC114" s="545"/>
      <c r="ID114" s="545"/>
      <c r="IE114" s="545"/>
      <c r="IF114" s="545"/>
      <c r="IG114" s="545"/>
      <c r="IH114" s="545"/>
      <c r="II114" s="1464"/>
      <c r="IJ114" s="1463"/>
      <c r="IK114" s="1463"/>
    </row>
    <row r="115" spans="1:245">
      <c r="A115" s="177">
        <f t="shared" si="295"/>
        <v>39630</v>
      </c>
      <c r="B115" s="349">
        <f t="shared" si="296"/>
        <v>2008</v>
      </c>
      <c r="C115" s="15">
        <f t="shared" si="352"/>
        <v>7</v>
      </c>
      <c r="D115" s="612">
        <f t="shared" si="297"/>
        <v>39633</v>
      </c>
      <c r="E115" s="609">
        <f t="shared" si="353"/>
        <v>39630</v>
      </c>
      <c r="F115" s="614">
        <f t="shared" si="354"/>
        <v>39660</v>
      </c>
      <c r="G115" s="1349">
        <v>0</v>
      </c>
      <c r="H115" s="152">
        <f t="shared" si="341"/>
        <v>1</v>
      </c>
      <c r="I115" s="154">
        <f>IF(Assumptions!$L$25=4,VLOOKUP($A115,'Henwood Reference'!$E$9:$R$320,10),(VLOOKUP($A115,PriceTable,2,0)+IF(BasisNumber&lt;&gt;1,VLOOKUP($A115,BasisTable,2,0),0)+I$1)/(1-I$2))</f>
        <v>52.473702705691267</v>
      </c>
      <c r="J115" s="154">
        <f>IF(Assumptions!$L$25=4,VLOOKUP($A115,'Henwood Reference'!$E$9:$R$320,10),(VLOOKUP($A115,PriceTable,3,0)+IF(BasisNumber&lt;&gt;1,VLOOKUP($A115,BasisTable,2,0),0)+J$1)/(1-J$2))</f>
        <v>52.473702705691267</v>
      </c>
      <c r="K115" s="154">
        <f>IF(Assumptions!$L$25=4,VLOOKUP($A115,'Henwood Reference'!$E$9:$R$320,10),(VLOOKUP($A115,PriceTable,4,0)+IF(BasisNumber&lt;&gt;1,VLOOKUP($A115,BasisTable,2,0),0)+K$1)/(1-K$2))</f>
        <v>52.473702705691267</v>
      </c>
      <c r="L115" s="474">
        <f>IF(Assumptions!$L$25=4,VLOOKUP($A115,'Henwood Reference'!$E$9:$R$320,10),(VLOOKUP($A115,PriceTableWeekend,2,0)+IF(BasisNumber&lt;&gt;1,VLOOKUP($A115,BasisTable,2,0),0)+L$1)/(1-L$2))</f>
        <v>52.473702705691267</v>
      </c>
      <c r="M115" s="154">
        <f>IF(Assumptions!$L$25=4,VLOOKUP($A115,'Henwood Reference'!$E$9:$R$320,10),(VLOOKUP($A115,PriceTableWeekend,3,0)+IF(BasisNumber&lt;&gt;1,VLOOKUP($A115,BasisTable,2,0),0)+M$1)/(1-M$2))</f>
        <v>52.473702705691267</v>
      </c>
      <c r="N115" s="156">
        <f>IF(Assumptions!$L$25=4,VLOOKUP($A115,'Henwood Reference'!$E$9:$R$320,10),(VLOOKUP($A115,PriceTableWeekend,4,0)+IF(BasisNumber&lt;&gt;1,VLOOKUP($A115,BasisTable,2,0),0)+N$1)/(1-N$2))</f>
        <v>52.473702705691267</v>
      </c>
      <c r="O115" s="154">
        <f>IF(Assumptions!$L$25=4,VLOOKUP($A115,'Henwood Reference'!$E$9:$R$320,11),(VLOOKUP($A115,PriceTableWeekend,6,0)+IF(BasisNumber&lt;&gt;1,VLOOKUP($A115,BasisTable,3,0),0)+O$1)/(1-O$2))</f>
        <v>26.109491978130684</v>
      </c>
      <c r="P115" s="154">
        <f>IF(Assumptions!$L$25=4,VLOOKUP($A115,'Henwood Reference'!$E$9:$R$320,11),(VLOOKUP($A115,PriceTableWeekend,7,0)+IF(BasisNumber&lt;&gt;1,VLOOKUP($A115,BasisTable,3,0),0)+P$1)/(1-P$2))</f>
        <v>26.109491978130684</v>
      </c>
      <c r="Q115" s="156">
        <f>IF(Assumptions!$L$25=4,VLOOKUP($A115,'Henwood Reference'!$E$9:$R$320,11),(VLOOKUP($A115,PriceTableWeekend,8,0)+IF(BasisNumber&lt;&gt;1,VLOOKUP($A115,BasisTable,3,0),0)+Q$1)/(1-Q$2))</f>
        <v>26.109491978130684</v>
      </c>
      <c r="R115" s="154">
        <f>IF(Assumptions!$L$25=4,VLOOKUP($A115,'Henwood Reference'!$E$9:$R$320,11),(VLOOKUP($A115,PriceTable,6,0)+IF(BasisNumber&lt;&gt;1,VLOOKUP($A115,BasisTable,3,0),0)+R$1)/(1-R$2))</f>
        <v>26.109491978130684</v>
      </c>
      <c r="S115" s="154">
        <f>IF(Assumptions!$L$25=4,VLOOKUP($A115,'Henwood Reference'!$E$9:$R$320,11),(VLOOKUP($A115,PriceTable,7,0)+IF(BasisNumber&lt;&gt;1,VLOOKUP($A115,BasisTable,3,0),0)+S$1)/(1-S$2))</f>
        <v>26.109491978130684</v>
      </c>
      <c r="T115" s="155">
        <f>IF(Assumptions!$L$25=4,VLOOKUP($A115,'Henwood Reference'!$E$9:$R$320,11),(VLOOKUP($A115,PriceTable,8,0)+IF(BasisNumber&lt;&gt;1,VLOOKUP($A115,BasisTable,3,0),0)+T$1)/(1-T$2))</f>
        <v>26.109491978130684</v>
      </c>
      <c r="U115" s="173">
        <f t="shared" si="298"/>
        <v>0.13</v>
      </c>
      <c r="V115" s="173">
        <f t="shared" si="299"/>
        <v>0.14000000000000001</v>
      </c>
      <c r="W115" s="174">
        <f t="shared" si="300"/>
        <v>0.15</v>
      </c>
      <c r="X115" s="173">
        <f t="shared" si="301"/>
        <v>0.13</v>
      </c>
      <c r="Y115" s="173">
        <f t="shared" si="302"/>
        <v>0.14000000000000001</v>
      </c>
      <c r="Z115" s="174">
        <f t="shared" si="303"/>
        <v>0.15</v>
      </c>
      <c r="AA115" s="173">
        <f t="shared" si="304"/>
        <v>0.09</v>
      </c>
      <c r="AB115" s="173">
        <f t="shared" si="305"/>
        <v>0.11</v>
      </c>
      <c r="AC115" s="174">
        <f t="shared" si="306"/>
        <v>0.13</v>
      </c>
      <c r="AD115" s="173">
        <f t="shared" si="307"/>
        <v>0.09</v>
      </c>
      <c r="AE115" s="173">
        <f t="shared" si="308"/>
        <v>0.11</v>
      </c>
      <c r="AF115" s="174">
        <f t="shared" si="309"/>
        <v>0.13</v>
      </c>
      <c r="AG115" s="173">
        <f t="shared" si="310"/>
        <v>-0.35</v>
      </c>
      <c r="AH115" s="173">
        <f t="shared" si="311"/>
        <v>3</v>
      </c>
      <c r="AI115" s="174">
        <f t="shared" si="312"/>
        <v>0.35</v>
      </c>
      <c r="AJ115" s="173">
        <f t="shared" si="313"/>
        <v>-0.35</v>
      </c>
      <c r="AK115" s="173">
        <f t="shared" si="314"/>
        <v>3</v>
      </c>
      <c r="AL115" s="174">
        <f t="shared" si="315"/>
        <v>0.35</v>
      </c>
      <c r="AM115" s="173">
        <f t="shared" si="316"/>
        <v>-0.01</v>
      </c>
      <c r="AN115" s="173">
        <f t="shared" si="317"/>
        <v>0.16</v>
      </c>
      <c r="AO115" s="174">
        <f t="shared" si="318"/>
        <v>0.01</v>
      </c>
      <c r="AP115" s="173">
        <f t="shared" si="319"/>
        <v>-0.01</v>
      </c>
      <c r="AQ115" s="173">
        <f t="shared" si="320"/>
        <v>0.16</v>
      </c>
      <c r="AR115" s="175">
        <f t="shared" si="321"/>
        <v>0.01</v>
      </c>
      <c r="AS115" s="521">
        <f t="shared" si="357"/>
        <v>0.5</v>
      </c>
      <c r="AT115" s="349">
        <f t="shared" si="355"/>
        <v>22</v>
      </c>
      <c r="AU115" s="159">
        <f t="shared" si="240"/>
        <v>4</v>
      </c>
      <c r="AV115" s="159">
        <f t="shared" si="241"/>
        <v>4</v>
      </c>
      <c r="AW115" s="159">
        <f t="shared" si="358"/>
        <v>1</v>
      </c>
      <c r="AX115" s="15">
        <f t="shared" si="356"/>
        <v>31</v>
      </c>
      <c r="AY115" s="607">
        <f>IF(E115="",0,MIN((1-(1-VLOOKUP(B115,MAIN!$AA$7:$AM$28,C115+1))*(1-VLOOKUP(B115,MAIN!$AA$33:$AM$54,C115+1))),1))</f>
        <v>3.0000000000000027E-2</v>
      </c>
      <c r="AZ115" s="337">
        <v>51216</v>
      </c>
      <c r="BA115" s="509">
        <v>9312</v>
      </c>
      <c r="BB115" s="509">
        <v>11640</v>
      </c>
      <c r="BC115" s="511">
        <v>36084</v>
      </c>
      <c r="BD115" s="153">
        <v>0.97000000361353156</v>
      </c>
      <c r="BE115" s="474">
        <v>0.97000000361353156</v>
      </c>
      <c r="BF115" s="474">
        <v>0.97000000361353156</v>
      </c>
      <c r="BG115" s="515">
        <v>0.96999998554587363</v>
      </c>
      <c r="BH115" s="262">
        <v>204864</v>
      </c>
      <c r="BI115" s="509">
        <v>37248</v>
      </c>
      <c r="BJ115" s="509">
        <v>46560</v>
      </c>
      <c r="BK115" s="511">
        <v>144336</v>
      </c>
      <c r="BL115" s="153">
        <v>0.97000000361353156</v>
      </c>
      <c r="BM115" s="474">
        <v>0.97000000361353156</v>
      </c>
      <c r="BN115" s="474">
        <v>0.97000000361353156</v>
      </c>
      <c r="BO115" s="474">
        <v>0.96999998554587363</v>
      </c>
      <c r="BP115" s="261">
        <f t="shared" si="324"/>
        <v>72168</v>
      </c>
      <c r="BQ115" s="578">
        <f t="shared" si="325"/>
        <v>108252</v>
      </c>
      <c r="BR115" s="259">
        <f t="shared" si="326"/>
        <v>288672</v>
      </c>
      <c r="BS115" s="578">
        <f t="shared" si="327"/>
        <v>433008</v>
      </c>
      <c r="BT115" s="216">
        <f t="shared" si="328"/>
        <v>8.2135523613963031</v>
      </c>
      <c r="BU115" s="218">
        <f t="shared" si="243"/>
        <v>52.473702901171045</v>
      </c>
      <c r="BV115" s="216">
        <f t="shared" si="244"/>
        <v>52.473702901171045</v>
      </c>
      <c r="BW115" s="216">
        <f t="shared" si="245"/>
        <v>26.109492075396123</v>
      </c>
      <c r="BX115" s="216">
        <f t="shared" si="329"/>
        <v>26.109491589068938</v>
      </c>
      <c r="BY115" s="216">
        <f t="shared" si="246"/>
        <v>48.221410832497675</v>
      </c>
      <c r="BZ115" s="216">
        <f t="shared" si="247"/>
        <v>40.850771084688091</v>
      </c>
      <c r="CA115" s="264">
        <f t="shared" si="248"/>
        <v>52.473702901171045</v>
      </c>
      <c r="CB115" s="216">
        <f t="shared" si="249"/>
        <v>52.473702901171045</v>
      </c>
      <c r="CC115" s="216">
        <f t="shared" si="250"/>
        <v>26.109492075396123</v>
      </c>
      <c r="CD115" s="216">
        <f t="shared" si="330"/>
        <v>26.109491589068938</v>
      </c>
      <c r="CE115" s="216">
        <f t="shared" si="251"/>
        <v>48.221410832497675</v>
      </c>
      <c r="CF115" s="571">
        <f t="shared" si="252"/>
        <v>40.850771084688091</v>
      </c>
      <c r="CG115" s="573">
        <f t="shared" si="253"/>
        <v>0.14000000000000001</v>
      </c>
      <c r="CH115" s="219">
        <f t="shared" si="254"/>
        <v>0.14000000000000001</v>
      </c>
      <c r="CI115" s="219">
        <f t="shared" si="255"/>
        <v>0.11</v>
      </c>
      <c r="CJ115" s="219">
        <f t="shared" si="256"/>
        <v>0.13742026633625631</v>
      </c>
      <c r="CK115" s="219">
        <f t="shared" si="257"/>
        <v>0.13742026633625631</v>
      </c>
      <c r="CL115" s="219">
        <f t="shared" si="258"/>
        <v>0.11</v>
      </c>
      <c r="CM115" s="219">
        <f t="shared" si="259"/>
        <v>0.12203913710944102</v>
      </c>
      <c r="CN115" s="569">
        <f t="shared" si="260"/>
        <v>0.12203913710944102</v>
      </c>
      <c r="CO115" s="264">
        <f t="shared" si="343"/>
        <v>19.120446246257409</v>
      </c>
      <c r="CP115" s="216">
        <f t="shared" si="331"/>
        <v>19.120446246257409</v>
      </c>
      <c r="CQ115" s="216">
        <f t="shared" ca="1" si="192"/>
        <v>19.120446246257409</v>
      </c>
      <c r="CR115" s="216">
        <f t="shared" ca="1" si="193"/>
        <v>19.120446246257409</v>
      </c>
      <c r="CS115" s="1626">
        <f t="shared" ca="1" si="194"/>
        <v>19.120446246257412</v>
      </c>
      <c r="CT115" s="216">
        <f t="shared" si="332"/>
        <v>19.120446246257409</v>
      </c>
      <c r="CU115" s="575">
        <f t="shared" si="261"/>
        <v>0.16</v>
      </c>
      <c r="CV115" s="154">
        <f t="shared" si="262"/>
        <v>0.5</v>
      </c>
      <c r="CW115" s="216">
        <f>IF(OR($BQ115,$BS115),SpreadOptPowerMargin,0)*((1+Assumptions!$C$26)^($B115-YEAR(Assumptions!$C$17)))</f>
        <v>1.9873454457600002</v>
      </c>
      <c r="CX115" s="216">
        <f>IF(OR($BQ115,$BS115),SpreadOptPowerMargin,0)*((1+Assumptions!$C$26)^($B115-YEAR(Assumptions!$C$17)))</f>
        <v>1.9873454457600002</v>
      </c>
      <c r="CY115" s="216">
        <f>IF(OR($BQ115,$BS115),SpreadOptPowerMargin,0)*((1+Assumptions!$C$26)^($B115-YEAR(Assumptions!$C$17)))</f>
        <v>1.9873454457600002</v>
      </c>
      <c r="CZ115" s="216">
        <f>IF(OR($BQ115,$BS115),SpreadOptPowerMargin,0)*((1+Assumptions!$C$26)^($B115-YEAR(Assumptions!$C$17)))</f>
        <v>1.9873454457600002</v>
      </c>
      <c r="DA115" s="440">
        <f t="shared" si="263"/>
        <v>1.9873454457600002</v>
      </c>
      <c r="DB115" s="479">
        <f t="shared" si="264"/>
        <v>0.14000000000000001</v>
      </c>
      <c r="DC115" s="479">
        <f t="shared" si="265"/>
        <v>0.14000000000000001</v>
      </c>
      <c r="DD115" s="479">
        <f t="shared" si="266"/>
        <v>0.11</v>
      </c>
      <c r="DE115" s="479">
        <f t="shared" si="267"/>
        <v>0.11</v>
      </c>
      <c r="DF115" s="479">
        <f t="shared" si="268"/>
        <v>0.12203913710944102</v>
      </c>
      <c r="DG115" s="574">
        <f t="shared" si="269"/>
        <v>0.12203913710944102</v>
      </c>
      <c r="DH115" s="216">
        <f t="shared" si="270"/>
        <v>31.43128243556643</v>
      </c>
      <c r="DI115" s="216">
        <f t="shared" si="271"/>
        <v>31.43128243556643</v>
      </c>
      <c r="DJ115" s="216">
        <f t="shared" ca="1" si="195"/>
        <v>6.5721813890129468</v>
      </c>
      <c r="DK115" s="216">
        <f t="shared" ca="1" si="196"/>
        <v>6.5721810110633401</v>
      </c>
      <c r="DL115" s="216">
        <f t="shared" ca="1" si="197"/>
        <v>19.957956615343992</v>
      </c>
      <c r="DM115" s="216"/>
      <c r="DN115" s="216"/>
      <c r="DO115" s="216"/>
      <c r="DP115" s="216"/>
      <c r="DQ115" s="216"/>
      <c r="DR115" s="216"/>
      <c r="DS115" s="216"/>
      <c r="DT115" s="216"/>
      <c r="DU115" s="216"/>
      <c r="DV115" s="216"/>
      <c r="DW115" s="1371">
        <f t="shared" si="272"/>
        <v>6.5721813890129468</v>
      </c>
      <c r="DX115" s="216">
        <f t="shared" si="273"/>
        <v>6.5721810110633401</v>
      </c>
      <c r="DY115" s="440">
        <f t="shared" si="274"/>
        <v>20.471893676156423</v>
      </c>
      <c r="DZ115" s="180">
        <f t="shared" si="275"/>
        <v>1609784.5612199702</v>
      </c>
      <c r="EA115" s="180">
        <f t="shared" si="276"/>
        <v>292688.10203999461</v>
      </c>
      <c r="EB115" s="180">
        <f t="shared" ca="1" si="198"/>
        <v>76500.191368110696</v>
      </c>
      <c r="EC115" s="180">
        <f t="shared" ca="1" si="199"/>
        <v>237150.57960320957</v>
      </c>
      <c r="ED115" s="180">
        <f t="shared" ca="1" si="200"/>
        <v>2160488.7195242178</v>
      </c>
      <c r="EE115" s="581">
        <f t="shared" si="277"/>
        <v>1606436.5084880127</v>
      </c>
      <c r="EF115" s="554">
        <f t="shared" si="278"/>
        <v>292079.36517963867</v>
      </c>
      <c r="EG115" s="554">
        <f t="shared" ca="1" si="201"/>
        <v>58219.792462528239</v>
      </c>
      <c r="EH115" s="554">
        <f t="shared" ca="1" si="202"/>
        <v>180481.33908520741</v>
      </c>
      <c r="EI115" s="561">
        <f t="shared" ca="1" si="279"/>
        <v>2137217.0052153864</v>
      </c>
      <c r="EJ115" s="581">
        <f t="shared" si="333"/>
        <v>3348.0527319575194</v>
      </c>
      <c r="EK115" s="554">
        <f t="shared" si="334"/>
        <v>608.73686035594437</v>
      </c>
      <c r="EL115" s="554">
        <f t="shared" ca="1" si="203"/>
        <v>18280.398905582457</v>
      </c>
      <c r="EM115" s="554">
        <f t="shared" ca="1" si="204"/>
        <v>56669.24051800216</v>
      </c>
      <c r="EN115" s="561">
        <f t="shared" ca="1" si="205"/>
        <v>23271.714308831375</v>
      </c>
      <c r="EO115" s="180">
        <f t="shared" si="280"/>
        <v>6439138.2448798809</v>
      </c>
      <c r="EP115" s="180">
        <f t="shared" si="281"/>
        <v>1170752.4081599785</v>
      </c>
      <c r="EQ115" s="180">
        <f t="shared" si="282"/>
        <v>306000.76547244278</v>
      </c>
      <c r="ER115" s="180">
        <f t="shared" si="283"/>
        <v>948602.31841283827</v>
      </c>
      <c r="ES115" s="180">
        <f t="shared" si="284"/>
        <v>8864493.73692514</v>
      </c>
      <c r="ET115" s="1482">
        <f t="shared" ca="1" si="206"/>
        <v>6425746.0339520508</v>
      </c>
      <c r="EU115" s="180">
        <f t="shared" ca="1" si="207"/>
        <v>1168317.4607185547</v>
      </c>
      <c r="EV115" s="180">
        <f t="shared" ca="1" si="208"/>
        <v>232879.16985011296</v>
      </c>
      <c r="EW115" s="180">
        <f t="shared" ca="1" si="209"/>
        <v>721925.35634082963</v>
      </c>
      <c r="EX115" s="555">
        <f t="shared" ca="1" si="351"/>
        <v>8548868.0208615474</v>
      </c>
      <c r="EY115" s="180">
        <f t="shared" ca="1" si="210"/>
        <v>13392.210927830078</v>
      </c>
      <c r="EZ115" s="180">
        <f t="shared" ca="1" si="211"/>
        <v>2434.9474414237775</v>
      </c>
      <c r="FA115" s="180">
        <f t="shared" ca="1" si="212"/>
        <v>73121.595622329827</v>
      </c>
      <c r="FB115" s="180">
        <f t="shared" ca="1" si="213"/>
        <v>226676.96207200864</v>
      </c>
      <c r="FC115" s="180">
        <f t="shared" ca="1" si="214"/>
        <v>315625.71606359258</v>
      </c>
      <c r="FD115" s="262">
        <f>IF(AX115,IF(VLOOKUP(C115,MAIN!$L$17:$M$28,2)="Yes",VLOOKUP(CALC!B115,MAIN!$H$17:$I$20,2),0),0)</f>
        <v>0</v>
      </c>
      <c r="FE115" s="623">
        <f t="shared" si="285"/>
        <v>0</v>
      </c>
      <c r="FF115" s="535">
        <f t="shared" si="286"/>
        <v>0</v>
      </c>
      <c r="FG115" s="535">
        <f t="shared" si="287"/>
        <v>0</v>
      </c>
      <c r="FH115" s="624">
        <f t="shared" si="288"/>
        <v>0</v>
      </c>
      <c r="FI115" s="632">
        <f>IF(AX115,VLOOKUP(CALC!B115,MAIN!$H$17:$K$20,4),0)</f>
        <v>0</v>
      </c>
      <c r="FJ115" s="535">
        <f t="shared" si="289"/>
        <v>0</v>
      </c>
      <c r="FK115" s="648">
        <f t="shared" si="335"/>
        <v>0</v>
      </c>
      <c r="FL115" s="530">
        <f t="shared" ca="1" si="215"/>
        <v>0</v>
      </c>
      <c r="FM115" s="530">
        <f t="shared" ca="1" si="216"/>
        <v>0</v>
      </c>
      <c r="FN115" s="530">
        <f t="shared" ca="1" si="217"/>
        <v>0</v>
      </c>
      <c r="FO115" s="622">
        <f t="shared" ca="1" si="218"/>
        <v>0</v>
      </c>
      <c r="FP115" s="530">
        <f t="shared" ca="1" si="219"/>
        <v>0</v>
      </c>
      <c r="FQ115" s="530">
        <f t="shared" ca="1" si="220"/>
        <v>0</v>
      </c>
      <c r="FR115" s="530">
        <f t="shared" ca="1" si="221"/>
        <v>0</v>
      </c>
      <c r="FS115" s="625">
        <f t="shared" ca="1" si="222"/>
        <v>0</v>
      </c>
      <c r="FT115" s="640">
        <f ca="1">IF(AND(Assumptions!$H$71="Yes",A115&gt;=Assumptions!$H$72,A115&lt;=Assumptions!$H$73),0,IF(AND($A115&gt;=Assumptions!$C$17,$A115&lt;=Assumptions!$C$18),MAX(AZ115*(1+VLOOKUP($C115,WeatherCapacityAdjustment,2))-FL115,0),0))</f>
        <v>51216</v>
      </c>
      <c r="FU115" s="530">
        <f ca="1">IF(AND(Assumptions!$H$71="Yes",A115&gt;=Assumptions!$H$72,A115&lt;=Assumptions!$H$73),0,IF(AND($A115&gt;=Assumptions!$C$17,$A115&lt;=Assumptions!$C$18),MAX(BA115*(1+VLOOKUP($C115,WeatherCapacityAdjustment,2))-FM115,0),0))</f>
        <v>9312</v>
      </c>
      <c r="FV115" s="530">
        <f ca="1">IF(AND(Assumptions!$H$71="Yes",A115&gt;=Assumptions!$H$72,A115&lt;=Assumptions!$H$73),0,IF(AND($A115&gt;=Assumptions!$C$17,$A115&lt;=Assumptions!$C$18),MAX(BB115*(1+VLOOKUP($C115,WeatherCapacityAdjustment,2))-FN115,0),0))</f>
        <v>11640</v>
      </c>
      <c r="FW115" s="622">
        <f ca="1">IF(AND(Assumptions!$H$71="Yes",A115&gt;=Assumptions!$H$72,A115&lt;=Assumptions!$H$73),0,IF(AND($A115&gt;=Assumptions!$C$17,$A115&lt;=Assumptions!$C$18),MAX(BC115*(1+VLOOKUP($C115,WeatherCapacityAdjustment,3))-FO115,0),0))</f>
        <v>36084</v>
      </c>
      <c r="FX115" s="621">
        <f ca="1">IF(AND(Assumptions!$H$71="Yes",A115&gt;=Assumptions!$H$72,A115&lt;=Assumptions!$H$73),0,IF(ET115&gt;0,MAX(BH115*(1+VLOOKUP($C115,WeatherCapacityAdjustment,2))-FP115,0),0))</f>
        <v>204864</v>
      </c>
      <c r="FY115" s="530">
        <f ca="1">IF(AND(Assumptions!$H$71="Yes",A115&gt;=Assumptions!$H$72,A115&lt;=Assumptions!$H$73),0,IF(EU115&gt;0,MAX(BI115*(1+VLOOKUP($C115,WeatherCapacityAdjustment,3))-FQ115,0),0))</f>
        <v>37248</v>
      </c>
      <c r="FZ115" s="530">
        <f ca="1">IF(AND(Assumptions!$H$71="Yes",A115&gt;=Assumptions!$H$72,A115&lt;=Assumptions!$H$73),0,IF(EV115&gt;0,MAX(BJ115*(1+VLOOKUP($C115,WeatherCapacityAdjustment,2))-FR115,0),0))</f>
        <v>46560</v>
      </c>
      <c r="GA115" s="622">
        <f ca="1">IF(AND(Assumptions!$H$71="Yes",A115&gt;=Assumptions!$H$72,A115&lt;=Assumptions!$H$73),0,IF(EW115&gt;0,MAX(BK115*(1+VLOOKUP($C115,WeatherCapacityAdjustment,2))-FS115,0),0))</f>
        <v>144336</v>
      </c>
      <c r="GB115" s="530">
        <f t="shared" ca="1" si="290"/>
        <v>541260</v>
      </c>
      <c r="GC115" s="545">
        <f t="shared" ca="1" si="291"/>
        <v>40.850771084688091</v>
      </c>
      <c r="GD115" s="530">
        <f t="shared" ca="1" si="223"/>
        <v>22110888.357298277</v>
      </c>
      <c r="GE115" s="1485">
        <f t="shared" ca="1" si="224"/>
        <v>774980.39808000007</v>
      </c>
      <c r="GF115" s="1776">
        <f t="shared" ca="1" si="225"/>
        <v>3099921.5923200003</v>
      </c>
      <c r="GG115" s="545">
        <f t="shared" si="359"/>
        <v>2.6708114839779369</v>
      </c>
      <c r="GH115" s="622">
        <f t="shared" ca="1" si="360"/>
        <v>10349132.735249287</v>
      </c>
      <c r="GI115" s="621">
        <f t="shared" ca="1" si="336"/>
        <v>541260</v>
      </c>
      <c r="GJ115" s="638">
        <f t="shared" si="292"/>
        <v>1.9873454457600002</v>
      </c>
      <c r="GK115" s="625">
        <f t="shared" ca="1" si="342"/>
        <v>1075670.5959720577</v>
      </c>
      <c r="GL115" s="640">
        <f t="shared" ca="1" si="226"/>
        <v>0</v>
      </c>
      <c r="GM115" s="530">
        <f t="shared" ca="1" si="227"/>
        <v>0</v>
      </c>
      <c r="GN115" s="530">
        <f t="shared" ca="1" si="228"/>
        <v>0</v>
      </c>
      <c r="GO115" s="622">
        <f t="shared" ca="1" si="229"/>
        <v>0</v>
      </c>
      <c r="GP115" s="530">
        <f t="shared" ca="1" si="293"/>
        <v>0</v>
      </c>
      <c r="GQ115" s="545">
        <f t="shared" ca="1" si="294"/>
        <v>0</v>
      </c>
      <c r="GR115" s="625">
        <f t="shared" ca="1" si="230"/>
        <v>0</v>
      </c>
      <c r="GS115" s="640">
        <f>IF($A115&gt;=BegDate,Assumptions!$C$56*24*($A116-$A115)*(1-VLOOKUP($B115,MAIN!$AA$7:$AM$28,$C115+1))*(1-VLOOKUP($B115,MAIN!$AA$33:$AM$54,$C115+1)),0)*80/168</f>
        <v>257742.85714285713</v>
      </c>
      <c r="GT115" s="1715">
        <f t="shared" si="337"/>
        <v>52.473702705691267</v>
      </c>
      <c r="GU115" s="1715">
        <f>IF($A115&gt;=BegDate,VLOOKUP($A115,GasTable,13)+Assumptions!$C$58,0)</f>
        <v>2.6708114839779369</v>
      </c>
      <c r="GV115" s="1715">
        <f>GU115*Assumptions!$C$57/1000</f>
        <v>19.363383258840045</v>
      </c>
      <c r="GW115" s="625">
        <f>IF(Assumptions!$C$60="Hourly",MAX(0,GS115*(GT115-GV115)),GS115*(GT115-GV115))</f>
        <v>8533948.335144138</v>
      </c>
      <c r="GX115" s="640">
        <f>IF($A115&gt;=BegDate,Assumptions!$C$56*24*($A116-$A115)*(1-VLOOKUP($B115,MAIN!$AA$7:$AM$28,$C115+1))*(1-VLOOKUP($B115,MAIN!$AA$33:$AM$54,$C115+1)),0)*16/168</f>
        <v>51548.571428571428</v>
      </c>
      <c r="GY115" s="1715">
        <f t="shared" si="338"/>
        <v>52.473702705691267</v>
      </c>
      <c r="GZ115" s="1715">
        <f>IF($A115&gt;=BegDate,VLOOKUP($A115,GasTable,13)+Assumptions!$C$58,0)</f>
        <v>2.6708114839779369</v>
      </c>
      <c r="HA115" s="1715">
        <f>GZ115*Assumptions!$C$57/1000</f>
        <v>19.363383258840045</v>
      </c>
      <c r="HB115" s="625">
        <f>IF(Assumptions!$C$60="Hourly",MAX(0,GX115*(GY115-HA115)),GX115*(GY115-HA115))</f>
        <v>1706789.6670288278</v>
      </c>
      <c r="HC115" s="640">
        <f>IF($A115&gt;=BegDate,Assumptions!$C$56*24*($A116-$A115)*(1-VLOOKUP($B115,MAIN!$AA$7:$AM$28,$C115+1))*(1-VLOOKUP($B115,MAIN!$AA$33:$AM$54,$C115+1)),0)*16/168</f>
        <v>51548.571428571428</v>
      </c>
      <c r="HD115" s="1715">
        <f t="shared" si="339"/>
        <v>26.109491978130684</v>
      </c>
      <c r="HE115" s="1715">
        <f>IF($A115&gt;=BegDate,VLOOKUP($A115,GasTable,13)+Assumptions!$C$58,0)</f>
        <v>2.6708114839779369</v>
      </c>
      <c r="HF115" s="1715">
        <f>HE115*Assumptions!$C$57/1000</f>
        <v>19.363383258840045</v>
      </c>
      <c r="HG115" s="625">
        <f>IF(Assumptions!$C$60="Hourly",MAX(0,HC115*(HD115-HF115)),HC115*(HD115-HF115))</f>
        <v>347752.26718126202</v>
      </c>
      <c r="HH115" s="640">
        <f>IF($A115&gt;=BegDate,Assumptions!$C$56*24*($A116-$A115)*(1-VLOOKUP($B115,MAIN!$AA$7:$AM$28,$C115+1))*(1-VLOOKUP($B115,MAIN!$AA$33:$AM$54,$C115+1)),0)*56/168</f>
        <v>180420</v>
      </c>
      <c r="HI115" s="1715">
        <f t="shared" si="340"/>
        <v>26.109491978130684</v>
      </c>
      <c r="HJ115" s="1715">
        <f>IF($A115&gt;=BegDate,VLOOKUP($A115,GasTable,13)+Assumptions!$C$58,0)</f>
        <v>2.6708114839779369</v>
      </c>
      <c r="HK115" s="1715">
        <f>HJ115*Assumptions!$C$57/1000</f>
        <v>19.363383258840045</v>
      </c>
      <c r="HL115" s="625">
        <f>IF(Assumptions!$C$60="Hourly",MAX(0,HH115*(HI115-HK115)),HH115*(HI115-HK115))</f>
        <v>1217132.9351344171</v>
      </c>
      <c r="HM115" s="640">
        <f>IF(AND(Assumptions!$H$71="Yes",A115&gt;=Assumptions!$H$72,A115&lt;=Assumptions!$H$73),Assumptions!$H$74*Assumptions!$C$9*1000,0)</f>
        <v>0</v>
      </c>
      <c r="HN115" s="530"/>
      <c r="HO115" s="545"/>
      <c r="HP115" s="545"/>
      <c r="HQ115" s="545"/>
      <c r="HR115" s="545"/>
      <c r="HS115" s="545"/>
      <c r="HT115" s="545"/>
      <c r="HU115" s="545"/>
      <c r="HV115" s="545"/>
      <c r="HW115" s="545"/>
      <c r="HX115" s="545"/>
      <c r="HY115" s="545"/>
      <c r="HZ115" s="545"/>
      <c r="IA115" s="545"/>
      <c r="IB115" s="545"/>
      <c r="IC115" s="545"/>
      <c r="ID115" s="545"/>
      <c r="IE115" s="545"/>
      <c r="IF115" s="545"/>
      <c r="IG115" s="545"/>
      <c r="IH115" s="545"/>
      <c r="II115" s="1464"/>
      <c r="IJ115" s="1463"/>
      <c r="IK115" s="1463"/>
    </row>
    <row r="116" spans="1:245">
      <c r="A116" s="177">
        <f t="shared" si="295"/>
        <v>39661</v>
      </c>
      <c r="B116" s="349">
        <f t="shared" si="296"/>
        <v>2008</v>
      </c>
      <c r="C116" s="15">
        <f t="shared" si="352"/>
        <v>8</v>
      </c>
      <c r="D116" s="612" t="str">
        <f t="shared" si="297"/>
        <v/>
      </c>
      <c r="E116" s="609">
        <f t="shared" si="353"/>
        <v>39661</v>
      </c>
      <c r="F116" s="614">
        <f t="shared" si="354"/>
        <v>39691</v>
      </c>
      <c r="G116" s="1349">
        <v>0</v>
      </c>
      <c r="H116" s="152">
        <f t="shared" si="341"/>
        <v>1</v>
      </c>
      <c r="I116" s="154">
        <f>IF(Assumptions!$L$25=4,VLOOKUP($A116,'Henwood Reference'!$E$9:$R$320,10),(VLOOKUP($A116,PriceTable,2,0)+IF(BasisNumber&lt;&gt;1,VLOOKUP($A116,BasisTable,2,0),0)+I$1)/(1-I$2))</f>
        <v>101.73424672492192</v>
      </c>
      <c r="J116" s="154">
        <f>IF(Assumptions!$L$25=4,VLOOKUP($A116,'Henwood Reference'!$E$9:$R$320,10),(VLOOKUP($A116,PriceTable,3,0)+IF(BasisNumber&lt;&gt;1,VLOOKUP($A116,BasisTable,2,0),0)+J$1)/(1-J$2))</f>
        <v>101.73424672492192</v>
      </c>
      <c r="K116" s="154">
        <f>IF(Assumptions!$L$25=4,VLOOKUP($A116,'Henwood Reference'!$E$9:$R$320,10),(VLOOKUP($A116,PriceTable,4,0)+IF(BasisNumber&lt;&gt;1,VLOOKUP($A116,BasisTable,2,0),0)+K$1)/(1-K$2))</f>
        <v>101.73424672492192</v>
      </c>
      <c r="L116" s="474">
        <f>IF(Assumptions!$L$25=4,VLOOKUP($A116,'Henwood Reference'!$E$9:$R$320,10),(VLOOKUP($A116,PriceTableWeekend,2,0)+IF(BasisNumber&lt;&gt;1,VLOOKUP($A116,BasisTable,2,0),0)+L$1)/(1-L$2))</f>
        <v>101.73424672492192</v>
      </c>
      <c r="M116" s="154">
        <f>IF(Assumptions!$L$25=4,VLOOKUP($A116,'Henwood Reference'!$E$9:$R$320,10),(VLOOKUP($A116,PriceTableWeekend,3,0)+IF(BasisNumber&lt;&gt;1,VLOOKUP($A116,BasisTable,2,0),0)+M$1)/(1-M$2))</f>
        <v>101.73424672492192</v>
      </c>
      <c r="N116" s="156">
        <f>IF(Assumptions!$L$25=4,VLOOKUP($A116,'Henwood Reference'!$E$9:$R$320,10),(VLOOKUP($A116,PriceTableWeekend,4,0)+IF(BasisNumber&lt;&gt;1,VLOOKUP($A116,BasisTable,2,0),0)+N$1)/(1-N$2))</f>
        <v>101.73424672492192</v>
      </c>
      <c r="O116" s="154">
        <f>IF(Assumptions!$L$25=4,VLOOKUP($A116,'Henwood Reference'!$E$9:$R$320,11),(VLOOKUP($A116,PriceTableWeekend,6,0)+IF(BasisNumber&lt;&gt;1,VLOOKUP($A116,BasisTable,3,0),0)+O$1)/(1-O$2))</f>
        <v>32.369550884887687</v>
      </c>
      <c r="P116" s="154">
        <f>IF(Assumptions!$L$25=4,VLOOKUP($A116,'Henwood Reference'!$E$9:$R$320,11),(VLOOKUP($A116,PriceTableWeekend,7,0)+IF(BasisNumber&lt;&gt;1,VLOOKUP($A116,BasisTable,3,0),0)+P$1)/(1-P$2))</f>
        <v>32.369550884887687</v>
      </c>
      <c r="Q116" s="156">
        <f>IF(Assumptions!$L$25=4,VLOOKUP($A116,'Henwood Reference'!$E$9:$R$320,11),(VLOOKUP($A116,PriceTableWeekend,8,0)+IF(BasisNumber&lt;&gt;1,VLOOKUP($A116,BasisTable,3,0),0)+Q$1)/(1-Q$2))</f>
        <v>32.369550884887687</v>
      </c>
      <c r="R116" s="154">
        <f>IF(Assumptions!$L$25=4,VLOOKUP($A116,'Henwood Reference'!$E$9:$R$320,11),(VLOOKUP($A116,PriceTable,6,0)+IF(BasisNumber&lt;&gt;1,VLOOKUP($A116,BasisTable,3,0),0)+R$1)/(1-R$2))</f>
        <v>32.369550884887687</v>
      </c>
      <c r="S116" s="154">
        <f>IF(Assumptions!$L$25=4,VLOOKUP($A116,'Henwood Reference'!$E$9:$R$320,11),(VLOOKUP($A116,PriceTable,7,0)+IF(BasisNumber&lt;&gt;1,VLOOKUP($A116,BasisTable,3,0),0)+S$1)/(1-S$2))</f>
        <v>32.369550884887687</v>
      </c>
      <c r="T116" s="155">
        <f>IF(Assumptions!$L$25=4,VLOOKUP($A116,'Henwood Reference'!$E$9:$R$320,11),(VLOOKUP($A116,PriceTable,8,0)+IF(BasisNumber&lt;&gt;1,VLOOKUP($A116,BasisTable,3,0),0)+T$1)/(1-T$2))</f>
        <v>32.369550884887687</v>
      </c>
      <c r="U116" s="173">
        <f t="shared" si="298"/>
        <v>0.13</v>
      </c>
      <c r="V116" s="173">
        <f t="shared" si="299"/>
        <v>0.14000000000000001</v>
      </c>
      <c r="W116" s="174">
        <f t="shared" si="300"/>
        <v>0.15</v>
      </c>
      <c r="X116" s="173">
        <f t="shared" si="301"/>
        <v>0.13</v>
      </c>
      <c r="Y116" s="173">
        <f t="shared" si="302"/>
        <v>0.14000000000000001</v>
      </c>
      <c r="Z116" s="174">
        <f t="shared" si="303"/>
        <v>0.15</v>
      </c>
      <c r="AA116" s="173">
        <f t="shared" si="304"/>
        <v>0.09</v>
      </c>
      <c r="AB116" s="173">
        <f t="shared" si="305"/>
        <v>0.11</v>
      </c>
      <c r="AC116" s="174">
        <f t="shared" si="306"/>
        <v>0.13</v>
      </c>
      <c r="AD116" s="173">
        <f t="shared" si="307"/>
        <v>0.09</v>
      </c>
      <c r="AE116" s="173">
        <f t="shared" si="308"/>
        <v>0.11</v>
      </c>
      <c r="AF116" s="174">
        <f t="shared" si="309"/>
        <v>0.13</v>
      </c>
      <c r="AG116" s="173">
        <f t="shared" si="310"/>
        <v>-0.35</v>
      </c>
      <c r="AH116" s="173">
        <f t="shared" si="311"/>
        <v>3</v>
      </c>
      <c r="AI116" s="174">
        <f t="shared" si="312"/>
        <v>0.35</v>
      </c>
      <c r="AJ116" s="173">
        <f t="shared" si="313"/>
        <v>-0.35</v>
      </c>
      <c r="AK116" s="173">
        <f t="shared" si="314"/>
        <v>3</v>
      </c>
      <c r="AL116" s="174">
        <f t="shared" si="315"/>
        <v>0.35</v>
      </c>
      <c r="AM116" s="173">
        <f t="shared" si="316"/>
        <v>-0.01</v>
      </c>
      <c r="AN116" s="173">
        <f t="shared" si="317"/>
        <v>0.16</v>
      </c>
      <c r="AO116" s="174">
        <f t="shared" si="318"/>
        <v>0.01</v>
      </c>
      <c r="AP116" s="173">
        <f t="shared" si="319"/>
        <v>-0.01</v>
      </c>
      <c r="AQ116" s="173">
        <f t="shared" si="320"/>
        <v>0.16</v>
      </c>
      <c r="AR116" s="175">
        <f t="shared" si="321"/>
        <v>0.01</v>
      </c>
      <c r="AS116" s="521">
        <f t="shared" si="357"/>
        <v>0.5</v>
      </c>
      <c r="AT116" s="349">
        <f t="shared" si="355"/>
        <v>21</v>
      </c>
      <c r="AU116" s="159">
        <f t="shared" si="240"/>
        <v>5</v>
      </c>
      <c r="AV116" s="159">
        <f t="shared" si="241"/>
        <v>5</v>
      </c>
      <c r="AW116" s="159">
        <f t="shared" si="358"/>
        <v>0</v>
      </c>
      <c r="AX116" s="15">
        <f t="shared" si="356"/>
        <v>31</v>
      </c>
      <c r="AY116" s="607">
        <f>IF(E116="",0,MIN((1-(1-VLOOKUP(B116,MAIN!$AA$7:$AM$28,C116+1))*(1-VLOOKUP(B116,MAIN!$AA$33:$AM$54,C116+1))),1))</f>
        <v>3.0000000000000027E-2</v>
      </c>
      <c r="AZ116" s="337">
        <v>48888</v>
      </c>
      <c r="BA116" s="509">
        <v>11640</v>
      </c>
      <c r="BB116" s="509">
        <v>11640</v>
      </c>
      <c r="BC116" s="511">
        <v>36084</v>
      </c>
      <c r="BD116" s="153">
        <v>0.96999998915940522</v>
      </c>
      <c r="BE116" s="474">
        <v>0.96999998915940522</v>
      </c>
      <c r="BF116" s="474">
        <v>0.96999998915940522</v>
      </c>
      <c r="BG116" s="515">
        <v>0.97000000722706314</v>
      </c>
      <c r="BH116" s="262">
        <v>195552</v>
      </c>
      <c r="BI116" s="509">
        <v>46560</v>
      </c>
      <c r="BJ116" s="509">
        <v>46560</v>
      </c>
      <c r="BK116" s="511">
        <v>144336</v>
      </c>
      <c r="BL116" s="153">
        <v>0.96999998915940522</v>
      </c>
      <c r="BM116" s="474">
        <v>0.96999998915940522</v>
      </c>
      <c r="BN116" s="474">
        <v>0.96999998915940522</v>
      </c>
      <c r="BO116" s="474">
        <v>0.97000000722706314</v>
      </c>
      <c r="BP116" s="261">
        <f t="shared" si="324"/>
        <v>72168</v>
      </c>
      <c r="BQ116" s="578">
        <f t="shared" si="325"/>
        <v>108252</v>
      </c>
      <c r="BR116" s="259">
        <f t="shared" si="326"/>
        <v>288672</v>
      </c>
      <c r="BS116" s="578">
        <f t="shared" si="327"/>
        <v>433008</v>
      </c>
      <c r="BT116" s="216">
        <f t="shared" si="328"/>
        <v>8.2984257357973998</v>
      </c>
      <c r="BU116" s="218">
        <f t="shared" si="243"/>
        <v>101.73424558795311</v>
      </c>
      <c r="BV116" s="216">
        <f t="shared" si="244"/>
        <v>101.73424558795311</v>
      </c>
      <c r="BW116" s="216">
        <f t="shared" si="245"/>
        <v>32.36955052312976</v>
      </c>
      <c r="BX116" s="216">
        <f t="shared" si="329"/>
        <v>32.369551126059633</v>
      </c>
      <c r="BY116" s="216">
        <f t="shared" si="246"/>
        <v>90.546391545239658</v>
      </c>
      <c r="BZ116" s="216">
        <f t="shared" si="247"/>
        <v>71.154111405512978</v>
      </c>
      <c r="CA116" s="264">
        <f t="shared" si="248"/>
        <v>101.73424558795311</v>
      </c>
      <c r="CB116" s="216">
        <f t="shared" si="249"/>
        <v>101.73424558795311</v>
      </c>
      <c r="CC116" s="216">
        <f t="shared" si="250"/>
        <v>32.36955052312976</v>
      </c>
      <c r="CD116" s="216">
        <f t="shared" si="330"/>
        <v>32.369551126059633</v>
      </c>
      <c r="CE116" s="216">
        <f t="shared" si="251"/>
        <v>90.546391545239658</v>
      </c>
      <c r="CF116" s="571">
        <f t="shared" si="252"/>
        <v>71.154111405512978</v>
      </c>
      <c r="CG116" s="573">
        <f t="shared" si="253"/>
        <v>0.14000000000000001</v>
      </c>
      <c r="CH116" s="219">
        <f t="shared" si="254"/>
        <v>0.14000000000000001</v>
      </c>
      <c r="CI116" s="219">
        <f t="shared" si="255"/>
        <v>0.11</v>
      </c>
      <c r="CJ116" s="219">
        <f t="shared" si="256"/>
        <v>0.13829801787218698</v>
      </c>
      <c r="CK116" s="219">
        <f t="shared" si="257"/>
        <v>0.13829801787218698</v>
      </c>
      <c r="CL116" s="219">
        <f t="shared" si="258"/>
        <v>0.11</v>
      </c>
      <c r="CM116" s="219">
        <f t="shared" si="259"/>
        <v>0.1269059292428707</v>
      </c>
      <c r="CN116" s="569">
        <f t="shared" si="260"/>
        <v>0.1269059292428707</v>
      </c>
      <c r="CO116" s="264">
        <f t="shared" si="343"/>
        <v>19.81679084668961</v>
      </c>
      <c r="CP116" s="216">
        <f t="shared" si="331"/>
        <v>19.81679084668961</v>
      </c>
      <c r="CQ116" s="216">
        <f t="shared" ca="1" si="192"/>
        <v>19.81679084668961</v>
      </c>
      <c r="CR116" s="216">
        <f t="shared" ca="1" si="193"/>
        <v>19.81679084668961</v>
      </c>
      <c r="CS116" s="1626">
        <f t="shared" ca="1" si="194"/>
        <v>19.81679084668961</v>
      </c>
      <c r="CT116" s="216">
        <f t="shared" si="332"/>
        <v>19.81679084668961</v>
      </c>
      <c r="CU116" s="575">
        <f t="shared" si="261"/>
        <v>0.16</v>
      </c>
      <c r="CV116" s="154">
        <f t="shared" si="262"/>
        <v>0.5</v>
      </c>
      <c r="CW116" s="216">
        <f>IF(OR($BQ116,$BS116),SpreadOptPowerMargin,0)*((1+Assumptions!$C$26)^($B116-YEAR(Assumptions!$C$17)))</f>
        <v>1.9873454457600002</v>
      </c>
      <c r="CX116" s="216">
        <f>IF(OR($BQ116,$BS116),SpreadOptPowerMargin,0)*((1+Assumptions!$C$26)^($B116-YEAR(Assumptions!$C$17)))</f>
        <v>1.9873454457600002</v>
      </c>
      <c r="CY116" s="216">
        <f>IF(OR($BQ116,$BS116),SpreadOptPowerMargin,0)*((1+Assumptions!$C$26)^($B116-YEAR(Assumptions!$C$17)))</f>
        <v>1.9873454457600002</v>
      </c>
      <c r="CZ116" s="216">
        <f>IF(OR($BQ116,$BS116),SpreadOptPowerMargin,0)*((1+Assumptions!$C$26)^($B116-YEAR(Assumptions!$C$17)))</f>
        <v>1.9873454457600002</v>
      </c>
      <c r="DA116" s="440">
        <f t="shared" si="263"/>
        <v>1.9873454457600006</v>
      </c>
      <c r="DB116" s="479">
        <f t="shared" si="264"/>
        <v>0.14000000000000001</v>
      </c>
      <c r="DC116" s="479">
        <f t="shared" si="265"/>
        <v>0.14000000000000001</v>
      </c>
      <c r="DD116" s="479">
        <f t="shared" si="266"/>
        <v>0.11</v>
      </c>
      <c r="DE116" s="479">
        <f t="shared" si="267"/>
        <v>0.11</v>
      </c>
      <c r="DF116" s="479">
        <f t="shared" si="268"/>
        <v>0.1269059292428707</v>
      </c>
      <c r="DG116" s="574">
        <f t="shared" si="269"/>
        <v>0.1269059292428707</v>
      </c>
      <c r="DH116" s="216">
        <f t="shared" si="270"/>
        <v>79.930667753583677</v>
      </c>
      <c r="DI116" s="216">
        <f t="shared" si="271"/>
        <v>79.930667753583677</v>
      </c>
      <c r="DJ116" s="216">
        <f t="shared" ca="1" si="195"/>
        <v>11.348202654059447</v>
      </c>
      <c r="DK116" s="216">
        <f t="shared" ca="1" si="196"/>
        <v>11.348203191592091</v>
      </c>
      <c r="DL116" s="216">
        <f t="shared" ca="1" si="197"/>
        <v>49.357378248609486</v>
      </c>
      <c r="DM116" s="216"/>
      <c r="DN116" s="216"/>
      <c r="DO116" s="216"/>
      <c r="DP116" s="216"/>
      <c r="DQ116" s="216"/>
      <c r="DR116" s="216"/>
      <c r="DS116" s="216"/>
      <c r="DT116" s="216"/>
      <c r="DU116" s="216"/>
      <c r="DV116" s="216"/>
      <c r="DW116" s="1371">
        <f t="shared" si="272"/>
        <v>11.348202654059447</v>
      </c>
      <c r="DX116" s="216">
        <f t="shared" si="273"/>
        <v>11.348203191592091</v>
      </c>
      <c r="DY116" s="440">
        <f t="shared" si="274"/>
        <v>49.695387620067741</v>
      </c>
      <c r="DZ116" s="180">
        <f t="shared" si="275"/>
        <v>3907650.4851371986</v>
      </c>
      <c r="EA116" s="180">
        <f t="shared" si="276"/>
        <v>930392.97265171399</v>
      </c>
      <c r="EB116" s="180">
        <f t="shared" ca="1" si="198"/>
        <v>132093.07889325198</v>
      </c>
      <c r="EC116" s="180">
        <f t="shared" ca="1" si="199"/>
        <v>409488.563965409</v>
      </c>
      <c r="ED116" s="180">
        <f t="shared" ca="1" si="200"/>
        <v>5343034.9101684736</v>
      </c>
      <c r="EE116" s="581">
        <f t="shared" si="277"/>
        <v>3907623.1832385752</v>
      </c>
      <c r="EF116" s="554">
        <f t="shared" si="278"/>
        <v>930386.47219966073</v>
      </c>
      <c r="EG116" s="554">
        <f t="shared" ca="1" si="201"/>
        <v>122981.42164511696</v>
      </c>
      <c r="EH116" s="554">
        <f t="shared" ca="1" si="202"/>
        <v>381242.42885598412</v>
      </c>
      <c r="EI116" s="561">
        <f t="shared" ca="1" si="279"/>
        <v>5342233.5059393356</v>
      </c>
      <c r="EJ116" s="581">
        <f t="shared" si="333"/>
        <v>27.301898623351008</v>
      </c>
      <c r="EK116" s="554">
        <f t="shared" si="334"/>
        <v>6.5004520532675087</v>
      </c>
      <c r="EL116" s="554">
        <f t="shared" ca="1" si="203"/>
        <v>9111.6572481350158</v>
      </c>
      <c r="EM116" s="554">
        <f t="shared" ca="1" si="204"/>
        <v>28246.135109424882</v>
      </c>
      <c r="EN116" s="561">
        <f t="shared" ca="1" si="205"/>
        <v>801.4042291380465</v>
      </c>
      <c r="EO116" s="180">
        <f t="shared" si="280"/>
        <v>15630601.940548794</v>
      </c>
      <c r="EP116" s="180">
        <f t="shared" si="281"/>
        <v>3721571.890606856</v>
      </c>
      <c r="EQ116" s="180">
        <f t="shared" si="282"/>
        <v>528372.31557300792</v>
      </c>
      <c r="ER116" s="180">
        <f t="shared" si="283"/>
        <v>1637954.255861636</v>
      </c>
      <c r="ES116" s="180">
        <f t="shared" si="284"/>
        <v>21518500.402590293</v>
      </c>
      <c r="ET116" s="1482">
        <f t="shared" ca="1" si="206"/>
        <v>15630492.732954301</v>
      </c>
      <c r="EU116" s="180">
        <f t="shared" ca="1" si="207"/>
        <v>3721545.8887986429</v>
      </c>
      <c r="EV116" s="180">
        <f t="shared" ca="1" si="208"/>
        <v>491925.68658046785</v>
      </c>
      <c r="EW116" s="180">
        <f t="shared" ca="1" si="209"/>
        <v>1524969.7154239365</v>
      </c>
      <c r="EX116" s="555">
        <f t="shared" ca="1" si="351"/>
        <v>21368934.02375735</v>
      </c>
      <c r="EY116" s="180">
        <f t="shared" ca="1" si="210"/>
        <v>109.20759449340403</v>
      </c>
      <c r="EZ116" s="180">
        <f t="shared" ca="1" si="211"/>
        <v>26.001808213070035</v>
      </c>
      <c r="FA116" s="180">
        <f t="shared" ca="1" si="212"/>
        <v>36446.628992540063</v>
      </c>
      <c r="FB116" s="180">
        <f t="shared" ca="1" si="213"/>
        <v>112984.54043769953</v>
      </c>
      <c r="FC116" s="180">
        <f t="shared" ca="1" si="214"/>
        <v>149566.37883294374</v>
      </c>
      <c r="FD116" s="262">
        <f>IF(AX116,IF(VLOOKUP(C116,MAIN!$L$17:$M$28,2)="Yes",VLOOKUP(CALC!B116,MAIN!$H$17:$I$20,2),0),0)</f>
        <v>0</v>
      </c>
      <c r="FE116" s="623">
        <f t="shared" si="285"/>
        <v>0</v>
      </c>
      <c r="FF116" s="535">
        <f t="shared" si="286"/>
        <v>0</v>
      </c>
      <c r="FG116" s="535">
        <f t="shared" si="287"/>
        <v>0</v>
      </c>
      <c r="FH116" s="624">
        <f t="shared" si="288"/>
        <v>0</v>
      </c>
      <c r="FI116" s="632">
        <f>IF(AX116,VLOOKUP(CALC!B116,MAIN!$H$17:$K$20,4),0)</f>
        <v>0</v>
      </c>
      <c r="FJ116" s="535">
        <f t="shared" si="289"/>
        <v>0</v>
      </c>
      <c r="FK116" s="648">
        <f t="shared" si="335"/>
        <v>0</v>
      </c>
      <c r="FL116" s="530">
        <f t="shared" ca="1" si="215"/>
        <v>0</v>
      </c>
      <c r="FM116" s="530">
        <f t="shared" ca="1" si="216"/>
        <v>0</v>
      </c>
      <c r="FN116" s="530">
        <f t="shared" ca="1" si="217"/>
        <v>0</v>
      </c>
      <c r="FO116" s="622">
        <f t="shared" ca="1" si="218"/>
        <v>0</v>
      </c>
      <c r="FP116" s="530">
        <f t="shared" ca="1" si="219"/>
        <v>0</v>
      </c>
      <c r="FQ116" s="530">
        <f t="shared" ca="1" si="220"/>
        <v>0</v>
      </c>
      <c r="FR116" s="530">
        <f t="shared" ca="1" si="221"/>
        <v>0</v>
      </c>
      <c r="FS116" s="625">
        <f t="shared" ca="1" si="222"/>
        <v>0</v>
      </c>
      <c r="FT116" s="640">
        <f ca="1">IF(AND(Assumptions!$H$71="Yes",A116&gt;=Assumptions!$H$72,A116&lt;=Assumptions!$H$73),0,IF(AND($A116&gt;=Assumptions!$C$17,$A116&lt;=Assumptions!$C$18),MAX(AZ116*(1+VLOOKUP($C116,WeatherCapacityAdjustment,2))-FL116,0),0))</f>
        <v>48888</v>
      </c>
      <c r="FU116" s="530">
        <f ca="1">IF(AND(Assumptions!$H$71="Yes",A116&gt;=Assumptions!$H$72,A116&lt;=Assumptions!$H$73),0,IF(AND($A116&gt;=Assumptions!$C$17,$A116&lt;=Assumptions!$C$18),MAX(BA116*(1+VLOOKUP($C116,WeatherCapacityAdjustment,2))-FM116,0),0))</f>
        <v>11640</v>
      </c>
      <c r="FV116" s="530">
        <f ca="1">IF(AND(Assumptions!$H$71="Yes",A116&gt;=Assumptions!$H$72,A116&lt;=Assumptions!$H$73),0,IF(AND($A116&gt;=Assumptions!$C$17,$A116&lt;=Assumptions!$C$18),MAX(BB116*(1+VLOOKUP($C116,WeatherCapacityAdjustment,2))-FN116,0),0))</f>
        <v>11640</v>
      </c>
      <c r="FW116" s="622">
        <f ca="1">IF(AND(Assumptions!$H$71="Yes",A116&gt;=Assumptions!$H$72,A116&lt;=Assumptions!$H$73),0,IF(AND($A116&gt;=Assumptions!$C$17,$A116&lt;=Assumptions!$C$18),MAX(BC116*(1+VLOOKUP($C116,WeatherCapacityAdjustment,3))-FO116,0),0))</f>
        <v>36084</v>
      </c>
      <c r="FX116" s="621">
        <f ca="1">IF(AND(Assumptions!$H$71="Yes",A116&gt;=Assumptions!$H$72,A116&lt;=Assumptions!$H$73),0,IF(ET116&gt;0,MAX(BH116*(1+VLOOKUP($C116,WeatherCapacityAdjustment,2))-FP116,0),0))</f>
        <v>195552</v>
      </c>
      <c r="FY116" s="530">
        <f ca="1">IF(AND(Assumptions!$H$71="Yes",A116&gt;=Assumptions!$H$72,A116&lt;=Assumptions!$H$73),0,IF(EU116&gt;0,MAX(BI116*(1+VLOOKUP($C116,WeatherCapacityAdjustment,3))-FQ116,0),0))</f>
        <v>46560</v>
      </c>
      <c r="FZ116" s="530">
        <f ca="1">IF(AND(Assumptions!$H$71="Yes",A116&gt;=Assumptions!$H$72,A116&lt;=Assumptions!$H$73),0,IF(EV116&gt;0,MAX(BJ116*(1+VLOOKUP($C116,WeatherCapacityAdjustment,2))-FR116,0),0))</f>
        <v>46560</v>
      </c>
      <c r="GA116" s="622">
        <f ca="1">IF(AND(Assumptions!$H$71="Yes",A116&gt;=Assumptions!$H$72,A116&lt;=Assumptions!$H$73),0,IF(EW116&gt;0,MAX(BK116*(1+VLOOKUP($C116,WeatherCapacityAdjustment,2))-FS116,0),0))</f>
        <v>144336</v>
      </c>
      <c r="GB116" s="530">
        <f t="shared" ca="1" si="290"/>
        <v>541260</v>
      </c>
      <c r="GC116" s="545">
        <f t="shared" ca="1" si="291"/>
        <v>71.154111405512992</v>
      </c>
      <c r="GD116" s="530">
        <f t="shared" ca="1" si="223"/>
        <v>38512874.339347959</v>
      </c>
      <c r="GE116" s="1485">
        <f t="shared" ca="1" si="224"/>
        <v>775298.65895999991</v>
      </c>
      <c r="GF116" s="1776">
        <f t="shared" ca="1" si="225"/>
        <v>3101194.6358399997</v>
      </c>
      <c r="GG116" s="545">
        <f t="shared" si="359"/>
        <v>2.7669430585801149</v>
      </c>
      <c r="GH116" s="622">
        <f t="shared" ca="1" si="360"/>
        <v>10726036.213679217</v>
      </c>
      <c r="GI116" s="621">
        <f t="shared" ca="1" si="336"/>
        <v>541260</v>
      </c>
      <c r="GJ116" s="638">
        <f t="shared" si="292"/>
        <v>1.9873454457600006</v>
      </c>
      <c r="GK116" s="625">
        <f t="shared" ca="1" si="342"/>
        <v>1075670.5959720579</v>
      </c>
      <c r="GL116" s="640">
        <f t="shared" ca="1" si="226"/>
        <v>0</v>
      </c>
      <c r="GM116" s="530">
        <f t="shared" ca="1" si="227"/>
        <v>0</v>
      </c>
      <c r="GN116" s="530">
        <f t="shared" ca="1" si="228"/>
        <v>0</v>
      </c>
      <c r="GO116" s="622">
        <f t="shared" ca="1" si="229"/>
        <v>0</v>
      </c>
      <c r="GP116" s="530">
        <f t="shared" ca="1" si="293"/>
        <v>0</v>
      </c>
      <c r="GQ116" s="545">
        <f t="shared" ca="1" si="294"/>
        <v>0</v>
      </c>
      <c r="GR116" s="625">
        <f t="shared" ca="1" si="230"/>
        <v>0</v>
      </c>
      <c r="GS116" s="640">
        <f>IF($A116&gt;=BegDate,Assumptions!$C$56*24*($A117-$A116)*(1-VLOOKUP($B116,MAIN!$AA$7:$AM$28,$C116+1))*(1-VLOOKUP($B116,MAIN!$AA$33:$AM$54,$C116+1)),0)*80/168</f>
        <v>257742.85714285713</v>
      </c>
      <c r="GT116" s="1715">
        <f t="shared" si="337"/>
        <v>101.73424672492192</v>
      </c>
      <c r="GU116" s="1715">
        <f>IF($A116&gt;=BegDate,VLOOKUP($A116,GasTable,13)+Assumptions!$C$58,0)</f>
        <v>2.7669430585801149</v>
      </c>
      <c r="GV116" s="1715">
        <f>GU116*Assumptions!$C$57/1000</f>
        <v>20.060337174705833</v>
      </c>
      <c r="GW116" s="625">
        <f>IF(Assumptions!$C$60="Hourly",MAX(0,GS116*(GT116-GV116)),GS116*(GT116-GV116))</f>
        <v>21050866.801499978</v>
      </c>
      <c r="GX116" s="640">
        <f>IF($A116&gt;=BegDate,Assumptions!$C$56*24*($A117-$A116)*(1-VLOOKUP($B116,MAIN!$AA$7:$AM$28,$C116+1))*(1-VLOOKUP($B116,MAIN!$AA$33:$AM$54,$C116+1)),0)*16/168</f>
        <v>51548.571428571428</v>
      </c>
      <c r="GY116" s="1715">
        <f t="shared" si="338"/>
        <v>101.73424672492192</v>
      </c>
      <c r="GZ116" s="1715">
        <f>IF($A116&gt;=BegDate,VLOOKUP($A116,GasTable,13)+Assumptions!$C$58,0)</f>
        <v>2.7669430585801149</v>
      </c>
      <c r="HA116" s="1715">
        <f>GZ116*Assumptions!$C$57/1000</f>
        <v>20.060337174705833</v>
      </c>
      <c r="HB116" s="625">
        <f>IF(Assumptions!$C$60="Hourly",MAX(0,GX116*(GY116-HA116)),GX116*(GY116-HA116))</f>
        <v>4210173.3602999961</v>
      </c>
      <c r="HC116" s="640">
        <f>IF($A116&gt;=BegDate,Assumptions!$C$56*24*($A117-$A116)*(1-VLOOKUP($B116,MAIN!$AA$7:$AM$28,$C116+1))*(1-VLOOKUP($B116,MAIN!$AA$33:$AM$54,$C116+1)),0)*16/168</f>
        <v>51548.571428571428</v>
      </c>
      <c r="HD116" s="1715">
        <f t="shared" si="339"/>
        <v>32.369550884887687</v>
      </c>
      <c r="HE116" s="1715">
        <f>IF($A116&gt;=BegDate,VLOOKUP($A116,GasTable,13)+Assumptions!$C$58,0)</f>
        <v>2.7669430585801149</v>
      </c>
      <c r="HF116" s="1715">
        <f>HE116*Assumptions!$C$57/1000</f>
        <v>20.060337174705833</v>
      </c>
      <c r="HG116" s="625">
        <f>IF(Assumptions!$C$60="Hourly",MAX(0,HC116*(HD116-HF116)),HC116*(HD116-HF116))</f>
        <v>634522.38216886006</v>
      </c>
      <c r="HH116" s="640">
        <f>IF($A116&gt;=BegDate,Assumptions!$C$56*24*($A117-$A116)*(1-VLOOKUP($B116,MAIN!$AA$7:$AM$28,$C116+1))*(1-VLOOKUP($B116,MAIN!$AA$33:$AM$54,$C116+1)),0)*56/168</f>
        <v>180420</v>
      </c>
      <c r="HI116" s="1715">
        <f t="shared" si="340"/>
        <v>32.369550884887687</v>
      </c>
      <c r="HJ116" s="1715">
        <f>IF($A116&gt;=BegDate,VLOOKUP($A116,GasTable,13)+Assumptions!$C$58,0)</f>
        <v>2.7669430585801149</v>
      </c>
      <c r="HK116" s="1715">
        <f>HJ116*Assumptions!$C$57/1000</f>
        <v>20.060337174705833</v>
      </c>
      <c r="HL116" s="625">
        <f>IF(Assumptions!$C$60="Hourly",MAX(0,HH116*(HI116-HK116)),HH116*(HI116-HK116))</f>
        <v>2220828.3375910101</v>
      </c>
      <c r="HM116" s="640">
        <f>IF(AND(Assumptions!$H$71="Yes",A116&gt;=Assumptions!$H$72,A116&lt;=Assumptions!$H$73),Assumptions!$H$74*Assumptions!$C$9*1000,0)</f>
        <v>0</v>
      </c>
      <c r="HN116" s="530"/>
      <c r="HO116" s="545"/>
      <c r="HP116" s="545"/>
      <c r="HQ116" s="545"/>
      <c r="HR116" s="545"/>
      <c r="HS116" s="545"/>
      <c r="HT116" s="545"/>
      <c r="HU116" s="545"/>
      <c r="HV116" s="545"/>
      <c r="HW116" s="545"/>
      <c r="HX116" s="545"/>
      <c r="HY116" s="545"/>
      <c r="HZ116" s="545"/>
      <c r="IA116" s="545"/>
      <c r="IB116" s="545"/>
      <c r="IC116" s="545"/>
      <c r="ID116" s="545"/>
      <c r="IE116" s="545"/>
      <c r="IF116" s="545"/>
      <c r="IG116" s="545"/>
      <c r="IH116" s="545"/>
      <c r="II116" s="1464"/>
      <c r="IJ116" s="1463"/>
      <c r="IK116" s="1463"/>
    </row>
    <row r="117" spans="1:245">
      <c r="A117" s="177">
        <f t="shared" si="295"/>
        <v>39692</v>
      </c>
      <c r="B117" s="349">
        <f t="shared" si="296"/>
        <v>2008</v>
      </c>
      <c r="C117" s="15">
        <f t="shared" si="352"/>
        <v>9</v>
      </c>
      <c r="D117" s="612">
        <f t="shared" si="297"/>
        <v>39692</v>
      </c>
      <c r="E117" s="609">
        <f t="shared" si="353"/>
        <v>39692</v>
      </c>
      <c r="F117" s="614">
        <f t="shared" si="354"/>
        <v>39721</v>
      </c>
      <c r="G117" s="1349">
        <v>0</v>
      </c>
      <c r="H117" s="152">
        <f t="shared" si="341"/>
        <v>1</v>
      </c>
      <c r="I117" s="154">
        <f>IF(Assumptions!$L$25=4,VLOOKUP($A117,'Henwood Reference'!$E$9:$R$320,10),(VLOOKUP($A117,PriceTable,2,0)+IF(BasisNumber&lt;&gt;1,VLOOKUP($A117,BasisTable,2,0),0)+I$1)/(1-I$2))</f>
        <v>67.978036962618035</v>
      </c>
      <c r="J117" s="154">
        <f>IF(Assumptions!$L$25=4,VLOOKUP($A117,'Henwood Reference'!$E$9:$R$320,10),(VLOOKUP($A117,PriceTable,3,0)+IF(BasisNumber&lt;&gt;1,VLOOKUP($A117,BasisTable,2,0),0)+J$1)/(1-J$2))</f>
        <v>67.978036962618035</v>
      </c>
      <c r="K117" s="154">
        <f>IF(Assumptions!$L$25=4,VLOOKUP($A117,'Henwood Reference'!$E$9:$R$320,10),(VLOOKUP($A117,PriceTable,4,0)+IF(BasisNumber&lt;&gt;1,VLOOKUP($A117,BasisTable,2,0),0)+K$1)/(1-K$2))</f>
        <v>67.978036962618035</v>
      </c>
      <c r="L117" s="474">
        <f>IF(Assumptions!$L$25=4,VLOOKUP($A117,'Henwood Reference'!$E$9:$R$320,10),(VLOOKUP($A117,PriceTableWeekend,2,0)+IF(BasisNumber&lt;&gt;1,VLOOKUP($A117,BasisTable,2,0),0)+L$1)/(1-L$2))</f>
        <v>67.978036962618035</v>
      </c>
      <c r="M117" s="154">
        <f>IF(Assumptions!$L$25=4,VLOOKUP($A117,'Henwood Reference'!$E$9:$R$320,10),(VLOOKUP($A117,PriceTableWeekend,3,0)+IF(BasisNumber&lt;&gt;1,VLOOKUP($A117,BasisTable,2,0),0)+M$1)/(1-M$2))</f>
        <v>67.978036962618035</v>
      </c>
      <c r="N117" s="156">
        <f>IF(Assumptions!$L$25=4,VLOOKUP($A117,'Henwood Reference'!$E$9:$R$320,10),(VLOOKUP($A117,PriceTableWeekend,4,0)+IF(BasisNumber&lt;&gt;1,VLOOKUP($A117,BasisTable,2,0),0)+N$1)/(1-N$2))</f>
        <v>67.978036962618035</v>
      </c>
      <c r="O117" s="154">
        <f>IF(Assumptions!$L$25=4,VLOOKUP($A117,'Henwood Reference'!$E$9:$R$320,11),(VLOOKUP($A117,PriceTableWeekend,6,0)+IF(BasisNumber&lt;&gt;1,VLOOKUP($A117,BasisTable,3,0),0)+O$1)/(1-O$2))</f>
        <v>29.463132624373468</v>
      </c>
      <c r="P117" s="154">
        <f>IF(Assumptions!$L$25=4,VLOOKUP($A117,'Henwood Reference'!$E$9:$R$320,11),(VLOOKUP($A117,PriceTableWeekend,7,0)+IF(BasisNumber&lt;&gt;1,VLOOKUP($A117,BasisTable,3,0),0)+P$1)/(1-P$2))</f>
        <v>29.463132624373468</v>
      </c>
      <c r="Q117" s="156">
        <f>IF(Assumptions!$L$25=4,VLOOKUP($A117,'Henwood Reference'!$E$9:$R$320,11),(VLOOKUP($A117,PriceTableWeekend,8,0)+IF(BasisNumber&lt;&gt;1,VLOOKUP($A117,BasisTable,3,0),0)+Q$1)/(1-Q$2))</f>
        <v>29.463132624373468</v>
      </c>
      <c r="R117" s="154">
        <f>IF(Assumptions!$L$25=4,VLOOKUP($A117,'Henwood Reference'!$E$9:$R$320,11),(VLOOKUP($A117,PriceTable,6,0)+IF(BasisNumber&lt;&gt;1,VLOOKUP($A117,BasisTable,3,0),0)+R$1)/(1-R$2))</f>
        <v>29.463132624373468</v>
      </c>
      <c r="S117" s="154">
        <f>IF(Assumptions!$L$25=4,VLOOKUP($A117,'Henwood Reference'!$E$9:$R$320,11),(VLOOKUP($A117,PriceTable,7,0)+IF(BasisNumber&lt;&gt;1,VLOOKUP($A117,BasisTable,3,0),0)+S$1)/(1-S$2))</f>
        <v>29.463132624373468</v>
      </c>
      <c r="T117" s="155">
        <f>IF(Assumptions!$L$25=4,VLOOKUP($A117,'Henwood Reference'!$E$9:$R$320,11),(VLOOKUP($A117,PriceTable,8,0)+IF(BasisNumber&lt;&gt;1,VLOOKUP($A117,BasisTable,3,0),0)+T$1)/(1-T$2))</f>
        <v>29.463132624373468</v>
      </c>
      <c r="U117" s="173">
        <f t="shared" si="298"/>
        <v>0.13</v>
      </c>
      <c r="V117" s="173">
        <f t="shared" si="299"/>
        <v>0.14000000000000001</v>
      </c>
      <c r="W117" s="174">
        <f t="shared" si="300"/>
        <v>0.15</v>
      </c>
      <c r="X117" s="173">
        <f t="shared" si="301"/>
        <v>0.13</v>
      </c>
      <c r="Y117" s="173">
        <f t="shared" si="302"/>
        <v>0.14000000000000001</v>
      </c>
      <c r="Z117" s="174">
        <f t="shared" si="303"/>
        <v>0.15</v>
      </c>
      <c r="AA117" s="173">
        <f t="shared" si="304"/>
        <v>0.09</v>
      </c>
      <c r="AB117" s="173">
        <f t="shared" si="305"/>
        <v>0.11</v>
      </c>
      <c r="AC117" s="174">
        <f t="shared" si="306"/>
        <v>0.13</v>
      </c>
      <c r="AD117" s="173">
        <f t="shared" si="307"/>
        <v>0.09</v>
      </c>
      <c r="AE117" s="173">
        <f t="shared" si="308"/>
        <v>0.11</v>
      </c>
      <c r="AF117" s="174">
        <f t="shared" si="309"/>
        <v>0.13</v>
      </c>
      <c r="AG117" s="173">
        <f t="shared" si="310"/>
        <v>-0.35</v>
      </c>
      <c r="AH117" s="173">
        <f t="shared" si="311"/>
        <v>3</v>
      </c>
      <c r="AI117" s="174">
        <f t="shared" si="312"/>
        <v>0.2</v>
      </c>
      <c r="AJ117" s="173">
        <f t="shared" si="313"/>
        <v>-0.35</v>
      </c>
      <c r="AK117" s="173">
        <f t="shared" si="314"/>
        <v>3</v>
      </c>
      <c r="AL117" s="174">
        <f t="shared" si="315"/>
        <v>0.2</v>
      </c>
      <c r="AM117" s="173">
        <f t="shared" si="316"/>
        <v>-0.01</v>
      </c>
      <c r="AN117" s="173">
        <f t="shared" si="317"/>
        <v>0.16</v>
      </c>
      <c r="AO117" s="174">
        <f t="shared" si="318"/>
        <v>0.01</v>
      </c>
      <c r="AP117" s="173">
        <f t="shared" si="319"/>
        <v>-0.01</v>
      </c>
      <c r="AQ117" s="173">
        <f t="shared" si="320"/>
        <v>0.16</v>
      </c>
      <c r="AR117" s="175">
        <f t="shared" si="321"/>
        <v>0.01</v>
      </c>
      <c r="AS117" s="521">
        <f t="shared" si="357"/>
        <v>0.5</v>
      </c>
      <c r="AT117" s="349">
        <f t="shared" si="355"/>
        <v>21</v>
      </c>
      <c r="AU117" s="159">
        <f t="shared" si="240"/>
        <v>4</v>
      </c>
      <c r="AV117" s="159">
        <f t="shared" si="241"/>
        <v>4</v>
      </c>
      <c r="AW117" s="159">
        <f t="shared" si="358"/>
        <v>1</v>
      </c>
      <c r="AX117" s="15">
        <f t="shared" si="356"/>
        <v>30</v>
      </c>
      <c r="AY117" s="607">
        <f>IF(E117="",0,MIN((1-(1-VLOOKUP(B117,MAIN!$AA$7:$AM$28,C117+1))*(1-VLOOKUP(B117,MAIN!$AA$33:$AM$54,C117+1))),1))</f>
        <v>3.0000000000000027E-2</v>
      </c>
      <c r="AZ117" s="337">
        <v>48888</v>
      </c>
      <c r="BA117" s="509">
        <v>9312</v>
      </c>
      <c r="BB117" s="509">
        <v>11640</v>
      </c>
      <c r="BC117" s="511">
        <v>34920</v>
      </c>
      <c r="BD117" s="153">
        <v>0.9699999927729368</v>
      </c>
      <c r="BE117" s="474">
        <v>0.9699999927729368</v>
      </c>
      <c r="BF117" s="474">
        <v>0.9699999927729368</v>
      </c>
      <c r="BG117" s="515">
        <v>0.9699999927729368</v>
      </c>
      <c r="BH117" s="262">
        <v>195552</v>
      </c>
      <c r="BI117" s="509">
        <v>37248</v>
      </c>
      <c r="BJ117" s="509">
        <v>46560</v>
      </c>
      <c r="BK117" s="511">
        <v>139680</v>
      </c>
      <c r="BL117" s="153">
        <v>0.9699999927729368</v>
      </c>
      <c r="BM117" s="474">
        <v>0.9699999927729368</v>
      </c>
      <c r="BN117" s="474">
        <v>0.9699999927729368</v>
      </c>
      <c r="BO117" s="474">
        <v>0.9699999927729368</v>
      </c>
      <c r="BP117" s="261">
        <f t="shared" si="324"/>
        <v>69840</v>
      </c>
      <c r="BQ117" s="578">
        <f t="shared" si="325"/>
        <v>104760</v>
      </c>
      <c r="BR117" s="259">
        <f t="shared" si="326"/>
        <v>279360</v>
      </c>
      <c r="BS117" s="578">
        <f t="shared" si="327"/>
        <v>419040</v>
      </c>
      <c r="BT117" s="216">
        <f t="shared" si="328"/>
        <v>8.3832991101984948</v>
      </c>
      <c r="BU117" s="218">
        <f t="shared" si="243"/>
        <v>67.978036456142192</v>
      </c>
      <c r="BV117" s="216">
        <f t="shared" si="244"/>
        <v>67.978036456142192</v>
      </c>
      <c r="BW117" s="216">
        <f t="shared" si="245"/>
        <v>29.463132404856022</v>
      </c>
      <c r="BX117" s="216">
        <f t="shared" si="329"/>
        <v>29.463132404856022</v>
      </c>
      <c r="BY117" s="216">
        <f t="shared" si="246"/>
        <v>61.558885780927838</v>
      </c>
      <c r="BZ117" s="216">
        <f t="shared" si="247"/>
        <v>50.860301322237234</v>
      </c>
      <c r="CA117" s="264">
        <f t="shared" si="248"/>
        <v>67.978036456142192</v>
      </c>
      <c r="CB117" s="216">
        <f t="shared" si="249"/>
        <v>67.978036456142192</v>
      </c>
      <c r="CC117" s="216">
        <f t="shared" si="250"/>
        <v>29.463132404856022</v>
      </c>
      <c r="CD117" s="216">
        <f t="shared" si="330"/>
        <v>29.463132404856022</v>
      </c>
      <c r="CE117" s="216">
        <f t="shared" si="251"/>
        <v>61.558885780927838</v>
      </c>
      <c r="CF117" s="571">
        <f t="shared" si="252"/>
        <v>50.860301322237234</v>
      </c>
      <c r="CG117" s="573">
        <f t="shared" si="253"/>
        <v>0.14000000000000001</v>
      </c>
      <c r="CH117" s="219">
        <f t="shared" si="254"/>
        <v>0.14000000000000001</v>
      </c>
      <c r="CI117" s="219">
        <f t="shared" si="255"/>
        <v>0.11</v>
      </c>
      <c r="CJ117" s="219">
        <f t="shared" si="256"/>
        <v>0.13764473223069765</v>
      </c>
      <c r="CK117" s="219">
        <f t="shared" si="257"/>
        <v>0.13764473223069765</v>
      </c>
      <c r="CL117" s="219">
        <f t="shared" si="258"/>
        <v>0.11</v>
      </c>
      <c r="CM117" s="219">
        <f t="shared" si="259"/>
        <v>0.12353346601880284</v>
      </c>
      <c r="CN117" s="569">
        <f t="shared" si="260"/>
        <v>0.12353346601880284</v>
      </c>
      <c r="CO117" s="264">
        <f t="shared" si="343"/>
        <v>20.648506825110481</v>
      </c>
      <c r="CP117" s="216">
        <f t="shared" si="331"/>
        <v>20.648506825110481</v>
      </c>
      <c r="CQ117" s="216">
        <f t="shared" ca="1" si="192"/>
        <v>20.648506825110481</v>
      </c>
      <c r="CR117" s="216">
        <f t="shared" ca="1" si="193"/>
        <v>20.648506825110481</v>
      </c>
      <c r="CS117" s="1626">
        <f t="shared" ca="1" si="194"/>
        <v>20.648506825110481</v>
      </c>
      <c r="CT117" s="216">
        <f t="shared" si="332"/>
        <v>20.648506825110481</v>
      </c>
      <c r="CU117" s="575">
        <f t="shared" si="261"/>
        <v>0.16</v>
      </c>
      <c r="CV117" s="154">
        <f t="shared" si="262"/>
        <v>0.5</v>
      </c>
      <c r="CW117" s="216">
        <f>IF(OR($BQ117,$BS117),SpreadOptPowerMargin,0)*((1+Assumptions!$C$26)^($B117-YEAR(Assumptions!$C$17)))</f>
        <v>1.9873454457600002</v>
      </c>
      <c r="CX117" s="216">
        <f>IF(OR($BQ117,$BS117),SpreadOptPowerMargin,0)*((1+Assumptions!$C$26)^($B117-YEAR(Assumptions!$C$17)))</f>
        <v>1.9873454457600002</v>
      </c>
      <c r="CY117" s="216">
        <f>IF(OR($BQ117,$BS117),SpreadOptPowerMargin,0)*((1+Assumptions!$C$26)^($B117-YEAR(Assumptions!$C$17)))</f>
        <v>1.9873454457600002</v>
      </c>
      <c r="CZ117" s="216">
        <f>IF(OR($BQ117,$BS117),SpreadOptPowerMargin,0)*((1+Assumptions!$C$26)^($B117-YEAR(Assumptions!$C$17)))</f>
        <v>1.9873454457600002</v>
      </c>
      <c r="DA117" s="440">
        <f t="shared" si="263"/>
        <v>1.9873454457600002</v>
      </c>
      <c r="DB117" s="479">
        <f t="shared" si="264"/>
        <v>0.14000000000000001</v>
      </c>
      <c r="DC117" s="479">
        <f t="shared" si="265"/>
        <v>0.14000000000000001</v>
      </c>
      <c r="DD117" s="479">
        <f t="shared" si="266"/>
        <v>0.11</v>
      </c>
      <c r="DE117" s="479">
        <f t="shared" si="267"/>
        <v>0.11</v>
      </c>
      <c r="DF117" s="479">
        <f t="shared" si="268"/>
        <v>0.12353346601880284</v>
      </c>
      <c r="DG117" s="574">
        <f t="shared" si="269"/>
        <v>0.12353346601880284</v>
      </c>
      <c r="DH117" s="216">
        <f t="shared" si="270"/>
        <v>45.364351062786945</v>
      </c>
      <c r="DI117" s="216">
        <f t="shared" si="271"/>
        <v>45.364351062786945</v>
      </c>
      <c r="DJ117" s="216">
        <f t="shared" ca="1" si="195"/>
        <v>8.2596852751488239</v>
      </c>
      <c r="DK117" s="216">
        <f t="shared" ca="1" si="196"/>
        <v>8.2596852751488239</v>
      </c>
      <c r="DL117" s="216">
        <f t="shared" ca="1" si="197"/>
        <v>28.330503244639573</v>
      </c>
      <c r="DM117" s="216"/>
      <c r="DN117" s="216"/>
      <c r="DO117" s="216"/>
      <c r="DP117" s="216"/>
      <c r="DQ117" s="216"/>
      <c r="DR117" s="216"/>
      <c r="DS117" s="216"/>
      <c r="DT117" s="216"/>
      <c r="DU117" s="216"/>
      <c r="DV117" s="216"/>
      <c r="DW117" s="1371">
        <f t="shared" si="272"/>
        <v>8.2596852751488239</v>
      </c>
      <c r="DX117" s="216">
        <f t="shared" si="273"/>
        <v>8.2596852751488239</v>
      </c>
      <c r="DY117" s="440">
        <f t="shared" si="274"/>
        <v>28.873388490503338</v>
      </c>
      <c r="DZ117" s="180">
        <f t="shared" si="275"/>
        <v>2217772.3947575283</v>
      </c>
      <c r="EA117" s="180">
        <f t="shared" si="276"/>
        <v>422432.83709667204</v>
      </c>
      <c r="EB117" s="180">
        <f t="shared" ca="1" si="198"/>
        <v>96142.736602732315</v>
      </c>
      <c r="EC117" s="180">
        <f t="shared" ca="1" si="199"/>
        <v>288428.20980819693</v>
      </c>
      <c r="ED117" s="180">
        <f t="shared" ca="1" si="200"/>
        <v>2967903.5199084417</v>
      </c>
      <c r="EE117" s="581">
        <f t="shared" si="277"/>
        <v>2216688.7004495636</v>
      </c>
      <c r="EF117" s="554">
        <f t="shared" si="278"/>
        <v>422226.41913325019</v>
      </c>
      <c r="EG117" s="554">
        <f t="shared" ca="1" si="201"/>
        <v>79469.54075959172</v>
      </c>
      <c r="EH117" s="554">
        <f t="shared" ca="1" si="202"/>
        <v>238408.62227877515</v>
      </c>
      <c r="EI117" s="561">
        <f t="shared" ca="1" si="279"/>
        <v>2956793.2826211811</v>
      </c>
      <c r="EJ117" s="581">
        <f t="shared" si="333"/>
        <v>1083.6943079647608</v>
      </c>
      <c r="EK117" s="554">
        <f t="shared" si="334"/>
        <v>206.41796342184534</v>
      </c>
      <c r="EL117" s="554">
        <f t="shared" ca="1" si="203"/>
        <v>16673.195843140595</v>
      </c>
      <c r="EM117" s="554">
        <f t="shared" ca="1" si="204"/>
        <v>50019.587529421784</v>
      </c>
      <c r="EN117" s="561">
        <f t="shared" ca="1" si="205"/>
        <v>11110.237287260592</v>
      </c>
      <c r="EO117" s="180">
        <f t="shared" si="280"/>
        <v>8871089.5790301133</v>
      </c>
      <c r="EP117" s="180">
        <f t="shared" si="281"/>
        <v>1689731.3483866882</v>
      </c>
      <c r="EQ117" s="180">
        <f t="shared" si="282"/>
        <v>384570.94641092926</v>
      </c>
      <c r="ER117" s="180">
        <f t="shared" si="283"/>
        <v>1153712.8392327877</v>
      </c>
      <c r="ES117" s="180">
        <f t="shared" si="284"/>
        <v>12099104.713060519</v>
      </c>
      <c r="ET117" s="1482">
        <f t="shared" ca="1" si="206"/>
        <v>8866754.8017982543</v>
      </c>
      <c r="EU117" s="180">
        <f t="shared" ca="1" si="207"/>
        <v>1688905.6765330008</v>
      </c>
      <c r="EV117" s="180">
        <f t="shared" ca="1" si="208"/>
        <v>317878.16303836688</v>
      </c>
      <c r="EW117" s="180">
        <f t="shared" ca="1" si="209"/>
        <v>953634.48911510059</v>
      </c>
      <c r="EX117" s="555">
        <f t="shared" ca="1" si="351"/>
        <v>11827173.130484723</v>
      </c>
      <c r="EY117" s="180">
        <f t="shared" ca="1" si="210"/>
        <v>4334.7772318590432</v>
      </c>
      <c r="EZ117" s="180">
        <f t="shared" ca="1" si="211"/>
        <v>825.67185368738137</v>
      </c>
      <c r="FA117" s="180">
        <f t="shared" ca="1" si="212"/>
        <v>66692.783372562379</v>
      </c>
      <c r="FB117" s="180">
        <f t="shared" ca="1" si="213"/>
        <v>200078.35011768714</v>
      </c>
      <c r="FC117" s="180">
        <f t="shared" ca="1" si="214"/>
        <v>271931.58257579617</v>
      </c>
      <c r="FD117" s="262">
        <f>IF(AX117,IF(VLOOKUP(C117,MAIN!$L$17:$M$28,2)="Yes",VLOOKUP(CALC!B117,MAIN!$H$17:$I$20,2),0),0)</f>
        <v>0</v>
      </c>
      <c r="FE117" s="623">
        <f t="shared" si="285"/>
        <v>0</v>
      </c>
      <c r="FF117" s="535">
        <f t="shared" si="286"/>
        <v>0</v>
      </c>
      <c r="FG117" s="535">
        <f t="shared" si="287"/>
        <v>0</v>
      </c>
      <c r="FH117" s="624">
        <f t="shared" si="288"/>
        <v>0</v>
      </c>
      <c r="FI117" s="632">
        <f>IF(AX117,VLOOKUP(CALC!B117,MAIN!$H$17:$K$20,4),0)</f>
        <v>0</v>
      </c>
      <c r="FJ117" s="535">
        <f t="shared" si="289"/>
        <v>0</v>
      </c>
      <c r="FK117" s="648">
        <f t="shared" si="335"/>
        <v>0</v>
      </c>
      <c r="FL117" s="530">
        <f t="shared" ca="1" si="215"/>
        <v>0</v>
      </c>
      <c r="FM117" s="530">
        <f t="shared" ca="1" si="216"/>
        <v>0</v>
      </c>
      <c r="FN117" s="530">
        <f t="shared" ca="1" si="217"/>
        <v>0</v>
      </c>
      <c r="FO117" s="622">
        <f t="shared" ca="1" si="218"/>
        <v>0</v>
      </c>
      <c r="FP117" s="530">
        <f t="shared" ca="1" si="219"/>
        <v>0</v>
      </c>
      <c r="FQ117" s="530">
        <f t="shared" ca="1" si="220"/>
        <v>0</v>
      </c>
      <c r="FR117" s="530">
        <f t="shared" ca="1" si="221"/>
        <v>0</v>
      </c>
      <c r="FS117" s="625">
        <f t="shared" ca="1" si="222"/>
        <v>0</v>
      </c>
      <c r="FT117" s="640">
        <f ca="1">IF(AND(Assumptions!$H$71="Yes",A117&gt;=Assumptions!$H$72,A117&lt;=Assumptions!$H$73),0,IF(AND($A117&gt;=Assumptions!$C$17,$A117&lt;=Assumptions!$C$18),MAX(AZ117*(1+VLOOKUP($C117,WeatherCapacityAdjustment,2))-FL117,0),0))</f>
        <v>48888</v>
      </c>
      <c r="FU117" s="530">
        <f ca="1">IF(AND(Assumptions!$H$71="Yes",A117&gt;=Assumptions!$H$72,A117&lt;=Assumptions!$H$73),0,IF(AND($A117&gt;=Assumptions!$C$17,$A117&lt;=Assumptions!$C$18),MAX(BA117*(1+VLOOKUP($C117,WeatherCapacityAdjustment,2))-FM117,0),0))</f>
        <v>9312</v>
      </c>
      <c r="FV117" s="530">
        <f ca="1">IF(AND(Assumptions!$H$71="Yes",A117&gt;=Assumptions!$H$72,A117&lt;=Assumptions!$H$73),0,IF(AND($A117&gt;=Assumptions!$C$17,$A117&lt;=Assumptions!$C$18),MAX(BB117*(1+VLOOKUP($C117,WeatherCapacityAdjustment,2))-FN117,0),0))</f>
        <v>11640</v>
      </c>
      <c r="FW117" s="622">
        <f ca="1">IF(AND(Assumptions!$H$71="Yes",A117&gt;=Assumptions!$H$72,A117&lt;=Assumptions!$H$73),0,IF(AND($A117&gt;=Assumptions!$C$17,$A117&lt;=Assumptions!$C$18),MAX(BC117*(1+VLOOKUP($C117,WeatherCapacityAdjustment,3))-FO117,0),0))</f>
        <v>34920</v>
      </c>
      <c r="FX117" s="621">
        <f ca="1">IF(AND(Assumptions!$H$71="Yes",A117&gt;=Assumptions!$H$72,A117&lt;=Assumptions!$H$73),0,IF(ET117&gt;0,MAX(BH117*(1+VLOOKUP($C117,WeatherCapacityAdjustment,2))-FP117,0),0))</f>
        <v>195552</v>
      </c>
      <c r="FY117" s="530">
        <f ca="1">IF(AND(Assumptions!$H$71="Yes",A117&gt;=Assumptions!$H$72,A117&lt;=Assumptions!$H$73),0,IF(EU117&gt;0,MAX(BI117*(1+VLOOKUP($C117,WeatherCapacityAdjustment,3))-FQ117,0),0))</f>
        <v>37248</v>
      </c>
      <c r="FZ117" s="530">
        <f ca="1">IF(AND(Assumptions!$H$71="Yes",A117&gt;=Assumptions!$H$72,A117&lt;=Assumptions!$H$73),0,IF(EV117&gt;0,MAX(BJ117*(1+VLOOKUP($C117,WeatherCapacityAdjustment,2))-FR117,0),0))</f>
        <v>46560</v>
      </c>
      <c r="GA117" s="622">
        <f ca="1">IF(AND(Assumptions!$H$71="Yes",A117&gt;=Assumptions!$H$72,A117&lt;=Assumptions!$H$73),0,IF(EW117&gt;0,MAX(BK117*(1+VLOOKUP($C117,WeatherCapacityAdjustment,2))-FS117,0),0))</f>
        <v>139680</v>
      </c>
      <c r="GB117" s="530">
        <f t="shared" ca="1" si="290"/>
        <v>523800</v>
      </c>
      <c r="GC117" s="545">
        <f t="shared" ca="1" si="291"/>
        <v>50.860301322237227</v>
      </c>
      <c r="GD117" s="530">
        <f t="shared" ca="1" si="223"/>
        <v>26640625.832587864</v>
      </c>
      <c r="GE117" s="1485">
        <f t="shared" ca="1" si="224"/>
        <v>750597.01919999998</v>
      </c>
      <c r="GF117" s="1776">
        <f t="shared" ca="1" si="225"/>
        <v>3002388.0767999999</v>
      </c>
      <c r="GG117" s="545">
        <f t="shared" si="359"/>
        <v>2.8818893756120767</v>
      </c>
      <c r="GH117" s="622">
        <f t="shared" ca="1" si="360"/>
        <v>10815687.87499287</v>
      </c>
      <c r="GI117" s="621">
        <f t="shared" ca="1" si="336"/>
        <v>523800</v>
      </c>
      <c r="GJ117" s="638">
        <f t="shared" si="292"/>
        <v>1.9873454457600002</v>
      </c>
      <c r="GK117" s="625">
        <f t="shared" ca="1" si="342"/>
        <v>1040971.5444890881</v>
      </c>
      <c r="GL117" s="640">
        <f t="shared" ca="1" si="226"/>
        <v>0</v>
      </c>
      <c r="GM117" s="530">
        <f t="shared" ca="1" si="227"/>
        <v>0</v>
      </c>
      <c r="GN117" s="530">
        <f t="shared" ca="1" si="228"/>
        <v>0</v>
      </c>
      <c r="GO117" s="622">
        <f t="shared" ca="1" si="229"/>
        <v>0</v>
      </c>
      <c r="GP117" s="530">
        <f t="shared" ca="1" si="293"/>
        <v>0</v>
      </c>
      <c r="GQ117" s="545">
        <f t="shared" ca="1" si="294"/>
        <v>0</v>
      </c>
      <c r="GR117" s="625">
        <f t="shared" ca="1" si="230"/>
        <v>0</v>
      </c>
      <c r="GS117" s="640">
        <f>IF($A117&gt;=BegDate,Assumptions!$C$56*24*($A118-$A117)*(1-VLOOKUP($B117,MAIN!$AA$7:$AM$28,$C117+1))*(1-VLOOKUP($B117,MAIN!$AA$33:$AM$54,$C117+1)),0)*80/168</f>
        <v>249428.57142857142</v>
      </c>
      <c r="GT117" s="1715">
        <f t="shared" si="337"/>
        <v>67.978036962618035</v>
      </c>
      <c r="GU117" s="1715">
        <f>IF($A117&gt;=BegDate,VLOOKUP($A117,GasTable,13)+Assumptions!$C$58,0)</f>
        <v>2.8818893756120767</v>
      </c>
      <c r="GV117" s="1715">
        <f>GU117*Assumptions!$C$57/1000</f>
        <v>20.893697973187553</v>
      </c>
      <c r="GW117" s="625">
        <f>IF(Assumptions!$C$60="Hourly",MAX(0,GS117*(GT117-GV117)),GS117*(GT117-GV117))</f>
        <v>11744179.41079223</v>
      </c>
      <c r="GX117" s="640">
        <f>IF($A117&gt;=BegDate,Assumptions!$C$56*24*($A118-$A117)*(1-VLOOKUP($B117,MAIN!$AA$7:$AM$28,$C117+1))*(1-VLOOKUP($B117,MAIN!$AA$33:$AM$54,$C117+1)),0)*16/168</f>
        <v>49885.714285714283</v>
      </c>
      <c r="GY117" s="1715">
        <f t="shared" si="338"/>
        <v>67.978036962618035</v>
      </c>
      <c r="GZ117" s="1715">
        <f>IF($A117&gt;=BegDate,VLOOKUP($A117,GasTable,13)+Assumptions!$C$58,0)</f>
        <v>2.8818893756120767</v>
      </c>
      <c r="HA117" s="1715">
        <f>GZ117*Assumptions!$C$57/1000</f>
        <v>20.893697973187553</v>
      </c>
      <c r="HB117" s="625">
        <f>IF(Assumptions!$C$60="Hourly",MAX(0,GX117*(GY117-HA117)),GX117*(GY117-HA117))</f>
        <v>2348835.8821584461</v>
      </c>
      <c r="HC117" s="640">
        <f>IF($A117&gt;=BegDate,Assumptions!$C$56*24*($A118-$A117)*(1-VLOOKUP($B117,MAIN!$AA$7:$AM$28,$C117+1))*(1-VLOOKUP($B117,MAIN!$AA$33:$AM$54,$C117+1)),0)*16/168</f>
        <v>49885.714285714283</v>
      </c>
      <c r="HD117" s="1715">
        <f t="shared" si="339"/>
        <v>29.463132624373468</v>
      </c>
      <c r="HE117" s="1715">
        <f>IF($A117&gt;=BegDate,VLOOKUP($A117,GasTable,13)+Assumptions!$C$58,0)</f>
        <v>2.8818893756120767</v>
      </c>
      <c r="HF117" s="1715">
        <f>HE117*Assumptions!$C$57/1000</f>
        <v>20.893697973187553</v>
      </c>
      <c r="HG117" s="625">
        <f>IF(Assumptions!$C$60="Hourly",MAX(0,HC117*(HD117-HF117)),HC117*(HD117-HF117))</f>
        <v>427492.36859916023</v>
      </c>
      <c r="HH117" s="640">
        <f>IF($A117&gt;=BegDate,Assumptions!$C$56*24*($A118-$A117)*(1-VLOOKUP($B117,MAIN!$AA$7:$AM$28,$C117+1))*(1-VLOOKUP($B117,MAIN!$AA$33:$AM$54,$C117+1)),0)*56/168</f>
        <v>174600</v>
      </c>
      <c r="HI117" s="1715">
        <f t="shared" si="340"/>
        <v>29.463132624373468</v>
      </c>
      <c r="HJ117" s="1715">
        <f>IF($A117&gt;=BegDate,VLOOKUP($A117,GasTable,13)+Assumptions!$C$58,0)</f>
        <v>2.8818893756120767</v>
      </c>
      <c r="HK117" s="1715">
        <f>HJ117*Assumptions!$C$57/1000</f>
        <v>20.893697973187553</v>
      </c>
      <c r="HL117" s="625">
        <f>IF(Assumptions!$C$60="Hourly",MAX(0,HH117*(HI117-HK117)),HH117*(HI117-HK117))</f>
        <v>1496223.2900970608</v>
      </c>
      <c r="HM117" s="640">
        <f>IF(AND(Assumptions!$H$71="Yes",A117&gt;=Assumptions!$H$72,A117&lt;=Assumptions!$H$73),Assumptions!$H$74*Assumptions!$C$9*1000,0)</f>
        <v>0</v>
      </c>
      <c r="HN117" s="530"/>
      <c r="HO117" s="545"/>
      <c r="HP117" s="545"/>
      <c r="HQ117" s="545"/>
      <c r="HR117" s="545"/>
      <c r="HS117" s="545"/>
      <c r="HT117" s="545"/>
      <c r="HU117" s="545"/>
      <c r="HV117" s="545"/>
      <c r="HW117" s="545"/>
      <c r="HX117" s="545"/>
      <c r="HY117" s="545"/>
      <c r="HZ117" s="545"/>
      <c r="IA117" s="545"/>
      <c r="IB117" s="545"/>
      <c r="IC117" s="545"/>
      <c r="ID117" s="545"/>
      <c r="IE117" s="545"/>
      <c r="IF117" s="545"/>
      <c r="IG117" s="545"/>
      <c r="IH117" s="545"/>
      <c r="II117" s="1464"/>
      <c r="IJ117" s="1463"/>
      <c r="IK117" s="1463"/>
    </row>
    <row r="118" spans="1:245">
      <c r="A118" s="177">
        <f t="shared" si="295"/>
        <v>39722</v>
      </c>
      <c r="B118" s="349">
        <f t="shared" si="296"/>
        <v>2008</v>
      </c>
      <c r="C118" s="15">
        <f t="shared" si="352"/>
        <v>10</v>
      </c>
      <c r="D118" s="612" t="str">
        <f t="shared" si="297"/>
        <v/>
      </c>
      <c r="E118" s="609">
        <f t="shared" si="353"/>
        <v>39722</v>
      </c>
      <c r="F118" s="614">
        <f t="shared" si="354"/>
        <v>39752</v>
      </c>
      <c r="G118" s="1349">
        <v>0</v>
      </c>
      <c r="H118" s="152">
        <f t="shared" si="341"/>
        <v>1</v>
      </c>
      <c r="I118" s="154">
        <f>IF(Assumptions!$L$25=4,VLOOKUP($A118,'Henwood Reference'!$E$9:$R$320,10),(VLOOKUP($A118,PriceTable,2,0)+IF(BasisNumber&lt;&gt;1,VLOOKUP($A118,BasisTable,2,0),0)+I$1)/(1-I$2))</f>
        <v>45.932797045308021</v>
      </c>
      <c r="J118" s="154">
        <f>IF(Assumptions!$L$25=4,VLOOKUP($A118,'Henwood Reference'!$E$9:$R$320,10),(VLOOKUP($A118,PriceTable,3,0)+IF(BasisNumber&lt;&gt;1,VLOOKUP($A118,BasisTable,2,0),0)+J$1)/(1-J$2))</f>
        <v>45.932797045308021</v>
      </c>
      <c r="K118" s="154">
        <f>IF(Assumptions!$L$25=4,VLOOKUP($A118,'Henwood Reference'!$E$9:$R$320,10),(VLOOKUP($A118,PriceTable,4,0)+IF(BasisNumber&lt;&gt;1,VLOOKUP($A118,BasisTable,2,0),0)+K$1)/(1-K$2))</f>
        <v>45.932797045308021</v>
      </c>
      <c r="L118" s="474">
        <f>IF(Assumptions!$L$25=4,VLOOKUP($A118,'Henwood Reference'!$E$9:$R$320,10),(VLOOKUP($A118,PriceTableWeekend,2,0)+IF(BasisNumber&lt;&gt;1,VLOOKUP($A118,BasisTable,2,0),0)+L$1)/(1-L$2))</f>
        <v>45.932797045308021</v>
      </c>
      <c r="M118" s="154">
        <f>IF(Assumptions!$L$25=4,VLOOKUP($A118,'Henwood Reference'!$E$9:$R$320,10),(VLOOKUP($A118,PriceTableWeekend,3,0)+IF(BasisNumber&lt;&gt;1,VLOOKUP($A118,BasisTable,2,0),0)+M$1)/(1-M$2))</f>
        <v>45.932797045308021</v>
      </c>
      <c r="N118" s="156">
        <f>IF(Assumptions!$L$25=4,VLOOKUP($A118,'Henwood Reference'!$E$9:$R$320,10),(VLOOKUP($A118,PriceTableWeekend,4,0)+IF(BasisNumber&lt;&gt;1,VLOOKUP($A118,BasisTable,2,0),0)+N$1)/(1-N$2))</f>
        <v>45.932797045308021</v>
      </c>
      <c r="O118" s="154">
        <f>IF(Assumptions!$L$25=4,VLOOKUP($A118,'Henwood Reference'!$E$9:$R$320,11),(VLOOKUP($A118,PriceTableWeekend,6,0)+IF(BasisNumber&lt;&gt;1,VLOOKUP($A118,BasisTable,3,0),0)+O$1)/(1-O$2))</f>
        <v>25.497182785618904</v>
      </c>
      <c r="P118" s="154">
        <f>IF(Assumptions!$L$25=4,VLOOKUP($A118,'Henwood Reference'!$E$9:$R$320,11),(VLOOKUP($A118,PriceTableWeekend,7,0)+IF(BasisNumber&lt;&gt;1,VLOOKUP($A118,BasisTable,3,0),0)+P$1)/(1-P$2))</f>
        <v>25.497182785618904</v>
      </c>
      <c r="Q118" s="156">
        <f>IF(Assumptions!$L$25=4,VLOOKUP($A118,'Henwood Reference'!$E$9:$R$320,11),(VLOOKUP($A118,PriceTableWeekend,8,0)+IF(BasisNumber&lt;&gt;1,VLOOKUP($A118,BasisTable,3,0),0)+Q$1)/(1-Q$2))</f>
        <v>25.497182785618904</v>
      </c>
      <c r="R118" s="154">
        <f>IF(Assumptions!$L$25=4,VLOOKUP($A118,'Henwood Reference'!$E$9:$R$320,11),(VLOOKUP($A118,PriceTable,6,0)+IF(BasisNumber&lt;&gt;1,VLOOKUP($A118,BasisTable,3,0),0)+R$1)/(1-R$2))</f>
        <v>25.497182785618904</v>
      </c>
      <c r="S118" s="154">
        <f>IF(Assumptions!$L$25=4,VLOOKUP($A118,'Henwood Reference'!$E$9:$R$320,11),(VLOOKUP($A118,PriceTable,7,0)+IF(BasisNumber&lt;&gt;1,VLOOKUP($A118,BasisTable,3,0),0)+S$1)/(1-S$2))</f>
        <v>25.497182785618904</v>
      </c>
      <c r="T118" s="155">
        <f>IF(Assumptions!$L$25=4,VLOOKUP($A118,'Henwood Reference'!$E$9:$R$320,11),(VLOOKUP($A118,PriceTable,8,0)+IF(BasisNumber&lt;&gt;1,VLOOKUP($A118,BasisTable,3,0),0)+T$1)/(1-T$2))</f>
        <v>25.497182785618904</v>
      </c>
      <c r="U118" s="173">
        <f t="shared" si="298"/>
        <v>0.13</v>
      </c>
      <c r="V118" s="173">
        <f t="shared" si="299"/>
        <v>0.14000000000000001</v>
      </c>
      <c r="W118" s="174">
        <f t="shared" si="300"/>
        <v>0.15</v>
      </c>
      <c r="X118" s="173">
        <f t="shared" si="301"/>
        <v>0.13</v>
      </c>
      <c r="Y118" s="173">
        <f t="shared" si="302"/>
        <v>0.14000000000000001</v>
      </c>
      <c r="Z118" s="174">
        <f t="shared" si="303"/>
        <v>0.15</v>
      </c>
      <c r="AA118" s="173">
        <f t="shared" si="304"/>
        <v>0.09</v>
      </c>
      <c r="AB118" s="173">
        <f t="shared" si="305"/>
        <v>0.11</v>
      </c>
      <c r="AC118" s="174">
        <f t="shared" si="306"/>
        <v>0.13</v>
      </c>
      <c r="AD118" s="173">
        <f t="shared" si="307"/>
        <v>0.09</v>
      </c>
      <c r="AE118" s="173">
        <f t="shared" si="308"/>
        <v>0.11</v>
      </c>
      <c r="AF118" s="174">
        <f t="shared" si="309"/>
        <v>0.13</v>
      </c>
      <c r="AG118" s="173">
        <f t="shared" si="310"/>
        <v>-0.1</v>
      </c>
      <c r="AH118" s="173">
        <f t="shared" si="311"/>
        <v>0.6</v>
      </c>
      <c r="AI118" s="174">
        <f t="shared" si="312"/>
        <v>0.1</v>
      </c>
      <c r="AJ118" s="173">
        <f t="shared" si="313"/>
        <v>-0.1</v>
      </c>
      <c r="AK118" s="173">
        <f t="shared" si="314"/>
        <v>0.6</v>
      </c>
      <c r="AL118" s="174">
        <f t="shared" si="315"/>
        <v>0.1</v>
      </c>
      <c r="AM118" s="173">
        <f t="shared" si="316"/>
        <v>-0.01</v>
      </c>
      <c r="AN118" s="173">
        <f t="shared" si="317"/>
        <v>0.16</v>
      </c>
      <c r="AO118" s="174">
        <f t="shared" si="318"/>
        <v>0.01</v>
      </c>
      <c r="AP118" s="173">
        <f t="shared" si="319"/>
        <v>-0.01</v>
      </c>
      <c r="AQ118" s="173">
        <f t="shared" si="320"/>
        <v>0.16</v>
      </c>
      <c r="AR118" s="175">
        <f t="shared" si="321"/>
        <v>0.01</v>
      </c>
      <c r="AS118" s="521">
        <f t="shared" si="357"/>
        <v>0.5</v>
      </c>
      <c r="AT118" s="349">
        <f t="shared" si="355"/>
        <v>23</v>
      </c>
      <c r="AU118" s="159">
        <f t="shared" si="240"/>
        <v>4</v>
      </c>
      <c r="AV118" s="159">
        <f t="shared" si="241"/>
        <v>4</v>
      </c>
      <c r="AW118" s="159">
        <f t="shared" si="358"/>
        <v>0</v>
      </c>
      <c r="AX118" s="15">
        <f t="shared" si="356"/>
        <v>31</v>
      </c>
      <c r="AY118" s="607">
        <f>IF(E118="",0,MIN((1-(1-VLOOKUP(B118,MAIN!$AA$7:$AM$28,C118+1))*(1-VLOOKUP(B118,MAIN!$AA$33:$AM$54,C118+1))),1))</f>
        <v>3.0000000000000027E-2</v>
      </c>
      <c r="AZ118" s="337">
        <v>53544</v>
      </c>
      <c r="BA118" s="509">
        <v>9312</v>
      </c>
      <c r="BB118" s="509">
        <v>9312</v>
      </c>
      <c r="BC118" s="511">
        <v>36084</v>
      </c>
      <c r="BD118" s="153">
        <v>0.97000001445412631</v>
      </c>
      <c r="BE118" s="474">
        <v>0.97000001445412631</v>
      </c>
      <c r="BF118" s="474">
        <v>0.97000001445412631</v>
      </c>
      <c r="BG118" s="515">
        <v>0.9699999927729368</v>
      </c>
      <c r="BH118" s="262">
        <v>214176</v>
      </c>
      <c r="BI118" s="509">
        <v>37248</v>
      </c>
      <c r="BJ118" s="509">
        <v>37248</v>
      </c>
      <c r="BK118" s="511">
        <v>144336</v>
      </c>
      <c r="BL118" s="153">
        <v>0.97000001445412631</v>
      </c>
      <c r="BM118" s="474">
        <v>0.97000001445412631</v>
      </c>
      <c r="BN118" s="474">
        <v>0.97000001445412631</v>
      </c>
      <c r="BO118" s="474">
        <v>0.9699999927729368</v>
      </c>
      <c r="BP118" s="261">
        <f t="shared" si="324"/>
        <v>72168</v>
      </c>
      <c r="BQ118" s="578">
        <f t="shared" si="325"/>
        <v>108252</v>
      </c>
      <c r="BR118" s="259">
        <f t="shared" si="326"/>
        <v>288672</v>
      </c>
      <c r="BS118" s="578">
        <f t="shared" si="327"/>
        <v>433008</v>
      </c>
      <c r="BT118" s="216">
        <f t="shared" si="328"/>
        <v>8.4654346338124569</v>
      </c>
      <c r="BU118" s="218">
        <f t="shared" si="243"/>
        <v>45.93279772976004</v>
      </c>
      <c r="BV118" s="216">
        <f t="shared" si="244"/>
        <v>45.93279772976004</v>
      </c>
      <c r="BW118" s="216">
        <f t="shared" si="245"/>
        <v>25.497183165556532</v>
      </c>
      <c r="BX118" s="216">
        <f t="shared" si="329"/>
        <v>25.497182595650088</v>
      </c>
      <c r="BY118" s="216">
        <f t="shared" si="246"/>
        <v>43.295944237604751</v>
      </c>
      <c r="BZ118" s="216">
        <f t="shared" si="247"/>
        <v>37.363023690286525</v>
      </c>
      <c r="CA118" s="264">
        <f t="shared" si="248"/>
        <v>45.93279772976004</v>
      </c>
      <c r="CB118" s="216">
        <f t="shared" si="249"/>
        <v>45.93279772976004</v>
      </c>
      <c r="CC118" s="216">
        <f t="shared" si="250"/>
        <v>25.497183165556532</v>
      </c>
      <c r="CD118" s="216">
        <f t="shared" si="330"/>
        <v>25.497182595650088</v>
      </c>
      <c r="CE118" s="216">
        <f t="shared" si="251"/>
        <v>43.295944237604751</v>
      </c>
      <c r="CF118" s="571">
        <f t="shared" si="252"/>
        <v>37.363023690286525</v>
      </c>
      <c r="CG118" s="573">
        <f t="shared" si="253"/>
        <v>0.14000000000000001</v>
      </c>
      <c r="CH118" s="219">
        <f t="shared" si="254"/>
        <v>0.14000000000000001</v>
      </c>
      <c r="CI118" s="219">
        <f t="shared" si="255"/>
        <v>0.11</v>
      </c>
      <c r="CJ118" s="219">
        <f t="shared" si="256"/>
        <v>0.13775691598395207</v>
      </c>
      <c r="CK118" s="219">
        <f t="shared" si="257"/>
        <v>0.13775691598395207</v>
      </c>
      <c r="CL118" s="219">
        <f t="shared" si="258"/>
        <v>0.11</v>
      </c>
      <c r="CM118" s="219">
        <f t="shared" si="259"/>
        <v>0.12139447697311485</v>
      </c>
      <c r="CN118" s="569">
        <f t="shared" si="260"/>
        <v>0.12139447697311485</v>
      </c>
      <c r="CO118" s="264">
        <f t="shared" si="343"/>
        <v>21.539900567732332</v>
      </c>
      <c r="CP118" s="216">
        <f t="shared" si="331"/>
        <v>21.539900567732332</v>
      </c>
      <c r="CQ118" s="216">
        <f t="shared" ca="1" si="192"/>
        <v>21.539900567732332</v>
      </c>
      <c r="CR118" s="216">
        <f t="shared" ca="1" si="193"/>
        <v>21.539900567732332</v>
      </c>
      <c r="CS118" s="1626">
        <f t="shared" ca="1" si="194"/>
        <v>21.539900567732332</v>
      </c>
      <c r="CT118" s="216">
        <f t="shared" si="332"/>
        <v>21.539900567732332</v>
      </c>
      <c r="CU118" s="575">
        <f t="shared" si="261"/>
        <v>0.16</v>
      </c>
      <c r="CV118" s="154">
        <f t="shared" si="262"/>
        <v>0.5</v>
      </c>
      <c r="CW118" s="216">
        <f>IF(OR($BQ118,$BS118),SpreadOptPowerMargin,0)*((1+Assumptions!$C$26)^($B118-YEAR(Assumptions!$C$17)))</f>
        <v>1.9873454457600002</v>
      </c>
      <c r="CX118" s="216">
        <f>IF(OR($BQ118,$BS118),SpreadOptPowerMargin,0)*((1+Assumptions!$C$26)^($B118-YEAR(Assumptions!$C$17)))</f>
        <v>1.9873454457600002</v>
      </c>
      <c r="CY118" s="216">
        <f>IF(OR($BQ118,$BS118),SpreadOptPowerMargin,0)*((1+Assumptions!$C$26)^($B118-YEAR(Assumptions!$C$17)))</f>
        <v>1.9873454457600002</v>
      </c>
      <c r="CZ118" s="216">
        <f>IF(OR($BQ118,$BS118),SpreadOptPowerMargin,0)*((1+Assumptions!$C$26)^($B118-YEAR(Assumptions!$C$17)))</f>
        <v>1.9873454457600002</v>
      </c>
      <c r="DA118" s="440">
        <f t="shared" si="263"/>
        <v>1.9873454457600002</v>
      </c>
      <c r="DB118" s="479">
        <f t="shared" si="264"/>
        <v>0.14000000000000001</v>
      </c>
      <c r="DC118" s="479">
        <f t="shared" si="265"/>
        <v>0.14000000000000001</v>
      </c>
      <c r="DD118" s="479">
        <f t="shared" si="266"/>
        <v>0.11</v>
      </c>
      <c r="DE118" s="479">
        <f t="shared" si="267"/>
        <v>0.11</v>
      </c>
      <c r="DF118" s="479">
        <f t="shared" si="268"/>
        <v>0.12139447697311485</v>
      </c>
      <c r="DG118" s="574">
        <f t="shared" si="269"/>
        <v>0.12139447697311485</v>
      </c>
      <c r="DH118" s="216">
        <f t="shared" si="270"/>
        <v>22.72800344675516</v>
      </c>
      <c r="DI118" s="216">
        <f t="shared" si="271"/>
        <v>22.72800344675516</v>
      </c>
      <c r="DJ118" s="216">
        <f t="shared" ca="1" si="195"/>
        <v>4.8048988650109914</v>
      </c>
      <c r="DK118" s="216">
        <f t="shared" ca="1" si="196"/>
        <v>4.8048984890594193</v>
      </c>
      <c r="DL118" s="216">
        <f t="shared" ca="1" si="197"/>
        <v>14.542338668836477</v>
      </c>
      <c r="DM118" s="216"/>
      <c r="DN118" s="216"/>
      <c r="DO118" s="216"/>
      <c r="DP118" s="216"/>
      <c r="DQ118" s="216"/>
      <c r="DR118" s="216"/>
      <c r="DS118" s="216"/>
      <c r="DT118" s="216"/>
      <c r="DU118" s="216"/>
      <c r="DV118" s="216"/>
      <c r="DW118" s="1371">
        <f t="shared" si="272"/>
        <v>4.8048988650109914</v>
      </c>
      <c r="DX118" s="216">
        <f t="shared" si="273"/>
        <v>4.8048984890594193</v>
      </c>
      <c r="DY118" s="440">
        <f t="shared" si="274"/>
        <v>15.211862690383962</v>
      </c>
      <c r="DZ118" s="180">
        <f t="shared" si="275"/>
        <v>1216948.2165530582</v>
      </c>
      <c r="EA118" s="180">
        <f t="shared" si="276"/>
        <v>211643.16809618406</v>
      </c>
      <c r="EB118" s="180">
        <f t="shared" ca="1" si="198"/>
        <v>44743.218230982355</v>
      </c>
      <c r="EC118" s="180">
        <f t="shared" ca="1" si="199"/>
        <v>173379.9570792201</v>
      </c>
      <c r="ED118" s="180">
        <f t="shared" ca="1" si="200"/>
        <v>1574237.2455788862</v>
      </c>
      <c r="EE118" s="581">
        <f t="shared" si="277"/>
        <v>1199682.8610958382</v>
      </c>
      <c r="EF118" s="554">
        <f t="shared" si="278"/>
        <v>208640.49758188491</v>
      </c>
      <c r="EG118" s="554">
        <f t="shared" ca="1" si="201"/>
        <v>18344.054760021842</v>
      </c>
      <c r="EH118" s="554">
        <f t="shared" ca="1" si="202"/>
        <v>71083.191630580506</v>
      </c>
      <c r="EI118" s="561">
        <f t="shared" ca="1" si="279"/>
        <v>1497750.6050683251</v>
      </c>
      <c r="EJ118" s="581">
        <f t="shared" si="333"/>
        <v>17265.355457219994</v>
      </c>
      <c r="EK118" s="554">
        <f t="shared" si="334"/>
        <v>3002.6705142991559</v>
      </c>
      <c r="EL118" s="554">
        <f t="shared" ca="1" si="203"/>
        <v>26399.163470960513</v>
      </c>
      <c r="EM118" s="554">
        <f t="shared" ca="1" si="204"/>
        <v>102296.76544863959</v>
      </c>
      <c r="EN118" s="561">
        <f t="shared" ca="1" si="205"/>
        <v>76486.640510561178</v>
      </c>
      <c r="EO118" s="180">
        <f t="shared" si="280"/>
        <v>4867792.866212233</v>
      </c>
      <c r="EP118" s="180">
        <f t="shared" si="281"/>
        <v>846572.67238473624</v>
      </c>
      <c r="EQ118" s="180">
        <f t="shared" si="282"/>
        <v>178972.87292392942</v>
      </c>
      <c r="ER118" s="180">
        <f t="shared" si="283"/>
        <v>693519.82831688039</v>
      </c>
      <c r="ES118" s="180">
        <f t="shared" si="284"/>
        <v>6586858.2398377787</v>
      </c>
      <c r="ET118" s="1482">
        <f t="shared" ca="1" si="206"/>
        <v>4798731.444383353</v>
      </c>
      <c r="EU118" s="180">
        <f t="shared" ca="1" si="207"/>
        <v>834561.99032753962</v>
      </c>
      <c r="EV118" s="180">
        <f t="shared" ca="1" si="208"/>
        <v>73376.219040087366</v>
      </c>
      <c r="EW118" s="180">
        <f t="shared" ca="1" si="209"/>
        <v>284332.76652232202</v>
      </c>
      <c r="EX118" s="555">
        <f t="shared" ca="1" si="351"/>
        <v>5991002.4202733021</v>
      </c>
      <c r="EY118" s="180">
        <f t="shared" ca="1" si="210"/>
        <v>69061.421828879975</v>
      </c>
      <c r="EZ118" s="180">
        <f t="shared" ca="1" si="211"/>
        <v>12010.682057196624</v>
      </c>
      <c r="FA118" s="180">
        <f t="shared" ca="1" si="212"/>
        <v>105596.65388384205</v>
      </c>
      <c r="FB118" s="180">
        <f t="shared" ca="1" si="213"/>
        <v>409187.06179455837</v>
      </c>
      <c r="FC118" s="180">
        <f t="shared" ca="1" si="214"/>
        <v>595855.81956447661</v>
      </c>
      <c r="FD118" s="262">
        <f>IF(AX118,IF(VLOOKUP(C118,MAIN!$L$17:$M$28,2)="Yes",VLOOKUP(CALC!B118,MAIN!$H$17:$I$20,2),0),0)</f>
        <v>0</v>
      </c>
      <c r="FE118" s="623">
        <f t="shared" si="285"/>
        <v>0</v>
      </c>
      <c r="FF118" s="535">
        <f t="shared" si="286"/>
        <v>0</v>
      </c>
      <c r="FG118" s="535">
        <f t="shared" si="287"/>
        <v>0</v>
      </c>
      <c r="FH118" s="624">
        <f t="shared" si="288"/>
        <v>0</v>
      </c>
      <c r="FI118" s="632">
        <f>IF(AX118,VLOOKUP(CALC!B118,MAIN!$H$17:$K$20,4),0)</f>
        <v>0</v>
      </c>
      <c r="FJ118" s="535">
        <f t="shared" si="289"/>
        <v>0</v>
      </c>
      <c r="FK118" s="648">
        <f t="shared" si="335"/>
        <v>0</v>
      </c>
      <c r="FL118" s="530">
        <f t="shared" ca="1" si="215"/>
        <v>0</v>
      </c>
      <c r="FM118" s="530">
        <f t="shared" ca="1" si="216"/>
        <v>0</v>
      </c>
      <c r="FN118" s="530">
        <f t="shared" ca="1" si="217"/>
        <v>0</v>
      </c>
      <c r="FO118" s="622">
        <f t="shared" ca="1" si="218"/>
        <v>0</v>
      </c>
      <c r="FP118" s="530">
        <f t="shared" ca="1" si="219"/>
        <v>0</v>
      </c>
      <c r="FQ118" s="530">
        <f t="shared" ca="1" si="220"/>
        <v>0</v>
      </c>
      <c r="FR118" s="530">
        <f t="shared" ca="1" si="221"/>
        <v>0</v>
      </c>
      <c r="FS118" s="625">
        <f t="shared" ca="1" si="222"/>
        <v>0</v>
      </c>
      <c r="FT118" s="640">
        <f ca="1">IF(AND(Assumptions!$H$71="Yes",A118&gt;=Assumptions!$H$72,A118&lt;=Assumptions!$H$73),0,IF(AND($A118&gt;=Assumptions!$C$17,$A118&lt;=Assumptions!$C$18),MAX(AZ118*(1+VLOOKUP($C118,WeatherCapacityAdjustment,2))-FL118,0),0))</f>
        <v>53544</v>
      </c>
      <c r="FU118" s="530">
        <f ca="1">IF(AND(Assumptions!$H$71="Yes",A118&gt;=Assumptions!$H$72,A118&lt;=Assumptions!$H$73),0,IF(AND($A118&gt;=Assumptions!$C$17,$A118&lt;=Assumptions!$C$18),MAX(BA118*(1+VLOOKUP($C118,WeatherCapacityAdjustment,2))-FM118,0),0))</f>
        <v>9312</v>
      </c>
      <c r="FV118" s="530">
        <f ca="1">IF(AND(Assumptions!$H$71="Yes",A118&gt;=Assumptions!$H$72,A118&lt;=Assumptions!$H$73),0,IF(AND($A118&gt;=Assumptions!$C$17,$A118&lt;=Assumptions!$C$18),MAX(BB118*(1+VLOOKUP($C118,WeatherCapacityAdjustment,2))-FN118,0),0))</f>
        <v>9312</v>
      </c>
      <c r="FW118" s="622">
        <f ca="1">IF(AND(Assumptions!$H$71="Yes",A118&gt;=Assumptions!$H$72,A118&lt;=Assumptions!$H$73),0,IF(AND($A118&gt;=Assumptions!$C$17,$A118&lt;=Assumptions!$C$18),MAX(BC118*(1+VLOOKUP($C118,WeatherCapacityAdjustment,3))-FO118,0),0))</f>
        <v>36084</v>
      </c>
      <c r="FX118" s="621">
        <f ca="1">IF(AND(Assumptions!$H$71="Yes",A118&gt;=Assumptions!$H$72,A118&lt;=Assumptions!$H$73),0,IF(ET118&gt;0,MAX(BH118*(1+VLOOKUP($C118,WeatherCapacityAdjustment,2))-FP118,0),0))</f>
        <v>214176</v>
      </c>
      <c r="FY118" s="530">
        <f ca="1">IF(AND(Assumptions!$H$71="Yes",A118&gt;=Assumptions!$H$72,A118&lt;=Assumptions!$H$73),0,IF(EU118&gt;0,MAX(BI118*(1+VLOOKUP($C118,WeatherCapacityAdjustment,3))-FQ118,0),0))</f>
        <v>37248</v>
      </c>
      <c r="FZ118" s="530">
        <f ca="1">IF(AND(Assumptions!$H$71="Yes",A118&gt;=Assumptions!$H$72,A118&lt;=Assumptions!$H$73),0,IF(EV118&gt;0,MAX(BJ118*(1+VLOOKUP($C118,WeatherCapacityAdjustment,2))-FR118,0),0))</f>
        <v>37248</v>
      </c>
      <c r="GA118" s="622">
        <f ca="1">IF(AND(Assumptions!$H$71="Yes",A118&gt;=Assumptions!$H$72,A118&lt;=Assumptions!$H$73),0,IF(EW118&gt;0,MAX(BK118*(1+VLOOKUP($C118,WeatherCapacityAdjustment,2))-FS118,0),0))</f>
        <v>144336</v>
      </c>
      <c r="GB118" s="530">
        <f t="shared" ca="1" si="290"/>
        <v>541260</v>
      </c>
      <c r="GC118" s="545">
        <f t="shared" ca="1" si="291"/>
        <v>37.363023690286532</v>
      </c>
      <c r="GD118" s="530">
        <f t="shared" ca="1" si="223"/>
        <v>20223110.202604488</v>
      </c>
      <c r="GE118" s="1485">
        <f t="shared" ca="1" si="224"/>
        <v>775935.18072000006</v>
      </c>
      <c r="GF118" s="1776">
        <f t="shared" ca="1" si="225"/>
        <v>3103740.7228800002</v>
      </c>
      <c r="GG118" s="545">
        <f t="shared" si="359"/>
        <v>3.0050671424570701</v>
      </c>
      <c r="GH118" s="622">
        <f t="shared" ca="1" si="360"/>
        <v>11658686.581290804</v>
      </c>
      <c r="GI118" s="621">
        <f t="shared" ca="1" si="336"/>
        <v>541260</v>
      </c>
      <c r="GJ118" s="638">
        <f t="shared" si="292"/>
        <v>1.9873454457600002</v>
      </c>
      <c r="GK118" s="625">
        <f t="shared" ca="1" si="342"/>
        <v>1075670.5959720577</v>
      </c>
      <c r="GL118" s="640">
        <f t="shared" ca="1" si="226"/>
        <v>0</v>
      </c>
      <c r="GM118" s="530">
        <f t="shared" ca="1" si="227"/>
        <v>0</v>
      </c>
      <c r="GN118" s="530">
        <f t="shared" ca="1" si="228"/>
        <v>0</v>
      </c>
      <c r="GO118" s="622">
        <f t="shared" ca="1" si="229"/>
        <v>0</v>
      </c>
      <c r="GP118" s="530">
        <f t="shared" ca="1" si="293"/>
        <v>0</v>
      </c>
      <c r="GQ118" s="545">
        <f t="shared" ca="1" si="294"/>
        <v>0</v>
      </c>
      <c r="GR118" s="625">
        <f t="shared" ca="1" si="230"/>
        <v>0</v>
      </c>
      <c r="GS118" s="640">
        <f>IF($A118&gt;=BegDate,Assumptions!$C$56*24*($A119-$A118)*(1-VLOOKUP($B118,MAIN!$AA$7:$AM$28,$C118+1))*(1-VLOOKUP($B118,MAIN!$AA$33:$AM$54,$C118+1)),0)*80/168</f>
        <v>257742.85714285713</v>
      </c>
      <c r="GT118" s="1715">
        <f t="shared" si="337"/>
        <v>45.932797045308021</v>
      </c>
      <c r="GU118" s="1715">
        <f>IF($A118&gt;=BegDate,VLOOKUP($A118,GasTable,13)+Assumptions!$C$58,0)</f>
        <v>3.0050671424570701</v>
      </c>
      <c r="GV118" s="1715">
        <f>GU118*Assumptions!$C$57/1000</f>
        <v>21.786736782813758</v>
      </c>
      <c r="GW118" s="625">
        <f>IF(Assumptions!$C$60="Hourly",MAX(0,GS118*(GT118-GV118)),GS118*(GT118-GV118))</f>
        <v>6223474.5607988779</v>
      </c>
      <c r="GX118" s="640">
        <f>IF($A118&gt;=BegDate,Assumptions!$C$56*24*($A119-$A118)*(1-VLOOKUP($B118,MAIN!$AA$7:$AM$28,$C118+1))*(1-VLOOKUP($B118,MAIN!$AA$33:$AM$54,$C118+1)),0)*16/168</f>
        <v>51548.571428571428</v>
      </c>
      <c r="GY118" s="1715">
        <f t="shared" si="338"/>
        <v>45.932797045308021</v>
      </c>
      <c r="GZ118" s="1715">
        <f>IF($A118&gt;=BegDate,VLOOKUP($A118,GasTable,13)+Assumptions!$C$58,0)</f>
        <v>3.0050671424570701</v>
      </c>
      <c r="HA118" s="1715">
        <f>GZ118*Assumptions!$C$57/1000</f>
        <v>21.786736782813758</v>
      </c>
      <c r="HB118" s="625">
        <f>IF(Assumptions!$C$60="Hourly",MAX(0,GX118*(GY118-HA118)),GX118*(GY118-HA118))</f>
        <v>1244694.9121597756</v>
      </c>
      <c r="HC118" s="640">
        <f>IF($A118&gt;=BegDate,Assumptions!$C$56*24*($A119-$A118)*(1-VLOOKUP($B118,MAIN!$AA$7:$AM$28,$C118+1))*(1-VLOOKUP($B118,MAIN!$AA$33:$AM$54,$C118+1)),0)*16/168</f>
        <v>51548.571428571428</v>
      </c>
      <c r="HD118" s="1715">
        <f t="shared" si="339"/>
        <v>25.497182785618904</v>
      </c>
      <c r="HE118" s="1715">
        <f>IF($A118&gt;=BegDate,VLOOKUP($A118,GasTable,13)+Assumptions!$C$58,0)</f>
        <v>3.0050671424570701</v>
      </c>
      <c r="HF118" s="1715">
        <f>HE118*Assumptions!$C$57/1000</f>
        <v>21.786736782813758</v>
      </c>
      <c r="HG118" s="625">
        <f>IF(Assumptions!$C$60="Hourly",MAX(0,HC118*(HD118-HF118)),HC118*(HD118-HF118))</f>
        <v>191268.19080745839</v>
      </c>
      <c r="HH118" s="640">
        <f>IF($A118&gt;=BegDate,Assumptions!$C$56*24*($A119-$A118)*(1-VLOOKUP($B118,MAIN!$AA$7:$AM$28,$C118+1))*(1-VLOOKUP($B118,MAIN!$AA$33:$AM$54,$C118+1)),0)*56/168</f>
        <v>180420</v>
      </c>
      <c r="HI118" s="1715">
        <f t="shared" si="340"/>
        <v>25.497182785618904</v>
      </c>
      <c r="HJ118" s="1715">
        <f>IF($A118&gt;=BegDate,VLOOKUP($A118,GasTable,13)+Assumptions!$C$58,0)</f>
        <v>3.0050671424570701</v>
      </c>
      <c r="HK118" s="1715">
        <f>HJ118*Assumptions!$C$57/1000</f>
        <v>21.786736782813758</v>
      </c>
      <c r="HL118" s="625">
        <f>IF(Assumptions!$C$60="Hourly",MAX(0,HH118*(HI118-HK118)),HH118*(HI118-HK118))</f>
        <v>669438.66782610433</v>
      </c>
      <c r="HM118" s="640">
        <f>IF(AND(Assumptions!$H$71="Yes",A118&gt;=Assumptions!$H$72,A118&lt;=Assumptions!$H$73),Assumptions!$H$74*Assumptions!$C$9*1000,0)</f>
        <v>0</v>
      </c>
      <c r="HN118" s="530"/>
      <c r="HO118" s="545"/>
      <c r="HP118" s="545"/>
      <c r="HQ118" s="545"/>
      <c r="HR118" s="545"/>
      <c r="HS118" s="545"/>
      <c r="HT118" s="545"/>
      <c r="HU118" s="545"/>
      <c r="HV118" s="545"/>
      <c r="HW118" s="545"/>
      <c r="HX118" s="545"/>
      <c r="HY118" s="545"/>
      <c r="HZ118" s="545"/>
      <c r="IA118" s="545"/>
      <c r="IB118" s="545"/>
      <c r="IC118" s="545"/>
      <c r="ID118" s="545"/>
      <c r="IE118" s="545"/>
      <c r="IF118" s="545"/>
      <c r="IG118" s="545"/>
      <c r="IH118" s="545"/>
      <c r="II118" s="1464"/>
      <c r="IJ118" s="1463"/>
      <c r="IK118" s="1463"/>
    </row>
    <row r="119" spans="1:245">
      <c r="A119" s="177">
        <f t="shared" si="295"/>
        <v>39753</v>
      </c>
      <c r="B119" s="349">
        <f t="shared" si="296"/>
        <v>2008</v>
      </c>
      <c r="C119" s="15">
        <f t="shared" si="352"/>
        <v>11</v>
      </c>
      <c r="D119" s="612">
        <f t="shared" si="297"/>
        <v>39779</v>
      </c>
      <c r="E119" s="609">
        <f t="shared" si="353"/>
        <v>39753</v>
      </c>
      <c r="F119" s="614">
        <f t="shared" si="354"/>
        <v>39782</v>
      </c>
      <c r="G119" s="1349">
        <v>0</v>
      </c>
      <c r="H119" s="152">
        <f t="shared" si="341"/>
        <v>1</v>
      </c>
      <c r="I119" s="154">
        <f>IF(Assumptions!$L$25=4,VLOOKUP($A119,'Henwood Reference'!$E$9:$R$320,10),(VLOOKUP($A119,PriceTable,2,0)+IF(BasisNumber&lt;&gt;1,VLOOKUP($A119,BasisTable,2,0),0)+I$1)/(1-I$2))</f>
        <v>47.632874807142308</v>
      </c>
      <c r="J119" s="154">
        <f>IF(Assumptions!$L$25=4,VLOOKUP($A119,'Henwood Reference'!$E$9:$R$320,10),(VLOOKUP($A119,PriceTable,3,0)+IF(BasisNumber&lt;&gt;1,VLOOKUP($A119,BasisTable,2,0),0)+J$1)/(1-J$2))</f>
        <v>47.632874807142308</v>
      </c>
      <c r="K119" s="154">
        <f>IF(Assumptions!$L$25=4,VLOOKUP($A119,'Henwood Reference'!$E$9:$R$320,10),(VLOOKUP($A119,PriceTable,4,0)+IF(BasisNumber&lt;&gt;1,VLOOKUP($A119,BasisTable,2,0),0)+K$1)/(1-K$2))</f>
        <v>47.632874807142308</v>
      </c>
      <c r="L119" s="474">
        <f>IF(Assumptions!$L$25=4,VLOOKUP($A119,'Henwood Reference'!$E$9:$R$320,10),(VLOOKUP($A119,PriceTableWeekend,2,0)+IF(BasisNumber&lt;&gt;1,VLOOKUP($A119,BasisTable,2,0),0)+L$1)/(1-L$2))</f>
        <v>47.632874807142308</v>
      </c>
      <c r="M119" s="154">
        <f>IF(Assumptions!$L$25=4,VLOOKUP($A119,'Henwood Reference'!$E$9:$R$320,10),(VLOOKUP($A119,PriceTableWeekend,3,0)+IF(BasisNumber&lt;&gt;1,VLOOKUP($A119,BasisTable,2,0),0)+M$1)/(1-M$2))</f>
        <v>47.632874807142308</v>
      </c>
      <c r="N119" s="156">
        <f>IF(Assumptions!$L$25=4,VLOOKUP($A119,'Henwood Reference'!$E$9:$R$320,10),(VLOOKUP($A119,PriceTableWeekend,4,0)+IF(BasisNumber&lt;&gt;1,VLOOKUP($A119,BasisTable,2,0),0)+N$1)/(1-N$2))</f>
        <v>47.632874807142308</v>
      </c>
      <c r="O119" s="154">
        <f>IF(Assumptions!$L$25=4,VLOOKUP($A119,'Henwood Reference'!$E$9:$R$320,11),(VLOOKUP($A119,PriceTableWeekend,6,0)+IF(BasisNumber&lt;&gt;1,VLOOKUP($A119,BasisTable,3,0),0)+O$1)/(1-O$2))</f>
        <v>28.773259580839337</v>
      </c>
      <c r="P119" s="154">
        <f>IF(Assumptions!$L$25=4,VLOOKUP($A119,'Henwood Reference'!$E$9:$R$320,11),(VLOOKUP($A119,PriceTableWeekend,7,0)+IF(BasisNumber&lt;&gt;1,VLOOKUP($A119,BasisTable,3,0),0)+P$1)/(1-P$2))</f>
        <v>28.773259580839337</v>
      </c>
      <c r="Q119" s="156">
        <f>IF(Assumptions!$L$25=4,VLOOKUP($A119,'Henwood Reference'!$E$9:$R$320,11),(VLOOKUP($A119,PriceTableWeekend,8,0)+IF(BasisNumber&lt;&gt;1,VLOOKUP($A119,BasisTable,3,0),0)+Q$1)/(1-Q$2))</f>
        <v>28.773259580839337</v>
      </c>
      <c r="R119" s="154">
        <f>IF(Assumptions!$L$25=4,VLOOKUP($A119,'Henwood Reference'!$E$9:$R$320,11),(VLOOKUP($A119,PriceTable,6,0)+IF(BasisNumber&lt;&gt;1,VLOOKUP($A119,BasisTable,3,0),0)+R$1)/(1-R$2))</f>
        <v>28.773259580839337</v>
      </c>
      <c r="S119" s="154">
        <f>IF(Assumptions!$L$25=4,VLOOKUP($A119,'Henwood Reference'!$E$9:$R$320,11),(VLOOKUP($A119,PriceTable,7,0)+IF(BasisNumber&lt;&gt;1,VLOOKUP($A119,BasisTable,3,0),0)+S$1)/(1-S$2))</f>
        <v>28.773259580839337</v>
      </c>
      <c r="T119" s="155">
        <f>IF(Assumptions!$L$25=4,VLOOKUP($A119,'Henwood Reference'!$E$9:$R$320,11),(VLOOKUP($A119,PriceTable,8,0)+IF(BasisNumber&lt;&gt;1,VLOOKUP($A119,BasisTable,3,0),0)+T$1)/(1-T$2))</f>
        <v>28.773259580839337</v>
      </c>
      <c r="U119" s="173">
        <f t="shared" si="298"/>
        <v>0.13</v>
      </c>
      <c r="V119" s="173">
        <f t="shared" si="299"/>
        <v>0.14000000000000001</v>
      </c>
      <c r="W119" s="174">
        <f t="shared" si="300"/>
        <v>0.15</v>
      </c>
      <c r="X119" s="173">
        <f t="shared" si="301"/>
        <v>0.13</v>
      </c>
      <c r="Y119" s="173">
        <f t="shared" si="302"/>
        <v>0.14000000000000001</v>
      </c>
      <c r="Z119" s="174">
        <f t="shared" si="303"/>
        <v>0.15</v>
      </c>
      <c r="AA119" s="173">
        <f t="shared" si="304"/>
        <v>0.09</v>
      </c>
      <c r="AB119" s="173">
        <f t="shared" si="305"/>
        <v>0.11</v>
      </c>
      <c r="AC119" s="174">
        <f t="shared" si="306"/>
        <v>0.13</v>
      </c>
      <c r="AD119" s="173">
        <f t="shared" si="307"/>
        <v>0.09</v>
      </c>
      <c r="AE119" s="173">
        <f t="shared" si="308"/>
        <v>0.11</v>
      </c>
      <c r="AF119" s="174">
        <f t="shared" si="309"/>
        <v>0.13</v>
      </c>
      <c r="AG119" s="173">
        <f t="shared" si="310"/>
        <v>-0.1</v>
      </c>
      <c r="AH119" s="173">
        <f t="shared" si="311"/>
        <v>0.6</v>
      </c>
      <c r="AI119" s="174">
        <f t="shared" si="312"/>
        <v>0.1</v>
      </c>
      <c r="AJ119" s="173">
        <f t="shared" si="313"/>
        <v>-0.1</v>
      </c>
      <c r="AK119" s="173">
        <f t="shared" si="314"/>
        <v>0.6</v>
      </c>
      <c r="AL119" s="174">
        <f t="shared" si="315"/>
        <v>0.1</v>
      </c>
      <c r="AM119" s="173">
        <f t="shared" si="316"/>
        <v>-0.01</v>
      </c>
      <c r="AN119" s="173">
        <f t="shared" si="317"/>
        <v>0.16</v>
      </c>
      <c r="AO119" s="174">
        <f t="shared" si="318"/>
        <v>0.01</v>
      </c>
      <c r="AP119" s="173">
        <f t="shared" si="319"/>
        <v>-0.01</v>
      </c>
      <c r="AQ119" s="173">
        <f t="shared" si="320"/>
        <v>0.16</v>
      </c>
      <c r="AR119" s="175">
        <f t="shared" si="321"/>
        <v>0.01</v>
      </c>
      <c r="AS119" s="521">
        <f t="shared" si="357"/>
        <v>0.5</v>
      </c>
      <c r="AT119" s="349">
        <f t="shared" si="355"/>
        <v>19</v>
      </c>
      <c r="AU119" s="159">
        <f t="shared" si="240"/>
        <v>5</v>
      </c>
      <c r="AV119" s="159">
        <f t="shared" si="241"/>
        <v>5</v>
      </c>
      <c r="AW119" s="159">
        <f t="shared" si="358"/>
        <v>1</v>
      </c>
      <c r="AX119" s="15">
        <f t="shared" si="356"/>
        <v>30</v>
      </c>
      <c r="AY119" s="607">
        <f>IF(E119="",0,MIN((1-(1-VLOOKUP(B119,MAIN!$AA$7:$AM$28,C119+1))*(1-VLOOKUP(B119,MAIN!$AA$33:$AM$54,C119+1))),1))</f>
        <v>3.0000000000000027E-2</v>
      </c>
      <c r="AZ119" s="337">
        <v>44232</v>
      </c>
      <c r="BA119" s="509">
        <v>11640</v>
      </c>
      <c r="BB119" s="509">
        <v>13968</v>
      </c>
      <c r="BC119" s="511">
        <v>34920</v>
      </c>
      <c r="BD119" s="153">
        <v>0.97</v>
      </c>
      <c r="BE119" s="474">
        <v>0.97</v>
      </c>
      <c r="BF119" s="474">
        <v>0.97</v>
      </c>
      <c r="BG119" s="515">
        <v>0.9699999927729368</v>
      </c>
      <c r="BH119" s="262">
        <v>176928</v>
      </c>
      <c r="BI119" s="509">
        <v>46560</v>
      </c>
      <c r="BJ119" s="509">
        <v>55872</v>
      </c>
      <c r="BK119" s="511">
        <v>139680</v>
      </c>
      <c r="BL119" s="153">
        <v>0.97</v>
      </c>
      <c r="BM119" s="474">
        <v>0.97</v>
      </c>
      <c r="BN119" s="474">
        <v>0.97</v>
      </c>
      <c r="BO119" s="474">
        <v>0.9699999927729368</v>
      </c>
      <c r="BP119" s="261">
        <f t="shared" si="324"/>
        <v>69840</v>
      </c>
      <c r="BQ119" s="578">
        <f t="shared" si="325"/>
        <v>104760</v>
      </c>
      <c r="BR119" s="259">
        <f t="shared" si="326"/>
        <v>279360</v>
      </c>
      <c r="BS119" s="578">
        <f t="shared" si="327"/>
        <v>419040</v>
      </c>
      <c r="BT119" s="216">
        <f t="shared" si="328"/>
        <v>8.5503080082135519</v>
      </c>
      <c r="BU119" s="218">
        <f t="shared" si="243"/>
        <v>47.632874807142308</v>
      </c>
      <c r="BV119" s="216">
        <f t="shared" si="244"/>
        <v>47.632874807142308</v>
      </c>
      <c r="BW119" s="216">
        <f t="shared" si="245"/>
        <v>28.773259580839337</v>
      </c>
      <c r="BX119" s="216">
        <f t="shared" si="329"/>
        <v>28.773259366461847</v>
      </c>
      <c r="BY119" s="216">
        <f t="shared" si="246"/>
        <v>43.860951761881708</v>
      </c>
      <c r="BZ119" s="216">
        <f t="shared" si="247"/>
        <v>38.831720963408422</v>
      </c>
      <c r="CA119" s="264">
        <f t="shared" si="248"/>
        <v>47.632874807142308</v>
      </c>
      <c r="CB119" s="216">
        <f t="shared" si="249"/>
        <v>47.632874807142308</v>
      </c>
      <c r="CC119" s="216">
        <f t="shared" si="250"/>
        <v>28.773259580839337</v>
      </c>
      <c r="CD119" s="216">
        <f t="shared" si="330"/>
        <v>28.773259366461847</v>
      </c>
      <c r="CE119" s="216">
        <f t="shared" si="251"/>
        <v>43.860951761881708</v>
      </c>
      <c r="CF119" s="571">
        <f t="shared" si="252"/>
        <v>38.831720963408422</v>
      </c>
      <c r="CG119" s="573">
        <f t="shared" si="253"/>
        <v>0.14000000000000001</v>
      </c>
      <c r="CH119" s="219">
        <f t="shared" si="254"/>
        <v>0.14000000000000001</v>
      </c>
      <c r="CI119" s="219">
        <f t="shared" si="255"/>
        <v>0.11</v>
      </c>
      <c r="CJ119" s="219">
        <f t="shared" si="256"/>
        <v>0.13612329579442797</v>
      </c>
      <c r="CK119" s="219">
        <f t="shared" si="257"/>
        <v>0.13612329579442797</v>
      </c>
      <c r="CL119" s="219">
        <f t="shared" si="258"/>
        <v>0.11</v>
      </c>
      <c r="CM119" s="219">
        <f t="shared" si="259"/>
        <v>0.11894184097788972</v>
      </c>
      <c r="CN119" s="569">
        <f t="shared" si="260"/>
        <v>0.11894184097788972</v>
      </c>
      <c r="CO119" s="264">
        <f t="shared" si="343"/>
        <v>22.415154001246286</v>
      </c>
      <c r="CP119" s="216">
        <f t="shared" si="331"/>
        <v>22.415154001246286</v>
      </c>
      <c r="CQ119" s="216">
        <f t="shared" ref="CQ119:CQ182" ca="1" si="361">IF(OR(BQ119,BS119),VLOOKUP(A119,GasTable,13)*IF(EV119,HeatRatePeak,HeatRateOffPeak)*(1+VLOOKUP($B119,HeatRateDegradation,$C119+1))/1000,0)</f>
        <v>22.415154001246286</v>
      </c>
      <c r="CR119" s="216">
        <f t="shared" ref="CR119:CR182" ca="1" si="362">IF(OR(BQ119,BS119),VLOOKUP(A119,GasTable,13)*IF(EW119,HeatRatePeak,HeatRateOffPeak)*(1+VLOOKUP($B119,HeatRateDegradation,$C119+1))/1000,0)</f>
        <v>22.415154001246286</v>
      </c>
      <c r="CS119" s="1626">
        <f t="shared" ref="CS119:CS182" ca="1" si="363">IF(BQ119,(CO119*AZ119+CP119*BA119+CQ119*BB119+CR119*BC119)/BQ119,0)</f>
        <v>22.415154001246286</v>
      </c>
      <c r="CT119" s="216">
        <f t="shared" si="332"/>
        <v>22.415154001246286</v>
      </c>
      <c r="CU119" s="575">
        <f t="shared" si="261"/>
        <v>0.16</v>
      </c>
      <c r="CV119" s="154">
        <f t="shared" si="262"/>
        <v>0.5</v>
      </c>
      <c r="CW119" s="216">
        <f>IF(OR($BQ119,$BS119),SpreadOptPowerMargin,0)*((1+Assumptions!$C$26)^($B119-YEAR(Assumptions!$C$17)))</f>
        <v>1.9873454457600002</v>
      </c>
      <c r="CX119" s="216">
        <f>IF(OR($BQ119,$BS119),SpreadOptPowerMargin,0)*((1+Assumptions!$C$26)^($B119-YEAR(Assumptions!$C$17)))</f>
        <v>1.9873454457600002</v>
      </c>
      <c r="CY119" s="216">
        <f>IF(OR($BQ119,$BS119),SpreadOptPowerMargin,0)*((1+Assumptions!$C$26)^($B119-YEAR(Assumptions!$C$17)))</f>
        <v>1.9873454457600002</v>
      </c>
      <c r="CZ119" s="216">
        <f>IF(OR($BQ119,$BS119),SpreadOptPowerMargin,0)*((1+Assumptions!$C$26)^($B119-YEAR(Assumptions!$C$17)))</f>
        <v>1.9873454457600002</v>
      </c>
      <c r="DA119" s="440">
        <f t="shared" si="263"/>
        <v>1.9873454457600002</v>
      </c>
      <c r="DB119" s="479">
        <f t="shared" si="264"/>
        <v>0.14000000000000001</v>
      </c>
      <c r="DC119" s="479">
        <f t="shared" si="265"/>
        <v>0.14000000000000001</v>
      </c>
      <c r="DD119" s="479">
        <f t="shared" si="266"/>
        <v>0.11</v>
      </c>
      <c r="DE119" s="479">
        <f t="shared" si="267"/>
        <v>0.11</v>
      </c>
      <c r="DF119" s="479">
        <f t="shared" si="268"/>
        <v>0.11894184097788972</v>
      </c>
      <c r="DG119" s="574">
        <f t="shared" si="269"/>
        <v>0.11894184097788972</v>
      </c>
      <c r="DH119" s="216">
        <f t="shared" si="270"/>
        <v>23.575587247123014</v>
      </c>
      <c r="DI119" s="216">
        <f t="shared" si="271"/>
        <v>23.575587247123014</v>
      </c>
      <c r="DJ119" s="216">
        <f t="shared" ref="DJ119:DJ182" ca="1" si="364">IF(AND(BW119&gt;0,CQ119&gt;0,DD119&gt;0,CU119&gt;0),newSPRDOPT(BW119,CQ119,CY119,0,DD119,CU119,CV119,BT119*365.25,OCallPut,0),0)</f>
        <v>6.6376015046717329</v>
      </c>
      <c r="DK119" s="216">
        <f t="shared" ref="DK119:DK182" ca="1" si="365">IF(AND(BX119&gt;0,CR119&gt;0,DE119&gt;0,CU119&gt;0),newSPRDOPT(BX119,CR119,CZ119,0,DE119,CU119,CV119,BT119*365.25,OCallPut,0),0)</f>
        <v>6.6376013471063553</v>
      </c>
      <c r="DL119" s="216">
        <f t="shared" ref="DL119:DL182" ca="1" si="366">IF(OVolType,IF(AND(BZ119&gt;0,CS119&gt;0,DF119&gt;0,CU119&gt;0),newSPRDOPT(BZ119,CS119,DA119,0,DF119,CU119,CV119,BT119*365.25,OCallPut,0),0),IF(BQ119,(DH119*AZ119+DI119*BA119+DJ119*BB119+DK119*BC119)/BQ119,0))</f>
        <v>15.158209532215947</v>
      </c>
      <c r="DM119" s="216"/>
      <c r="DN119" s="216"/>
      <c r="DO119" s="216"/>
      <c r="DP119" s="216"/>
      <c r="DQ119" s="216"/>
      <c r="DR119" s="216"/>
      <c r="DS119" s="216"/>
      <c r="DT119" s="216"/>
      <c r="DU119" s="216"/>
      <c r="DV119" s="216"/>
      <c r="DW119" s="1371">
        <f t="shared" si="272"/>
        <v>6.6376015046717329</v>
      </c>
      <c r="DX119" s="216">
        <f t="shared" si="273"/>
        <v>6.6376013471063553</v>
      </c>
      <c r="DY119" s="440">
        <f t="shared" si="274"/>
        <v>15.671193848123957</v>
      </c>
      <c r="DZ119" s="180">
        <f t="shared" si="275"/>
        <v>1042795.3751147451</v>
      </c>
      <c r="EA119" s="180">
        <f t="shared" si="276"/>
        <v>274419.83555651188</v>
      </c>
      <c r="EB119" s="180">
        <f t="shared" ref="EB119:EB182" ca="1" si="367">DJ119*BB119</f>
        <v>92714.01781725476</v>
      </c>
      <c r="EC119" s="180">
        <f t="shared" ref="EC119:EC182" ca="1" si="368">DK119*BC119</f>
        <v>231785.03904095394</v>
      </c>
      <c r="ED119" s="180">
        <f t="shared" ref="ED119:ED182" ca="1" si="369">DL119*BQ119</f>
        <v>1587974.0305949426</v>
      </c>
      <c r="EE119" s="581">
        <f t="shared" si="277"/>
        <v>1027525.9629295366</v>
      </c>
      <c r="EF119" s="554">
        <f t="shared" si="278"/>
        <v>270401.56919198332</v>
      </c>
      <c r="EG119" s="554">
        <f t="shared" ref="EG119:EG182" ca="1" si="370">IF(BQ119,IF(OCallPut,IF(BW119&gt;(CQ119+CY119),BW119-(CQ119+CY119),0),IF((CQ119+CY119)&gt;BW119,(CQ119+CY119)-BW119,0))*BB119,0)</f>
        <v>61050.777549380073</v>
      </c>
      <c r="EH119" s="554">
        <f t="shared" ref="EH119:EH182" ca="1" si="371">IF(BQ119,IF(OCallPut,IF(BX119&gt;(CR119+CZ119),BX119-(CR119+CZ119),0),IF((CR119+CZ119)&gt;BX119,(CR119+CZ119)-BX119,0))*BC119,0)</f>
        <v>152626.93638738821</v>
      </c>
      <c r="EI119" s="561">
        <f t="shared" ca="1" si="279"/>
        <v>1511605.2460582878</v>
      </c>
      <c r="EJ119" s="581">
        <f t="shared" si="333"/>
        <v>15269.412185208523</v>
      </c>
      <c r="EK119" s="554">
        <f t="shared" si="334"/>
        <v>4018.2663645285647</v>
      </c>
      <c r="EL119" s="554">
        <f t="shared" ref="EL119:EL182" ca="1" si="372">EB119-EG119</f>
        <v>31663.240267874688</v>
      </c>
      <c r="EM119" s="554">
        <f t="shared" ref="EM119:EM182" ca="1" si="373">EC119-EH119</f>
        <v>79158.102653565729</v>
      </c>
      <c r="EN119" s="561">
        <f t="shared" ref="EN119:EN182" ca="1" si="374">ED119-EI119</f>
        <v>76368.784536654828</v>
      </c>
      <c r="EO119" s="180">
        <f t="shared" si="280"/>
        <v>4171181.5004589804</v>
      </c>
      <c r="EP119" s="180">
        <f t="shared" si="281"/>
        <v>1097679.3422260475</v>
      </c>
      <c r="EQ119" s="180">
        <f t="shared" si="282"/>
        <v>370856.07126901904</v>
      </c>
      <c r="ER119" s="180">
        <f t="shared" si="283"/>
        <v>927140.15616381576</v>
      </c>
      <c r="ES119" s="180">
        <f t="shared" si="284"/>
        <v>6566857.0701178629</v>
      </c>
      <c r="ET119" s="1482">
        <f t="shared" ref="ET119:ET182" ca="1" si="375">IF(EI119,IF(OCallPut,IF(CA119&gt;(CT119+CW119),CA119-(CT119+CW119),0),IF((CT119+CW119)&gt;CA119,(CT119+CW119)-CA119,0))*BH119,0)</f>
        <v>4110103.8517181464</v>
      </c>
      <c r="EU119" s="180">
        <f t="shared" ref="EU119:EU182" ca="1" si="376">IF(EI119,IF(OCallPut,IF(CB119&gt;(CT119+CX119),CB119-(CT119+CX119),0),IF((CT119+CX119)&gt;CB119,(CT119+CX119)-CB119,0))*BI119,0)</f>
        <v>1081606.2767679333</v>
      </c>
      <c r="EV119" s="180">
        <f t="shared" ref="EV119:EV182" ca="1" si="377">IF(EI119,IF(OCallPut,IF(CC119&gt;(CT119+CY119),CC119-(CT119+CY119),0),IF((CT119+CY119)&gt;CC119,(CT119+CY119)-CC119,0))*BJ119,0)</f>
        <v>244203.11019752029</v>
      </c>
      <c r="EW119" s="180">
        <f t="shared" ref="EW119:EW182" ca="1" si="378">IF(EI119,IF(OCallPut,IF(CD119&gt;(CT119+CZ119),CD119-(CT119+CZ119),0),IF((CT119+CZ119)&gt;CD119,(CT119+CZ119)-CD119,0))*BK119,0)</f>
        <v>610507.74554955284</v>
      </c>
      <c r="EX119" s="555">
        <f t="shared" ca="1" si="351"/>
        <v>6046420.9842331531</v>
      </c>
      <c r="EY119" s="180">
        <f t="shared" ref="EY119:EY182" ca="1" si="379">EO119-ET119</f>
        <v>61077.648740834091</v>
      </c>
      <c r="EZ119" s="180">
        <f t="shared" ref="EZ119:EZ182" ca="1" si="380">EP119-EU119</f>
        <v>16073.065458114259</v>
      </c>
      <c r="FA119" s="180">
        <f t="shared" ref="FA119:FA182" ca="1" si="381">EQ119-EV119</f>
        <v>126652.96107149875</v>
      </c>
      <c r="FB119" s="180">
        <f t="shared" ref="FB119:FB182" ca="1" si="382">ER119-EW119</f>
        <v>316632.41061426292</v>
      </c>
      <c r="FC119" s="180">
        <f t="shared" ref="FC119:FC182" ca="1" si="383">ES119-EX119</f>
        <v>520436.08588470984</v>
      </c>
      <c r="FD119" s="262">
        <f>IF(AX119,IF(VLOOKUP(C119,MAIN!$L$17:$M$28,2)="Yes",VLOOKUP(CALC!B119,MAIN!$H$17:$I$20,2),0),0)</f>
        <v>0</v>
      </c>
      <c r="FE119" s="623">
        <f t="shared" si="285"/>
        <v>0</v>
      </c>
      <c r="FF119" s="535">
        <f t="shared" si="286"/>
        <v>0</v>
      </c>
      <c r="FG119" s="535">
        <f t="shared" si="287"/>
        <v>0</v>
      </c>
      <c r="FH119" s="624">
        <f t="shared" si="288"/>
        <v>0</v>
      </c>
      <c r="FI119" s="632">
        <f>IF(AX119,VLOOKUP(CALC!B119,MAIN!$H$17:$K$20,4),0)</f>
        <v>0</v>
      </c>
      <c r="FJ119" s="535">
        <f t="shared" si="289"/>
        <v>0</v>
      </c>
      <c r="FK119" s="648">
        <f t="shared" si="335"/>
        <v>0</v>
      </c>
      <c r="FL119" s="530">
        <f t="shared" ref="FL119:FL182" ca="1" si="384">IF($EI119&gt;0,MIN(FE119,AZ119*(1+VLOOKUP($C119,WeatherCapacityAdjustment,2))),0)</f>
        <v>0</v>
      </c>
      <c r="FM119" s="530">
        <f t="shared" ref="FM119:FM182" ca="1" si="385">IF($EI119&gt;0,MIN(FF119,BA119*(1+VLOOKUP($C119,WeatherCapacityAdjustment,2))),0)</f>
        <v>0</v>
      </c>
      <c r="FN119" s="530">
        <f t="shared" ref="FN119:FN182" ca="1" si="386">IF($EI119&gt;0,MIN(FG119,BB119*(1+VLOOKUP($C119,WeatherCapacityAdjustment,2))),0)</f>
        <v>0</v>
      </c>
      <c r="FO119" s="622">
        <f t="shared" ref="FO119:FO182" ca="1" si="387">IF($EI119&gt;0,MIN(FH119,BC119*(1+VLOOKUP($C119,WeatherCapacityAdjustment,3))),0)</f>
        <v>0</v>
      </c>
      <c r="FP119" s="530">
        <f t="shared" ref="FP119:FP182" ca="1" si="388">IF(ET119&gt;0,MIN(FE119-FL119,BH119*(1+VLOOKUP($C119,WeatherCapacityAdjustment,2))),0)</f>
        <v>0</v>
      </c>
      <c r="FQ119" s="530">
        <f t="shared" ref="FQ119:FQ182" ca="1" si="389">IF(EU119&gt;0,MIN(FF119-FM119,BI119*(1+VLOOKUP($C119,WeatherCapacityAdjustment,2))),0)</f>
        <v>0</v>
      </c>
      <c r="FR119" s="530">
        <f t="shared" ref="FR119:FR182" ca="1" si="390">IF(EV119&gt;0,MIN(FG119-FN119,BJ119*(1+VLOOKUP($C119,WeatherCapacityAdjustment,2))),0)</f>
        <v>0</v>
      </c>
      <c r="FS119" s="625">
        <f t="shared" ref="FS119:FS182" ca="1" si="391">IF(EW119&gt;0,MIN(FH119-FO119,BK119*(1+VLOOKUP($C119,WeatherCapacityAdjustment,3))),0)</f>
        <v>0</v>
      </c>
      <c r="FT119" s="640">
        <f ca="1">IF(AND(Assumptions!$H$71="Yes",A119&gt;=Assumptions!$H$72,A119&lt;=Assumptions!$H$73),0,IF(AND($A119&gt;=Assumptions!$C$17,$A119&lt;=Assumptions!$C$18),MAX(AZ119*(1+VLOOKUP($C119,WeatherCapacityAdjustment,2))-FL119,0),0))</f>
        <v>44232</v>
      </c>
      <c r="FU119" s="530">
        <f ca="1">IF(AND(Assumptions!$H$71="Yes",A119&gt;=Assumptions!$H$72,A119&lt;=Assumptions!$H$73),0,IF(AND($A119&gt;=Assumptions!$C$17,$A119&lt;=Assumptions!$C$18),MAX(BA119*(1+VLOOKUP($C119,WeatherCapacityAdjustment,2))-FM119,0),0))</f>
        <v>11640</v>
      </c>
      <c r="FV119" s="530">
        <f ca="1">IF(AND(Assumptions!$H$71="Yes",A119&gt;=Assumptions!$H$72,A119&lt;=Assumptions!$H$73),0,IF(AND($A119&gt;=Assumptions!$C$17,$A119&lt;=Assumptions!$C$18),MAX(BB119*(1+VLOOKUP($C119,WeatherCapacityAdjustment,2))-FN119,0),0))</f>
        <v>13968</v>
      </c>
      <c r="FW119" s="622">
        <f ca="1">IF(AND(Assumptions!$H$71="Yes",A119&gt;=Assumptions!$H$72,A119&lt;=Assumptions!$H$73),0,IF(AND($A119&gt;=Assumptions!$C$17,$A119&lt;=Assumptions!$C$18),MAX(BC119*(1+VLOOKUP($C119,WeatherCapacityAdjustment,3))-FO119,0),0))</f>
        <v>34920</v>
      </c>
      <c r="FX119" s="621">
        <f ca="1">IF(AND(Assumptions!$H$71="Yes",A119&gt;=Assumptions!$H$72,A119&lt;=Assumptions!$H$73),0,IF(ET119&gt;0,MAX(BH119*(1+VLOOKUP($C119,WeatherCapacityAdjustment,2))-FP119,0),0))</f>
        <v>176928</v>
      </c>
      <c r="FY119" s="530">
        <f ca="1">IF(AND(Assumptions!$H$71="Yes",A119&gt;=Assumptions!$H$72,A119&lt;=Assumptions!$H$73),0,IF(EU119&gt;0,MAX(BI119*(1+VLOOKUP($C119,WeatherCapacityAdjustment,3))-FQ119,0),0))</f>
        <v>46560</v>
      </c>
      <c r="FZ119" s="530">
        <f ca="1">IF(AND(Assumptions!$H$71="Yes",A119&gt;=Assumptions!$H$72,A119&lt;=Assumptions!$H$73),0,IF(EV119&gt;0,MAX(BJ119*(1+VLOOKUP($C119,WeatherCapacityAdjustment,2))-FR119,0),0))</f>
        <v>55872</v>
      </c>
      <c r="GA119" s="622">
        <f ca="1">IF(AND(Assumptions!$H$71="Yes",A119&gt;=Assumptions!$H$72,A119&lt;=Assumptions!$H$73),0,IF(EW119&gt;0,MAX(BK119*(1+VLOOKUP($C119,WeatherCapacityAdjustment,2))-FS119,0),0))</f>
        <v>139680</v>
      </c>
      <c r="GB119" s="530">
        <f t="shared" ca="1" si="290"/>
        <v>523800</v>
      </c>
      <c r="GC119" s="545">
        <f t="shared" ca="1" si="291"/>
        <v>38.831720963408422</v>
      </c>
      <c r="GD119" s="530">
        <f t="shared" ref="GD119:GD182" ca="1" si="392">(FT119*BU119+FX119*CA119+FU119*BV119+FY119*CB119+FV119*BW119+FZ119*CC119+FW119*BX119+GA119*CD119)</f>
        <v>20340055.44063333</v>
      </c>
      <c r="GE119" s="1485">
        <f t="shared" ref="GE119:GE182" ca="1" si="393">+IF(BQ119,((FL119+FM119+FT119+FU119)*HeatRatePeak/1000*(1+VLOOKUP($C119,WeatherHeatRateAdjustment,2))+(FN119+FV119)*IF(EV119&gt;0,HeatRatePeak,HeatRateOffPeak)/1000*(1+VLOOKUP($C119,WeatherHeatRateAdjustment,2))+(FO119+FW119)*IF(EW119&gt;0,HeatRatePeak,HeatRateOffPeak)/1000*(1+VLOOKUP($C119,WeatherHeatRateAdjustment,3)))*(1+VLOOKUP($B119,HeatRateDegradation,$C119+1)),0)</f>
        <v>751213.00800000003</v>
      </c>
      <c r="GF119" s="1776">
        <f t="shared" ref="GF119:GF182" ca="1" si="394">IF(BQ119,((FP119+FQ119+FR119+FX119+FY119+FZ119)*HeatRatePeak/1000*(1+VLOOKUP($C119,WeatherHeatRateAdjustment,2))+(FS119+GA119)*HeatRatePeak/1000*(1+VLOOKUP($C119,WeatherHeatRateAdjustment,3)))*(1+VLOOKUP($B119,HeatRateDegradation,$C119+1)),0)</f>
        <v>3004852.0320000001</v>
      </c>
      <c r="GG119" s="545">
        <f t="shared" si="359"/>
        <v>3.1258930664983384</v>
      </c>
      <c r="GH119" s="622">
        <f t="shared" ca="1" si="360"/>
        <v>11741057.665852804</v>
      </c>
      <c r="GI119" s="621">
        <f t="shared" ca="1" si="336"/>
        <v>523800</v>
      </c>
      <c r="GJ119" s="638">
        <f t="shared" si="292"/>
        <v>1.9873454457600002</v>
      </c>
      <c r="GK119" s="625">
        <f t="shared" ca="1" si="342"/>
        <v>1040971.5444890881</v>
      </c>
      <c r="GL119" s="640">
        <f t="shared" ref="GL119:GL182" ca="1" si="395">MAX(FE119-FL119-FP119,0)</f>
        <v>0</v>
      </c>
      <c r="GM119" s="530">
        <f t="shared" ref="GM119:GM182" ca="1" si="396">MAX(FF119-FM119-FQ119,0)</f>
        <v>0</v>
      </c>
      <c r="GN119" s="530">
        <f t="shared" ref="GN119:GN182" ca="1" si="397">MAX(FG119-FN119-FR119,0)</f>
        <v>0</v>
      </c>
      <c r="GO119" s="622">
        <f t="shared" ref="GO119:GO182" ca="1" si="398">MAX(FH119-FO119-FS119,0)</f>
        <v>0</v>
      </c>
      <c r="GP119" s="530">
        <f t="shared" ca="1" si="293"/>
        <v>0</v>
      </c>
      <c r="GQ119" s="545">
        <f t="shared" ca="1" si="294"/>
        <v>0</v>
      </c>
      <c r="GR119" s="625">
        <f t="shared" ref="GR119:GR182" ca="1" si="399">(GL119*BU119+GM119*BV119+GN119*BW119+GO119*BX119)</f>
        <v>0</v>
      </c>
      <c r="GS119" s="640">
        <f>IF($A119&gt;=BegDate,Assumptions!$C$56*24*($A120-$A119)*(1-VLOOKUP($B119,MAIN!$AA$7:$AM$28,$C119+1))*(1-VLOOKUP($B119,MAIN!$AA$33:$AM$54,$C119+1)),0)*80/168</f>
        <v>249428.57142857142</v>
      </c>
      <c r="GT119" s="1715">
        <f t="shared" si="337"/>
        <v>47.632874807142308</v>
      </c>
      <c r="GU119" s="1715">
        <f>IF($A119&gt;=BegDate,VLOOKUP($A119,GasTable,13)+Assumptions!$C$58,0)</f>
        <v>3.1258930664983384</v>
      </c>
      <c r="GV119" s="1715">
        <f>GU119*Assumptions!$C$57/1000</f>
        <v>22.662724732112956</v>
      </c>
      <c r="GW119" s="625">
        <f>IF(Assumptions!$C$60="Hourly",MAX(0,GS119*(GT119-GV119)),GS119*(GT119-GV119))</f>
        <v>6228268.8615716062</v>
      </c>
      <c r="GX119" s="640">
        <f>IF($A119&gt;=BegDate,Assumptions!$C$56*24*($A120-$A119)*(1-VLOOKUP($B119,MAIN!$AA$7:$AM$28,$C119+1))*(1-VLOOKUP($B119,MAIN!$AA$33:$AM$54,$C119+1)),0)*16/168</f>
        <v>49885.714285714283</v>
      </c>
      <c r="GY119" s="1715">
        <f t="shared" si="338"/>
        <v>47.632874807142308</v>
      </c>
      <c r="GZ119" s="1715">
        <f>IF($A119&gt;=BegDate,VLOOKUP($A119,GasTable,13)+Assumptions!$C$58,0)</f>
        <v>3.1258930664983384</v>
      </c>
      <c r="HA119" s="1715">
        <f>GZ119*Assumptions!$C$57/1000</f>
        <v>22.662724732112956</v>
      </c>
      <c r="HB119" s="625">
        <f>IF(Assumptions!$C$60="Hourly",MAX(0,GX119*(GY119-HA119)),GX119*(GY119-HA119))</f>
        <v>1245653.7723143212</v>
      </c>
      <c r="HC119" s="640">
        <f>IF($A119&gt;=BegDate,Assumptions!$C$56*24*($A120-$A119)*(1-VLOOKUP($B119,MAIN!$AA$7:$AM$28,$C119+1))*(1-VLOOKUP($B119,MAIN!$AA$33:$AM$54,$C119+1)),0)*16/168</f>
        <v>49885.714285714283</v>
      </c>
      <c r="HD119" s="1715">
        <f t="shared" si="339"/>
        <v>28.773259580839337</v>
      </c>
      <c r="HE119" s="1715">
        <f>IF($A119&gt;=BegDate,VLOOKUP($A119,GasTable,13)+Assumptions!$C$58,0)</f>
        <v>3.1258930664983384</v>
      </c>
      <c r="HF119" s="1715">
        <f>HE119*Assumptions!$C$57/1000</f>
        <v>22.662724732112956</v>
      </c>
      <c r="HG119" s="625">
        <f>IF(Assumptions!$C$60="Hourly",MAX(0,HC119*(HD119-HF119)),HC119*(HD119-HF119))</f>
        <v>304828.39559646457</v>
      </c>
      <c r="HH119" s="640">
        <f>IF($A119&gt;=BegDate,Assumptions!$C$56*24*($A120-$A119)*(1-VLOOKUP($B119,MAIN!$AA$7:$AM$28,$C119+1))*(1-VLOOKUP($B119,MAIN!$AA$33:$AM$54,$C119+1)),0)*56/168</f>
        <v>174600</v>
      </c>
      <c r="HI119" s="1715">
        <f t="shared" si="340"/>
        <v>28.773259580839337</v>
      </c>
      <c r="HJ119" s="1715">
        <f>IF($A119&gt;=BegDate,VLOOKUP($A119,GasTable,13)+Assumptions!$C$58,0)</f>
        <v>3.1258930664983384</v>
      </c>
      <c r="HK119" s="1715">
        <f>HJ119*Assumptions!$C$57/1000</f>
        <v>22.662724732112956</v>
      </c>
      <c r="HL119" s="625">
        <f>IF(Assumptions!$C$60="Hourly",MAX(0,HH119*(HI119-HK119)),HH119*(HI119-HK119))</f>
        <v>1066899.3845876262</v>
      </c>
      <c r="HM119" s="640">
        <f>IF(AND(Assumptions!$H$71="Yes",A119&gt;=Assumptions!$H$72,A119&lt;=Assumptions!$H$73),Assumptions!$H$74*Assumptions!$C$9*1000,0)</f>
        <v>0</v>
      </c>
      <c r="HN119" s="530"/>
      <c r="HO119" s="545"/>
      <c r="HP119" s="545"/>
      <c r="HQ119" s="545"/>
      <c r="HR119" s="545"/>
      <c r="HS119" s="545"/>
      <c r="HT119" s="545"/>
      <c r="HU119" s="545"/>
      <c r="HV119" s="545"/>
      <c r="HW119" s="545"/>
      <c r="HX119" s="545"/>
      <c r="HY119" s="545"/>
      <c r="HZ119" s="545"/>
      <c r="IA119" s="545"/>
      <c r="IB119" s="545"/>
      <c r="IC119" s="545"/>
      <c r="ID119" s="545"/>
      <c r="IE119" s="545"/>
      <c r="IF119" s="545"/>
      <c r="IG119" s="545"/>
      <c r="IH119" s="545"/>
      <c r="II119" s="1464"/>
      <c r="IJ119" s="1463"/>
      <c r="IK119" s="1463"/>
    </row>
    <row r="120" spans="1:245">
      <c r="A120" s="177">
        <f t="shared" si="295"/>
        <v>39783</v>
      </c>
      <c r="B120" s="349">
        <f t="shared" si="296"/>
        <v>2008</v>
      </c>
      <c r="C120" s="15">
        <f t="shared" si="352"/>
        <v>12</v>
      </c>
      <c r="D120" s="612">
        <f t="shared" si="297"/>
        <v>39807</v>
      </c>
      <c r="E120" s="609">
        <f t="shared" si="353"/>
        <v>39783</v>
      </c>
      <c r="F120" s="614">
        <f t="shared" si="354"/>
        <v>39813</v>
      </c>
      <c r="G120" s="1349">
        <v>0</v>
      </c>
      <c r="H120" s="152">
        <f t="shared" si="341"/>
        <v>1</v>
      </c>
      <c r="I120" s="154">
        <f>IF(Assumptions!$L$25=4,VLOOKUP($A120,'Henwood Reference'!$E$9:$R$320,10),(VLOOKUP($A120,PriceTable,2,0)+IF(BasisNumber&lt;&gt;1,VLOOKUP($A120,BasisTable,2,0),0)+I$1)/(1-I$2))</f>
        <v>47.630648654318392</v>
      </c>
      <c r="J120" s="154">
        <f>IF(Assumptions!$L$25=4,VLOOKUP($A120,'Henwood Reference'!$E$9:$R$320,10),(VLOOKUP($A120,PriceTable,3,0)+IF(BasisNumber&lt;&gt;1,VLOOKUP($A120,BasisTable,2,0),0)+J$1)/(1-J$2))</f>
        <v>47.630648654318392</v>
      </c>
      <c r="K120" s="154">
        <f>IF(Assumptions!$L$25=4,VLOOKUP($A120,'Henwood Reference'!$E$9:$R$320,10),(VLOOKUP($A120,PriceTable,4,0)+IF(BasisNumber&lt;&gt;1,VLOOKUP($A120,BasisTable,2,0),0)+K$1)/(1-K$2))</f>
        <v>47.630648654318392</v>
      </c>
      <c r="L120" s="474">
        <f>IF(Assumptions!$L$25=4,VLOOKUP($A120,'Henwood Reference'!$E$9:$R$320,10),(VLOOKUP($A120,PriceTableWeekend,2,0)+IF(BasisNumber&lt;&gt;1,VLOOKUP($A120,BasisTable,2,0),0)+L$1)/(1-L$2))</f>
        <v>47.630648654318392</v>
      </c>
      <c r="M120" s="154">
        <f>IF(Assumptions!$L$25=4,VLOOKUP($A120,'Henwood Reference'!$E$9:$R$320,10),(VLOOKUP($A120,PriceTableWeekend,3,0)+IF(BasisNumber&lt;&gt;1,VLOOKUP($A120,BasisTable,2,0),0)+M$1)/(1-M$2))</f>
        <v>47.630648654318392</v>
      </c>
      <c r="N120" s="156">
        <f>IF(Assumptions!$L$25=4,VLOOKUP($A120,'Henwood Reference'!$E$9:$R$320,10),(VLOOKUP($A120,PriceTableWeekend,4,0)+IF(BasisNumber&lt;&gt;1,VLOOKUP($A120,BasisTable,2,0),0)+N$1)/(1-N$2))</f>
        <v>47.630648654318392</v>
      </c>
      <c r="O120" s="154">
        <f>IF(Assumptions!$L$25=4,VLOOKUP($A120,'Henwood Reference'!$E$9:$R$320,11),(VLOOKUP($A120,PriceTableWeekend,6,0)+IF(BasisNumber&lt;&gt;1,VLOOKUP($A120,BasisTable,3,0),0)+O$1)/(1-O$2))</f>
        <v>29.55088991201054</v>
      </c>
      <c r="P120" s="154">
        <f>IF(Assumptions!$L$25=4,VLOOKUP($A120,'Henwood Reference'!$E$9:$R$320,11),(VLOOKUP($A120,PriceTableWeekend,7,0)+IF(BasisNumber&lt;&gt;1,VLOOKUP($A120,BasisTable,3,0),0)+P$1)/(1-P$2))</f>
        <v>29.55088991201054</v>
      </c>
      <c r="Q120" s="156">
        <f>IF(Assumptions!$L$25=4,VLOOKUP($A120,'Henwood Reference'!$E$9:$R$320,11),(VLOOKUP($A120,PriceTableWeekend,8,0)+IF(BasisNumber&lt;&gt;1,VLOOKUP($A120,BasisTable,3,0),0)+Q$1)/(1-Q$2))</f>
        <v>29.55088991201054</v>
      </c>
      <c r="R120" s="154">
        <f>IF(Assumptions!$L$25=4,VLOOKUP($A120,'Henwood Reference'!$E$9:$R$320,11),(VLOOKUP($A120,PriceTable,6,0)+IF(BasisNumber&lt;&gt;1,VLOOKUP($A120,BasisTable,3,0),0)+R$1)/(1-R$2))</f>
        <v>29.55088991201054</v>
      </c>
      <c r="S120" s="154">
        <f>IF(Assumptions!$L$25=4,VLOOKUP($A120,'Henwood Reference'!$E$9:$R$320,11),(VLOOKUP($A120,PriceTable,7,0)+IF(BasisNumber&lt;&gt;1,VLOOKUP($A120,BasisTable,3,0),0)+S$1)/(1-S$2))</f>
        <v>29.55088991201054</v>
      </c>
      <c r="T120" s="155">
        <f>IF(Assumptions!$L$25=4,VLOOKUP($A120,'Henwood Reference'!$E$9:$R$320,11),(VLOOKUP($A120,PriceTable,8,0)+IF(BasisNumber&lt;&gt;1,VLOOKUP($A120,BasisTable,3,0),0)+T$1)/(1-T$2))</f>
        <v>29.55088991201054</v>
      </c>
      <c r="U120" s="173">
        <f t="shared" si="298"/>
        <v>0.13</v>
      </c>
      <c r="V120" s="173">
        <f t="shared" si="299"/>
        <v>0.14000000000000001</v>
      </c>
      <c r="W120" s="174">
        <f t="shared" si="300"/>
        <v>0.15</v>
      </c>
      <c r="X120" s="173">
        <f t="shared" si="301"/>
        <v>0.13</v>
      </c>
      <c r="Y120" s="173">
        <f t="shared" si="302"/>
        <v>0.14000000000000001</v>
      </c>
      <c r="Z120" s="174">
        <f t="shared" si="303"/>
        <v>0.15</v>
      </c>
      <c r="AA120" s="173">
        <f t="shared" si="304"/>
        <v>0.09</v>
      </c>
      <c r="AB120" s="173">
        <f t="shared" si="305"/>
        <v>0.11</v>
      </c>
      <c r="AC120" s="174">
        <f t="shared" si="306"/>
        <v>0.13</v>
      </c>
      <c r="AD120" s="173">
        <f t="shared" si="307"/>
        <v>0.09</v>
      </c>
      <c r="AE120" s="173">
        <f t="shared" si="308"/>
        <v>0.11</v>
      </c>
      <c r="AF120" s="174">
        <f t="shared" si="309"/>
        <v>0.13</v>
      </c>
      <c r="AG120" s="173">
        <f t="shared" si="310"/>
        <v>-0.25</v>
      </c>
      <c r="AH120" s="173">
        <f t="shared" si="311"/>
        <v>0.6</v>
      </c>
      <c r="AI120" s="174">
        <f t="shared" si="312"/>
        <v>0.25</v>
      </c>
      <c r="AJ120" s="173">
        <f t="shared" si="313"/>
        <v>-0.25</v>
      </c>
      <c r="AK120" s="173">
        <f t="shared" si="314"/>
        <v>0.6</v>
      </c>
      <c r="AL120" s="174">
        <f t="shared" si="315"/>
        <v>0.25</v>
      </c>
      <c r="AM120" s="173">
        <f t="shared" si="316"/>
        <v>-0.01</v>
      </c>
      <c r="AN120" s="173">
        <f t="shared" si="317"/>
        <v>0.16</v>
      </c>
      <c r="AO120" s="174">
        <f t="shared" si="318"/>
        <v>0.01</v>
      </c>
      <c r="AP120" s="173">
        <f t="shared" si="319"/>
        <v>-0.01</v>
      </c>
      <c r="AQ120" s="173">
        <f t="shared" si="320"/>
        <v>0.16</v>
      </c>
      <c r="AR120" s="175">
        <f t="shared" si="321"/>
        <v>0.01</v>
      </c>
      <c r="AS120" s="521">
        <f t="shared" si="357"/>
        <v>0.5</v>
      </c>
      <c r="AT120" s="349">
        <f t="shared" si="355"/>
        <v>22</v>
      </c>
      <c r="AU120" s="159">
        <f t="shared" si="240"/>
        <v>4</v>
      </c>
      <c r="AV120" s="159">
        <f t="shared" si="241"/>
        <v>4</v>
      </c>
      <c r="AW120" s="159">
        <f t="shared" si="358"/>
        <v>1</v>
      </c>
      <c r="AX120" s="15">
        <f t="shared" si="356"/>
        <v>31</v>
      </c>
      <c r="AY120" s="607">
        <f>IF(E120="",0,MIN((1-(1-VLOOKUP(B120,MAIN!$AA$7:$AM$28,C120+1))*(1-VLOOKUP(B120,MAIN!$AA$33:$AM$54,C120+1))),1))</f>
        <v>3.0000000000000027E-2</v>
      </c>
      <c r="AZ120" s="337">
        <v>51216</v>
      </c>
      <c r="BA120" s="509">
        <v>9312</v>
      </c>
      <c r="BB120" s="509">
        <v>11640</v>
      </c>
      <c r="BC120" s="511">
        <v>36084</v>
      </c>
      <c r="BD120" s="153">
        <v>0.97</v>
      </c>
      <c r="BE120" s="474">
        <v>0.97</v>
      </c>
      <c r="BF120" s="474">
        <v>0.97</v>
      </c>
      <c r="BG120" s="515">
        <v>0.97</v>
      </c>
      <c r="BH120" s="262">
        <v>204864</v>
      </c>
      <c r="BI120" s="509">
        <v>37248</v>
      </c>
      <c r="BJ120" s="509">
        <v>46560</v>
      </c>
      <c r="BK120" s="511">
        <v>144336</v>
      </c>
      <c r="BL120" s="153">
        <v>0.97</v>
      </c>
      <c r="BM120" s="474">
        <v>0.97</v>
      </c>
      <c r="BN120" s="474">
        <v>0.97</v>
      </c>
      <c r="BO120" s="474">
        <v>0.97</v>
      </c>
      <c r="BP120" s="261">
        <f t="shared" si="324"/>
        <v>72168</v>
      </c>
      <c r="BQ120" s="578">
        <f t="shared" si="325"/>
        <v>108252</v>
      </c>
      <c r="BR120" s="259">
        <f t="shared" si="326"/>
        <v>288672</v>
      </c>
      <c r="BS120" s="578">
        <f t="shared" si="327"/>
        <v>433008</v>
      </c>
      <c r="BT120" s="216">
        <f t="shared" si="328"/>
        <v>8.6324435318275157</v>
      </c>
      <c r="BU120" s="218">
        <f t="shared" si="243"/>
        <v>47.630648654318392</v>
      </c>
      <c r="BV120" s="216">
        <f t="shared" si="244"/>
        <v>47.630648654318392</v>
      </c>
      <c r="BW120" s="216">
        <f t="shared" si="245"/>
        <v>29.55088991201054</v>
      </c>
      <c r="BX120" s="216">
        <f t="shared" si="329"/>
        <v>29.55088991201054</v>
      </c>
      <c r="BY120" s="216">
        <f t="shared" si="246"/>
        <v>44.714558534591319</v>
      </c>
      <c r="BZ120" s="216">
        <f t="shared" si="247"/>
        <v>39.66000232706439</v>
      </c>
      <c r="CA120" s="264">
        <f t="shared" si="248"/>
        <v>47.630648654318392</v>
      </c>
      <c r="CB120" s="216">
        <f t="shared" si="249"/>
        <v>47.630648654318392</v>
      </c>
      <c r="CC120" s="216">
        <f t="shared" si="250"/>
        <v>29.55088991201054</v>
      </c>
      <c r="CD120" s="216">
        <f t="shared" si="330"/>
        <v>29.55088991201054</v>
      </c>
      <c r="CE120" s="216">
        <f t="shared" si="251"/>
        <v>44.714558534591319</v>
      </c>
      <c r="CF120" s="571">
        <f t="shared" si="252"/>
        <v>39.66000232706439</v>
      </c>
      <c r="CG120" s="573">
        <f t="shared" si="253"/>
        <v>0.14000000000000001</v>
      </c>
      <c r="CH120" s="219">
        <f t="shared" si="254"/>
        <v>0.14000000000000001</v>
      </c>
      <c r="CI120" s="219">
        <f t="shared" si="255"/>
        <v>0.11</v>
      </c>
      <c r="CJ120" s="219">
        <f t="shared" si="256"/>
        <v>0.13685247775992279</v>
      </c>
      <c r="CK120" s="219">
        <f t="shared" si="257"/>
        <v>0.13685247775992279</v>
      </c>
      <c r="CL120" s="219">
        <f t="shared" si="258"/>
        <v>0.11</v>
      </c>
      <c r="CM120" s="219">
        <f t="shared" si="259"/>
        <v>0.11941363411243032</v>
      </c>
      <c r="CN120" s="569">
        <f t="shared" si="260"/>
        <v>0.11941363411243032</v>
      </c>
      <c r="CO120" s="264">
        <f t="shared" si="343"/>
        <v>23.340172215071192</v>
      </c>
      <c r="CP120" s="216">
        <f t="shared" si="331"/>
        <v>23.340172215071192</v>
      </c>
      <c r="CQ120" s="216">
        <f t="shared" ca="1" si="361"/>
        <v>23.340172215071192</v>
      </c>
      <c r="CR120" s="216">
        <f t="shared" ca="1" si="362"/>
        <v>23.340172215071192</v>
      </c>
      <c r="CS120" s="1626">
        <f t="shared" ca="1" si="363"/>
        <v>23.340172215071192</v>
      </c>
      <c r="CT120" s="216">
        <f t="shared" si="332"/>
        <v>23.340172215071192</v>
      </c>
      <c r="CU120" s="575">
        <f t="shared" si="261"/>
        <v>0.16</v>
      </c>
      <c r="CV120" s="154">
        <f t="shared" si="262"/>
        <v>0.5</v>
      </c>
      <c r="CW120" s="216">
        <f>IF(OR($BQ120,$BS120),SpreadOptPowerMargin,0)*((1+Assumptions!$C$26)^($B120-YEAR(Assumptions!$C$17)))</f>
        <v>1.9873454457600002</v>
      </c>
      <c r="CX120" s="216">
        <f>IF(OR($BQ120,$BS120),SpreadOptPowerMargin,0)*((1+Assumptions!$C$26)^($B120-YEAR(Assumptions!$C$17)))</f>
        <v>1.9873454457600002</v>
      </c>
      <c r="CY120" s="216">
        <f>IF(OR($BQ120,$BS120),SpreadOptPowerMargin,0)*((1+Assumptions!$C$26)^($B120-YEAR(Assumptions!$C$17)))</f>
        <v>1.9873454457600002</v>
      </c>
      <c r="CZ120" s="216">
        <f>IF(OR($BQ120,$BS120),SpreadOptPowerMargin,0)*((1+Assumptions!$C$26)^($B120-YEAR(Assumptions!$C$17)))</f>
        <v>1.9873454457600002</v>
      </c>
      <c r="DA120" s="440">
        <f t="shared" si="263"/>
        <v>1.9873454457600002</v>
      </c>
      <c r="DB120" s="479">
        <f t="shared" si="264"/>
        <v>0.14000000000000001</v>
      </c>
      <c r="DC120" s="479">
        <f t="shared" si="265"/>
        <v>0.14000000000000001</v>
      </c>
      <c r="DD120" s="479">
        <f t="shared" si="266"/>
        <v>0.11</v>
      </c>
      <c r="DE120" s="479">
        <f t="shared" si="267"/>
        <v>0.11</v>
      </c>
      <c r="DF120" s="479">
        <f t="shared" si="268"/>
        <v>0.11941363411243032</v>
      </c>
      <c r="DG120" s="574">
        <f t="shared" si="269"/>
        <v>0.11941363411243032</v>
      </c>
      <c r="DH120" s="216">
        <f t="shared" si="270"/>
        <v>22.745413120816117</v>
      </c>
      <c r="DI120" s="216">
        <f t="shared" si="271"/>
        <v>22.745413120816117</v>
      </c>
      <c r="DJ120" s="216">
        <f t="shared" ca="1" si="364"/>
        <v>6.6881402288469687</v>
      </c>
      <c r="DK120" s="216">
        <f t="shared" ca="1" si="365"/>
        <v>6.6881402288469687</v>
      </c>
      <c r="DL120" s="216">
        <f t="shared" ca="1" si="366"/>
        <v>15.166676722807891</v>
      </c>
      <c r="DM120" s="216"/>
      <c r="DN120" s="216"/>
      <c r="DO120" s="216"/>
      <c r="DP120" s="216"/>
      <c r="DQ120" s="216"/>
      <c r="DR120" s="216"/>
      <c r="DS120" s="216"/>
      <c r="DT120" s="216"/>
      <c r="DU120" s="216"/>
      <c r="DV120" s="216"/>
      <c r="DW120" s="1371">
        <f t="shared" si="272"/>
        <v>6.6881402288469687</v>
      </c>
      <c r="DX120" s="216">
        <f t="shared" si="273"/>
        <v>6.6881402288469687</v>
      </c>
      <c r="DY120" s="440">
        <f t="shared" si="274"/>
        <v>15.666400340485632</v>
      </c>
      <c r="DZ120" s="180">
        <f t="shared" si="275"/>
        <v>1164929.0783957182</v>
      </c>
      <c r="EA120" s="180">
        <f t="shared" si="276"/>
        <v>211805.28698103968</v>
      </c>
      <c r="EB120" s="180">
        <f t="shared" ca="1" si="367"/>
        <v>77849.952263778716</v>
      </c>
      <c r="EC120" s="180">
        <f t="shared" ca="1" si="368"/>
        <v>241334.85201771403</v>
      </c>
      <c r="ED120" s="180">
        <f t="shared" ca="1" si="369"/>
        <v>1641823.0885973999</v>
      </c>
      <c r="EE120" s="581">
        <f t="shared" si="277"/>
        <v>1142277.1569624406</v>
      </c>
      <c r="EF120" s="554">
        <f t="shared" si="278"/>
        <v>207686.75581135281</v>
      </c>
      <c r="EG120" s="554">
        <f t="shared" ca="1" si="370"/>
        <v>49160.053003727618</v>
      </c>
      <c r="EH120" s="554">
        <f t="shared" ca="1" si="371"/>
        <v>152396.16431155562</v>
      </c>
      <c r="EI120" s="561">
        <f t="shared" ca="1" si="279"/>
        <v>1551520.1300890762</v>
      </c>
      <c r="EJ120" s="581">
        <f t="shared" si="333"/>
        <v>22651.921433277661</v>
      </c>
      <c r="EK120" s="554">
        <f t="shared" si="334"/>
        <v>4118.5311696868739</v>
      </c>
      <c r="EL120" s="554">
        <f t="shared" ca="1" si="372"/>
        <v>28689.899260051097</v>
      </c>
      <c r="EM120" s="554">
        <f t="shared" ca="1" si="373"/>
        <v>88938.687706158409</v>
      </c>
      <c r="EN120" s="561">
        <f t="shared" ca="1" si="374"/>
        <v>90302.958508323645</v>
      </c>
      <c r="EO120" s="180">
        <f t="shared" si="280"/>
        <v>4659716.313582873</v>
      </c>
      <c r="EP120" s="180">
        <f t="shared" si="281"/>
        <v>847221.14792415872</v>
      </c>
      <c r="EQ120" s="180">
        <f t="shared" si="282"/>
        <v>311399.80905511486</v>
      </c>
      <c r="ER120" s="180">
        <f t="shared" si="283"/>
        <v>965339.40807085612</v>
      </c>
      <c r="ES120" s="180">
        <f t="shared" si="284"/>
        <v>6783676.6786330026</v>
      </c>
      <c r="ET120" s="1482">
        <f t="shared" ca="1" si="375"/>
        <v>4569108.6278497623</v>
      </c>
      <c r="EU120" s="180">
        <f t="shared" ca="1" si="376"/>
        <v>830747.02324541123</v>
      </c>
      <c r="EV120" s="180">
        <f t="shared" ca="1" si="377"/>
        <v>196640.21201491047</v>
      </c>
      <c r="EW120" s="180">
        <f t="shared" ca="1" si="378"/>
        <v>609584.65724622249</v>
      </c>
      <c r="EX120" s="555">
        <f t="shared" ca="1" si="351"/>
        <v>6206080.5203563068</v>
      </c>
      <c r="EY120" s="180">
        <f t="shared" ca="1" si="379"/>
        <v>90607.685733110644</v>
      </c>
      <c r="EZ120" s="180">
        <f t="shared" ca="1" si="380"/>
        <v>16474.124678747496</v>
      </c>
      <c r="FA120" s="180">
        <f t="shared" ca="1" si="381"/>
        <v>114759.59704020439</v>
      </c>
      <c r="FB120" s="180">
        <f t="shared" ca="1" si="382"/>
        <v>355754.75082463364</v>
      </c>
      <c r="FC120" s="180">
        <f t="shared" ca="1" si="383"/>
        <v>577596.15827669576</v>
      </c>
      <c r="FD120" s="262">
        <f>IF(AX120,IF(VLOOKUP(C120,MAIN!$L$17:$M$28,2)="Yes",VLOOKUP(CALC!B120,MAIN!$H$17:$I$20,2),0),0)</f>
        <v>0</v>
      </c>
      <c r="FE120" s="623">
        <f t="shared" si="285"/>
        <v>0</v>
      </c>
      <c r="FF120" s="535">
        <f t="shared" si="286"/>
        <v>0</v>
      </c>
      <c r="FG120" s="535">
        <f t="shared" si="287"/>
        <v>0</v>
      </c>
      <c r="FH120" s="624">
        <f t="shared" si="288"/>
        <v>0</v>
      </c>
      <c r="FI120" s="632">
        <f>IF(AX120,VLOOKUP(CALC!B120,MAIN!$H$17:$K$20,4),0)</f>
        <v>0</v>
      </c>
      <c r="FJ120" s="535">
        <f t="shared" si="289"/>
        <v>0</v>
      </c>
      <c r="FK120" s="648">
        <f t="shared" si="335"/>
        <v>0</v>
      </c>
      <c r="FL120" s="530">
        <f t="shared" ca="1" si="384"/>
        <v>0</v>
      </c>
      <c r="FM120" s="530">
        <f t="shared" ca="1" si="385"/>
        <v>0</v>
      </c>
      <c r="FN120" s="530">
        <f t="shared" ca="1" si="386"/>
        <v>0</v>
      </c>
      <c r="FO120" s="622">
        <f t="shared" ca="1" si="387"/>
        <v>0</v>
      </c>
      <c r="FP120" s="530">
        <f t="shared" ca="1" si="388"/>
        <v>0</v>
      </c>
      <c r="FQ120" s="530">
        <f t="shared" ca="1" si="389"/>
        <v>0</v>
      </c>
      <c r="FR120" s="530">
        <f t="shared" ca="1" si="390"/>
        <v>0</v>
      </c>
      <c r="FS120" s="625">
        <f t="shared" ca="1" si="391"/>
        <v>0</v>
      </c>
      <c r="FT120" s="640">
        <f ca="1">IF(AND(Assumptions!$H$71="Yes",A120&gt;=Assumptions!$H$72,A120&lt;=Assumptions!$H$73),0,IF(AND($A120&gt;=Assumptions!$C$17,$A120&lt;=Assumptions!$C$18),MAX(AZ120*(1+VLOOKUP($C120,WeatherCapacityAdjustment,2))-FL120,0),0))</f>
        <v>51216</v>
      </c>
      <c r="FU120" s="530">
        <f ca="1">IF(AND(Assumptions!$H$71="Yes",A120&gt;=Assumptions!$H$72,A120&lt;=Assumptions!$H$73),0,IF(AND($A120&gt;=Assumptions!$C$17,$A120&lt;=Assumptions!$C$18),MAX(BA120*(1+VLOOKUP($C120,WeatherCapacityAdjustment,2))-FM120,0),0))</f>
        <v>9312</v>
      </c>
      <c r="FV120" s="530">
        <f ca="1">IF(AND(Assumptions!$H$71="Yes",A120&gt;=Assumptions!$H$72,A120&lt;=Assumptions!$H$73),0,IF(AND($A120&gt;=Assumptions!$C$17,$A120&lt;=Assumptions!$C$18),MAX(BB120*(1+VLOOKUP($C120,WeatherCapacityAdjustment,2))-FN120,0),0))</f>
        <v>11640</v>
      </c>
      <c r="FW120" s="622">
        <f ca="1">IF(AND(Assumptions!$H$71="Yes",A120&gt;=Assumptions!$H$72,A120&lt;=Assumptions!$H$73),0,IF(AND($A120&gt;=Assumptions!$C$17,$A120&lt;=Assumptions!$C$18),MAX(BC120*(1+VLOOKUP($C120,WeatherCapacityAdjustment,3))-FO120,0),0))</f>
        <v>36084</v>
      </c>
      <c r="FX120" s="621">
        <f ca="1">IF(AND(Assumptions!$H$71="Yes",A120&gt;=Assumptions!$H$72,A120&lt;=Assumptions!$H$73),0,IF(ET120&gt;0,MAX(BH120*(1+VLOOKUP($C120,WeatherCapacityAdjustment,2))-FP120,0),0))</f>
        <v>204864</v>
      </c>
      <c r="FY120" s="530">
        <f ca="1">IF(AND(Assumptions!$H$71="Yes",A120&gt;=Assumptions!$H$72,A120&lt;=Assumptions!$H$73),0,IF(EU120&gt;0,MAX(BI120*(1+VLOOKUP($C120,WeatherCapacityAdjustment,3))-FQ120,0),0))</f>
        <v>37248</v>
      </c>
      <c r="FZ120" s="530">
        <f ca="1">IF(AND(Assumptions!$H$71="Yes",A120&gt;=Assumptions!$H$72,A120&lt;=Assumptions!$H$73),0,IF(EV120&gt;0,MAX(BJ120*(1+VLOOKUP($C120,WeatherCapacityAdjustment,2))-FR120,0),0))</f>
        <v>46560</v>
      </c>
      <c r="GA120" s="622">
        <f ca="1">IF(AND(Assumptions!$H$71="Yes",A120&gt;=Assumptions!$H$72,A120&lt;=Assumptions!$H$73),0,IF(EW120&gt;0,MAX(BK120*(1+VLOOKUP($C120,WeatherCapacityAdjustment,2))-FS120,0),0))</f>
        <v>144336</v>
      </c>
      <c r="GB120" s="530">
        <f t="shared" ca="1" si="290"/>
        <v>541260</v>
      </c>
      <c r="GC120" s="545">
        <f t="shared" ca="1" si="291"/>
        <v>39.66000232706439</v>
      </c>
      <c r="GD120" s="530">
        <f t="shared" ca="1" si="392"/>
        <v>21466372.859546874</v>
      </c>
      <c r="GE120" s="1485">
        <f t="shared" ca="1" si="393"/>
        <v>776571.70248000009</v>
      </c>
      <c r="GF120" s="1776">
        <f t="shared" ca="1" si="394"/>
        <v>3106286.8099200004</v>
      </c>
      <c r="GG120" s="545">
        <f t="shared" si="359"/>
        <v>3.2535570309310331</v>
      </c>
      <c r="GH120" s="622">
        <f t="shared" ca="1" si="360"/>
        <v>12633101.613129433</v>
      </c>
      <c r="GI120" s="621">
        <f t="shared" ca="1" si="336"/>
        <v>541260</v>
      </c>
      <c r="GJ120" s="638">
        <f t="shared" si="292"/>
        <v>1.9873454457600002</v>
      </c>
      <c r="GK120" s="625">
        <f t="shared" ca="1" si="342"/>
        <v>1075670.5959720577</v>
      </c>
      <c r="GL120" s="640">
        <f t="shared" ca="1" si="395"/>
        <v>0</v>
      </c>
      <c r="GM120" s="530">
        <f t="shared" ca="1" si="396"/>
        <v>0</v>
      </c>
      <c r="GN120" s="530">
        <f t="shared" ca="1" si="397"/>
        <v>0</v>
      </c>
      <c r="GO120" s="622">
        <f t="shared" ca="1" si="398"/>
        <v>0</v>
      </c>
      <c r="GP120" s="530">
        <f t="shared" ca="1" si="293"/>
        <v>0</v>
      </c>
      <c r="GQ120" s="545">
        <f t="shared" ca="1" si="294"/>
        <v>0</v>
      </c>
      <c r="GR120" s="625">
        <f t="shared" ca="1" si="399"/>
        <v>0</v>
      </c>
      <c r="GS120" s="640">
        <f>IF($A120&gt;=BegDate,Assumptions!$C$56*24*($A121-$A120)*(1-VLOOKUP($B120,MAIN!$AA$7:$AM$28,$C120+1))*(1-VLOOKUP($B120,MAIN!$AA$33:$AM$54,$C120+1)),0)*80/168</f>
        <v>257742.85714285713</v>
      </c>
      <c r="GT120" s="1715">
        <f t="shared" si="337"/>
        <v>47.630648654318392</v>
      </c>
      <c r="GU120" s="1715">
        <f>IF($A120&gt;=BegDate,VLOOKUP($A120,GasTable,13)+Assumptions!$C$58,0)</f>
        <v>3.2535570309310331</v>
      </c>
      <c r="GV120" s="1715">
        <f>GU120*Assumptions!$C$57/1000</f>
        <v>23.588288474249989</v>
      </c>
      <c r="GW120" s="625">
        <f>IF(Assumptions!$C$60="Hourly",MAX(0,GS120*(GT120-GV120)),GS120*(GT120-GV120))</f>
        <v>6196746.6052684877</v>
      </c>
      <c r="GX120" s="640">
        <f>IF($A120&gt;=BegDate,Assumptions!$C$56*24*($A121-$A120)*(1-VLOOKUP($B120,MAIN!$AA$7:$AM$28,$C120+1))*(1-VLOOKUP($B120,MAIN!$AA$33:$AM$54,$C120+1)),0)*16/168</f>
        <v>51548.571428571428</v>
      </c>
      <c r="GY120" s="1715">
        <f t="shared" si="338"/>
        <v>47.630648654318392</v>
      </c>
      <c r="GZ120" s="1715">
        <f>IF($A120&gt;=BegDate,VLOOKUP($A120,GasTable,13)+Assumptions!$C$58,0)</f>
        <v>3.2535570309310331</v>
      </c>
      <c r="HA120" s="1715">
        <f>GZ120*Assumptions!$C$57/1000</f>
        <v>23.588288474249989</v>
      </c>
      <c r="HB120" s="625">
        <f>IF(Assumptions!$C$60="Hourly",MAX(0,GX120*(GY120-HA120)),GX120*(GY120-HA120))</f>
        <v>1239349.3210536975</v>
      </c>
      <c r="HC120" s="640">
        <f>IF($A120&gt;=BegDate,Assumptions!$C$56*24*($A121-$A120)*(1-VLOOKUP($B120,MAIN!$AA$7:$AM$28,$C120+1))*(1-VLOOKUP($B120,MAIN!$AA$33:$AM$54,$C120+1)),0)*16/168</f>
        <v>51548.571428571428</v>
      </c>
      <c r="HD120" s="1715">
        <f t="shared" si="339"/>
        <v>29.55088991201054</v>
      </c>
      <c r="HE120" s="1715">
        <f>IF($A120&gt;=BegDate,VLOOKUP($A120,GasTable,13)+Assumptions!$C$58,0)</f>
        <v>3.2535570309310331</v>
      </c>
      <c r="HF120" s="1715">
        <f>HE120*Assumptions!$C$57/1000</f>
        <v>23.588288474249989</v>
      </c>
      <c r="HG120" s="625">
        <f>IF(Assumptions!$C$60="Hourly",MAX(0,HC120*(HD120-HF120)),HC120*(HD120-HF120))</f>
        <v>307363.58611450245</v>
      </c>
      <c r="HH120" s="640">
        <f>IF($A120&gt;=BegDate,Assumptions!$C$56*24*($A121-$A120)*(1-VLOOKUP($B120,MAIN!$AA$7:$AM$28,$C120+1))*(1-VLOOKUP($B120,MAIN!$AA$33:$AM$54,$C120+1)),0)*56/168</f>
        <v>180420</v>
      </c>
      <c r="HI120" s="1715">
        <f t="shared" si="340"/>
        <v>29.55088991201054</v>
      </c>
      <c r="HJ120" s="1715">
        <f>IF($A120&gt;=BegDate,VLOOKUP($A120,GasTable,13)+Assumptions!$C$58,0)</f>
        <v>3.2535570309310331</v>
      </c>
      <c r="HK120" s="1715">
        <f>HJ120*Assumptions!$C$57/1000</f>
        <v>23.588288474249989</v>
      </c>
      <c r="HL120" s="625">
        <f>IF(Assumptions!$C$60="Hourly",MAX(0,HH120*(HI120-HK120)),HH120*(HI120-HK120))</f>
        <v>1075772.5514007586</v>
      </c>
      <c r="HM120" s="640">
        <f>IF(AND(Assumptions!$H$71="Yes",A120&gt;=Assumptions!$H$72,A120&lt;=Assumptions!$H$73),Assumptions!$H$74*Assumptions!$C$9*1000,0)</f>
        <v>0</v>
      </c>
      <c r="HN120" s="530"/>
      <c r="HO120" s="545"/>
      <c r="HP120" s="545"/>
      <c r="HQ120" s="545"/>
      <c r="HR120" s="545"/>
      <c r="HS120" s="545"/>
      <c r="HT120" s="545"/>
      <c r="HU120" s="545"/>
      <c r="HV120" s="545"/>
      <c r="HW120" s="545"/>
      <c r="HX120" s="545"/>
      <c r="HY120" s="545"/>
      <c r="HZ120" s="545"/>
      <c r="IA120" s="545"/>
      <c r="IB120" s="545"/>
      <c r="IC120" s="545"/>
      <c r="ID120" s="545"/>
      <c r="IE120" s="545"/>
      <c r="IF120" s="545"/>
      <c r="IG120" s="545"/>
      <c r="IH120" s="545"/>
      <c r="II120" s="1464"/>
      <c r="IJ120" s="1463"/>
      <c r="IK120" s="1463"/>
    </row>
    <row r="121" spans="1:245">
      <c r="A121" s="177">
        <f t="shared" si="295"/>
        <v>39814</v>
      </c>
      <c r="B121" s="349">
        <f t="shared" si="296"/>
        <v>2009</v>
      </c>
      <c r="C121" s="15">
        <f t="shared" si="352"/>
        <v>1</v>
      </c>
      <c r="D121" s="612">
        <f t="shared" si="297"/>
        <v>39814</v>
      </c>
      <c r="E121" s="609">
        <f t="shared" si="353"/>
        <v>39814</v>
      </c>
      <c r="F121" s="614">
        <f t="shared" si="354"/>
        <v>39844</v>
      </c>
      <c r="G121" s="1349">
        <v>0</v>
      </c>
      <c r="H121" s="152">
        <f t="shared" si="341"/>
        <v>1</v>
      </c>
      <c r="I121" s="154">
        <f>IF(Assumptions!$L$25=4,VLOOKUP($A121,'Henwood Reference'!$E$9:$R$320,10),(VLOOKUP($A121,PriceTable,2,0)+IF(BasisNumber&lt;&gt;1,VLOOKUP($A121,BasisTable,2,0),0)+I$1)/(1-I$2))</f>
        <v>49.086276089537897</v>
      </c>
      <c r="J121" s="154">
        <f>IF(Assumptions!$L$25=4,VLOOKUP($A121,'Henwood Reference'!$E$9:$R$320,10),(VLOOKUP($A121,PriceTable,3,0)+IF(BasisNumber&lt;&gt;1,VLOOKUP($A121,BasisTable,2,0),0)+J$1)/(1-J$2))</f>
        <v>49.086276089537897</v>
      </c>
      <c r="K121" s="154">
        <f>IF(Assumptions!$L$25=4,VLOOKUP($A121,'Henwood Reference'!$E$9:$R$320,10),(VLOOKUP($A121,PriceTable,4,0)+IF(BasisNumber&lt;&gt;1,VLOOKUP($A121,BasisTable,2,0),0)+K$1)/(1-K$2))</f>
        <v>49.086276089537897</v>
      </c>
      <c r="L121" s="474">
        <f>IF(Assumptions!$L$25=4,VLOOKUP($A121,'Henwood Reference'!$E$9:$R$320,10),(VLOOKUP($A121,PriceTableWeekend,2,0)+IF(BasisNumber&lt;&gt;1,VLOOKUP($A121,BasisTable,2,0),0)+L$1)/(1-L$2))</f>
        <v>49.086276089537897</v>
      </c>
      <c r="M121" s="154">
        <f>IF(Assumptions!$L$25=4,VLOOKUP($A121,'Henwood Reference'!$E$9:$R$320,10),(VLOOKUP($A121,PriceTableWeekend,3,0)+IF(BasisNumber&lt;&gt;1,VLOOKUP($A121,BasisTable,2,0),0)+M$1)/(1-M$2))</f>
        <v>49.086276089537897</v>
      </c>
      <c r="N121" s="156">
        <f>IF(Assumptions!$L$25=4,VLOOKUP($A121,'Henwood Reference'!$E$9:$R$320,10),(VLOOKUP($A121,PriceTableWeekend,4,0)+IF(BasisNumber&lt;&gt;1,VLOOKUP($A121,BasisTable,2,0),0)+N$1)/(1-N$2))</f>
        <v>49.086276089537897</v>
      </c>
      <c r="O121" s="154">
        <f>IF(Assumptions!$L$25=4,VLOOKUP($A121,'Henwood Reference'!$E$9:$R$320,11),(VLOOKUP($A121,PriceTableWeekend,6,0)+IF(BasisNumber&lt;&gt;1,VLOOKUP($A121,BasisTable,3,0),0)+O$1)/(1-O$2))</f>
        <v>30.511310823211907</v>
      </c>
      <c r="P121" s="154">
        <f>IF(Assumptions!$L$25=4,VLOOKUP($A121,'Henwood Reference'!$E$9:$R$320,11),(VLOOKUP($A121,PriceTableWeekend,7,0)+IF(BasisNumber&lt;&gt;1,VLOOKUP($A121,BasisTable,3,0),0)+P$1)/(1-P$2))</f>
        <v>30.511310823211907</v>
      </c>
      <c r="Q121" s="156">
        <f>IF(Assumptions!$L$25=4,VLOOKUP($A121,'Henwood Reference'!$E$9:$R$320,11),(VLOOKUP($A121,PriceTableWeekend,8,0)+IF(BasisNumber&lt;&gt;1,VLOOKUP($A121,BasisTable,3,0),0)+Q$1)/(1-Q$2))</f>
        <v>30.511310823211907</v>
      </c>
      <c r="R121" s="154">
        <f>IF(Assumptions!$L$25=4,VLOOKUP($A121,'Henwood Reference'!$E$9:$R$320,11),(VLOOKUP($A121,PriceTable,6,0)+IF(BasisNumber&lt;&gt;1,VLOOKUP($A121,BasisTable,3,0),0)+R$1)/(1-R$2))</f>
        <v>30.511310823211907</v>
      </c>
      <c r="S121" s="154">
        <f>IF(Assumptions!$L$25=4,VLOOKUP($A121,'Henwood Reference'!$E$9:$R$320,11),(VLOOKUP($A121,PriceTable,7,0)+IF(BasisNumber&lt;&gt;1,VLOOKUP($A121,BasisTable,3,0),0)+S$1)/(1-S$2))</f>
        <v>30.511310823211907</v>
      </c>
      <c r="T121" s="155">
        <f>IF(Assumptions!$L$25=4,VLOOKUP($A121,'Henwood Reference'!$E$9:$R$320,11),(VLOOKUP($A121,PriceTable,8,0)+IF(BasisNumber&lt;&gt;1,VLOOKUP($A121,BasisTable,3,0),0)+T$1)/(1-T$2))</f>
        <v>30.511310823211907</v>
      </c>
      <c r="U121" s="173">
        <f t="shared" si="298"/>
        <v>0.125</v>
      </c>
      <c r="V121" s="173">
        <f t="shared" si="299"/>
        <v>0.13500000000000001</v>
      </c>
      <c r="W121" s="174">
        <f t="shared" si="300"/>
        <v>0.14499999999999999</v>
      </c>
      <c r="X121" s="173">
        <f t="shared" si="301"/>
        <v>0.125</v>
      </c>
      <c r="Y121" s="173">
        <f t="shared" si="302"/>
        <v>0.13500000000000001</v>
      </c>
      <c r="Z121" s="174">
        <f t="shared" si="303"/>
        <v>0.14499999999999999</v>
      </c>
      <c r="AA121" s="173">
        <f t="shared" si="304"/>
        <v>0.09</v>
      </c>
      <c r="AB121" s="173">
        <f t="shared" si="305"/>
        <v>0.11</v>
      </c>
      <c r="AC121" s="174">
        <f t="shared" si="306"/>
        <v>0.13</v>
      </c>
      <c r="AD121" s="173">
        <f t="shared" si="307"/>
        <v>0.09</v>
      </c>
      <c r="AE121" s="173">
        <f t="shared" si="308"/>
        <v>0.11</v>
      </c>
      <c r="AF121" s="174">
        <f t="shared" si="309"/>
        <v>0.13</v>
      </c>
      <c r="AG121" s="173">
        <f t="shared" si="310"/>
        <v>-0.25</v>
      </c>
      <c r="AH121" s="173">
        <f t="shared" si="311"/>
        <v>0.65</v>
      </c>
      <c r="AI121" s="174">
        <f t="shared" si="312"/>
        <v>0.25</v>
      </c>
      <c r="AJ121" s="173">
        <f t="shared" si="313"/>
        <v>-0.25</v>
      </c>
      <c r="AK121" s="173">
        <f t="shared" si="314"/>
        <v>0.65</v>
      </c>
      <c r="AL121" s="174">
        <f t="shared" si="315"/>
        <v>0.25</v>
      </c>
      <c r="AM121" s="173">
        <f t="shared" si="316"/>
        <v>-0.01</v>
      </c>
      <c r="AN121" s="173">
        <f t="shared" si="317"/>
        <v>0.16</v>
      </c>
      <c r="AO121" s="174">
        <f t="shared" si="318"/>
        <v>0.01</v>
      </c>
      <c r="AP121" s="173">
        <f t="shared" si="319"/>
        <v>-0.01</v>
      </c>
      <c r="AQ121" s="173">
        <f t="shared" si="320"/>
        <v>0.16</v>
      </c>
      <c r="AR121" s="175">
        <f t="shared" si="321"/>
        <v>0.01</v>
      </c>
      <c r="AS121" s="521">
        <f t="shared" si="357"/>
        <v>0.5</v>
      </c>
      <c r="AT121" s="349">
        <f t="shared" si="355"/>
        <v>21</v>
      </c>
      <c r="AU121" s="159">
        <f t="shared" si="240"/>
        <v>5</v>
      </c>
      <c r="AV121" s="159">
        <f t="shared" si="241"/>
        <v>4</v>
      </c>
      <c r="AW121" s="159">
        <f t="shared" si="358"/>
        <v>1</v>
      </c>
      <c r="AX121" s="15">
        <f t="shared" si="356"/>
        <v>31</v>
      </c>
      <c r="AY121" s="607">
        <f>IF(E121="",0,MIN((1-(1-VLOOKUP(B121,MAIN!$AA$7:$AM$28,C121+1))*(1-VLOOKUP(B121,MAIN!$AA$33:$AM$54,C121+1))),1))</f>
        <v>3.0000000000000027E-2</v>
      </c>
      <c r="AZ121" s="337">
        <v>48888</v>
      </c>
      <c r="BA121" s="509">
        <v>11640</v>
      </c>
      <c r="BB121" s="509">
        <v>11640</v>
      </c>
      <c r="BC121" s="511">
        <v>36084</v>
      </c>
      <c r="BD121" s="153">
        <v>0.96999999638646839</v>
      </c>
      <c r="BE121" s="474">
        <v>0.96999999638646839</v>
      </c>
      <c r="BF121" s="474">
        <v>0.96999999638646839</v>
      </c>
      <c r="BG121" s="515">
        <v>0.9699999927729368</v>
      </c>
      <c r="BH121" s="262">
        <v>195552</v>
      </c>
      <c r="BI121" s="509">
        <v>46560</v>
      </c>
      <c r="BJ121" s="509">
        <v>46560</v>
      </c>
      <c r="BK121" s="511">
        <v>144336</v>
      </c>
      <c r="BL121" s="153">
        <v>0.96999999638646839</v>
      </c>
      <c r="BM121" s="474">
        <v>0.96999999638646839</v>
      </c>
      <c r="BN121" s="474">
        <v>0.96999999638646839</v>
      </c>
      <c r="BO121" s="474">
        <v>0.9699999927729368</v>
      </c>
      <c r="BP121" s="261">
        <f t="shared" si="324"/>
        <v>72168</v>
      </c>
      <c r="BQ121" s="578">
        <f t="shared" si="325"/>
        <v>108252</v>
      </c>
      <c r="BR121" s="259">
        <f t="shared" si="326"/>
        <v>288672</v>
      </c>
      <c r="BS121" s="578">
        <f t="shared" si="327"/>
        <v>433008</v>
      </c>
      <c r="BT121" s="216">
        <f t="shared" si="328"/>
        <v>8.7173169062286107</v>
      </c>
      <c r="BU121" s="218">
        <f t="shared" si="243"/>
        <v>49.086275906677272</v>
      </c>
      <c r="BV121" s="216">
        <f t="shared" si="244"/>
        <v>49.086275906677272</v>
      </c>
      <c r="BW121" s="216">
        <f t="shared" si="245"/>
        <v>30.511310709548418</v>
      </c>
      <c r="BX121" s="216">
        <f t="shared" si="329"/>
        <v>30.511310595884925</v>
      </c>
      <c r="BY121" s="216">
        <f t="shared" si="246"/>
        <v>46.090313778108104</v>
      </c>
      <c r="BZ121" s="216">
        <f t="shared" si="247"/>
        <v>40.897312717367043</v>
      </c>
      <c r="CA121" s="264">
        <f t="shared" si="248"/>
        <v>49.086275906677272</v>
      </c>
      <c r="CB121" s="216">
        <f t="shared" si="249"/>
        <v>49.086275906677272</v>
      </c>
      <c r="CC121" s="216">
        <f t="shared" si="250"/>
        <v>30.511310709548418</v>
      </c>
      <c r="CD121" s="216">
        <f t="shared" si="330"/>
        <v>30.511310595884925</v>
      </c>
      <c r="CE121" s="216">
        <f t="shared" si="251"/>
        <v>46.090313778108104</v>
      </c>
      <c r="CF121" s="571">
        <f t="shared" si="252"/>
        <v>40.897312717367043</v>
      </c>
      <c r="CG121" s="573">
        <f t="shared" si="253"/>
        <v>0.13500000000000001</v>
      </c>
      <c r="CH121" s="219">
        <f t="shared" si="254"/>
        <v>0.13500000000000001</v>
      </c>
      <c r="CI121" s="219">
        <f t="shared" si="255"/>
        <v>0.11</v>
      </c>
      <c r="CJ121" s="219">
        <f t="shared" si="256"/>
        <v>0.13236487773959421</v>
      </c>
      <c r="CK121" s="219">
        <f t="shared" si="257"/>
        <v>0.13236487773959421</v>
      </c>
      <c r="CL121" s="219">
        <f t="shared" si="258"/>
        <v>0.11</v>
      </c>
      <c r="CM121" s="219">
        <f t="shared" si="259"/>
        <v>0.11602272462014429</v>
      </c>
      <c r="CN121" s="569">
        <f t="shared" si="260"/>
        <v>0.11602272462014429</v>
      </c>
      <c r="CO121" s="264">
        <f t="shared" si="343"/>
        <v>22.641830450806037</v>
      </c>
      <c r="CP121" s="216">
        <f t="shared" si="331"/>
        <v>22.641830450806037</v>
      </c>
      <c r="CQ121" s="216">
        <f t="shared" ca="1" si="361"/>
        <v>22.641830450806037</v>
      </c>
      <c r="CR121" s="216">
        <f t="shared" ca="1" si="362"/>
        <v>22.641830450806037</v>
      </c>
      <c r="CS121" s="1626">
        <f t="shared" ca="1" si="363"/>
        <v>22.641830450806037</v>
      </c>
      <c r="CT121" s="216">
        <f t="shared" si="332"/>
        <v>22.641830450806037</v>
      </c>
      <c r="CU121" s="575">
        <f t="shared" si="261"/>
        <v>0.16</v>
      </c>
      <c r="CV121" s="154">
        <f t="shared" si="262"/>
        <v>0.5</v>
      </c>
      <c r="CW121" s="216">
        <f>IF(OR($BQ121,$BS121),SpreadOptPowerMargin,0)*((1+Assumptions!$C$26)^($B121-YEAR(Assumptions!$C$17)))</f>
        <v>2.0270923546752</v>
      </c>
      <c r="CX121" s="216">
        <f>IF(OR($BQ121,$BS121),SpreadOptPowerMargin,0)*((1+Assumptions!$C$26)^($B121-YEAR(Assumptions!$C$17)))</f>
        <v>2.0270923546752</v>
      </c>
      <c r="CY121" s="216">
        <f>IF(OR($BQ121,$BS121),SpreadOptPowerMargin,0)*((1+Assumptions!$C$26)^($B121-YEAR(Assumptions!$C$17)))</f>
        <v>2.0270923546752</v>
      </c>
      <c r="CZ121" s="216">
        <f>IF(OR($BQ121,$BS121),SpreadOptPowerMargin,0)*((1+Assumptions!$C$26)^($B121-YEAR(Assumptions!$C$17)))</f>
        <v>2.0270923546752</v>
      </c>
      <c r="DA121" s="440">
        <f t="shared" si="263"/>
        <v>2.0270923546752</v>
      </c>
      <c r="DB121" s="479">
        <f t="shared" si="264"/>
        <v>0.13500000000000001</v>
      </c>
      <c r="DC121" s="479">
        <f t="shared" si="265"/>
        <v>0.13500000000000001</v>
      </c>
      <c r="DD121" s="479">
        <f t="shared" si="266"/>
        <v>0.11</v>
      </c>
      <c r="DE121" s="479">
        <f t="shared" si="267"/>
        <v>0.11</v>
      </c>
      <c r="DF121" s="479">
        <f t="shared" si="268"/>
        <v>0.11602272462014429</v>
      </c>
      <c r="DG121" s="574">
        <f t="shared" si="269"/>
        <v>0.11602272462014429</v>
      </c>
      <c r="DH121" s="216">
        <f t="shared" si="270"/>
        <v>24.725861896430981</v>
      </c>
      <c r="DI121" s="216">
        <f t="shared" si="271"/>
        <v>24.725861896430981</v>
      </c>
      <c r="DJ121" s="216">
        <f t="shared" ca="1" si="364"/>
        <v>7.8175100252856815</v>
      </c>
      <c r="DK121" s="216">
        <f t="shared" ca="1" si="365"/>
        <v>7.8175099374704793</v>
      </c>
      <c r="DL121" s="216">
        <f t="shared" ca="1" si="366"/>
        <v>16.844181757724588</v>
      </c>
      <c r="DM121" s="216"/>
      <c r="DN121" s="216"/>
      <c r="DO121" s="216"/>
      <c r="DP121" s="216"/>
      <c r="DQ121" s="216"/>
      <c r="DR121" s="216"/>
      <c r="DS121" s="216"/>
      <c r="DT121" s="216"/>
      <c r="DU121" s="216"/>
      <c r="DV121" s="216"/>
      <c r="DW121" s="1371">
        <f t="shared" si="272"/>
        <v>7.8175100252856815</v>
      </c>
      <c r="DX121" s="216">
        <f t="shared" si="273"/>
        <v>7.8175099374704793</v>
      </c>
      <c r="DY121" s="440">
        <f t="shared" si="274"/>
        <v>17.271642225041425</v>
      </c>
      <c r="DZ121" s="180">
        <f t="shared" si="275"/>
        <v>1208797.9363927178</v>
      </c>
      <c r="EA121" s="180">
        <f t="shared" si="276"/>
        <v>287809.03247445665</v>
      </c>
      <c r="EB121" s="180">
        <f t="shared" ca="1" si="367"/>
        <v>90995.816694325331</v>
      </c>
      <c r="EC121" s="180">
        <f t="shared" ca="1" si="368"/>
        <v>282087.02858368476</v>
      </c>
      <c r="ED121" s="180">
        <f t="shared" ca="1" si="369"/>
        <v>1823416.3636372022</v>
      </c>
      <c r="EE121" s="581">
        <f t="shared" si="277"/>
        <v>1193715.5584112718</v>
      </c>
      <c r="EF121" s="554">
        <f t="shared" si="278"/>
        <v>284217.99009792187</v>
      </c>
      <c r="EG121" s="554">
        <f t="shared" ca="1" si="370"/>
        <v>68005.395203341977</v>
      </c>
      <c r="EH121" s="554">
        <f t="shared" ca="1" si="371"/>
        <v>210816.72102892667</v>
      </c>
      <c r="EI121" s="561">
        <f t="shared" ca="1" si="279"/>
        <v>1756755.6647414623</v>
      </c>
      <c r="EJ121" s="581">
        <f t="shared" si="333"/>
        <v>15082.377981445985</v>
      </c>
      <c r="EK121" s="554">
        <f t="shared" si="334"/>
        <v>3591.0423765347805</v>
      </c>
      <c r="EL121" s="554">
        <f t="shared" ca="1" si="372"/>
        <v>22990.421490983354</v>
      </c>
      <c r="EM121" s="554">
        <f t="shared" ca="1" si="373"/>
        <v>71270.307554758096</v>
      </c>
      <c r="EN121" s="561">
        <f t="shared" ca="1" si="374"/>
        <v>66660.698895739857</v>
      </c>
      <c r="EO121" s="180">
        <f t="shared" si="280"/>
        <v>4835191.745570871</v>
      </c>
      <c r="EP121" s="180">
        <f t="shared" si="281"/>
        <v>1151236.1298978266</v>
      </c>
      <c r="EQ121" s="180">
        <f t="shared" si="282"/>
        <v>363983.26677730132</v>
      </c>
      <c r="ER121" s="180">
        <f t="shared" si="283"/>
        <v>1128348.114334739</v>
      </c>
      <c r="ES121" s="180">
        <f t="shared" si="284"/>
        <v>7478759.2565807374</v>
      </c>
      <c r="ET121" s="1482">
        <f t="shared" ca="1" si="375"/>
        <v>4774862.2336450871</v>
      </c>
      <c r="EU121" s="180">
        <f t="shared" ca="1" si="376"/>
        <v>1136871.9603916875</v>
      </c>
      <c r="EV121" s="180">
        <f t="shared" ca="1" si="377"/>
        <v>272021.58081336791</v>
      </c>
      <c r="EW121" s="180">
        <f t="shared" ca="1" si="378"/>
        <v>843266.88411570666</v>
      </c>
      <c r="EX121" s="555">
        <f t="shared" ca="1" si="351"/>
        <v>7027022.6589658484</v>
      </c>
      <c r="EY121" s="180">
        <f t="shared" ca="1" si="379"/>
        <v>60329.51192578394</v>
      </c>
      <c r="EZ121" s="180">
        <f t="shared" ca="1" si="380"/>
        <v>14364.169506139122</v>
      </c>
      <c r="FA121" s="180">
        <f t="shared" ca="1" si="381"/>
        <v>91961.685963933414</v>
      </c>
      <c r="FB121" s="180">
        <f t="shared" ca="1" si="382"/>
        <v>285081.23021903238</v>
      </c>
      <c r="FC121" s="180">
        <f t="shared" ca="1" si="383"/>
        <v>451736.59761488903</v>
      </c>
      <c r="FD121" s="262">
        <f>IF(AX121,IF(VLOOKUP(C121,MAIN!$L$17:$M$28,2)="Yes",VLOOKUP(CALC!B121,MAIN!$H$17:$I$20,2),0),0)</f>
        <v>0</v>
      </c>
      <c r="FE121" s="623">
        <f t="shared" si="285"/>
        <v>0</v>
      </c>
      <c r="FF121" s="535">
        <f t="shared" si="286"/>
        <v>0</v>
      </c>
      <c r="FG121" s="535">
        <f t="shared" si="287"/>
        <v>0</v>
      </c>
      <c r="FH121" s="624">
        <f t="shared" si="288"/>
        <v>0</v>
      </c>
      <c r="FI121" s="632">
        <f>IF(AX121,VLOOKUP(CALC!B121,MAIN!$H$17:$K$20,4),0)</f>
        <v>0</v>
      </c>
      <c r="FJ121" s="535">
        <f t="shared" si="289"/>
        <v>0</v>
      </c>
      <c r="FK121" s="648">
        <f t="shared" si="335"/>
        <v>0</v>
      </c>
      <c r="FL121" s="530">
        <f t="shared" ca="1" si="384"/>
        <v>0</v>
      </c>
      <c r="FM121" s="530">
        <f t="shared" ca="1" si="385"/>
        <v>0</v>
      </c>
      <c r="FN121" s="530">
        <f t="shared" ca="1" si="386"/>
        <v>0</v>
      </c>
      <c r="FO121" s="622">
        <f t="shared" ca="1" si="387"/>
        <v>0</v>
      </c>
      <c r="FP121" s="530">
        <f t="shared" ca="1" si="388"/>
        <v>0</v>
      </c>
      <c r="FQ121" s="530">
        <f t="shared" ca="1" si="389"/>
        <v>0</v>
      </c>
      <c r="FR121" s="530">
        <f t="shared" ca="1" si="390"/>
        <v>0</v>
      </c>
      <c r="FS121" s="625">
        <f t="shared" ca="1" si="391"/>
        <v>0</v>
      </c>
      <c r="FT121" s="640">
        <f ca="1">IF(AND(Assumptions!$H$71="Yes",A121&gt;=Assumptions!$H$72,A121&lt;=Assumptions!$H$73),0,IF(AND($A121&gt;=Assumptions!$C$17,$A121&lt;=Assumptions!$C$18),MAX(AZ121*(1+VLOOKUP($C121,WeatherCapacityAdjustment,2))-FL121,0),0))</f>
        <v>48888</v>
      </c>
      <c r="FU121" s="530">
        <f ca="1">IF(AND(Assumptions!$H$71="Yes",A121&gt;=Assumptions!$H$72,A121&lt;=Assumptions!$H$73),0,IF(AND($A121&gt;=Assumptions!$C$17,$A121&lt;=Assumptions!$C$18),MAX(BA121*(1+VLOOKUP($C121,WeatherCapacityAdjustment,2))-FM121,0),0))</f>
        <v>11640</v>
      </c>
      <c r="FV121" s="530">
        <f ca="1">IF(AND(Assumptions!$H$71="Yes",A121&gt;=Assumptions!$H$72,A121&lt;=Assumptions!$H$73),0,IF(AND($A121&gt;=Assumptions!$C$17,$A121&lt;=Assumptions!$C$18),MAX(BB121*(1+VLOOKUP($C121,WeatherCapacityAdjustment,2))-FN121,0),0))</f>
        <v>11640</v>
      </c>
      <c r="FW121" s="622">
        <f ca="1">IF(AND(Assumptions!$H$71="Yes",A121&gt;=Assumptions!$H$72,A121&lt;=Assumptions!$H$73),0,IF(AND($A121&gt;=Assumptions!$C$17,$A121&lt;=Assumptions!$C$18),MAX(BC121*(1+VLOOKUP($C121,WeatherCapacityAdjustment,3))-FO121,0),0))</f>
        <v>36084</v>
      </c>
      <c r="FX121" s="621">
        <f ca="1">IF(AND(Assumptions!$H$71="Yes",A121&gt;=Assumptions!$H$72,A121&lt;=Assumptions!$H$73),0,IF(ET121&gt;0,MAX(BH121*(1+VLOOKUP($C121,WeatherCapacityAdjustment,2))-FP121,0),0))</f>
        <v>195552</v>
      </c>
      <c r="FY121" s="530">
        <f ca="1">IF(AND(Assumptions!$H$71="Yes",A121&gt;=Assumptions!$H$72,A121&lt;=Assumptions!$H$73),0,IF(EU121&gt;0,MAX(BI121*(1+VLOOKUP($C121,WeatherCapacityAdjustment,3))-FQ121,0),0))</f>
        <v>46560</v>
      </c>
      <c r="FZ121" s="530">
        <f ca="1">IF(AND(Assumptions!$H$71="Yes",A121&gt;=Assumptions!$H$72,A121&lt;=Assumptions!$H$73),0,IF(EV121&gt;0,MAX(BJ121*(1+VLOOKUP($C121,WeatherCapacityAdjustment,2))-FR121,0),0))</f>
        <v>46560</v>
      </c>
      <c r="GA121" s="622">
        <f ca="1">IF(AND(Assumptions!$H$71="Yes",A121&gt;=Assumptions!$H$72,A121&lt;=Assumptions!$H$73),0,IF(EW121&gt;0,MAX(BK121*(1+VLOOKUP($C121,WeatherCapacityAdjustment,2))-FS121,0),0))</f>
        <v>144336</v>
      </c>
      <c r="GB121" s="530">
        <f t="shared" ca="1" si="290"/>
        <v>541260</v>
      </c>
      <c r="GC121" s="545">
        <f t="shared" ca="1" si="291"/>
        <v>40.897312717367043</v>
      </c>
      <c r="GD121" s="530">
        <f t="shared" ca="1" si="392"/>
        <v>22136079.481402088</v>
      </c>
      <c r="GE121" s="1485">
        <f t="shared" ca="1" si="393"/>
        <v>776889.96335999994</v>
      </c>
      <c r="GF121" s="1776">
        <f t="shared" ca="1" si="394"/>
        <v>3107559.8534399997</v>
      </c>
      <c r="GG121" s="545">
        <f t="shared" si="359"/>
        <v>3.1549170996625233</v>
      </c>
      <c r="GH121" s="622">
        <f t="shared" ca="1" si="360"/>
        <v>12255117.149803275</v>
      </c>
      <c r="GI121" s="621">
        <f t="shared" ca="1" si="336"/>
        <v>541260</v>
      </c>
      <c r="GJ121" s="638">
        <f t="shared" si="292"/>
        <v>2.0270923546752</v>
      </c>
      <c r="GK121" s="625">
        <f t="shared" ca="1" si="342"/>
        <v>1097184.0078914987</v>
      </c>
      <c r="GL121" s="640">
        <f t="shared" ca="1" si="395"/>
        <v>0</v>
      </c>
      <c r="GM121" s="530">
        <f t="shared" ca="1" si="396"/>
        <v>0</v>
      </c>
      <c r="GN121" s="530">
        <f t="shared" ca="1" si="397"/>
        <v>0</v>
      </c>
      <c r="GO121" s="622">
        <f t="shared" ca="1" si="398"/>
        <v>0</v>
      </c>
      <c r="GP121" s="530">
        <f t="shared" ca="1" si="293"/>
        <v>0</v>
      </c>
      <c r="GQ121" s="545">
        <f t="shared" ca="1" si="294"/>
        <v>0</v>
      </c>
      <c r="GR121" s="625">
        <f t="shared" ca="1" si="399"/>
        <v>0</v>
      </c>
      <c r="GS121" s="640">
        <f>IF($A121&gt;=BegDate,Assumptions!$C$56*24*($A122-$A121)*(1-VLOOKUP($B121,MAIN!$AA$7:$AM$28,$C121+1))*(1-VLOOKUP($B121,MAIN!$AA$33:$AM$54,$C121+1)),0)*80/168</f>
        <v>257742.85714285713</v>
      </c>
      <c r="GT121" s="1715">
        <f t="shared" si="337"/>
        <v>49.086276089537897</v>
      </c>
      <c r="GU121" s="1715">
        <f>IF($A121&gt;=BegDate,VLOOKUP($A121,GasTable,13)+Assumptions!$C$58,0)</f>
        <v>3.1549170996625233</v>
      </c>
      <c r="GV121" s="1715">
        <f>GU121*Assumptions!$C$57/1000</f>
        <v>22.873148972553295</v>
      </c>
      <c r="GW121" s="625">
        <f>IF(Assumptions!$C$60="Hourly",MAX(0,GS121*(GT121-GV121)),GS121*(GT121-GV121))</f>
        <v>6756246.277780517</v>
      </c>
      <c r="GX121" s="640">
        <f>IF($A121&gt;=BegDate,Assumptions!$C$56*24*($A122-$A121)*(1-VLOOKUP($B121,MAIN!$AA$7:$AM$28,$C121+1))*(1-VLOOKUP($B121,MAIN!$AA$33:$AM$54,$C121+1)),0)*16/168</f>
        <v>51548.571428571428</v>
      </c>
      <c r="GY121" s="1715">
        <f t="shared" si="338"/>
        <v>49.086276089537897</v>
      </c>
      <c r="GZ121" s="1715">
        <f>IF($A121&gt;=BegDate,VLOOKUP($A121,GasTable,13)+Assumptions!$C$58,0)</f>
        <v>3.1549170996625233</v>
      </c>
      <c r="HA121" s="1715">
        <f>GZ121*Assumptions!$C$57/1000</f>
        <v>22.873148972553295</v>
      </c>
      <c r="HB121" s="625">
        <f>IF(Assumptions!$C$60="Hourly",MAX(0,GX121*(GY121-HA121)),GX121*(GY121-HA121))</f>
        <v>1351249.2555561033</v>
      </c>
      <c r="HC121" s="640">
        <f>IF($A121&gt;=BegDate,Assumptions!$C$56*24*($A122-$A121)*(1-VLOOKUP($B121,MAIN!$AA$7:$AM$28,$C121+1))*(1-VLOOKUP($B121,MAIN!$AA$33:$AM$54,$C121+1)),0)*16/168</f>
        <v>51548.571428571428</v>
      </c>
      <c r="HD121" s="1715">
        <f t="shared" si="339"/>
        <v>30.511310823211907</v>
      </c>
      <c r="HE121" s="1715">
        <f>IF($A121&gt;=BegDate,VLOOKUP($A121,GasTable,13)+Assumptions!$C$58,0)</f>
        <v>3.1549170996625233</v>
      </c>
      <c r="HF121" s="1715">
        <f>HE121*Assumptions!$C$57/1000</f>
        <v>22.873148972553295</v>
      </c>
      <c r="HG121" s="625">
        <f>IF(Assumptions!$C$60="Hourly",MAX(0,HC121*(HD121-HF121)),HC121*(HD121-HF121))</f>
        <v>393736.33174166479</v>
      </c>
      <c r="HH121" s="640">
        <f>IF($A121&gt;=BegDate,Assumptions!$C$56*24*($A122-$A121)*(1-VLOOKUP($B121,MAIN!$AA$7:$AM$28,$C121+1))*(1-VLOOKUP($B121,MAIN!$AA$33:$AM$54,$C121+1)),0)*56/168</f>
        <v>180420</v>
      </c>
      <c r="HI121" s="1715">
        <f t="shared" si="340"/>
        <v>30.511310823211907</v>
      </c>
      <c r="HJ121" s="1715">
        <f>IF($A121&gt;=BegDate,VLOOKUP($A121,GasTable,13)+Assumptions!$C$58,0)</f>
        <v>3.1549170996625233</v>
      </c>
      <c r="HK121" s="1715">
        <f>HJ121*Assumptions!$C$57/1000</f>
        <v>22.873148972553295</v>
      </c>
      <c r="HL121" s="625">
        <f>IF(Assumptions!$C$60="Hourly",MAX(0,HH121*(HI121-HK121)),HH121*(HI121-HK121))</f>
        <v>1378077.1610958269</v>
      </c>
      <c r="HM121" s="640">
        <f>IF(AND(Assumptions!$H$71="Yes",A121&gt;=Assumptions!$H$72,A121&lt;=Assumptions!$H$73),Assumptions!$H$74*Assumptions!$C$9*1000,0)</f>
        <v>0</v>
      </c>
      <c r="HN121" s="530"/>
      <c r="HO121" s="545"/>
      <c r="HP121" s="545"/>
      <c r="HQ121" s="545"/>
      <c r="HR121" s="545"/>
      <c r="HS121" s="545"/>
      <c r="HT121" s="545"/>
      <c r="HU121" s="545"/>
      <c r="HV121" s="545"/>
      <c r="HW121" s="545"/>
      <c r="HX121" s="545"/>
      <c r="HY121" s="545"/>
      <c r="HZ121" s="545"/>
      <c r="IA121" s="545"/>
      <c r="IB121" s="545"/>
      <c r="IC121" s="545"/>
      <c r="ID121" s="545"/>
      <c r="IE121" s="545"/>
      <c r="IF121" s="545"/>
      <c r="IG121" s="545"/>
      <c r="IH121" s="545"/>
      <c r="II121" s="1464"/>
      <c r="IJ121" s="1463"/>
      <c r="IK121" s="1463"/>
    </row>
    <row r="122" spans="1:245" ht="13.5" thickBot="1">
      <c r="A122" s="178">
        <f t="shared" si="295"/>
        <v>39845</v>
      </c>
      <c r="B122" s="349">
        <f t="shared" si="296"/>
        <v>2009</v>
      </c>
      <c r="C122" s="148">
        <f t="shared" si="352"/>
        <v>2</v>
      </c>
      <c r="D122" s="612" t="str">
        <f t="shared" si="297"/>
        <v/>
      </c>
      <c r="E122" s="610">
        <f t="shared" si="353"/>
        <v>39845</v>
      </c>
      <c r="F122" s="615">
        <f t="shared" si="354"/>
        <v>39872</v>
      </c>
      <c r="G122" s="1349">
        <v>0</v>
      </c>
      <c r="H122" s="152">
        <f t="shared" si="341"/>
        <v>1</v>
      </c>
      <c r="I122" s="154">
        <f>IF(Assumptions!$L$25=4,VLOOKUP($A122,'Henwood Reference'!$E$9:$R$320,10),(VLOOKUP($A122,PriceTable,2,0)+IF(BasisNumber&lt;&gt;1,VLOOKUP($A122,BasisTable,2,0),0)+I$1)/(1-I$2))</f>
        <v>42.779175058633648</v>
      </c>
      <c r="J122" s="154">
        <f>IF(Assumptions!$L$25=4,VLOOKUP($A122,'Henwood Reference'!$E$9:$R$320,10),(VLOOKUP($A122,PriceTable,3,0)+IF(BasisNumber&lt;&gt;1,VLOOKUP($A122,BasisTable,2,0),0)+J$1)/(1-J$2))</f>
        <v>42.779175058633648</v>
      </c>
      <c r="K122" s="154">
        <f>IF(Assumptions!$L$25=4,VLOOKUP($A122,'Henwood Reference'!$E$9:$R$320,10),(VLOOKUP($A122,PriceTable,4,0)+IF(BasisNumber&lt;&gt;1,VLOOKUP($A122,BasisTable,2,0),0)+K$1)/(1-K$2))</f>
        <v>42.779175058633648</v>
      </c>
      <c r="L122" s="474">
        <f>IF(Assumptions!$L$25=4,VLOOKUP($A122,'Henwood Reference'!$E$9:$R$320,10),(VLOOKUP($A122,PriceTableWeekend,2,0)+IF(BasisNumber&lt;&gt;1,VLOOKUP($A122,BasisTable,2,0),0)+L$1)/(1-L$2))</f>
        <v>42.779175058633648</v>
      </c>
      <c r="M122" s="154">
        <f>IF(Assumptions!$L$25=4,VLOOKUP($A122,'Henwood Reference'!$E$9:$R$320,10),(VLOOKUP($A122,PriceTableWeekend,3,0)+IF(BasisNumber&lt;&gt;1,VLOOKUP($A122,BasisTable,2,0),0)+M$1)/(1-M$2))</f>
        <v>42.779175058633648</v>
      </c>
      <c r="N122" s="156">
        <f>IF(Assumptions!$L$25=4,VLOOKUP($A122,'Henwood Reference'!$E$9:$R$320,10),(VLOOKUP($A122,PriceTableWeekend,4,0)+IF(BasisNumber&lt;&gt;1,VLOOKUP($A122,BasisTable,2,0),0)+N$1)/(1-N$2))</f>
        <v>42.779175058633648</v>
      </c>
      <c r="O122" s="154">
        <f>IF(Assumptions!$L$25=4,VLOOKUP($A122,'Henwood Reference'!$E$9:$R$320,11),(VLOOKUP($A122,PriceTableWeekend,6,0)+IF(BasisNumber&lt;&gt;1,VLOOKUP($A122,BasisTable,3,0),0)+O$1)/(1-O$2))</f>
        <v>27.017696717358305</v>
      </c>
      <c r="P122" s="154">
        <f>IF(Assumptions!$L$25=4,VLOOKUP($A122,'Henwood Reference'!$E$9:$R$320,11),(VLOOKUP($A122,PriceTableWeekend,7,0)+IF(BasisNumber&lt;&gt;1,VLOOKUP($A122,BasisTable,3,0),0)+P$1)/(1-P$2))</f>
        <v>27.017696717358305</v>
      </c>
      <c r="Q122" s="156">
        <f>IF(Assumptions!$L$25=4,VLOOKUP($A122,'Henwood Reference'!$E$9:$R$320,11),(VLOOKUP($A122,PriceTableWeekend,8,0)+IF(BasisNumber&lt;&gt;1,VLOOKUP($A122,BasisTable,3,0),0)+Q$1)/(1-Q$2))</f>
        <v>27.017696717358305</v>
      </c>
      <c r="R122" s="154">
        <f>IF(Assumptions!$L$25=4,VLOOKUP($A122,'Henwood Reference'!$E$9:$R$320,11),(VLOOKUP($A122,PriceTable,6,0)+IF(BasisNumber&lt;&gt;1,VLOOKUP($A122,BasisTable,3,0),0)+R$1)/(1-R$2))</f>
        <v>27.017696717358305</v>
      </c>
      <c r="S122" s="154">
        <f>IF(Assumptions!$L$25=4,VLOOKUP($A122,'Henwood Reference'!$E$9:$R$320,11),(VLOOKUP($A122,PriceTable,7,0)+IF(BasisNumber&lt;&gt;1,VLOOKUP($A122,BasisTable,3,0),0)+S$1)/(1-S$2))</f>
        <v>27.017696717358305</v>
      </c>
      <c r="T122" s="155">
        <f>IF(Assumptions!$L$25=4,VLOOKUP($A122,'Henwood Reference'!$E$9:$R$320,11),(VLOOKUP($A122,PriceTable,8,0)+IF(BasisNumber&lt;&gt;1,VLOOKUP($A122,BasisTable,3,0),0)+T$1)/(1-T$2))</f>
        <v>27.017696717358305</v>
      </c>
      <c r="U122" s="173">
        <f t="shared" si="298"/>
        <v>0.125</v>
      </c>
      <c r="V122" s="173">
        <f t="shared" si="299"/>
        <v>0.13500000000000001</v>
      </c>
      <c r="W122" s="174">
        <f t="shared" si="300"/>
        <v>0.14499999999999999</v>
      </c>
      <c r="X122" s="173">
        <f t="shared" si="301"/>
        <v>0.125</v>
      </c>
      <c r="Y122" s="173">
        <f t="shared" si="302"/>
        <v>0.13500000000000001</v>
      </c>
      <c r="Z122" s="174">
        <f t="shared" si="303"/>
        <v>0.14499999999999999</v>
      </c>
      <c r="AA122" s="173">
        <f t="shared" si="304"/>
        <v>0.09</v>
      </c>
      <c r="AB122" s="173">
        <f t="shared" si="305"/>
        <v>0.11</v>
      </c>
      <c r="AC122" s="174">
        <f t="shared" si="306"/>
        <v>0.13</v>
      </c>
      <c r="AD122" s="173">
        <f t="shared" si="307"/>
        <v>0.09</v>
      </c>
      <c r="AE122" s="173">
        <f t="shared" si="308"/>
        <v>0.11</v>
      </c>
      <c r="AF122" s="174">
        <f t="shared" si="309"/>
        <v>0.13</v>
      </c>
      <c r="AG122" s="173">
        <f t="shared" si="310"/>
        <v>-0.25</v>
      </c>
      <c r="AH122" s="173">
        <f t="shared" si="311"/>
        <v>0.65</v>
      </c>
      <c r="AI122" s="174">
        <f t="shared" si="312"/>
        <v>0.25</v>
      </c>
      <c r="AJ122" s="173">
        <f t="shared" si="313"/>
        <v>-0.25</v>
      </c>
      <c r="AK122" s="173">
        <f t="shared" si="314"/>
        <v>0.65</v>
      </c>
      <c r="AL122" s="174">
        <f t="shared" si="315"/>
        <v>0.25</v>
      </c>
      <c r="AM122" s="173">
        <f t="shared" si="316"/>
        <v>-0.01</v>
      </c>
      <c r="AN122" s="173">
        <f t="shared" si="317"/>
        <v>0.16</v>
      </c>
      <c r="AO122" s="174">
        <f t="shared" si="318"/>
        <v>0.01</v>
      </c>
      <c r="AP122" s="173">
        <f t="shared" si="319"/>
        <v>-0.01</v>
      </c>
      <c r="AQ122" s="173">
        <f t="shared" si="320"/>
        <v>0.16</v>
      </c>
      <c r="AR122" s="175">
        <f t="shared" si="321"/>
        <v>0.01</v>
      </c>
      <c r="AS122" s="521">
        <f t="shared" si="357"/>
        <v>0.5</v>
      </c>
      <c r="AT122" s="349">
        <f t="shared" si="355"/>
        <v>20</v>
      </c>
      <c r="AU122" s="159">
        <f t="shared" si="240"/>
        <v>4</v>
      </c>
      <c r="AV122" s="159">
        <f t="shared" si="241"/>
        <v>4</v>
      </c>
      <c r="AW122" s="159">
        <f t="shared" si="358"/>
        <v>0</v>
      </c>
      <c r="AX122" s="15">
        <f t="shared" si="356"/>
        <v>28</v>
      </c>
      <c r="AY122" s="607">
        <f>IF(E122="",0,MIN((1-(1-VLOOKUP(B122,MAIN!$AA$7:$AM$28,C122+1))*(1-VLOOKUP(B122,MAIN!$AA$33:$AM$54,C122+1))),1))</f>
        <v>3.0000000000000027E-2</v>
      </c>
      <c r="AZ122" s="337">
        <v>46560</v>
      </c>
      <c r="BA122" s="509">
        <v>9312</v>
      </c>
      <c r="BB122" s="509">
        <v>9312</v>
      </c>
      <c r="BC122" s="511">
        <v>32592</v>
      </c>
      <c r="BD122" s="153">
        <v>0.97</v>
      </c>
      <c r="BE122" s="474">
        <v>0.97</v>
      </c>
      <c r="BF122" s="474">
        <v>0.97</v>
      </c>
      <c r="BG122" s="515">
        <v>0.9699999927729368</v>
      </c>
      <c r="BH122" s="262">
        <v>186240</v>
      </c>
      <c r="BI122" s="509">
        <v>37248</v>
      </c>
      <c r="BJ122" s="509">
        <v>37248</v>
      </c>
      <c r="BK122" s="511">
        <v>130368</v>
      </c>
      <c r="BL122" s="153">
        <v>0.97</v>
      </c>
      <c r="BM122" s="474">
        <v>0.97</v>
      </c>
      <c r="BN122" s="474">
        <v>0.97</v>
      </c>
      <c r="BO122" s="474">
        <v>0.9699999927729368</v>
      </c>
      <c r="BP122" s="261">
        <f t="shared" si="324"/>
        <v>65184</v>
      </c>
      <c r="BQ122" s="578">
        <f t="shared" si="325"/>
        <v>97776</v>
      </c>
      <c r="BR122" s="259">
        <f t="shared" si="326"/>
        <v>260736</v>
      </c>
      <c r="BS122" s="578">
        <f t="shared" si="327"/>
        <v>391104</v>
      </c>
      <c r="BT122" s="216">
        <f t="shared" si="328"/>
        <v>8.8021902806297057</v>
      </c>
      <c r="BU122" s="218">
        <f t="shared" si="243"/>
        <v>42.779175058633648</v>
      </c>
      <c r="BV122" s="216">
        <f t="shared" si="244"/>
        <v>42.779175058633648</v>
      </c>
      <c r="BW122" s="216">
        <f t="shared" si="245"/>
        <v>27.017696717358305</v>
      </c>
      <c r="BX122" s="216">
        <f t="shared" si="329"/>
        <v>27.017696516060781</v>
      </c>
      <c r="BY122" s="216">
        <f t="shared" si="246"/>
        <v>40.527535295594312</v>
      </c>
      <c r="BZ122" s="216">
        <f t="shared" si="247"/>
        <v>36.024255702416468</v>
      </c>
      <c r="CA122" s="264">
        <f t="shared" si="248"/>
        <v>42.779175058633648</v>
      </c>
      <c r="CB122" s="216">
        <f t="shared" si="249"/>
        <v>42.779175058633648</v>
      </c>
      <c r="CC122" s="216">
        <f t="shared" si="250"/>
        <v>27.017696717358305</v>
      </c>
      <c r="CD122" s="216">
        <f t="shared" si="330"/>
        <v>27.017696516060781</v>
      </c>
      <c r="CE122" s="216">
        <f t="shared" si="251"/>
        <v>40.527535295594312</v>
      </c>
      <c r="CF122" s="571">
        <f t="shared" si="252"/>
        <v>36.024255702416468</v>
      </c>
      <c r="CG122" s="573">
        <f t="shared" si="253"/>
        <v>0.13500000000000001</v>
      </c>
      <c r="CH122" s="219">
        <f t="shared" si="254"/>
        <v>0.13500000000000001</v>
      </c>
      <c r="CI122" s="219">
        <f t="shared" si="255"/>
        <v>0.11</v>
      </c>
      <c r="CJ122" s="219">
        <f t="shared" si="256"/>
        <v>0.13265034891958602</v>
      </c>
      <c r="CK122" s="219">
        <f t="shared" si="257"/>
        <v>0.13265034891958602</v>
      </c>
      <c r="CL122" s="219">
        <f t="shared" si="258"/>
        <v>0.11</v>
      </c>
      <c r="CM122" s="219">
        <f t="shared" si="259"/>
        <v>0.11616799082911307</v>
      </c>
      <c r="CN122" s="569">
        <f t="shared" si="260"/>
        <v>0.11616799082911307</v>
      </c>
      <c r="CO122" s="264">
        <f t="shared" si="343"/>
        <v>20.885819131134436</v>
      </c>
      <c r="CP122" s="216">
        <f t="shared" si="331"/>
        <v>20.885819131134436</v>
      </c>
      <c r="CQ122" s="216">
        <f t="shared" ca="1" si="361"/>
        <v>20.885819131134436</v>
      </c>
      <c r="CR122" s="216">
        <f t="shared" ca="1" si="362"/>
        <v>20.885819131134436</v>
      </c>
      <c r="CS122" s="1626">
        <f t="shared" ca="1" si="363"/>
        <v>20.885819131134436</v>
      </c>
      <c r="CT122" s="216">
        <f t="shared" si="332"/>
        <v>20.885819131134436</v>
      </c>
      <c r="CU122" s="575">
        <f t="shared" si="261"/>
        <v>0.159</v>
      </c>
      <c r="CV122" s="154">
        <f t="shared" si="262"/>
        <v>0.5</v>
      </c>
      <c r="CW122" s="216">
        <f>IF(OR($BQ122,$BS122),SpreadOptPowerMargin,0)*((1+Assumptions!$C$26)^($B122-YEAR(Assumptions!$C$17)))</f>
        <v>2.0270923546752</v>
      </c>
      <c r="CX122" s="216">
        <f>IF(OR($BQ122,$BS122),SpreadOptPowerMargin,0)*((1+Assumptions!$C$26)^($B122-YEAR(Assumptions!$C$17)))</f>
        <v>2.0270923546752</v>
      </c>
      <c r="CY122" s="216">
        <f>IF(OR($BQ122,$BS122),SpreadOptPowerMargin,0)*((1+Assumptions!$C$26)^($B122-YEAR(Assumptions!$C$17)))</f>
        <v>2.0270923546752</v>
      </c>
      <c r="CZ122" s="216">
        <f>IF(OR($BQ122,$BS122),SpreadOptPowerMargin,0)*((1+Assumptions!$C$26)^($B122-YEAR(Assumptions!$C$17)))</f>
        <v>2.0270923546752</v>
      </c>
      <c r="DA122" s="440">
        <f t="shared" si="263"/>
        <v>2.0270923546752</v>
      </c>
      <c r="DB122" s="479">
        <f t="shared" si="264"/>
        <v>0.13500000000000001</v>
      </c>
      <c r="DC122" s="479">
        <f t="shared" si="265"/>
        <v>0.13500000000000001</v>
      </c>
      <c r="DD122" s="479">
        <f t="shared" si="266"/>
        <v>0.11</v>
      </c>
      <c r="DE122" s="479">
        <f t="shared" si="267"/>
        <v>0.11</v>
      </c>
      <c r="DF122" s="479">
        <f t="shared" si="268"/>
        <v>0.11616799082911307</v>
      </c>
      <c r="DG122" s="574">
        <f t="shared" si="269"/>
        <v>0.11616799082911307</v>
      </c>
      <c r="DH122" s="216">
        <f t="shared" si="270"/>
        <v>20.255618412770271</v>
      </c>
      <c r="DI122" s="216">
        <f t="shared" si="271"/>
        <v>20.255618412770271</v>
      </c>
      <c r="DJ122" s="216">
        <f t="shared" ca="1" si="364"/>
        <v>6.2470579380602187</v>
      </c>
      <c r="DK122" s="216">
        <f t="shared" ca="1" si="365"/>
        <v>6.2470577901207154</v>
      </c>
      <c r="DL122" s="216">
        <f t="shared" ca="1" si="366"/>
        <v>13.831168125721671</v>
      </c>
      <c r="DM122" s="216"/>
      <c r="DN122" s="216"/>
      <c r="DO122" s="216"/>
      <c r="DP122" s="216"/>
      <c r="DQ122" s="216"/>
      <c r="DR122" s="216"/>
      <c r="DS122" s="216"/>
      <c r="DT122" s="216"/>
      <c r="DU122" s="216"/>
      <c r="DV122" s="216"/>
      <c r="DW122" s="1371">
        <f t="shared" si="272"/>
        <v>6.2470579380602187</v>
      </c>
      <c r="DX122" s="216">
        <f t="shared" si="273"/>
        <v>6.2470577901207154</v>
      </c>
      <c r="DY122" s="440">
        <f t="shared" si="274"/>
        <v>14.251949588581367</v>
      </c>
      <c r="DZ122" s="180">
        <f t="shared" si="275"/>
        <v>943101.59329858387</v>
      </c>
      <c r="EA122" s="180">
        <f t="shared" si="276"/>
        <v>188620.31865971678</v>
      </c>
      <c r="EB122" s="180">
        <f t="shared" ca="1" si="367"/>
        <v>58172.603519216755</v>
      </c>
      <c r="EC122" s="180">
        <f t="shared" ca="1" si="368"/>
        <v>203604.10749561436</v>
      </c>
      <c r="ED122" s="180">
        <f t="shared" ca="1" si="369"/>
        <v>1352356.2946605622</v>
      </c>
      <c r="EE122" s="581">
        <f t="shared" si="277"/>
        <v>924973.23195068596</v>
      </c>
      <c r="EF122" s="554">
        <f t="shared" si="278"/>
        <v>184994.64639013718</v>
      </c>
      <c r="EG122" s="554">
        <f t="shared" ca="1" si="370"/>
        <v>38223.760076181199</v>
      </c>
      <c r="EH122" s="554">
        <f t="shared" ca="1" si="371"/>
        <v>133783.15370594527</v>
      </c>
      <c r="EI122" s="561">
        <f t="shared" ca="1" si="279"/>
        <v>1281974.7921229496</v>
      </c>
      <c r="EJ122" s="581">
        <f t="shared" si="333"/>
        <v>18128.36134789791</v>
      </c>
      <c r="EK122" s="554">
        <f t="shared" si="334"/>
        <v>3625.6722695796052</v>
      </c>
      <c r="EL122" s="554">
        <f t="shared" ca="1" si="372"/>
        <v>19948.843443035556</v>
      </c>
      <c r="EM122" s="554">
        <f t="shared" ca="1" si="373"/>
        <v>69820.953789669089</v>
      </c>
      <c r="EN122" s="561">
        <f t="shared" ca="1" si="374"/>
        <v>70381.50253761257</v>
      </c>
      <c r="EO122" s="180">
        <f t="shared" si="280"/>
        <v>3772406.3731943355</v>
      </c>
      <c r="EP122" s="180">
        <f t="shared" si="281"/>
        <v>754481.27463886712</v>
      </c>
      <c r="EQ122" s="180">
        <f t="shared" si="282"/>
        <v>232690.41407686702</v>
      </c>
      <c r="ER122" s="180">
        <f t="shared" si="283"/>
        <v>814416.42998245743</v>
      </c>
      <c r="ES122" s="180">
        <f t="shared" si="284"/>
        <v>5573994.4918925269</v>
      </c>
      <c r="ET122" s="1482">
        <f t="shared" ca="1" si="375"/>
        <v>3699892.9278027439</v>
      </c>
      <c r="EU122" s="180">
        <f t="shared" ca="1" si="376"/>
        <v>739978.5855605487</v>
      </c>
      <c r="EV122" s="180">
        <f t="shared" ca="1" si="377"/>
        <v>152895.0403047248</v>
      </c>
      <c r="EW122" s="180">
        <f t="shared" ca="1" si="378"/>
        <v>535132.61482378107</v>
      </c>
      <c r="EX122" s="555">
        <f t="shared" ca="1" si="351"/>
        <v>5127899.1684917985</v>
      </c>
      <c r="EY122" s="180">
        <f t="shared" ca="1" si="379"/>
        <v>72513.445391591638</v>
      </c>
      <c r="EZ122" s="180">
        <f t="shared" ca="1" si="380"/>
        <v>14502.689078318421</v>
      </c>
      <c r="FA122" s="180">
        <f t="shared" ca="1" si="381"/>
        <v>79795.373772142222</v>
      </c>
      <c r="FB122" s="180">
        <f t="shared" ca="1" si="382"/>
        <v>279283.81515867636</v>
      </c>
      <c r="FC122" s="180">
        <f t="shared" ca="1" si="383"/>
        <v>446095.3234007284</v>
      </c>
      <c r="FD122" s="262">
        <f>IF(AX122,IF(VLOOKUP(C122,MAIN!$L$17:$M$28,2)="Yes",VLOOKUP(CALC!B122,MAIN!$H$17:$I$20,2),0),0)</f>
        <v>0</v>
      </c>
      <c r="FE122" s="623">
        <f t="shared" si="285"/>
        <v>0</v>
      </c>
      <c r="FF122" s="535">
        <f t="shared" si="286"/>
        <v>0</v>
      </c>
      <c r="FG122" s="535">
        <f t="shared" si="287"/>
        <v>0</v>
      </c>
      <c r="FH122" s="624">
        <f t="shared" si="288"/>
        <v>0</v>
      </c>
      <c r="FI122" s="632">
        <f>IF(AX122,VLOOKUP(CALC!B122,MAIN!$H$17:$K$20,4),0)</f>
        <v>0</v>
      </c>
      <c r="FJ122" s="535">
        <f t="shared" si="289"/>
        <v>0</v>
      </c>
      <c r="FK122" s="648">
        <f t="shared" si="335"/>
        <v>0</v>
      </c>
      <c r="FL122" s="530">
        <f t="shared" ca="1" si="384"/>
        <v>0</v>
      </c>
      <c r="FM122" s="530">
        <f t="shared" ca="1" si="385"/>
        <v>0</v>
      </c>
      <c r="FN122" s="530">
        <f t="shared" ca="1" si="386"/>
        <v>0</v>
      </c>
      <c r="FO122" s="622">
        <f t="shared" ca="1" si="387"/>
        <v>0</v>
      </c>
      <c r="FP122" s="530">
        <f t="shared" ca="1" si="388"/>
        <v>0</v>
      </c>
      <c r="FQ122" s="530">
        <f t="shared" ca="1" si="389"/>
        <v>0</v>
      </c>
      <c r="FR122" s="530">
        <f t="shared" ca="1" si="390"/>
        <v>0</v>
      </c>
      <c r="FS122" s="625">
        <f t="shared" ca="1" si="391"/>
        <v>0</v>
      </c>
      <c r="FT122" s="640">
        <f ca="1">IF(AND(Assumptions!$H$71="Yes",A122&gt;=Assumptions!$H$72,A122&lt;=Assumptions!$H$73),0,IF(AND($A122&gt;=Assumptions!$C$17,$A122&lt;=Assumptions!$C$18),MAX(AZ122*(1+VLOOKUP($C122,WeatherCapacityAdjustment,2))-FL122,0),0))</f>
        <v>46560</v>
      </c>
      <c r="FU122" s="530">
        <f ca="1">IF(AND(Assumptions!$H$71="Yes",A122&gt;=Assumptions!$H$72,A122&lt;=Assumptions!$H$73),0,IF(AND($A122&gt;=Assumptions!$C$17,$A122&lt;=Assumptions!$C$18),MAX(BA122*(1+VLOOKUP($C122,WeatherCapacityAdjustment,2))-FM122,0),0))</f>
        <v>9312</v>
      </c>
      <c r="FV122" s="530">
        <f ca="1">IF(AND(Assumptions!$H$71="Yes",A122&gt;=Assumptions!$H$72,A122&lt;=Assumptions!$H$73),0,IF(AND($A122&gt;=Assumptions!$C$17,$A122&lt;=Assumptions!$C$18),MAX(BB122*(1+VLOOKUP($C122,WeatherCapacityAdjustment,2))-FN122,0),0))</f>
        <v>9312</v>
      </c>
      <c r="FW122" s="622">
        <f ca="1">IF(AND(Assumptions!$H$71="Yes",A122&gt;=Assumptions!$H$72,A122&lt;=Assumptions!$H$73),0,IF(AND($A122&gt;=Assumptions!$C$17,$A122&lt;=Assumptions!$C$18),MAX(BC122*(1+VLOOKUP($C122,WeatherCapacityAdjustment,3))-FO122,0),0))</f>
        <v>32592</v>
      </c>
      <c r="FX122" s="621">
        <f ca="1">IF(AND(Assumptions!$H$71="Yes",A122&gt;=Assumptions!$H$72,A122&lt;=Assumptions!$H$73),0,IF(ET122&gt;0,MAX(BH122*(1+VLOOKUP($C122,WeatherCapacityAdjustment,2))-FP122,0),0))</f>
        <v>186240</v>
      </c>
      <c r="FY122" s="530">
        <f ca="1">IF(AND(Assumptions!$H$71="Yes",A122&gt;=Assumptions!$H$72,A122&lt;=Assumptions!$H$73),0,IF(EU122&gt;0,MAX(BI122*(1+VLOOKUP($C122,WeatherCapacityAdjustment,3))-FQ122,0),0))</f>
        <v>37248</v>
      </c>
      <c r="FZ122" s="530">
        <f ca="1">IF(AND(Assumptions!$H$71="Yes",A122&gt;=Assumptions!$H$72,A122&lt;=Assumptions!$H$73),0,IF(EV122&gt;0,MAX(BJ122*(1+VLOOKUP($C122,WeatherCapacityAdjustment,2))-FR122,0),0))</f>
        <v>37248</v>
      </c>
      <c r="GA122" s="622">
        <f ca="1">IF(AND(Assumptions!$H$71="Yes",A122&gt;=Assumptions!$H$72,A122&lt;=Assumptions!$H$73),0,IF(EW122&gt;0,MAX(BK122*(1+VLOOKUP($C122,WeatherCapacityAdjustment,2))-FS122,0),0))</f>
        <v>130368</v>
      </c>
      <c r="GB122" s="530">
        <f t="shared" ca="1" si="290"/>
        <v>488880</v>
      </c>
      <c r="GC122" s="545">
        <f t="shared" ca="1" si="291"/>
        <v>36.024255702416468</v>
      </c>
      <c r="GD122" s="530">
        <f t="shared" ca="1" si="392"/>
        <v>17611538.127797365</v>
      </c>
      <c r="GE122" s="1485">
        <f t="shared" ca="1" si="393"/>
        <v>701994.52512000001</v>
      </c>
      <c r="GF122" s="1776">
        <f t="shared" ca="1" si="394"/>
        <v>2807978.10048</v>
      </c>
      <c r="GG122" s="545">
        <f t="shared" si="359"/>
        <v>2.9090424188375485</v>
      </c>
      <c r="GH122" s="622">
        <f t="shared" ca="1" si="360"/>
        <v>10210659.256829005</v>
      </c>
      <c r="GI122" s="621">
        <f t="shared" ca="1" si="336"/>
        <v>488880</v>
      </c>
      <c r="GJ122" s="638">
        <f t="shared" si="292"/>
        <v>2.0270923546752</v>
      </c>
      <c r="GK122" s="625">
        <f t="shared" ca="1" si="342"/>
        <v>991004.91035361181</v>
      </c>
      <c r="GL122" s="640">
        <f t="shared" ca="1" si="395"/>
        <v>0</v>
      </c>
      <c r="GM122" s="530">
        <f t="shared" ca="1" si="396"/>
        <v>0</v>
      </c>
      <c r="GN122" s="530">
        <f t="shared" ca="1" si="397"/>
        <v>0</v>
      </c>
      <c r="GO122" s="622">
        <f t="shared" ca="1" si="398"/>
        <v>0</v>
      </c>
      <c r="GP122" s="530">
        <f t="shared" ca="1" si="293"/>
        <v>0</v>
      </c>
      <c r="GQ122" s="545">
        <f t="shared" ca="1" si="294"/>
        <v>0</v>
      </c>
      <c r="GR122" s="625">
        <f t="shared" ca="1" si="399"/>
        <v>0</v>
      </c>
      <c r="GS122" s="640">
        <f>IF($A122&gt;=BegDate,Assumptions!$C$56*24*($A123-$A122)*(1-VLOOKUP($B122,MAIN!$AA$7:$AM$28,$C122+1))*(1-VLOOKUP($B122,MAIN!$AA$33:$AM$54,$C122+1)),0)*80/168</f>
        <v>232800</v>
      </c>
      <c r="GT122" s="1715">
        <f t="shared" si="337"/>
        <v>42.779175058633648</v>
      </c>
      <c r="GU122" s="1715">
        <f>IF($A122&gt;=BegDate,VLOOKUP($A122,GasTable,13)+Assumptions!$C$58,0)</f>
        <v>2.9090424188375485</v>
      </c>
      <c r="GV122" s="1715">
        <f>GU122*Assumptions!$C$57/1000</f>
        <v>21.090557536572224</v>
      </c>
      <c r="GW122" s="625">
        <f>IF(Assumptions!$C$60="Hourly",MAX(0,GS122*(GT122-GV122)),GS122*(GT122-GV122))</f>
        <v>5049110.1591358995</v>
      </c>
      <c r="GX122" s="640">
        <f>IF($A122&gt;=BegDate,Assumptions!$C$56*24*($A123-$A122)*(1-VLOOKUP($B122,MAIN!$AA$7:$AM$28,$C122+1))*(1-VLOOKUP($B122,MAIN!$AA$33:$AM$54,$C122+1)),0)*16/168</f>
        <v>46560</v>
      </c>
      <c r="GY122" s="1715">
        <f t="shared" si="338"/>
        <v>42.779175058633648</v>
      </c>
      <c r="GZ122" s="1715">
        <f>IF($A122&gt;=BegDate,VLOOKUP($A122,GasTable,13)+Assumptions!$C$58,0)</f>
        <v>2.9090424188375485</v>
      </c>
      <c r="HA122" s="1715">
        <f>GZ122*Assumptions!$C$57/1000</f>
        <v>21.090557536572224</v>
      </c>
      <c r="HB122" s="625">
        <f>IF(Assumptions!$C$60="Hourly",MAX(0,GX122*(GY122-HA122)),GX122*(GY122-HA122))</f>
        <v>1009822.0318271799</v>
      </c>
      <c r="HC122" s="640">
        <f>IF($A122&gt;=BegDate,Assumptions!$C$56*24*($A123-$A122)*(1-VLOOKUP($B122,MAIN!$AA$7:$AM$28,$C122+1))*(1-VLOOKUP($B122,MAIN!$AA$33:$AM$54,$C122+1)),0)*16/168</f>
        <v>46560</v>
      </c>
      <c r="HD122" s="1715">
        <f t="shared" si="339"/>
        <v>27.017696717358305</v>
      </c>
      <c r="HE122" s="1715">
        <f>IF($A122&gt;=BegDate,VLOOKUP($A122,GasTable,13)+Assumptions!$C$58,0)</f>
        <v>2.9090424188375485</v>
      </c>
      <c r="HF122" s="1715">
        <f>HE122*Assumptions!$C$57/1000</f>
        <v>21.090557536572224</v>
      </c>
      <c r="HG122" s="625">
        <f>IF(Assumptions!$C$60="Hourly",MAX(0,HC122*(HD122-HF122)),HC122*(HD122-HF122))</f>
        <v>275967.60025739996</v>
      </c>
      <c r="HH122" s="640">
        <f>IF($A122&gt;=BegDate,Assumptions!$C$56*24*($A123-$A122)*(1-VLOOKUP($B122,MAIN!$AA$7:$AM$28,$C122+1))*(1-VLOOKUP($B122,MAIN!$AA$33:$AM$54,$C122+1)),0)*56/168</f>
        <v>162960</v>
      </c>
      <c r="HI122" s="1715">
        <f t="shared" si="340"/>
        <v>27.017696717358305</v>
      </c>
      <c r="HJ122" s="1715">
        <f>IF($A122&gt;=BegDate,VLOOKUP($A122,GasTable,13)+Assumptions!$C$58,0)</f>
        <v>2.9090424188375485</v>
      </c>
      <c r="HK122" s="1715">
        <f>HJ122*Assumptions!$C$57/1000</f>
        <v>21.090557536572224</v>
      </c>
      <c r="HL122" s="625">
        <f>IF(Assumptions!$C$60="Hourly",MAX(0,HH122*(HI122-HK122)),HH122*(HI122-HK122))</f>
        <v>965886.60090089985</v>
      </c>
      <c r="HM122" s="640">
        <f>IF(AND(Assumptions!$H$71="Yes",A122&gt;=Assumptions!$H$72,A122&lt;=Assumptions!$H$73),Assumptions!$H$74*Assumptions!$C$9*1000,0)</f>
        <v>0</v>
      </c>
      <c r="HN122" s="530"/>
      <c r="HO122" s="545"/>
      <c r="HP122" s="545"/>
      <c r="HQ122" s="545"/>
      <c r="HR122" s="545"/>
      <c r="HS122" s="545"/>
      <c r="HT122" s="545"/>
      <c r="HU122" s="545"/>
      <c r="HV122" s="545"/>
      <c r="HW122" s="545"/>
      <c r="HX122" s="545"/>
      <c r="HY122" s="545"/>
      <c r="HZ122" s="545"/>
      <c r="IA122" s="545"/>
      <c r="IB122" s="545"/>
      <c r="IC122" s="545"/>
      <c r="ID122" s="545"/>
      <c r="IE122" s="545"/>
      <c r="IF122" s="545"/>
      <c r="IG122" s="545"/>
      <c r="IH122" s="545"/>
      <c r="II122" s="1464"/>
      <c r="IJ122" s="1463"/>
      <c r="IK122" s="1463"/>
    </row>
    <row r="123" spans="1:245">
      <c r="A123" s="177">
        <f t="shared" si="295"/>
        <v>39873</v>
      </c>
      <c r="B123" s="349">
        <f t="shared" si="296"/>
        <v>2009</v>
      </c>
      <c r="C123" s="15">
        <f t="shared" si="352"/>
        <v>3</v>
      </c>
      <c r="D123" s="612" t="str">
        <f t="shared" si="297"/>
        <v/>
      </c>
      <c r="E123" s="609">
        <f t="shared" si="353"/>
        <v>39873</v>
      </c>
      <c r="F123" s="614">
        <f t="shared" si="354"/>
        <v>39903</v>
      </c>
      <c r="G123" s="1349">
        <v>0</v>
      </c>
      <c r="H123" s="152">
        <f t="shared" si="341"/>
        <v>1</v>
      </c>
      <c r="I123" s="154">
        <f>IF(Assumptions!$L$25=4,VLOOKUP($A123,'Henwood Reference'!$E$9:$R$320,10),(VLOOKUP($A123,PriceTable,2,0)+IF(BasisNumber&lt;&gt;1,VLOOKUP($A123,BasisTable,2,0),0)+I$1)/(1-I$2))</f>
        <v>37.4583839246134</v>
      </c>
      <c r="J123" s="154">
        <f>IF(Assumptions!$L$25=4,VLOOKUP($A123,'Henwood Reference'!$E$9:$R$320,10),(VLOOKUP($A123,PriceTable,3,0)+IF(BasisNumber&lt;&gt;1,VLOOKUP($A123,BasisTable,2,0),0)+J$1)/(1-J$2))</f>
        <v>37.4583839246134</v>
      </c>
      <c r="K123" s="154">
        <f>IF(Assumptions!$L$25=4,VLOOKUP($A123,'Henwood Reference'!$E$9:$R$320,10),(VLOOKUP($A123,PriceTable,4,0)+IF(BasisNumber&lt;&gt;1,VLOOKUP($A123,BasisTable,2,0),0)+K$1)/(1-K$2))</f>
        <v>37.4583839246134</v>
      </c>
      <c r="L123" s="474">
        <f>IF(Assumptions!$L$25=4,VLOOKUP($A123,'Henwood Reference'!$E$9:$R$320,10),(VLOOKUP($A123,PriceTableWeekend,2,0)+IF(BasisNumber&lt;&gt;1,VLOOKUP($A123,BasisTable,2,0),0)+L$1)/(1-L$2))</f>
        <v>37.4583839246134</v>
      </c>
      <c r="M123" s="154">
        <f>IF(Assumptions!$L$25=4,VLOOKUP($A123,'Henwood Reference'!$E$9:$R$320,10),(VLOOKUP($A123,PriceTableWeekend,3,0)+IF(BasisNumber&lt;&gt;1,VLOOKUP($A123,BasisTable,2,0),0)+M$1)/(1-M$2))</f>
        <v>37.4583839246134</v>
      </c>
      <c r="N123" s="156">
        <f>IF(Assumptions!$L$25=4,VLOOKUP($A123,'Henwood Reference'!$E$9:$R$320,10),(VLOOKUP($A123,PriceTableWeekend,4,0)+IF(BasisNumber&lt;&gt;1,VLOOKUP($A123,BasisTable,2,0),0)+N$1)/(1-N$2))</f>
        <v>37.4583839246134</v>
      </c>
      <c r="O123" s="154">
        <f>IF(Assumptions!$L$25=4,VLOOKUP($A123,'Henwood Reference'!$E$9:$R$320,11),(VLOOKUP($A123,PriceTableWeekend,6,0)+IF(BasisNumber&lt;&gt;1,VLOOKUP($A123,BasisTable,3,0),0)+O$1)/(1-O$2))</f>
        <v>24.252850059850591</v>
      </c>
      <c r="P123" s="154">
        <f>IF(Assumptions!$L$25=4,VLOOKUP($A123,'Henwood Reference'!$E$9:$R$320,11),(VLOOKUP($A123,PriceTableWeekend,7,0)+IF(BasisNumber&lt;&gt;1,VLOOKUP($A123,BasisTable,3,0),0)+P$1)/(1-P$2))</f>
        <v>24.252850059850591</v>
      </c>
      <c r="Q123" s="156">
        <f>IF(Assumptions!$L$25=4,VLOOKUP($A123,'Henwood Reference'!$E$9:$R$320,11),(VLOOKUP($A123,PriceTableWeekend,8,0)+IF(BasisNumber&lt;&gt;1,VLOOKUP($A123,BasisTable,3,0),0)+Q$1)/(1-Q$2))</f>
        <v>24.252850059850591</v>
      </c>
      <c r="R123" s="154">
        <f>IF(Assumptions!$L$25=4,VLOOKUP($A123,'Henwood Reference'!$E$9:$R$320,11),(VLOOKUP($A123,PriceTable,6,0)+IF(BasisNumber&lt;&gt;1,VLOOKUP($A123,BasisTable,3,0),0)+R$1)/(1-R$2))</f>
        <v>24.252850059850591</v>
      </c>
      <c r="S123" s="154">
        <f>IF(Assumptions!$L$25=4,VLOOKUP($A123,'Henwood Reference'!$E$9:$R$320,11),(VLOOKUP($A123,PriceTable,7,0)+IF(BasisNumber&lt;&gt;1,VLOOKUP($A123,BasisTable,3,0),0)+S$1)/(1-S$2))</f>
        <v>24.252850059850591</v>
      </c>
      <c r="T123" s="155">
        <f>IF(Assumptions!$L$25=4,VLOOKUP($A123,'Henwood Reference'!$E$9:$R$320,11),(VLOOKUP($A123,PriceTable,8,0)+IF(BasisNumber&lt;&gt;1,VLOOKUP($A123,BasisTable,3,0),0)+T$1)/(1-T$2))</f>
        <v>24.252850059850591</v>
      </c>
      <c r="U123" s="173">
        <f t="shared" si="298"/>
        <v>0.125</v>
      </c>
      <c r="V123" s="173">
        <f t="shared" si="299"/>
        <v>0.13500000000000001</v>
      </c>
      <c r="W123" s="174">
        <f t="shared" si="300"/>
        <v>0.14499999999999999</v>
      </c>
      <c r="X123" s="173">
        <f t="shared" si="301"/>
        <v>0.125</v>
      </c>
      <c r="Y123" s="173">
        <f t="shared" si="302"/>
        <v>0.13500000000000001</v>
      </c>
      <c r="Z123" s="174">
        <f t="shared" si="303"/>
        <v>0.14499999999999999</v>
      </c>
      <c r="AA123" s="173">
        <f t="shared" si="304"/>
        <v>0.09</v>
      </c>
      <c r="AB123" s="173">
        <f t="shared" si="305"/>
        <v>0.11</v>
      </c>
      <c r="AC123" s="174">
        <f t="shared" si="306"/>
        <v>0.13</v>
      </c>
      <c r="AD123" s="173">
        <f t="shared" si="307"/>
        <v>0.09</v>
      </c>
      <c r="AE123" s="173">
        <f t="shared" si="308"/>
        <v>0.11</v>
      </c>
      <c r="AF123" s="174">
        <f t="shared" si="309"/>
        <v>0.13</v>
      </c>
      <c r="AG123" s="173">
        <f t="shared" si="310"/>
        <v>-0.1</v>
      </c>
      <c r="AH123" s="173">
        <f t="shared" si="311"/>
        <v>0.65</v>
      </c>
      <c r="AI123" s="174">
        <f t="shared" si="312"/>
        <v>0.1</v>
      </c>
      <c r="AJ123" s="173">
        <f t="shared" si="313"/>
        <v>-0.1</v>
      </c>
      <c r="AK123" s="173">
        <f t="shared" si="314"/>
        <v>0.65</v>
      </c>
      <c r="AL123" s="174">
        <f t="shared" si="315"/>
        <v>0.1</v>
      </c>
      <c r="AM123" s="173">
        <f t="shared" si="316"/>
        <v>-0.01</v>
      </c>
      <c r="AN123" s="173">
        <f t="shared" si="317"/>
        <v>0.16</v>
      </c>
      <c r="AO123" s="174">
        <f t="shared" si="318"/>
        <v>0.01</v>
      </c>
      <c r="AP123" s="173">
        <f t="shared" si="319"/>
        <v>-0.01</v>
      </c>
      <c r="AQ123" s="173">
        <f t="shared" si="320"/>
        <v>0.16</v>
      </c>
      <c r="AR123" s="175">
        <f t="shared" si="321"/>
        <v>0.01</v>
      </c>
      <c r="AS123" s="521">
        <f t="shared" si="357"/>
        <v>0.5</v>
      </c>
      <c r="AT123" s="349">
        <f t="shared" si="355"/>
        <v>22</v>
      </c>
      <c r="AU123" s="159">
        <f t="shared" si="240"/>
        <v>4</v>
      </c>
      <c r="AV123" s="159">
        <f t="shared" si="241"/>
        <v>5</v>
      </c>
      <c r="AW123" s="159">
        <f t="shared" si="358"/>
        <v>0</v>
      </c>
      <c r="AX123" s="15">
        <f t="shared" si="356"/>
        <v>31</v>
      </c>
      <c r="AY123" s="607">
        <f>IF(E123="",0,MIN((1-(1-VLOOKUP(B123,MAIN!$AA$7:$AM$28,C123+1))*(1-VLOOKUP(B123,MAIN!$AA$33:$AM$54,C123+1))),1))</f>
        <v>3.0000000000000027E-2</v>
      </c>
      <c r="AZ123" s="337">
        <v>51216</v>
      </c>
      <c r="BA123" s="509">
        <v>9312</v>
      </c>
      <c r="BB123" s="509">
        <v>11640</v>
      </c>
      <c r="BC123" s="511">
        <v>36084</v>
      </c>
      <c r="BD123" s="153">
        <v>0.96999999638646839</v>
      </c>
      <c r="BE123" s="474">
        <v>0.96999999638646839</v>
      </c>
      <c r="BF123" s="474">
        <v>0.96999999638646839</v>
      </c>
      <c r="BG123" s="515">
        <v>0.97000000722706314</v>
      </c>
      <c r="BH123" s="262">
        <v>204864</v>
      </c>
      <c r="BI123" s="509">
        <v>37248</v>
      </c>
      <c r="BJ123" s="509">
        <v>46560</v>
      </c>
      <c r="BK123" s="511">
        <v>144336</v>
      </c>
      <c r="BL123" s="153">
        <v>0.96999999638646839</v>
      </c>
      <c r="BM123" s="474">
        <v>0.96999999638646839</v>
      </c>
      <c r="BN123" s="474">
        <v>0.96999999638646839</v>
      </c>
      <c r="BO123" s="474">
        <v>0.97000000722706314</v>
      </c>
      <c r="BP123" s="261">
        <f t="shared" si="324"/>
        <v>72168</v>
      </c>
      <c r="BQ123" s="578">
        <f t="shared" si="325"/>
        <v>108252</v>
      </c>
      <c r="BR123" s="259">
        <f t="shared" si="326"/>
        <v>288672</v>
      </c>
      <c r="BS123" s="578">
        <f t="shared" si="327"/>
        <v>433008</v>
      </c>
      <c r="BT123" s="216">
        <f t="shared" si="328"/>
        <v>8.8788501026694053</v>
      </c>
      <c r="BU123" s="218">
        <f t="shared" si="243"/>
        <v>37.458383785070048</v>
      </c>
      <c r="BV123" s="216">
        <f t="shared" si="244"/>
        <v>37.458383785070048</v>
      </c>
      <c r="BW123" s="216">
        <f t="shared" si="245"/>
        <v>24.252849969501682</v>
      </c>
      <c r="BX123" s="216">
        <f t="shared" si="329"/>
        <v>24.252850240548405</v>
      </c>
      <c r="BY123" s="216">
        <f t="shared" si="246"/>
        <v>35.328458976107406</v>
      </c>
      <c r="BZ123" s="216">
        <f t="shared" si="247"/>
        <v>31.636589397587741</v>
      </c>
      <c r="CA123" s="264">
        <f t="shared" si="248"/>
        <v>37.458383785070048</v>
      </c>
      <c r="CB123" s="216">
        <f t="shared" si="249"/>
        <v>37.458383785070048</v>
      </c>
      <c r="CC123" s="216">
        <f t="shared" si="250"/>
        <v>24.252849969501682</v>
      </c>
      <c r="CD123" s="216">
        <f t="shared" si="330"/>
        <v>24.252850240548405</v>
      </c>
      <c r="CE123" s="216">
        <f t="shared" si="251"/>
        <v>35.328458976107406</v>
      </c>
      <c r="CF123" s="571">
        <f t="shared" si="252"/>
        <v>31.636589397587741</v>
      </c>
      <c r="CG123" s="573">
        <f t="shared" si="253"/>
        <v>0.13500000000000001</v>
      </c>
      <c r="CH123" s="219">
        <f t="shared" si="254"/>
        <v>0.13500000000000001</v>
      </c>
      <c r="CI123" s="219">
        <f t="shared" si="255"/>
        <v>0.11</v>
      </c>
      <c r="CJ123" s="219">
        <f t="shared" si="256"/>
        <v>0.13226779803280334</v>
      </c>
      <c r="CK123" s="219">
        <f t="shared" si="257"/>
        <v>0.13226779803280334</v>
      </c>
      <c r="CL123" s="219">
        <f t="shared" si="258"/>
        <v>0.11</v>
      </c>
      <c r="CM123" s="219">
        <f t="shared" si="259"/>
        <v>0.11557903184242813</v>
      </c>
      <c r="CN123" s="569">
        <f t="shared" si="260"/>
        <v>0.11557903184242813</v>
      </c>
      <c r="CO123" s="264">
        <f t="shared" si="343"/>
        <v>19.742696418581517</v>
      </c>
      <c r="CP123" s="216">
        <f t="shared" si="331"/>
        <v>19.742696418581517</v>
      </c>
      <c r="CQ123" s="216">
        <f t="shared" ca="1" si="361"/>
        <v>19.742696418581517</v>
      </c>
      <c r="CR123" s="216">
        <f t="shared" ca="1" si="362"/>
        <v>19.742696418581517</v>
      </c>
      <c r="CS123" s="1626">
        <f t="shared" ca="1" si="363"/>
        <v>19.742696418581513</v>
      </c>
      <c r="CT123" s="216">
        <f t="shared" si="332"/>
        <v>19.742696418581517</v>
      </c>
      <c r="CU123" s="575">
        <f t="shared" si="261"/>
        <v>0.159</v>
      </c>
      <c r="CV123" s="154">
        <f t="shared" si="262"/>
        <v>0.5</v>
      </c>
      <c r="CW123" s="216">
        <f>IF(OR($BQ123,$BS123),SpreadOptPowerMargin,0)*((1+Assumptions!$C$26)^($B123-YEAR(Assumptions!$C$17)))</f>
        <v>2.0270923546752</v>
      </c>
      <c r="CX123" s="216">
        <f>IF(OR($BQ123,$BS123),SpreadOptPowerMargin,0)*((1+Assumptions!$C$26)^($B123-YEAR(Assumptions!$C$17)))</f>
        <v>2.0270923546752</v>
      </c>
      <c r="CY123" s="216">
        <f>IF(OR($BQ123,$BS123),SpreadOptPowerMargin,0)*((1+Assumptions!$C$26)^($B123-YEAR(Assumptions!$C$17)))</f>
        <v>2.0270923546752</v>
      </c>
      <c r="CZ123" s="216">
        <f>IF(OR($BQ123,$BS123),SpreadOptPowerMargin,0)*((1+Assumptions!$C$26)^($B123-YEAR(Assumptions!$C$17)))</f>
        <v>2.0270923546752</v>
      </c>
      <c r="DA123" s="440">
        <f t="shared" si="263"/>
        <v>2.0270923546752</v>
      </c>
      <c r="DB123" s="479">
        <f t="shared" si="264"/>
        <v>0.13500000000000001</v>
      </c>
      <c r="DC123" s="479">
        <f t="shared" si="265"/>
        <v>0.13500000000000001</v>
      </c>
      <c r="DD123" s="479">
        <f t="shared" si="266"/>
        <v>0.11</v>
      </c>
      <c r="DE123" s="479">
        <f t="shared" si="267"/>
        <v>0.11</v>
      </c>
      <c r="DF123" s="479">
        <f t="shared" si="268"/>
        <v>0.11557903184242813</v>
      </c>
      <c r="DG123" s="574">
        <f t="shared" si="269"/>
        <v>0.11557903184242813</v>
      </c>
      <c r="DH123" s="216">
        <f t="shared" si="270"/>
        <v>16.234676649131746</v>
      </c>
      <c r="DI123" s="216">
        <f t="shared" si="271"/>
        <v>16.234676649131746</v>
      </c>
      <c r="DJ123" s="216">
        <f t="shared" ca="1" si="364"/>
        <v>4.9302813698882471</v>
      </c>
      <c r="DK123" s="216">
        <f t="shared" ca="1" si="365"/>
        <v>4.9302815556795885</v>
      </c>
      <c r="DL123" s="216">
        <f t="shared" ca="1" si="366"/>
        <v>10.825795456313035</v>
      </c>
      <c r="DM123" s="216"/>
      <c r="DN123" s="216"/>
      <c r="DO123" s="216"/>
      <c r="DP123" s="216"/>
      <c r="DQ123" s="216"/>
      <c r="DR123" s="216"/>
      <c r="DS123" s="216"/>
      <c r="DT123" s="216"/>
      <c r="DU123" s="216"/>
      <c r="DV123" s="216"/>
      <c r="DW123" s="1371">
        <f t="shared" si="272"/>
        <v>4.9302813698882471</v>
      </c>
      <c r="DX123" s="216">
        <f t="shared" si="273"/>
        <v>4.9302815556795885</v>
      </c>
      <c r="DY123" s="440">
        <f t="shared" si="274"/>
        <v>11.251018577202155</v>
      </c>
      <c r="DZ123" s="180">
        <f t="shared" si="275"/>
        <v>831475.19926193147</v>
      </c>
      <c r="EA123" s="180">
        <f t="shared" si="276"/>
        <v>151177.30895671481</v>
      </c>
      <c r="EB123" s="180">
        <f t="shared" ca="1" si="367"/>
        <v>57388.475145499193</v>
      </c>
      <c r="EC123" s="180">
        <f t="shared" ca="1" si="368"/>
        <v>177904.27965514228</v>
      </c>
      <c r="ED123" s="180">
        <f t="shared" ca="1" si="369"/>
        <v>1171914.0097367987</v>
      </c>
      <c r="EE123" s="581">
        <f t="shared" si="277"/>
        <v>803507.08212503151</v>
      </c>
      <c r="EF123" s="554">
        <f t="shared" si="278"/>
        <v>146092.19675000574</v>
      </c>
      <c r="EG123" s="554">
        <f t="shared" ca="1" si="370"/>
        <v>28902.832324291387</v>
      </c>
      <c r="EH123" s="554">
        <f t="shared" ca="1" si="371"/>
        <v>89598.789985753247</v>
      </c>
      <c r="EI123" s="561">
        <f t="shared" ca="1" si="279"/>
        <v>1068100.9011850823</v>
      </c>
      <c r="EJ123" s="581">
        <f t="shared" si="333"/>
        <v>27968.117136899964</v>
      </c>
      <c r="EK123" s="554">
        <f t="shared" si="334"/>
        <v>5085.1122067090764</v>
      </c>
      <c r="EL123" s="554">
        <f t="shared" ca="1" si="372"/>
        <v>28485.642821207806</v>
      </c>
      <c r="EM123" s="554">
        <f t="shared" ca="1" si="373"/>
        <v>88305.489669389033</v>
      </c>
      <c r="EN123" s="561">
        <f t="shared" ca="1" si="374"/>
        <v>103813.10855171643</v>
      </c>
      <c r="EO123" s="180">
        <f t="shared" si="280"/>
        <v>3325900.7970477259</v>
      </c>
      <c r="EP123" s="180">
        <f t="shared" si="281"/>
        <v>604709.23582685925</v>
      </c>
      <c r="EQ123" s="180">
        <f t="shared" si="282"/>
        <v>229553.90058199677</v>
      </c>
      <c r="ER123" s="180">
        <f t="shared" si="283"/>
        <v>711617.11862056912</v>
      </c>
      <c r="ES123" s="180">
        <f t="shared" si="284"/>
        <v>4871781.0520771509</v>
      </c>
      <c r="ET123" s="1482">
        <f t="shared" ca="1" si="375"/>
        <v>3214028.328500126</v>
      </c>
      <c r="EU123" s="180">
        <f t="shared" ca="1" si="376"/>
        <v>584368.78700002294</v>
      </c>
      <c r="EV123" s="180">
        <f t="shared" ca="1" si="377"/>
        <v>115611.32929716555</v>
      </c>
      <c r="EW123" s="180">
        <f t="shared" ca="1" si="378"/>
        <v>358395.15994301299</v>
      </c>
      <c r="EX123" s="555">
        <f t="shared" ca="1" si="351"/>
        <v>4272403.6047403272</v>
      </c>
      <c r="EY123" s="180">
        <f t="shared" ca="1" si="379"/>
        <v>111872.46854759986</v>
      </c>
      <c r="EZ123" s="180">
        <f t="shared" ca="1" si="380"/>
        <v>20340.448826836306</v>
      </c>
      <c r="FA123" s="180">
        <f t="shared" ca="1" si="381"/>
        <v>113942.57128483123</v>
      </c>
      <c r="FB123" s="180">
        <f t="shared" ca="1" si="382"/>
        <v>353221.95867755613</v>
      </c>
      <c r="FC123" s="180">
        <f t="shared" ca="1" si="383"/>
        <v>599377.44733682368</v>
      </c>
      <c r="FD123" s="262">
        <f>IF(AX123,IF(VLOOKUP(C123,MAIN!$L$17:$M$28,2)="Yes",VLOOKUP(CALC!B123,MAIN!$H$17:$I$20,2),0),0)</f>
        <v>0</v>
      </c>
      <c r="FE123" s="623">
        <f t="shared" si="285"/>
        <v>0</v>
      </c>
      <c r="FF123" s="535">
        <f t="shared" si="286"/>
        <v>0</v>
      </c>
      <c r="FG123" s="535">
        <f t="shared" si="287"/>
        <v>0</v>
      </c>
      <c r="FH123" s="624">
        <f t="shared" si="288"/>
        <v>0</v>
      </c>
      <c r="FI123" s="632">
        <f>IF(AX123,VLOOKUP(CALC!B123,MAIN!$H$17:$K$20,4),0)</f>
        <v>0</v>
      </c>
      <c r="FJ123" s="535">
        <f t="shared" si="289"/>
        <v>0</v>
      </c>
      <c r="FK123" s="648">
        <f t="shared" si="335"/>
        <v>0</v>
      </c>
      <c r="FL123" s="530">
        <f t="shared" ca="1" si="384"/>
        <v>0</v>
      </c>
      <c r="FM123" s="530">
        <f t="shared" ca="1" si="385"/>
        <v>0</v>
      </c>
      <c r="FN123" s="530">
        <f t="shared" ca="1" si="386"/>
        <v>0</v>
      </c>
      <c r="FO123" s="622">
        <f t="shared" ca="1" si="387"/>
        <v>0</v>
      </c>
      <c r="FP123" s="530">
        <f t="shared" ca="1" si="388"/>
        <v>0</v>
      </c>
      <c r="FQ123" s="530">
        <f t="shared" ca="1" si="389"/>
        <v>0</v>
      </c>
      <c r="FR123" s="530">
        <f t="shared" ca="1" si="390"/>
        <v>0</v>
      </c>
      <c r="FS123" s="625">
        <f t="shared" ca="1" si="391"/>
        <v>0</v>
      </c>
      <c r="FT123" s="640">
        <f ca="1">IF(AND(Assumptions!$H$71="Yes",A123&gt;=Assumptions!$H$72,A123&lt;=Assumptions!$H$73),0,IF(AND($A123&gt;=Assumptions!$C$17,$A123&lt;=Assumptions!$C$18),MAX(AZ123*(1+VLOOKUP($C123,WeatherCapacityAdjustment,2))-FL123,0),0))</f>
        <v>51216</v>
      </c>
      <c r="FU123" s="530">
        <f ca="1">IF(AND(Assumptions!$H$71="Yes",A123&gt;=Assumptions!$H$72,A123&lt;=Assumptions!$H$73),0,IF(AND($A123&gt;=Assumptions!$C$17,$A123&lt;=Assumptions!$C$18),MAX(BA123*(1+VLOOKUP($C123,WeatherCapacityAdjustment,2))-FM123,0),0))</f>
        <v>9312</v>
      </c>
      <c r="FV123" s="530">
        <f ca="1">IF(AND(Assumptions!$H$71="Yes",A123&gt;=Assumptions!$H$72,A123&lt;=Assumptions!$H$73),0,IF(AND($A123&gt;=Assumptions!$C$17,$A123&lt;=Assumptions!$C$18),MAX(BB123*(1+VLOOKUP($C123,WeatherCapacityAdjustment,2))-FN123,0),0))</f>
        <v>11640</v>
      </c>
      <c r="FW123" s="622">
        <f ca="1">IF(AND(Assumptions!$H$71="Yes",A123&gt;=Assumptions!$H$72,A123&lt;=Assumptions!$H$73),0,IF(AND($A123&gt;=Assumptions!$C$17,$A123&lt;=Assumptions!$C$18),MAX(BC123*(1+VLOOKUP($C123,WeatherCapacityAdjustment,3))-FO123,0),0))</f>
        <v>36084</v>
      </c>
      <c r="FX123" s="621">
        <f ca="1">IF(AND(Assumptions!$H$71="Yes",A123&gt;=Assumptions!$H$72,A123&lt;=Assumptions!$H$73),0,IF(ET123&gt;0,MAX(BH123*(1+VLOOKUP($C123,WeatherCapacityAdjustment,2))-FP123,0),0))</f>
        <v>204864</v>
      </c>
      <c r="FY123" s="530">
        <f ca="1">IF(AND(Assumptions!$H$71="Yes",A123&gt;=Assumptions!$H$72,A123&lt;=Assumptions!$H$73),0,IF(EU123&gt;0,MAX(BI123*(1+VLOOKUP($C123,WeatherCapacityAdjustment,3))-FQ123,0),0))</f>
        <v>37248</v>
      </c>
      <c r="FZ123" s="530">
        <f ca="1">IF(AND(Assumptions!$H$71="Yes",A123&gt;=Assumptions!$H$72,A123&lt;=Assumptions!$H$73),0,IF(EV123&gt;0,MAX(BJ123*(1+VLOOKUP($C123,WeatherCapacityAdjustment,2))-FR123,0),0))</f>
        <v>46560</v>
      </c>
      <c r="GA123" s="622">
        <f ca="1">IF(AND(Assumptions!$H$71="Yes",A123&gt;=Assumptions!$H$72,A123&lt;=Assumptions!$H$73),0,IF(EW123&gt;0,MAX(BK123*(1+VLOOKUP($C123,WeatherCapacityAdjustment,2))-FS123,0),0))</f>
        <v>144336</v>
      </c>
      <c r="GB123" s="530">
        <f t="shared" ca="1" si="290"/>
        <v>541260</v>
      </c>
      <c r="GC123" s="545">
        <f t="shared" ca="1" si="291"/>
        <v>31.636589397587738</v>
      </c>
      <c r="GD123" s="530">
        <f t="shared" ca="1" si="392"/>
        <v>17123620.377338342</v>
      </c>
      <c r="GE123" s="1485">
        <f t="shared" ca="1" si="393"/>
        <v>777526.48512000008</v>
      </c>
      <c r="GF123" s="1776">
        <f t="shared" ca="1" si="394"/>
        <v>3110105.9404800003</v>
      </c>
      <c r="GG123" s="545">
        <f t="shared" si="359"/>
        <v>2.7486991293607734</v>
      </c>
      <c r="GH123" s="622">
        <f t="shared" ca="1" si="360"/>
        <v>10685931.863521434</v>
      </c>
      <c r="GI123" s="621">
        <f t="shared" ca="1" si="336"/>
        <v>541260</v>
      </c>
      <c r="GJ123" s="638">
        <f t="shared" si="292"/>
        <v>2.0270923546752</v>
      </c>
      <c r="GK123" s="625">
        <f t="shared" ca="1" si="342"/>
        <v>1097184.0078914987</v>
      </c>
      <c r="GL123" s="640">
        <f t="shared" ca="1" si="395"/>
        <v>0</v>
      </c>
      <c r="GM123" s="530">
        <f t="shared" ca="1" si="396"/>
        <v>0</v>
      </c>
      <c r="GN123" s="530">
        <f t="shared" ca="1" si="397"/>
        <v>0</v>
      </c>
      <c r="GO123" s="622">
        <f t="shared" ca="1" si="398"/>
        <v>0</v>
      </c>
      <c r="GP123" s="530">
        <f t="shared" ca="1" si="293"/>
        <v>0</v>
      </c>
      <c r="GQ123" s="545">
        <f t="shared" ca="1" si="294"/>
        <v>0</v>
      </c>
      <c r="GR123" s="625">
        <f t="shared" ca="1" si="399"/>
        <v>0</v>
      </c>
      <c r="GS123" s="640">
        <f>IF($A123&gt;=BegDate,Assumptions!$C$56*24*($A124-$A123)*(1-VLOOKUP($B123,MAIN!$AA$7:$AM$28,$C123+1))*(1-VLOOKUP($B123,MAIN!$AA$33:$AM$54,$C123+1)),0)*80/168</f>
        <v>257742.85714285713</v>
      </c>
      <c r="GT123" s="1715">
        <f t="shared" si="337"/>
        <v>37.4583839246134</v>
      </c>
      <c r="GU123" s="1715">
        <f>IF($A123&gt;=BegDate,VLOOKUP($A123,GasTable,13)+Assumptions!$C$58,0)</f>
        <v>2.7486991293607734</v>
      </c>
      <c r="GV123" s="1715">
        <f>GU123*Assumptions!$C$57/1000</f>
        <v>19.928068687865608</v>
      </c>
      <c r="GW123" s="625">
        <f>IF(Assumptions!$C$60="Hourly",MAX(0,GS123*(GT123-GV123)),GS123*(GT123-GV123))</f>
        <v>4518313.5357343378</v>
      </c>
      <c r="GX123" s="640">
        <f>IF($A123&gt;=BegDate,Assumptions!$C$56*24*($A124-$A123)*(1-VLOOKUP($B123,MAIN!$AA$7:$AM$28,$C123+1))*(1-VLOOKUP($B123,MAIN!$AA$33:$AM$54,$C123+1)),0)*16/168</f>
        <v>51548.571428571428</v>
      </c>
      <c r="GY123" s="1715">
        <f t="shared" si="338"/>
        <v>37.4583839246134</v>
      </c>
      <c r="GZ123" s="1715">
        <f>IF($A123&gt;=BegDate,VLOOKUP($A123,GasTable,13)+Assumptions!$C$58,0)</f>
        <v>2.7486991293607734</v>
      </c>
      <c r="HA123" s="1715">
        <f>GZ123*Assumptions!$C$57/1000</f>
        <v>19.928068687865608</v>
      </c>
      <c r="HB123" s="625">
        <f>IF(Assumptions!$C$60="Hourly",MAX(0,GX123*(GY123-HA123)),GX123*(GY123-HA123))</f>
        <v>903662.70714686764</v>
      </c>
      <c r="HC123" s="640">
        <f>IF($A123&gt;=BegDate,Assumptions!$C$56*24*($A124-$A123)*(1-VLOOKUP($B123,MAIN!$AA$7:$AM$28,$C123+1))*(1-VLOOKUP($B123,MAIN!$AA$33:$AM$54,$C123+1)),0)*16/168</f>
        <v>51548.571428571428</v>
      </c>
      <c r="HD123" s="1715">
        <f t="shared" si="339"/>
        <v>24.252850059850591</v>
      </c>
      <c r="HE123" s="1715">
        <f>IF($A123&gt;=BegDate,VLOOKUP($A123,GasTable,13)+Assumptions!$C$58,0)</f>
        <v>2.7486991293607734</v>
      </c>
      <c r="HF123" s="1715">
        <f>HE123*Assumptions!$C$57/1000</f>
        <v>19.928068687865608</v>
      </c>
      <c r="HG123" s="625">
        <f>IF(Assumptions!$C$60="Hourly",MAX(0,HC123*(HD123-HF123)),HC123*(HD123-HF123))</f>
        <v>222936.30146672303</v>
      </c>
      <c r="HH123" s="640">
        <f>IF($A123&gt;=BegDate,Assumptions!$C$56*24*($A124-$A123)*(1-VLOOKUP($B123,MAIN!$AA$7:$AM$28,$C123+1))*(1-VLOOKUP($B123,MAIN!$AA$33:$AM$54,$C123+1)),0)*56/168</f>
        <v>180420</v>
      </c>
      <c r="HI123" s="1715">
        <f t="shared" si="340"/>
        <v>24.252850059850591</v>
      </c>
      <c r="HJ123" s="1715">
        <f>IF($A123&gt;=BegDate,VLOOKUP($A123,GasTable,13)+Assumptions!$C$58,0)</f>
        <v>2.7486991293607734</v>
      </c>
      <c r="HK123" s="1715">
        <f>HJ123*Assumptions!$C$57/1000</f>
        <v>19.928068687865608</v>
      </c>
      <c r="HL123" s="625">
        <f>IF(Assumptions!$C$60="Hourly",MAX(0,HH123*(HI123-HK123)),HH123*(HI123-HK123))</f>
        <v>780277.05513353064</v>
      </c>
      <c r="HM123" s="640">
        <f>IF(AND(Assumptions!$H$71="Yes",A123&gt;=Assumptions!$H$72,A123&lt;=Assumptions!$H$73),Assumptions!$H$74*Assumptions!$C$9*1000,0)</f>
        <v>0</v>
      </c>
      <c r="HN123" s="530"/>
      <c r="HO123" s="545"/>
      <c r="HP123" s="545"/>
      <c r="HQ123" s="545"/>
      <c r="HR123" s="545"/>
      <c r="HS123" s="545"/>
      <c r="HT123" s="545"/>
      <c r="HU123" s="545"/>
      <c r="HV123" s="545"/>
      <c r="HW123" s="545"/>
      <c r="HX123" s="545"/>
      <c r="HY123" s="545"/>
      <c r="HZ123" s="545"/>
      <c r="IA123" s="545"/>
      <c r="IB123" s="545"/>
      <c r="IC123" s="545"/>
      <c r="ID123" s="545"/>
      <c r="IE123" s="545"/>
      <c r="IF123" s="545"/>
      <c r="IG123" s="545"/>
      <c r="IH123" s="545"/>
      <c r="II123" s="1464"/>
      <c r="IJ123" s="1463"/>
      <c r="IK123" s="1463"/>
    </row>
    <row r="124" spans="1:245">
      <c r="A124" s="177">
        <f t="shared" si="295"/>
        <v>39904</v>
      </c>
      <c r="B124" s="349">
        <f t="shared" si="296"/>
        <v>2009</v>
      </c>
      <c r="C124" s="15">
        <f t="shared" si="352"/>
        <v>4</v>
      </c>
      <c r="D124" s="612" t="str">
        <f t="shared" si="297"/>
        <v/>
      </c>
      <c r="E124" s="609">
        <f t="shared" si="353"/>
        <v>39904</v>
      </c>
      <c r="F124" s="614">
        <f t="shared" si="354"/>
        <v>39933</v>
      </c>
      <c r="G124" s="1349">
        <v>0</v>
      </c>
      <c r="H124" s="152">
        <f t="shared" si="341"/>
        <v>1</v>
      </c>
      <c r="I124" s="154">
        <f>IF(Assumptions!$L$25=4,VLOOKUP($A124,'Henwood Reference'!$E$9:$R$320,10),(VLOOKUP($A124,PriceTable,2,0)+IF(BasisNumber&lt;&gt;1,VLOOKUP($A124,BasisTable,2,0),0)+I$1)/(1-I$2))</f>
        <v>36.111514599776058</v>
      </c>
      <c r="J124" s="154">
        <f>IF(Assumptions!$L$25=4,VLOOKUP($A124,'Henwood Reference'!$E$9:$R$320,10),(VLOOKUP($A124,PriceTable,3,0)+IF(BasisNumber&lt;&gt;1,VLOOKUP($A124,BasisTable,2,0),0)+J$1)/(1-J$2))</f>
        <v>36.111514599776058</v>
      </c>
      <c r="K124" s="154">
        <f>IF(Assumptions!$L$25=4,VLOOKUP($A124,'Henwood Reference'!$E$9:$R$320,10),(VLOOKUP($A124,PriceTable,4,0)+IF(BasisNumber&lt;&gt;1,VLOOKUP($A124,BasisTable,2,0),0)+K$1)/(1-K$2))</f>
        <v>36.111514599776058</v>
      </c>
      <c r="L124" s="474">
        <f>IF(Assumptions!$L$25=4,VLOOKUP($A124,'Henwood Reference'!$E$9:$R$320,10),(VLOOKUP($A124,PriceTableWeekend,2,0)+IF(BasisNumber&lt;&gt;1,VLOOKUP($A124,BasisTable,2,0),0)+L$1)/(1-L$2))</f>
        <v>36.111514599776058</v>
      </c>
      <c r="M124" s="154">
        <f>IF(Assumptions!$L$25=4,VLOOKUP($A124,'Henwood Reference'!$E$9:$R$320,10),(VLOOKUP($A124,PriceTableWeekend,3,0)+IF(BasisNumber&lt;&gt;1,VLOOKUP($A124,BasisTable,2,0),0)+M$1)/(1-M$2))</f>
        <v>36.111514599776058</v>
      </c>
      <c r="N124" s="156">
        <f>IF(Assumptions!$L$25=4,VLOOKUP($A124,'Henwood Reference'!$E$9:$R$320,10),(VLOOKUP($A124,PriceTableWeekend,4,0)+IF(BasisNumber&lt;&gt;1,VLOOKUP($A124,BasisTable,2,0),0)+N$1)/(1-N$2))</f>
        <v>36.111514599776058</v>
      </c>
      <c r="O124" s="154">
        <f>IF(Assumptions!$L$25=4,VLOOKUP($A124,'Henwood Reference'!$E$9:$R$320,11),(VLOOKUP($A124,PriceTableWeekend,6,0)+IF(BasisNumber&lt;&gt;1,VLOOKUP($A124,BasisTable,3,0),0)+O$1)/(1-O$2))</f>
        <v>23.517509602377281</v>
      </c>
      <c r="P124" s="154">
        <f>IF(Assumptions!$L$25=4,VLOOKUP($A124,'Henwood Reference'!$E$9:$R$320,11),(VLOOKUP($A124,PriceTableWeekend,7,0)+IF(BasisNumber&lt;&gt;1,VLOOKUP($A124,BasisTable,3,0),0)+P$1)/(1-P$2))</f>
        <v>23.517509602377281</v>
      </c>
      <c r="Q124" s="156">
        <f>IF(Assumptions!$L$25=4,VLOOKUP($A124,'Henwood Reference'!$E$9:$R$320,11),(VLOOKUP($A124,PriceTableWeekend,8,0)+IF(BasisNumber&lt;&gt;1,VLOOKUP($A124,BasisTable,3,0),0)+Q$1)/(1-Q$2))</f>
        <v>23.517509602377281</v>
      </c>
      <c r="R124" s="154">
        <f>IF(Assumptions!$L$25=4,VLOOKUP($A124,'Henwood Reference'!$E$9:$R$320,11),(VLOOKUP($A124,PriceTable,6,0)+IF(BasisNumber&lt;&gt;1,VLOOKUP($A124,BasisTable,3,0),0)+R$1)/(1-R$2))</f>
        <v>23.517509602377281</v>
      </c>
      <c r="S124" s="154">
        <f>IF(Assumptions!$L$25=4,VLOOKUP($A124,'Henwood Reference'!$E$9:$R$320,11),(VLOOKUP($A124,PriceTable,7,0)+IF(BasisNumber&lt;&gt;1,VLOOKUP($A124,BasisTable,3,0),0)+S$1)/(1-S$2))</f>
        <v>23.517509602377281</v>
      </c>
      <c r="T124" s="155">
        <f>IF(Assumptions!$L$25=4,VLOOKUP($A124,'Henwood Reference'!$E$9:$R$320,11),(VLOOKUP($A124,PriceTable,8,0)+IF(BasisNumber&lt;&gt;1,VLOOKUP($A124,BasisTable,3,0),0)+T$1)/(1-T$2))</f>
        <v>23.517509602377281</v>
      </c>
      <c r="U124" s="173">
        <f t="shared" si="298"/>
        <v>0.125</v>
      </c>
      <c r="V124" s="173">
        <f t="shared" si="299"/>
        <v>0.13500000000000001</v>
      </c>
      <c r="W124" s="174">
        <f t="shared" si="300"/>
        <v>0.14499999999999999</v>
      </c>
      <c r="X124" s="173">
        <f t="shared" si="301"/>
        <v>0.125</v>
      </c>
      <c r="Y124" s="173">
        <f t="shared" si="302"/>
        <v>0.13500000000000001</v>
      </c>
      <c r="Z124" s="174">
        <f t="shared" si="303"/>
        <v>0.14499999999999999</v>
      </c>
      <c r="AA124" s="173">
        <f t="shared" si="304"/>
        <v>0.09</v>
      </c>
      <c r="AB124" s="173">
        <f t="shared" si="305"/>
        <v>0.11</v>
      </c>
      <c r="AC124" s="174">
        <f t="shared" si="306"/>
        <v>0.13</v>
      </c>
      <c r="AD124" s="173">
        <f t="shared" si="307"/>
        <v>0.09</v>
      </c>
      <c r="AE124" s="173">
        <f t="shared" si="308"/>
        <v>0.11</v>
      </c>
      <c r="AF124" s="174">
        <f t="shared" si="309"/>
        <v>0.13</v>
      </c>
      <c r="AG124" s="173">
        <f t="shared" si="310"/>
        <v>-0.1</v>
      </c>
      <c r="AH124" s="173">
        <f t="shared" si="311"/>
        <v>0.65</v>
      </c>
      <c r="AI124" s="174">
        <f t="shared" si="312"/>
        <v>0.1</v>
      </c>
      <c r="AJ124" s="173">
        <f t="shared" si="313"/>
        <v>-0.1</v>
      </c>
      <c r="AK124" s="173">
        <f t="shared" si="314"/>
        <v>0.65</v>
      </c>
      <c r="AL124" s="174">
        <f t="shared" si="315"/>
        <v>0.1</v>
      </c>
      <c r="AM124" s="173">
        <f t="shared" si="316"/>
        <v>-0.01</v>
      </c>
      <c r="AN124" s="173">
        <f t="shared" si="317"/>
        <v>0.16</v>
      </c>
      <c r="AO124" s="174">
        <f t="shared" si="318"/>
        <v>0.01</v>
      </c>
      <c r="AP124" s="173">
        <f t="shared" si="319"/>
        <v>-0.01</v>
      </c>
      <c r="AQ124" s="173">
        <f t="shared" si="320"/>
        <v>0.16</v>
      </c>
      <c r="AR124" s="175">
        <f t="shared" si="321"/>
        <v>0.01</v>
      </c>
      <c r="AS124" s="521">
        <f t="shared" si="357"/>
        <v>0.5</v>
      </c>
      <c r="AT124" s="349">
        <f t="shared" si="355"/>
        <v>22</v>
      </c>
      <c r="AU124" s="159">
        <f t="shared" si="240"/>
        <v>4</v>
      </c>
      <c r="AV124" s="159">
        <f t="shared" si="241"/>
        <v>4</v>
      </c>
      <c r="AW124" s="159">
        <f t="shared" si="358"/>
        <v>0</v>
      </c>
      <c r="AX124" s="15">
        <f t="shared" si="356"/>
        <v>30</v>
      </c>
      <c r="AY124" s="607">
        <f>IF(E124="",0,MIN((1-(1-VLOOKUP(B124,MAIN!$AA$7:$AM$28,C124+1))*(1-VLOOKUP(B124,MAIN!$AA$33:$AM$54,C124+1))),1))</f>
        <v>0.70899999999999996</v>
      </c>
      <c r="AZ124" s="337">
        <v>15364.800000000001</v>
      </c>
      <c r="BA124" s="509">
        <v>2793.6000000000004</v>
      </c>
      <c r="BB124" s="509">
        <v>2793.6000000000004</v>
      </c>
      <c r="BC124" s="511">
        <v>10476.000000000002</v>
      </c>
      <c r="BD124" s="153">
        <v>0.29100000000000004</v>
      </c>
      <c r="BE124" s="474">
        <v>0.29100000000000004</v>
      </c>
      <c r="BF124" s="474">
        <v>0.29100000000000004</v>
      </c>
      <c r="BG124" s="515">
        <v>0.291000002168119</v>
      </c>
      <c r="BH124" s="262">
        <v>61459.200000000004</v>
      </c>
      <c r="BI124" s="509">
        <v>11174.400000000001</v>
      </c>
      <c r="BJ124" s="509">
        <v>11174.400000000001</v>
      </c>
      <c r="BK124" s="511">
        <v>41904.000000000007</v>
      </c>
      <c r="BL124" s="153">
        <v>0.29100000000000004</v>
      </c>
      <c r="BM124" s="474">
        <v>0.29100000000000004</v>
      </c>
      <c r="BN124" s="474">
        <v>0.29100000000000004</v>
      </c>
      <c r="BO124" s="474">
        <v>0.291000002168119</v>
      </c>
      <c r="BP124" s="261">
        <f t="shared" si="324"/>
        <v>20952</v>
      </c>
      <c r="BQ124" s="578">
        <f t="shared" si="325"/>
        <v>31428</v>
      </c>
      <c r="BR124" s="259">
        <f t="shared" si="326"/>
        <v>83808</v>
      </c>
      <c r="BS124" s="578">
        <f t="shared" si="327"/>
        <v>125712</v>
      </c>
      <c r="BT124" s="216">
        <f t="shared" si="328"/>
        <v>8.9637234770705003</v>
      </c>
      <c r="BU124" s="218">
        <f t="shared" si="243"/>
        <v>36.111514599776058</v>
      </c>
      <c r="BV124" s="216">
        <f t="shared" si="244"/>
        <v>36.111514599776058</v>
      </c>
      <c r="BW124" s="216">
        <f t="shared" si="245"/>
        <v>23.517509602377281</v>
      </c>
      <c r="BX124" s="216">
        <f t="shared" si="329"/>
        <v>23.517509777596381</v>
      </c>
      <c r="BY124" s="216">
        <f t="shared" si="246"/>
        <v>34.432313933456221</v>
      </c>
      <c r="BZ124" s="216">
        <f t="shared" si="247"/>
        <v>30.794045881502942</v>
      </c>
      <c r="CA124" s="264">
        <f t="shared" si="248"/>
        <v>36.111514599776058</v>
      </c>
      <c r="CB124" s="216">
        <f t="shared" si="249"/>
        <v>36.111514599776058</v>
      </c>
      <c r="CC124" s="216">
        <f t="shared" si="250"/>
        <v>23.517509602377281</v>
      </c>
      <c r="CD124" s="216">
        <f t="shared" si="330"/>
        <v>23.517509777596381</v>
      </c>
      <c r="CE124" s="216">
        <f t="shared" si="251"/>
        <v>34.432313933456221</v>
      </c>
      <c r="CF124" s="571">
        <f t="shared" si="252"/>
        <v>30.794045881502942</v>
      </c>
      <c r="CG124" s="573">
        <f t="shared" si="253"/>
        <v>0.13500000000000001</v>
      </c>
      <c r="CH124" s="219">
        <f t="shared" si="254"/>
        <v>0.13500000000000001</v>
      </c>
      <c r="CI124" s="219">
        <f t="shared" si="255"/>
        <v>0.11</v>
      </c>
      <c r="CJ124" s="219">
        <f t="shared" si="256"/>
        <v>0.13275388909465705</v>
      </c>
      <c r="CK124" s="219">
        <f t="shared" si="257"/>
        <v>0.13275388909465705</v>
      </c>
      <c r="CL124" s="219">
        <f t="shared" si="258"/>
        <v>0.11</v>
      </c>
      <c r="CM124" s="219">
        <f t="shared" si="259"/>
        <v>0.1159987769904248</v>
      </c>
      <c r="CN124" s="569">
        <f t="shared" si="260"/>
        <v>0.1159987769904248</v>
      </c>
      <c r="CO124" s="264">
        <f t="shared" si="343"/>
        <v>18.725472958571665</v>
      </c>
      <c r="CP124" s="216">
        <f t="shared" si="331"/>
        <v>18.725472958571665</v>
      </c>
      <c r="CQ124" s="216">
        <f t="shared" ca="1" si="361"/>
        <v>18.725472958571665</v>
      </c>
      <c r="CR124" s="216">
        <f t="shared" ca="1" si="362"/>
        <v>18.725472958571665</v>
      </c>
      <c r="CS124" s="1626">
        <f t="shared" ca="1" si="363"/>
        <v>18.725472958571668</v>
      </c>
      <c r="CT124" s="216">
        <f t="shared" si="332"/>
        <v>18.725472958571665</v>
      </c>
      <c r="CU124" s="575">
        <f t="shared" si="261"/>
        <v>0.159</v>
      </c>
      <c r="CV124" s="154">
        <f t="shared" si="262"/>
        <v>0.5</v>
      </c>
      <c r="CW124" s="216">
        <f>IF(OR($BQ124,$BS124),SpreadOptPowerMargin,0)*((1+Assumptions!$C$26)^($B124-YEAR(Assumptions!$C$17)))</f>
        <v>2.0270923546752</v>
      </c>
      <c r="CX124" s="216">
        <f>IF(OR($BQ124,$BS124),SpreadOptPowerMargin,0)*((1+Assumptions!$C$26)^($B124-YEAR(Assumptions!$C$17)))</f>
        <v>2.0270923546752</v>
      </c>
      <c r="CY124" s="216">
        <f>IF(OR($BQ124,$BS124),SpreadOptPowerMargin,0)*((1+Assumptions!$C$26)^($B124-YEAR(Assumptions!$C$17)))</f>
        <v>2.0270923546752</v>
      </c>
      <c r="CZ124" s="216">
        <f>IF(OR($BQ124,$BS124),SpreadOptPowerMargin,0)*((1+Assumptions!$C$26)^($B124-YEAR(Assumptions!$C$17)))</f>
        <v>2.0270923546752</v>
      </c>
      <c r="DA124" s="440">
        <f t="shared" si="263"/>
        <v>2.0270923546752</v>
      </c>
      <c r="DB124" s="479">
        <f t="shared" si="264"/>
        <v>0.13500000000000001</v>
      </c>
      <c r="DC124" s="479">
        <f t="shared" si="265"/>
        <v>0.13500000000000001</v>
      </c>
      <c r="DD124" s="479">
        <f t="shared" si="266"/>
        <v>0.11</v>
      </c>
      <c r="DE124" s="479">
        <f t="shared" si="267"/>
        <v>0.11</v>
      </c>
      <c r="DF124" s="479">
        <f t="shared" si="268"/>
        <v>0.1159987769904248</v>
      </c>
      <c r="DG124" s="574">
        <f t="shared" si="269"/>
        <v>0.1159987769904248</v>
      </c>
      <c r="DH124" s="216">
        <f t="shared" si="270"/>
        <v>15.857869847497465</v>
      </c>
      <c r="DI124" s="216">
        <f t="shared" si="271"/>
        <v>15.857869847497465</v>
      </c>
      <c r="DJ124" s="216">
        <f t="shared" ca="1" si="364"/>
        <v>4.9791586314614422</v>
      </c>
      <c r="DK124" s="216">
        <f t="shared" ca="1" si="365"/>
        <v>4.979158754274791</v>
      </c>
      <c r="DL124" s="216">
        <f t="shared" ca="1" si="366"/>
        <v>10.885412609434946</v>
      </c>
      <c r="DM124" s="216"/>
      <c r="DN124" s="216"/>
      <c r="DO124" s="216"/>
      <c r="DP124" s="216"/>
      <c r="DQ124" s="216"/>
      <c r="DR124" s="216"/>
      <c r="DS124" s="216"/>
      <c r="DT124" s="216"/>
      <c r="DU124" s="216"/>
      <c r="DV124" s="216"/>
      <c r="DW124" s="1371">
        <f t="shared" si="272"/>
        <v>4.9791586314614422</v>
      </c>
      <c r="DX124" s="216">
        <f t="shared" si="273"/>
        <v>4.979158754274791</v>
      </c>
      <c r="DY124" s="440">
        <f t="shared" si="274"/>
        <v>11.264636263886707</v>
      </c>
      <c r="DZ124" s="180">
        <f t="shared" si="275"/>
        <v>243652.99863282908</v>
      </c>
      <c r="EA124" s="180">
        <f t="shared" si="276"/>
        <v>44300.545205968927</v>
      </c>
      <c r="EB124" s="180">
        <f t="shared" ca="1" si="367"/>
        <v>13909.777552850686</v>
      </c>
      <c r="EC124" s="180">
        <f t="shared" ca="1" si="368"/>
        <v>52161.66710978272</v>
      </c>
      <c r="ED124" s="180">
        <f t="shared" ca="1" si="369"/>
        <v>342106.74748932145</v>
      </c>
      <c r="EE124" s="581">
        <f t="shared" si="277"/>
        <v>235987.18399766376</v>
      </c>
      <c r="EF124" s="554">
        <f t="shared" si="278"/>
        <v>42906.760726847955</v>
      </c>
      <c r="EG124" s="554">
        <f t="shared" ca="1" si="370"/>
        <v>7724.1483661147295</v>
      </c>
      <c r="EH124" s="554">
        <f t="shared" ca="1" si="371"/>
        <v>28965.558208525526</v>
      </c>
      <c r="EI124" s="561">
        <f t="shared" ca="1" si="279"/>
        <v>315583.65129915188</v>
      </c>
      <c r="EJ124" s="581">
        <f t="shared" si="333"/>
        <v>7665.8146351653268</v>
      </c>
      <c r="EK124" s="554">
        <f t="shared" si="334"/>
        <v>1393.7844791209718</v>
      </c>
      <c r="EL124" s="554">
        <f t="shared" ca="1" si="372"/>
        <v>6185.6291867359569</v>
      </c>
      <c r="EM124" s="554">
        <f t="shared" ca="1" si="373"/>
        <v>23196.108901257194</v>
      </c>
      <c r="EN124" s="561">
        <f t="shared" ca="1" si="374"/>
        <v>26523.09619016957</v>
      </c>
      <c r="EO124" s="180">
        <f t="shared" si="280"/>
        <v>974611.99453131633</v>
      </c>
      <c r="EP124" s="180">
        <f t="shared" si="281"/>
        <v>177202.18082387571</v>
      </c>
      <c r="EQ124" s="180">
        <f t="shared" si="282"/>
        <v>55639.110211402745</v>
      </c>
      <c r="ER124" s="180">
        <f t="shared" si="283"/>
        <v>208646.66843913088</v>
      </c>
      <c r="ES124" s="180">
        <f t="shared" si="284"/>
        <v>1416099.9540057257</v>
      </c>
      <c r="ET124" s="1482">
        <f t="shared" ca="1" si="375"/>
        <v>943948.73599065503</v>
      </c>
      <c r="EU124" s="180">
        <f t="shared" ca="1" si="376"/>
        <v>171627.04290739182</v>
      </c>
      <c r="EV124" s="180">
        <f t="shared" ca="1" si="377"/>
        <v>30896.593464458918</v>
      </c>
      <c r="EW124" s="180">
        <f t="shared" ca="1" si="378"/>
        <v>115862.23283410211</v>
      </c>
      <c r="EX124" s="555">
        <f t="shared" ca="1" si="351"/>
        <v>1262334.6051966078</v>
      </c>
      <c r="EY124" s="180">
        <f t="shared" ca="1" si="379"/>
        <v>30663.258540661307</v>
      </c>
      <c r="EZ124" s="180">
        <f t="shared" ca="1" si="380"/>
        <v>5575.1379164838872</v>
      </c>
      <c r="FA124" s="180">
        <f t="shared" ca="1" si="381"/>
        <v>24742.516746943827</v>
      </c>
      <c r="FB124" s="180">
        <f t="shared" ca="1" si="382"/>
        <v>92784.435605028775</v>
      </c>
      <c r="FC124" s="180">
        <f t="shared" ca="1" si="383"/>
        <v>153765.34880911792</v>
      </c>
      <c r="FD124" s="262">
        <f>IF(AX124,IF(VLOOKUP(C124,MAIN!$L$17:$M$28,2)="Yes",VLOOKUP(CALC!B124,MAIN!$H$17:$I$20,2),0),0)</f>
        <v>0</v>
      </c>
      <c r="FE124" s="623">
        <f t="shared" si="285"/>
        <v>0</v>
      </c>
      <c r="FF124" s="535">
        <f t="shared" si="286"/>
        <v>0</v>
      </c>
      <c r="FG124" s="535">
        <f t="shared" si="287"/>
        <v>0</v>
      </c>
      <c r="FH124" s="624">
        <f t="shared" si="288"/>
        <v>0</v>
      </c>
      <c r="FI124" s="632">
        <f>IF(AX124,VLOOKUP(CALC!B124,MAIN!$H$17:$K$20,4),0)</f>
        <v>0</v>
      </c>
      <c r="FJ124" s="535">
        <f t="shared" si="289"/>
        <v>0</v>
      </c>
      <c r="FK124" s="648">
        <f t="shared" si="335"/>
        <v>0</v>
      </c>
      <c r="FL124" s="530">
        <f t="shared" ca="1" si="384"/>
        <v>0</v>
      </c>
      <c r="FM124" s="530">
        <f t="shared" ca="1" si="385"/>
        <v>0</v>
      </c>
      <c r="FN124" s="530">
        <f t="shared" ca="1" si="386"/>
        <v>0</v>
      </c>
      <c r="FO124" s="622">
        <f t="shared" ca="1" si="387"/>
        <v>0</v>
      </c>
      <c r="FP124" s="530">
        <f t="shared" ca="1" si="388"/>
        <v>0</v>
      </c>
      <c r="FQ124" s="530">
        <f t="shared" ca="1" si="389"/>
        <v>0</v>
      </c>
      <c r="FR124" s="530">
        <f t="shared" ca="1" si="390"/>
        <v>0</v>
      </c>
      <c r="FS124" s="625">
        <f t="shared" ca="1" si="391"/>
        <v>0</v>
      </c>
      <c r="FT124" s="640">
        <f ca="1">IF(AND(Assumptions!$H$71="Yes",A124&gt;=Assumptions!$H$72,A124&lt;=Assumptions!$H$73),0,IF(AND($A124&gt;=Assumptions!$C$17,$A124&lt;=Assumptions!$C$18),MAX(AZ124*(1+VLOOKUP($C124,WeatherCapacityAdjustment,2))-FL124,0),0))</f>
        <v>15364.800000000001</v>
      </c>
      <c r="FU124" s="530">
        <f ca="1">IF(AND(Assumptions!$H$71="Yes",A124&gt;=Assumptions!$H$72,A124&lt;=Assumptions!$H$73),0,IF(AND($A124&gt;=Assumptions!$C$17,$A124&lt;=Assumptions!$C$18),MAX(BA124*(1+VLOOKUP($C124,WeatherCapacityAdjustment,2))-FM124,0),0))</f>
        <v>2793.6000000000004</v>
      </c>
      <c r="FV124" s="530">
        <f ca="1">IF(AND(Assumptions!$H$71="Yes",A124&gt;=Assumptions!$H$72,A124&lt;=Assumptions!$H$73),0,IF(AND($A124&gt;=Assumptions!$C$17,$A124&lt;=Assumptions!$C$18),MAX(BB124*(1+VLOOKUP($C124,WeatherCapacityAdjustment,2))-FN124,0),0))</f>
        <v>2793.6000000000004</v>
      </c>
      <c r="FW124" s="622">
        <f ca="1">IF(AND(Assumptions!$H$71="Yes",A124&gt;=Assumptions!$H$72,A124&lt;=Assumptions!$H$73),0,IF(AND($A124&gt;=Assumptions!$C$17,$A124&lt;=Assumptions!$C$18),MAX(BC124*(1+VLOOKUP($C124,WeatherCapacityAdjustment,3))-FO124,0),0))</f>
        <v>10476.000000000002</v>
      </c>
      <c r="FX124" s="621">
        <f ca="1">IF(AND(Assumptions!$H$71="Yes",A124&gt;=Assumptions!$H$72,A124&lt;=Assumptions!$H$73),0,IF(ET124&gt;0,MAX(BH124*(1+VLOOKUP($C124,WeatherCapacityAdjustment,2))-FP124,0),0))</f>
        <v>61459.200000000004</v>
      </c>
      <c r="FY124" s="530">
        <f ca="1">IF(AND(Assumptions!$H$71="Yes",A124&gt;=Assumptions!$H$72,A124&lt;=Assumptions!$H$73),0,IF(EU124&gt;0,MAX(BI124*(1+VLOOKUP($C124,WeatherCapacityAdjustment,3))-FQ124,0),0))</f>
        <v>11174.400000000001</v>
      </c>
      <c r="FZ124" s="530">
        <f ca="1">IF(AND(Assumptions!$H$71="Yes",A124&gt;=Assumptions!$H$72,A124&lt;=Assumptions!$H$73),0,IF(EV124&gt;0,MAX(BJ124*(1+VLOOKUP($C124,WeatherCapacityAdjustment,2))-FR124,0),0))</f>
        <v>11174.400000000001</v>
      </c>
      <c r="GA124" s="622">
        <f ca="1">IF(AND(Assumptions!$H$71="Yes",A124&gt;=Assumptions!$H$72,A124&lt;=Assumptions!$H$73),0,IF(EW124&gt;0,MAX(BK124*(1+VLOOKUP($C124,WeatherCapacityAdjustment,2))-FS124,0),0))</f>
        <v>41904.000000000007</v>
      </c>
      <c r="GB124" s="530">
        <f t="shared" ca="1" si="290"/>
        <v>157140</v>
      </c>
      <c r="GC124" s="545">
        <f t="shared" ca="1" si="291"/>
        <v>30.794045881502939</v>
      </c>
      <c r="GD124" s="530">
        <f t="shared" ca="1" si="392"/>
        <v>4838976.369819372</v>
      </c>
      <c r="GE124" s="1485">
        <f t="shared" ca="1" si="393"/>
        <v>221095.98000000004</v>
      </c>
      <c r="GF124" s="1776">
        <f t="shared" ca="1" si="394"/>
        <v>884383.91999999993</v>
      </c>
      <c r="GG124" s="545">
        <f t="shared" si="359"/>
        <v>2.6617587716519782</v>
      </c>
      <c r="GH124" s="622">
        <f t="shared" ca="1" si="360"/>
        <v>2942520.8207099512</v>
      </c>
      <c r="GI124" s="621">
        <f t="shared" ca="1" si="336"/>
        <v>157140</v>
      </c>
      <c r="GJ124" s="638">
        <f t="shared" si="292"/>
        <v>2.0270923546752</v>
      </c>
      <c r="GK124" s="625">
        <f t="shared" ca="1" si="342"/>
        <v>318537.29261366092</v>
      </c>
      <c r="GL124" s="640">
        <f t="shared" ca="1" si="395"/>
        <v>0</v>
      </c>
      <c r="GM124" s="530">
        <f t="shared" ca="1" si="396"/>
        <v>0</v>
      </c>
      <c r="GN124" s="530">
        <f t="shared" ca="1" si="397"/>
        <v>0</v>
      </c>
      <c r="GO124" s="622">
        <f t="shared" ca="1" si="398"/>
        <v>0</v>
      </c>
      <c r="GP124" s="530">
        <f t="shared" ca="1" si="293"/>
        <v>0</v>
      </c>
      <c r="GQ124" s="545">
        <f t="shared" ca="1" si="294"/>
        <v>0</v>
      </c>
      <c r="GR124" s="625">
        <f t="shared" ca="1" si="399"/>
        <v>0</v>
      </c>
      <c r="GS124" s="640">
        <f>IF($A124&gt;=BegDate,Assumptions!$C$56*24*($A125-$A124)*(1-VLOOKUP($B124,MAIN!$AA$7:$AM$28,$C124+1))*(1-VLOOKUP($B124,MAIN!$AA$33:$AM$54,$C124+1)),0)*80/168</f>
        <v>74828.571428571435</v>
      </c>
      <c r="GT124" s="1715">
        <f t="shared" si="337"/>
        <v>36.111514599776058</v>
      </c>
      <c r="GU124" s="1715">
        <f>IF($A124&gt;=BegDate,VLOOKUP($A124,GasTable,13)+Assumptions!$C$58,0)</f>
        <v>2.6617587716519782</v>
      </c>
      <c r="GV124" s="1715">
        <f>GU124*Assumptions!$C$57/1000</f>
        <v>19.29775109447684</v>
      </c>
      <c r="GW124" s="625">
        <f>IF(Assumptions!$C$60="Hourly",MAX(0,GS124*(GT124-GV124)),GS124*(GT124-GV124))</f>
        <v>1258149.90343939</v>
      </c>
      <c r="GX124" s="640">
        <f>IF($A124&gt;=BegDate,Assumptions!$C$56*24*($A125-$A124)*(1-VLOOKUP($B124,MAIN!$AA$7:$AM$28,$C124+1))*(1-VLOOKUP($B124,MAIN!$AA$33:$AM$54,$C124+1)),0)*16/168</f>
        <v>14965.714285714288</v>
      </c>
      <c r="GY124" s="1715">
        <f t="shared" si="338"/>
        <v>36.111514599776058</v>
      </c>
      <c r="GZ124" s="1715">
        <f>IF($A124&gt;=BegDate,VLOOKUP($A124,GasTable,13)+Assumptions!$C$58,0)</f>
        <v>2.6617587716519782</v>
      </c>
      <c r="HA124" s="1715">
        <f>GZ124*Assumptions!$C$57/1000</f>
        <v>19.29775109447684</v>
      </c>
      <c r="HB124" s="625">
        <f>IF(Assumptions!$C$60="Hourly",MAX(0,GX124*(GY124-HA124)),GX124*(GY124-HA124))</f>
        <v>251629.98068787804</v>
      </c>
      <c r="HC124" s="640">
        <f>IF($A124&gt;=BegDate,Assumptions!$C$56*24*($A125-$A124)*(1-VLOOKUP($B124,MAIN!$AA$7:$AM$28,$C124+1))*(1-VLOOKUP($B124,MAIN!$AA$33:$AM$54,$C124+1)),0)*16/168</f>
        <v>14965.714285714288</v>
      </c>
      <c r="HD124" s="1715">
        <f t="shared" si="339"/>
        <v>23.517509602377281</v>
      </c>
      <c r="HE124" s="1715">
        <f>IF($A124&gt;=BegDate,VLOOKUP($A124,GasTable,13)+Assumptions!$C$58,0)</f>
        <v>2.6617587716519782</v>
      </c>
      <c r="HF124" s="1715">
        <f>HE124*Assumptions!$C$57/1000</f>
        <v>19.29775109447684</v>
      </c>
      <c r="HG124" s="625">
        <f>IF(Assumptions!$C$60="Hourly",MAX(0,HC124*(HD124-HF124)),HC124*(HD124-HF124))</f>
        <v>63151.70018395003</v>
      </c>
      <c r="HH124" s="640">
        <f>IF($A124&gt;=BegDate,Assumptions!$C$56*24*($A125-$A124)*(1-VLOOKUP($B124,MAIN!$AA$7:$AM$28,$C124+1))*(1-VLOOKUP($B124,MAIN!$AA$33:$AM$54,$C124+1)),0)*56/168</f>
        <v>52380.000000000015</v>
      </c>
      <c r="HI124" s="1715">
        <f t="shared" si="340"/>
        <v>23.517509602377281</v>
      </c>
      <c r="HJ124" s="1715">
        <f>IF($A124&gt;=BegDate,VLOOKUP($A124,GasTable,13)+Assumptions!$C$58,0)</f>
        <v>2.6617587716519782</v>
      </c>
      <c r="HK124" s="1715">
        <f>HJ124*Assumptions!$C$57/1000</f>
        <v>19.29775109447684</v>
      </c>
      <c r="HL124" s="625">
        <f>IF(Assumptions!$C$60="Hourly",MAX(0,HH124*(HI124-HK124)),HH124*(HI124-HK124))</f>
        <v>221030.95064382514</v>
      </c>
      <c r="HM124" s="640">
        <f>IF(AND(Assumptions!$H$71="Yes",A124&gt;=Assumptions!$H$72,A124&lt;=Assumptions!$H$73),Assumptions!$H$74*Assumptions!$C$9*1000,0)</f>
        <v>0</v>
      </c>
      <c r="HN124" s="530"/>
      <c r="HO124" s="545"/>
      <c r="HP124" s="545"/>
      <c r="HQ124" s="545"/>
      <c r="HR124" s="545"/>
      <c r="HS124" s="545"/>
      <c r="HT124" s="545"/>
      <c r="HU124" s="545"/>
      <c r="HV124" s="545"/>
      <c r="HW124" s="545"/>
      <c r="HX124" s="545"/>
      <c r="HY124" s="545"/>
      <c r="HZ124" s="545"/>
      <c r="IA124" s="545"/>
      <c r="IB124" s="545"/>
      <c r="IC124" s="545"/>
      <c r="ID124" s="545"/>
      <c r="IE124" s="545"/>
      <c r="IF124" s="545"/>
      <c r="IG124" s="545"/>
      <c r="IH124" s="545"/>
      <c r="II124" s="1464"/>
      <c r="IJ124" s="1463"/>
      <c r="IK124" s="1463"/>
    </row>
    <row r="125" spans="1:245">
      <c r="A125" s="177">
        <f t="shared" si="295"/>
        <v>39934</v>
      </c>
      <c r="B125" s="349">
        <f t="shared" si="296"/>
        <v>2009</v>
      </c>
      <c r="C125" s="15">
        <f t="shared" si="352"/>
        <v>5</v>
      </c>
      <c r="D125" s="612">
        <f t="shared" si="297"/>
        <v>39958</v>
      </c>
      <c r="E125" s="609">
        <f t="shared" si="353"/>
        <v>39934</v>
      </c>
      <c r="F125" s="614">
        <f t="shared" si="354"/>
        <v>39964</v>
      </c>
      <c r="G125" s="1349">
        <v>0</v>
      </c>
      <c r="H125" s="152">
        <f t="shared" si="341"/>
        <v>1</v>
      </c>
      <c r="I125" s="154">
        <f>IF(Assumptions!$L$25=4,VLOOKUP($A125,'Henwood Reference'!$E$9:$R$320,10),(VLOOKUP($A125,PriceTable,2,0)+IF(BasisNumber&lt;&gt;1,VLOOKUP($A125,BasisTable,2,0),0)+I$1)/(1-I$2))</f>
        <v>36.803712215522097</v>
      </c>
      <c r="J125" s="154">
        <f>IF(Assumptions!$L$25=4,VLOOKUP($A125,'Henwood Reference'!$E$9:$R$320,10),(VLOOKUP($A125,PriceTable,3,0)+IF(BasisNumber&lt;&gt;1,VLOOKUP($A125,BasisTable,2,0),0)+J$1)/(1-J$2))</f>
        <v>36.803712215522097</v>
      </c>
      <c r="K125" s="154">
        <f>IF(Assumptions!$L$25=4,VLOOKUP($A125,'Henwood Reference'!$E$9:$R$320,10),(VLOOKUP($A125,PriceTable,4,0)+IF(BasisNumber&lt;&gt;1,VLOOKUP($A125,BasisTable,2,0),0)+K$1)/(1-K$2))</f>
        <v>36.803712215522097</v>
      </c>
      <c r="L125" s="474">
        <f>IF(Assumptions!$L$25=4,VLOOKUP($A125,'Henwood Reference'!$E$9:$R$320,10),(VLOOKUP($A125,PriceTableWeekend,2,0)+IF(BasisNumber&lt;&gt;1,VLOOKUP($A125,BasisTable,2,0),0)+L$1)/(1-L$2))</f>
        <v>36.803712215522097</v>
      </c>
      <c r="M125" s="154">
        <f>IF(Assumptions!$L$25=4,VLOOKUP($A125,'Henwood Reference'!$E$9:$R$320,10),(VLOOKUP($A125,PriceTableWeekend,3,0)+IF(BasisNumber&lt;&gt;1,VLOOKUP($A125,BasisTable,2,0),0)+M$1)/(1-M$2))</f>
        <v>36.803712215522097</v>
      </c>
      <c r="N125" s="156">
        <f>IF(Assumptions!$L$25=4,VLOOKUP($A125,'Henwood Reference'!$E$9:$R$320,10),(VLOOKUP($A125,PriceTableWeekend,4,0)+IF(BasisNumber&lt;&gt;1,VLOOKUP($A125,BasisTable,2,0),0)+N$1)/(1-N$2))</f>
        <v>36.803712215522097</v>
      </c>
      <c r="O125" s="154">
        <f>IF(Assumptions!$L$25=4,VLOOKUP($A125,'Henwood Reference'!$E$9:$R$320,11),(VLOOKUP($A125,PriceTableWeekend,6,0)+IF(BasisNumber&lt;&gt;1,VLOOKUP($A125,BasisTable,3,0),0)+O$1)/(1-O$2))</f>
        <v>23.125280221355439</v>
      </c>
      <c r="P125" s="154">
        <f>IF(Assumptions!$L$25=4,VLOOKUP($A125,'Henwood Reference'!$E$9:$R$320,11),(VLOOKUP($A125,PriceTableWeekend,7,0)+IF(BasisNumber&lt;&gt;1,VLOOKUP($A125,BasisTable,3,0),0)+P$1)/(1-P$2))</f>
        <v>23.125280221355439</v>
      </c>
      <c r="Q125" s="156">
        <f>IF(Assumptions!$L$25=4,VLOOKUP($A125,'Henwood Reference'!$E$9:$R$320,11),(VLOOKUP($A125,PriceTableWeekend,8,0)+IF(BasisNumber&lt;&gt;1,VLOOKUP($A125,BasisTable,3,0),0)+Q$1)/(1-Q$2))</f>
        <v>23.125280221355439</v>
      </c>
      <c r="R125" s="154">
        <f>IF(Assumptions!$L$25=4,VLOOKUP($A125,'Henwood Reference'!$E$9:$R$320,11),(VLOOKUP($A125,PriceTable,6,0)+IF(BasisNumber&lt;&gt;1,VLOOKUP($A125,BasisTable,3,0),0)+R$1)/(1-R$2))</f>
        <v>23.125280221355439</v>
      </c>
      <c r="S125" s="154">
        <f>IF(Assumptions!$L$25=4,VLOOKUP($A125,'Henwood Reference'!$E$9:$R$320,11),(VLOOKUP($A125,PriceTable,7,0)+IF(BasisNumber&lt;&gt;1,VLOOKUP($A125,BasisTable,3,0),0)+S$1)/(1-S$2))</f>
        <v>23.125280221355439</v>
      </c>
      <c r="T125" s="155">
        <f>IF(Assumptions!$L$25=4,VLOOKUP($A125,'Henwood Reference'!$E$9:$R$320,11),(VLOOKUP($A125,PriceTable,8,0)+IF(BasisNumber&lt;&gt;1,VLOOKUP($A125,BasisTable,3,0),0)+T$1)/(1-T$2))</f>
        <v>23.125280221355439</v>
      </c>
      <c r="U125" s="173">
        <f t="shared" si="298"/>
        <v>0.125</v>
      </c>
      <c r="V125" s="173">
        <f t="shared" si="299"/>
        <v>0.13500000000000001</v>
      </c>
      <c r="W125" s="174">
        <f t="shared" si="300"/>
        <v>0.14499999999999999</v>
      </c>
      <c r="X125" s="173">
        <f t="shared" si="301"/>
        <v>0.125</v>
      </c>
      <c r="Y125" s="173">
        <f t="shared" si="302"/>
        <v>0.13500000000000001</v>
      </c>
      <c r="Z125" s="174">
        <f t="shared" si="303"/>
        <v>0.14499999999999999</v>
      </c>
      <c r="AA125" s="173">
        <f t="shared" si="304"/>
        <v>0.09</v>
      </c>
      <c r="AB125" s="173">
        <f t="shared" si="305"/>
        <v>0.11</v>
      </c>
      <c r="AC125" s="174">
        <f t="shared" si="306"/>
        <v>0.13</v>
      </c>
      <c r="AD125" s="173">
        <f t="shared" si="307"/>
        <v>0.09</v>
      </c>
      <c r="AE125" s="173">
        <f t="shared" si="308"/>
        <v>0.11</v>
      </c>
      <c r="AF125" s="174">
        <f t="shared" si="309"/>
        <v>0.13</v>
      </c>
      <c r="AG125" s="173">
        <f t="shared" si="310"/>
        <v>-0.1</v>
      </c>
      <c r="AH125" s="173">
        <f t="shared" si="311"/>
        <v>0.65</v>
      </c>
      <c r="AI125" s="174">
        <f t="shared" si="312"/>
        <v>0.1</v>
      </c>
      <c r="AJ125" s="173">
        <f t="shared" si="313"/>
        <v>-0.1</v>
      </c>
      <c r="AK125" s="173">
        <f t="shared" si="314"/>
        <v>0.65</v>
      </c>
      <c r="AL125" s="174">
        <f t="shared" si="315"/>
        <v>0.1</v>
      </c>
      <c r="AM125" s="173">
        <f t="shared" si="316"/>
        <v>-0.01</v>
      </c>
      <c r="AN125" s="173">
        <f t="shared" si="317"/>
        <v>0.16</v>
      </c>
      <c r="AO125" s="174">
        <f t="shared" si="318"/>
        <v>0.01</v>
      </c>
      <c r="AP125" s="173">
        <f t="shared" si="319"/>
        <v>-0.01</v>
      </c>
      <c r="AQ125" s="173">
        <f t="shared" si="320"/>
        <v>0.16</v>
      </c>
      <c r="AR125" s="175">
        <f t="shared" si="321"/>
        <v>0.01</v>
      </c>
      <c r="AS125" s="521">
        <f t="shared" si="357"/>
        <v>0.5</v>
      </c>
      <c r="AT125" s="349">
        <f t="shared" si="355"/>
        <v>20</v>
      </c>
      <c r="AU125" s="159">
        <f t="shared" si="240"/>
        <v>5</v>
      </c>
      <c r="AV125" s="159">
        <f t="shared" si="241"/>
        <v>5</v>
      </c>
      <c r="AW125" s="159">
        <f t="shared" si="358"/>
        <v>1</v>
      </c>
      <c r="AX125" s="15">
        <f t="shared" si="356"/>
        <v>31</v>
      </c>
      <c r="AY125" s="607">
        <f>IF(E125="",0,MIN((1-(1-VLOOKUP(B125,MAIN!$AA$7:$AM$28,C125+1))*(1-VLOOKUP(B125,MAIN!$AA$33:$AM$54,C125+1))),1))</f>
        <v>3.0000000000000027E-2</v>
      </c>
      <c r="AZ125" s="337">
        <v>46560</v>
      </c>
      <c r="BA125" s="509">
        <v>11640</v>
      </c>
      <c r="BB125" s="509">
        <v>13968</v>
      </c>
      <c r="BC125" s="511">
        <v>36084</v>
      </c>
      <c r="BD125" s="153">
        <v>0.97</v>
      </c>
      <c r="BE125" s="474">
        <v>0.97</v>
      </c>
      <c r="BF125" s="474">
        <v>0.97</v>
      </c>
      <c r="BG125" s="515">
        <v>0.97</v>
      </c>
      <c r="BH125" s="262">
        <v>186240</v>
      </c>
      <c r="BI125" s="509">
        <v>46560</v>
      </c>
      <c r="BJ125" s="509">
        <v>55872</v>
      </c>
      <c r="BK125" s="511">
        <v>144336</v>
      </c>
      <c r="BL125" s="153">
        <v>0.97</v>
      </c>
      <c r="BM125" s="474">
        <v>0.97</v>
      </c>
      <c r="BN125" s="474">
        <v>0.97</v>
      </c>
      <c r="BO125" s="474">
        <v>0.97</v>
      </c>
      <c r="BP125" s="261">
        <f t="shared" si="324"/>
        <v>72168</v>
      </c>
      <c r="BQ125" s="578">
        <f t="shared" si="325"/>
        <v>108252</v>
      </c>
      <c r="BR125" s="259">
        <f t="shared" si="326"/>
        <v>288672</v>
      </c>
      <c r="BS125" s="578">
        <f t="shared" si="327"/>
        <v>433008</v>
      </c>
      <c r="BT125" s="216">
        <f t="shared" si="328"/>
        <v>9.0458590006844624</v>
      </c>
      <c r="BU125" s="218">
        <f t="shared" si="243"/>
        <v>36.803712215522097</v>
      </c>
      <c r="BV125" s="216">
        <f t="shared" si="244"/>
        <v>36.803712215522097</v>
      </c>
      <c r="BW125" s="216">
        <f t="shared" si="245"/>
        <v>23.125280221355439</v>
      </c>
      <c r="BX125" s="216">
        <f t="shared" si="329"/>
        <v>23.125280221355439</v>
      </c>
      <c r="BY125" s="216">
        <f t="shared" si="246"/>
        <v>34.156273765038229</v>
      </c>
      <c r="BZ125" s="216">
        <f t="shared" si="247"/>
        <v>30.479275917143969</v>
      </c>
      <c r="CA125" s="264">
        <f t="shared" si="248"/>
        <v>36.803712215522097</v>
      </c>
      <c r="CB125" s="216">
        <f t="shared" si="249"/>
        <v>36.803712215522097</v>
      </c>
      <c r="CC125" s="216">
        <f t="shared" si="250"/>
        <v>23.125280221355439</v>
      </c>
      <c r="CD125" s="216">
        <f t="shared" si="330"/>
        <v>23.125280221355439</v>
      </c>
      <c r="CE125" s="216">
        <f t="shared" si="251"/>
        <v>34.156273765038229</v>
      </c>
      <c r="CF125" s="571">
        <f t="shared" si="252"/>
        <v>30.479275917143969</v>
      </c>
      <c r="CG125" s="573">
        <f t="shared" si="253"/>
        <v>0.13500000000000001</v>
      </c>
      <c r="CH125" s="219">
        <f t="shared" si="254"/>
        <v>0.13500000000000001</v>
      </c>
      <c r="CI125" s="219">
        <f t="shared" si="255"/>
        <v>0.11</v>
      </c>
      <c r="CJ125" s="219">
        <f t="shared" si="256"/>
        <v>0.13176617746720004</v>
      </c>
      <c r="CK125" s="219">
        <f t="shared" si="257"/>
        <v>0.13176617746720004</v>
      </c>
      <c r="CL125" s="219">
        <f t="shared" si="258"/>
        <v>0.11</v>
      </c>
      <c r="CM125" s="219">
        <f t="shared" si="259"/>
        <v>0.11535765243731766</v>
      </c>
      <c r="CN125" s="569">
        <f t="shared" si="260"/>
        <v>0.11535765243731766</v>
      </c>
      <c r="CO125" s="264">
        <f t="shared" si="343"/>
        <v>18.561802464613692</v>
      </c>
      <c r="CP125" s="216">
        <f t="shared" si="331"/>
        <v>18.561802464613692</v>
      </c>
      <c r="CQ125" s="216">
        <f t="shared" ca="1" si="361"/>
        <v>18.561802464613692</v>
      </c>
      <c r="CR125" s="216">
        <f t="shared" ca="1" si="362"/>
        <v>18.561802464613692</v>
      </c>
      <c r="CS125" s="1626">
        <f t="shared" ca="1" si="363"/>
        <v>18.561802464613695</v>
      </c>
      <c r="CT125" s="216">
        <f t="shared" si="332"/>
        <v>18.561802464613692</v>
      </c>
      <c r="CU125" s="575">
        <f t="shared" si="261"/>
        <v>0.159</v>
      </c>
      <c r="CV125" s="154">
        <f t="shared" si="262"/>
        <v>0.5</v>
      </c>
      <c r="CW125" s="216">
        <f>IF(OR($BQ125,$BS125),SpreadOptPowerMargin,0)*((1+Assumptions!$C$26)^($B125-YEAR(Assumptions!$C$17)))</f>
        <v>2.0270923546752</v>
      </c>
      <c r="CX125" s="216">
        <f>IF(OR($BQ125,$BS125),SpreadOptPowerMargin,0)*((1+Assumptions!$C$26)^($B125-YEAR(Assumptions!$C$17)))</f>
        <v>2.0270923546752</v>
      </c>
      <c r="CY125" s="216">
        <f>IF(OR($BQ125,$BS125),SpreadOptPowerMargin,0)*((1+Assumptions!$C$26)^($B125-YEAR(Assumptions!$C$17)))</f>
        <v>2.0270923546752</v>
      </c>
      <c r="CZ125" s="216">
        <f>IF(OR($BQ125,$BS125),SpreadOptPowerMargin,0)*((1+Assumptions!$C$26)^($B125-YEAR(Assumptions!$C$17)))</f>
        <v>2.0270923546752</v>
      </c>
      <c r="DA125" s="440">
        <f t="shared" si="263"/>
        <v>2.0270923546752</v>
      </c>
      <c r="DB125" s="479">
        <f t="shared" si="264"/>
        <v>0.13500000000000001</v>
      </c>
      <c r="DC125" s="479">
        <f t="shared" si="265"/>
        <v>0.13500000000000001</v>
      </c>
      <c r="DD125" s="479">
        <f t="shared" si="266"/>
        <v>0.11</v>
      </c>
      <c r="DE125" s="479">
        <f t="shared" si="267"/>
        <v>0.11</v>
      </c>
      <c r="DF125" s="479">
        <f t="shared" si="268"/>
        <v>0.11535765243731766</v>
      </c>
      <c r="DG125" s="574">
        <f t="shared" si="269"/>
        <v>0.11535765243731766</v>
      </c>
      <c r="DH125" s="216">
        <f t="shared" si="270"/>
        <v>16.659558107395071</v>
      </c>
      <c r="DI125" s="216">
        <f t="shared" si="271"/>
        <v>16.659558107395071</v>
      </c>
      <c r="DJ125" s="216">
        <f t="shared" ca="1" si="364"/>
        <v>4.8083293105704108</v>
      </c>
      <c r="DK125" s="216">
        <f t="shared" ca="1" si="365"/>
        <v>4.8083293105704108</v>
      </c>
      <c r="DL125" s="216">
        <f t="shared" ca="1" si="366"/>
        <v>10.742027839215073</v>
      </c>
      <c r="DM125" s="216"/>
      <c r="DN125" s="216"/>
      <c r="DO125" s="216"/>
      <c r="DP125" s="216"/>
      <c r="DQ125" s="216"/>
      <c r="DR125" s="216"/>
      <c r="DS125" s="216"/>
      <c r="DT125" s="216"/>
      <c r="DU125" s="216"/>
      <c r="DV125" s="216"/>
      <c r="DW125" s="1371">
        <f t="shared" si="272"/>
        <v>4.8083293105704108</v>
      </c>
      <c r="DX125" s="216">
        <f t="shared" si="273"/>
        <v>4.8083293105704108</v>
      </c>
      <c r="DY125" s="440">
        <f t="shared" si="274"/>
        <v>11.179957695960015</v>
      </c>
      <c r="DZ125" s="180">
        <f t="shared" si="275"/>
        <v>775669.02548031451</v>
      </c>
      <c r="EA125" s="180">
        <f t="shared" si="276"/>
        <v>193917.25637007863</v>
      </c>
      <c r="EB125" s="180">
        <f t="shared" ca="1" si="367"/>
        <v>67162.743810047497</v>
      </c>
      <c r="EC125" s="180">
        <f t="shared" ca="1" si="368"/>
        <v>173503.7548426227</v>
      </c>
      <c r="ED125" s="180">
        <f t="shared" ca="1" si="369"/>
        <v>1162845.9976507102</v>
      </c>
      <c r="EE125" s="581">
        <f t="shared" si="277"/>
        <v>754961.89796861797</v>
      </c>
      <c r="EF125" s="554">
        <f t="shared" si="278"/>
        <v>188740.47449215449</v>
      </c>
      <c r="EG125" s="554">
        <f t="shared" ca="1" si="370"/>
        <v>35428.231296065518</v>
      </c>
      <c r="EH125" s="554">
        <f t="shared" ca="1" si="371"/>
        <v>91522.930848169257</v>
      </c>
      <c r="EI125" s="561">
        <f t="shared" ca="1" si="279"/>
        <v>1070653.5346050074</v>
      </c>
      <c r="EJ125" s="581">
        <f t="shared" si="333"/>
        <v>20707.127511696541</v>
      </c>
      <c r="EK125" s="554">
        <f t="shared" si="334"/>
        <v>5176.7818779241352</v>
      </c>
      <c r="EL125" s="554">
        <f t="shared" ca="1" si="372"/>
        <v>31734.512513981979</v>
      </c>
      <c r="EM125" s="554">
        <f t="shared" ca="1" si="373"/>
        <v>81980.823994453443</v>
      </c>
      <c r="EN125" s="561">
        <f t="shared" ca="1" si="374"/>
        <v>92192.463045702782</v>
      </c>
      <c r="EO125" s="180">
        <f t="shared" si="280"/>
        <v>3102676.101921258</v>
      </c>
      <c r="EP125" s="180">
        <f t="shared" si="281"/>
        <v>775669.02548031451</v>
      </c>
      <c r="EQ125" s="180">
        <f t="shared" si="282"/>
        <v>268650.97524018999</v>
      </c>
      <c r="ER125" s="180">
        <f t="shared" si="283"/>
        <v>694015.0193704908</v>
      </c>
      <c r="ES125" s="180">
        <f t="shared" si="284"/>
        <v>4841011.1220122539</v>
      </c>
      <c r="ET125" s="1482">
        <f t="shared" ca="1" si="375"/>
        <v>3019847.5918744719</v>
      </c>
      <c r="EU125" s="180">
        <f t="shared" ca="1" si="376"/>
        <v>754961.89796861797</v>
      </c>
      <c r="EV125" s="180">
        <f t="shared" ca="1" si="377"/>
        <v>141712.92518426207</v>
      </c>
      <c r="EW125" s="180">
        <f t="shared" ca="1" si="378"/>
        <v>366091.72339267703</v>
      </c>
      <c r="EX125" s="555">
        <f t="shared" ca="1" si="351"/>
        <v>4282614.1384200286</v>
      </c>
      <c r="EY125" s="180">
        <f t="shared" ca="1" si="379"/>
        <v>82828.510046786163</v>
      </c>
      <c r="EZ125" s="180">
        <f t="shared" ca="1" si="380"/>
        <v>20707.127511696541</v>
      </c>
      <c r="FA125" s="180">
        <f t="shared" ca="1" si="381"/>
        <v>126938.05005592792</v>
      </c>
      <c r="FB125" s="180">
        <f t="shared" ca="1" si="382"/>
        <v>327923.29597781377</v>
      </c>
      <c r="FC125" s="180">
        <f t="shared" ca="1" si="383"/>
        <v>558396.98359222524</v>
      </c>
      <c r="FD125" s="262">
        <f>IF(AX125,IF(VLOOKUP(C125,MAIN!$L$17:$M$28,2)="Yes",VLOOKUP(CALC!B125,MAIN!$H$17:$I$20,2),0),0)</f>
        <v>0</v>
      </c>
      <c r="FE125" s="623">
        <f t="shared" si="285"/>
        <v>0</v>
      </c>
      <c r="FF125" s="535">
        <f t="shared" si="286"/>
        <v>0</v>
      </c>
      <c r="FG125" s="535">
        <f t="shared" si="287"/>
        <v>0</v>
      </c>
      <c r="FH125" s="624">
        <f t="shared" si="288"/>
        <v>0</v>
      </c>
      <c r="FI125" s="632">
        <f>IF(AX125,VLOOKUP(CALC!B125,MAIN!$H$17:$K$20,4),0)</f>
        <v>0</v>
      </c>
      <c r="FJ125" s="535">
        <f t="shared" si="289"/>
        <v>0</v>
      </c>
      <c r="FK125" s="648">
        <f t="shared" si="335"/>
        <v>0</v>
      </c>
      <c r="FL125" s="530">
        <f t="shared" ca="1" si="384"/>
        <v>0</v>
      </c>
      <c r="FM125" s="530">
        <f t="shared" ca="1" si="385"/>
        <v>0</v>
      </c>
      <c r="FN125" s="530">
        <f t="shared" ca="1" si="386"/>
        <v>0</v>
      </c>
      <c r="FO125" s="622">
        <f t="shared" ca="1" si="387"/>
        <v>0</v>
      </c>
      <c r="FP125" s="530">
        <f t="shared" ca="1" si="388"/>
        <v>0</v>
      </c>
      <c r="FQ125" s="530">
        <f t="shared" ca="1" si="389"/>
        <v>0</v>
      </c>
      <c r="FR125" s="530">
        <f t="shared" ca="1" si="390"/>
        <v>0</v>
      </c>
      <c r="FS125" s="625">
        <f t="shared" ca="1" si="391"/>
        <v>0</v>
      </c>
      <c r="FT125" s="640">
        <f ca="1">IF(AND(Assumptions!$H$71="Yes",A125&gt;=Assumptions!$H$72,A125&lt;=Assumptions!$H$73),0,IF(AND($A125&gt;=Assumptions!$C$17,$A125&lt;=Assumptions!$C$18),MAX(AZ125*(1+VLOOKUP($C125,WeatherCapacityAdjustment,2))-FL125,0),0))</f>
        <v>46560</v>
      </c>
      <c r="FU125" s="530">
        <f ca="1">IF(AND(Assumptions!$H$71="Yes",A125&gt;=Assumptions!$H$72,A125&lt;=Assumptions!$H$73),0,IF(AND($A125&gt;=Assumptions!$C$17,$A125&lt;=Assumptions!$C$18),MAX(BA125*(1+VLOOKUP($C125,WeatherCapacityAdjustment,2))-FM125,0),0))</f>
        <v>11640</v>
      </c>
      <c r="FV125" s="530">
        <f ca="1">IF(AND(Assumptions!$H$71="Yes",A125&gt;=Assumptions!$H$72,A125&lt;=Assumptions!$H$73),0,IF(AND($A125&gt;=Assumptions!$C$17,$A125&lt;=Assumptions!$C$18),MAX(BB125*(1+VLOOKUP($C125,WeatherCapacityAdjustment,2))-FN125,0),0))</f>
        <v>13968</v>
      </c>
      <c r="FW125" s="622">
        <f ca="1">IF(AND(Assumptions!$H$71="Yes",A125&gt;=Assumptions!$H$72,A125&lt;=Assumptions!$H$73),0,IF(AND($A125&gt;=Assumptions!$C$17,$A125&lt;=Assumptions!$C$18),MAX(BC125*(1+VLOOKUP($C125,WeatherCapacityAdjustment,3))-FO125,0),0))</f>
        <v>36084</v>
      </c>
      <c r="FX125" s="621">
        <f ca="1">IF(AND(Assumptions!$H$71="Yes",A125&gt;=Assumptions!$H$72,A125&lt;=Assumptions!$H$73),0,IF(ET125&gt;0,MAX(BH125*(1+VLOOKUP($C125,WeatherCapacityAdjustment,2))-FP125,0),0))</f>
        <v>186240</v>
      </c>
      <c r="FY125" s="530">
        <f ca="1">IF(AND(Assumptions!$H$71="Yes",A125&gt;=Assumptions!$H$72,A125&lt;=Assumptions!$H$73),0,IF(EU125&gt;0,MAX(BI125*(1+VLOOKUP($C125,WeatherCapacityAdjustment,3))-FQ125,0),0))</f>
        <v>46560</v>
      </c>
      <c r="FZ125" s="530">
        <f ca="1">IF(AND(Assumptions!$H$71="Yes",A125&gt;=Assumptions!$H$72,A125&lt;=Assumptions!$H$73),0,IF(EV125&gt;0,MAX(BJ125*(1+VLOOKUP($C125,WeatherCapacityAdjustment,2))-FR125,0),0))</f>
        <v>55872</v>
      </c>
      <c r="GA125" s="622">
        <f ca="1">IF(AND(Assumptions!$H$71="Yes",A125&gt;=Assumptions!$H$72,A125&lt;=Assumptions!$H$73),0,IF(EW125&gt;0,MAX(BK125*(1+VLOOKUP($C125,WeatherCapacityAdjustment,2))-FS125,0),0))</f>
        <v>144336</v>
      </c>
      <c r="GB125" s="530">
        <f t="shared" ca="1" si="290"/>
        <v>541260</v>
      </c>
      <c r="GC125" s="545">
        <f t="shared" ca="1" si="291"/>
        <v>30.479275917143962</v>
      </c>
      <c r="GD125" s="530">
        <f t="shared" ca="1" si="392"/>
        <v>16497212.882913342</v>
      </c>
      <c r="GE125" s="1485">
        <f t="shared" ca="1" si="393"/>
        <v>761871.08088000002</v>
      </c>
      <c r="GF125" s="1776">
        <f t="shared" ca="1" si="394"/>
        <v>3047484.3235200001</v>
      </c>
      <c r="GG125" s="545">
        <f t="shared" si="359"/>
        <v>2.6373914049585094</v>
      </c>
      <c r="GH125" s="622">
        <f t="shared" ca="1" si="360"/>
        <v>10046761.201996807</v>
      </c>
      <c r="GI125" s="621">
        <f t="shared" ca="1" si="336"/>
        <v>541260</v>
      </c>
      <c r="GJ125" s="638">
        <f t="shared" si="292"/>
        <v>2.0270923546752</v>
      </c>
      <c r="GK125" s="625">
        <f t="shared" ca="1" si="342"/>
        <v>1097184.0078914987</v>
      </c>
      <c r="GL125" s="640">
        <f t="shared" ca="1" si="395"/>
        <v>0</v>
      </c>
      <c r="GM125" s="530">
        <f t="shared" ca="1" si="396"/>
        <v>0</v>
      </c>
      <c r="GN125" s="530">
        <f t="shared" ca="1" si="397"/>
        <v>0</v>
      </c>
      <c r="GO125" s="622">
        <f t="shared" ca="1" si="398"/>
        <v>0</v>
      </c>
      <c r="GP125" s="530">
        <f t="shared" ca="1" si="293"/>
        <v>0</v>
      </c>
      <c r="GQ125" s="545">
        <f t="shared" ca="1" si="294"/>
        <v>0</v>
      </c>
      <c r="GR125" s="625">
        <f t="shared" ca="1" si="399"/>
        <v>0</v>
      </c>
      <c r="GS125" s="640">
        <f>IF($A125&gt;=BegDate,Assumptions!$C$56*24*($A126-$A125)*(1-VLOOKUP($B125,MAIN!$AA$7:$AM$28,$C125+1))*(1-VLOOKUP($B125,MAIN!$AA$33:$AM$54,$C125+1)),0)*80/168</f>
        <v>257742.85714285713</v>
      </c>
      <c r="GT125" s="1715">
        <f t="shared" si="337"/>
        <v>36.803712215522097</v>
      </c>
      <c r="GU125" s="1715">
        <f>IF($A125&gt;=BegDate,VLOOKUP($A125,GasTable,13)+Assumptions!$C$58,0)</f>
        <v>2.6373914049585094</v>
      </c>
      <c r="GV125" s="1715">
        <f>GU125*Assumptions!$C$57/1000</f>
        <v>19.121087685949195</v>
      </c>
      <c r="GW125" s="625">
        <f>IF(Assumptions!$C$60="Hourly",MAX(0,GS125*(GT125-GV125)),GS125*(GT125-GV125))</f>
        <v>4557570.1680364897</v>
      </c>
      <c r="GX125" s="640">
        <f>IF($A125&gt;=BegDate,Assumptions!$C$56*24*($A126-$A125)*(1-VLOOKUP($B125,MAIN!$AA$7:$AM$28,$C125+1))*(1-VLOOKUP($B125,MAIN!$AA$33:$AM$54,$C125+1)),0)*16/168</f>
        <v>51548.571428571428</v>
      </c>
      <c r="GY125" s="1715">
        <f t="shared" si="338"/>
        <v>36.803712215522097</v>
      </c>
      <c r="GZ125" s="1715">
        <f>IF($A125&gt;=BegDate,VLOOKUP($A125,GasTable,13)+Assumptions!$C$58,0)</f>
        <v>2.6373914049585094</v>
      </c>
      <c r="HA125" s="1715">
        <f>GZ125*Assumptions!$C$57/1000</f>
        <v>19.121087685949195</v>
      </c>
      <c r="HB125" s="625">
        <f>IF(Assumptions!$C$60="Hourly",MAX(0,GX125*(GY125-HA125)),GX125*(GY125-HA125))</f>
        <v>911514.03360729793</v>
      </c>
      <c r="HC125" s="640">
        <f>IF($A125&gt;=BegDate,Assumptions!$C$56*24*($A126-$A125)*(1-VLOOKUP($B125,MAIN!$AA$7:$AM$28,$C125+1))*(1-VLOOKUP($B125,MAIN!$AA$33:$AM$54,$C125+1)),0)*16/168</f>
        <v>51548.571428571428</v>
      </c>
      <c r="HD125" s="1715">
        <f t="shared" si="339"/>
        <v>23.125280221355439</v>
      </c>
      <c r="HE125" s="1715">
        <f>IF($A125&gt;=BegDate,VLOOKUP($A125,GasTable,13)+Assumptions!$C$58,0)</f>
        <v>2.6373914049585094</v>
      </c>
      <c r="HF125" s="1715">
        <f>HE125*Assumptions!$C$57/1000</f>
        <v>19.121087685949195</v>
      </c>
      <c r="HG125" s="625">
        <f>IF(Assumptions!$C$60="Hourly",MAX(0,HC125*(HD125-HF125)),HC125*(HD125-HF125))</f>
        <v>206410.40492514128</v>
      </c>
      <c r="HH125" s="640">
        <f>IF($A125&gt;=BegDate,Assumptions!$C$56*24*($A126-$A125)*(1-VLOOKUP($B125,MAIN!$AA$7:$AM$28,$C125+1))*(1-VLOOKUP($B125,MAIN!$AA$33:$AM$54,$C125+1)),0)*56/168</f>
        <v>180420</v>
      </c>
      <c r="HI125" s="1715">
        <f t="shared" si="340"/>
        <v>23.125280221355439</v>
      </c>
      <c r="HJ125" s="1715">
        <f>IF($A125&gt;=BegDate,VLOOKUP($A125,GasTable,13)+Assumptions!$C$58,0)</f>
        <v>2.6373914049585094</v>
      </c>
      <c r="HK125" s="1715">
        <f>HJ125*Assumptions!$C$57/1000</f>
        <v>19.121087685949195</v>
      </c>
      <c r="HL125" s="625">
        <f>IF(Assumptions!$C$60="Hourly",MAX(0,HH125*(HI125-HK125)),HH125*(HI125-HK125))</f>
        <v>722436.41723799449</v>
      </c>
      <c r="HM125" s="640">
        <f>IF(AND(Assumptions!$H$71="Yes",A125&gt;=Assumptions!$H$72,A125&lt;=Assumptions!$H$73),Assumptions!$H$74*Assumptions!$C$9*1000,0)</f>
        <v>0</v>
      </c>
      <c r="HN125" s="530"/>
      <c r="HO125" s="545"/>
      <c r="HP125" s="545"/>
      <c r="HQ125" s="545"/>
      <c r="HR125" s="545"/>
      <c r="HS125" s="545"/>
      <c r="HT125" s="545"/>
      <c r="HU125" s="545"/>
      <c r="HV125" s="545"/>
      <c r="HW125" s="545"/>
      <c r="HX125" s="545"/>
      <c r="HY125" s="545"/>
      <c r="HZ125" s="545"/>
      <c r="IA125" s="545"/>
      <c r="IB125" s="545"/>
      <c r="IC125" s="545"/>
      <c r="ID125" s="545"/>
      <c r="IE125" s="545"/>
      <c r="IF125" s="545"/>
      <c r="IG125" s="545"/>
      <c r="IH125" s="545"/>
      <c r="II125" s="1464"/>
      <c r="IJ125" s="1463"/>
      <c r="IK125" s="1463"/>
    </row>
    <row r="126" spans="1:245">
      <c r="A126" s="177">
        <f t="shared" si="295"/>
        <v>39965</v>
      </c>
      <c r="B126" s="349">
        <f t="shared" si="296"/>
        <v>2009</v>
      </c>
      <c r="C126" s="15">
        <f t="shared" si="352"/>
        <v>6</v>
      </c>
      <c r="D126" s="612" t="str">
        <f t="shared" si="297"/>
        <v/>
      </c>
      <c r="E126" s="609">
        <f t="shared" si="353"/>
        <v>39965</v>
      </c>
      <c r="F126" s="614">
        <f t="shared" si="354"/>
        <v>39994</v>
      </c>
      <c r="G126" s="1349">
        <v>0</v>
      </c>
      <c r="H126" s="152">
        <f t="shared" si="341"/>
        <v>1</v>
      </c>
      <c r="I126" s="154">
        <f>IF(Assumptions!$L$25=4,VLOOKUP($A126,'Henwood Reference'!$E$9:$R$320,10),(VLOOKUP($A126,PriceTable,2,0)+IF(BasisNumber&lt;&gt;1,VLOOKUP($A126,BasisTable,2,0),0)+I$1)/(1-I$2))</f>
        <v>34.383171727034465</v>
      </c>
      <c r="J126" s="154">
        <f>IF(Assumptions!$L$25=4,VLOOKUP($A126,'Henwood Reference'!$E$9:$R$320,10),(VLOOKUP($A126,PriceTable,3,0)+IF(BasisNumber&lt;&gt;1,VLOOKUP($A126,BasisTable,2,0),0)+J$1)/(1-J$2))</f>
        <v>34.383171727034465</v>
      </c>
      <c r="K126" s="154">
        <f>IF(Assumptions!$L$25=4,VLOOKUP($A126,'Henwood Reference'!$E$9:$R$320,10),(VLOOKUP($A126,PriceTable,4,0)+IF(BasisNumber&lt;&gt;1,VLOOKUP($A126,BasisTable,2,0),0)+K$1)/(1-K$2))</f>
        <v>34.383171727034465</v>
      </c>
      <c r="L126" s="474">
        <f>IF(Assumptions!$L$25=4,VLOOKUP($A126,'Henwood Reference'!$E$9:$R$320,10),(VLOOKUP($A126,PriceTableWeekend,2,0)+IF(BasisNumber&lt;&gt;1,VLOOKUP($A126,BasisTable,2,0),0)+L$1)/(1-L$2))</f>
        <v>34.383171727034465</v>
      </c>
      <c r="M126" s="154">
        <f>IF(Assumptions!$L$25=4,VLOOKUP($A126,'Henwood Reference'!$E$9:$R$320,10),(VLOOKUP($A126,PriceTableWeekend,3,0)+IF(BasisNumber&lt;&gt;1,VLOOKUP($A126,BasisTable,2,0),0)+M$1)/(1-M$2))</f>
        <v>34.383171727034465</v>
      </c>
      <c r="N126" s="156">
        <f>IF(Assumptions!$L$25=4,VLOOKUP($A126,'Henwood Reference'!$E$9:$R$320,10),(VLOOKUP($A126,PriceTableWeekend,4,0)+IF(BasisNumber&lt;&gt;1,VLOOKUP($A126,BasisTable,2,0),0)+N$1)/(1-N$2))</f>
        <v>34.383171727034465</v>
      </c>
      <c r="O126" s="154">
        <f>IF(Assumptions!$L$25=4,VLOOKUP($A126,'Henwood Reference'!$E$9:$R$320,11),(VLOOKUP($A126,PriceTableWeekend,6,0)+IF(BasisNumber&lt;&gt;1,VLOOKUP($A126,BasisTable,3,0),0)+O$1)/(1-O$2))</f>
        <v>21.866130691054973</v>
      </c>
      <c r="P126" s="154">
        <f>IF(Assumptions!$L$25=4,VLOOKUP($A126,'Henwood Reference'!$E$9:$R$320,11),(VLOOKUP($A126,PriceTableWeekend,7,0)+IF(BasisNumber&lt;&gt;1,VLOOKUP($A126,BasisTable,3,0),0)+P$1)/(1-P$2))</f>
        <v>21.866130691054973</v>
      </c>
      <c r="Q126" s="156">
        <f>IF(Assumptions!$L$25=4,VLOOKUP($A126,'Henwood Reference'!$E$9:$R$320,11),(VLOOKUP($A126,PriceTableWeekend,8,0)+IF(BasisNumber&lt;&gt;1,VLOOKUP($A126,BasisTable,3,0),0)+Q$1)/(1-Q$2))</f>
        <v>21.866130691054973</v>
      </c>
      <c r="R126" s="154">
        <f>IF(Assumptions!$L$25=4,VLOOKUP($A126,'Henwood Reference'!$E$9:$R$320,11),(VLOOKUP($A126,PriceTable,6,0)+IF(BasisNumber&lt;&gt;1,VLOOKUP($A126,BasisTable,3,0),0)+R$1)/(1-R$2))</f>
        <v>21.866130691054973</v>
      </c>
      <c r="S126" s="154">
        <f>IF(Assumptions!$L$25=4,VLOOKUP($A126,'Henwood Reference'!$E$9:$R$320,11),(VLOOKUP($A126,PriceTable,7,0)+IF(BasisNumber&lt;&gt;1,VLOOKUP($A126,BasisTable,3,0),0)+S$1)/(1-S$2))</f>
        <v>21.866130691054973</v>
      </c>
      <c r="T126" s="155">
        <f>IF(Assumptions!$L$25=4,VLOOKUP($A126,'Henwood Reference'!$E$9:$R$320,11),(VLOOKUP($A126,PriceTable,8,0)+IF(BasisNumber&lt;&gt;1,VLOOKUP($A126,BasisTable,3,0),0)+T$1)/(1-T$2))</f>
        <v>21.866130691054973</v>
      </c>
      <c r="U126" s="173">
        <f t="shared" si="298"/>
        <v>0.125</v>
      </c>
      <c r="V126" s="173">
        <f t="shared" si="299"/>
        <v>0.13500000000000001</v>
      </c>
      <c r="W126" s="174">
        <f t="shared" si="300"/>
        <v>0.14499999999999999</v>
      </c>
      <c r="X126" s="173">
        <f t="shared" si="301"/>
        <v>0.125</v>
      </c>
      <c r="Y126" s="173">
        <f t="shared" si="302"/>
        <v>0.13500000000000001</v>
      </c>
      <c r="Z126" s="174">
        <f t="shared" si="303"/>
        <v>0.14499999999999999</v>
      </c>
      <c r="AA126" s="173">
        <f t="shared" si="304"/>
        <v>0.09</v>
      </c>
      <c r="AB126" s="173">
        <f t="shared" si="305"/>
        <v>0.11</v>
      </c>
      <c r="AC126" s="174">
        <f t="shared" si="306"/>
        <v>0.13</v>
      </c>
      <c r="AD126" s="173">
        <f t="shared" si="307"/>
        <v>0.09</v>
      </c>
      <c r="AE126" s="173">
        <f t="shared" si="308"/>
        <v>0.11</v>
      </c>
      <c r="AF126" s="174">
        <f t="shared" si="309"/>
        <v>0.13</v>
      </c>
      <c r="AG126" s="173">
        <f t="shared" si="310"/>
        <v>-0.35</v>
      </c>
      <c r="AH126" s="173">
        <f t="shared" si="311"/>
        <v>0.65</v>
      </c>
      <c r="AI126" s="174">
        <f t="shared" si="312"/>
        <v>0.2</v>
      </c>
      <c r="AJ126" s="173">
        <f t="shared" si="313"/>
        <v>-0.35</v>
      </c>
      <c r="AK126" s="173">
        <f t="shared" si="314"/>
        <v>0.65</v>
      </c>
      <c r="AL126" s="174">
        <f t="shared" si="315"/>
        <v>0.2</v>
      </c>
      <c r="AM126" s="173">
        <f t="shared" si="316"/>
        <v>-0.01</v>
      </c>
      <c r="AN126" s="173">
        <f t="shared" si="317"/>
        <v>0.16</v>
      </c>
      <c r="AO126" s="174">
        <f t="shared" si="318"/>
        <v>0.01</v>
      </c>
      <c r="AP126" s="173">
        <f t="shared" si="319"/>
        <v>-0.01</v>
      </c>
      <c r="AQ126" s="173">
        <f t="shared" si="320"/>
        <v>0.16</v>
      </c>
      <c r="AR126" s="175">
        <f t="shared" si="321"/>
        <v>0.01</v>
      </c>
      <c r="AS126" s="521">
        <f t="shared" si="357"/>
        <v>0.5</v>
      </c>
      <c r="AT126" s="349">
        <f t="shared" si="355"/>
        <v>22</v>
      </c>
      <c r="AU126" s="159">
        <f t="shared" si="240"/>
        <v>4</v>
      </c>
      <c r="AV126" s="159">
        <f t="shared" si="241"/>
        <v>4</v>
      </c>
      <c r="AW126" s="159">
        <f t="shared" si="358"/>
        <v>0</v>
      </c>
      <c r="AX126" s="15">
        <f t="shared" si="356"/>
        <v>30</v>
      </c>
      <c r="AY126" s="607">
        <f>IF(E126="",0,MIN((1-(1-VLOOKUP(B126,MAIN!$AA$7:$AM$28,C126+1))*(1-VLOOKUP(B126,MAIN!$AA$33:$AM$54,C126+1))),1))</f>
        <v>3.0000000000000027E-2</v>
      </c>
      <c r="AZ126" s="337">
        <v>51216</v>
      </c>
      <c r="BA126" s="509">
        <v>9312</v>
      </c>
      <c r="BB126" s="509">
        <v>9312</v>
      </c>
      <c r="BC126" s="511">
        <v>34920</v>
      </c>
      <c r="BD126" s="153">
        <v>0.97000000722706314</v>
      </c>
      <c r="BE126" s="474">
        <v>0.97000000722706314</v>
      </c>
      <c r="BF126" s="474">
        <v>0.97000000722706314</v>
      </c>
      <c r="BG126" s="515">
        <v>0.97000000722706314</v>
      </c>
      <c r="BH126" s="262">
        <v>204864</v>
      </c>
      <c r="BI126" s="509">
        <v>37248</v>
      </c>
      <c r="BJ126" s="509">
        <v>37248</v>
      </c>
      <c r="BK126" s="511">
        <v>139680</v>
      </c>
      <c r="BL126" s="153">
        <v>0.97000000722706314</v>
      </c>
      <c r="BM126" s="474">
        <v>0.97000000722706314</v>
      </c>
      <c r="BN126" s="474">
        <v>0.97000000722706314</v>
      </c>
      <c r="BO126" s="474">
        <v>0.97000000722706314</v>
      </c>
      <c r="BP126" s="261">
        <f t="shared" si="324"/>
        <v>69840</v>
      </c>
      <c r="BQ126" s="578">
        <f t="shared" si="325"/>
        <v>104760</v>
      </c>
      <c r="BR126" s="259">
        <f t="shared" si="326"/>
        <v>279360</v>
      </c>
      <c r="BS126" s="578">
        <f t="shared" si="327"/>
        <v>419040</v>
      </c>
      <c r="BT126" s="216">
        <f t="shared" si="328"/>
        <v>9.1307323750855574</v>
      </c>
      <c r="BU126" s="218">
        <f t="shared" si="243"/>
        <v>34.38317198320906</v>
      </c>
      <c r="BV126" s="216">
        <f t="shared" si="244"/>
        <v>34.38317198320906</v>
      </c>
      <c r="BW126" s="216">
        <f t="shared" si="245"/>
        <v>21.86613085397034</v>
      </c>
      <c r="BX126" s="216">
        <f t="shared" si="329"/>
        <v>21.86613085397034</v>
      </c>
      <c r="BY126" s="216">
        <f t="shared" si="246"/>
        <v>32.714233165977234</v>
      </c>
      <c r="BZ126" s="216">
        <f t="shared" si="247"/>
        <v>29.098199061974935</v>
      </c>
      <c r="CA126" s="264">
        <f t="shared" si="248"/>
        <v>34.38317198320906</v>
      </c>
      <c r="CB126" s="216">
        <f t="shared" si="249"/>
        <v>34.38317198320906</v>
      </c>
      <c r="CC126" s="216">
        <f t="shared" si="250"/>
        <v>21.86613085397034</v>
      </c>
      <c r="CD126" s="216">
        <f t="shared" si="330"/>
        <v>21.86613085397034</v>
      </c>
      <c r="CE126" s="216">
        <f t="shared" si="251"/>
        <v>32.714233165977234</v>
      </c>
      <c r="CF126" s="571">
        <f t="shared" si="252"/>
        <v>29.098199061974935</v>
      </c>
      <c r="CG126" s="573">
        <f t="shared" si="253"/>
        <v>0.13500000000000001</v>
      </c>
      <c r="CH126" s="219">
        <f t="shared" si="254"/>
        <v>0.13500000000000001</v>
      </c>
      <c r="CI126" s="219">
        <f t="shared" si="255"/>
        <v>0.11</v>
      </c>
      <c r="CJ126" s="219">
        <f t="shared" si="256"/>
        <v>0.13280255851227507</v>
      </c>
      <c r="CK126" s="219">
        <f t="shared" si="257"/>
        <v>0.13280255851227507</v>
      </c>
      <c r="CL126" s="219">
        <f t="shared" si="258"/>
        <v>0.11</v>
      </c>
      <c r="CM126" s="219">
        <f t="shared" si="259"/>
        <v>0.11627147403370214</v>
      </c>
      <c r="CN126" s="569">
        <f t="shared" si="260"/>
        <v>0.11627147403370214</v>
      </c>
      <c r="CO126" s="264">
        <f t="shared" si="343"/>
        <v>18.762305298273027</v>
      </c>
      <c r="CP126" s="216">
        <f t="shared" si="331"/>
        <v>18.762305298273027</v>
      </c>
      <c r="CQ126" s="216">
        <f t="shared" ca="1" si="361"/>
        <v>18.762305298273027</v>
      </c>
      <c r="CR126" s="216">
        <f t="shared" ca="1" si="362"/>
        <v>18.762305298273027</v>
      </c>
      <c r="CS126" s="1626">
        <f t="shared" ca="1" si="363"/>
        <v>18.762305298273027</v>
      </c>
      <c r="CT126" s="216">
        <f t="shared" si="332"/>
        <v>18.762305298273027</v>
      </c>
      <c r="CU126" s="575">
        <f t="shared" si="261"/>
        <v>0.159</v>
      </c>
      <c r="CV126" s="154">
        <f t="shared" si="262"/>
        <v>0.5</v>
      </c>
      <c r="CW126" s="216">
        <f>IF(OR($BQ126,$BS126),SpreadOptPowerMargin,0)*((1+Assumptions!$C$26)^($B126-YEAR(Assumptions!$C$17)))</f>
        <v>2.0270923546752</v>
      </c>
      <c r="CX126" s="216">
        <f>IF(OR($BQ126,$BS126),SpreadOptPowerMargin,0)*((1+Assumptions!$C$26)^($B126-YEAR(Assumptions!$C$17)))</f>
        <v>2.0270923546752</v>
      </c>
      <c r="CY126" s="216">
        <f>IF(OR($BQ126,$BS126),SpreadOptPowerMargin,0)*((1+Assumptions!$C$26)^($B126-YEAR(Assumptions!$C$17)))</f>
        <v>2.0270923546752</v>
      </c>
      <c r="CZ126" s="216">
        <f>IF(OR($BQ126,$BS126),SpreadOptPowerMargin,0)*((1+Assumptions!$C$26)^($B126-YEAR(Assumptions!$C$17)))</f>
        <v>2.0270923546752</v>
      </c>
      <c r="DA126" s="440">
        <f t="shared" si="263"/>
        <v>2.0270923546751995</v>
      </c>
      <c r="DB126" s="479">
        <f t="shared" si="264"/>
        <v>0.13500000000000001</v>
      </c>
      <c r="DC126" s="479">
        <f t="shared" si="265"/>
        <v>0.13500000000000001</v>
      </c>
      <c r="DD126" s="479">
        <f t="shared" si="266"/>
        <v>0.11</v>
      </c>
      <c r="DE126" s="479">
        <f t="shared" si="267"/>
        <v>0.11</v>
      </c>
      <c r="DF126" s="479">
        <f t="shared" si="268"/>
        <v>0.11627147403370214</v>
      </c>
      <c r="DG126" s="574">
        <f t="shared" si="269"/>
        <v>0.11627147403370214</v>
      </c>
      <c r="DH126" s="216">
        <f t="shared" si="270"/>
        <v>14.240017538928772</v>
      </c>
      <c r="DI126" s="216">
        <f t="shared" si="271"/>
        <v>14.240017538928772</v>
      </c>
      <c r="DJ126" s="216">
        <f t="shared" ca="1" si="364"/>
        <v>3.8886536263079177</v>
      </c>
      <c r="DK126" s="216">
        <f t="shared" ca="1" si="365"/>
        <v>3.8886536263079177</v>
      </c>
      <c r="DL126" s="216">
        <f t="shared" ca="1" si="366"/>
        <v>9.4089098870879244</v>
      </c>
      <c r="DM126" s="216"/>
      <c r="DN126" s="216"/>
      <c r="DO126" s="216"/>
      <c r="DP126" s="216"/>
      <c r="DQ126" s="216"/>
      <c r="DR126" s="216"/>
      <c r="DS126" s="216"/>
      <c r="DT126" s="216"/>
      <c r="DU126" s="216"/>
      <c r="DV126" s="216"/>
      <c r="DW126" s="1371">
        <f t="shared" si="272"/>
        <v>3.8886536263079177</v>
      </c>
      <c r="DX126" s="216">
        <f t="shared" si="273"/>
        <v>3.8886536263079177</v>
      </c>
      <c r="DY126" s="440">
        <f t="shared" si="274"/>
        <v>9.8694416647110792</v>
      </c>
      <c r="DZ126" s="180">
        <f t="shared" si="275"/>
        <v>729316.73827377602</v>
      </c>
      <c r="EA126" s="180">
        <f t="shared" si="276"/>
        <v>132603.04332250473</v>
      </c>
      <c r="EB126" s="180">
        <f t="shared" ca="1" si="367"/>
        <v>36211.142568179326</v>
      </c>
      <c r="EC126" s="180">
        <f t="shared" ca="1" si="368"/>
        <v>135791.78463067248</v>
      </c>
      <c r="ED126" s="180">
        <f t="shared" ca="1" si="369"/>
        <v>985677.39977133099</v>
      </c>
      <c r="EE126" s="581">
        <f t="shared" si="277"/>
        <v>696218.74609863875</v>
      </c>
      <c r="EF126" s="554">
        <f t="shared" si="278"/>
        <v>126585.22656338886</v>
      </c>
      <c r="EG126" s="554">
        <f t="shared" ca="1" si="370"/>
        <v>10026.539567917906</v>
      </c>
      <c r="EH126" s="554">
        <f t="shared" ca="1" si="371"/>
        <v>37599.523379692146</v>
      </c>
      <c r="EI126" s="561">
        <f t="shared" ca="1" si="279"/>
        <v>870430.03560963774</v>
      </c>
      <c r="EJ126" s="581">
        <f t="shared" si="333"/>
        <v>33097.992175137275</v>
      </c>
      <c r="EK126" s="554">
        <f t="shared" si="334"/>
        <v>6017.8167591158708</v>
      </c>
      <c r="EL126" s="554">
        <f t="shared" ca="1" si="372"/>
        <v>26184.603000261421</v>
      </c>
      <c r="EM126" s="554">
        <f t="shared" ca="1" si="373"/>
        <v>98192.261250980344</v>
      </c>
      <c r="EN126" s="561">
        <f t="shared" ca="1" si="374"/>
        <v>115247.36416169326</v>
      </c>
      <c r="EO126" s="180">
        <f t="shared" si="280"/>
        <v>2917266.9530951041</v>
      </c>
      <c r="EP126" s="180">
        <f t="shared" si="281"/>
        <v>530412.17329001892</v>
      </c>
      <c r="EQ126" s="180">
        <f t="shared" si="282"/>
        <v>144844.5702727173</v>
      </c>
      <c r="ER126" s="180">
        <f t="shared" si="283"/>
        <v>543167.13852268993</v>
      </c>
      <c r="ES126" s="180">
        <f t="shared" si="284"/>
        <v>4135690.8351805308</v>
      </c>
      <c r="ET126" s="1482">
        <f t="shared" ca="1" si="375"/>
        <v>2784874.984394555</v>
      </c>
      <c r="EU126" s="180">
        <f t="shared" ca="1" si="376"/>
        <v>506340.90625355544</v>
      </c>
      <c r="EV126" s="180">
        <f t="shared" ca="1" si="377"/>
        <v>40106.158271671622</v>
      </c>
      <c r="EW126" s="180">
        <f t="shared" ca="1" si="378"/>
        <v>150398.09351876858</v>
      </c>
      <c r="EX126" s="555">
        <f t="shared" ca="1" si="351"/>
        <v>3481720.1424385505</v>
      </c>
      <c r="EY126" s="180">
        <f t="shared" ca="1" si="379"/>
        <v>132391.9687005491</v>
      </c>
      <c r="EZ126" s="180">
        <f t="shared" ca="1" si="380"/>
        <v>24071.267036463483</v>
      </c>
      <c r="FA126" s="180">
        <f t="shared" ca="1" si="381"/>
        <v>104738.41200104568</v>
      </c>
      <c r="FB126" s="180">
        <f t="shared" ca="1" si="382"/>
        <v>392769.04500392138</v>
      </c>
      <c r="FC126" s="180">
        <f t="shared" ca="1" si="383"/>
        <v>653970.69274198031</v>
      </c>
      <c r="FD126" s="262">
        <f>IF(AX126,IF(VLOOKUP(C126,MAIN!$L$17:$M$28,2)="Yes",VLOOKUP(CALC!B126,MAIN!$H$17:$I$20,2),0),0)</f>
        <v>0</v>
      </c>
      <c r="FE126" s="623">
        <f t="shared" si="285"/>
        <v>0</v>
      </c>
      <c r="FF126" s="535">
        <f t="shared" si="286"/>
        <v>0</v>
      </c>
      <c r="FG126" s="535">
        <f t="shared" si="287"/>
        <v>0</v>
      </c>
      <c r="FH126" s="624">
        <f t="shared" si="288"/>
        <v>0</v>
      </c>
      <c r="FI126" s="632">
        <f>IF(AX126,VLOOKUP(CALC!B126,MAIN!$H$17:$K$20,4),0)</f>
        <v>0</v>
      </c>
      <c r="FJ126" s="535">
        <f t="shared" si="289"/>
        <v>0</v>
      </c>
      <c r="FK126" s="648">
        <f t="shared" si="335"/>
        <v>0</v>
      </c>
      <c r="FL126" s="530">
        <f t="shared" ca="1" si="384"/>
        <v>0</v>
      </c>
      <c r="FM126" s="530">
        <f t="shared" ca="1" si="385"/>
        <v>0</v>
      </c>
      <c r="FN126" s="530">
        <f t="shared" ca="1" si="386"/>
        <v>0</v>
      </c>
      <c r="FO126" s="622">
        <f t="shared" ca="1" si="387"/>
        <v>0</v>
      </c>
      <c r="FP126" s="530">
        <f t="shared" ca="1" si="388"/>
        <v>0</v>
      </c>
      <c r="FQ126" s="530">
        <f t="shared" ca="1" si="389"/>
        <v>0</v>
      </c>
      <c r="FR126" s="530">
        <f t="shared" ca="1" si="390"/>
        <v>0</v>
      </c>
      <c r="FS126" s="625">
        <f t="shared" ca="1" si="391"/>
        <v>0</v>
      </c>
      <c r="FT126" s="640">
        <f ca="1">IF(AND(Assumptions!$H$71="Yes",A126&gt;=Assumptions!$H$72,A126&lt;=Assumptions!$H$73),0,IF(AND($A126&gt;=Assumptions!$C$17,$A126&lt;=Assumptions!$C$18),MAX(AZ126*(1+VLOOKUP($C126,WeatherCapacityAdjustment,2))-FL126,0),0))</f>
        <v>51216</v>
      </c>
      <c r="FU126" s="530">
        <f ca="1">IF(AND(Assumptions!$H$71="Yes",A126&gt;=Assumptions!$H$72,A126&lt;=Assumptions!$H$73),0,IF(AND($A126&gt;=Assumptions!$C$17,$A126&lt;=Assumptions!$C$18),MAX(BA126*(1+VLOOKUP($C126,WeatherCapacityAdjustment,2))-FM126,0),0))</f>
        <v>9312</v>
      </c>
      <c r="FV126" s="530">
        <f ca="1">IF(AND(Assumptions!$H$71="Yes",A126&gt;=Assumptions!$H$72,A126&lt;=Assumptions!$H$73),0,IF(AND($A126&gt;=Assumptions!$C$17,$A126&lt;=Assumptions!$C$18),MAX(BB126*(1+VLOOKUP($C126,WeatherCapacityAdjustment,2))-FN126,0),0))</f>
        <v>9312</v>
      </c>
      <c r="FW126" s="622">
        <f ca="1">IF(AND(Assumptions!$H$71="Yes",A126&gt;=Assumptions!$H$72,A126&lt;=Assumptions!$H$73),0,IF(AND($A126&gt;=Assumptions!$C$17,$A126&lt;=Assumptions!$C$18),MAX(BC126*(1+VLOOKUP($C126,WeatherCapacityAdjustment,3))-FO126,0),0))</f>
        <v>34920</v>
      </c>
      <c r="FX126" s="621">
        <f ca="1">IF(AND(Assumptions!$H$71="Yes",A126&gt;=Assumptions!$H$72,A126&lt;=Assumptions!$H$73),0,IF(ET126&gt;0,MAX(BH126*(1+VLOOKUP($C126,WeatherCapacityAdjustment,2))-FP126,0),0))</f>
        <v>204864</v>
      </c>
      <c r="FY126" s="530">
        <f ca="1">IF(AND(Assumptions!$H$71="Yes",A126&gt;=Assumptions!$H$72,A126&lt;=Assumptions!$H$73),0,IF(EU126&gt;0,MAX(BI126*(1+VLOOKUP($C126,WeatherCapacityAdjustment,3))-FQ126,0),0))</f>
        <v>37248</v>
      </c>
      <c r="FZ126" s="530">
        <f ca="1">IF(AND(Assumptions!$H$71="Yes",A126&gt;=Assumptions!$H$72,A126&lt;=Assumptions!$H$73),0,IF(EV126&gt;0,MAX(BJ126*(1+VLOOKUP($C126,WeatherCapacityAdjustment,2))-FR126,0),0))</f>
        <v>37248</v>
      </c>
      <c r="GA126" s="622">
        <f ca="1">IF(AND(Assumptions!$H$71="Yes",A126&gt;=Assumptions!$H$72,A126&lt;=Assumptions!$H$73),0,IF(EW126&gt;0,MAX(BK126*(1+VLOOKUP($C126,WeatherCapacityAdjustment,2))-FS126,0),0))</f>
        <v>139680</v>
      </c>
      <c r="GB126" s="530">
        <f t="shared" ca="1" si="290"/>
        <v>523800</v>
      </c>
      <c r="GC126" s="545">
        <f t="shared" ca="1" si="291"/>
        <v>29.098199061974931</v>
      </c>
      <c r="GD126" s="530">
        <f t="shared" ca="1" si="392"/>
        <v>15241636.668662468</v>
      </c>
      <c r="GE126" s="1485">
        <f t="shared" ca="1" si="393"/>
        <v>737602.58880000003</v>
      </c>
      <c r="GF126" s="1776">
        <f t="shared" ca="1" si="394"/>
        <v>2950410.3552000001</v>
      </c>
      <c r="GG126" s="545">
        <f t="shared" si="359"/>
        <v>2.6647670885277157</v>
      </c>
      <c r="GH126" s="622">
        <f t="shared" ca="1" si="360"/>
        <v>9827695.5152354091</v>
      </c>
      <c r="GI126" s="621">
        <f t="shared" ca="1" si="336"/>
        <v>523800</v>
      </c>
      <c r="GJ126" s="638">
        <f t="shared" si="292"/>
        <v>2.0270923546751995</v>
      </c>
      <c r="GK126" s="625">
        <f t="shared" ca="1" si="342"/>
        <v>1061790.9753788696</v>
      </c>
      <c r="GL126" s="640">
        <f t="shared" ca="1" si="395"/>
        <v>0</v>
      </c>
      <c r="GM126" s="530">
        <f t="shared" ca="1" si="396"/>
        <v>0</v>
      </c>
      <c r="GN126" s="530">
        <f t="shared" ca="1" si="397"/>
        <v>0</v>
      </c>
      <c r="GO126" s="622">
        <f t="shared" ca="1" si="398"/>
        <v>0</v>
      </c>
      <c r="GP126" s="530">
        <f t="shared" ca="1" si="293"/>
        <v>0</v>
      </c>
      <c r="GQ126" s="545">
        <f t="shared" ca="1" si="294"/>
        <v>0</v>
      </c>
      <c r="GR126" s="625">
        <f t="shared" ca="1" si="399"/>
        <v>0</v>
      </c>
      <c r="GS126" s="640">
        <f>IF($A126&gt;=BegDate,Assumptions!$C$56*24*($A127-$A126)*(1-VLOOKUP($B126,MAIN!$AA$7:$AM$28,$C126+1))*(1-VLOOKUP($B126,MAIN!$AA$33:$AM$54,$C126+1)),0)*80/168</f>
        <v>249428.57142857142</v>
      </c>
      <c r="GT126" s="1715">
        <f t="shared" si="337"/>
        <v>34.383171727034465</v>
      </c>
      <c r="GU126" s="1715">
        <f>IF($A126&gt;=BegDate,VLOOKUP($A126,GasTable,13)+Assumptions!$C$58,0)</f>
        <v>2.6647670885277157</v>
      </c>
      <c r="GV126" s="1715">
        <f>GU126*Assumptions!$C$57/1000</f>
        <v>19.319561391825939</v>
      </c>
      <c r="GW126" s="625">
        <f>IF(Assumptions!$C$60="Hourly",MAX(0,GS126*(GT126-GV126)),GS126*(GT126-GV126))</f>
        <v>3757294.8064677268</v>
      </c>
      <c r="GX126" s="640">
        <f>IF($A126&gt;=BegDate,Assumptions!$C$56*24*($A127-$A126)*(1-VLOOKUP($B126,MAIN!$AA$7:$AM$28,$C126+1))*(1-VLOOKUP($B126,MAIN!$AA$33:$AM$54,$C126+1)),0)*16/168</f>
        <v>49885.714285714283</v>
      </c>
      <c r="GY126" s="1715">
        <f t="shared" si="338"/>
        <v>34.383171727034465</v>
      </c>
      <c r="GZ126" s="1715">
        <f>IF($A126&gt;=BegDate,VLOOKUP($A126,GasTable,13)+Assumptions!$C$58,0)</f>
        <v>2.6647670885277157</v>
      </c>
      <c r="HA126" s="1715">
        <f>GZ126*Assumptions!$C$57/1000</f>
        <v>19.319561391825939</v>
      </c>
      <c r="HB126" s="625">
        <f>IF(Assumptions!$C$60="Hourly",MAX(0,GX126*(GY126-HA126)),GX126*(GY126-HA126))</f>
        <v>751458.96129354532</v>
      </c>
      <c r="HC126" s="640">
        <f>IF($A126&gt;=BegDate,Assumptions!$C$56*24*($A127-$A126)*(1-VLOOKUP($B126,MAIN!$AA$7:$AM$28,$C126+1))*(1-VLOOKUP($B126,MAIN!$AA$33:$AM$54,$C126+1)),0)*16/168</f>
        <v>49885.714285714283</v>
      </c>
      <c r="HD126" s="1715">
        <f t="shared" si="339"/>
        <v>21.866130691054973</v>
      </c>
      <c r="HE126" s="1715">
        <f>IF($A126&gt;=BegDate,VLOOKUP($A126,GasTable,13)+Assumptions!$C$58,0)</f>
        <v>2.6647670885277157</v>
      </c>
      <c r="HF126" s="1715">
        <f>HE126*Assumptions!$C$57/1000</f>
        <v>19.319561391825939</v>
      </c>
      <c r="HG126" s="625">
        <f>IF(Assumptions!$C$60="Hourly",MAX(0,HC126*(HD126-HF126)),HC126*(HD126-HF126))</f>
        <v>127037.42847011125</v>
      </c>
      <c r="HH126" s="640">
        <f>IF($A126&gt;=BegDate,Assumptions!$C$56*24*($A127-$A126)*(1-VLOOKUP($B126,MAIN!$AA$7:$AM$28,$C126+1))*(1-VLOOKUP($B126,MAIN!$AA$33:$AM$54,$C126+1)),0)*56/168</f>
        <v>174600</v>
      </c>
      <c r="HI126" s="1715">
        <f t="shared" si="340"/>
        <v>21.866130691054973</v>
      </c>
      <c r="HJ126" s="1715">
        <f>IF($A126&gt;=BegDate,VLOOKUP($A126,GasTable,13)+Assumptions!$C$58,0)</f>
        <v>2.6647670885277157</v>
      </c>
      <c r="HK126" s="1715">
        <f>HJ126*Assumptions!$C$57/1000</f>
        <v>19.319561391825939</v>
      </c>
      <c r="HL126" s="625">
        <f>IF(Assumptions!$C$60="Hourly",MAX(0,HH126*(HI126-HK126)),HH126*(HI126-HK126))</f>
        <v>444630.99964538938</v>
      </c>
      <c r="HM126" s="640">
        <f>IF(AND(Assumptions!$H$71="Yes",A126&gt;=Assumptions!$H$72,A126&lt;=Assumptions!$H$73),Assumptions!$H$74*Assumptions!$C$9*1000,0)</f>
        <v>0</v>
      </c>
      <c r="HN126" s="530"/>
      <c r="HO126" s="545"/>
      <c r="HP126" s="545"/>
      <c r="HQ126" s="545"/>
      <c r="HR126" s="545"/>
      <c r="HS126" s="545"/>
      <c r="HT126" s="545"/>
      <c r="HU126" s="545"/>
      <c r="HV126" s="545"/>
      <c r="HW126" s="545"/>
      <c r="HX126" s="545"/>
      <c r="HY126" s="545"/>
      <c r="HZ126" s="545"/>
      <c r="IA126" s="545"/>
      <c r="IB126" s="545"/>
      <c r="IC126" s="545"/>
      <c r="ID126" s="545"/>
      <c r="IE126" s="545"/>
      <c r="IF126" s="545"/>
      <c r="IG126" s="545"/>
      <c r="IH126" s="545"/>
      <c r="II126" s="1464"/>
      <c r="IJ126" s="1463"/>
      <c r="IK126" s="1463"/>
    </row>
    <row r="127" spans="1:245">
      <c r="A127" s="177">
        <f t="shared" si="295"/>
        <v>39995</v>
      </c>
      <c r="B127" s="349">
        <f t="shared" si="296"/>
        <v>2009</v>
      </c>
      <c r="C127" s="15">
        <f t="shared" si="352"/>
        <v>7</v>
      </c>
      <c r="D127" s="612">
        <f t="shared" si="297"/>
        <v>39998</v>
      </c>
      <c r="E127" s="609">
        <f t="shared" si="353"/>
        <v>39995</v>
      </c>
      <c r="F127" s="614">
        <f t="shared" si="354"/>
        <v>40025</v>
      </c>
      <c r="G127" s="1349">
        <v>0</v>
      </c>
      <c r="H127" s="152">
        <f t="shared" si="341"/>
        <v>1</v>
      </c>
      <c r="I127" s="154">
        <f>IF(Assumptions!$L$25=4,VLOOKUP($A127,'Henwood Reference'!$E$9:$R$320,10),(VLOOKUP($A127,PriceTable,2,0)+IF(BasisNumber&lt;&gt;1,VLOOKUP($A127,BasisTable,2,0),0)+I$1)/(1-I$2))</f>
        <v>52.432893809450952</v>
      </c>
      <c r="J127" s="154">
        <f>IF(Assumptions!$L$25=4,VLOOKUP($A127,'Henwood Reference'!$E$9:$R$320,10),(VLOOKUP($A127,PriceTable,3,0)+IF(BasisNumber&lt;&gt;1,VLOOKUP($A127,BasisTable,2,0),0)+J$1)/(1-J$2))</f>
        <v>52.432893809450952</v>
      </c>
      <c r="K127" s="154">
        <f>IF(Assumptions!$L$25=4,VLOOKUP($A127,'Henwood Reference'!$E$9:$R$320,10),(VLOOKUP($A127,PriceTable,4,0)+IF(BasisNumber&lt;&gt;1,VLOOKUP($A127,BasisTable,2,0),0)+K$1)/(1-K$2))</f>
        <v>52.432893809450952</v>
      </c>
      <c r="L127" s="474">
        <f>IF(Assumptions!$L$25=4,VLOOKUP($A127,'Henwood Reference'!$E$9:$R$320,10),(VLOOKUP($A127,PriceTableWeekend,2,0)+IF(BasisNumber&lt;&gt;1,VLOOKUP($A127,BasisTable,2,0),0)+L$1)/(1-L$2))</f>
        <v>52.432893809450952</v>
      </c>
      <c r="M127" s="154">
        <f>IF(Assumptions!$L$25=4,VLOOKUP($A127,'Henwood Reference'!$E$9:$R$320,10),(VLOOKUP($A127,PriceTableWeekend,3,0)+IF(BasisNumber&lt;&gt;1,VLOOKUP($A127,BasisTable,2,0),0)+M$1)/(1-M$2))</f>
        <v>52.432893809450952</v>
      </c>
      <c r="N127" s="156">
        <f>IF(Assumptions!$L$25=4,VLOOKUP($A127,'Henwood Reference'!$E$9:$R$320,10),(VLOOKUP($A127,PriceTableWeekend,4,0)+IF(BasisNumber&lt;&gt;1,VLOOKUP($A127,BasisTable,2,0),0)+N$1)/(1-N$2))</f>
        <v>52.432893809450952</v>
      </c>
      <c r="O127" s="154">
        <f>IF(Assumptions!$L$25=4,VLOOKUP($A127,'Henwood Reference'!$E$9:$R$320,11),(VLOOKUP($A127,PriceTableWeekend,6,0)+IF(BasisNumber&lt;&gt;1,VLOOKUP($A127,BasisTable,3,0),0)+O$1)/(1-O$2))</f>
        <v>26.405092266682509</v>
      </c>
      <c r="P127" s="154">
        <f>IF(Assumptions!$L$25=4,VLOOKUP($A127,'Henwood Reference'!$E$9:$R$320,11),(VLOOKUP($A127,PriceTableWeekend,7,0)+IF(BasisNumber&lt;&gt;1,VLOOKUP($A127,BasisTable,3,0),0)+P$1)/(1-P$2))</f>
        <v>26.405092266682509</v>
      </c>
      <c r="Q127" s="156">
        <f>IF(Assumptions!$L$25=4,VLOOKUP($A127,'Henwood Reference'!$E$9:$R$320,11),(VLOOKUP($A127,PriceTableWeekend,8,0)+IF(BasisNumber&lt;&gt;1,VLOOKUP($A127,BasisTable,3,0),0)+Q$1)/(1-Q$2))</f>
        <v>26.405092266682509</v>
      </c>
      <c r="R127" s="154">
        <f>IF(Assumptions!$L$25=4,VLOOKUP($A127,'Henwood Reference'!$E$9:$R$320,11),(VLOOKUP($A127,PriceTable,6,0)+IF(BasisNumber&lt;&gt;1,VLOOKUP($A127,BasisTable,3,0),0)+R$1)/(1-R$2))</f>
        <v>26.405092266682509</v>
      </c>
      <c r="S127" s="154">
        <f>IF(Assumptions!$L$25=4,VLOOKUP($A127,'Henwood Reference'!$E$9:$R$320,11),(VLOOKUP($A127,PriceTable,7,0)+IF(BasisNumber&lt;&gt;1,VLOOKUP($A127,BasisTable,3,0),0)+S$1)/(1-S$2))</f>
        <v>26.405092266682509</v>
      </c>
      <c r="T127" s="155">
        <f>IF(Assumptions!$L$25=4,VLOOKUP($A127,'Henwood Reference'!$E$9:$R$320,11),(VLOOKUP($A127,PriceTable,8,0)+IF(BasisNumber&lt;&gt;1,VLOOKUP($A127,BasisTable,3,0),0)+T$1)/(1-T$2))</f>
        <v>26.405092266682509</v>
      </c>
      <c r="U127" s="173">
        <f t="shared" si="298"/>
        <v>0.125</v>
      </c>
      <c r="V127" s="173">
        <f t="shared" si="299"/>
        <v>0.13500000000000001</v>
      </c>
      <c r="W127" s="174">
        <f t="shared" si="300"/>
        <v>0.14499999999999999</v>
      </c>
      <c r="X127" s="173">
        <f t="shared" si="301"/>
        <v>0.125</v>
      </c>
      <c r="Y127" s="173">
        <f t="shared" si="302"/>
        <v>0.13500000000000001</v>
      </c>
      <c r="Z127" s="174">
        <f t="shared" si="303"/>
        <v>0.14499999999999999</v>
      </c>
      <c r="AA127" s="173">
        <f t="shared" si="304"/>
        <v>0.09</v>
      </c>
      <c r="AB127" s="173">
        <f t="shared" si="305"/>
        <v>0.11</v>
      </c>
      <c r="AC127" s="174">
        <f t="shared" si="306"/>
        <v>0.13</v>
      </c>
      <c r="AD127" s="173">
        <f t="shared" si="307"/>
        <v>0.09</v>
      </c>
      <c r="AE127" s="173">
        <f t="shared" si="308"/>
        <v>0.11</v>
      </c>
      <c r="AF127" s="174">
        <f t="shared" si="309"/>
        <v>0.13</v>
      </c>
      <c r="AG127" s="173">
        <f t="shared" si="310"/>
        <v>-0.35</v>
      </c>
      <c r="AH127" s="173">
        <f t="shared" si="311"/>
        <v>3</v>
      </c>
      <c r="AI127" s="174">
        <f t="shared" si="312"/>
        <v>0.35</v>
      </c>
      <c r="AJ127" s="173">
        <f t="shared" si="313"/>
        <v>-0.35</v>
      </c>
      <c r="AK127" s="173">
        <f t="shared" si="314"/>
        <v>3</v>
      </c>
      <c r="AL127" s="174">
        <f t="shared" si="315"/>
        <v>0.35</v>
      </c>
      <c r="AM127" s="173">
        <f t="shared" si="316"/>
        <v>-0.01</v>
      </c>
      <c r="AN127" s="173">
        <f t="shared" si="317"/>
        <v>0.16</v>
      </c>
      <c r="AO127" s="174">
        <f t="shared" si="318"/>
        <v>0.01</v>
      </c>
      <c r="AP127" s="173">
        <f t="shared" si="319"/>
        <v>-0.01</v>
      </c>
      <c r="AQ127" s="173">
        <f t="shared" si="320"/>
        <v>0.16</v>
      </c>
      <c r="AR127" s="175">
        <f t="shared" si="321"/>
        <v>0.01</v>
      </c>
      <c r="AS127" s="521">
        <f t="shared" si="357"/>
        <v>0.5</v>
      </c>
      <c r="AT127" s="349">
        <f t="shared" si="355"/>
        <v>23</v>
      </c>
      <c r="AU127" s="159">
        <f t="shared" si="240"/>
        <v>3</v>
      </c>
      <c r="AV127" s="159">
        <f t="shared" si="241"/>
        <v>4</v>
      </c>
      <c r="AW127" s="159">
        <f t="shared" si="358"/>
        <v>1</v>
      </c>
      <c r="AX127" s="15">
        <f t="shared" si="356"/>
        <v>31</v>
      </c>
      <c r="AY127" s="607">
        <f>IF(E127="",0,MIN((1-(1-VLOOKUP(B127,MAIN!$AA$7:$AM$28,C127+1))*(1-VLOOKUP(B127,MAIN!$AA$33:$AM$54,C127+1))),1))</f>
        <v>3.0000000000000027E-2</v>
      </c>
      <c r="AZ127" s="337">
        <v>53544</v>
      </c>
      <c r="BA127" s="509">
        <v>6984</v>
      </c>
      <c r="BB127" s="509">
        <v>11640</v>
      </c>
      <c r="BC127" s="511">
        <v>36084</v>
      </c>
      <c r="BD127" s="153">
        <v>0.97000000361353156</v>
      </c>
      <c r="BE127" s="474">
        <v>0.97000000361353156</v>
      </c>
      <c r="BF127" s="474">
        <v>0.97000000361353156</v>
      </c>
      <c r="BG127" s="515">
        <v>0.96999998554587363</v>
      </c>
      <c r="BH127" s="262">
        <v>214176</v>
      </c>
      <c r="BI127" s="509">
        <v>27936</v>
      </c>
      <c r="BJ127" s="509">
        <v>46560</v>
      </c>
      <c r="BK127" s="511">
        <v>144336</v>
      </c>
      <c r="BL127" s="153">
        <v>0.97000000361353156</v>
      </c>
      <c r="BM127" s="474">
        <v>0.97000000361353156</v>
      </c>
      <c r="BN127" s="474">
        <v>0.97000000361353156</v>
      </c>
      <c r="BO127" s="474">
        <v>0.96999998554587363</v>
      </c>
      <c r="BP127" s="261">
        <f t="shared" si="324"/>
        <v>72168</v>
      </c>
      <c r="BQ127" s="578">
        <f t="shared" si="325"/>
        <v>108252</v>
      </c>
      <c r="BR127" s="259">
        <f t="shared" si="326"/>
        <v>288672</v>
      </c>
      <c r="BS127" s="578">
        <f t="shared" si="327"/>
        <v>433008</v>
      </c>
      <c r="BT127" s="216">
        <f t="shared" si="328"/>
        <v>9.2128678986995212</v>
      </c>
      <c r="BU127" s="218">
        <f t="shared" si="243"/>
        <v>52.432894004778703</v>
      </c>
      <c r="BV127" s="216">
        <f t="shared" si="244"/>
        <v>52.432894004778703</v>
      </c>
      <c r="BW127" s="216">
        <f t="shared" si="245"/>
        <v>26.405092365049143</v>
      </c>
      <c r="BX127" s="216">
        <f t="shared" si="329"/>
        <v>26.405091873215973</v>
      </c>
      <c r="BY127" s="216">
        <f t="shared" si="246"/>
        <v>48.234861482241676</v>
      </c>
      <c r="BZ127" s="216">
        <f t="shared" si="247"/>
        <v>40.958271612566442</v>
      </c>
      <c r="CA127" s="264">
        <f t="shared" si="248"/>
        <v>52.432894004778703</v>
      </c>
      <c r="CB127" s="216">
        <f t="shared" si="249"/>
        <v>52.432894004778703</v>
      </c>
      <c r="CC127" s="216">
        <f t="shared" si="250"/>
        <v>26.405092365049143</v>
      </c>
      <c r="CD127" s="216">
        <f t="shared" si="330"/>
        <v>26.405091873215973</v>
      </c>
      <c r="CE127" s="216">
        <f t="shared" si="251"/>
        <v>48.234861482241676</v>
      </c>
      <c r="CF127" s="571">
        <f t="shared" si="252"/>
        <v>40.958271612566442</v>
      </c>
      <c r="CG127" s="573">
        <f t="shared" si="253"/>
        <v>0.13500000000000001</v>
      </c>
      <c r="CH127" s="219">
        <f t="shared" si="254"/>
        <v>0.13500000000000001</v>
      </c>
      <c r="CI127" s="219">
        <f t="shared" si="255"/>
        <v>0.11</v>
      </c>
      <c r="CJ127" s="219">
        <f t="shared" si="256"/>
        <v>0.13282320162248698</v>
      </c>
      <c r="CK127" s="219">
        <f t="shared" si="257"/>
        <v>0.13282320162248698</v>
      </c>
      <c r="CL127" s="219">
        <f t="shared" si="258"/>
        <v>0.11</v>
      </c>
      <c r="CM127" s="219">
        <f t="shared" si="259"/>
        <v>0.11834383896741954</v>
      </c>
      <c r="CN127" s="569">
        <f t="shared" si="260"/>
        <v>0.11834383896741954</v>
      </c>
      <c r="CO127" s="264">
        <f t="shared" si="343"/>
        <v>19.251153679980611</v>
      </c>
      <c r="CP127" s="216">
        <f t="shared" si="331"/>
        <v>19.251153679980611</v>
      </c>
      <c r="CQ127" s="216">
        <f t="shared" ca="1" si="361"/>
        <v>19.251153679980611</v>
      </c>
      <c r="CR127" s="216">
        <f t="shared" ca="1" si="362"/>
        <v>19.251153679980611</v>
      </c>
      <c r="CS127" s="1626">
        <f t="shared" ca="1" si="363"/>
        <v>19.251153679980611</v>
      </c>
      <c r="CT127" s="216">
        <f t="shared" si="332"/>
        <v>19.251153679980611</v>
      </c>
      <c r="CU127" s="575">
        <f t="shared" si="261"/>
        <v>0.159</v>
      </c>
      <c r="CV127" s="154">
        <f t="shared" si="262"/>
        <v>0.5</v>
      </c>
      <c r="CW127" s="216">
        <f>IF(OR($BQ127,$BS127),SpreadOptPowerMargin,0)*((1+Assumptions!$C$26)^($B127-YEAR(Assumptions!$C$17)))</f>
        <v>2.0270923546752</v>
      </c>
      <c r="CX127" s="216">
        <f>IF(OR($BQ127,$BS127),SpreadOptPowerMargin,0)*((1+Assumptions!$C$26)^($B127-YEAR(Assumptions!$C$17)))</f>
        <v>2.0270923546752</v>
      </c>
      <c r="CY127" s="216">
        <f>IF(OR($BQ127,$BS127),SpreadOptPowerMargin,0)*((1+Assumptions!$C$26)^($B127-YEAR(Assumptions!$C$17)))</f>
        <v>2.0270923546752</v>
      </c>
      <c r="CZ127" s="216">
        <f>IF(OR($BQ127,$BS127),SpreadOptPowerMargin,0)*((1+Assumptions!$C$26)^($B127-YEAR(Assumptions!$C$17)))</f>
        <v>2.0270923546752</v>
      </c>
      <c r="DA127" s="440">
        <f t="shared" si="263"/>
        <v>2.0270923546752</v>
      </c>
      <c r="DB127" s="479">
        <f t="shared" si="264"/>
        <v>0.13500000000000001</v>
      </c>
      <c r="DC127" s="479">
        <f t="shared" si="265"/>
        <v>0.13500000000000001</v>
      </c>
      <c r="DD127" s="479">
        <f t="shared" si="266"/>
        <v>0.11</v>
      </c>
      <c r="DE127" s="479">
        <f t="shared" si="267"/>
        <v>0.11</v>
      </c>
      <c r="DF127" s="479">
        <f t="shared" si="268"/>
        <v>0.11834383896741954</v>
      </c>
      <c r="DG127" s="574">
        <f t="shared" si="269"/>
        <v>0.11834383896741954</v>
      </c>
      <c r="DH127" s="216">
        <f t="shared" si="270"/>
        <v>31.24548690837074</v>
      </c>
      <c r="DI127" s="216">
        <f t="shared" si="271"/>
        <v>31.24548690837074</v>
      </c>
      <c r="DJ127" s="216">
        <f t="shared" ca="1" si="364"/>
        <v>6.8501081443462972</v>
      </c>
      <c r="DK127" s="216">
        <f t="shared" ca="1" si="365"/>
        <v>6.85010776355624</v>
      </c>
      <c r="DL127" s="216">
        <f t="shared" ca="1" si="366"/>
        <v>19.955958034355074</v>
      </c>
      <c r="DM127" s="216"/>
      <c r="DN127" s="216"/>
      <c r="DO127" s="216"/>
      <c r="DP127" s="216"/>
      <c r="DQ127" s="216"/>
      <c r="DR127" s="216"/>
      <c r="DS127" s="216"/>
      <c r="DT127" s="216"/>
      <c r="DU127" s="216"/>
      <c r="DV127" s="216"/>
      <c r="DW127" s="1371">
        <f t="shared" si="272"/>
        <v>6.8501081443462972</v>
      </c>
      <c r="DX127" s="216">
        <f t="shared" si="273"/>
        <v>6.85010776355624</v>
      </c>
      <c r="DY127" s="440">
        <f t="shared" si="274"/>
        <v>20.490534853214893</v>
      </c>
      <c r="DZ127" s="180">
        <f t="shared" si="275"/>
        <v>1673008.351021803</v>
      </c>
      <c r="EA127" s="180">
        <f t="shared" si="276"/>
        <v>218218.48056806126</v>
      </c>
      <c r="EB127" s="180">
        <f t="shared" ca="1" si="367"/>
        <v>79735.258800190903</v>
      </c>
      <c r="EC127" s="180">
        <f t="shared" ca="1" si="368"/>
        <v>247179.28854016337</v>
      </c>
      <c r="ED127" s="180">
        <f t="shared" ca="1" si="369"/>
        <v>2160272.3691350054</v>
      </c>
      <c r="EE127" s="581">
        <f t="shared" si="277"/>
        <v>1668144.47091226</v>
      </c>
      <c r="EF127" s="554">
        <f t="shared" si="278"/>
        <v>217584.06142333828</v>
      </c>
      <c r="EG127" s="554">
        <f t="shared" ca="1" si="370"/>
        <v>59676.491285778371</v>
      </c>
      <c r="EH127" s="554">
        <f t="shared" ca="1" si="371"/>
        <v>184997.10523860485</v>
      </c>
      <c r="EI127" s="561">
        <f t="shared" ca="1" si="279"/>
        <v>2130402.1288599814</v>
      </c>
      <c r="EJ127" s="581">
        <f t="shared" si="333"/>
        <v>4863.8801095429808</v>
      </c>
      <c r="EK127" s="554">
        <f t="shared" si="334"/>
        <v>634.41914472298231</v>
      </c>
      <c r="EL127" s="554">
        <f t="shared" ca="1" si="372"/>
        <v>20058.767514412531</v>
      </c>
      <c r="EM127" s="554">
        <f t="shared" ca="1" si="373"/>
        <v>62182.183301558514</v>
      </c>
      <c r="EN127" s="561">
        <f t="shared" ca="1" si="374"/>
        <v>29870.240275023971</v>
      </c>
      <c r="EO127" s="180">
        <f t="shared" si="280"/>
        <v>6692033.4040872119</v>
      </c>
      <c r="EP127" s="180">
        <f t="shared" si="281"/>
        <v>872873.92227224505</v>
      </c>
      <c r="EQ127" s="180">
        <f t="shared" si="282"/>
        <v>318941.03520076361</v>
      </c>
      <c r="ER127" s="180">
        <f t="shared" si="283"/>
        <v>988717.15416065347</v>
      </c>
      <c r="ES127" s="180">
        <f t="shared" si="284"/>
        <v>8872565.5157208741</v>
      </c>
      <c r="ET127" s="1482">
        <f t="shared" ca="1" si="375"/>
        <v>6672577.88364904</v>
      </c>
      <c r="EU127" s="180">
        <f t="shared" ca="1" si="376"/>
        <v>870336.24569335312</v>
      </c>
      <c r="EV127" s="180">
        <f t="shared" ca="1" si="377"/>
        <v>238705.96514311348</v>
      </c>
      <c r="EW127" s="180">
        <f t="shared" ca="1" si="378"/>
        <v>739988.42095441942</v>
      </c>
      <c r="EX127" s="555">
        <f t="shared" ca="1" si="351"/>
        <v>8521608.5154399257</v>
      </c>
      <c r="EY127" s="180">
        <f t="shared" ca="1" si="379"/>
        <v>19455.520438171923</v>
      </c>
      <c r="EZ127" s="180">
        <f t="shared" ca="1" si="380"/>
        <v>2537.6765788919292</v>
      </c>
      <c r="FA127" s="180">
        <f t="shared" ca="1" si="381"/>
        <v>80235.070057650126</v>
      </c>
      <c r="FB127" s="180">
        <f t="shared" ca="1" si="382"/>
        <v>248728.73320623406</v>
      </c>
      <c r="FC127" s="180">
        <f t="shared" ca="1" si="383"/>
        <v>350957.00028094836</v>
      </c>
      <c r="FD127" s="262">
        <f>IF(AX127,IF(VLOOKUP(C127,MAIN!$L$17:$M$28,2)="Yes",VLOOKUP(CALC!B127,MAIN!$H$17:$I$20,2),0),0)</f>
        <v>0</v>
      </c>
      <c r="FE127" s="623">
        <f t="shared" si="285"/>
        <v>0</v>
      </c>
      <c r="FF127" s="535">
        <f t="shared" si="286"/>
        <v>0</v>
      </c>
      <c r="FG127" s="535">
        <f t="shared" si="287"/>
        <v>0</v>
      </c>
      <c r="FH127" s="624">
        <f t="shared" si="288"/>
        <v>0</v>
      </c>
      <c r="FI127" s="632">
        <f>IF(AX127,VLOOKUP(CALC!B127,MAIN!$H$17:$K$20,4),0)</f>
        <v>0</v>
      </c>
      <c r="FJ127" s="535">
        <f t="shared" si="289"/>
        <v>0</v>
      </c>
      <c r="FK127" s="648">
        <f t="shared" si="335"/>
        <v>0</v>
      </c>
      <c r="FL127" s="530">
        <f t="shared" ca="1" si="384"/>
        <v>0</v>
      </c>
      <c r="FM127" s="530">
        <f t="shared" ca="1" si="385"/>
        <v>0</v>
      </c>
      <c r="FN127" s="530">
        <f t="shared" ca="1" si="386"/>
        <v>0</v>
      </c>
      <c r="FO127" s="622">
        <f t="shared" ca="1" si="387"/>
        <v>0</v>
      </c>
      <c r="FP127" s="530">
        <f t="shared" ca="1" si="388"/>
        <v>0</v>
      </c>
      <c r="FQ127" s="530">
        <f t="shared" ca="1" si="389"/>
        <v>0</v>
      </c>
      <c r="FR127" s="530">
        <f t="shared" ca="1" si="390"/>
        <v>0</v>
      </c>
      <c r="FS127" s="625">
        <f t="shared" ca="1" si="391"/>
        <v>0</v>
      </c>
      <c r="FT127" s="640">
        <f ca="1">IF(AND(Assumptions!$H$71="Yes",A127&gt;=Assumptions!$H$72,A127&lt;=Assumptions!$H$73),0,IF(AND($A127&gt;=Assumptions!$C$17,$A127&lt;=Assumptions!$C$18),MAX(AZ127*(1+VLOOKUP($C127,WeatherCapacityAdjustment,2))-FL127,0),0))</f>
        <v>53544</v>
      </c>
      <c r="FU127" s="530">
        <f ca="1">IF(AND(Assumptions!$H$71="Yes",A127&gt;=Assumptions!$H$72,A127&lt;=Assumptions!$H$73),0,IF(AND($A127&gt;=Assumptions!$C$17,$A127&lt;=Assumptions!$C$18),MAX(BA127*(1+VLOOKUP($C127,WeatherCapacityAdjustment,2))-FM127,0),0))</f>
        <v>6984</v>
      </c>
      <c r="FV127" s="530">
        <f ca="1">IF(AND(Assumptions!$H$71="Yes",A127&gt;=Assumptions!$H$72,A127&lt;=Assumptions!$H$73),0,IF(AND($A127&gt;=Assumptions!$C$17,$A127&lt;=Assumptions!$C$18),MAX(BB127*(1+VLOOKUP($C127,WeatherCapacityAdjustment,2))-FN127,0),0))</f>
        <v>11640</v>
      </c>
      <c r="FW127" s="622">
        <f ca="1">IF(AND(Assumptions!$H$71="Yes",A127&gt;=Assumptions!$H$72,A127&lt;=Assumptions!$H$73),0,IF(AND($A127&gt;=Assumptions!$C$17,$A127&lt;=Assumptions!$C$18),MAX(BC127*(1+VLOOKUP($C127,WeatherCapacityAdjustment,3))-FO127,0),0))</f>
        <v>36084</v>
      </c>
      <c r="FX127" s="621">
        <f ca="1">IF(AND(Assumptions!$H$71="Yes",A127&gt;=Assumptions!$H$72,A127&lt;=Assumptions!$H$73),0,IF(ET127&gt;0,MAX(BH127*(1+VLOOKUP($C127,WeatherCapacityAdjustment,2))-FP127,0),0))</f>
        <v>214176</v>
      </c>
      <c r="FY127" s="530">
        <f ca="1">IF(AND(Assumptions!$H$71="Yes",A127&gt;=Assumptions!$H$72,A127&lt;=Assumptions!$H$73),0,IF(EU127&gt;0,MAX(BI127*(1+VLOOKUP($C127,WeatherCapacityAdjustment,3))-FQ127,0),0))</f>
        <v>27936</v>
      </c>
      <c r="FZ127" s="530">
        <f ca="1">IF(AND(Assumptions!$H$71="Yes",A127&gt;=Assumptions!$H$72,A127&lt;=Assumptions!$H$73),0,IF(EV127&gt;0,MAX(BJ127*(1+VLOOKUP($C127,WeatherCapacityAdjustment,2))-FR127,0),0))</f>
        <v>46560</v>
      </c>
      <c r="GA127" s="622">
        <f ca="1">IF(AND(Assumptions!$H$71="Yes",A127&gt;=Assumptions!$H$72,A127&lt;=Assumptions!$H$73),0,IF(EW127&gt;0,MAX(BK127*(1+VLOOKUP($C127,WeatherCapacityAdjustment,2))-FS127,0),0))</f>
        <v>144336</v>
      </c>
      <c r="GB127" s="530">
        <f t="shared" ca="1" si="290"/>
        <v>541260</v>
      </c>
      <c r="GC127" s="545">
        <f t="shared" ca="1" si="291"/>
        <v>40.958271612566442</v>
      </c>
      <c r="GD127" s="530">
        <f t="shared" ca="1" si="392"/>
        <v>22169074.093017712</v>
      </c>
      <c r="GE127" s="1485">
        <f t="shared" ca="1" si="393"/>
        <v>762507.60263999994</v>
      </c>
      <c r="GF127" s="1776">
        <f t="shared" ca="1" si="394"/>
        <v>3050030.4105599998</v>
      </c>
      <c r="GG127" s="545">
        <f t="shared" si="359"/>
        <v>2.7330558816069424</v>
      </c>
      <c r="GH127" s="622">
        <f t="shared" ca="1" si="360"/>
        <v>10419879.440826306</v>
      </c>
      <c r="GI127" s="621">
        <f t="shared" ca="1" si="336"/>
        <v>541260</v>
      </c>
      <c r="GJ127" s="638">
        <f t="shared" si="292"/>
        <v>2.0270923546752</v>
      </c>
      <c r="GK127" s="625">
        <f t="shared" ca="1" si="342"/>
        <v>1097184.0078914987</v>
      </c>
      <c r="GL127" s="640">
        <f t="shared" ca="1" si="395"/>
        <v>0</v>
      </c>
      <c r="GM127" s="530">
        <f t="shared" ca="1" si="396"/>
        <v>0</v>
      </c>
      <c r="GN127" s="530">
        <f t="shared" ca="1" si="397"/>
        <v>0</v>
      </c>
      <c r="GO127" s="622">
        <f t="shared" ca="1" si="398"/>
        <v>0</v>
      </c>
      <c r="GP127" s="530">
        <f t="shared" ca="1" si="293"/>
        <v>0</v>
      </c>
      <c r="GQ127" s="545">
        <f t="shared" ca="1" si="294"/>
        <v>0</v>
      </c>
      <c r="GR127" s="625">
        <f t="shared" ca="1" si="399"/>
        <v>0</v>
      </c>
      <c r="GS127" s="640">
        <f>IF($A127&gt;=BegDate,Assumptions!$C$56*24*($A128-$A127)*(1-VLOOKUP($B127,MAIN!$AA$7:$AM$28,$C127+1))*(1-VLOOKUP($B127,MAIN!$AA$33:$AM$54,$C127+1)),0)*80/168</f>
        <v>257742.85714285713</v>
      </c>
      <c r="GT127" s="1715">
        <f t="shared" si="337"/>
        <v>52.432893809450952</v>
      </c>
      <c r="GU127" s="1715">
        <f>IF($A127&gt;=BegDate,VLOOKUP($A127,GasTable,13)+Assumptions!$C$58,0)</f>
        <v>2.7330558816069424</v>
      </c>
      <c r="GV127" s="1715">
        <f>GU127*Assumptions!$C$57/1000</f>
        <v>19.814655141650331</v>
      </c>
      <c r="GW127" s="625">
        <f>IF(Assumptions!$C$60="Hourly",MAX(0,GS127*(GT127-GV127)),GS127*(GT127-GV127))</f>
        <v>8407118.0292065553</v>
      </c>
      <c r="GX127" s="640">
        <f>IF($A127&gt;=BegDate,Assumptions!$C$56*24*($A128-$A127)*(1-VLOOKUP($B127,MAIN!$AA$7:$AM$28,$C127+1))*(1-VLOOKUP($B127,MAIN!$AA$33:$AM$54,$C127+1)),0)*16/168</f>
        <v>51548.571428571428</v>
      </c>
      <c r="GY127" s="1715">
        <f t="shared" si="338"/>
        <v>52.432893809450952</v>
      </c>
      <c r="GZ127" s="1715">
        <f>IF($A127&gt;=BegDate,VLOOKUP($A127,GasTable,13)+Assumptions!$C$58,0)</f>
        <v>2.7330558816069424</v>
      </c>
      <c r="HA127" s="1715">
        <f>GZ127*Assumptions!$C$57/1000</f>
        <v>19.814655141650331</v>
      </c>
      <c r="HB127" s="625">
        <f>IF(Assumptions!$C$60="Hourly",MAX(0,GX127*(GY127-HA127)),GX127*(GY127-HA127))</f>
        <v>1681423.6058413112</v>
      </c>
      <c r="HC127" s="640">
        <f>IF($A127&gt;=BegDate,Assumptions!$C$56*24*($A128-$A127)*(1-VLOOKUP($B127,MAIN!$AA$7:$AM$28,$C127+1))*(1-VLOOKUP($B127,MAIN!$AA$33:$AM$54,$C127+1)),0)*16/168</f>
        <v>51548.571428571428</v>
      </c>
      <c r="HD127" s="1715">
        <f t="shared" si="339"/>
        <v>26.405092266682509</v>
      </c>
      <c r="HE127" s="1715">
        <f>IF($A127&gt;=BegDate,VLOOKUP($A127,GasTable,13)+Assumptions!$C$58,0)</f>
        <v>2.7330558816069424</v>
      </c>
      <c r="HF127" s="1715">
        <f>HE127*Assumptions!$C$57/1000</f>
        <v>19.814655141650331</v>
      </c>
      <c r="HG127" s="625">
        <f>IF(Assumptions!$C$60="Hourly",MAX(0,HC127*(HD127-HF127)),HC127*(HD127-HF127))</f>
        <v>339727.61888523016</v>
      </c>
      <c r="HH127" s="640">
        <f>IF($A127&gt;=BegDate,Assumptions!$C$56*24*($A128-$A127)*(1-VLOOKUP($B127,MAIN!$AA$7:$AM$28,$C127+1))*(1-VLOOKUP($B127,MAIN!$AA$33:$AM$54,$C127+1)),0)*56/168</f>
        <v>180420</v>
      </c>
      <c r="HI127" s="1715">
        <f t="shared" si="340"/>
        <v>26.405092266682509</v>
      </c>
      <c r="HJ127" s="1715">
        <f>IF($A127&gt;=BegDate,VLOOKUP($A127,GasTable,13)+Assumptions!$C$58,0)</f>
        <v>2.7330558816069424</v>
      </c>
      <c r="HK127" s="1715">
        <f>HJ127*Assumptions!$C$57/1000</f>
        <v>19.814655141650331</v>
      </c>
      <c r="HL127" s="625">
        <f>IF(Assumptions!$C$60="Hourly",MAX(0,HH127*(HI127-HK127)),HH127*(HI127-HK127))</f>
        <v>1189046.6660983055</v>
      </c>
      <c r="HM127" s="640">
        <f>IF(AND(Assumptions!$H$71="Yes",A127&gt;=Assumptions!$H$72,A127&lt;=Assumptions!$H$73),Assumptions!$H$74*Assumptions!$C$9*1000,0)</f>
        <v>0</v>
      </c>
      <c r="HN127" s="530"/>
      <c r="HO127" s="545"/>
      <c r="HP127" s="545"/>
      <c r="HQ127" s="545"/>
      <c r="HR127" s="545"/>
      <c r="HS127" s="545"/>
      <c r="HT127" s="545"/>
      <c r="HU127" s="545"/>
      <c r="HV127" s="545"/>
      <c r="HW127" s="545"/>
      <c r="HX127" s="545"/>
      <c r="HY127" s="545"/>
      <c r="HZ127" s="545"/>
      <c r="IA127" s="545"/>
      <c r="IB127" s="545"/>
      <c r="IC127" s="545"/>
      <c r="ID127" s="545"/>
      <c r="IE127" s="545"/>
      <c r="IF127" s="545"/>
      <c r="IG127" s="545"/>
      <c r="IH127" s="545"/>
      <c r="II127" s="1464"/>
      <c r="IJ127" s="1463"/>
      <c r="IK127" s="1463"/>
    </row>
    <row r="128" spans="1:245">
      <c r="A128" s="177">
        <f t="shared" si="295"/>
        <v>40026</v>
      </c>
      <c r="B128" s="349">
        <f t="shared" si="296"/>
        <v>2009</v>
      </c>
      <c r="C128" s="15">
        <f t="shared" si="352"/>
        <v>8</v>
      </c>
      <c r="D128" s="612" t="str">
        <f t="shared" si="297"/>
        <v/>
      </c>
      <c r="E128" s="609">
        <f t="shared" si="353"/>
        <v>40026</v>
      </c>
      <c r="F128" s="614">
        <f t="shared" si="354"/>
        <v>40056</v>
      </c>
      <c r="G128" s="1349">
        <v>0</v>
      </c>
      <c r="H128" s="152">
        <f t="shared" si="341"/>
        <v>1</v>
      </c>
      <c r="I128" s="154">
        <f>IF(Assumptions!$L$25=4,VLOOKUP($A128,'Henwood Reference'!$E$9:$R$320,10),(VLOOKUP($A128,PriceTable,2,0)+IF(BasisNumber&lt;&gt;1,VLOOKUP($A128,BasisTable,2,0),0)+I$1)/(1-I$2))</f>
        <v>96.528821860192664</v>
      </c>
      <c r="J128" s="154">
        <f>IF(Assumptions!$L$25=4,VLOOKUP($A128,'Henwood Reference'!$E$9:$R$320,10),(VLOOKUP($A128,PriceTable,3,0)+IF(BasisNumber&lt;&gt;1,VLOOKUP($A128,BasisTable,2,0),0)+J$1)/(1-J$2))</f>
        <v>96.528821860192664</v>
      </c>
      <c r="K128" s="154">
        <f>IF(Assumptions!$L$25=4,VLOOKUP($A128,'Henwood Reference'!$E$9:$R$320,10),(VLOOKUP($A128,PriceTable,4,0)+IF(BasisNumber&lt;&gt;1,VLOOKUP($A128,BasisTable,2,0),0)+K$1)/(1-K$2))</f>
        <v>96.528821860192664</v>
      </c>
      <c r="L128" s="474">
        <f>IF(Assumptions!$L$25=4,VLOOKUP($A128,'Henwood Reference'!$E$9:$R$320,10),(VLOOKUP($A128,PriceTableWeekend,2,0)+IF(BasisNumber&lt;&gt;1,VLOOKUP($A128,BasisTable,2,0),0)+L$1)/(1-L$2))</f>
        <v>96.528821860192664</v>
      </c>
      <c r="M128" s="154">
        <f>IF(Assumptions!$L$25=4,VLOOKUP($A128,'Henwood Reference'!$E$9:$R$320,10),(VLOOKUP($A128,PriceTableWeekend,3,0)+IF(BasisNumber&lt;&gt;1,VLOOKUP($A128,BasisTable,2,0),0)+M$1)/(1-M$2))</f>
        <v>96.528821860192664</v>
      </c>
      <c r="N128" s="156">
        <f>IF(Assumptions!$L$25=4,VLOOKUP($A128,'Henwood Reference'!$E$9:$R$320,10),(VLOOKUP($A128,PriceTableWeekend,4,0)+IF(BasisNumber&lt;&gt;1,VLOOKUP($A128,BasisTable,2,0),0)+N$1)/(1-N$2))</f>
        <v>96.528821860192664</v>
      </c>
      <c r="O128" s="154">
        <f>IF(Assumptions!$L$25=4,VLOOKUP($A128,'Henwood Reference'!$E$9:$R$320,11),(VLOOKUP($A128,PriceTableWeekend,6,0)+IF(BasisNumber&lt;&gt;1,VLOOKUP($A128,BasisTable,3,0),0)+O$1)/(1-O$2))</f>
        <v>32.593520605522556</v>
      </c>
      <c r="P128" s="154">
        <f>IF(Assumptions!$L$25=4,VLOOKUP($A128,'Henwood Reference'!$E$9:$R$320,11),(VLOOKUP($A128,PriceTableWeekend,7,0)+IF(BasisNumber&lt;&gt;1,VLOOKUP($A128,BasisTable,3,0),0)+P$1)/(1-P$2))</f>
        <v>32.593520605522556</v>
      </c>
      <c r="Q128" s="156">
        <f>IF(Assumptions!$L$25=4,VLOOKUP($A128,'Henwood Reference'!$E$9:$R$320,11),(VLOOKUP($A128,PriceTableWeekend,8,0)+IF(BasisNumber&lt;&gt;1,VLOOKUP($A128,BasisTable,3,0),0)+Q$1)/(1-Q$2))</f>
        <v>32.593520605522556</v>
      </c>
      <c r="R128" s="154">
        <f>IF(Assumptions!$L$25=4,VLOOKUP($A128,'Henwood Reference'!$E$9:$R$320,11),(VLOOKUP($A128,PriceTable,6,0)+IF(BasisNumber&lt;&gt;1,VLOOKUP($A128,BasisTable,3,0),0)+R$1)/(1-R$2))</f>
        <v>32.593520605522556</v>
      </c>
      <c r="S128" s="154">
        <f>IF(Assumptions!$L$25=4,VLOOKUP($A128,'Henwood Reference'!$E$9:$R$320,11),(VLOOKUP($A128,PriceTable,7,0)+IF(BasisNumber&lt;&gt;1,VLOOKUP($A128,BasisTable,3,0),0)+S$1)/(1-S$2))</f>
        <v>32.593520605522556</v>
      </c>
      <c r="T128" s="155">
        <f>IF(Assumptions!$L$25=4,VLOOKUP($A128,'Henwood Reference'!$E$9:$R$320,11),(VLOOKUP($A128,PriceTable,8,0)+IF(BasisNumber&lt;&gt;1,VLOOKUP($A128,BasisTable,3,0),0)+T$1)/(1-T$2))</f>
        <v>32.593520605522556</v>
      </c>
      <c r="U128" s="173">
        <f t="shared" si="298"/>
        <v>0.125</v>
      </c>
      <c r="V128" s="173">
        <f t="shared" si="299"/>
        <v>0.13500000000000001</v>
      </c>
      <c r="W128" s="174">
        <f t="shared" si="300"/>
        <v>0.14499999999999999</v>
      </c>
      <c r="X128" s="173">
        <f t="shared" si="301"/>
        <v>0.125</v>
      </c>
      <c r="Y128" s="173">
        <f t="shared" si="302"/>
        <v>0.13500000000000001</v>
      </c>
      <c r="Z128" s="174">
        <f t="shared" si="303"/>
        <v>0.14499999999999999</v>
      </c>
      <c r="AA128" s="173">
        <f t="shared" si="304"/>
        <v>0.09</v>
      </c>
      <c r="AB128" s="173">
        <f t="shared" si="305"/>
        <v>0.11</v>
      </c>
      <c r="AC128" s="174">
        <f t="shared" si="306"/>
        <v>0.13</v>
      </c>
      <c r="AD128" s="173">
        <f t="shared" si="307"/>
        <v>0.09</v>
      </c>
      <c r="AE128" s="173">
        <f t="shared" si="308"/>
        <v>0.11</v>
      </c>
      <c r="AF128" s="174">
        <f t="shared" si="309"/>
        <v>0.13</v>
      </c>
      <c r="AG128" s="173">
        <f t="shared" si="310"/>
        <v>-0.35</v>
      </c>
      <c r="AH128" s="173">
        <f t="shared" si="311"/>
        <v>3</v>
      </c>
      <c r="AI128" s="174">
        <f t="shared" si="312"/>
        <v>0.35</v>
      </c>
      <c r="AJ128" s="173">
        <f t="shared" si="313"/>
        <v>-0.35</v>
      </c>
      <c r="AK128" s="173">
        <f t="shared" si="314"/>
        <v>3</v>
      </c>
      <c r="AL128" s="174">
        <f t="shared" si="315"/>
        <v>0.35</v>
      </c>
      <c r="AM128" s="173">
        <f t="shared" si="316"/>
        <v>-0.01</v>
      </c>
      <c r="AN128" s="173">
        <f t="shared" si="317"/>
        <v>0.16</v>
      </c>
      <c r="AO128" s="174">
        <f t="shared" si="318"/>
        <v>0.01</v>
      </c>
      <c r="AP128" s="173">
        <f t="shared" si="319"/>
        <v>-0.01</v>
      </c>
      <c r="AQ128" s="173">
        <f t="shared" si="320"/>
        <v>0.16</v>
      </c>
      <c r="AR128" s="175">
        <f t="shared" si="321"/>
        <v>0.01</v>
      </c>
      <c r="AS128" s="521">
        <f t="shared" si="357"/>
        <v>0.5</v>
      </c>
      <c r="AT128" s="349">
        <f t="shared" si="355"/>
        <v>21</v>
      </c>
      <c r="AU128" s="159">
        <f t="shared" si="240"/>
        <v>5</v>
      </c>
      <c r="AV128" s="159">
        <f t="shared" si="241"/>
        <v>5</v>
      </c>
      <c r="AW128" s="159">
        <f t="shared" si="358"/>
        <v>0</v>
      </c>
      <c r="AX128" s="15">
        <f t="shared" si="356"/>
        <v>31</v>
      </c>
      <c r="AY128" s="607">
        <f>IF(E128="",0,MIN((1-(1-VLOOKUP(B128,MAIN!$AA$7:$AM$28,C128+1))*(1-VLOOKUP(B128,MAIN!$AA$33:$AM$54,C128+1))),1))</f>
        <v>3.0000000000000027E-2</v>
      </c>
      <c r="AZ128" s="337">
        <v>48888</v>
      </c>
      <c r="BA128" s="509">
        <v>11640</v>
      </c>
      <c r="BB128" s="509">
        <v>11640</v>
      </c>
      <c r="BC128" s="511">
        <v>36084</v>
      </c>
      <c r="BD128" s="153">
        <v>0.96999998915940522</v>
      </c>
      <c r="BE128" s="474">
        <v>0.96999998915940522</v>
      </c>
      <c r="BF128" s="474">
        <v>0.96999998915940522</v>
      </c>
      <c r="BG128" s="515">
        <v>0.97000000722706314</v>
      </c>
      <c r="BH128" s="262">
        <v>195552</v>
      </c>
      <c r="BI128" s="509">
        <v>46560</v>
      </c>
      <c r="BJ128" s="509">
        <v>46560</v>
      </c>
      <c r="BK128" s="511">
        <v>144336</v>
      </c>
      <c r="BL128" s="153">
        <v>0.96999998915940522</v>
      </c>
      <c r="BM128" s="474">
        <v>0.96999998915940522</v>
      </c>
      <c r="BN128" s="474">
        <v>0.96999998915940522</v>
      </c>
      <c r="BO128" s="474">
        <v>0.97000000722706314</v>
      </c>
      <c r="BP128" s="261">
        <f t="shared" si="324"/>
        <v>72168</v>
      </c>
      <c r="BQ128" s="578">
        <f t="shared" si="325"/>
        <v>108252</v>
      </c>
      <c r="BR128" s="259">
        <f t="shared" si="326"/>
        <v>288672</v>
      </c>
      <c r="BS128" s="578">
        <f t="shared" si="327"/>
        <v>433008</v>
      </c>
      <c r="BT128" s="216">
        <f t="shared" si="328"/>
        <v>9.2977412731006162</v>
      </c>
      <c r="BU128" s="218">
        <f t="shared" si="243"/>
        <v>96.52882078139902</v>
      </c>
      <c r="BV128" s="216">
        <f t="shared" si="244"/>
        <v>96.52882078139902</v>
      </c>
      <c r="BW128" s="216">
        <f t="shared" si="245"/>
        <v>32.593520241261579</v>
      </c>
      <c r="BX128" s="216">
        <f t="shared" si="329"/>
        <v>32.593520848363205</v>
      </c>
      <c r="BY128" s="216">
        <f t="shared" si="246"/>
        <v>86.216675532989754</v>
      </c>
      <c r="BZ128" s="216">
        <f t="shared" si="247"/>
        <v>68.342290638114235</v>
      </c>
      <c r="CA128" s="264">
        <f t="shared" si="248"/>
        <v>96.52882078139902</v>
      </c>
      <c r="CB128" s="216">
        <f t="shared" si="249"/>
        <v>96.52882078139902</v>
      </c>
      <c r="CC128" s="216">
        <f t="shared" si="250"/>
        <v>32.593520241261579</v>
      </c>
      <c r="CD128" s="216">
        <f t="shared" si="330"/>
        <v>32.593520848363205</v>
      </c>
      <c r="CE128" s="216">
        <f t="shared" si="251"/>
        <v>86.216675532989754</v>
      </c>
      <c r="CF128" s="571">
        <f t="shared" si="252"/>
        <v>68.342290638114235</v>
      </c>
      <c r="CG128" s="573">
        <f t="shared" si="253"/>
        <v>0.13500000000000001</v>
      </c>
      <c r="CH128" s="219">
        <f t="shared" si="254"/>
        <v>0.13500000000000001</v>
      </c>
      <c r="CI128" s="219">
        <f t="shared" si="255"/>
        <v>0.11</v>
      </c>
      <c r="CJ128" s="219">
        <f t="shared" si="256"/>
        <v>0.13349766856785347</v>
      </c>
      <c r="CK128" s="219">
        <f t="shared" si="257"/>
        <v>0.13349766856785347</v>
      </c>
      <c r="CL128" s="219">
        <f t="shared" si="258"/>
        <v>0.11</v>
      </c>
      <c r="CM128" s="219">
        <f t="shared" si="259"/>
        <v>0.1223660959323845</v>
      </c>
      <c r="CN128" s="569">
        <f t="shared" si="260"/>
        <v>0.1223660959323845</v>
      </c>
      <c r="CO128" s="264">
        <f t="shared" si="343"/>
        <v>19.952392470064186</v>
      </c>
      <c r="CP128" s="216">
        <f t="shared" si="331"/>
        <v>19.952392470064186</v>
      </c>
      <c r="CQ128" s="216">
        <f t="shared" ca="1" si="361"/>
        <v>19.952392470064186</v>
      </c>
      <c r="CR128" s="216">
        <f t="shared" ca="1" si="362"/>
        <v>19.952392470064186</v>
      </c>
      <c r="CS128" s="1626">
        <f t="shared" ca="1" si="363"/>
        <v>19.952392470064183</v>
      </c>
      <c r="CT128" s="216">
        <f t="shared" si="332"/>
        <v>19.952392470064186</v>
      </c>
      <c r="CU128" s="575">
        <f t="shared" si="261"/>
        <v>0.159</v>
      </c>
      <c r="CV128" s="154">
        <f t="shared" si="262"/>
        <v>0.5</v>
      </c>
      <c r="CW128" s="216">
        <f>IF(OR($BQ128,$BS128),SpreadOptPowerMargin,0)*((1+Assumptions!$C$26)^($B128-YEAR(Assumptions!$C$17)))</f>
        <v>2.0270923546752</v>
      </c>
      <c r="CX128" s="216">
        <f>IF(OR($BQ128,$BS128),SpreadOptPowerMargin,0)*((1+Assumptions!$C$26)^($B128-YEAR(Assumptions!$C$17)))</f>
        <v>2.0270923546752</v>
      </c>
      <c r="CY128" s="216">
        <f>IF(OR($BQ128,$BS128),SpreadOptPowerMargin,0)*((1+Assumptions!$C$26)^($B128-YEAR(Assumptions!$C$17)))</f>
        <v>2.0270923546752</v>
      </c>
      <c r="CZ128" s="216">
        <f>IF(OR($BQ128,$BS128),SpreadOptPowerMargin,0)*((1+Assumptions!$C$26)^($B128-YEAR(Assumptions!$C$17)))</f>
        <v>2.0270923546752</v>
      </c>
      <c r="DA128" s="440">
        <f t="shared" si="263"/>
        <v>2.0270923546752</v>
      </c>
      <c r="DB128" s="479">
        <f t="shared" si="264"/>
        <v>0.13500000000000001</v>
      </c>
      <c r="DC128" s="479">
        <f t="shared" si="265"/>
        <v>0.13500000000000001</v>
      </c>
      <c r="DD128" s="479">
        <f t="shared" si="266"/>
        <v>0.11</v>
      </c>
      <c r="DE128" s="479">
        <f t="shared" si="267"/>
        <v>0.11</v>
      </c>
      <c r="DF128" s="479">
        <f t="shared" si="268"/>
        <v>0.1223660959323845</v>
      </c>
      <c r="DG128" s="574">
        <f t="shared" si="269"/>
        <v>0.1223660959323845</v>
      </c>
      <c r="DH128" s="216">
        <f t="shared" si="270"/>
        <v>74.551024536665153</v>
      </c>
      <c r="DI128" s="216">
        <f t="shared" si="271"/>
        <v>74.551024536665153</v>
      </c>
      <c r="DJ128" s="216">
        <f t="shared" ca="1" si="364"/>
        <v>11.533598433533133</v>
      </c>
      <c r="DK128" s="216">
        <f t="shared" ca="1" si="365"/>
        <v>11.533598969708645</v>
      </c>
      <c r="DL128" s="216">
        <f t="shared" ca="1" si="366"/>
        <v>46.379319552666217</v>
      </c>
      <c r="DM128" s="216"/>
      <c r="DN128" s="216"/>
      <c r="DO128" s="216"/>
      <c r="DP128" s="216"/>
      <c r="DQ128" s="216"/>
      <c r="DR128" s="216"/>
      <c r="DS128" s="216"/>
      <c r="DT128" s="216"/>
      <c r="DU128" s="216"/>
      <c r="DV128" s="216"/>
      <c r="DW128" s="1371">
        <f t="shared" si="272"/>
        <v>11.533598433533133</v>
      </c>
      <c r="DX128" s="216">
        <f t="shared" si="273"/>
        <v>11.533598969708645</v>
      </c>
      <c r="DY128" s="440">
        <f t="shared" si="274"/>
        <v>46.769148691428889</v>
      </c>
      <c r="DZ128" s="180">
        <f t="shared" si="275"/>
        <v>3644650.4875484859</v>
      </c>
      <c r="EA128" s="180">
        <f t="shared" si="276"/>
        <v>867773.92560678243</v>
      </c>
      <c r="EB128" s="180">
        <f t="shared" ca="1" si="367"/>
        <v>134251.08576632568</v>
      </c>
      <c r="EC128" s="180">
        <f t="shared" ca="1" si="368"/>
        <v>416178.38522296678</v>
      </c>
      <c r="ED128" s="180">
        <f t="shared" ca="1" si="369"/>
        <v>5020654.1002152236</v>
      </c>
      <c r="EE128" s="581">
        <f t="shared" si="277"/>
        <v>3644567.936249176</v>
      </c>
      <c r="EF128" s="554">
        <f t="shared" si="278"/>
        <v>867754.27053551807</v>
      </c>
      <c r="EG128" s="554">
        <f t="shared" ca="1" si="370"/>
        <v>123547.37224831832</v>
      </c>
      <c r="EH128" s="554">
        <f t="shared" ca="1" si="371"/>
        <v>382996.87587644183</v>
      </c>
      <c r="EI128" s="561">
        <f t="shared" ca="1" si="279"/>
        <v>5018866.4549094541</v>
      </c>
      <c r="EJ128" s="581">
        <f t="shared" si="333"/>
        <v>82.551299309823662</v>
      </c>
      <c r="EK128" s="554">
        <f t="shared" si="334"/>
        <v>19.655071264365688</v>
      </c>
      <c r="EL128" s="554">
        <f t="shared" ca="1" si="372"/>
        <v>10703.713518007353</v>
      </c>
      <c r="EM128" s="554">
        <f t="shared" ca="1" si="373"/>
        <v>33181.509346524952</v>
      </c>
      <c r="EN128" s="561">
        <f t="shared" ca="1" si="374"/>
        <v>1787.645305769518</v>
      </c>
      <c r="EO128" s="180">
        <f t="shared" si="280"/>
        <v>14578601.950193943</v>
      </c>
      <c r="EP128" s="180">
        <f t="shared" si="281"/>
        <v>3471095.7024271297</v>
      </c>
      <c r="EQ128" s="180">
        <f t="shared" si="282"/>
        <v>537004.3430653027</v>
      </c>
      <c r="ER128" s="180">
        <f t="shared" si="283"/>
        <v>1664713.5408918671</v>
      </c>
      <c r="ES128" s="180">
        <f t="shared" si="284"/>
        <v>20251415.536578242</v>
      </c>
      <c r="ET128" s="1482">
        <f t="shared" ca="1" si="375"/>
        <v>14578271.744996704</v>
      </c>
      <c r="EU128" s="180">
        <f t="shared" ca="1" si="376"/>
        <v>3471017.0821420723</v>
      </c>
      <c r="EV128" s="180">
        <f t="shared" ca="1" si="377"/>
        <v>494189.48899327329</v>
      </c>
      <c r="EW128" s="180">
        <f t="shared" ca="1" si="378"/>
        <v>1531987.5035057673</v>
      </c>
      <c r="EX128" s="555">
        <f t="shared" ca="1" si="351"/>
        <v>20075465.819637816</v>
      </c>
      <c r="EY128" s="180">
        <f t="shared" ca="1" si="379"/>
        <v>330.20519723929465</v>
      </c>
      <c r="EZ128" s="180">
        <f t="shared" ca="1" si="380"/>
        <v>78.620285057462752</v>
      </c>
      <c r="FA128" s="180">
        <f t="shared" ca="1" si="381"/>
        <v>42814.854072029411</v>
      </c>
      <c r="FB128" s="180">
        <f t="shared" ca="1" si="382"/>
        <v>132726.03738609981</v>
      </c>
      <c r="FC128" s="180">
        <f t="shared" ca="1" si="383"/>
        <v>175949.71694042534</v>
      </c>
      <c r="FD128" s="262">
        <f>IF(AX128,IF(VLOOKUP(C128,MAIN!$L$17:$M$28,2)="Yes",VLOOKUP(CALC!B128,MAIN!$H$17:$I$20,2),0),0)</f>
        <v>0</v>
      </c>
      <c r="FE128" s="623">
        <f t="shared" si="285"/>
        <v>0</v>
      </c>
      <c r="FF128" s="535">
        <f t="shared" si="286"/>
        <v>0</v>
      </c>
      <c r="FG128" s="535">
        <f t="shared" si="287"/>
        <v>0</v>
      </c>
      <c r="FH128" s="624">
        <f t="shared" si="288"/>
        <v>0</v>
      </c>
      <c r="FI128" s="632">
        <f>IF(AX128,VLOOKUP(CALC!B128,MAIN!$H$17:$K$20,4),0)</f>
        <v>0</v>
      </c>
      <c r="FJ128" s="535">
        <f t="shared" si="289"/>
        <v>0</v>
      </c>
      <c r="FK128" s="648">
        <f t="shared" si="335"/>
        <v>0</v>
      </c>
      <c r="FL128" s="530">
        <f t="shared" ca="1" si="384"/>
        <v>0</v>
      </c>
      <c r="FM128" s="530">
        <f t="shared" ca="1" si="385"/>
        <v>0</v>
      </c>
      <c r="FN128" s="530">
        <f t="shared" ca="1" si="386"/>
        <v>0</v>
      </c>
      <c r="FO128" s="622">
        <f t="shared" ca="1" si="387"/>
        <v>0</v>
      </c>
      <c r="FP128" s="530">
        <f t="shared" ca="1" si="388"/>
        <v>0</v>
      </c>
      <c r="FQ128" s="530">
        <f t="shared" ca="1" si="389"/>
        <v>0</v>
      </c>
      <c r="FR128" s="530">
        <f t="shared" ca="1" si="390"/>
        <v>0</v>
      </c>
      <c r="FS128" s="625">
        <f t="shared" ca="1" si="391"/>
        <v>0</v>
      </c>
      <c r="FT128" s="640">
        <f ca="1">IF(AND(Assumptions!$H$71="Yes",A128&gt;=Assumptions!$H$72,A128&lt;=Assumptions!$H$73),0,IF(AND($A128&gt;=Assumptions!$C$17,$A128&lt;=Assumptions!$C$18),MAX(AZ128*(1+VLOOKUP($C128,WeatherCapacityAdjustment,2))-FL128,0),0))</f>
        <v>48888</v>
      </c>
      <c r="FU128" s="530">
        <f ca="1">IF(AND(Assumptions!$H$71="Yes",A128&gt;=Assumptions!$H$72,A128&lt;=Assumptions!$H$73),0,IF(AND($A128&gt;=Assumptions!$C$17,$A128&lt;=Assumptions!$C$18),MAX(BA128*(1+VLOOKUP($C128,WeatherCapacityAdjustment,2))-FM128,0),0))</f>
        <v>11640</v>
      </c>
      <c r="FV128" s="530">
        <f ca="1">IF(AND(Assumptions!$H$71="Yes",A128&gt;=Assumptions!$H$72,A128&lt;=Assumptions!$H$73),0,IF(AND($A128&gt;=Assumptions!$C$17,$A128&lt;=Assumptions!$C$18),MAX(BB128*(1+VLOOKUP($C128,WeatherCapacityAdjustment,2))-FN128,0),0))</f>
        <v>11640</v>
      </c>
      <c r="FW128" s="622">
        <f ca="1">IF(AND(Assumptions!$H$71="Yes",A128&gt;=Assumptions!$H$72,A128&lt;=Assumptions!$H$73),0,IF(AND($A128&gt;=Assumptions!$C$17,$A128&lt;=Assumptions!$C$18),MAX(BC128*(1+VLOOKUP($C128,WeatherCapacityAdjustment,3))-FO128,0),0))</f>
        <v>36084</v>
      </c>
      <c r="FX128" s="621">
        <f ca="1">IF(AND(Assumptions!$H$71="Yes",A128&gt;=Assumptions!$H$72,A128&lt;=Assumptions!$H$73),0,IF(ET128&gt;0,MAX(BH128*(1+VLOOKUP($C128,WeatherCapacityAdjustment,2))-FP128,0),0))</f>
        <v>195552</v>
      </c>
      <c r="FY128" s="530">
        <f ca="1">IF(AND(Assumptions!$H$71="Yes",A128&gt;=Assumptions!$H$72,A128&lt;=Assumptions!$H$73),0,IF(EU128&gt;0,MAX(BI128*(1+VLOOKUP($C128,WeatherCapacityAdjustment,3))-FQ128,0),0))</f>
        <v>46560</v>
      </c>
      <c r="FZ128" s="530">
        <f ca="1">IF(AND(Assumptions!$H$71="Yes",A128&gt;=Assumptions!$H$72,A128&lt;=Assumptions!$H$73),0,IF(EV128&gt;0,MAX(BJ128*(1+VLOOKUP($C128,WeatherCapacityAdjustment,2))-FR128,0),0))</f>
        <v>46560</v>
      </c>
      <c r="GA128" s="622">
        <f ca="1">IF(AND(Assumptions!$H$71="Yes",A128&gt;=Assumptions!$H$72,A128&lt;=Assumptions!$H$73),0,IF(EW128&gt;0,MAX(BK128*(1+VLOOKUP($C128,WeatherCapacityAdjustment,2))-FS128,0),0))</f>
        <v>144336</v>
      </c>
      <c r="GB128" s="530">
        <f t="shared" ca="1" si="290"/>
        <v>541260</v>
      </c>
      <c r="GC128" s="545">
        <f t="shared" ca="1" si="291"/>
        <v>68.342290638114235</v>
      </c>
      <c r="GD128" s="530">
        <f t="shared" ca="1" si="392"/>
        <v>36990948.230785705</v>
      </c>
      <c r="GE128" s="1485">
        <f t="shared" ca="1" si="393"/>
        <v>762825.86352000001</v>
      </c>
      <c r="GF128" s="1776">
        <f t="shared" ca="1" si="394"/>
        <v>3051303.4540800001</v>
      </c>
      <c r="GG128" s="545">
        <f t="shared" si="359"/>
        <v>2.8314278434435378</v>
      </c>
      <c r="GH128" s="622">
        <f t="shared" ca="1" si="360"/>
        <v>10799431.948346941</v>
      </c>
      <c r="GI128" s="621">
        <f t="shared" ca="1" si="336"/>
        <v>541260</v>
      </c>
      <c r="GJ128" s="638">
        <f t="shared" si="292"/>
        <v>2.0270923546752</v>
      </c>
      <c r="GK128" s="625">
        <f t="shared" ca="1" si="342"/>
        <v>1097184.0078914987</v>
      </c>
      <c r="GL128" s="640">
        <f t="shared" ca="1" si="395"/>
        <v>0</v>
      </c>
      <c r="GM128" s="530">
        <f t="shared" ca="1" si="396"/>
        <v>0</v>
      </c>
      <c r="GN128" s="530">
        <f t="shared" ca="1" si="397"/>
        <v>0</v>
      </c>
      <c r="GO128" s="622">
        <f t="shared" ca="1" si="398"/>
        <v>0</v>
      </c>
      <c r="GP128" s="530">
        <f t="shared" ca="1" si="293"/>
        <v>0</v>
      </c>
      <c r="GQ128" s="545">
        <f t="shared" ca="1" si="294"/>
        <v>0</v>
      </c>
      <c r="GR128" s="625">
        <f t="shared" ca="1" si="399"/>
        <v>0</v>
      </c>
      <c r="GS128" s="640">
        <f>IF($A128&gt;=BegDate,Assumptions!$C$56*24*($A129-$A128)*(1-VLOOKUP($B128,MAIN!$AA$7:$AM$28,$C128+1))*(1-VLOOKUP($B128,MAIN!$AA$33:$AM$54,$C128+1)),0)*80/168</f>
        <v>257742.85714285713</v>
      </c>
      <c r="GT128" s="1715">
        <f t="shared" si="337"/>
        <v>96.528821860192664</v>
      </c>
      <c r="GU128" s="1715">
        <f>IF($A128&gt;=BegDate,VLOOKUP($A128,GasTable,13)+Assumptions!$C$58,0)</f>
        <v>2.8314278434435378</v>
      </c>
      <c r="GV128" s="1715">
        <f>GU128*Assumptions!$C$57/1000</f>
        <v>20.527851864965651</v>
      </c>
      <c r="GW128" s="625">
        <f>IF(Assumptions!$C$60="Hourly",MAX(0,GS128*(GT128-GV128)),GS128*(GT128-GV128))</f>
        <v>19588707.152198367</v>
      </c>
      <c r="GX128" s="640">
        <f>IF($A128&gt;=BegDate,Assumptions!$C$56*24*($A129-$A128)*(1-VLOOKUP($B128,MAIN!$AA$7:$AM$28,$C128+1))*(1-VLOOKUP($B128,MAIN!$AA$33:$AM$54,$C128+1)),0)*16/168</f>
        <v>51548.571428571428</v>
      </c>
      <c r="GY128" s="1715">
        <f t="shared" si="338"/>
        <v>96.528821860192664</v>
      </c>
      <c r="GZ128" s="1715">
        <f>IF($A128&gt;=BegDate,VLOOKUP($A128,GasTable,13)+Assumptions!$C$58,0)</f>
        <v>2.8314278434435378</v>
      </c>
      <c r="HA128" s="1715">
        <f>GZ128*Assumptions!$C$57/1000</f>
        <v>20.527851864965651</v>
      </c>
      <c r="HB128" s="625">
        <f>IF(Assumptions!$C$60="Hourly",MAX(0,GX128*(GY128-HA128)),GX128*(GY128-HA128))</f>
        <v>3917741.4304396734</v>
      </c>
      <c r="HC128" s="640">
        <f>IF($A128&gt;=BegDate,Assumptions!$C$56*24*($A129-$A128)*(1-VLOOKUP($B128,MAIN!$AA$7:$AM$28,$C128+1))*(1-VLOOKUP($B128,MAIN!$AA$33:$AM$54,$C128+1)),0)*16/168</f>
        <v>51548.571428571428</v>
      </c>
      <c r="HD128" s="1715">
        <f t="shared" si="339"/>
        <v>32.593520605522556</v>
      </c>
      <c r="HE128" s="1715">
        <f>IF($A128&gt;=BegDate,VLOOKUP($A128,GasTable,13)+Assumptions!$C$58,0)</f>
        <v>2.8314278434435378</v>
      </c>
      <c r="HF128" s="1715">
        <f>HE128*Assumptions!$C$57/1000</f>
        <v>20.527851864965651</v>
      </c>
      <c r="HG128" s="625">
        <f>IF(Assumptions!$C$60="Hourly",MAX(0,HC128*(HD128-HF128)),HC128*(HD128-HF128))</f>
        <v>621967.98690607911</v>
      </c>
      <c r="HH128" s="640">
        <f>IF($A128&gt;=BegDate,Assumptions!$C$56*24*($A129-$A128)*(1-VLOOKUP($B128,MAIN!$AA$7:$AM$28,$C128+1))*(1-VLOOKUP($B128,MAIN!$AA$33:$AM$54,$C128+1)),0)*56/168</f>
        <v>180420</v>
      </c>
      <c r="HI128" s="1715">
        <f t="shared" si="340"/>
        <v>32.593520605522556</v>
      </c>
      <c r="HJ128" s="1715">
        <f>IF($A128&gt;=BegDate,VLOOKUP($A128,GasTable,13)+Assumptions!$C$58,0)</f>
        <v>2.8314278434435378</v>
      </c>
      <c r="HK128" s="1715">
        <f>HJ128*Assumptions!$C$57/1000</f>
        <v>20.527851864965651</v>
      </c>
      <c r="HL128" s="625">
        <f>IF(Assumptions!$C$60="Hourly",MAX(0,HH128*(HI128-HK128)),HH128*(HI128-HK128))</f>
        <v>2176887.9541712767</v>
      </c>
      <c r="HM128" s="640">
        <f>IF(AND(Assumptions!$H$71="Yes",A128&gt;=Assumptions!$H$72,A128&lt;=Assumptions!$H$73),Assumptions!$H$74*Assumptions!$C$9*1000,0)</f>
        <v>0</v>
      </c>
      <c r="HN128" s="530"/>
      <c r="HO128" s="545"/>
      <c r="HP128" s="545"/>
      <c r="HQ128" s="545"/>
      <c r="HR128" s="545"/>
      <c r="HS128" s="545"/>
      <c r="HT128" s="545"/>
      <c r="HU128" s="545"/>
      <c r="HV128" s="545"/>
      <c r="HW128" s="545"/>
      <c r="HX128" s="545"/>
      <c r="HY128" s="545"/>
      <c r="HZ128" s="545"/>
      <c r="IA128" s="545"/>
      <c r="IB128" s="545"/>
      <c r="IC128" s="545"/>
      <c r="ID128" s="545"/>
      <c r="IE128" s="545"/>
      <c r="IF128" s="545"/>
      <c r="IG128" s="545"/>
      <c r="IH128" s="545"/>
      <c r="II128" s="1464"/>
      <c r="IJ128" s="1463"/>
      <c r="IK128" s="1463"/>
    </row>
    <row r="129" spans="1:245">
      <c r="A129" s="177">
        <f t="shared" si="295"/>
        <v>40057</v>
      </c>
      <c r="B129" s="349">
        <f t="shared" si="296"/>
        <v>2009</v>
      </c>
      <c r="C129" s="15">
        <f t="shared" ref="C129:C144" si="400">MONTH(A129)</f>
        <v>9</v>
      </c>
      <c r="D129" s="612">
        <f t="shared" si="297"/>
        <v>40063</v>
      </c>
      <c r="E129" s="609">
        <f t="shared" ref="E129:E144" si="401">IF(OR(BegDate&gt;=A130,EndDate&lt;A129,AND(VolumeMonthlyOverFlag,INDEX(VolumeMonthlyOver,C129)=0),NOT(INDEX(MonthKnockOutTable,C129))),"",MAX(A129,BegDate))</f>
        <v>40057</v>
      </c>
      <c r="F129" s="614">
        <f t="shared" ref="F129:F144" si="402">IF(E129="","",MIN(A130-1,EndDate))</f>
        <v>40086</v>
      </c>
      <c r="G129" s="1349">
        <v>0</v>
      </c>
      <c r="H129" s="152">
        <f t="shared" si="341"/>
        <v>1</v>
      </c>
      <c r="I129" s="154">
        <f>IF(Assumptions!$L$25=4,VLOOKUP($A129,'Henwood Reference'!$E$9:$R$320,10),(VLOOKUP($A129,PriceTable,2,0)+IF(BasisNumber&lt;&gt;1,VLOOKUP($A129,BasisTable,2,0),0)+I$1)/(1-I$2))</f>
        <v>68.631776030842062</v>
      </c>
      <c r="J129" s="154">
        <f>IF(Assumptions!$L$25=4,VLOOKUP($A129,'Henwood Reference'!$E$9:$R$320,10),(VLOOKUP($A129,PriceTable,3,0)+IF(BasisNumber&lt;&gt;1,VLOOKUP($A129,BasisTable,2,0),0)+J$1)/(1-J$2))</f>
        <v>68.631776030842062</v>
      </c>
      <c r="K129" s="154">
        <f>IF(Assumptions!$L$25=4,VLOOKUP($A129,'Henwood Reference'!$E$9:$R$320,10),(VLOOKUP($A129,PriceTable,4,0)+IF(BasisNumber&lt;&gt;1,VLOOKUP($A129,BasisTable,2,0),0)+K$1)/(1-K$2))</f>
        <v>68.631776030842062</v>
      </c>
      <c r="L129" s="474">
        <f>IF(Assumptions!$L$25=4,VLOOKUP($A129,'Henwood Reference'!$E$9:$R$320,10),(VLOOKUP($A129,PriceTableWeekend,2,0)+IF(BasisNumber&lt;&gt;1,VLOOKUP($A129,BasisTable,2,0),0)+L$1)/(1-L$2))</f>
        <v>68.631776030842062</v>
      </c>
      <c r="M129" s="154">
        <f>IF(Assumptions!$L$25=4,VLOOKUP($A129,'Henwood Reference'!$E$9:$R$320,10),(VLOOKUP($A129,PriceTableWeekend,3,0)+IF(BasisNumber&lt;&gt;1,VLOOKUP($A129,BasisTable,2,0),0)+M$1)/(1-M$2))</f>
        <v>68.631776030842062</v>
      </c>
      <c r="N129" s="156">
        <f>IF(Assumptions!$L$25=4,VLOOKUP($A129,'Henwood Reference'!$E$9:$R$320,10),(VLOOKUP($A129,PriceTableWeekend,4,0)+IF(BasisNumber&lt;&gt;1,VLOOKUP($A129,BasisTable,2,0),0)+N$1)/(1-N$2))</f>
        <v>68.631776030842062</v>
      </c>
      <c r="O129" s="154">
        <f>IF(Assumptions!$L$25=4,VLOOKUP($A129,'Henwood Reference'!$E$9:$R$320,11),(VLOOKUP($A129,PriceTableWeekend,6,0)+IF(BasisNumber&lt;&gt;1,VLOOKUP($A129,BasisTable,3,0),0)+O$1)/(1-O$2))</f>
        <v>30.702525634191478</v>
      </c>
      <c r="P129" s="154">
        <f>IF(Assumptions!$L$25=4,VLOOKUP($A129,'Henwood Reference'!$E$9:$R$320,11),(VLOOKUP($A129,PriceTableWeekend,7,0)+IF(BasisNumber&lt;&gt;1,VLOOKUP($A129,BasisTable,3,0),0)+P$1)/(1-P$2))</f>
        <v>30.702525634191478</v>
      </c>
      <c r="Q129" s="156">
        <f>IF(Assumptions!$L$25=4,VLOOKUP($A129,'Henwood Reference'!$E$9:$R$320,11),(VLOOKUP($A129,PriceTableWeekend,8,0)+IF(BasisNumber&lt;&gt;1,VLOOKUP($A129,BasisTable,3,0),0)+Q$1)/(1-Q$2))</f>
        <v>30.702525634191478</v>
      </c>
      <c r="R129" s="154">
        <f>IF(Assumptions!$L$25=4,VLOOKUP($A129,'Henwood Reference'!$E$9:$R$320,11),(VLOOKUP($A129,PriceTable,6,0)+IF(BasisNumber&lt;&gt;1,VLOOKUP($A129,BasisTable,3,0),0)+R$1)/(1-R$2))</f>
        <v>30.702525634191478</v>
      </c>
      <c r="S129" s="154">
        <f>IF(Assumptions!$L$25=4,VLOOKUP($A129,'Henwood Reference'!$E$9:$R$320,11),(VLOOKUP($A129,PriceTable,7,0)+IF(BasisNumber&lt;&gt;1,VLOOKUP($A129,BasisTable,3,0),0)+S$1)/(1-S$2))</f>
        <v>30.702525634191478</v>
      </c>
      <c r="T129" s="155">
        <f>IF(Assumptions!$L$25=4,VLOOKUP($A129,'Henwood Reference'!$E$9:$R$320,11),(VLOOKUP($A129,PriceTable,8,0)+IF(BasisNumber&lt;&gt;1,VLOOKUP($A129,BasisTable,3,0),0)+T$1)/(1-T$2))</f>
        <v>30.702525634191478</v>
      </c>
      <c r="U129" s="173">
        <f t="shared" si="298"/>
        <v>0.125</v>
      </c>
      <c r="V129" s="173">
        <f t="shared" si="299"/>
        <v>0.13500000000000001</v>
      </c>
      <c r="W129" s="174">
        <f t="shared" si="300"/>
        <v>0.14499999999999999</v>
      </c>
      <c r="X129" s="173">
        <f t="shared" si="301"/>
        <v>0.125</v>
      </c>
      <c r="Y129" s="173">
        <f t="shared" si="302"/>
        <v>0.13500000000000001</v>
      </c>
      <c r="Z129" s="174">
        <f t="shared" si="303"/>
        <v>0.14499999999999999</v>
      </c>
      <c r="AA129" s="173">
        <f t="shared" si="304"/>
        <v>0.09</v>
      </c>
      <c r="AB129" s="173">
        <f t="shared" si="305"/>
        <v>0.11</v>
      </c>
      <c r="AC129" s="174">
        <f t="shared" si="306"/>
        <v>0.13</v>
      </c>
      <c r="AD129" s="173">
        <f t="shared" si="307"/>
        <v>0.09</v>
      </c>
      <c r="AE129" s="173">
        <f t="shared" si="308"/>
        <v>0.11</v>
      </c>
      <c r="AF129" s="174">
        <f t="shared" si="309"/>
        <v>0.13</v>
      </c>
      <c r="AG129" s="173">
        <f t="shared" si="310"/>
        <v>-0.35</v>
      </c>
      <c r="AH129" s="173">
        <f t="shared" si="311"/>
        <v>3</v>
      </c>
      <c r="AI129" s="174">
        <f t="shared" si="312"/>
        <v>0.2</v>
      </c>
      <c r="AJ129" s="173">
        <f t="shared" si="313"/>
        <v>-0.35</v>
      </c>
      <c r="AK129" s="173">
        <f t="shared" si="314"/>
        <v>3</v>
      </c>
      <c r="AL129" s="174">
        <f t="shared" si="315"/>
        <v>0.2</v>
      </c>
      <c r="AM129" s="173">
        <f t="shared" si="316"/>
        <v>-0.01</v>
      </c>
      <c r="AN129" s="173">
        <f t="shared" si="317"/>
        <v>0.16</v>
      </c>
      <c r="AO129" s="174">
        <f t="shared" si="318"/>
        <v>0.01</v>
      </c>
      <c r="AP129" s="173">
        <f t="shared" si="319"/>
        <v>-0.01</v>
      </c>
      <c r="AQ129" s="173">
        <f t="shared" si="320"/>
        <v>0.16</v>
      </c>
      <c r="AR129" s="175">
        <f t="shared" si="321"/>
        <v>0.01</v>
      </c>
      <c r="AS129" s="521">
        <f t="shared" si="357"/>
        <v>0.5</v>
      </c>
      <c r="AT129" s="349">
        <f t="shared" ref="AT129:AT144" si="403">AX129-SUM(AU129:AW129)</f>
        <v>21</v>
      </c>
      <c r="AU129" s="159">
        <f t="shared" si="240"/>
        <v>4</v>
      </c>
      <c r="AV129" s="159">
        <f t="shared" si="241"/>
        <v>4</v>
      </c>
      <c r="AW129" s="159">
        <f t="shared" si="358"/>
        <v>1</v>
      </c>
      <c r="AX129" s="15">
        <f t="shared" ref="AX129:AX144" si="404">IF(E129="",0,F129-E129+1)</f>
        <v>30</v>
      </c>
      <c r="AY129" s="607">
        <f>IF(E129="",0,MIN((1-(1-VLOOKUP(B129,MAIN!$AA$7:$AM$28,C129+1))*(1-VLOOKUP(B129,MAIN!$AA$33:$AM$54,C129+1))),1))</f>
        <v>3.0000000000000027E-2</v>
      </c>
      <c r="AZ129" s="337">
        <v>48888</v>
      </c>
      <c r="BA129" s="509">
        <v>9312</v>
      </c>
      <c r="BB129" s="509">
        <v>11640</v>
      </c>
      <c r="BC129" s="511">
        <v>34920</v>
      </c>
      <c r="BD129" s="153">
        <v>0.9699999927729368</v>
      </c>
      <c r="BE129" s="474">
        <v>0.9699999927729368</v>
      </c>
      <c r="BF129" s="474">
        <v>0.9699999927729368</v>
      </c>
      <c r="BG129" s="515">
        <v>0.9699999927729368</v>
      </c>
      <c r="BH129" s="262">
        <v>195552</v>
      </c>
      <c r="BI129" s="509">
        <v>37248</v>
      </c>
      <c r="BJ129" s="509">
        <v>46560</v>
      </c>
      <c r="BK129" s="511">
        <v>139680</v>
      </c>
      <c r="BL129" s="153">
        <v>0.9699999927729368</v>
      </c>
      <c r="BM129" s="474">
        <v>0.9699999927729368</v>
      </c>
      <c r="BN129" s="474">
        <v>0.9699999927729368</v>
      </c>
      <c r="BO129" s="474">
        <v>0.9699999927729368</v>
      </c>
      <c r="BP129" s="261">
        <f t="shared" si="324"/>
        <v>69840</v>
      </c>
      <c r="BQ129" s="578">
        <f t="shared" si="325"/>
        <v>104760</v>
      </c>
      <c r="BR129" s="259">
        <f t="shared" si="326"/>
        <v>279360</v>
      </c>
      <c r="BS129" s="578">
        <f t="shared" si="327"/>
        <v>419040</v>
      </c>
      <c r="BT129" s="216">
        <f t="shared" si="328"/>
        <v>9.3826146475017111</v>
      </c>
      <c r="BU129" s="218">
        <f t="shared" si="243"/>
        <v>68.631775519495491</v>
      </c>
      <c r="BV129" s="216">
        <f t="shared" si="244"/>
        <v>68.631775519495491</v>
      </c>
      <c r="BW129" s="216">
        <f t="shared" si="245"/>
        <v>30.702525405439836</v>
      </c>
      <c r="BX129" s="216">
        <f t="shared" si="329"/>
        <v>30.702525405439836</v>
      </c>
      <c r="BY129" s="216">
        <f t="shared" si="246"/>
        <v>62.310233833819545</v>
      </c>
      <c r="BZ129" s="216">
        <f t="shared" si="247"/>
        <v>51.77433102435964</v>
      </c>
      <c r="CA129" s="264">
        <f t="shared" si="248"/>
        <v>68.631775519495491</v>
      </c>
      <c r="CB129" s="216">
        <f t="shared" si="249"/>
        <v>68.631775519495491</v>
      </c>
      <c r="CC129" s="216">
        <f t="shared" si="250"/>
        <v>30.702525405439836</v>
      </c>
      <c r="CD129" s="216">
        <f t="shared" si="330"/>
        <v>30.702525405439836</v>
      </c>
      <c r="CE129" s="216">
        <f t="shared" si="251"/>
        <v>62.310233833819545</v>
      </c>
      <c r="CF129" s="571">
        <f t="shared" si="252"/>
        <v>51.77433102435964</v>
      </c>
      <c r="CG129" s="573">
        <f t="shared" si="253"/>
        <v>0.13500000000000001</v>
      </c>
      <c r="CH129" s="219">
        <f t="shared" si="254"/>
        <v>0.13500000000000001</v>
      </c>
      <c r="CI129" s="219">
        <f t="shared" si="255"/>
        <v>0.11</v>
      </c>
      <c r="CJ129" s="219">
        <f t="shared" si="256"/>
        <v>0.13297610731413306</v>
      </c>
      <c r="CK129" s="219">
        <f t="shared" si="257"/>
        <v>0.13297610731413306</v>
      </c>
      <c r="CL129" s="219">
        <f t="shared" si="258"/>
        <v>0.11</v>
      </c>
      <c r="CM129" s="219">
        <f t="shared" si="259"/>
        <v>0.11950915001886868</v>
      </c>
      <c r="CN129" s="569">
        <f t="shared" si="260"/>
        <v>0.11950915001886868</v>
      </c>
      <c r="CO129" s="264">
        <f t="shared" si="343"/>
        <v>20.789939168748198</v>
      </c>
      <c r="CP129" s="216">
        <f t="shared" si="331"/>
        <v>20.789939168748198</v>
      </c>
      <c r="CQ129" s="216">
        <f t="shared" ca="1" si="361"/>
        <v>20.789939168748198</v>
      </c>
      <c r="CR129" s="216">
        <f t="shared" ca="1" si="362"/>
        <v>20.789939168748198</v>
      </c>
      <c r="CS129" s="1626">
        <f t="shared" ca="1" si="363"/>
        <v>20.789939168748198</v>
      </c>
      <c r="CT129" s="216">
        <f t="shared" si="332"/>
        <v>20.789939168748198</v>
      </c>
      <c r="CU129" s="575">
        <f t="shared" si="261"/>
        <v>0.159</v>
      </c>
      <c r="CV129" s="154">
        <f t="shared" si="262"/>
        <v>0.5</v>
      </c>
      <c r="CW129" s="216">
        <f>IF(OR($BQ129,$BS129),SpreadOptPowerMargin,0)*((1+Assumptions!$C$26)^($B129-YEAR(Assumptions!$C$17)))</f>
        <v>2.0270923546752</v>
      </c>
      <c r="CX129" s="216">
        <f>IF(OR($BQ129,$BS129),SpreadOptPowerMargin,0)*((1+Assumptions!$C$26)^($B129-YEAR(Assumptions!$C$17)))</f>
        <v>2.0270923546752</v>
      </c>
      <c r="CY129" s="216">
        <f>IF(OR($BQ129,$BS129),SpreadOptPowerMargin,0)*((1+Assumptions!$C$26)^($B129-YEAR(Assumptions!$C$17)))</f>
        <v>2.0270923546752</v>
      </c>
      <c r="CZ129" s="216">
        <f>IF(OR($BQ129,$BS129),SpreadOptPowerMargin,0)*((1+Assumptions!$C$26)^($B129-YEAR(Assumptions!$C$17)))</f>
        <v>2.0270923546752</v>
      </c>
      <c r="DA129" s="440">
        <f t="shared" si="263"/>
        <v>2.0270923546752</v>
      </c>
      <c r="DB129" s="479">
        <f t="shared" si="264"/>
        <v>0.13500000000000001</v>
      </c>
      <c r="DC129" s="479">
        <f t="shared" si="265"/>
        <v>0.13500000000000001</v>
      </c>
      <c r="DD129" s="479">
        <f t="shared" si="266"/>
        <v>0.11</v>
      </c>
      <c r="DE129" s="479">
        <f t="shared" si="267"/>
        <v>0.11</v>
      </c>
      <c r="DF129" s="479">
        <f t="shared" si="268"/>
        <v>0.11950915001886868</v>
      </c>
      <c r="DG129" s="574">
        <f t="shared" si="269"/>
        <v>0.11950915001886868</v>
      </c>
      <c r="DH129" s="216">
        <f t="shared" si="270"/>
        <v>45.845821622732387</v>
      </c>
      <c r="DI129" s="216">
        <f t="shared" si="271"/>
        <v>45.845821622732387</v>
      </c>
      <c r="DJ129" s="216">
        <f t="shared" ca="1" si="364"/>
        <v>9.3081780875566285</v>
      </c>
      <c r="DK129" s="216">
        <f t="shared" ca="1" si="365"/>
        <v>9.3081780875566285</v>
      </c>
      <c r="DL129" s="216">
        <f t="shared" ca="1" si="366"/>
        <v>29.088390492159</v>
      </c>
      <c r="DM129" s="216"/>
      <c r="DN129" s="216"/>
      <c r="DO129" s="216"/>
      <c r="DP129" s="216"/>
      <c r="DQ129" s="216"/>
      <c r="DR129" s="216"/>
      <c r="DS129" s="216"/>
      <c r="DT129" s="216"/>
      <c r="DU129" s="216"/>
      <c r="DV129" s="216"/>
      <c r="DW129" s="1371">
        <f t="shared" si="272"/>
        <v>9.3081780875566285</v>
      </c>
      <c r="DX129" s="216">
        <f t="shared" si="273"/>
        <v>9.3081780875566285</v>
      </c>
      <c r="DY129" s="440">
        <f t="shared" si="274"/>
        <v>29.606868940432047</v>
      </c>
      <c r="DZ129" s="180">
        <f t="shared" si="275"/>
        <v>2241310.5274921409</v>
      </c>
      <c r="EA129" s="180">
        <f t="shared" si="276"/>
        <v>426916.29095088399</v>
      </c>
      <c r="EB129" s="180">
        <f t="shared" ca="1" si="367"/>
        <v>108347.19293915915</v>
      </c>
      <c r="EC129" s="180">
        <f t="shared" ca="1" si="368"/>
        <v>325041.57881747745</v>
      </c>
      <c r="ED129" s="180">
        <f t="shared" ca="1" si="369"/>
        <v>3047299.7879585768</v>
      </c>
      <c r="EE129" s="581">
        <f t="shared" si="277"/>
        <v>2239791.2044799728</v>
      </c>
      <c r="EF129" s="554">
        <f t="shared" si="278"/>
        <v>426626.89609142335</v>
      </c>
      <c r="EG129" s="554">
        <f t="shared" ca="1" si="370"/>
        <v>91787.148786671329</v>
      </c>
      <c r="EH129" s="554">
        <f t="shared" ca="1" si="371"/>
        <v>275361.44636001397</v>
      </c>
      <c r="EI129" s="561">
        <f t="shared" ca="1" si="279"/>
        <v>3033566.6957180807</v>
      </c>
      <c r="EJ129" s="581">
        <f t="shared" si="333"/>
        <v>1519.3230121680535</v>
      </c>
      <c r="EK129" s="554">
        <f t="shared" si="334"/>
        <v>289.39485946064815</v>
      </c>
      <c r="EL129" s="554">
        <f t="shared" ca="1" si="372"/>
        <v>16560.044152487826</v>
      </c>
      <c r="EM129" s="554">
        <f t="shared" ca="1" si="373"/>
        <v>49680.132457463478</v>
      </c>
      <c r="EN129" s="561">
        <f t="shared" ca="1" si="374"/>
        <v>13733.092240496073</v>
      </c>
      <c r="EO129" s="180">
        <f t="shared" si="280"/>
        <v>8965242.1099685635</v>
      </c>
      <c r="EP129" s="180">
        <f t="shared" si="281"/>
        <v>1707665.163803536</v>
      </c>
      <c r="EQ129" s="180">
        <f t="shared" si="282"/>
        <v>433388.77175663662</v>
      </c>
      <c r="ER129" s="180">
        <f t="shared" si="283"/>
        <v>1300166.3152699098</v>
      </c>
      <c r="ES129" s="180">
        <f t="shared" si="284"/>
        <v>12406462.360798646</v>
      </c>
      <c r="ET129" s="1482">
        <f t="shared" ca="1" si="375"/>
        <v>8959164.8179198913</v>
      </c>
      <c r="EU129" s="180">
        <f t="shared" ca="1" si="376"/>
        <v>1706507.5843656934</v>
      </c>
      <c r="EV129" s="180">
        <f t="shared" ca="1" si="377"/>
        <v>367148.59514668531</v>
      </c>
      <c r="EW129" s="180">
        <f t="shared" ca="1" si="378"/>
        <v>1101445.7854400559</v>
      </c>
      <c r="EX129" s="555">
        <f t="shared" ca="1" si="351"/>
        <v>12134266.782872327</v>
      </c>
      <c r="EY129" s="180">
        <f t="shared" ca="1" si="379"/>
        <v>6077.2920486722142</v>
      </c>
      <c r="EZ129" s="180">
        <f t="shared" ca="1" si="380"/>
        <v>1157.5794378425926</v>
      </c>
      <c r="FA129" s="180">
        <f t="shared" ca="1" si="381"/>
        <v>66240.176609951304</v>
      </c>
      <c r="FB129" s="180">
        <f t="shared" ca="1" si="382"/>
        <v>198720.52982985391</v>
      </c>
      <c r="FC129" s="180">
        <f t="shared" ca="1" si="383"/>
        <v>272195.57792631909</v>
      </c>
      <c r="FD129" s="262">
        <f>IF(AX129,IF(VLOOKUP(C129,MAIN!$L$17:$M$28,2)="Yes",VLOOKUP(CALC!B129,MAIN!$H$17:$I$20,2),0),0)</f>
        <v>0</v>
      </c>
      <c r="FE129" s="623">
        <f t="shared" si="285"/>
        <v>0</v>
      </c>
      <c r="FF129" s="535">
        <f t="shared" si="286"/>
        <v>0</v>
      </c>
      <c r="FG129" s="535">
        <f t="shared" si="287"/>
        <v>0</v>
      </c>
      <c r="FH129" s="624">
        <f t="shared" si="288"/>
        <v>0</v>
      </c>
      <c r="FI129" s="632">
        <f>IF(AX129,VLOOKUP(CALC!B129,MAIN!$H$17:$K$20,4),0)</f>
        <v>0</v>
      </c>
      <c r="FJ129" s="535">
        <f t="shared" si="289"/>
        <v>0</v>
      </c>
      <c r="FK129" s="648">
        <f t="shared" si="335"/>
        <v>0</v>
      </c>
      <c r="FL129" s="530">
        <f t="shared" ca="1" si="384"/>
        <v>0</v>
      </c>
      <c r="FM129" s="530">
        <f t="shared" ca="1" si="385"/>
        <v>0</v>
      </c>
      <c r="FN129" s="530">
        <f t="shared" ca="1" si="386"/>
        <v>0</v>
      </c>
      <c r="FO129" s="622">
        <f t="shared" ca="1" si="387"/>
        <v>0</v>
      </c>
      <c r="FP129" s="530">
        <f t="shared" ca="1" si="388"/>
        <v>0</v>
      </c>
      <c r="FQ129" s="530">
        <f t="shared" ca="1" si="389"/>
        <v>0</v>
      </c>
      <c r="FR129" s="530">
        <f t="shared" ca="1" si="390"/>
        <v>0</v>
      </c>
      <c r="FS129" s="625">
        <f t="shared" ca="1" si="391"/>
        <v>0</v>
      </c>
      <c r="FT129" s="640">
        <f ca="1">IF(AND(Assumptions!$H$71="Yes",A129&gt;=Assumptions!$H$72,A129&lt;=Assumptions!$H$73),0,IF(AND($A129&gt;=Assumptions!$C$17,$A129&lt;=Assumptions!$C$18),MAX(AZ129*(1+VLOOKUP($C129,WeatherCapacityAdjustment,2))-FL129,0),0))</f>
        <v>48888</v>
      </c>
      <c r="FU129" s="530">
        <f ca="1">IF(AND(Assumptions!$H$71="Yes",A129&gt;=Assumptions!$H$72,A129&lt;=Assumptions!$H$73),0,IF(AND($A129&gt;=Assumptions!$C$17,$A129&lt;=Assumptions!$C$18),MAX(BA129*(1+VLOOKUP($C129,WeatherCapacityAdjustment,2))-FM129,0),0))</f>
        <v>9312</v>
      </c>
      <c r="FV129" s="530">
        <f ca="1">IF(AND(Assumptions!$H$71="Yes",A129&gt;=Assumptions!$H$72,A129&lt;=Assumptions!$H$73),0,IF(AND($A129&gt;=Assumptions!$C$17,$A129&lt;=Assumptions!$C$18),MAX(BB129*(1+VLOOKUP($C129,WeatherCapacityAdjustment,2))-FN129,0),0))</f>
        <v>11640</v>
      </c>
      <c r="FW129" s="622">
        <f ca="1">IF(AND(Assumptions!$H$71="Yes",A129&gt;=Assumptions!$H$72,A129&lt;=Assumptions!$H$73),0,IF(AND($A129&gt;=Assumptions!$C$17,$A129&lt;=Assumptions!$C$18),MAX(BC129*(1+VLOOKUP($C129,WeatherCapacityAdjustment,3))-FO129,0),0))</f>
        <v>34920</v>
      </c>
      <c r="FX129" s="621">
        <f ca="1">IF(AND(Assumptions!$H$71="Yes",A129&gt;=Assumptions!$H$72,A129&lt;=Assumptions!$H$73),0,IF(ET129&gt;0,MAX(BH129*(1+VLOOKUP($C129,WeatherCapacityAdjustment,2))-FP129,0),0))</f>
        <v>195552</v>
      </c>
      <c r="FY129" s="530">
        <f ca="1">IF(AND(Assumptions!$H$71="Yes",A129&gt;=Assumptions!$H$72,A129&lt;=Assumptions!$H$73),0,IF(EU129&gt;0,MAX(BI129*(1+VLOOKUP($C129,WeatherCapacityAdjustment,3))-FQ129,0),0))</f>
        <v>37248</v>
      </c>
      <c r="FZ129" s="530">
        <f ca="1">IF(AND(Assumptions!$H$71="Yes",A129&gt;=Assumptions!$H$72,A129&lt;=Assumptions!$H$73),0,IF(EV129&gt;0,MAX(BJ129*(1+VLOOKUP($C129,WeatherCapacityAdjustment,2))-FR129,0),0))</f>
        <v>46560</v>
      </c>
      <c r="GA129" s="622">
        <f ca="1">IF(AND(Assumptions!$H$71="Yes",A129&gt;=Assumptions!$H$72,A129&lt;=Assumptions!$H$73),0,IF(EW129&gt;0,MAX(BK129*(1+VLOOKUP($C129,WeatherCapacityAdjustment,2))-FS129,0),0))</f>
        <v>139680</v>
      </c>
      <c r="GB129" s="530">
        <f t="shared" ca="1" si="290"/>
        <v>523800</v>
      </c>
      <c r="GC129" s="545">
        <f t="shared" ca="1" si="291"/>
        <v>51.77433102435964</v>
      </c>
      <c r="GD129" s="530">
        <f t="shared" ca="1" si="392"/>
        <v>27119394.590559579</v>
      </c>
      <c r="GE129" s="1485">
        <f t="shared" ca="1" si="393"/>
        <v>738526.57200000004</v>
      </c>
      <c r="GF129" s="1776">
        <f t="shared" ca="1" si="394"/>
        <v>2954106.2880000002</v>
      </c>
      <c r="GG129" s="545">
        <f t="shared" si="359"/>
        <v>2.9490530332848488</v>
      </c>
      <c r="GH129" s="622">
        <f t="shared" ca="1" si="360"/>
        <v>10889770.136590308</v>
      </c>
      <c r="GI129" s="621">
        <f t="shared" ca="1" si="336"/>
        <v>523800</v>
      </c>
      <c r="GJ129" s="638">
        <f t="shared" si="292"/>
        <v>2.0270923546752</v>
      </c>
      <c r="GK129" s="625">
        <f t="shared" ca="1" si="342"/>
        <v>1061790.9753788698</v>
      </c>
      <c r="GL129" s="640">
        <f t="shared" ca="1" si="395"/>
        <v>0</v>
      </c>
      <c r="GM129" s="530">
        <f t="shared" ca="1" si="396"/>
        <v>0</v>
      </c>
      <c r="GN129" s="530">
        <f t="shared" ca="1" si="397"/>
        <v>0</v>
      </c>
      <c r="GO129" s="622">
        <f t="shared" ca="1" si="398"/>
        <v>0</v>
      </c>
      <c r="GP129" s="530">
        <f t="shared" ca="1" si="293"/>
        <v>0</v>
      </c>
      <c r="GQ129" s="545">
        <f t="shared" ca="1" si="294"/>
        <v>0</v>
      </c>
      <c r="GR129" s="625">
        <f t="shared" ca="1" si="399"/>
        <v>0</v>
      </c>
      <c r="GS129" s="640">
        <f>IF($A129&gt;=BegDate,Assumptions!$C$56*24*($A130-$A129)*(1-VLOOKUP($B129,MAIN!$AA$7:$AM$28,$C129+1))*(1-VLOOKUP($B129,MAIN!$AA$33:$AM$54,$C129+1)),0)*80/168</f>
        <v>249428.57142857142</v>
      </c>
      <c r="GT129" s="1715">
        <f t="shared" si="337"/>
        <v>68.631776030842062</v>
      </c>
      <c r="GU129" s="1715">
        <f>IF($A129&gt;=BegDate,VLOOKUP($A129,GasTable,13)+Assumptions!$C$58,0)</f>
        <v>2.9490530332848488</v>
      </c>
      <c r="GV129" s="1715">
        <f>GU129*Assumptions!$C$57/1000</f>
        <v>21.380634491315156</v>
      </c>
      <c r="GW129" s="625">
        <f>IF(Assumptions!$C$60="Hourly",MAX(0,GS129*(GT129-GV129)),GS129*(GT129-GV129))</f>
        <v>11785784.732573425</v>
      </c>
      <c r="GX129" s="640">
        <f>IF($A129&gt;=BegDate,Assumptions!$C$56*24*($A130-$A129)*(1-VLOOKUP($B129,MAIN!$AA$7:$AM$28,$C129+1))*(1-VLOOKUP($B129,MAIN!$AA$33:$AM$54,$C129+1)),0)*16/168</f>
        <v>49885.714285714283</v>
      </c>
      <c r="GY129" s="1715">
        <f t="shared" si="338"/>
        <v>68.631776030842062</v>
      </c>
      <c r="GZ129" s="1715">
        <f>IF($A129&gt;=BegDate,VLOOKUP($A129,GasTable,13)+Assumptions!$C$58,0)</f>
        <v>2.9490530332848488</v>
      </c>
      <c r="HA129" s="1715">
        <f>GZ129*Assumptions!$C$57/1000</f>
        <v>21.380634491315156</v>
      </c>
      <c r="HB129" s="625">
        <f>IF(Assumptions!$C$60="Hourly",MAX(0,GX129*(GY129-HA129)),GX129*(GY129-HA129))</f>
        <v>2357156.9465146847</v>
      </c>
      <c r="HC129" s="640">
        <f>IF($A129&gt;=BegDate,Assumptions!$C$56*24*($A130-$A129)*(1-VLOOKUP($B129,MAIN!$AA$7:$AM$28,$C129+1))*(1-VLOOKUP($B129,MAIN!$AA$33:$AM$54,$C129+1)),0)*16/168</f>
        <v>49885.714285714283</v>
      </c>
      <c r="HD129" s="1715">
        <f t="shared" si="339"/>
        <v>30.702525634191478</v>
      </c>
      <c r="HE129" s="1715">
        <f>IF($A129&gt;=BegDate,VLOOKUP($A129,GasTable,13)+Assumptions!$C$58,0)</f>
        <v>2.9490530332848488</v>
      </c>
      <c r="HF129" s="1715">
        <f>HE129*Assumptions!$C$57/1000</f>
        <v>21.380634491315156</v>
      </c>
      <c r="HG129" s="625">
        <f>IF(Assumptions!$C$60="Hourly",MAX(0,HC129*(HD129-HF129)),HC129*(HD129-HF129))</f>
        <v>465029.19815605873</v>
      </c>
      <c r="HH129" s="640">
        <f>IF($A129&gt;=BegDate,Assumptions!$C$56*24*($A130-$A129)*(1-VLOOKUP($B129,MAIN!$AA$7:$AM$28,$C129+1))*(1-VLOOKUP($B129,MAIN!$AA$33:$AM$54,$C129+1)),0)*56/168</f>
        <v>174600</v>
      </c>
      <c r="HI129" s="1715">
        <f t="shared" si="340"/>
        <v>30.702525634191478</v>
      </c>
      <c r="HJ129" s="1715">
        <f>IF($A129&gt;=BegDate,VLOOKUP($A129,GasTable,13)+Assumptions!$C$58,0)</f>
        <v>2.9490530332848488</v>
      </c>
      <c r="HK129" s="1715">
        <f>HJ129*Assumptions!$C$57/1000</f>
        <v>21.380634491315156</v>
      </c>
      <c r="HL129" s="625">
        <f>IF(Assumptions!$C$60="Hourly",MAX(0,HH129*(HI129-HK129)),HH129*(HI129-HK129))</f>
        <v>1627602.1935462058</v>
      </c>
      <c r="HM129" s="640">
        <f>IF(AND(Assumptions!$H$71="Yes",A129&gt;=Assumptions!$H$72,A129&lt;=Assumptions!$H$73),Assumptions!$H$74*Assumptions!$C$9*1000,0)</f>
        <v>0</v>
      </c>
      <c r="HN129" s="530"/>
      <c r="HO129" s="545"/>
      <c r="HP129" s="545"/>
      <c r="HQ129" s="545"/>
      <c r="HR129" s="545"/>
      <c r="HS129" s="545"/>
      <c r="HT129" s="545"/>
      <c r="HU129" s="545"/>
      <c r="HV129" s="545"/>
      <c r="HW129" s="545"/>
      <c r="HX129" s="545"/>
      <c r="HY129" s="545"/>
      <c r="HZ129" s="545"/>
      <c r="IA129" s="545"/>
      <c r="IB129" s="545"/>
      <c r="IC129" s="545"/>
      <c r="ID129" s="545"/>
      <c r="IE129" s="545"/>
      <c r="IF129" s="545"/>
      <c r="IG129" s="545"/>
      <c r="IH129" s="545"/>
      <c r="II129" s="1464"/>
      <c r="IJ129" s="1463"/>
      <c r="IK129" s="1463"/>
    </row>
    <row r="130" spans="1:245">
      <c r="A130" s="177">
        <f t="shared" si="295"/>
        <v>40087</v>
      </c>
      <c r="B130" s="349">
        <f t="shared" si="296"/>
        <v>2009</v>
      </c>
      <c r="C130" s="15">
        <f t="shared" si="400"/>
        <v>10</v>
      </c>
      <c r="D130" s="612" t="str">
        <f t="shared" si="297"/>
        <v/>
      </c>
      <c r="E130" s="609">
        <f t="shared" si="401"/>
        <v>40087</v>
      </c>
      <c r="F130" s="614">
        <f t="shared" si="402"/>
        <v>40117</v>
      </c>
      <c r="G130" s="1349">
        <v>0</v>
      </c>
      <c r="H130" s="152">
        <f t="shared" si="341"/>
        <v>1</v>
      </c>
      <c r="I130" s="154">
        <f>IF(Assumptions!$L$25=4,VLOOKUP($A130,'Henwood Reference'!$E$9:$R$320,10),(VLOOKUP($A130,PriceTable,2,0)+IF(BasisNumber&lt;&gt;1,VLOOKUP($A130,BasisTable,2,0),0)+I$1)/(1-I$2))</f>
        <v>47.078042537224967</v>
      </c>
      <c r="J130" s="154">
        <f>IF(Assumptions!$L$25=4,VLOOKUP($A130,'Henwood Reference'!$E$9:$R$320,10),(VLOOKUP($A130,PriceTable,3,0)+IF(BasisNumber&lt;&gt;1,VLOOKUP($A130,BasisTable,2,0),0)+J$1)/(1-J$2))</f>
        <v>47.078042537224967</v>
      </c>
      <c r="K130" s="154">
        <f>IF(Assumptions!$L$25=4,VLOOKUP($A130,'Henwood Reference'!$E$9:$R$320,10),(VLOOKUP($A130,PriceTable,4,0)+IF(BasisNumber&lt;&gt;1,VLOOKUP($A130,BasisTable,2,0),0)+K$1)/(1-K$2))</f>
        <v>47.078042537224967</v>
      </c>
      <c r="L130" s="474">
        <f>IF(Assumptions!$L$25=4,VLOOKUP($A130,'Henwood Reference'!$E$9:$R$320,10),(VLOOKUP($A130,PriceTableWeekend,2,0)+IF(BasisNumber&lt;&gt;1,VLOOKUP($A130,BasisTable,2,0),0)+L$1)/(1-L$2))</f>
        <v>47.078042537224967</v>
      </c>
      <c r="M130" s="154">
        <f>IF(Assumptions!$L$25=4,VLOOKUP($A130,'Henwood Reference'!$E$9:$R$320,10),(VLOOKUP($A130,PriceTableWeekend,3,0)+IF(BasisNumber&lt;&gt;1,VLOOKUP($A130,BasisTable,2,0),0)+M$1)/(1-M$2))</f>
        <v>47.078042537224967</v>
      </c>
      <c r="N130" s="156">
        <f>IF(Assumptions!$L$25=4,VLOOKUP($A130,'Henwood Reference'!$E$9:$R$320,10),(VLOOKUP($A130,PriceTableWeekend,4,0)+IF(BasisNumber&lt;&gt;1,VLOOKUP($A130,BasisTable,2,0),0)+N$1)/(1-N$2))</f>
        <v>47.078042537224967</v>
      </c>
      <c r="O130" s="154">
        <f>IF(Assumptions!$L$25=4,VLOOKUP($A130,'Henwood Reference'!$E$9:$R$320,11),(VLOOKUP($A130,PriceTableWeekend,6,0)+IF(BasisNumber&lt;&gt;1,VLOOKUP($A130,BasisTable,3,0),0)+O$1)/(1-O$2))</f>
        <v>25.855708212886832</v>
      </c>
      <c r="P130" s="154">
        <f>IF(Assumptions!$L$25=4,VLOOKUP($A130,'Henwood Reference'!$E$9:$R$320,11),(VLOOKUP($A130,PriceTableWeekend,7,0)+IF(BasisNumber&lt;&gt;1,VLOOKUP($A130,BasisTable,3,0),0)+P$1)/(1-P$2))</f>
        <v>25.855708212886832</v>
      </c>
      <c r="Q130" s="156">
        <f>IF(Assumptions!$L$25=4,VLOOKUP($A130,'Henwood Reference'!$E$9:$R$320,11),(VLOOKUP($A130,PriceTableWeekend,8,0)+IF(BasisNumber&lt;&gt;1,VLOOKUP($A130,BasisTable,3,0),0)+Q$1)/(1-Q$2))</f>
        <v>25.855708212886832</v>
      </c>
      <c r="R130" s="154">
        <f>IF(Assumptions!$L$25=4,VLOOKUP($A130,'Henwood Reference'!$E$9:$R$320,11),(VLOOKUP($A130,PriceTable,6,0)+IF(BasisNumber&lt;&gt;1,VLOOKUP($A130,BasisTable,3,0),0)+R$1)/(1-R$2))</f>
        <v>25.855708212886832</v>
      </c>
      <c r="S130" s="154">
        <f>IF(Assumptions!$L$25=4,VLOOKUP($A130,'Henwood Reference'!$E$9:$R$320,11),(VLOOKUP($A130,PriceTable,7,0)+IF(BasisNumber&lt;&gt;1,VLOOKUP($A130,BasisTable,3,0),0)+S$1)/(1-S$2))</f>
        <v>25.855708212886832</v>
      </c>
      <c r="T130" s="155">
        <f>IF(Assumptions!$L$25=4,VLOOKUP($A130,'Henwood Reference'!$E$9:$R$320,11),(VLOOKUP($A130,PriceTable,8,0)+IF(BasisNumber&lt;&gt;1,VLOOKUP($A130,BasisTable,3,0),0)+T$1)/(1-T$2))</f>
        <v>25.855708212886832</v>
      </c>
      <c r="U130" s="173">
        <f t="shared" si="298"/>
        <v>0.125</v>
      </c>
      <c r="V130" s="173">
        <f t="shared" si="299"/>
        <v>0.13500000000000001</v>
      </c>
      <c r="W130" s="174">
        <f t="shared" si="300"/>
        <v>0.14499999999999999</v>
      </c>
      <c r="X130" s="173">
        <f t="shared" si="301"/>
        <v>0.125</v>
      </c>
      <c r="Y130" s="173">
        <f t="shared" si="302"/>
        <v>0.13500000000000001</v>
      </c>
      <c r="Z130" s="174">
        <f t="shared" si="303"/>
        <v>0.14499999999999999</v>
      </c>
      <c r="AA130" s="173">
        <f t="shared" si="304"/>
        <v>0.09</v>
      </c>
      <c r="AB130" s="173">
        <f t="shared" si="305"/>
        <v>0.11</v>
      </c>
      <c r="AC130" s="174">
        <f t="shared" si="306"/>
        <v>0.13</v>
      </c>
      <c r="AD130" s="173">
        <f t="shared" si="307"/>
        <v>0.09</v>
      </c>
      <c r="AE130" s="173">
        <f t="shared" si="308"/>
        <v>0.11</v>
      </c>
      <c r="AF130" s="174">
        <f t="shared" si="309"/>
        <v>0.13</v>
      </c>
      <c r="AG130" s="173">
        <f t="shared" si="310"/>
        <v>-0.1</v>
      </c>
      <c r="AH130" s="173">
        <f t="shared" si="311"/>
        <v>0.6</v>
      </c>
      <c r="AI130" s="174">
        <f t="shared" si="312"/>
        <v>0.1</v>
      </c>
      <c r="AJ130" s="173">
        <f t="shared" si="313"/>
        <v>-0.1</v>
      </c>
      <c r="AK130" s="173">
        <f t="shared" si="314"/>
        <v>0.6</v>
      </c>
      <c r="AL130" s="174">
        <f t="shared" si="315"/>
        <v>0.1</v>
      </c>
      <c r="AM130" s="173">
        <f t="shared" si="316"/>
        <v>-0.01</v>
      </c>
      <c r="AN130" s="173">
        <f t="shared" si="317"/>
        <v>0.16</v>
      </c>
      <c r="AO130" s="174">
        <f t="shared" si="318"/>
        <v>0.01</v>
      </c>
      <c r="AP130" s="173">
        <f t="shared" si="319"/>
        <v>-0.01</v>
      </c>
      <c r="AQ130" s="173">
        <f t="shared" si="320"/>
        <v>0.16</v>
      </c>
      <c r="AR130" s="175">
        <f t="shared" si="321"/>
        <v>0.01</v>
      </c>
      <c r="AS130" s="521">
        <f t="shared" ref="AS130:AS145" si="405">IF(CorrPeakOffPeakOverFlag,INDEX(CorrPeakOffPeakOver,C130),CorrPeakOffPeak)</f>
        <v>0.5</v>
      </c>
      <c r="AT130" s="349">
        <f t="shared" si="403"/>
        <v>22</v>
      </c>
      <c r="AU130" s="159">
        <f t="shared" si="240"/>
        <v>5</v>
      </c>
      <c r="AV130" s="159">
        <f t="shared" si="241"/>
        <v>4</v>
      </c>
      <c r="AW130" s="159">
        <f t="shared" ref="AW130:AW145" si="406">IF(OR(E130="",D130="",D130&lt;BegDate,D130&gt;EndDate),0,1)</f>
        <v>0</v>
      </c>
      <c r="AX130" s="15">
        <f t="shared" si="404"/>
        <v>31</v>
      </c>
      <c r="AY130" s="607">
        <f>IF(E130="",0,MIN((1-(1-VLOOKUP(B130,MAIN!$AA$7:$AM$28,C130+1))*(1-VLOOKUP(B130,MAIN!$AA$33:$AM$54,C130+1))),1))</f>
        <v>3.0000000000000027E-2</v>
      </c>
      <c r="AZ130" s="337">
        <v>51216</v>
      </c>
      <c r="BA130" s="509">
        <v>11640</v>
      </c>
      <c r="BB130" s="509">
        <v>9312</v>
      </c>
      <c r="BC130" s="511">
        <v>36084</v>
      </c>
      <c r="BD130" s="153">
        <v>0.97000001445412631</v>
      </c>
      <c r="BE130" s="474">
        <v>0.97000001445412631</v>
      </c>
      <c r="BF130" s="474">
        <v>0.97000001445412631</v>
      </c>
      <c r="BG130" s="515">
        <v>0.9699999927729368</v>
      </c>
      <c r="BH130" s="262">
        <v>204864</v>
      </c>
      <c r="BI130" s="509">
        <v>46560</v>
      </c>
      <c r="BJ130" s="509">
        <v>37248</v>
      </c>
      <c r="BK130" s="511">
        <v>144336</v>
      </c>
      <c r="BL130" s="153">
        <v>0.97000001445412631</v>
      </c>
      <c r="BM130" s="474">
        <v>0.97000001445412631</v>
      </c>
      <c r="BN130" s="474">
        <v>0.97000001445412631</v>
      </c>
      <c r="BO130" s="474">
        <v>0.9699999927729368</v>
      </c>
      <c r="BP130" s="261">
        <f t="shared" si="324"/>
        <v>72168</v>
      </c>
      <c r="BQ130" s="578">
        <f t="shared" si="325"/>
        <v>108252</v>
      </c>
      <c r="BR130" s="259">
        <f t="shared" si="326"/>
        <v>288672</v>
      </c>
      <c r="BS130" s="578">
        <f t="shared" si="327"/>
        <v>433008</v>
      </c>
      <c r="BT130" s="216">
        <f t="shared" si="328"/>
        <v>9.464750171115675</v>
      </c>
      <c r="BU130" s="218">
        <f t="shared" si="243"/>
        <v>47.078043238742467</v>
      </c>
      <c r="BV130" s="216">
        <f t="shared" si="244"/>
        <v>47.078043238742467</v>
      </c>
      <c r="BW130" s="216">
        <f t="shared" si="245"/>
        <v>25.855708598166906</v>
      </c>
      <c r="BX130" s="216">
        <f t="shared" si="329"/>
        <v>25.855708020246794</v>
      </c>
      <c r="BY130" s="216">
        <f t="shared" si="246"/>
        <v>44.339677478668207</v>
      </c>
      <c r="BZ130" s="216">
        <f t="shared" si="247"/>
        <v>38.178354325861065</v>
      </c>
      <c r="CA130" s="264">
        <f t="shared" si="248"/>
        <v>47.078043238742467</v>
      </c>
      <c r="CB130" s="216">
        <f t="shared" si="249"/>
        <v>47.078043238742467</v>
      </c>
      <c r="CC130" s="216">
        <f t="shared" si="250"/>
        <v>25.855708598166906</v>
      </c>
      <c r="CD130" s="216">
        <f t="shared" si="330"/>
        <v>25.855708020246794</v>
      </c>
      <c r="CE130" s="216">
        <f t="shared" si="251"/>
        <v>44.339677478668207</v>
      </c>
      <c r="CF130" s="571">
        <f t="shared" si="252"/>
        <v>38.178354325861065</v>
      </c>
      <c r="CG130" s="573">
        <f t="shared" si="253"/>
        <v>0.13500000000000001</v>
      </c>
      <c r="CH130" s="219">
        <f t="shared" si="254"/>
        <v>0.13500000000000001</v>
      </c>
      <c r="CI130" s="219">
        <f t="shared" si="255"/>
        <v>0.11</v>
      </c>
      <c r="CJ130" s="219">
        <f t="shared" si="256"/>
        <v>0.13314613504957662</v>
      </c>
      <c r="CK130" s="219">
        <f t="shared" si="257"/>
        <v>0.13314613504957662</v>
      </c>
      <c r="CL130" s="219">
        <f t="shared" si="258"/>
        <v>0.11</v>
      </c>
      <c r="CM130" s="219">
        <f t="shared" si="259"/>
        <v>0.11796962050119277</v>
      </c>
      <c r="CN130" s="569">
        <f t="shared" si="260"/>
        <v>0.11796962050119277</v>
      </c>
      <c r="CO130" s="264">
        <f t="shared" si="343"/>
        <v>21.687583916153876</v>
      </c>
      <c r="CP130" s="216">
        <f t="shared" si="331"/>
        <v>21.687583916153876</v>
      </c>
      <c r="CQ130" s="216">
        <f t="shared" ca="1" si="361"/>
        <v>21.687583916153876</v>
      </c>
      <c r="CR130" s="216">
        <f t="shared" ca="1" si="362"/>
        <v>21.687583916153876</v>
      </c>
      <c r="CS130" s="1626">
        <f t="shared" ca="1" si="363"/>
        <v>21.687583916153873</v>
      </c>
      <c r="CT130" s="216">
        <f t="shared" si="332"/>
        <v>21.687583916153876</v>
      </c>
      <c r="CU130" s="575">
        <f t="shared" si="261"/>
        <v>0.159</v>
      </c>
      <c r="CV130" s="154">
        <f t="shared" si="262"/>
        <v>0.5</v>
      </c>
      <c r="CW130" s="216">
        <f>IF(OR($BQ130,$BS130),SpreadOptPowerMargin,0)*((1+Assumptions!$C$26)^($B130-YEAR(Assumptions!$C$17)))</f>
        <v>2.0270923546752</v>
      </c>
      <c r="CX130" s="216">
        <f>IF(OR($BQ130,$BS130),SpreadOptPowerMargin,0)*((1+Assumptions!$C$26)^($B130-YEAR(Assumptions!$C$17)))</f>
        <v>2.0270923546752</v>
      </c>
      <c r="CY130" s="216">
        <f>IF(OR($BQ130,$BS130),SpreadOptPowerMargin,0)*((1+Assumptions!$C$26)^($B130-YEAR(Assumptions!$C$17)))</f>
        <v>2.0270923546752</v>
      </c>
      <c r="CZ130" s="216">
        <f>IF(OR($BQ130,$BS130),SpreadOptPowerMargin,0)*((1+Assumptions!$C$26)^($B130-YEAR(Assumptions!$C$17)))</f>
        <v>2.0270923546752</v>
      </c>
      <c r="DA130" s="440">
        <f t="shared" si="263"/>
        <v>2.0270923546752</v>
      </c>
      <c r="DB130" s="479">
        <f t="shared" si="264"/>
        <v>0.13500000000000001</v>
      </c>
      <c r="DC130" s="479">
        <f t="shared" si="265"/>
        <v>0.13500000000000001</v>
      </c>
      <c r="DD130" s="479">
        <f t="shared" si="266"/>
        <v>0.11</v>
      </c>
      <c r="DE130" s="479">
        <f t="shared" si="267"/>
        <v>0.11</v>
      </c>
      <c r="DF130" s="479">
        <f t="shared" si="268"/>
        <v>0.11796962050119277</v>
      </c>
      <c r="DG130" s="574">
        <f t="shared" si="269"/>
        <v>0.11796962050119277</v>
      </c>
      <c r="DH130" s="216">
        <f t="shared" si="270"/>
        <v>23.718534211559337</v>
      </c>
      <c r="DI130" s="216">
        <f t="shared" si="271"/>
        <v>23.718534211559337</v>
      </c>
      <c r="DJ130" s="216">
        <f t="shared" ca="1" si="364"/>
        <v>5.1329593722674485</v>
      </c>
      <c r="DK130" s="216">
        <f t="shared" ca="1" si="365"/>
        <v>5.1329589878509783</v>
      </c>
      <c r="DL130" s="216">
        <f t="shared" ca="1" si="366"/>
        <v>15.235137948491202</v>
      </c>
      <c r="DM130" s="216"/>
      <c r="DN130" s="216"/>
      <c r="DO130" s="216"/>
      <c r="DP130" s="216"/>
      <c r="DQ130" s="216"/>
      <c r="DR130" s="216"/>
      <c r="DS130" s="216"/>
      <c r="DT130" s="216"/>
      <c r="DU130" s="216"/>
      <c r="DV130" s="216"/>
      <c r="DW130" s="1371">
        <f t="shared" si="272"/>
        <v>5.1329593722674485</v>
      </c>
      <c r="DX130" s="216">
        <f t="shared" si="273"/>
        <v>5.1329589878509783</v>
      </c>
      <c r="DY130" s="440">
        <f t="shared" si="274"/>
        <v>15.924583344362624</v>
      </c>
      <c r="DZ130" s="180">
        <f t="shared" si="275"/>
        <v>1214768.4481792231</v>
      </c>
      <c r="EA130" s="180">
        <f t="shared" si="276"/>
        <v>276083.73822255066</v>
      </c>
      <c r="EB130" s="180">
        <f t="shared" ca="1" si="367"/>
        <v>47798.11767455448</v>
      </c>
      <c r="EC130" s="180">
        <f t="shared" ca="1" si="368"/>
        <v>185217.6921176147</v>
      </c>
      <c r="ED130" s="180">
        <f t="shared" ca="1" si="369"/>
        <v>1649234.1532000697</v>
      </c>
      <c r="EE130" s="581">
        <f t="shared" si="277"/>
        <v>1196578.2026286521</v>
      </c>
      <c r="EF130" s="554">
        <f t="shared" si="278"/>
        <v>271949.59150651185</v>
      </c>
      <c r="EG130" s="554">
        <f t="shared" ca="1" si="370"/>
        <v>19937.293032169862</v>
      </c>
      <c r="EH130" s="554">
        <f t="shared" ca="1" si="371"/>
        <v>77256.989645988899</v>
      </c>
      <c r="EI130" s="561">
        <f t="shared" ca="1" si="279"/>
        <v>1565722.0768133232</v>
      </c>
      <c r="EJ130" s="581">
        <f t="shared" si="333"/>
        <v>18190.24555057101</v>
      </c>
      <c r="EK130" s="554">
        <f t="shared" si="334"/>
        <v>4134.1467160388129</v>
      </c>
      <c r="EL130" s="554">
        <f t="shared" ca="1" si="372"/>
        <v>27860.824642384618</v>
      </c>
      <c r="EM130" s="554">
        <f t="shared" ca="1" si="373"/>
        <v>107960.7024716258</v>
      </c>
      <c r="EN130" s="561">
        <f t="shared" ca="1" si="374"/>
        <v>83512.076386746485</v>
      </c>
      <c r="EO130" s="180">
        <f t="shared" si="280"/>
        <v>4859073.7927168924</v>
      </c>
      <c r="EP130" s="180">
        <f t="shared" si="281"/>
        <v>1104334.9528902026</v>
      </c>
      <c r="EQ130" s="180">
        <f t="shared" si="282"/>
        <v>191192.47069821792</v>
      </c>
      <c r="ER130" s="180">
        <f t="shared" si="283"/>
        <v>740870.7684704588</v>
      </c>
      <c r="ES130" s="180">
        <f t="shared" si="284"/>
        <v>6895471.9847757714</v>
      </c>
      <c r="ET130" s="1482">
        <f t="shared" ca="1" si="375"/>
        <v>4786312.8105146084</v>
      </c>
      <c r="EU130" s="180">
        <f t="shared" ca="1" si="376"/>
        <v>1087798.3660260474</v>
      </c>
      <c r="EV130" s="180">
        <f t="shared" ca="1" si="377"/>
        <v>79749.172128679449</v>
      </c>
      <c r="EW130" s="180">
        <f t="shared" ca="1" si="378"/>
        <v>309027.95858395559</v>
      </c>
      <c r="EX130" s="555">
        <f t="shared" ca="1" si="351"/>
        <v>6262888.3072532909</v>
      </c>
      <c r="EY130" s="180">
        <f t="shared" ca="1" si="379"/>
        <v>72760.982202284038</v>
      </c>
      <c r="EZ130" s="180">
        <f t="shared" ca="1" si="380"/>
        <v>16536.586864155252</v>
      </c>
      <c r="FA130" s="180">
        <f t="shared" ca="1" si="381"/>
        <v>111443.29856953847</v>
      </c>
      <c r="FB130" s="180">
        <f t="shared" ca="1" si="382"/>
        <v>431842.80988650321</v>
      </c>
      <c r="FC130" s="180">
        <f t="shared" ca="1" si="383"/>
        <v>632583.67752248049</v>
      </c>
      <c r="FD130" s="262">
        <f>IF(AX130,IF(VLOOKUP(C130,MAIN!$L$17:$M$28,2)="Yes",VLOOKUP(CALC!B130,MAIN!$H$17:$I$20,2),0),0)</f>
        <v>0</v>
      </c>
      <c r="FE130" s="623">
        <f t="shared" si="285"/>
        <v>0</v>
      </c>
      <c r="FF130" s="535">
        <f t="shared" si="286"/>
        <v>0</v>
      </c>
      <c r="FG130" s="535">
        <f t="shared" si="287"/>
        <v>0</v>
      </c>
      <c r="FH130" s="624">
        <f t="shared" si="288"/>
        <v>0</v>
      </c>
      <c r="FI130" s="632">
        <f>IF(AX130,VLOOKUP(CALC!B130,MAIN!$H$17:$K$20,4),0)</f>
        <v>0</v>
      </c>
      <c r="FJ130" s="535">
        <f t="shared" si="289"/>
        <v>0</v>
      </c>
      <c r="FK130" s="648">
        <f t="shared" si="335"/>
        <v>0</v>
      </c>
      <c r="FL130" s="530">
        <f t="shared" ca="1" si="384"/>
        <v>0</v>
      </c>
      <c r="FM130" s="530">
        <f t="shared" ca="1" si="385"/>
        <v>0</v>
      </c>
      <c r="FN130" s="530">
        <f t="shared" ca="1" si="386"/>
        <v>0</v>
      </c>
      <c r="FO130" s="622">
        <f t="shared" ca="1" si="387"/>
        <v>0</v>
      </c>
      <c r="FP130" s="530">
        <f t="shared" ca="1" si="388"/>
        <v>0</v>
      </c>
      <c r="FQ130" s="530">
        <f t="shared" ca="1" si="389"/>
        <v>0</v>
      </c>
      <c r="FR130" s="530">
        <f t="shared" ca="1" si="390"/>
        <v>0</v>
      </c>
      <c r="FS130" s="625">
        <f t="shared" ca="1" si="391"/>
        <v>0</v>
      </c>
      <c r="FT130" s="640">
        <f ca="1">IF(AND(Assumptions!$H$71="Yes",A130&gt;=Assumptions!$H$72,A130&lt;=Assumptions!$H$73),0,IF(AND($A130&gt;=Assumptions!$C$17,$A130&lt;=Assumptions!$C$18),MAX(AZ130*(1+VLOOKUP($C130,WeatherCapacityAdjustment,2))-FL130,0),0))</f>
        <v>51216</v>
      </c>
      <c r="FU130" s="530">
        <f ca="1">IF(AND(Assumptions!$H$71="Yes",A130&gt;=Assumptions!$H$72,A130&lt;=Assumptions!$H$73),0,IF(AND($A130&gt;=Assumptions!$C$17,$A130&lt;=Assumptions!$C$18),MAX(BA130*(1+VLOOKUP($C130,WeatherCapacityAdjustment,2))-FM130,0),0))</f>
        <v>11640</v>
      </c>
      <c r="FV130" s="530">
        <f ca="1">IF(AND(Assumptions!$H$71="Yes",A130&gt;=Assumptions!$H$72,A130&lt;=Assumptions!$H$73),0,IF(AND($A130&gt;=Assumptions!$C$17,$A130&lt;=Assumptions!$C$18),MAX(BB130*(1+VLOOKUP($C130,WeatherCapacityAdjustment,2))-FN130,0),0))</f>
        <v>9312</v>
      </c>
      <c r="FW130" s="622">
        <f ca="1">IF(AND(Assumptions!$H$71="Yes",A130&gt;=Assumptions!$H$72,A130&lt;=Assumptions!$H$73),0,IF(AND($A130&gt;=Assumptions!$C$17,$A130&lt;=Assumptions!$C$18),MAX(BC130*(1+VLOOKUP($C130,WeatherCapacityAdjustment,3))-FO130,0),0))</f>
        <v>36084</v>
      </c>
      <c r="FX130" s="621">
        <f ca="1">IF(AND(Assumptions!$H$71="Yes",A130&gt;=Assumptions!$H$72,A130&lt;=Assumptions!$H$73),0,IF(ET130&gt;0,MAX(BH130*(1+VLOOKUP($C130,WeatherCapacityAdjustment,2))-FP130,0),0))</f>
        <v>204864</v>
      </c>
      <c r="FY130" s="530">
        <f ca="1">IF(AND(Assumptions!$H$71="Yes",A130&gt;=Assumptions!$H$72,A130&lt;=Assumptions!$H$73),0,IF(EU130&gt;0,MAX(BI130*(1+VLOOKUP($C130,WeatherCapacityAdjustment,3))-FQ130,0),0))</f>
        <v>46560</v>
      </c>
      <c r="FZ130" s="530">
        <f ca="1">IF(AND(Assumptions!$H$71="Yes",A130&gt;=Assumptions!$H$72,A130&lt;=Assumptions!$H$73),0,IF(EV130&gt;0,MAX(BJ130*(1+VLOOKUP($C130,WeatherCapacityAdjustment,2))-FR130,0),0))</f>
        <v>37248</v>
      </c>
      <c r="GA130" s="622">
        <f ca="1">IF(AND(Assumptions!$H$71="Yes",A130&gt;=Assumptions!$H$72,A130&lt;=Assumptions!$H$73),0,IF(EW130&gt;0,MAX(BK130*(1+VLOOKUP($C130,WeatherCapacityAdjustment,2))-FS130,0),0))</f>
        <v>144336</v>
      </c>
      <c r="GB130" s="530">
        <f t="shared" ca="1" si="290"/>
        <v>541260</v>
      </c>
      <c r="GC130" s="545">
        <f t="shared" ca="1" si="291"/>
        <v>38.178354325861072</v>
      </c>
      <c r="GD130" s="530">
        <f t="shared" ca="1" si="392"/>
        <v>20664416.062415563</v>
      </c>
      <c r="GE130" s="1485">
        <f t="shared" ca="1" si="393"/>
        <v>763462.38527999993</v>
      </c>
      <c r="GF130" s="1776">
        <f t="shared" ca="1" si="394"/>
        <v>3053849.5411199997</v>
      </c>
      <c r="GG130" s="545">
        <f t="shared" si="359"/>
        <v>3.0751015103782238</v>
      </c>
      <c r="GH130" s="622">
        <f t="shared" ca="1" si="360"/>
        <v>11738621.670457447</v>
      </c>
      <c r="GI130" s="621">
        <f t="shared" ca="1" si="336"/>
        <v>541260</v>
      </c>
      <c r="GJ130" s="638">
        <f t="shared" si="292"/>
        <v>2.0270923546752</v>
      </c>
      <c r="GK130" s="625">
        <f t="shared" ca="1" si="342"/>
        <v>1097184.0078914987</v>
      </c>
      <c r="GL130" s="640">
        <f t="shared" ca="1" si="395"/>
        <v>0</v>
      </c>
      <c r="GM130" s="530">
        <f t="shared" ca="1" si="396"/>
        <v>0</v>
      </c>
      <c r="GN130" s="530">
        <f t="shared" ca="1" si="397"/>
        <v>0</v>
      </c>
      <c r="GO130" s="622">
        <f t="shared" ca="1" si="398"/>
        <v>0</v>
      </c>
      <c r="GP130" s="530">
        <f t="shared" ca="1" si="293"/>
        <v>0</v>
      </c>
      <c r="GQ130" s="545">
        <f t="shared" ca="1" si="294"/>
        <v>0</v>
      </c>
      <c r="GR130" s="625">
        <f t="shared" ca="1" si="399"/>
        <v>0</v>
      </c>
      <c r="GS130" s="640">
        <f>IF($A130&gt;=BegDate,Assumptions!$C$56*24*($A131-$A130)*(1-VLOOKUP($B130,MAIN!$AA$7:$AM$28,$C130+1))*(1-VLOOKUP($B130,MAIN!$AA$33:$AM$54,$C130+1)),0)*80/168</f>
        <v>257742.85714285713</v>
      </c>
      <c r="GT130" s="1715">
        <f t="shared" si="337"/>
        <v>47.078042537224967</v>
      </c>
      <c r="GU130" s="1715">
        <f>IF($A130&gt;=BegDate,VLOOKUP($A130,GasTable,13)+Assumptions!$C$58,0)</f>
        <v>3.0751015103782238</v>
      </c>
      <c r="GV130" s="1715">
        <f>GU130*Assumptions!$C$57/1000</f>
        <v>22.294485950242123</v>
      </c>
      <c r="GW130" s="625">
        <f>IF(Assumptions!$C$60="Hourly",MAX(0,GS130*(GT130-GV130)),GS130*(GT130-GV130))</f>
        <v>6387784.6848906353</v>
      </c>
      <c r="GX130" s="640">
        <f>IF($A130&gt;=BegDate,Assumptions!$C$56*24*($A131-$A130)*(1-VLOOKUP($B130,MAIN!$AA$7:$AM$28,$C130+1))*(1-VLOOKUP($B130,MAIN!$AA$33:$AM$54,$C130+1)),0)*16/168</f>
        <v>51548.571428571428</v>
      </c>
      <c r="GY130" s="1715">
        <f t="shared" si="338"/>
        <v>47.078042537224967</v>
      </c>
      <c r="GZ130" s="1715">
        <f>IF($A130&gt;=BegDate,VLOOKUP($A130,GasTable,13)+Assumptions!$C$58,0)</f>
        <v>3.0751015103782238</v>
      </c>
      <c r="HA130" s="1715">
        <f>GZ130*Assumptions!$C$57/1000</f>
        <v>22.294485950242123</v>
      </c>
      <c r="HB130" s="625">
        <f>IF(Assumptions!$C$60="Hourly",MAX(0,GX130*(GY130-HA130)),GX130*(GY130-HA130))</f>
        <v>1277556.9369781271</v>
      </c>
      <c r="HC130" s="640">
        <f>IF($A130&gt;=BegDate,Assumptions!$C$56*24*($A131-$A130)*(1-VLOOKUP($B130,MAIN!$AA$7:$AM$28,$C130+1))*(1-VLOOKUP($B130,MAIN!$AA$33:$AM$54,$C130+1)),0)*16/168</f>
        <v>51548.571428571428</v>
      </c>
      <c r="HD130" s="1715">
        <f t="shared" si="339"/>
        <v>25.855708212886832</v>
      </c>
      <c r="HE130" s="1715">
        <f>IF($A130&gt;=BegDate,VLOOKUP($A130,GasTable,13)+Assumptions!$C$58,0)</f>
        <v>3.0751015103782238</v>
      </c>
      <c r="HF130" s="1715">
        <f>HE130*Assumptions!$C$57/1000</f>
        <v>22.294485950242123</v>
      </c>
      <c r="HG130" s="625">
        <f>IF(Assumptions!$C$60="Hourly",MAX(0,HC130*(HD130-HF130)),HC130*(HD130-HF130))</f>
        <v>183575.92017895952</v>
      </c>
      <c r="HH130" s="640">
        <f>IF($A130&gt;=BegDate,Assumptions!$C$56*24*($A131-$A130)*(1-VLOOKUP($B130,MAIN!$AA$7:$AM$28,$C130+1))*(1-VLOOKUP($B130,MAIN!$AA$33:$AM$54,$C130+1)),0)*56/168</f>
        <v>180420</v>
      </c>
      <c r="HI130" s="1715">
        <f t="shared" si="340"/>
        <v>25.855708212886832</v>
      </c>
      <c r="HJ130" s="1715">
        <f>IF($A130&gt;=BegDate,VLOOKUP($A130,GasTable,13)+Assumptions!$C$58,0)</f>
        <v>3.0751015103782238</v>
      </c>
      <c r="HK130" s="1715">
        <f>HJ130*Assumptions!$C$57/1000</f>
        <v>22.294485950242123</v>
      </c>
      <c r="HL130" s="625">
        <f>IF(Assumptions!$C$60="Hourly",MAX(0,HH130*(HI130-HK130)),HH130*(HI130-HK130))</f>
        <v>642515.72062635829</v>
      </c>
      <c r="HM130" s="640">
        <f>IF(AND(Assumptions!$H$71="Yes",A130&gt;=Assumptions!$H$72,A130&lt;=Assumptions!$H$73),Assumptions!$H$74*Assumptions!$C$9*1000,0)</f>
        <v>0</v>
      </c>
      <c r="HN130" s="530"/>
      <c r="HO130" s="545"/>
      <c r="HP130" s="545"/>
      <c r="HQ130" s="545"/>
      <c r="HR130" s="545"/>
      <c r="HS130" s="545"/>
      <c r="HT130" s="545"/>
      <c r="HU130" s="545"/>
      <c r="HV130" s="545"/>
      <c r="HW130" s="545"/>
      <c r="HX130" s="545"/>
      <c r="HY130" s="545"/>
      <c r="HZ130" s="545"/>
      <c r="IA130" s="545"/>
      <c r="IB130" s="545"/>
      <c r="IC130" s="545"/>
      <c r="ID130" s="545"/>
      <c r="IE130" s="545"/>
      <c r="IF130" s="545"/>
      <c r="IG130" s="545"/>
      <c r="IH130" s="545"/>
      <c r="II130" s="1464"/>
      <c r="IJ130" s="1463"/>
      <c r="IK130" s="1463"/>
    </row>
    <row r="131" spans="1:245">
      <c r="A131" s="177">
        <f t="shared" si="295"/>
        <v>40118</v>
      </c>
      <c r="B131" s="349">
        <f t="shared" si="296"/>
        <v>2009</v>
      </c>
      <c r="C131" s="15">
        <f t="shared" si="400"/>
        <v>11</v>
      </c>
      <c r="D131" s="612">
        <f t="shared" si="297"/>
        <v>40143</v>
      </c>
      <c r="E131" s="609">
        <f t="shared" si="401"/>
        <v>40118</v>
      </c>
      <c r="F131" s="614">
        <f t="shared" si="402"/>
        <v>40147</v>
      </c>
      <c r="G131" s="1349">
        <v>0</v>
      </c>
      <c r="H131" s="152">
        <f t="shared" si="341"/>
        <v>1</v>
      </c>
      <c r="I131" s="154">
        <f>IF(Assumptions!$L$25=4,VLOOKUP($A131,'Henwood Reference'!$E$9:$R$320,10),(VLOOKUP($A131,PriceTable,2,0)+IF(BasisNumber&lt;&gt;1,VLOOKUP($A131,BasisTable,2,0),0)+I$1)/(1-I$2))</f>
        <v>47.377174207151128</v>
      </c>
      <c r="J131" s="154">
        <f>IF(Assumptions!$L$25=4,VLOOKUP($A131,'Henwood Reference'!$E$9:$R$320,10),(VLOOKUP($A131,PriceTable,3,0)+IF(BasisNumber&lt;&gt;1,VLOOKUP($A131,BasisTable,2,0),0)+J$1)/(1-J$2))</f>
        <v>47.377174207151128</v>
      </c>
      <c r="K131" s="154">
        <f>IF(Assumptions!$L$25=4,VLOOKUP($A131,'Henwood Reference'!$E$9:$R$320,10),(VLOOKUP($A131,PriceTable,4,0)+IF(BasisNumber&lt;&gt;1,VLOOKUP($A131,BasisTable,2,0),0)+K$1)/(1-K$2))</f>
        <v>47.377174207151128</v>
      </c>
      <c r="L131" s="474">
        <f>IF(Assumptions!$L$25=4,VLOOKUP($A131,'Henwood Reference'!$E$9:$R$320,10),(VLOOKUP($A131,PriceTableWeekend,2,0)+IF(BasisNumber&lt;&gt;1,VLOOKUP($A131,BasisTable,2,0),0)+L$1)/(1-L$2))</f>
        <v>47.377174207151128</v>
      </c>
      <c r="M131" s="154">
        <f>IF(Assumptions!$L$25=4,VLOOKUP($A131,'Henwood Reference'!$E$9:$R$320,10),(VLOOKUP($A131,PriceTableWeekend,3,0)+IF(BasisNumber&lt;&gt;1,VLOOKUP($A131,BasisTable,2,0),0)+M$1)/(1-M$2))</f>
        <v>47.377174207151128</v>
      </c>
      <c r="N131" s="156">
        <f>IF(Assumptions!$L$25=4,VLOOKUP($A131,'Henwood Reference'!$E$9:$R$320,10),(VLOOKUP($A131,PriceTableWeekend,4,0)+IF(BasisNumber&lt;&gt;1,VLOOKUP($A131,BasisTable,2,0),0)+N$1)/(1-N$2))</f>
        <v>47.377174207151128</v>
      </c>
      <c r="O131" s="154">
        <f>IF(Assumptions!$L$25=4,VLOOKUP($A131,'Henwood Reference'!$E$9:$R$320,11),(VLOOKUP($A131,PriceTableWeekend,6,0)+IF(BasisNumber&lt;&gt;1,VLOOKUP($A131,BasisTable,3,0),0)+O$1)/(1-O$2))</f>
        <v>29.039315306439807</v>
      </c>
      <c r="P131" s="154">
        <f>IF(Assumptions!$L$25=4,VLOOKUP($A131,'Henwood Reference'!$E$9:$R$320,11),(VLOOKUP($A131,PriceTableWeekend,7,0)+IF(BasisNumber&lt;&gt;1,VLOOKUP($A131,BasisTable,3,0),0)+P$1)/(1-P$2))</f>
        <v>29.039315306439807</v>
      </c>
      <c r="Q131" s="156">
        <f>IF(Assumptions!$L$25=4,VLOOKUP($A131,'Henwood Reference'!$E$9:$R$320,11),(VLOOKUP($A131,PriceTableWeekend,8,0)+IF(BasisNumber&lt;&gt;1,VLOOKUP($A131,BasisTable,3,0),0)+Q$1)/(1-Q$2))</f>
        <v>29.039315306439807</v>
      </c>
      <c r="R131" s="154">
        <f>IF(Assumptions!$L$25=4,VLOOKUP($A131,'Henwood Reference'!$E$9:$R$320,11),(VLOOKUP($A131,PriceTable,6,0)+IF(BasisNumber&lt;&gt;1,VLOOKUP($A131,BasisTable,3,0),0)+R$1)/(1-R$2))</f>
        <v>29.039315306439807</v>
      </c>
      <c r="S131" s="154">
        <f>IF(Assumptions!$L$25=4,VLOOKUP($A131,'Henwood Reference'!$E$9:$R$320,11),(VLOOKUP($A131,PriceTable,7,0)+IF(BasisNumber&lt;&gt;1,VLOOKUP($A131,BasisTable,3,0),0)+S$1)/(1-S$2))</f>
        <v>29.039315306439807</v>
      </c>
      <c r="T131" s="155">
        <f>IF(Assumptions!$L$25=4,VLOOKUP($A131,'Henwood Reference'!$E$9:$R$320,11),(VLOOKUP($A131,PriceTable,8,0)+IF(BasisNumber&lt;&gt;1,VLOOKUP($A131,BasisTable,3,0),0)+T$1)/(1-T$2))</f>
        <v>29.039315306439807</v>
      </c>
      <c r="U131" s="173">
        <f t="shared" si="298"/>
        <v>0.125</v>
      </c>
      <c r="V131" s="173">
        <f t="shared" si="299"/>
        <v>0.13500000000000001</v>
      </c>
      <c r="W131" s="174">
        <f t="shared" si="300"/>
        <v>0.14499999999999999</v>
      </c>
      <c r="X131" s="173">
        <f t="shared" si="301"/>
        <v>0.125</v>
      </c>
      <c r="Y131" s="173">
        <f t="shared" si="302"/>
        <v>0.13500000000000001</v>
      </c>
      <c r="Z131" s="174">
        <f t="shared" si="303"/>
        <v>0.14499999999999999</v>
      </c>
      <c r="AA131" s="173">
        <f t="shared" si="304"/>
        <v>0.09</v>
      </c>
      <c r="AB131" s="173">
        <f t="shared" si="305"/>
        <v>0.11</v>
      </c>
      <c r="AC131" s="174">
        <f t="shared" si="306"/>
        <v>0.13</v>
      </c>
      <c r="AD131" s="173">
        <f t="shared" si="307"/>
        <v>0.09</v>
      </c>
      <c r="AE131" s="173">
        <f t="shared" si="308"/>
        <v>0.11</v>
      </c>
      <c r="AF131" s="174">
        <f t="shared" si="309"/>
        <v>0.13</v>
      </c>
      <c r="AG131" s="173">
        <f t="shared" si="310"/>
        <v>-0.1</v>
      </c>
      <c r="AH131" s="173">
        <f t="shared" si="311"/>
        <v>0.6</v>
      </c>
      <c r="AI131" s="174">
        <f t="shared" si="312"/>
        <v>0.1</v>
      </c>
      <c r="AJ131" s="173">
        <f t="shared" si="313"/>
        <v>-0.1</v>
      </c>
      <c r="AK131" s="173">
        <f t="shared" si="314"/>
        <v>0.6</v>
      </c>
      <c r="AL131" s="174">
        <f t="shared" si="315"/>
        <v>0.1</v>
      </c>
      <c r="AM131" s="173">
        <f t="shared" si="316"/>
        <v>-0.01</v>
      </c>
      <c r="AN131" s="173">
        <f t="shared" si="317"/>
        <v>0.16</v>
      </c>
      <c r="AO131" s="174">
        <f t="shared" si="318"/>
        <v>0.01</v>
      </c>
      <c r="AP131" s="173">
        <f t="shared" si="319"/>
        <v>-0.01</v>
      </c>
      <c r="AQ131" s="173">
        <f t="shared" si="320"/>
        <v>0.16</v>
      </c>
      <c r="AR131" s="175">
        <f t="shared" si="321"/>
        <v>0.01</v>
      </c>
      <c r="AS131" s="521">
        <f t="shared" si="405"/>
        <v>0.5</v>
      </c>
      <c r="AT131" s="349">
        <f t="shared" si="403"/>
        <v>20</v>
      </c>
      <c r="AU131" s="159">
        <f t="shared" si="240"/>
        <v>4</v>
      </c>
      <c r="AV131" s="159">
        <f t="shared" si="241"/>
        <v>5</v>
      </c>
      <c r="AW131" s="159">
        <f t="shared" si="406"/>
        <v>1</v>
      </c>
      <c r="AX131" s="15">
        <f t="shared" si="404"/>
        <v>30</v>
      </c>
      <c r="AY131" s="607">
        <f>IF(E131="",0,MIN((1-(1-VLOOKUP(B131,MAIN!$AA$7:$AM$28,C131+1))*(1-VLOOKUP(B131,MAIN!$AA$33:$AM$54,C131+1))),1))</f>
        <v>3.0000000000000027E-2</v>
      </c>
      <c r="AZ131" s="337">
        <v>46560</v>
      </c>
      <c r="BA131" s="509">
        <v>9312</v>
      </c>
      <c r="BB131" s="509">
        <v>13968</v>
      </c>
      <c r="BC131" s="511">
        <v>34920</v>
      </c>
      <c r="BD131" s="153">
        <v>0.97</v>
      </c>
      <c r="BE131" s="474">
        <v>0.97</v>
      </c>
      <c r="BF131" s="474">
        <v>0.97</v>
      </c>
      <c r="BG131" s="515">
        <v>0.9699999927729368</v>
      </c>
      <c r="BH131" s="262">
        <v>186240</v>
      </c>
      <c r="BI131" s="509">
        <v>37248</v>
      </c>
      <c r="BJ131" s="509">
        <v>55872</v>
      </c>
      <c r="BK131" s="511">
        <v>139680</v>
      </c>
      <c r="BL131" s="153">
        <v>0.97</v>
      </c>
      <c r="BM131" s="474">
        <v>0.97</v>
      </c>
      <c r="BN131" s="474">
        <v>0.97</v>
      </c>
      <c r="BO131" s="474">
        <v>0.9699999927729368</v>
      </c>
      <c r="BP131" s="261">
        <f t="shared" si="324"/>
        <v>69840</v>
      </c>
      <c r="BQ131" s="578">
        <f t="shared" si="325"/>
        <v>104760</v>
      </c>
      <c r="BR131" s="259">
        <f t="shared" si="326"/>
        <v>279360</v>
      </c>
      <c r="BS131" s="578">
        <f t="shared" si="327"/>
        <v>419040</v>
      </c>
      <c r="BT131" s="216">
        <f t="shared" si="328"/>
        <v>9.54962354551677</v>
      </c>
      <c r="BU131" s="218">
        <f t="shared" si="243"/>
        <v>47.377174207151128</v>
      </c>
      <c r="BV131" s="216">
        <f t="shared" si="244"/>
        <v>47.377174207151128</v>
      </c>
      <c r="BW131" s="216">
        <f t="shared" si="245"/>
        <v>29.039315306439807</v>
      </c>
      <c r="BX131" s="216">
        <f t="shared" si="329"/>
        <v>29.039315090080049</v>
      </c>
      <c r="BY131" s="216">
        <f t="shared" si="246"/>
        <v>43.709602427008861</v>
      </c>
      <c r="BZ131" s="216">
        <f t="shared" si="247"/>
        <v>38.819506648032593</v>
      </c>
      <c r="CA131" s="264">
        <f t="shared" si="248"/>
        <v>47.377174207151128</v>
      </c>
      <c r="CB131" s="216">
        <f t="shared" si="249"/>
        <v>47.377174207151128</v>
      </c>
      <c r="CC131" s="216">
        <f t="shared" si="250"/>
        <v>29.039315306439807</v>
      </c>
      <c r="CD131" s="216">
        <f t="shared" si="330"/>
        <v>29.039315090080049</v>
      </c>
      <c r="CE131" s="216">
        <f t="shared" si="251"/>
        <v>43.709602427008861</v>
      </c>
      <c r="CF131" s="571">
        <f t="shared" si="252"/>
        <v>38.819506648032593</v>
      </c>
      <c r="CG131" s="573">
        <f t="shared" si="253"/>
        <v>0.13500000000000001</v>
      </c>
      <c r="CH131" s="219">
        <f t="shared" si="254"/>
        <v>0.13500000000000001</v>
      </c>
      <c r="CI131" s="219">
        <f t="shared" si="255"/>
        <v>0.11</v>
      </c>
      <c r="CJ131" s="219">
        <f t="shared" si="256"/>
        <v>0.131723195580394</v>
      </c>
      <c r="CK131" s="219">
        <f t="shared" si="257"/>
        <v>0.131723195580394</v>
      </c>
      <c r="CL131" s="219">
        <f t="shared" si="258"/>
        <v>0.11</v>
      </c>
      <c r="CM131" s="219">
        <f t="shared" si="259"/>
        <v>0.11554502440671302</v>
      </c>
      <c r="CN131" s="569">
        <f t="shared" si="260"/>
        <v>0.11554502440671302</v>
      </c>
      <c r="CO131" s="264">
        <f t="shared" si="343"/>
        <v>22.568989492299167</v>
      </c>
      <c r="CP131" s="216">
        <f t="shared" si="331"/>
        <v>22.568989492299167</v>
      </c>
      <c r="CQ131" s="216">
        <f t="shared" ca="1" si="361"/>
        <v>22.568989492299167</v>
      </c>
      <c r="CR131" s="216">
        <f t="shared" ca="1" si="362"/>
        <v>22.568989492299167</v>
      </c>
      <c r="CS131" s="1626">
        <f t="shared" ca="1" si="363"/>
        <v>22.568989492299167</v>
      </c>
      <c r="CT131" s="216">
        <f t="shared" si="332"/>
        <v>22.568989492299167</v>
      </c>
      <c r="CU131" s="575">
        <f t="shared" si="261"/>
        <v>0.159</v>
      </c>
      <c r="CV131" s="154">
        <f t="shared" si="262"/>
        <v>0.5</v>
      </c>
      <c r="CW131" s="216">
        <f>IF(OR($BQ131,$BS131),SpreadOptPowerMargin,0)*((1+Assumptions!$C$26)^($B131-YEAR(Assumptions!$C$17)))</f>
        <v>2.0270923546752</v>
      </c>
      <c r="CX131" s="216">
        <f>IF(OR($BQ131,$BS131),SpreadOptPowerMargin,0)*((1+Assumptions!$C$26)^($B131-YEAR(Assumptions!$C$17)))</f>
        <v>2.0270923546752</v>
      </c>
      <c r="CY131" s="216">
        <f>IF(OR($BQ131,$BS131),SpreadOptPowerMargin,0)*((1+Assumptions!$C$26)^($B131-YEAR(Assumptions!$C$17)))</f>
        <v>2.0270923546752</v>
      </c>
      <c r="CZ131" s="216">
        <f>IF(OR($BQ131,$BS131),SpreadOptPowerMargin,0)*((1+Assumptions!$C$26)^($B131-YEAR(Assumptions!$C$17)))</f>
        <v>2.0270923546752</v>
      </c>
      <c r="DA131" s="440">
        <f t="shared" si="263"/>
        <v>2.0270923546752</v>
      </c>
      <c r="DB131" s="479">
        <f t="shared" si="264"/>
        <v>0.13500000000000001</v>
      </c>
      <c r="DC131" s="479">
        <f t="shared" si="265"/>
        <v>0.13500000000000001</v>
      </c>
      <c r="DD131" s="479">
        <f t="shared" si="266"/>
        <v>0.11</v>
      </c>
      <c r="DE131" s="479">
        <f t="shared" si="267"/>
        <v>0.11</v>
      </c>
      <c r="DF131" s="479">
        <f t="shared" si="268"/>
        <v>0.11554502440671302</v>
      </c>
      <c r="DG131" s="574">
        <f t="shared" si="269"/>
        <v>0.11554502440671302</v>
      </c>
      <c r="DH131" s="216">
        <f t="shared" si="270"/>
        <v>23.217718502318522</v>
      </c>
      <c r="DI131" s="216">
        <f t="shared" si="271"/>
        <v>23.217718502318522</v>
      </c>
      <c r="DJ131" s="216">
        <f t="shared" ca="1" si="364"/>
        <v>6.9071182480114581</v>
      </c>
      <c r="DK131" s="216">
        <f t="shared" ca="1" si="365"/>
        <v>6.9071180894845625</v>
      </c>
      <c r="DL131" s="216">
        <f t="shared" ca="1" si="366"/>
        <v>15.096695828010928</v>
      </c>
      <c r="DM131" s="216"/>
      <c r="DN131" s="216"/>
      <c r="DO131" s="216"/>
      <c r="DP131" s="216"/>
      <c r="DQ131" s="216"/>
      <c r="DR131" s="216"/>
      <c r="DS131" s="216"/>
      <c r="DT131" s="216"/>
      <c r="DU131" s="216"/>
      <c r="DV131" s="216"/>
      <c r="DW131" s="1371">
        <f t="shared" si="272"/>
        <v>6.9071182480114581</v>
      </c>
      <c r="DX131" s="216">
        <f t="shared" si="273"/>
        <v>6.9071180894845625</v>
      </c>
      <c r="DY131" s="440">
        <f t="shared" si="274"/>
        <v>15.606104997466259</v>
      </c>
      <c r="DZ131" s="180">
        <f t="shared" si="275"/>
        <v>1081016.9734679505</v>
      </c>
      <c r="EA131" s="180">
        <f t="shared" si="276"/>
        <v>216203.39469359009</v>
      </c>
      <c r="EB131" s="180">
        <f t="shared" ca="1" si="367"/>
        <v>96478.627688224049</v>
      </c>
      <c r="EC131" s="180">
        <f t="shared" ca="1" si="368"/>
        <v>241196.56368480093</v>
      </c>
      <c r="ED131" s="180">
        <f t="shared" ca="1" si="369"/>
        <v>1581529.8549424247</v>
      </c>
      <c r="EE131" s="581">
        <f t="shared" si="277"/>
        <v>1060687.6602898301</v>
      </c>
      <c r="EF131" s="554">
        <f t="shared" si="278"/>
        <v>212137.53205796599</v>
      </c>
      <c r="EG131" s="554">
        <f t="shared" ca="1" si="370"/>
        <v>62063.084961813256</v>
      </c>
      <c r="EH131" s="554">
        <f t="shared" ca="1" si="371"/>
        <v>155157.70484925038</v>
      </c>
      <c r="EI131" s="561">
        <f t="shared" ca="1" si="279"/>
        <v>1490045.9821588597</v>
      </c>
      <c r="EJ131" s="581">
        <f t="shared" si="333"/>
        <v>20329.313178120414</v>
      </c>
      <c r="EK131" s="554">
        <f t="shared" si="334"/>
        <v>4065.8626356241002</v>
      </c>
      <c r="EL131" s="554">
        <f t="shared" ca="1" si="372"/>
        <v>34415.542726410793</v>
      </c>
      <c r="EM131" s="554">
        <f t="shared" ca="1" si="373"/>
        <v>86038.858835550549</v>
      </c>
      <c r="EN131" s="561">
        <f t="shared" ca="1" si="374"/>
        <v>91483.872783564962</v>
      </c>
      <c r="EO131" s="180">
        <f t="shared" si="280"/>
        <v>4324067.8938718019</v>
      </c>
      <c r="EP131" s="180">
        <f t="shared" si="281"/>
        <v>864813.57877436036</v>
      </c>
      <c r="EQ131" s="180">
        <f t="shared" si="282"/>
        <v>385914.5107528962</v>
      </c>
      <c r="ER131" s="180">
        <f t="shared" si="283"/>
        <v>964786.25473920372</v>
      </c>
      <c r="ES131" s="180">
        <f t="shared" si="284"/>
        <v>6539582.2381382613</v>
      </c>
      <c r="ET131" s="1482">
        <f t="shared" ca="1" si="375"/>
        <v>4242750.6411593203</v>
      </c>
      <c r="EU131" s="180">
        <f t="shared" ca="1" si="376"/>
        <v>848550.12823186396</v>
      </c>
      <c r="EV131" s="180">
        <f t="shared" ca="1" si="377"/>
        <v>248252.33984725302</v>
      </c>
      <c r="EW131" s="180">
        <f t="shared" ca="1" si="378"/>
        <v>620630.81939700153</v>
      </c>
      <c r="EX131" s="555">
        <f t="shared" ca="1" si="351"/>
        <v>5960183.9286354389</v>
      </c>
      <c r="EY131" s="180">
        <f t="shared" ca="1" si="379"/>
        <v>81317.252712481655</v>
      </c>
      <c r="EZ131" s="180">
        <f t="shared" ca="1" si="380"/>
        <v>16263.450542496401</v>
      </c>
      <c r="FA131" s="180">
        <f t="shared" ca="1" si="381"/>
        <v>137662.17090564317</v>
      </c>
      <c r="FB131" s="180">
        <f t="shared" ca="1" si="382"/>
        <v>344155.4353422022</v>
      </c>
      <c r="FC131" s="180">
        <f t="shared" ca="1" si="383"/>
        <v>579398.30950282235</v>
      </c>
      <c r="FD131" s="262">
        <f>IF(AX131,IF(VLOOKUP(C131,MAIN!$L$17:$M$28,2)="Yes",VLOOKUP(CALC!B131,MAIN!$H$17:$I$20,2),0),0)</f>
        <v>0</v>
      </c>
      <c r="FE131" s="623">
        <f t="shared" si="285"/>
        <v>0</v>
      </c>
      <c r="FF131" s="535">
        <f t="shared" si="286"/>
        <v>0</v>
      </c>
      <c r="FG131" s="535">
        <f t="shared" si="287"/>
        <v>0</v>
      </c>
      <c r="FH131" s="624">
        <f t="shared" si="288"/>
        <v>0</v>
      </c>
      <c r="FI131" s="632">
        <f>IF(AX131,VLOOKUP(CALC!B131,MAIN!$H$17:$K$20,4),0)</f>
        <v>0</v>
      </c>
      <c r="FJ131" s="535">
        <f t="shared" si="289"/>
        <v>0</v>
      </c>
      <c r="FK131" s="648">
        <f t="shared" si="335"/>
        <v>0</v>
      </c>
      <c r="FL131" s="530">
        <f t="shared" ca="1" si="384"/>
        <v>0</v>
      </c>
      <c r="FM131" s="530">
        <f t="shared" ca="1" si="385"/>
        <v>0</v>
      </c>
      <c r="FN131" s="530">
        <f t="shared" ca="1" si="386"/>
        <v>0</v>
      </c>
      <c r="FO131" s="622">
        <f t="shared" ca="1" si="387"/>
        <v>0</v>
      </c>
      <c r="FP131" s="530">
        <f t="shared" ca="1" si="388"/>
        <v>0</v>
      </c>
      <c r="FQ131" s="530">
        <f t="shared" ca="1" si="389"/>
        <v>0</v>
      </c>
      <c r="FR131" s="530">
        <f t="shared" ca="1" si="390"/>
        <v>0</v>
      </c>
      <c r="FS131" s="625">
        <f t="shared" ca="1" si="391"/>
        <v>0</v>
      </c>
      <c r="FT131" s="640">
        <f ca="1">IF(AND(Assumptions!$H$71="Yes",A131&gt;=Assumptions!$H$72,A131&lt;=Assumptions!$H$73),0,IF(AND($A131&gt;=Assumptions!$C$17,$A131&lt;=Assumptions!$C$18),MAX(AZ131*(1+VLOOKUP($C131,WeatherCapacityAdjustment,2))-FL131,0),0))</f>
        <v>46560</v>
      </c>
      <c r="FU131" s="530">
        <f ca="1">IF(AND(Assumptions!$H$71="Yes",A131&gt;=Assumptions!$H$72,A131&lt;=Assumptions!$H$73),0,IF(AND($A131&gt;=Assumptions!$C$17,$A131&lt;=Assumptions!$C$18),MAX(BA131*(1+VLOOKUP($C131,WeatherCapacityAdjustment,2))-FM131,0),0))</f>
        <v>9312</v>
      </c>
      <c r="FV131" s="530">
        <f ca="1">IF(AND(Assumptions!$H$71="Yes",A131&gt;=Assumptions!$H$72,A131&lt;=Assumptions!$H$73),0,IF(AND($A131&gt;=Assumptions!$C$17,$A131&lt;=Assumptions!$C$18),MAX(BB131*(1+VLOOKUP($C131,WeatherCapacityAdjustment,2))-FN131,0),0))</f>
        <v>13968</v>
      </c>
      <c r="FW131" s="622">
        <f ca="1">IF(AND(Assumptions!$H$71="Yes",A131&gt;=Assumptions!$H$72,A131&lt;=Assumptions!$H$73),0,IF(AND($A131&gt;=Assumptions!$C$17,$A131&lt;=Assumptions!$C$18),MAX(BC131*(1+VLOOKUP($C131,WeatherCapacityAdjustment,3))-FO131,0),0))</f>
        <v>34920</v>
      </c>
      <c r="FX131" s="621">
        <f ca="1">IF(AND(Assumptions!$H$71="Yes",A131&gt;=Assumptions!$H$72,A131&lt;=Assumptions!$H$73),0,IF(ET131&gt;0,MAX(BH131*(1+VLOOKUP($C131,WeatherCapacityAdjustment,2))-FP131,0),0))</f>
        <v>186240</v>
      </c>
      <c r="FY131" s="530">
        <f ca="1">IF(AND(Assumptions!$H$71="Yes",A131&gt;=Assumptions!$H$72,A131&lt;=Assumptions!$H$73),0,IF(EU131&gt;0,MAX(BI131*(1+VLOOKUP($C131,WeatherCapacityAdjustment,3))-FQ131,0),0))</f>
        <v>37248</v>
      </c>
      <c r="FZ131" s="530">
        <f ca="1">IF(AND(Assumptions!$H$71="Yes",A131&gt;=Assumptions!$H$72,A131&lt;=Assumptions!$H$73),0,IF(EV131&gt;0,MAX(BJ131*(1+VLOOKUP($C131,WeatherCapacityAdjustment,2))-FR131,0),0))</f>
        <v>55872</v>
      </c>
      <c r="GA131" s="622">
        <f ca="1">IF(AND(Assumptions!$H$71="Yes",A131&gt;=Assumptions!$H$72,A131&lt;=Assumptions!$H$73),0,IF(EW131&gt;0,MAX(BK131*(1+VLOOKUP($C131,WeatherCapacityAdjustment,2))-FS131,0),0))</f>
        <v>139680</v>
      </c>
      <c r="GB131" s="530">
        <f t="shared" ca="1" si="290"/>
        <v>523800</v>
      </c>
      <c r="GC131" s="545">
        <f t="shared" ca="1" si="291"/>
        <v>38.819506648032593</v>
      </c>
      <c r="GD131" s="530">
        <f t="shared" ca="1" si="392"/>
        <v>20333657.582239471</v>
      </c>
      <c r="GE131" s="1485">
        <f t="shared" ca="1" si="393"/>
        <v>739142.56080000009</v>
      </c>
      <c r="GF131" s="1776">
        <f t="shared" ca="1" si="394"/>
        <v>2956570.2432000004</v>
      </c>
      <c r="GG131" s="545">
        <f t="shared" si="359"/>
        <v>3.1987433339710081</v>
      </c>
      <c r="GH131" s="622">
        <f t="shared" ca="1" si="360"/>
        <v>11821636.696066305</v>
      </c>
      <c r="GI131" s="621">
        <f t="shared" ca="1" si="336"/>
        <v>523800</v>
      </c>
      <c r="GJ131" s="638">
        <f t="shared" si="292"/>
        <v>2.0270923546752</v>
      </c>
      <c r="GK131" s="625">
        <f t="shared" ca="1" si="342"/>
        <v>1061790.9753788698</v>
      </c>
      <c r="GL131" s="640">
        <f t="shared" ca="1" si="395"/>
        <v>0</v>
      </c>
      <c r="GM131" s="530">
        <f t="shared" ca="1" si="396"/>
        <v>0</v>
      </c>
      <c r="GN131" s="530">
        <f t="shared" ca="1" si="397"/>
        <v>0</v>
      </c>
      <c r="GO131" s="622">
        <f t="shared" ca="1" si="398"/>
        <v>0</v>
      </c>
      <c r="GP131" s="530">
        <f t="shared" ca="1" si="293"/>
        <v>0</v>
      </c>
      <c r="GQ131" s="545">
        <f t="shared" ca="1" si="294"/>
        <v>0</v>
      </c>
      <c r="GR131" s="625">
        <f t="shared" ca="1" si="399"/>
        <v>0</v>
      </c>
      <c r="GS131" s="640">
        <f>IF($A131&gt;=BegDate,Assumptions!$C$56*24*($A132-$A131)*(1-VLOOKUP($B131,MAIN!$AA$7:$AM$28,$C131+1))*(1-VLOOKUP($B131,MAIN!$AA$33:$AM$54,$C131+1)),0)*80/168</f>
        <v>249428.57142857142</v>
      </c>
      <c r="GT131" s="1715">
        <f t="shared" si="337"/>
        <v>47.377174207151128</v>
      </c>
      <c r="GU131" s="1715">
        <f>IF($A131&gt;=BegDate,VLOOKUP($A131,GasTable,13)+Assumptions!$C$58,0)</f>
        <v>3.1987433339710081</v>
      </c>
      <c r="GV131" s="1715">
        <f>GU131*Assumptions!$C$57/1000</f>
        <v>23.190889171289808</v>
      </c>
      <c r="GW131" s="625">
        <f>IF(Assumptions!$C$60="Hourly",MAX(0,GS131*(GT131-GV131)),GS131*(GT131-GV131))</f>
        <v>6032750.5246591233</v>
      </c>
      <c r="GX131" s="640">
        <f>IF($A131&gt;=BegDate,Assumptions!$C$56*24*($A132-$A131)*(1-VLOOKUP($B131,MAIN!$AA$7:$AM$28,$C131+1))*(1-VLOOKUP($B131,MAIN!$AA$33:$AM$54,$C131+1)),0)*16/168</f>
        <v>49885.714285714283</v>
      </c>
      <c r="GY131" s="1715">
        <f t="shared" si="338"/>
        <v>47.377174207151128</v>
      </c>
      <c r="GZ131" s="1715">
        <f>IF($A131&gt;=BegDate,VLOOKUP($A131,GasTable,13)+Assumptions!$C$58,0)</f>
        <v>3.1987433339710081</v>
      </c>
      <c r="HA131" s="1715">
        <f>GZ131*Assumptions!$C$57/1000</f>
        <v>23.190889171289808</v>
      </c>
      <c r="HB131" s="625">
        <f>IF(Assumptions!$C$60="Hourly",MAX(0,GX131*(GY131-HA131)),GX131*(GY131-HA131))</f>
        <v>1206550.1049318246</v>
      </c>
      <c r="HC131" s="640">
        <f>IF($A131&gt;=BegDate,Assumptions!$C$56*24*($A132-$A131)*(1-VLOOKUP($B131,MAIN!$AA$7:$AM$28,$C131+1))*(1-VLOOKUP($B131,MAIN!$AA$33:$AM$54,$C131+1)),0)*16/168</f>
        <v>49885.714285714283</v>
      </c>
      <c r="HD131" s="1715">
        <f t="shared" si="339"/>
        <v>29.039315306439807</v>
      </c>
      <c r="HE131" s="1715">
        <f>IF($A131&gt;=BegDate,VLOOKUP($A131,GasTable,13)+Assumptions!$C$58,0)</f>
        <v>3.1987433339710081</v>
      </c>
      <c r="HF131" s="1715">
        <f>HE131*Assumptions!$C$57/1000</f>
        <v>23.190889171289808</v>
      </c>
      <c r="HG131" s="625">
        <f>IF(Assumptions!$C$60="Hourly",MAX(0,HC131*(HD131-HF131)),HC131*(HD131-HF131))</f>
        <v>291752.91519919713</v>
      </c>
      <c r="HH131" s="640">
        <f>IF($A131&gt;=BegDate,Assumptions!$C$56*24*($A132-$A131)*(1-VLOOKUP($B131,MAIN!$AA$7:$AM$28,$C131+1))*(1-VLOOKUP($B131,MAIN!$AA$33:$AM$54,$C131+1)),0)*56/168</f>
        <v>174600</v>
      </c>
      <c r="HI131" s="1715">
        <f t="shared" si="340"/>
        <v>29.039315306439807</v>
      </c>
      <c r="HJ131" s="1715">
        <f>IF($A131&gt;=BegDate,VLOOKUP($A131,GasTable,13)+Assumptions!$C$58,0)</f>
        <v>3.1987433339710081</v>
      </c>
      <c r="HK131" s="1715">
        <f>HJ131*Assumptions!$C$57/1000</f>
        <v>23.190889171289808</v>
      </c>
      <c r="HL131" s="625">
        <f>IF(Assumptions!$C$60="Hourly",MAX(0,HH131*(HI131-HK131)),HH131*(HI131-HK131))</f>
        <v>1021135.20319719</v>
      </c>
      <c r="HM131" s="640">
        <f>IF(AND(Assumptions!$H$71="Yes",A131&gt;=Assumptions!$H$72,A131&lt;=Assumptions!$H$73),Assumptions!$H$74*Assumptions!$C$9*1000,0)</f>
        <v>0</v>
      </c>
      <c r="HN131" s="530"/>
      <c r="HO131" s="545"/>
      <c r="HP131" s="545"/>
      <c r="HQ131" s="545"/>
      <c r="HR131" s="545"/>
      <c r="HS131" s="545"/>
      <c r="HT131" s="545"/>
      <c r="HU131" s="545"/>
      <c r="HV131" s="545"/>
      <c r="HW131" s="545"/>
      <c r="HX131" s="545"/>
      <c r="HY131" s="545"/>
      <c r="HZ131" s="545"/>
      <c r="IA131" s="545"/>
      <c r="IB131" s="545"/>
      <c r="IC131" s="545"/>
      <c r="ID131" s="545"/>
      <c r="IE131" s="545"/>
      <c r="IF131" s="545"/>
      <c r="IG131" s="545"/>
      <c r="IH131" s="545"/>
      <c r="II131" s="1464"/>
      <c r="IJ131" s="1463"/>
      <c r="IK131" s="1463"/>
    </row>
    <row r="132" spans="1:245">
      <c r="A132" s="177">
        <f t="shared" si="295"/>
        <v>40148</v>
      </c>
      <c r="B132" s="349">
        <f t="shared" si="296"/>
        <v>2009</v>
      </c>
      <c r="C132" s="15">
        <f t="shared" si="400"/>
        <v>12</v>
      </c>
      <c r="D132" s="612">
        <f t="shared" si="297"/>
        <v>40172</v>
      </c>
      <c r="E132" s="609">
        <f t="shared" si="401"/>
        <v>40148</v>
      </c>
      <c r="F132" s="614">
        <f t="shared" si="402"/>
        <v>40178</v>
      </c>
      <c r="G132" s="1349">
        <v>0</v>
      </c>
      <c r="H132" s="152">
        <f t="shared" si="341"/>
        <v>1</v>
      </c>
      <c r="I132" s="154">
        <f>IF(Assumptions!$L$25=4,VLOOKUP($A132,'Henwood Reference'!$E$9:$R$320,10),(VLOOKUP($A132,PriceTable,2,0)+IF(BasisNumber&lt;&gt;1,VLOOKUP($A132,BasisTable,2,0),0)+I$1)/(1-I$2))</f>
        <v>49.004053720816678</v>
      </c>
      <c r="J132" s="154">
        <f>IF(Assumptions!$L$25=4,VLOOKUP($A132,'Henwood Reference'!$E$9:$R$320,10),(VLOOKUP($A132,PriceTable,3,0)+IF(BasisNumber&lt;&gt;1,VLOOKUP($A132,BasisTable,2,0),0)+J$1)/(1-J$2))</f>
        <v>49.004053720816678</v>
      </c>
      <c r="K132" s="154">
        <f>IF(Assumptions!$L$25=4,VLOOKUP($A132,'Henwood Reference'!$E$9:$R$320,10),(VLOOKUP($A132,PriceTable,4,0)+IF(BasisNumber&lt;&gt;1,VLOOKUP($A132,BasisTable,2,0),0)+K$1)/(1-K$2))</f>
        <v>49.004053720816678</v>
      </c>
      <c r="L132" s="474">
        <f>IF(Assumptions!$L$25=4,VLOOKUP($A132,'Henwood Reference'!$E$9:$R$320,10),(VLOOKUP($A132,PriceTableWeekend,2,0)+IF(BasisNumber&lt;&gt;1,VLOOKUP($A132,BasisTable,2,0),0)+L$1)/(1-L$2))</f>
        <v>49.004053720816678</v>
      </c>
      <c r="M132" s="154">
        <f>IF(Assumptions!$L$25=4,VLOOKUP($A132,'Henwood Reference'!$E$9:$R$320,10),(VLOOKUP($A132,PriceTableWeekend,3,0)+IF(BasisNumber&lt;&gt;1,VLOOKUP($A132,BasisTable,2,0),0)+M$1)/(1-M$2))</f>
        <v>49.004053720816678</v>
      </c>
      <c r="N132" s="156">
        <f>IF(Assumptions!$L$25=4,VLOOKUP($A132,'Henwood Reference'!$E$9:$R$320,10),(VLOOKUP($A132,PriceTableWeekend,4,0)+IF(BasisNumber&lt;&gt;1,VLOOKUP($A132,BasisTable,2,0),0)+N$1)/(1-N$2))</f>
        <v>49.004053720816678</v>
      </c>
      <c r="O132" s="154">
        <f>IF(Assumptions!$L$25=4,VLOOKUP($A132,'Henwood Reference'!$E$9:$R$320,11),(VLOOKUP($A132,PriceTableWeekend,6,0)+IF(BasisNumber&lt;&gt;1,VLOOKUP($A132,BasisTable,3,0),0)+O$1)/(1-O$2))</f>
        <v>30.152065997084041</v>
      </c>
      <c r="P132" s="154">
        <f>IF(Assumptions!$L$25=4,VLOOKUP($A132,'Henwood Reference'!$E$9:$R$320,11),(VLOOKUP($A132,PriceTableWeekend,7,0)+IF(BasisNumber&lt;&gt;1,VLOOKUP($A132,BasisTable,3,0),0)+P$1)/(1-P$2))</f>
        <v>30.152065997084041</v>
      </c>
      <c r="Q132" s="156">
        <f>IF(Assumptions!$L$25=4,VLOOKUP($A132,'Henwood Reference'!$E$9:$R$320,11),(VLOOKUP($A132,PriceTableWeekend,8,0)+IF(BasisNumber&lt;&gt;1,VLOOKUP($A132,BasisTable,3,0),0)+Q$1)/(1-Q$2))</f>
        <v>30.152065997084041</v>
      </c>
      <c r="R132" s="154">
        <f>IF(Assumptions!$L$25=4,VLOOKUP($A132,'Henwood Reference'!$E$9:$R$320,11),(VLOOKUP($A132,PriceTable,6,0)+IF(BasisNumber&lt;&gt;1,VLOOKUP($A132,BasisTable,3,0),0)+R$1)/(1-R$2))</f>
        <v>30.152065997084041</v>
      </c>
      <c r="S132" s="154">
        <f>IF(Assumptions!$L$25=4,VLOOKUP($A132,'Henwood Reference'!$E$9:$R$320,11),(VLOOKUP($A132,PriceTable,7,0)+IF(BasisNumber&lt;&gt;1,VLOOKUP($A132,BasisTable,3,0),0)+S$1)/(1-S$2))</f>
        <v>30.152065997084041</v>
      </c>
      <c r="T132" s="155">
        <f>IF(Assumptions!$L$25=4,VLOOKUP($A132,'Henwood Reference'!$E$9:$R$320,11),(VLOOKUP($A132,PriceTable,8,0)+IF(BasisNumber&lt;&gt;1,VLOOKUP($A132,BasisTable,3,0),0)+T$1)/(1-T$2))</f>
        <v>30.152065997084041</v>
      </c>
      <c r="U132" s="173">
        <f t="shared" si="298"/>
        <v>0.125</v>
      </c>
      <c r="V132" s="173">
        <f t="shared" si="299"/>
        <v>0.13500000000000001</v>
      </c>
      <c r="W132" s="174">
        <f t="shared" si="300"/>
        <v>0.14499999999999999</v>
      </c>
      <c r="X132" s="173">
        <f t="shared" si="301"/>
        <v>0.125</v>
      </c>
      <c r="Y132" s="173">
        <f t="shared" si="302"/>
        <v>0.13500000000000001</v>
      </c>
      <c r="Z132" s="174">
        <f t="shared" si="303"/>
        <v>0.14499999999999999</v>
      </c>
      <c r="AA132" s="173">
        <f t="shared" si="304"/>
        <v>0.09</v>
      </c>
      <c r="AB132" s="173">
        <f t="shared" si="305"/>
        <v>0.11</v>
      </c>
      <c r="AC132" s="174">
        <f t="shared" si="306"/>
        <v>0.13</v>
      </c>
      <c r="AD132" s="173">
        <f t="shared" si="307"/>
        <v>0.09</v>
      </c>
      <c r="AE132" s="173">
        <f t="shared" si="308"/>
        <v>0.11</v>
      </c>
      <c r="AF132" s="174">
        <f t="shared" si="309"/>
        <v>0.13</v>
      </c>
      <c r="AG132" s="173">
        <f t="shared" si="310"/>
        <v>-0.25</v>
      </c>
      <c r="AH132" s="173">
        <f t="shared" si="311"/>
        <v>0.6</v>
      </c>
      <c r="AI132" s="174">
        <f t="shared" si="312"/>
        <v>0.25</v>
      </c>
      <c r="AJ132" s="173">
        <f t="shared" si="313"/>
        <v>-0.25</v>
      </c>
      <c r="AK132" s="173">
        <f t="shared" si="314"/>
        <v>0.6</v>
      </c>
      <c r="AL132" s="174">
        <f t="shared" si="315"/>
        <v>0.25</v>
      </c>
      <c r="AM132" s="173">
        <f t="shared" si="316"/>
        <v>-0.01</v>
      </c>
      <c r="AN132" s="173">
        <f t="shared" si="317"/>
        <v>0.16</v>
      </c>
      <c r="AO132" s="174">
        <f t="shared" si="318"/>
        <v>0.01</v>
      </c>
      <c r="AP132" s="173">
        <f t="shared" si="319"/>
        <v>-0.01</v>
      </c>
      <c r="AQ132" s="173">
        <f t="shared" si="320"/>
        <v>0.16</v>
      </c>
      <c r="AR132" s="175">
        <f t="shared" si="321"/>
        <v>0.01</v>
      </c>
      <c r="AS132" s="521">
        <f t="shared" si="405"/>
        <v>0.5</v>
      </c>
      <c r="AT132" s="349">
        <f t="shared" si="403"/>
        <v>22</v>
      </c>
      <c r="AU132" s="159">
        <f t="shared" si="240"/>
        <v>4</v>
      </c>
      <c r="AV132" s="159">
        <f t="shared" si="241"/>
        <v>4</v>
      </c>
      <c r="AW132" s="159">
        <f t="shared" si="406"/>
        <v>1</v>
      </c>
      <c r="AX132" s="15">
        <f t="shared" si="404"/>
        <v>31</v>
      </c>
      <c r="AY132" s="607">
        <f>IF(E132="",0,MIN((1-(1-VLOOKUP(B132,MAIN!$AA$7:$AM$28,C132+1))*(1-VLOOKUP(B132,MAIN!$AA$33:$AM$54,C132+1))),1))</f>
        <v>3.0000000000000027E-2</v>
      </c>
      <c r="AZ132" s="337">
        <v>51216</v>
      </c>
      <c r="BA132" s="509">
        <v>9312</v>
      </c>
      <c r="BB132" s="509">
        <v>11640</v>
      </c>
      <c r="BC132" s="511">
        <v>36084</v>
      </c>
      <c r="BD132" s="153">
        <v>0.97</v>
      </c>
      <c r="BE132" s="474">
        <v>0.97</v>
      </c>
      <c r="BF132" s="474">
        <v>0.97</v>
      </c>
      <c r="BG132" s="515">
        <v>0.97</v>
      </c>
      <c r="BH132" s="262">
        <v>204864</v>
      </c>
      <c r="BI132" s="509">
        <v>37248</v>
      </c>
      <c r="BJ132" s="509">
        <v>46560</v>
      </c>
      <c r="BK132" s="511">
        <v>144336</v>
      </c>
      <c r="BL132" s="153">
        <v>0.97</v>
      </c>
      <c r="BM132" s="474">
        <v>0.97</v>
      </c>
      <c r="BN132" s="474">
        <v>0.97</v>
      </c>
      <c r="BO132" s="474">
        <v>0.97</v>
      </c>
      <c r="BP132" s="261">
        <f t="shared" si="324"/>
        <v>72168</v>
      </c>
      <c r="BQ132" s="578">
        <f t="shared" si="325"/>
        <v>108252</v>
      </c>
      <c r="BR132" s="259">
        <f t="shared" si="326"/>
        <v>288672</v>
      </c>
      <c r="BS132" s="578">
        <f t="shared" si="327"/>
        <v>433008</v>
      </c>
      <c r="BT132" s="216">
        <f t="shared" si="328"/>
        <v>9.631759069130732</v>
      </c>
      <c r="BU132" s="218">
        <f t="shared" si="243"/>
        <v>49.004053720816678</v>
      </c>
      <c r="BV132" s="216">
        <f t="shared" si="244"/>
        <v>49.004053720816678</v>
      </c>
      <c r="BW132" s="216">
        <f t="shared" si="245"/>
        <v>30.152065997084041</v>
      </c>
      <c r="BX132" s="216">
        <f t="shared" si="329"/>
        <v>30.152065997084041</v>
      </c>
      <c r="BY132" s="216">
        <f t="shared" si="246"/>
        <v>45.96341053956948</v>
      </c>
      <c r="BZ132" s="216">
        <f t="shared" si="247"/>
        <v>40.692962358740999</v>
      </c>
      <c r="CA132" s="264">
        <f t="shared" si="248"/>
        <v>49.004053720816678</v>
      </c>
      <c r="CB132" s="216">
        <f t="shared" si="249"/>
        <v>49.004053720816678</v>
      </c>
      <c r="CC132" s="216">
        <f t="shared" si="250"/>
        <v>30.152065997084041</v>
      </c>
      <c r="CD132" s="216">
        <f t="shared" si="330"/>
        <v>30.152065997084041</v>
      </c>
      <c r="CE132" s="216">
        <f t="shared" si="251"/>
        <v>45.96341053956948</v>
      </c>
      <c r="CF132" s="571">
        <f t="shared" si="252"/>
        <v>40.692962358740999</v>
      </c>
      <c r="CG132" s="573">
        <f t="shared" si="253"/>
        <v>0.13500000000000001</v>
      </c>
      <c r="CH132" s="219">
        <f t="shared" si="254"/>
        <v>0.13500000000000001</v>
      </c>
      <c r="CI132" s="219">
        <f t="shared" si="255"/>
        <v>0.11</v>
      </c>
      <c r="CJ132" s="219">
        <f t="shared" si="256"/>
        <v>0.13239228579699711</v>
      </c>
      <c r="CK132" s="219">
        <f t="shared" si="257"/>
        <v>0.13239228579699711</v>
      </c>
      <c r="CL132" s="219">
        <f t="shared" si="258"/>
        <v>0.11</v>
      </c>
      <c r="CM132" s="219">
        <f t="shared" si="259"/>
        <v>0.11618393850889017</v>
      </c>
      <c r="CN132" s="569">
        <f t="shared" si="260"/>
        <v>0.11618393850889017</v>
      </c>
      <c r="CO132" s="264">
        <f t="shared" si="343"/>
        <v>23.500513397257929</v>
      </c>
      <c r="CP132" s="216">
        <f t="shared" si="331"/>
        <v>23.500513397257929</v>
      </c>
      <c r="CQ132" s="216">
        <f t="shared" ca="1" si="361"/>
        <v>23.500513397257929</v>
      </c>
      <c r="CR132" s="216">
        <f t="shared" ca="1" si="362"/>
        <v>23.500513397257929</v>
      </c>
      <c r="CS132" s="1626">
        <f t="shared" ca="1" si="363"/>
        <v>23.500513397257929</v>
      </c>
      <c r="CT132" s="216">
        <f t="shared" si="332"/>
        <v>23.500513397257929</v>
      </c>
      <c r="CU132" s="575">
        <f t="shared" si="261"/>
        <v>0.159</v>
      </c>
      <c r="CV132" s="154">
        <f t="shared" si="262"/>
        <v>0.5</v>
      </c>
      <c r="CW132" s="216">
        <f>IF(OR($BQ132,$BS132),SpreadOptPowerMargin,0)*((1+Assumptions!$C$26)^($B132-YEAR(Assumptions!$C$17)))</f>
        <v>2.0270923546752</v>
      </c>
      <c r="CX132" s="216">
        <f>IF(OR($BQ132,$BS132),SpreadOptPowerMargin,0)*((1+Assumptions!$C$26)^($B132-YEAR(Assumptions!$C$17)))</f>
        <v>2.0270923546752</v>
      </c>
      <c r="CY132" s="216">
        <f>IF(OR($BQ132,$BS132),SpreadOptPowerMargin,0)*((1+Assumptions!$C$26)^($B132-YEAR(Assumptions!$C$17)))</f>
        <v>2.0270923546752</v>
      </c>
      <c r="CZ132" s="216">
        <f>IF(OR($BQ132,$BS132),SpreadOptPowerMargin,0)*((1+Assumptions!$C$26)^($B132-YEAR(Assumptions!$C$17)))</f>
        <v>2.0270923546752</v>
      </c>
      <c r="DA132" s="440">
        <f t="shared" si="263"/>
        <v>2.0270923546752</v>
      </c>
      <c r="DB132" s="479">
        <f t="shared" si="264"/>
        <v>0.13500000000000001</v>
      </c>
      <c r="DC132" s="479">
        <f t="shared" si="265"/>
        <v>0.13500000000000001</v>
      </c>
      <c r="DD132" s="479">
        <f t="shared" si="266"/>
        <v>0.11</v>
      </c>
      <c r="DE132" s="479">
        <f t="shared" si="267"/>
        <v>0.11</v>
      </c>
      <c r="DF132" s="479">
        <f t="shared" si="268"/>
        <v>0.11618393850889017</v>
      </c>
      <c r="DG132" s="574">
        <f t="shared" si="269"/>
        <v>0.11618393850889017</v>
      </c>
      <c r="DH132" s="216">
        <f t="shared" si="270"/>
        <v>23.948768460124437</v>
      </c>
      <c r="DI132" s="216">
        <f t="shared" si="271"/>
        <v>23.948768460124437</v>
      </c>
      <c r="DJ132" s="216">
        <f t="shared" ca="1" si="364"/>
        <v>7.205450698913487</v>
      </c>
      <c r="DK132" s="216">
        <f t="shared" ca="1" si="365"/>
        <v>7.205450698913487</v>
      </c>
      <c r="DL132" s="216">
        <f t="shared" ca="1" si="366"/>
        <v>16.056212159475585</v>
      </c>
      <c r="DM132" s="216"/>
      <c r="DN132" s="216"/>
      <c r="DO132" s="216"/>
      <c r="DP132" s="216"/>
      <c r="DQ132" s="216"/>
      <c r="DR132" s="216"/>
      <c r="DS132" s="216"/>
      <c r="DT132" s="216"/>
      <c r="DU132" s="216"/>
      <c r="DV132" s="216"/>
      <c r="DW132" s="1371">
        <f t="shared" si="272"/>
        <v>7.205450698913487</v>
      </c>
      <c r="DX132" s="216">
        <f t="shared" si="273"/>
        <v>7.205450698913487</v>
      </c>
      <c r="DY132" s="440">
        <f t="shared" si="274"/>
        <v>16.567305791203481</v>
      </c>
      <c r="DZ132" s="180">
        <f t="shared" si="275"/>
        <v>1226560.1254537331</v>
      </c>
      <c r="EA132" s="180">
        <f t="shared" si="276"/>
        <v>223010.93190067876</v>
      </c>
      <c r="EB132" s="180">
        <f t="shared" ca="1" si="367"/>
        <v>83871.446135352991</v>
      </c>
      <c r="EC132" s="180">
        <f t="shared" ca="1" si="368"/>
        <v>260001.48301959428</v>
      </c>
      <c r="ED132" s="180">
        <f t="shared" ca="1" si="369"/>
        <v>1738117.078687551</v>
      </c>
      <c r="EE132" s="581">
        <f t="shared" si="277"/>
        <v>1202369.7591743397</v>
      </c>
      <c r="EF132" s="554">
        <f t="shared" si="278"/>
        <v>218612.68348624359</v>
      </c>
      <c r="EG132" s="554">
        <f t="shared" ca="1" si="370"/>
        <v>53828.717253556599</v>
      </c>
      <c r="EH132" s="554">
        <f t="shared" ca="1" si="371"/>
        <v>166869.02348602546</v>
      </c>
      <c r="EI132" s="561">
        <f t="shared" ca="1" si="279"/>
        <v>1641680.1834001655</v>
      </c>
      <c r="EJ132" s="581">
        <f t="shared" si="333"/>
        <v>24190.366279393435</v>
      </c>
      <c r="EK132" s="554">
        <f t="shared" si="334"/>
        <v>4398.248414435162</v>
      </c>
      <c r="EL132" s="554">
        <f t="shared" ca="1" si="372"/>
        <v>30042.728881796393</v>
      </c>
      <c r="EM132" s="554">
        <f t="shared" ca="1" si="373"/>
        <v>93132.459533568821</v>
      </c>
      <c r="EN132" s="561">
        <f t="shared" ca="1" si="374"/>
        <v>96436.895287385443</v>
      </c>
      <c r="EO132" s="180">
        <f t="shared" si="280"/>
        <v>4906240.5018149326</v>
      </c>
      <c r="EP132" s="180">
        <f t="shared" si="281"/>
        <v>892043.72760271502</v>
      </c>
      <c r="EQ132" s="180">
        <f t="shared" si="282"/>
        <v>335485.78454141197</v>
      </c>
      <c r="ER132" s="180">
        <f t="shared" si="283"/>
        <v>1040005.9320783771</v>
      </c>
      <c r="ES132" s="180">
        <f t="shared" si="284"/>
        <v>7173775.9460374368</v>
      </c>
      <c r="ET132" s="1482">
        <f t="shared" ca="1" si="375"/>
        <v>4809479.0366973588</v>
      </c>
      <c r="EU132" s="180">
        <f t="shared" ca="1" si="376"/>
        <v>874450.73394497437</v>
      </c>
      <c r="EV132" s="180">
        <f t="shared" ca="1" si="377"/>
        <v>215314.86901422639</v>
      </c>
      <c r="EW132" s="180">
        <f t="shared" ca="1" si="378"/>
        <v>667476.09394410183</v>
      </c>
      <c r="EX132" s="555">
        <f t="shared" ca="1" si="351"/>
        <v>6566720.7336006612</v>
      </c>
      <c r="EY132" s="180">
        <f t="shared" ca="1" si="379"/>
        <v>96761.465117573738</v>
      </c>
      <c r="EZ132" s="180">
        <f t="shared" ca="1" si="380"/>
        <v>17592.993657740648</v>
      </c>
      <c r="FA132" s="180">
        <f t="shared" ca="1" si="381"/>
        <v>120170.91552718557</v>
      </c>
      <c r="FB132" s="180">
        <f t="shared" ca="1" si="382"/>
        <v>372529.83813427528</v>
      </c>
      <c r="FC132" s="180">
        <f t="shared" ca="1" si="383"/>
        <v>607055.21243677568</v>
      </c>
      <c r="FD132" s="262">
        <f>IF(AX132,IF(VLOOKUP(C132,MAIN!$L$17:$M$28,2)="Yes",VLOOKUP(CALC!B132,MAIN!$H$17:$I$20,2),0),0)</f>
        <v>0</v>
      </c>
      <c r="FE132" s="623">
        <f t="shared" si="285"/>
        <v>0</v>
      </c>
      <c r="FF132" s="535">
        <f t="shared" si="286"/>
        <v>0</v>
      </c>
      <c r="FG132" s="535">
        <f t="shared" si="287"/>
        <v>0</v>
      </c>
      <c r="FH132" s="624">
        <f t="shared" si="288"/>
        <v>0</v>
      </c>
      <c r="FI132" s="632">
        <f>IF(AX132,VLOOKUP(CALC!B132,MAIN!$H$17:$K$20,4),0)</f>
        <v>0</v>
      </c>
      <c r="FJ132" s="535">
        <f t="shared" si="289"/>
        <v>0</v>
      </c>
      <c r="FK132" s="648">
        <f t="shared" si="335"/>
        <v>0</v>
      </c>
      <c r="FL132" s="530">
        <f t="shared" ca="1" si="384"/>
        <v>0</v>
      </c>
      <c r="FM132" s="530">
        <f t="shared" ca="1" si="385"/>
        <v>0</v>
      </c>
      <c r="FN132" s="530">
        <f t="shared" ca="1" si="386"/>
        <v>0</v>
      </c>
      <c r="FO132" s="622">
        <f t="shared" ca="1" si="387"/>
        <v>0</v>
      </c>
      <c r="FP132" s="530">
        <f t="shared" ca="1" si="388"/>
        <v>0</v>
      </c>
      <c r="FQ132" s="530">
        <f t="shared" ca="1" si="389"/>
        <v>0</v>
      </c>
      <c r="FR132" s="530">
        <f t="shared" ca="1" si="390"/>
        <v>0</v>
      </c>
      <c r="FS132" s="625">
        <f t="shared" ca="1" si="391"/>
        <v>0</v>
      </c>
      <c r="FT132" s="640">
        <f ca="1">IF(AND(Assumptions!$H$71="Yes",A132&gt;=Assumptions!$H$72,A132&lt;=Assumptions!$H$73),0,IF(AND($A132&gt;=Assumptions!$C$17,$A132&lt;=Assumptions!$C$18),MAX(AZ132*(1+VLOOKUP($C132,WeatherCapacityAdjustment,2))-FL132,0),0))</f>
        <v>51216</v>
      </c>
      <c r="FU132" s="530">
        <f ca="1">IF(AND(Assumptions!$H$71="Yes",A132&gt;=Assumptions!$H$72,A132&lt;=Assumptions!$H$73),0,IF(AND($A132&gt;=Assumptions!$C$17,$A132&lt;=Assumptions!$C$18),MAX(BA132*(1+VLOOKUP($C132,WeatherCapacityAdjustment,2))-FM132,0),0))</f>
        <v>9312</v>
      </c>
      <c r="FV132" s="530">
        <f ca="1">IF(AND(Assumptions!$H$71="Yes",A132&gt;=Assumptions!$H$72,A132&lt;=Assumptions!$H$73),0,IF(AND($A132&gt;=Assumptions!$C$17,$A132&lt;=Assumptions!$C$18),MAX(BB132*(1+VLOOKUP($C132,WeatherCapacityAdjustment,2))-FN132,0),0))</f>
        <v>11640</v>
      </c>
      <c r="FW132" s="622">
        <f ca="1">IF(AND(Assumptions!$H$71="Yes",A132&gt;=Assumptions!$H$72,A132&lt;=Assumptions!$H$73),0,IF(AND($A132&gt;=Assumptions!$C$17,$A132&lt;=Assumptions!$C$18),MAX(BC132*(1+VLOOKUP($C132,WeatherCapacityAdjustment,3))-FO132,0),0))</f>
        <v>36084</v>
      </c>
      <c r="FX132" s="621">
        <f ca="1">IF(AND(Assumptions!$H$71="Yes",A132&gt;=Assumptions!$H$72,A132&lt;=Assumptions!$H$73),0,IF(ET132&gt;0,MAX(BH132*(1+VLOOKUP($C132,WeatherCapacityAdjustment,2))-FP132,0),0))</f>
        <v>204864</v>
      </c>
      <c r="FY132" s="530">
        <f ca="1">IF(AND(Assumptions!$H$71="Yes",A132&gt;=Assumptions!$H$72,A132&lt;=Assumptions!$H$73),0,IF(EU132&gt;0,MAX(BI132*(1+VLOOKUP($C132,WeatherCapacityAdjustment,3))-FQ132,0),0))</f>
        <v>37248</v>
      </c>
      <c r="FZ132" s="530">
        <f ca="1">IF(AND(Assumptions!$H$71="Yes",A132&gt;=Assumptions!$H$72,A132&lt;=Assumptions!$H$73),0,IF(EV132&gt;0,MAX(BJ132*(1+VLOOKUP($C132,WeatherCapacityAdjustment,2))-FR132,0),0))</f>
        <v>46560</v>
      </c>
      <c r="GA132" s="622">
        <f ca="1">IF(AND(Assumptions!$H$71="Yes",A132&gt;=Assumptions!$H$72,A132&lt;=Assumptions!$H$73),0,IF(EW132&gt;0,MAX(BK132*(1+VLOOKUP($C132,WeatherCapacityAdjustment,2))-FS132,0),0))</f>
        <v>144336</v>
      </c>
      <c r="GB132" s="530">
        <f t="shared" ca="1" si="290"/>
        <v>541260</v>
      </c>
      <c r="GC132" s="545">
        <f t="shared" ca="1" si="291"/>
        <v>40.692962358740999</v>
      </c>
      <c r="GD132" s="530">
        <f t="shared" ca="1" si="392"/>
        <v>22025472.806292154</v>
      </c>
      <c r="GE132" s="1485">
        <f t="shared" ca="1" si="393"/>
        <v>764098.90703999996</v>
      </c>
      <c r="GF132" s="1776">
        <f t="shared" ca="1" si="394"/>
        <v>3056395.6281599998</v>
      </c>
      <c r="GG132" s="545">
        <f t="shared" si="359"/>
        <v>3.3293825613950134</v>
      </c>
      <c r="GH132" s="622">
        <f t="shared" ca="1" si="360"/>
        <v>12719887.881399827</v>
      </c>
      <c r="GI132" s="621">
        <f t="shared" ca="1" si="336"/>
        <v>541260</v>
      </c>
      <c r="GJ132" s="638">
        <f t="shared" si="292"/>
        <v>2.0270923546752</v>
      </c>
      <c r="GK132" s="625">
        <f t="shared" ca="1" si="342"/>
        <v>1097184.0078914987</v>
      </c>
      <c r="GL132" s="640">
        <f t="shared" ca="1" si="395"/>
        <v>0</v>
      </c>
      <c r="GM132" s="530">
        <f t="shared" ca="1" si="396"/>
        <v>0</v>
      </c>
      <c r="GN132" s="530">
        <f t="shared" ca="1" si="397"/>
        <v>0</v>
      </c>
      <c r="GO132" s="622">
        <f t="shared" ca="1" si="398"/>
        <v>0</v>
      </c>
      <c r="GP132" s="530">
        <f t="shared" ca="1" si="293"/>
        <v>0</v>
      </c>
      <c r="GQ132" s="545">
        <f t="shared" ca="1" si="294"/>
        <v>0</v>
      </c>
      <c r="GR132" s="625">
        <f t="shared" ca="1" si="399"/>
        <v>0</v>
      </c>
      <c r="GS132" s="640">
        <f>IF($A132&gt;=BegDate,Assumptions!$C$56*24*($A133-$A132)*(1-VLOOKUP($B132,MAIN!$AA$7:$AM$28,$C132+1))*(1-VLOOKUP($B132,MAIN!$AA$33:$AM$54,$C132+1)),0)*80/168</f>
        <v>257742.85714285713</v>
      </c>
      <c r="GT132" s="1715">
        <f t="shared" si="337"/>
        <v>49.004053720816678</v>
      </c>
      <c r="GU132" s="1715">
        <f>IF($A132&gt;=BegDate,VLOOKUP($A132,GasTable,13)+Assumptions!$C$58,0)</f>
        <v>3.3293825613950134</v>
      </c>
      <c r="GV132" s="1715">
        <f>GU132*Assumptions!$C$57/1000</f>
        <v>24.138023570113848</v>
      </c>
      <c r="GW132" s="625">
        <f>IF(Assumptions!$C$60="Hourly",MAX(0,GS132*(GT132-GV132)),GS132*(GT132-GV132))</f>
        <v>6409041.6568425773</v>
      </c>
      <c r="GX132" s="640">
        <f>IF($A132&gt;=BegDate,Assumptions!$C$56*24*($A133-$A132)*(1-VLOOKUP($B132,MAIN!$AA$7:$AM$28,$C132+1))*(1-VLOOKUP($B132,MAIN!$AA$33:$AM$54,$C132+1)),0)*16/168</f>
        <v>51548.571428571428</v>
      </c>
      <c r="GY132" s="1715">
        <f t="shared" si="338"/>
        <v>49.004053720816678</v>
      </c>
      <c r="GZ132" s="1715">
        <f>IF($A132&gt;=BegDate,VLOOKUP($A132,GasTable,13)+Assumptions!$C$58,0)</f>
        <v>3.3293825613950134</v>
      </c>
      <c r="HA132" s="1715">
        <f>GZ132*Assumptions!$C$57/1000</f>
        <v>24.138023570113848</v>
      </c>
      <c r="HB132" s="625">
        <f>IF(Assumptions!$C$60="Hourly",MAX(0,GX132*(GY132-HA132)),GX132*(GY132-HA132))</f>
        <v>1281808.3313685155</v>
      </c>
      <c r="HC132" s="640">
        <f>IF($A132&gt;=BegDate,Assumptions!$C$56*24*($A133-$A132)*(1-VLOOKUP($B132,MAIN!$AA$7:$AM$28,$C132+1))*(1-VLOOKUP($B132,MAIN!$AA$33:$AM$54,$C132+1)),0)*16/168</f>
        <v>51548.571428571428</v>
      </c>
      <c r="HD132" s="1715">
        <f t="shared" si="339"/>
        <v>30.152065997084041</v>
      </c>
      <c r="HE132" s="1715">
        <f>IF($A132&gt;=BegDate,VLOOKUP($A132,GasTable,13)+Assumptions!$C$58,0)</f>
        <v>3.3293825613950134</v>
      </c>
      <c r="HF132" s="1715">
        <f>HE132*Assumptions!$C$57/1000</f>
        <v>24.138023570113848</v>
      </c>
      <c r="HG132" s="625">
        <f>IF(Assumptions!$C$60="Hourly",MAX(0,HC132*(HD132-HF132)),HC132*(HD132-HF132))</f>
        <v>310015.29562113201</v>
      </c>
      <c r="HH132" s="640">
        <f>IF($A132&gt;=BegDate,Assumptions!$C$56*24*($A133-$A132)*(1-VLOOKUP($B132,MAIN!$AA$7:$AM$28,$C132+1))*(1-VLOOKUP($B132,MAIN!$AA$33:$AM$54,$C132+1)),0)*56/168</f>
        <v>180420</v>
      </c>
      <c r="HI132" s="1715">
        <f t="shared" si="340"/>
        <v>30.152065997084041</v>
      </c>
      <c r="HJ132" s="1715">
        <f>IF($A132&gt;=BegDate,VLOOKUP($A132,GasTable,13)+Assumptions!$C$58,0)</f>
        <v>3.3293825613950134</v>
      </c>
      <c r="HK132" s="1715">
        <f>HJ132*Assumptions!$C$57/1000</f>
        <v>24.138023570113848</v>
      </c>
      <c r="HL132" s="625">
        <f>IF(Assumptions!$C$60="Hourly",MAX(0,HH132*(HI132-HK132)),HH132*(HI132-HK132))</f>
        <v>1085053.534673962</v>
      </c>
      <c r="HM132" s="640">
        <f>IF(AND(Assumptions!$H$71="Yes",A132&gt;=Assumptions!$H$72,A132&lt;=Assumptions!$H$73),Assumptions!$H$74*Assumptions!$C$9*1000,0)</f>
        <v>0</v>
      </c>
      <c r="HN132" s="530"/>
      <c r="HO132" s="545"/>
      <c r="HP132" s="545"/>
      <c r="HQ132" s="545"/>
      <c r="HR132" s="545"/>
      <c r="HS132" s="545"/>
      <c r="HT132" s="545"/>
      <c r="HU132" s="545"/>
      <c r="HV132" s="545"/>
      <c r="HW132" s="545"/>
      <c r="HX132" s="545"/>
      <c r="HY132" s="545"/>
      <c r="HZ132" s="545"/>
      <c r="IA132" s="545"/>
      <c r="IB132" s="545"/>
      <c r="IC132" s="545"/>
      <c r="ID132" s="545"/>
      <c r="IE132" s="545"/>
      <c r="IF132" s="545"/>
      <c r="IG132" s="545"/>
      <c r="IH132" s="545"/>
      <c r="II132" s="1464"/>
      <c r="IJ132" s="1463"/>
      <c r="IK132" s="1463"/>
    </row>
    <row r="133" spans="1:245">
      <c r="A133" s="177">
        <f t="shared" si="295"/>
        <v>40179</v>
      </c>
      <c r="B133" s="349">
        <f t="shared" si="296"/>
        <v>2010</v>
      </c>
      <c r="C133" s="15">
        <f t="shared" si="400"/>
        <v>1</v>
      </c>
      <c r="D133" s="612">
        <f t="shared" si="297"/>
        <v>40179</v>
      </c>
      <c r="E133" s="609">
        <f t="shared" si="401"/>
        <v>40179</v>
      </c>
      <c r="F133" s="614">
        <f t="shared" si="402"/>
        <v>40209</v>
      </c>
      <c r="G133" s="1349">
        <v>0</v>
      </c>
      <c r="H133" s="152">
        <f t="shared" si="341"/>
        <v>1</v>
      </c>
      <c r="I133" s="154">
        <f>IF(Assumptions!$L$25=4,VLOOKUP($A133,'Henwood Reference'!$E$9:$R$320,10),(VLOOKUP($A133,PriceTable,2,0)+IF(BasisNumber&lt;&gt;1,VLOOKUP($A133,BasisTable,2,0),0)+I$1)/(1-I$2))</f>
        <v>50.200750103666081</v>
      </c>
      <c r="J133" s="154">
        <f>IF(Assumptions!$L$25=4,VLOOKUP($A133,'Henwood Reference'!$E$9:$R$320,10),(VLOOKUP($A133,PriceTable,3,0)+IF(BasisNumber&lt;&gt;1,VLOOKUP($A133,BasisTable,2,0),0)+J$1)/(1-J$2))</f>
        <v>50.200750103666081</v>
      </c>
      <c r="K133" s="154">
        <f>IF(Assumptions!$L$25=4,VLOOKUP($A133,'Henwood Reference'!$E$9:$R$320,10),(VLOOKUP($A133,PriceTable,4,0)+IF(BasisNumber&lt;&gt;1,VLOOKUP($A133,BasisTable,2,0),0)+K$1)/(1-K$2))</f>
        <v>50.200750103666081</v>
      </c>
      <c r="L133" s="474">
        <f>IF(Assumptions!$L$25=4,VLOOKUP($A133,'Henwood Reference'!$E$9:$R$320,10),(VLOOKUP($A133,PriceTableWeekend,2,0)+IF(BasisNumber&lt;&gt;1,VLOOKUP($A133,BasisTable,2,0),0)+L$1)/(1-L$2))</f>
        <v>50.200750103666081</v>
      </c>
      <c r="M133" s="154">
        <f>IF(Assumptions!$L$25=4,VLOOKUP($A133,'Henwood Reference'!$E$9:$R$320,10),(VLOOKUP($A133,PriceTableWeekend,3,0)+IF(BasisNumber&lt;&gt;1,VLOOKUP($A133,BasisTable,2,0),0)+M$1)/(1-M$2))</f>
        <v>50.200750103666081</v>
      </c>
      <c r="N133" s="156">
        <f>IF(Assumptions!$L$25=4,VLOOKUP($A133,'Henwood Reference'!$E$9:$R$320,10),(VLOOKUP($A133,PriceTableWeekend,4,0)+IF(BasisNumber&lt;&gt;1,VLOOKUP($A133,BasisTable,2,0),0)+N$1)/(1-N$2))</f>
        <v>50.200750103666081</v>
      </c>
      <c r="O133" s="154">
        <f>IF(Assumptions!$L$25=4,VLOOKUP($A133,'Henwood Reference'!$E$9:$R$320,11),(VLOOKUP($A133,PriceTableWeekend,6,0)+IF(BasisNumber&lt;&gt;1,VLOOKUP($A133,BasisTable,3,0),0)+O$1)/(1-O$2))</f>
        <v>30.736700501283803</v>
      </c>
      <c r="P133" s="154">
        <f>IF(Assumptions!$L$25=4,VLOOKUP($A133,'Henwood Reference'!$E$9:$R$320,11),(VLOOKUP($A133,PriceTableWeekend,7,0)+IF(BasisNumber&lt;&gt;1,VLOOKUP($A133,BasisTable,3,0),0)+P$1)/(1-P$2))</f>
        <v>30.736700501283803</v>
      </c>
      <c r="Q133" s="156">
        <f>IF(Assumptions!$L$25=4,VLOOKUP($A133,'Henwood Reference'!$E$9:$R$320,11),(VLOOKUP($A133,PriceTableWeekend,8,0)+IF(BasisNumber&lt;&gt;1,VLOOKUP($A133,BasisTable,3,0),0)+Q$1)/(1-Q$2))</f>
        <v>30.736700501283803</v>
      </c>
      <c r="R133" s="154">
        <f>IF(Assumptions!$L$25=4,VLOOKUP($A133,'Henwood Reference'!$E$9:$R$320,11),(VLOOKUP($A133,PriceTable,6,0)+IF(BasisNumber&lt;&gt;1,VLOOKUP($A133,BasisTable,3,0),0)+R$1)/(1-R$2))</f>
        <v>30.736700501283803</v>
      </c>
      <c r="S133" s="154">
        <f>IF(Assumptions!$L$25=4,VLOOKUP($A133,'Henwood Reference'!$E$9:$R$320,11),(VLOOKUP($A133,PriceTable,7,0)+IF(BasisNumber&lt;&gt;1,VLOOKUP($A133,BasisTable,3,0),0)+S$1)/(1-S$2))</f>
        <v>30.736700501283803</v>
      </c>
      <c r="T133" s="155">
        <f>IF(Assumptions!$L$25=4,VLOOKUP($A133,'Henwood Reference'!$E$9:$R$320,11),(VLOOKUP($A133,PriceTable,8,0)+IF(BasisNumber&lt;&gt;1,VLOOKUP($A133,BasisTable,3,0),0)+T$1)/(1-T$2))</f>
        <v>30.736700501283803</v>
      </c>
      <c r="U133" s="173">
        <f t="shared" si="298"/>
        <v>0.12</v>
      </c>
      <c r="V133" s="173">
        <f t="shared" si="299"/>
        <v>0.13</v>
      </c>
      <c r="W133" s="174">
        <f t="shared" si="300"/>
        <v>0.14000000000000001</v>
      </c>
      <c r="X133" s="173">
        <f t="shared" si="301"/>
        <v>0.12</v>
      </c>
      <c r="Y133" s="173">
        <f t="shared" si="302"/>
        <v>0.13</v>
      </c>
      <c r="Z133" s="174">
        <f t="shared" si="303"/>
        <v>0.14000000000000001</v>
      </c>
      <c r="AA133" s="173">
        <f t="shared" si="304"/>
        <v>0.09</v>
      </c>
      <c r="AB133" s="173">
        <f t="shared" si="305"/>
        <v>0.11</v>
      </c>
      <c r="AC133" s="174">
        <f t="shared" si="306"/>
        <v>0.13</v>
      </c>
      <c r="AD133" s="173">
        <f t="shared" si="307"/>
        <v>0.09</v>
      </c>
      <c r="AE133" s="173">
        <f t="shared" si="308"/>
        <v>0.11</v>
      </c>
      <c r="AF133" s="174">
        <f t="shared" si="309"/>
        <v>0.13</v>
      </c>
      <c r="AG133" s="173">
        <f t="shared" si="310"/>
        <v>-0.25</v>
      </c>
      <c r="AH133" s="173">
        <f t="shared" si="311"/>
        <v>0.65</v>
      </c>
      <c r="AI133" s="174">
        <f t="shared" si="312"/>
        <v>0.25</v>
      </c>
      <c r="AJ133" s="173">
        <f t="shared" si="313"/>
        <v>-0.25</v>
      </c>
      <c r="AK133" s="173">
        <f t="shared" si="314"/>
        <v>0.65</v>
      </c>
      <c r="AL133" s="174">
        <f t="shared" si="315"/>
        <v>0.25</v>
      </c>
      <c r="AM133" s="173">
        <f t="shared" si="316"/>
        <v>-0.01</v>
      </c>
      <c r="AN133" s="173">
        <f t="shared" si="317"/>
        <v>0.16</v>
      </c>
      <c r="AO133" s="174">
        <f t="shared" si="318"/>
        <v>0.01</v>
      </c>
      <c r="AP133" s="173">
        <f t="shared" si="319"/>
        <v>-0.01</v>
      </c>
      <c r="AQ133" s="173">
        <f t="shared" si="320"/>
        <v>0.16</v>
      </c>
      <c r="AR133" s="175">
        <f t="shared" si="321"/>
        <v>0.01</v>
      </c>
      <c r="AS133" s="521">
        <f t="shared" si="405"/>
        <v>0.5</v>
      </c>
      <c r="AT133" s="349">
        <f t="shared" si="403"/>
        <v>20</v>
      </c>
      <c r="AU133" s="159">
        <f t="shared" si="240"/>
        <v>5</v>
      </c>
      <c r="AV133" s="159">
        <f t="shared" si="241"/>
        <v>5</v>
      </c>
      <c r="AW133" s="159">
        <f t="shared" si="406"/>
        <v>1</v>
      </c>
      <c r="AX133" s="15">
        <f t="shared" si="404"/>
        <v>31</v>
      </c>
      <c r="AY133" s="607">
        <f>IF(E133="",0,MIN((1-(1-VLOOKUP(B133,MAIN!$AA$7:$AM$28,C133+1))*(1-VLOOKUP(B133,MAIN!$AA$33:$AM$54,C133+1))),1))</f>
        <v>3.0000000000000027E-2</v>
      </c>
      <c r="AZ133" s="337">
        <v>46560</v>
      </c>
      <c r="BA133" s="509">
        <v>11640</v>
      </c>
      <c r="BB133" s="509">
        <v>13968</v>
      </c>
      <c r="BC133" s="511">
        <v>36084</v>
      </c>
      <c r="BD133" s="153">
        <v>0.96999999638646839</v>
      </c>
      <c r="BE133" s="474">
        <v>0.96999999638646839</v>
      </c>
      <c r="BF133" s="474">
        <v>0.96999999638646839</v>
      </c>
      <c r="BG133" s="515">
        <v>0.9699999927729368</v>
      </c>
      <c r="BH133" s="262">
        <v>186240</v>
      </c>
      <c r="BI133" s="509">
        <v>46560</v>
      </c>
      <c r="BJ133" s="509">
        <v>55872</v>
      </c>
      <c r="BK133" s="511">
        <v>144336</v>
      </c>
      <c r="BL133" s="153">
        <v>0.96999999638646839</v>
      </c>
      <c r="BM133" s="474">
        <v>0.96999999638646839</v>
      </c>
      <c r="BN133" s="474">
        <v>0.96999999638646839</v>
      </c>
      <c r="BO133" s="474">
        <v>0.9699999927729368</v>
      </c>
      <c r="BP133" s="261">
        <f t="shared" si="324"/>
        <v>72168</v>
      </c>
      <c r="BQ133" s="578">
        <f t="shared" si="325"/>
        <v>108252</v>
      </c>
      <c r="BR133" s="259">
        <f t="shared" si="326"/>
        <v>288672</v>
      </c>
      <c r="BS133" s="578">
        <f t="shared" si="327"/>
        <v>433008</v>
      </c>
      <c r="BT133" s="216">
        <f t="shared" si="328"/>
        <v>9.716632443531827</v>
      </c>
      <c r="BU133" s="218">
        <f t="shared" si="243"/>
        <v>50.200749916653713</v>
      </c>
      <c r="BV133" s="216">
        <f t="shared" si="244"/>
        <v>50.200749916653713</v>
      </c>
      <c r="BW133" s="216">
        <f t="shared" si="245"/>
        <v>30.736700386780672</v>
      </c>
      <c r="BX133" s="216">
        <f t="shared" si="329"/>
        <v>30.736700272277542</v>
      </c>
      <c r="BY133" s="216">
        <f t="shared" si="246"/>
        <v>46.43351452377506</v>
      </c>
      <c r="BZ133" s="216">
        <f t="shared" si="247"/>
        <v>41.201243106609219</v>
      </c>
      <c r="CA133" s="264">
        <f t="shared" si="248"/>
        <v>50.200749916653713</v>
      </c>
      <c r="CB133" s="216">
        <f t="shared" si="249"/>
        <v>50.200749916653713</v>
      </c>
      <c r="CC133" s="216">
        <f t="shared" si="250"/>
        <v>30.736700386780672</v>
      </c>
      <c r="CD133" s="216">
        <f t="shared" si="330"/>
        <v>30.736700272277542</v>
      </c>
      <c r="CE133" s="216">
        <f t="shared" si="251"/>
        <v>46.43351452377506</v>
      </c>
      <c r="CF133" s="571">
        <f t="shared" si="252"/>
        <v>41.201243106609219</v>
      </c>
      <c r="CG133" s="573">
        <f t="shared" si="253"/>
        <v>0.13</v>
      </c>
      <c r="CH133" s="219">
        <f t="shared" si="254"/>
        <v>0.13</v>
      </c>
      <c r="CI133" s="219">
        <f t="shared" si="255"/>
        <v>0.11</v>
      </c>
      <c r="CJ133" s="219">
        <f t="shared" si="256"/>
        <v>0.12746515012439569</v>
      </c>
      <c r="CK133" s="219">
        <f t="shared" si="257"/>
        <v>0.12746515012439569</v>
      </c>
      <c r="CL133" s="219">
        <f t="shared" si="258"/>
        <v>0.11</v>
      </c>
      <c r="CM133" s="219">
        <f t="shared" si="259"/>
        <v>0.11239264467849261</v>
      </c>
      <c r="CN133" s="569">
        <f t="shared" si="260"/>
        <v>0.11239264467849261</v>
      </c>
      <c r="CO133" s="264">
        <f t="shared" si="343"/>
        <v>22.854165873655653</v>
      </c>
      <c r="CP133" s="216">
        <f t="shared" si="331"/>
        <v>22.854165873655653</v>
      </c>
      <c r="CQ133" s="216">
        <f t="shared" ca="1" si="361"/>
        <v>22.854165873655653</v>
      </c>
      <c r="CR133" s="216">
        <f t="shared" ca="1" si="362"/>
        <v>22.854165873655653</v>
      </c>
      <c r="CS133" s="1626">
        <f t="shared" ca="1" si="363"/>
        <v>22.854165873655649</v>
      </c>
      <c r="CT133" s="216">
        <f t="shared" si="332"/>
        <v>22.854165873655653</v>
      </c>
      <c r="CU133" s="575">
        <f t="shared" si="261"/>
        <v>0.159</v>
      </c>
      <c r="CV133" s="154">
        <f t="shared" si="262"/>
        <v>0.5</v>
      </c>
      <c r="CW133" s="216">
        <f>IF(OR($BQ133,$BS133),SpreadOptPowerMargin,0)*((1+Assumptions!$C$26)^($B133-YEAR(Assumptions!$C$17)))</f>
        <v>2.0676342017687039</v>
      </c>
      <c r="CX133" s="216">
        <f>IF(OR($BQ133,$BS133),SpreadOptPowerMargin,0)*((1+Assumptions!$C$26)^($B133-YEAR(Assumptions!$C$17)))</f>
        <v>2.0676342017687039</v>
      </c>
      <c r="CY133" s="216">
        <f>IF(OR($BQ133,$BS133),SpreadOptPowerMargin,0)*((1+Assumptions!$C$26)^($B133-YEAR(Assumptions!$C$17)))</f>
        <v>2.0676342017687039</v>
      </c>
      <c r="CZ133" s="216">
        <f>IF(OR($BQ133,$BS133),SpreadOptPowerMargin,0)*((1+Assumptions!$C$26)^($B133-YEAR(Assumptions!$C$17)))</f>
        <v>2.0676342017687039</v>
      </c>
      <c r="DA133" s="440">
        <f t="shared" si="263"/>
        <v>2.0676342017687039</v>
      </c>
      <c r="DB133" s="479">
        <f t="shared" si="264"/>
        <v>0.13</v>
      </c>
      <c r="DC133" s="479">
        <f t="shared" si="265"/>
        <v>0.13</v>
      </c>
      <c r="DD133" s="479">
        <f t="shared" si="266"/>
        <v>0.11</v>
      </c>
      <c r="DE133" s="479">
        <f t="shared" si="267"/>
        <v>0.11</v>
      </c>
      <c r="DF133" s="479">
        <f t="shared" si="268"/>
        <v>0.11239264467849261</v>
      </c>
      <c r="DG133" s="574">
        <f t="shared" si="269"/>
        <v>0.11239264467849261</v>
      </c>
      <c r="DH133" s="216">
        <f t="shared" si="270"/>
        <v>25.627294637405512</v>
      </c>
      <c r="DI133" s="216">
        <f t="shared" si="271"/>
        <v>25.627294637405512</v>
      </c>
      <c r="DJ133" s="216">
        <f t="shared" ca="1" si="364"/>
        <v>8.0151377851173553</v>
      </c>
      <c r="DK133" s="216">
        <f t="shared" ca="1" si="365"/>
        <v>8.0151376974319035</v>
      </c>
      <c r="DL133" s="216">
        <f t="shared" ca="1" si="366"/>
        <v>17.008490224991533</v>
      </c>
      <c r="DM133" s="216"/>
      <c r="DN133" s="216"/>
      <c r="DO133" s="216"/>
      <c r="DP133" s="216"/>
      <c r="DQ133" s="216"/>
      <c r="DR133" s="216"/>
      <c r="DS133" s="216"/>
      <c r="DT133" s="216"/>
      <c r="DU133" s="216"/>
      <c r="DV133" s="216"/>
      <c r="DW133" s="1371">
        <f t="shared" si="272"/>
        <v>8.0151377851173553</v>
      </c>
      <c r="DX133" s="216">
        <f t="shared" si="273"/>
        <v>8.0151376974319035</v>
      </c>
      <c r="DY133" s="440">
        <f t="shared" si="274"/>
        <v>17.484039289377126</v>
      </c>
      <c r="DZ133" s="180">
        <f t="shared" si="275"/>
        <v>1193206.8383176005</v>
      </c>
      <c r="EA133" s="180">
        <f t="shared" si="276"/>
        <v>298301.70957940014</v>
      </c>
      <c r="EB133" s="180">
        <f t="shared" ca="1" si="367"/>
        <v>111955.44458251922</v>
      </c>
      <c r="EC133" s="180">
        <f t="shared" ca="1" si="368"/>
        <v>289218.22867413278</v>
      </c>
      <c r="ED133" s="180">
        <f t="shared" ca="1" si="369"/>
        <v>1841203.0838357834</v>
      </c>
      <c r="EE133" s="581">
        <f t="shared" si="277"/>
        <v>1176987.9046076387</v>
      </c>
      <c r="EF133" s="554">
        <f t="shared" si="278"/>
        <v>294246.97615190968</v>
      </c>
      <c r="EG133" s="554">
        <f t="shared" ca="1" si="370"/>
        <v>81222.527549025006</v>
      </c>
      <c r="EH133" s="554">
        <f t="shared" ca="1" si="371"/>
        <v>209824.8587032503</v>
      </c>
      <c r="EI133" s="561">
        <f t="shared" ca="1" si="279"/>
        <v>1762282.2670118241</v>
      </c>
      <c r="EJ133" s="581">
        <f t="shared" si="333"/>
        <v>16218.933709961828</v>
      </c>
      <c r="EK133" s="554">
        <f t="shared" si="334"/>
        <v>4054.733427490457</v>
      </c>
      <c r="EL133" s="554">
        <f t="shared" ca="1" si="372"/>
        <v>30732.917033494217</v>
      </c>
      <c r="EM133" s="554">
        <f t="shared" ca="1" si="373"/>
        <v>79393.369970882486</v>
      </c>
      <c r="EN133" s="561">
        <f t="shared" ca="1" si="374"/>
        <v>78920.816823959351</v>
      </c>
      <c r="EO133" s="180">
        <f t="shared" si="280"/>
        <v>4772827.3532704022</v>
      </c>
      <c r="EP133" s="180">
        <f t="shared" si="281"/>
        <v>1193206.8383176005</v>
      </c>
      <c r="EQ133" s="180">
        <f t="shared" si="282"/>
        <v>447821.77833007689</v>
      </c>
      <c r="ER133" s="180">
        <f t="shared" si="283"/>
        <v>1156872.9146965311</v>
      </c>
      <c r="ES133" s="180">
        <f t="shared" si="284"/>
        <v>7570728.8846146101</v>
      </c>
      <c r="ET133" s="1482">
        <f t="shared" ca="1" si="375"/>
        <v>4707951.6184305549</v>
      </c>
      <c r="EU133" s="180">
        <f t="shared" ca="1" si="376"/>
        <v>1176987.9046076387</v>
      </c>
      <c r="EV133" s="180">
        <f t="shared" ca="1" si="377"/>
        <v>324890.11019610002</v>
      </c>
      <c r="EW133" s="180">
        <f t="shared" ca="1" si="378"/>
        <v>839299.43481300119</v>
      </c>
      <c r="EX133" s="555">
        <f t="shared" ca="1" si="351"/>
        <v>7049129.0680472944</v>
      </c>
      <c r="EY133" s="180">
        <f t="shared" ca="1" si="379"/>
        <v>64875.734839847311</v>
      </c>
      <c r="EZ133" s="180">
        <f t="shared" ca="1" si="380"/>
        <v>16218.933709961828</v>
      </c>
      <c r="FA133" s="180">
        <f t="shared" ca="1" si="381"/>
        <v>122931.66813397687</v>
      </c>
      <c r="FB133" s="180">
        <f t="shared" ca="1" si="382"/>
        <v>317573.47988352994</v>
      </c>
      <c r="FC133" s="180">
        <f t="shared" ca="1" si="383"/>
        <v>521599.81656731572</v>
      </c>
      <c r="FD133" s="262">
        <f>IF(AX133,IF(VLOOKUP(C133,MAIN!$L$17:$M$28,2)="Yes",VLOOKUP(CALC!B133,MAIN!$H$17:$I$20,2),0),0)</f>
        <v>0</v>
      </c>
      <c r="FE133" s="623">
        <f t="shared" si="285"/>
        <v>0</v>
      </c>
      <c r="FF133" s="535">
        <f t="shared" si="286"/>
        <v>0</v>
      </c>
      <c r="FG133" s="535">
        <f t="shared" si="287"/>
        <v>0</v>
      </c>
      <c r="FH133" s="624">
        <f t="shared" si="288"/>
        <v>0</v>
      </c>
      <c r="FI133" s="632">
        <f>IF(AX133,VLOOKUP(CALC!B133,MAIN!$H$17:$K$20,4),0)</f>
        <v>0</v>
      </c>
      <c r="FJ133" s="535">
        <f t="shared" si="289"/>
        <v>0</v>
      </c>
      <c r="FK133" s="648">
        <f t="shared" si="335"/>
        <v>0</v>
      </c>
      <c r="FL133" s="530">
        <f t="shared" ca="1" si="384"/>
        <v>0</v>
      </c>
      <c r="FM133" s="530">
        <f t="shared" ca="1" si="385"/>
        <v>0</v>
      </c>
      <c r="FN133" s="530">
        <f t="shared" ca="1" si="386"/>
        <v>0</v>
      </c>
      <c r="FO133" s="622">
        <f t="shared" ca="1" si="387"/>
        <v>0</v>
      </c>
      <c r="FP133" s="530">
        <f t="shared" ca="1" si="388"/>
        <v>0</v>
      </c>
      <c r="FQ133" s="530">
        <f t="shared" ca="1" si="389"/>
        <v>0</v>
      </c>
      <c r="FR133" s="530">
        <f t="shared" ca="1" si="390"/>
        <v>0</v>
      </c>
      <c r="FS133" s="625">
        <f t="shared" ca="1" si="391"/>
        <v>0</v>
      </c>
      <c r="FT133" s="640">
        <f ca="1">IF(AND(Assumptions!$H$71="Yes",A133&gt;=Assumptions!$H$72,A133&lt;=Assumptions!$H$73),0,IF(AND($A133&gt;=Assumptions!$C$17,$A133&lt;=Assumptions!$C$18),MAX(AZ133*(1+VLOOKUP($C133,WeatherCapacityAdjustment,2))-FL133,0),0))</f>
        <v>46560</v>
      </c>
      <c r="FU133" s="530">
        <f ca="1">IF(AND(Assumptions!$H$71="Yes",A133&gt;=Assumptions!$H$72,A133&lt;=Assumptions!$H$73),0,IF(AND($A133&gt;=Assumptions!$C$17,$A133&lt;=Assumptions!$C$18),MAX(BA133*(1+VLOOKUP($C133,WeatherCapacityAdjustment,2))-FM133,0),0))</f>
        <v>11640</v>
      </c>
      <c r="FV133" s="530">
        <f ca="1">IF(AND(Assumptions!$H$71="Yes",A133&gt;=Assumptions!$H$72,A133&lt;=Assumptions!$H$73),0,IF(AND($A133&gt;=Assumptions!$C$17,$A133&lt;=Assumptions!$C$18),MAX(BB133*(1+VLOOKUP($C133,WeatherCapacityAdjustment,2))-FN133,0),0))</f>
        <v>13968</v>
      </c>
      <c r="FW133" s="622">
        <f ca="1">IF(AND(Assumptions!$H$71="Yes",A133&gt;=Assumptions!$H$72,A133&lt;=Assumptions!$H$73),0,IF(AND($A133&gt;=Assumptions!$C$17,$A133&lt;=Assumptions!$C$18),MAX(BC133*(1+VLOOKUP($C133,WeatherCapacityAdjustment,3))-FO133,0),0))</f>
        <v>36084</v>
      </c>
      <c r="FX133" s="621">
        <f ca="1">IF(AND(Assumptions!$H$71="Yes",A133&gt;=Assumptions!$H$72,A133&lt;=Assumptions!$H$73),0,IF(ET133&gt;0,MAX(BH133*(1+VLOOKUP($C133,WeatherCapacityAdjustment,2))-FP133,0),0))</f>
        <v>186240</v>
      </c>
      <c r="FY133" s="530">
        <f ca="1">IF(AND(Assumptions!$H$71="Yes",A133&gt;=Assumptions!$H$72,A133&lt;=Assumptions!$H$73),0,IF(EU133&gt;0,MAX(BI133*(1+VLOOKUP($C133,WeatherCapacityAdjustment,3))-FQ133,0),0))</f>
        <v>46560</v>
      </c>
      <c r="FZ133" s="530">
        <f ca="1">IF(AND(Assumptions!$H$71="Yes",A133&gt;=Assumptions!$H$72,A133&lt;=Assumptions!$H$73),0,IF(EV133&gt;0,MAX(BJ133*(1+VLOOKUP($C133,WeatherCapacityAdjustment,2))-FR133,0),0))</f>
        <v>55872</v>
      </c>
      <c r="GA133" s="622">
        <f ca="1">IF(AND(Assumptions!$H$71="Yes",A133&gt;=Assumptions!$H$72,A133&lt;=Assumptions!$H$73),0,IF(EW133&gt;0,MAX(BK133*(1+VLOOKUP($C133,WeatherCapacityAdjustment,2))-FS133,0),0))</f>
        <v>144336</v>
      </c>
      <c r="GB133" s="530">
        <f t="shared" ca="1" si="290"/>
        <v>541260</v>
      </c>
      <c r="GC133" s="545">
        <f t="shared" ca="1" si="291"/>
        <v>41.201243106609219</v>
      </c>
      <c r="GD133" s="530">
        <f t="shared" ca="1" si="392"/>
        <v>22300584.843883306</v>
      </c>
      <c r="GE133" s="1485">
        <f t="shared" ca="1" si="393"/>
        <v>764417.16792000004</v>
      </c>
      <c r="GF133" s="1776">
        <f t="shared" ca="1" si="394"/>
        <v>3057668.6716800001</v>
      </c>
      <c r="GG133" s="545">
        <f t="shared" si="359"/>
        <v>3.236464679210199</v>
      </c>
      <c r="GH133" s="622">
        <f t="shared" ca="1" si="360"/>
        <v>12370045.820774859</v>
      </c>
      <c r="GI133" s="621">
        <f t="shared" ca="1" si="336"/>
        <v>541260</v>
      </c>
      <c r="GJ133" s="638">
        <f t="shared" si="292"/>
        <v>2.0676342017687039</v>
      </c>
      <c r="GK133" s="625">
        <f t="shared" ca="1" si="342"/>
        <v>1119127.6880493287</v>
      </c>
      <c r="GL133" s="640">
        <f t="shared" ca="1" si="395"/>
        <v>0</v>
      </c>
      <c r="GM133" s="530">
        <f t="shared" ca="1" si="396"/>
        <v>0</v>
      </c>
      <c r="GN133" s="530">
        <f t="shared" ca="1" si="397"/>
        <v>0</v>
      </c>
      <c r="GO133" s="622">
        <f t="shared" ca="1" si="398"/>
        <v>0</v>
      </c>
      <c r="GP133" s="530">
        <f t="shared" ca="1" si="293"/>
        <v>0</v>
      </c>
      <c r="GQ133" s="545">
        <f t="shared" ca="1" si="294"/>
        <v>0</v>
      </c>
      <c r="GR133" s="625">
        <f t="shared" ca="1" si="399"/>
        <v>0</v>
      </c>
      <c r="GS133" s="640">
        <f>IF($A133&gt;=BegDate,Assumptions!$C$56*24*($A134-$A133)*(1-VLOOKUP($B133,MAIN!$AA$7:$AM$28,$C133+1))*(1-VLOOKUP($B133,MAIN!$AA$33:$AM$54,$C133+1)),0)*80/168</f>
        <v>257742.85714285713</v>
      </c>
      <c r="GT133" s="1715">
        <f t="shared" si="337"/>
        <v>50.200750103666081</v>
      </c>
      <c r="GU133" s="1715">
        <f>IF($A133&gt;=BegDate,VLOOKUP($A133,GasTable,13)+Assumptions!$C$58,0)</f>
        <v>3.236464679210199</v>
      </c>
      <c r="GV133" s="1715">
        <f>GU133*Assumptions!$C$57/1000</f>
        <v>23.464368924273941</v>
      </c>
      <c r="GW133" s="625">
        <f>IF(Assumptions!$C$60="Hourly",MAX(0,GS133*(GT133-GV133)),GS133*(GT133-GV133))</f>
        <v>6891111.2748370422</v>
      </c>
      <c r="GX133" s="640">
        <f>IF($A133&gt;=BegDate,Assumptions!$C$56*24*($A134-$A133)*(1-VLOOKUP($B133,MAIN!$AA$7:$AM$28,$C133+1))*(1-VLOOKUP($B133,MAIN!$AA$33:$AM$54,$C133+1)),0)*16/168</f>
        <v>51548.571428571428</v>
      </c>
      <c r="GY133" s="1715">
        <f t="shared" si="338"/>
        <v>50.200750103666081</v>
      </c>
      <c r="GZ133" s="1715">
        <f>IF($A133&gt;=BegDate,VLOOKUP($A133,GasTable,13)+Assumptions!$C$58,0)</f>
        <v>3.236464679210199</v>
      </c>
      <c r="HA133" s="1715">
        <f>GZ133*Assumptions!$C$57/1000</f>
        <v>23.464368924273941</v>
      </c>
      <c r="HB133" s="625">
        <f>IF(Assumptions!$C$60="Hourly",MAX(0,GX133*(GY133-HA133)),GX133*(GY133-HA133))</f>
        <v>1378222.2549674085</v>
      </c>
      <c r="HC133" s="640">
        <f>IF($A133&gt;=BegDate,Assumptions!$C$56*24*($A134-$A133)*(1-VLOOKUP($B133,MAIN!$AA$7:$AM$28,$C133+1))*(1-VLOOKUP($B133,MAIN!$AA$33:$AM$54,$C133+1)),0)*16/168</f>
        <v>51548.571428571428</v>
      </c>
      <c r="HD133" s="1715">
        <f t="shared" si="339"/>
        <v>30.736700501283803</v>
      </c>
      <c r="HE133" s="1715">
        <f>IF($A133&gt;=BegDate,VLOOKUP($A133,GasTable,13)+Assumptions!$C$58,0)</f>
        <v>3.236464679210199</v>
      </c>
      <c r="HF133" s="1715">
        <f>HE133*Assumptions!$C$57/1000</f>
        <v>23.464368924273941</v>
      </c>
      <c r="HG133" s="625">
        <f>IF(Assumptions!$C$60="Hourly",MAX(0,HC133*(HD133-HF133)),HC133*(HD133-HF133))</f>
        <v>374878.30374974833</v>
      </c>
      <c r="HH133" s="640">
        <f>IF($A133&gt;=BegDate,Assumptions!$C$56*24*($A134-$A133)*(1-VLOOKUP($B133,MAIN!$AA$7:$AM$28,$C133+1))*(1-VLOOKUP($B133,MAIN!$AA$33:$AM$54,$C133+1)),0)*56/168</f>
        <v>180420</v>
      </c>
      <c r="HI133" s="1715">
        <f t="shared" si="340"/>
        <v>30.736700501283803</v>
      </c>
      <c r="HJ133" s="1715">
        <f>IF($A133&gt;=BegDate,VLOOKUP($A133,GasTable,13)+Assumptions!$C$58,0)</f>
        <v>3.236464679210199</v>
      </c>
      <c r="HK133" s="1715">
        <f>HJ133*Assumptions!$C$57/1000</f>
        <v>23.464368924273941</v>
      </c>
      <c r="HL133" s="625">
        <f>IF(Assumptions!$C$60="Hourly",MAX(0,HH133*(HI133-HK133)),HH133*(HI133-HK133))</f>
        <v>1312074.0631241193</v>
      </c>
      <c r="HM133" s="640">
        <f>IF(AND(Assumptions!$H$71="Yes",A133&gt;=Assumptions!$H$72,A133&lt;=Assumptions!$H$73),Assumptions!$H$74*Assumptions!$C$9*1000,0)</f>
        <v>0</v>
      </c>
      <c r="HN133" s="530"/>
      <c r="HO133" s="545"/>
      <c r="HP133" s="545"/>
      <c r="HQ133" s="545"/>
      <c r="HR133" s="545"/>
      <c r="HS133" s="545"/>
      <c r="HT133" s="545"/>
      <c r="HU133" s="545"/>
      <c r="HV133" s="545"/>
      <c r="HW133" s="545"/>
      <c r="HX133" s="545"/>
      <c r="HY133" s="545"/>
      <c r="HZ133" s="545"/>
      <c r="IA133" s="545"/>
      <c r="IB133" s="545"/>
      <c r="IC133" s="545"/>
      <c r="ID133" s="545"/>
      <c r="IE133" s="545"/>
      <c r="IF133" s="545"/>
      <c r="IG133" s="545"/>
      <c r="IH133" s="545"/>
      <c r="II133" s="1464"/>
      <c r="IJ133" s="1463"/>
      <c r="IK133" s="1463"/>
    </row>
    <row r="134" spans="1:245">
      <c r="A134" s="177">
        <f t="shared" si="295"/>
        <v>40210</v>
      </c>
      <c r="B134" s="349">
        <f t="shared" si="296"/>
        <v>2010</v>
      </c>
      <c r="C134" s="15">
        <f t="shared" si="400"/>
        <v>2</v>
      </c>
      <c r="D134" s="612" t="str">
        <f t="shared" si="297"/>
        <v/>
      </c>
      <c r="E134" s="609">
        <f t="shared" si="401"/>
        <v>40210</v>
      </c>
      <c r="F134" s="614">
        <f t="shared" si="402"/>
        <v>40237</v>
      </c>
      <c r="G134" s="1349">
        <v>0</v>
      </c>
      <c r="H134" s="152">
        <f t="shared" si="341"/>
        <v>1</v>
      </c>
      <c r="I134" s="154">
        <f>IF(Assumptions!$L$25=4,VLOOKUP($A134,'Henwood Reference'!$E$9:$R$320,10),(VLOOKUP($A134,PriceTable,2,0)+IF(BasisNumber&lt;&gt;1,VLOOKUP($A134,BasisTable,2,0),0)+I$1)/(1-I$2))</f>
        <v>48.19391959002872</v>
      </c>
      <c r="J134" s="154">
        <f>IF(Assumptions!$L$25=4,VLOOKUP($A134,'Henwood Reference'!$E$9:$R$320,10),(VLOOKUP($A134,PriceTable,3,0)+IF(BasisNumber&lt;&gt;1,VLOOKUP($A134,BasisTable,2,0),0)+J$1)/(1-J$2))</f>
        <v>48.19391959002872</v>
      </c>
      <c r="K134" s="154">
        <f>IF(Assumptions!$L$25=4,VLOOKUP($A134,'Henwood Reference'!$E$9:$R$320,10),(VLOOKUP($A134,PriceTable,4,0)+IF(BasisNumber&lt;&gt;1,VLOOKUP($A134,BasisTable,2,0),0)+K$1)/(1-K$2))</f>
        <v>48.19391959002872</v>
      </c>
      <c r="L134" s="474">
        <f>IF(Assumptions!$L$25=4,VLOOKUP($A134,'Henwood Reference'!$E$9:$R$320,10),(VLOOKUP($A134,PriceTableWeekend,2,0)+IF(BasisNumber&lt;&gt;1,VLOOKUP($A134,BasisTable,2,0),0)+L$1)/(1-L$2))</f>
        <v>48.19391959002872</v>
      </c>
      <c r="M134" s="154">
        <f>IF(Assumptions!$L$25=4,VLOOKUP($A134,'Henwood Reference'!$E$9:$R$320,10),(VLOOKUP($A134,PriceTableWeekend,3,0)+IF(BasisNumber&lt;&gt;1,VLOOKUP($A134,BasisTable,2,0),0)+M$1)/(1-M$2))</f>
        <v>48.19391959002872</v>
      </c>
      <c r="N134" s="156">
        <f>IF(Assumptions!$L$25=4,VLOOKUP($A134,'Henwood Reference'!$E$9:$R$320,10),(VLOOKUP($A134,PriceTableWeekend,4,0)+IF(BasisNumber&lt;&gt;1,VLOOKUP($A134,BasisTable,2,0),0)+N$1)/(1-N$2))</f>
        <v>48.19391959002872</v>
      </c>
      <c r="O134" s="154">
        <f>IF(Assumptions!$L$25=4,VLOOKUP($A134,'Henwood Reference'!$E$9:$R$320,11),(VLOOKUP($A134,PriceTableWeekend,6,0)+IF(BasisNumber&lt;&gt;1,VLOOKUP($A134,BasisTable,3,0),0)+O$1)/(1-O$2))</f>
        <v>26.237757795409152</v>
      </c>
      <c r="P134" s="154">
        <f>IF(Assumptions!$L$25=4,VLOOKUP($A134,'Henwood Reference'!$E$9:$R$320,11),(VLOOKUP($A134,PriceTableWeekend,7,0)+IF(BasisNumber&lt;&gt;1,VLOOKUP($A134,BasisTable,3,0),0)+P$1)/(1-P$2))</f>
        <v>26.237757795409152</v>
      </c>
      <c r="Q134" s="156">
        <f>IF(Assumptions!$L$25=4,VLOOKUP($A134,'Henwood Reference'!$E$9:$R$320,11),(VLOOKUP($A134,PriceTableWeekend,8,0)+IF(BasisNumber&lt;&gt;1,VLOOKUP($A134,BasisTable,3,0),0)+Q$1)/(1-Q$2))</f>
        <v>26.237757795409152</v>
      </c>
      <c r="R134" s="154">
        <f>IF(Assumptions!$L$25=4,VLOOKUP($A134,'Henwood Reference'!$E$9:$R$320,11),(VLOOKUP($A134,PriceTable,6,0)+IF(BasisNumber&lt;&gt;1,VLOOKUP($A134,BasisTable,3,0),0)+R$1)/(1-R$2))</f>
        <v>26.237757795409152</v>
      </c>
      <c r="S134" s="154">
        <f>IF(Assumptions!$L$25=4,VLOOKUP($A134,'Henwood Reference'!$E$9:$R$320,11),(VLOOKUP($A134,PriceTable,7,0)+IF(BasisNumber&lt;&gt;1,VLOOKUP($A134,BasisTable,3,0),0)+S$1)/(1-S$2))</f>
        <v>26.237757795409152</v>
      </c>
      <c r="T134" s="155">
        <f>IF(Assumptions!$L$25=4,VLOOKUP($A134,'Henwood Reference'!$E$9:$R$320,11),(VLOOKUP($A134,PriceTable,8,0)+IF(BasisNumber&lt;&gt;1,VLOOKUP($A134,BasisTable,3,0),0)+T$1)/(1-T$2))</f>
        <v>26.237757795409152</v>
      </c>
      <c r="U134" s="173">
        <f t="shared" si="298"/>
        <v>0.12</v>
      </c>
      <c r="V134" s="173">
        <f t="shared" si="299"/>
        <v>0.13</v>
      </c>
      <c r="W134" s="174">
        <f t="shared" si="300"/>
        <v>0.14000000000000001</v>
      </c>
      <c r="X134" s="173">
        <f t="shared" si="301"/>
        <v>0.12</v>
      </c>
      <c r="Y134" s="173">
        <f t="shared" si="302"/>
        <v>0.13</v>
      </c>
      <c r="Z134" s="174">
        <f t="shared" si="303"/>
        <v>0.14000000000000001</v>
      </c>
      <c r="AA134" s="173">
        <f t="shared" si="304"/>
        <v>0.09</v>
      </c>
      <c r="AB134" s="173">
        <f t="shared" si="305"/>
        <v>0.11</v>
      </c>
      <c r="AC134" s="174">
        <f t="shared" si="306"/>
        <v>0.13</v>
      </c>
      <c r="AD134" s="173">
        <f t="shared" si="307"/>
        <v>0.09</v>
      </c>
      <c r="AE134" s="173">
        <f t="shared" si="308"/>
        <v>0.11</v>
      </c>
      <c r="AF134" s="174">
        <f t="shared" si="309"/>
        <v>0.13</v>
      </c>
      <c r="AG134" s="173">
        <f t="shared" si="310"/>
        <v>-0.25</v>
      </c>
      <c r="AH134" s="173">
        <f t="shared" si="311"/>
        <v>0.65</v>
      </c>
      <c r="AI134" s="174">
        <f t="shared" si="312"/>
        <v>0.25</v>
      </c>
      <c r="AJ134" s="173">
        <f t="shared" si="313"/>
        <v>-0.25</v>
      </c>
      <c r="AK134" s="173">
        <f t="shared" si="314"/>
        <v>0.65</v>
      </c>
      <c r="AL134" s="174">
        <f t="shared" si="315"/>
        <v>0.25</v>
      </c>
      <c r="AM134" s="173">
        <f t="shared" si="316"/>
        <v>-0.01</v>
      </c>
      <c r="AN134" s="173">
        <f t="shared" si="317"/>
        <v>0.16</v>
      </c>
      <c r="AO134" s="174">
        <f t="shared" si="318"/>
        <v>0.01</v>
      </c>
      <c r="AP134" s="173">
        <f t="shared" si="319"/>
        <v>-0.01</v>
      </c>
      <c r="AQ134" s="173">
        <f t="shared" si="320"/>
        <v>0.16</v>
      </c>
      <c r="AR134" s="175">
        <f t="shared" si="321"/>
        <v>0.01</v>
      </c>
      <c r="AS134" s="521">
        <f t="shared" si="405"/>
        <v>0.5</v>
      </c>
      <c r="AT134" s="349">
        <f t="shared" si="403"/>
        <v>20</v>
      </c>
      <c r="AU134" s="159">
        <f t="shared" si="240"/>
        <v>4</v>
      </c>
      <c r="AV134" s="159">
        <f t="shared" si="241"/>
        <v>4</v>
      </c>
      <c r="AW134" s="159">
        <f t="shared" si="406"/>
        <v>0</v>
      </c>
      <c r="AX134" s="15">
        <f t="shared" si="404"/>
        <v>28</v>
      </c>
      <c r="AY134" s="607">
        <f>IF(E134="",0,MIN((1-(1-VLOOKUP(B134,MAIN!$AA$7:$AM$28,C134+1))*(1-VLOOKUP(B134,MAIN!$AA$33:$AM$54,C134+1))),1))</f>
        <v>3.0000000000000027E-2</v>
      </c>
      <c r="AZ134" s="337">
        <v>46560</v>
      </c>
      <c r="BA134" s="509">
        <v>9312</v>
      </c>
      <c r="BB134" s="509">
        <v>9312</v>
      </c>
      <c r="BC134" s="511">
        <v>32592</v>
      </c>
      <c r="BD134" s="153">
        <v>0.97</v>
      </c>
      <c r="BE134" s="474">
        <v>0.97</v>
      </c>
      <c r="BF134" s="474">
        <v>0.97</v>
      </c>
      <c r="BG134" s="515">
        <v>0.9699999927729368</v>
      </c>
      <c r="BH134" s="262">
        <v>186240</v>
      </c>
      <c r="BI134" s="509">
        <v>37248</v>
      </c>
      <c r="BJ134" s="509">
        <v>37248</v>
      </c>
      <c r="BK134" s="511">
        <v>130368</v>
      </c>
      <c r="BL134" s="153">
        <v>0.97</v>
      </c>
      <c r="BM134" s="474">
        <v>0.97</v>
      </c>
      <c r="BN134" s="474">
        <v>0.97</v>
      </c>
      <c r="BO134" s="474">
        <v>0.9699999927729368</v>
      </c>
      <c r="BP134" s="261">
        <f t="shared" si="324"/>
        <v>65184</v>
      </c>
      <c r="BQ134" s="578">
        <f t="shared" si="325"/>
        <v>97776</v>
      </c>
      <c r="BR134" s="259">
        <f t="shared" si="326"/>
        <v>260736</v>
      </c>
      <c r="BS134" s="578">
        <f t="shared" si="327"/>
        <v>391104</v>
      </c>
      <c r="BT134" s="216">
        <f t="shared" si="328"/>
        <v>9.801505817932922</v>
      </c>
      <c r="BU134" s="218">
        <f t="shared" si="243"/>
        <v>48.19391959002872</v>
      </c>
      <c r="BV134" s="216">
        <f t="shared" si="244"/>
        <v>48.19391959002872</v>
      </c>
      <c r="BW134" s="216">
        <f t="shared" si="245"/>
        <v>26.237757795409152</v>
      </c>
      <c r="BX134" s="216">
        <f t="shared" si="329"/>
        <v>26.237757599922624</v>
      </c>
      <c r="BY134" s="216">
        <f t="shared" si="246"/>
        <v>45.057325047940203</v>
      </c>
      <c r="BZ134" s="216">
        <f t="shared" si="247"/>
        <v>38.784135898601015</v>
      </c>
      <c r="CA134" s="264">
        <f t="shared" si="248"/>
        <v>48.19391959002872</v>
      </c>
      <c r="CB134" s="216">
        <f t="shared" si="249"/>
        <v>48.19391959002872</v>
      </c>
      <c r="CC134" s="216">
        <f t="shared" si="250"/>
        <v>26.237757795409152</v>
      </c>
      <c r="CD134" s="216">
        <f t="shared" si="330"/>
        <v>26.237757599922624</v>
      </c>
      <c r="CE134" s="216">
        <f t="shared" si="251"/>
        <v>45.057325047940203</v>
      </c>
      <c r="CF134" s="571">
        <f t="shared" si="252"/>
        <v>38.784135898601015</v>
      </c>
      <c r="CG134" s="573">
        <f t="shared" si="253"/>
        <v>0.13</v>
      </c>
      <c r="CH134" s="219">
        <f t="shared" si="254"/>
        <v>0.13</v>
      </c>
      <c r="CI134" s="219">
        <f t="shared" si="255"/>
        <v>0.11</v>
      </c>
      <c r="CJ134" s="219">
        <f t="shared" si="256"/>
        <v>0.1283553051156171</v>
      </c>
      <c r="CK134" s="219">
        <f t="shared" si="257"/>
        <v>0.1283553051156171</v>
      </c>
      <c r="CL134" s="219">
        <f t="shared" si="258"/>
        <v>0.11</v>
      </c>
      <c r="CM134" s="219">
        <f t="shared" si="259"/>
        <v>0.11427633223715933</v>
      </c>
      <c r="CN134" s="569">
        <f t="shared" si="260"/>
        <v>0.11427633223715933</v>
      </c>
      <c r="CO134" s="264">
        <f t="shared" si="343"/>
        <v>21.081827512698439</v>
      </c>
      <c r="CP134" s="216">
        <f t="shared" si="331"/>
        <v>21.081827512698439</v>
      </c>
      <c r="CQ134" s="216">
        <f t="shared" ca="1" si="361"/>
        <v>21.081827512698439</v>
      </c>
      <c r="CR134" s="216">
        <f t="shared" ca="1" si="362"/>
        <v>21.081827512698439</v>
      </c>
      <c r="CS134" s="1626">
        <f t="shared" ca="1" si="363"/>
        <v>21.081827512698442</v>
      </c>
      <c r="CT134" s="216">
        <f t="shared" si="332"/>
        <v>21.081827512698439</v>
      </c>
      <c r="CU134" s="575">
        <f t="shared" si="261"/>
        <v>0.158</v>
      </c>
      <c r="CV134" s="154">
        <f t="shared" si="262"/>
        <v>0.5</v>
      </c>
      <c r="CW134" s="216">
        <f>IF(OR($BQ134,$BS134),SpreadOptPowerMargin,0)*((1+Assumptions!$C$26)^($B134-YEAR(Assumptions!$C$17)))</f>
        <v>2.0676342017687039</v>
      </c>
      <c r="CX134" s="216">
        <f>IF(OR($BQ134,$BS134),SpreadOptPowerMargin,0)*((1+Assumptions!$C$26)^($B134-YEAR(Assumptions!$C$17)))</f>
        <v>2.0676342017687039</v>
      </c>
      <c r="CY134" s="216">
        <f>IF(OR($BQ134,$BS134),SpreadOptPowerMargin,0)*((1+Assumptions!$C$26)^($B134-YEAR(Assumptions!$C$17)))</f>
        <v>2.0676342017687039</v>
      </c>
      <c r="CZ134" s="216">
        <f>IF(OR($BQ134,$BS134),SpreadOptPowerMargin,0)*((1+Assumptions!$C$26)^($B134-YEAR(Assumptions!$C$17)))</f>
        <v>2.0676342017687039</v>
      </c>
      <c r="DA134" s="440">
        <f t="shared" si="263"/>
        <v>2.0676342017687039</v>
      </c>
      <c r="DB134" s="479">
        <f t="shared" si="264"/>
        <v>0.13</v>
      </c>
      <c r="DC134" s="479">
        <f t="shared" si="265"/>
        <v>0.13</v>
      </c>
      <c r="DD134" s="479">
        <f t="shared" si="266"/>
        <v>0.11</v>
      </c>
      <c r="DE134" s="479">
        <f t="shared" si="267"/>
        <v>0.11</v>
      </c>
      <c r="DF134" s="479">
        <f t="shared" si="268"/>
        <v>0.11427633223715933</v>
      </c>
      <c r="DG134" s="574">
        <f t="shared" si="269"/>
        <v>0.11427633223715933</v>
      </c>
      <c r="DH134" s="216">
        <f t="shared" si="270"/>
        <v>25.315139669439073</v>
      </c>
      <c r="DI134" s="216">
        <f t="shared" si="271"/>
        <v>25.315139669439073</v>
      </c>
      <c r="DJ134" s="216">
        <f t="shared" ca="1" si="364"/>
        <v>5.7276186846613637</v>
      </c>
      <c r="DK134" s="216">
        <f t="shared" ca="1" si="365"/>
        <v>5.727618548009981</v>
      </c>
      <c r="DL134" s="216">
        <f t="shared" ca="1" si="366"/>
        <v>16.271607739765763</v>
      </c>
      <c r="DM134" s="216"/>
      <c r="DN134" s="216"/>
      <c r="DO134" s="216"/>
      <c r="DP134" s="216"/>
      <c r="DQ134" s="216"/>
      <c r="DR134" s="216"/>
      <c r="DS134" s="216"/>
      <c r="DT134" s="216"/>
      <c r="DU134" s="216"/>
      <c r="DV134" s="216"/>
      <c r="DW134" s="1371">
        <f t="shared" si="272"/>
        <v>5.7276186846613637</v>
      </c>
      <c r="DX134" s="216">
        <f t="shared" si="273"/>
        <v>5.727618548009981</v>
      </c>
      <c r="DY134" s="440">
        <f t="shared" si="274"/>
        <v>16.920487773269596</v>
      </c>
      <c r="DZ134" s="180">
        <f t="shared" si="275"/>
        <v>1178672.9030090834</v>
      </c>
      <c r="EA134" s="180">
        <f t="shared" si="276"/>
        <v>235734.58060181665</v>
      </c>
      <c r="EB134" s="180">
        <f t="shared" ca="1" si="367"/>
        <v>53335.585191566621</v>
      </c>
      <c r="EC134" s="180">
        <f t="shared" ca="1" si="368"/>
        <v>186674.54371674129</v>
      </c>
      <c r="ED134" s="180">
        <f t="shared" ca="1" si="369"/>
        <v>1590972.7183633372</v>
      </c>
      <c r="EE134" s="581">
        <f t="shared" si="277"/>
        <v>1166069.9586861471</v>
      </c>
      <c r="EF134" s="554">
        <f t="shared" si="278"/>
        <v>233213.9917372294</v>
      </c>
      <c r="EG134" s="554">
        <f t="shared" ca="1" si="370"/>
        <v>28758.213105731982</v>
      </c>
      <c r="EH134" s="554">
        <f t="shared" ca="1" si="371"/>
        <v>100653.739498765</v>
      </c>
      <c r="EI134" s="561">
        <f t="shared" ca="1" si="279"/>
        <v>1528695.903027873</v>
      </c>
      <c r="EJ134" s="581">
        <f t="shared" si="333"/>
        <v>12602.944322936237</v>
      </c>
      <c r="EK134" s="554">
        <f t="shared" si="334"/>
        <v>2520.5888645872474</v>
      </c>
      <c r="EL134" s="554">
        <f t="shared" ca="1" si="372"/>
        <v>24577.372085834639</v>
      </c>
      <c r="EM134" s="554">
        <f t="shared" ca="1" si="373"/>
        <v>86020.804217976285</v>
      </c>
      <c r="EN134" s="561">
        <f t="shared" ca="1" si="374"/>
        <v>62276.815335464198</v>
      </c>
      <c r="EO134" s="180">
        <f t="shared" si="280"/>
        <v>4714691.6120363334</v>
      </c>
      <c r="EP134" s="180">
        <f t="shared" si="281"/>
        <v>942938.32240726659</v>
      </c>
      <c r="EQ134" s="180">
        <f t="shared" si="282"/>
        <v>213342.34076626648</v>
      </c>
      <c r="ER134" s="180">
        <f t="shared" si="283"/>
        <v>746698.17486696516</v>
      </c>
      <c r="ES134" s="180">
        <f t="shared" si="284"/>
        <v>6617670.4500768315</v>
      </c>
      <c r="ET134" s="1482">
        <f t="shared" ca="1" si="375"/>
        <v>4664279.8347445885</v>
      </c>
      <c r="EU134" s="180">
        <f t="shared" ca="1" si="376"/>
        <v>932855.9669489176</v>
      </c>
      <c r="EV134" s="180">
        <f t="shared" ca="1" si="377"/>
        <v>115032.85242292793</v>
      </c>
      <c r="EW134" s="180">
        <f t="shared" ca="1" si="378"/>
        <v>402614.95799506002</v>
      </c>
      <c r="EX134" s="555">
        <f t="shared" ca="1" si="351"/>
        <v>6114783.6121114939</v>
      </c>
      <c r="EY134" s="180">
        <f t="shared" ca="1" si="379"/>
        <v>50411.777291744947</v>
      </c>
      <c r="EZ134" s="180">
        <f t="shared" ca="1" si="380"/>
        <v>10082.355458348989</v>
      </c>
      <c r="FA134" s="180">
        <f t="shared" ca="1" si="381"/>
        <v>98309.488343338555</v>
      </c>
      <c r="FB134" s="180">
        <f t="shared" ca="1" si="382"/>
        <v>344083.21687190514</v>
      </c>
      <c r="FC134" s="180">
        <f t="shared" ca="1" si="383"/>
        <v>502886.83796533756</v>
      </c>
      <c r="FD134" s="262">
        <f>IF(AX134,IF(VLOOKUP(C134,MAIN!$L$17:$M$28,2)="Yes",VLOOKUP(CALC!B134,MAIN!$H$17:$I$20,2),0),0)</f>
        <v>0</v>
      </c>
      <c r="FE134" s="623">
        <f t="shared" si="285"/>
        <v>0</v>
      </c>
      <c r="FF134" s="535">
        <f t="shared" si="286"/>
        <v>0</v>
      </c>
      <c r="FG134" s="535">
        <f t="shared" si="287"/>
        <v>0</v>
      </c>
      <c r="FH134" s="624">
        <f t="shared" si="288"/>
        <v>0</v>
      </c>
      <c r="FI134" s="632">
        <f>IF(AX134,VLOOKUP(CALC!B134,MAIN!$H$17:$K$20,4),0)</f>
        <v>0</v>
      </c>
      <c r="FJ134" s="535">
        <f t="shared" si="289"/>
        <v>0</v>
      </c>
      <c r="FK134" s="648">
        <f t="shared" si="335"/>
        <v>0</v>
      </c>
      <c r="FL134" s="530">
        <f t="shared" ca="1" si="384"/>
        <v>0</v>
      </c>
      <c r="FM134" s="530">
        <f t="shared" ca="1" si="385"/>
        <v>0</v>
      </c>
      <c r="FN134" s="530">
        <f t="shared" ca="1" si="386"/>
        <v>0</v>
      </c>
      <c r="FO134" s="622">
        <f t="shared" ca="1" si="387"/>
        <v>0</v>
      </c>
      <c r="FP134" s="530">
        <f t="shared" ca="1" si="388"/>
        <v>0</v>
      </c>
      <c r="FQ134" s="530">
        <f t="shared" ca="1" si="389"/>
        <v>0</v>
      </c>
      <c r="FR134" s="530">
        <f t="shared" ca="1" si="390"/>
        <v>0</v>
      </c>
      <c r="FS134" s="625">
        <f t="shared" ca="1" si="391"/>
        <v>0</v>
      </c>
      <c r="FT134" s="640">
        <f ca="1">IF(AND(Assumptions!$H$71="Yes",A134&gt;=Assumptions!$H$72,A134&lt;=Assumptions!$H$73),0,IF(AND($A134&gt;=Assumptions!$C$17,$A134&lt;=Assumptions!$C$18),MAX(AZ134*(1+VLOOKUP($C134,WeatherCapacityAdjustment,2))-FL134,0),0))</f>
        <v>46560</v>
      </c>
      <c r="FU134" s="530">
        <f ca="1">IF(AND(Assumptions!$H$71="Yes",A134&gt;=Assumptions!$H$72,A134&lt;=Assumptions!$H$73),0,IF(AND($A134&gt;=Assumptions!$C$17,$A134&lt;=Assumptions!$C$18),MAX(BA134*(1+VLOOKUP($C134,WeatherCapacityAdjustment,2))-FM134,0),0))</f>
        <v>9312</v>
      </c>
      <c r="FV134" s="530">
        <f ca="1">IF(AND(Assumptions!$H$71="Yes",A134&gt;=Assumptions!$H$72,A134&lt;=Assumptions!$H$73),0,IF(AND($A134&gt;=Assumptions!$C$17,$A134&lt;=Assumptions!$C$18),MAX(BB134*(1+VLOOKUP($C134,WeatherCapacityAdjustment,2))-FN134,0),0))</f>
        <v>9312</v>
      </c>
      <c r="FW134" s="622">
        <f ca="1">IF(AND(Assumptions!$H$71="Yes",A134&gt;=Assumptions!$H$72,A134&lt;=Assumptions!$H$73),0,IF(AND($A134&gt;=Assumptions!$C$17,$A134&lt;=Assumptions!$C$18),MAX(BC134*(1+VLOOKUP($C134,WeatherCapacityAdjustment,3))-FO134,0),0))</f>
        <v>32592</v>
      </c>
      <c r="FX134" s="621">
        <f ca="1">IF(AND(Assumptions!$H$71="Yes",A134&gt;=Assumptions!$H$72,A134&lt;=Assumptions!$H$73),0,IF(ET134&gt;0,MAX(BH134*(1+VLOOKUP($C134,WeatherCapacityAdjustment,2))-FP134,0),0))</f>
        <v>186240</v>
      </c>
      <c r="FY134" s="530">
        <f ca="1">IF(AND(Assumptions!$H$71="Yes",A134&gt;=Assumptions!$H$72,A134&lt;=Assumptions!$H$73),0,IF(EU134&gt;0,MAX(BI134*(1+VLOOKUP($C134,WeatherCapacityAdjustment,3))-FQ134,0),0))</f>
        <v>37248</v>
      </c>
      <c r="FZ134" s="530">
        <f ca="1">IF(AND(Assumptions!$H$71="Yes",A134&gt;=Assumptions!$H$72,A134&lt;=Assumptions!$H$73),0,IF(EV134&gt;0,MAX(BJ134*(1+VLOOKUP($C134,WeatherCapacityAdjustment,2))-FR134,0),0))</f>
        <v>37248</v>
      </c>
      <c r="GA134" s="622">
        <f ca="1">IF(AND(Assumptions!$H$71="Yes",A134&gt;=Assumptions!$H$72,A134&lt;=Assumptions!$H$73),0,IF(EW134&gt;0,MAX(BK134*(1+VLOOKUP($C134,WeatherCapacityAdjustment,2))-FS134,0),0))</f>
        <v>130368</v>
      </c>
      <c r="GB134" s="530">
        <f t="shared" ca="1" si="290"/>
        <v>488880</v>
      </c>
      <c r="GC134" s="545">
        <f t="shared" ca="1" si="291"/>
        <v>38.784135898601008</v>
      </c>
      <c r="GD134" s="530">
        <f t="shared" ca="1" si="392"/>
        <v>18960788.358108062</v>
      </c>
      <c r="GE134" s="1485">
        <f t="shared" ca="1" si="393"/>
        <v>690728.77440000011</v>
      </c>
      <c r="GF134" s="1776">
        <f t="shared" ca="1" si="394"/>
        <v>2762915.0976000004</v>
      </c>
      <c r="GG134" s="545">
        <f t="shared" si="359"/>
        <v>2.9842346855640161</v>
      </c>
      <c r="GH134" s="622">
        <f t="shared" ca="1" si="360"/>
        <v>10306483.834408013</v>
      </c>
      <c r="GI134" s="621">
        <f t="shared" ca="1" si="336"/>
        <v>488880</v>
      </c>
      <c r="GJ134" s="638">
        <f t="shared" si="292"/>
        <v>2.0676342017687039</v>
      </c>
      <c r="GK134" s="625">
        <f t="shared" ca="1" si="342"/>
        <v>1010825.0085606839</v>
      </c>
      <c r="GL134" s="640">
        <f t="shared" ca="1" si="395"/>
        <v>0</v>
      </c>
      <c r="GM134" s="530">
        <f t="shared" ca="1" si="396"/>
        <v>0</v>
      </c>
      <c r="GN134" s="530">
        <f t="shared" ca="1" si="397"/>
        <v>0</v>
      </c>
      <c r="GO134" s="622">
        <f t="shared" ca="1" si="398"/>
        <v>0</v>
      </c>
      <c r="GP134" s="530">
        <f t="shared" ca="1" si="293"/>
        <v>0</v>
      </c>
      <c r="GQ134" s="545">
        <f t="shared" ca="1" si="294"/>
        <v>0</v>
      </c>
      <c r="GR134" s="625">
        <f t="shared" ca="1" si="399"/>
        <v>0</v>
      </c>
      <c r="GS134" s="640">
        <f>IF($A134&gt;=BegDate,Assumptions!$C$56*24*($A135-$A134)*(1-VLOOKUP($B134,MAIN!$AA$7:$AM$28,$C134+1))*(1-VLOOKUP($B134,MAIN!$AA$33:$AM$54,$C134+1)),0)*80/168</f>
        <v>232800</v>
      </c>
      <c r="GT134" s="1715">
        <f t="shared" si="337"/>
        <v>48.19391959002872</v>
      </c>
      <c r="GU134" s="1715">
        <f>IF($A134&gt;=BegDate,VLOOKUP($A134,GasTable,13)+Assumptions!$C$58,0)</f>
        <v>2.9842346855640161</v>
      </c>
      <c r="GV134" s="1715">
        <f>GU134*Assumptions!$C$57/1000</f>
        <v>21.635701470339118</v>
      </c>
      <c r="GW134" s="625">
        <f>IF(Assumptions!$C$60="Hourly",MAX(0,GS134*(GT134-GV134)),GS134*(GT134-GV134))</f>
        <v>6182753.1782637397</v>
      </c>
      <c r="GX134" s="640">
        <f>IF($A134&gt;=BegDate,Assumptions!$C$56*24*($A135-$A134)*(1-VLOOKUP($B134,MAIN!$AA$7:$AM$28,$C134+1))*(1-VLOOKUP($B134,MAIN!$AA$33:$AM$54,$C134+1)),0)*16/168</f>
        <v>46560</v>
      </c>
      <c r="GY134" s="1715">
        <f t="shared" si="338"/>
        <v>48.19391959002872</v>
      </c>
      <c r="GZ134" s="1715">
        <f>IF($A134&gt;=BegDate,VLOOKUP($A134,GasTable,13)+Assumptions!$C$58,0)</f>
        <v>2.9842346855640161</v>
      </c>
      <c r="HA134" s="1715">
        <f>GZ134*Assumptions!$C$57/1000</f>
        <v>21.635701470339118</v>
      </c>
      <c r="HB134" s="625">
        <f>IF(Assumptions!$C$60="Hourly",MAX(0,GX134*(GY134-HA134)),GX134*(GY134-HA134))</f>
        <v>1236550.6356527479</v>
      </c>
      <c r="HC134" s="640">
        <f>IF($A134&gt;=BegDate,Assumptions!$C$56*24*($A135-$A134)*(1-VLOOKUP($B134,MAIN!$AA$7:$AM$28,$C134+1))*(1-VLOOKUP($B134,MAIN!$AA$33:$AM$54,$C134+1)),0)*16/168</f>
        <v>46560</v>
      </c>
      <c r="HD134" s="1715">
        <f t="shared" si="339"/>
        <v>26.237757795409152</v>
      </c>
      <c r="HE134" s="1715">
        <f>IF($A134&gt;=BegDate,VLOOKUP($A134,GasTable,13)+Assumptions!$C$58,0)</f>
        <v>2.9842346855640161</v>
      </c>
      <c r="HF134" s="1715">
        <f>HE134*Assumptions!$C$57/1000</f>
        <v>21.635701470339118</v>
      </c>
      <c r="HG134" s="625">
        <f>IF(Assumptions!$C$60="Hourly",MAX(0,HC134*(HD134-HF134)),HC134*(HD134-HF134))</f>
        <v>214271.74249526078</v>
      </c>
      <c r="HH134" s="640">
        <f>IF($A134&gt;=BegDate,Assumptions!$C$56*24*($A135-$A134)*(1-VLOOKUP($B134,MAIN!$AA$7:$AM$28,$C134+1))*(1-VLOOKUP($B134,MAIN!$AA$33:$AM$54,$C134+1)),0)*56/168</f>
        <v>162960</v>
      </c>
      <c r="HI134" s="1715">
        <f t="shared" si="340"/>
        <v>26.237757795409152</v>
      </c>
      <c r="HJ134" s="1715">
        <f>IF($A134&gt;=BegDate,VLOOKUP($A134,GasTable,13)+Assumptions!$C$58,0)</f>
        <v>2.9842346855640161</v>
      </c>
      <c r="HK134" s="1715">
        <f>HJ134*Assumptions!$C$57/1000</f>
        <v>21.635701470339118</v>
      </c>
      <c r="HL134" s="625">
        <f>IF(Assumptions!$C$60="Hourly",MAX(0,HH134*(HI134-HK134)),HH134*(HI134-HK134))</f>
        <v>749951.0987334128</v>
      </c>
      <c r="HM134" s="640">
        <f>IF(AND(Assumptions!$H$71="Yes",A134&gt;=Assumptions!$H$72,A134&lt;=Assumptions!$H$73),Assumptions!$H$74*Assumptions!$C$9*1000,0)</f>
        <v>0</v>
      </c>
      <c r="HN134" s="530"/>
      <c r="HO134" s="545"/>
      <c r="HP134" s="545"/>
      <c r="HQ134" s="545"/>
      <c r="HR134" s="545"/>
      <c r="HS134" s="545"/>
      <c r="HT134" s="545"/>
      <c r="HU134" s="545"/>
      <c r="HV134" s="545"/>
      <c r="HW134" s="545"/>
      <c r="HX134" s="545"/>
      <c r="HY134" s="545"/>
      <c r="HZ134" s="545"/>
      <c r="IA134" s="545"/>
      <c r="IB134" s="545"/>
      <c r="IC134" s="545"/>
      <c r="ID134" s="545"/>
      <c r="IE134" s="545"/>
      <c r="IF134" s="545"/>
      <c r="IG134" s="545"/>
      <c r="IH134" s="545"/>
      <c r="II134" s="1464"/>
      <c r="IJ134" s="1463"/>
      <c r="IK134" s="1463"/>
    </row>
    <row r="135" spans="1:245">
      <c r="A135" s="177">
        <f t="shared" si="295"/>
        <v>40238</v>
      </c>
      <c r="B135" s="349">
        <f t="shared" si="296"/>
        <v>2010</v>
      </c>
      <c r="C135" s="15">
        <f t="shared" si="400"/>
        <v>3</v>
      </c>
      <c r="D135" s="612" t="str">
        <f t="shared" si="297"/>
        <v/>
      </c>
      <c r="E135" s="609">
        <f t="shared" si="401"/>
        <v>40238</v>
      </c>
      <c r="F135" s="614">
        <f t="shared" si="402"/>
        <v>40268</v>
      </c>
      <c r="G135" s="1349">
        <v>0</v>
      </c>
      <c r="H135" s="152">
        <f t="shared" si="341"/>
        <v>1</v>
      </c>
      <c r="I135" s="154">
        <f>IF(Assumptions!$L$25=4,VLOOKUP($A135,'Henwood Reference'!$E$9:$R$320,10),(VLOOKUP($A135,PriceTable,2,0)+IF(BasisNumber&lt;&gt;1,VLOOKUP($A135,BasisTable,2,0),0)+I$1)/(1-I$2))</f>
        <v>41.912807042121734</v>
      </c>
      <c r="J135" s="154">
        <f>IF(Assumptions!$L$25=4,VLOOKUP($A135,'Henwood Reference'!$E$9:$R$320,10),(VLOOKUP($A135,PriceTable,3,0)+IF(BasisNumber&lt;&gt;1,VLOOKUP($A135,BasisTable,2,0),0)+J$1)/(1-J$2))</f>
        <v>41.912807042121734</v>
      </c>
      <c r="K135" s="154">
        <f>IF(Assumptions!$L$25=4,VLOOKUP($A135,'Henwood Reference'!$E$9:$R$320,10),(VLOOKUP($A135,PriceTable,4,0)+IF(BasisNumber&lt;&gt;1,VLOOKUP($A135,BasisTable,2,0),0)+K$1)/(1-K$2))</f>
        <v>41.912807042121734</v>
      </c>
      <c r="L135" s="474">
        <f>IF(Assumptions!$L$25=4,VLOOKUP($A135,'Henwood Reference'!$E$9:$R$320,10),(VLOOKUP($A135,PriceTableWeekend,2,0)+IF(BasisNumber&lt;&gt;1,VLOOKUP($A135,BasisTable,2,0),0)+L$1)/(1-L$2))</f>
        <v>41.912807042121734</v>
      </c>
      <c r="M135" s="154">
        <f>IF(Assumptions!$L$25=4,VLOOKUP($A135,'Henwood Reference'!$E$9:$R$320,10),(VLOOKUP($A135,PriceTableWeekend,3,0)+IF(BasisNumber&lt;&gt;1,VLOOKUP($A135,BasisTable,2,0),0)+M$1)/(1-M$2))</f>
        <v>41.912807042121734</v>
      </c>
      <c r="N135" s="156">
        <f>IF(Assumptions!$L$25=4,VLOOKUP($A135,'Henwood Reference'!$E$9:$R$320,10),(VLOOKUP($A135,PriceTableWeekend,4,0)+IF(BasisNumber&lt;&gt;1,VLOOKUP($A135,BasisTable,2,0),0)+N$1)/(1-N$2))</f>
        <v>41.912807042121734</v>
      </c>
      <c r="O135" s="154">
        <f>IF(Assumptions!$L$25=4,VLOOKUP($A135,'Henwood Reference'!$E$9:$R$320,11),(VLOOKUP($A135,PriceTableWeekend,6,0)+IF(BasisNumber&lt;&gt;1,VLOOKUP($A135,BasisTable,3,0),0)+O$1)/(1-O$2))</f>
        <v>24.035156777920623</v>
      </c>
      <c r="P135" s="154">
        <f>IF(Assumptions!$L$25=4,VLOOKUP($A135,'Henwood Reference'!$E$9:$R$320,11),(VLOOKUP($A135,PriceTableWeekend,7,0)+IF(BasisNumber&lt;&gt;1,VLOOKUP($A135,BasisTable,3,0),0)+P$1)/(1-P$2))</f>
        <v>24.035156777920623</v>
      </c>
      <c r="Q135" s="156">
        <f>IF(Assumptions!$L$25=4,VLOOKUP($A135,'Henwood Reference'!$E$9:$R$320,11),(VLOOKUP($A135,PriceTableWeekend,8,0)+IF(BasisNumber&lt;&gt;1,VLOOKUP($A135,BasisTable,3,0),0)+Q$1)/(1-Q$2))</f>
        <v>24.035156777920623</v>
      </c>
      <c r="R135" s="154">
        <f>IF(Assumptions!$L$25=4,VLOOKUP($A135,'Henwood Reference'!$E$9:$R$320,11),(VLOOKUP($A135,PriceTable,6,0)+IF(BasisNumber&lt;&gt;1,VLOOKUP($A135,BasisTable,3,0),0)+R$1)/(1-R$2))</f>
        <v>24.035156777920623</v>
      </c>
      <c r="S135" s="154">
        <f>IF(Assumptions!$L$25=4,VLOOKUP($A135,'Henwood Reference'!$E$9:$R$320,11),(VLOOKUP($A135,PriceTable,7,0)+IF(BasisNumber&lt;&gt;1,VLOOKUP($A135,BasisTable,3,0),0)+S$1)/(1-S$2))</f>
        <v>24.035156777920623</v>
      </c>
      <c r="T135" s="155">
        <f>IF(Assumptions!$L$25=4,VLOOKUP($A135,'Henwood Reference'!$E$9:$R$320,11),(VLOOKUP($A135,PriceTable,8,0)+IF(BasisNumber&lt;&gt;1,VLOOKUP($A135,BasisTable,3,0),0)+T$1)/(1-T$2))</f>
        <v>24.035156777920623</v>
      </c>
      <c r="U135" s="173">
        <f t="shared" si="298"/>
        <v>0.12</v>
      </c>
      <c r="V135" s="173">
        <f t="shared" si="299"/>
        <v>0.13</v>
      </c>
      <c r="W135" s="174">
        <f t="shared" si="300"/>
        <v>0.14000000000000001</v>
      </c>
      <c r="X135" s="173">
        <f t="shared" si="301"/>
        <v>0.12</v>
      </c>
      <c r="Y135" s="173">
        <f t="shared" si="302"/>
        <v>0.13</v>
      </c>
      <c r="Z135" s="174">
        <f t="shared" si="303"/>
        <v>0.14000000000000001</v>
      </c>
      <c r="AA135" s="173">
        <f t="shared" si="304"/>
        <v>0.09</v>
      </c>
      <c r="AB135" s="173">
        <f t="shared" si="305"/>
        <v>0.11</v>
      </c>
      <c r="AC135" s="174">
        <f t="shared" si="306"/>
        <v>0.13</v>
      </c>
      <c r="AD135" s="173">
        <f t="shared" si="307"/>
        <v>0.09</v>
      </c>
      <c r="AE135" s="173">
        <f t="shared" si="308"/>
        <v>0.11</v>
      </c>
      <c r="AF135" s="174">
        <f t="shared" si="309"/>
        <v>0.13</v>
      </c>
      <c r="AG135" s="173">
        <f t="shared" si="310"/>
        <v>-0.1</v>
      </c>
      <c r="AH135" s="173">
        <f t="shared" si="311"/>
        <v>0.65</v>
      </c>
      <c r="AI135" s="174">
        <f t="shared" si="312"/>
        <v>0.1</v>
      </c>
      <c r="AJ135" s="173">
        <f t="shared" si="313"/>
        <v>-0.1</v>
      </c>
      <c r="AK135" s="173">
        <f t="shared" si="314"/>
        <v>0.65</v>
      </c>
      <c r="AL135" s="174">
        <f t="shared" si="315"/>
        <v>0.1</v>
      </c>
      <c r="AM135" s="173">
        <f t="shared" si="316"/>
        <v>-0.01</v>
      </c>
      <c r="AN135" s="173">
        <f t="shared" si="317"/>
        <v>0.16</v>
      </c>
      <c r="AO135" s="174">
        <f t="shared" si="318"/>
        <v>0.01</v>
      </c>
      <c r="AP135" s="173">
        <f t="shared" si="319"/>
        <v>-0.01</v>
      </c>
      <c r="AQ135" s="173">
        <f t="shared" si="320"/>
        <v>0.16</v>
      </c>
      <c r="AR135" s="175">
        <f t="shared" si="321"/>
        <v>0.01</v>
      </c>
      <c r="AS135" s="521">
        <f t="shared" si="405"/>
        <v>0.5</v>
      </c>
      <c r="AT135" s="349">
        <f t="shared" si="403"/>
        <v>23</v>
      </c>
      <c r="AU135" s="159">
        <f t="shared" si="240"/>
        <v>4</v>
      </c>
      <c r="AV135" s="159">
        <f t="shared" si="241"/>
        <v>4</v>
      </c>
      <c r="AW135" s="159">
        <f t="shared" si="406"/>
        <v>0</v>
      </c>
      <c r="AX135" s="15">
        <f t="shared" si="404"/>
        <v>31</v>
      </c>
      <c r="AY135" s="607">
        <f>IF(E135="",0,MIN((1-(1-VLOOKUP(B135,MAIN!$AA$7:$AM$28,C135+1))*(1-VLOOKUP(B135,MAIN!$AA$33:$AM$54,C135+1))),1))</f>
        <v>3.0000000000000027E-2</v>
      </c>
      <c r="AZ135" s="337">
        <v>53544</v>
      </c>
      <c r="BA135" s="509">
        <v>9312</v>
      </c>
      <c r="BB135" s="509">
        <v>9312</v>
      </c>
      <c r="BC135" s="511">
        <v>36084</v>
      </c>
      <c r="BD135" s="153">
        <v>0.96999999638646839</v>
      </c>
      <c r="BE135" s="474">
        <v>0.96999999638646839</v>
      </c>
      <c r="BF135" s="474">
        <v>0.96999999638646839</v>
      </c>
      <c r="BG135" s="515">
        <v>0.97000000722706314</v>
      </c>
      <c r="BH135" s="262">
        <v>214176</v>
      </c>
      <c r="BI135" s="509">
        <v>37248</v>
      </c>
      <c r="BJ135" s="509">
        <v>37248</v>
      </c>
      <c r="BK135" s="511">
        <v>144336</v>
      </c>
      <c r="BL135" s="153">
        <v>0.96999999638646839</v>
      </c>
      <c r="BM135" s="474">
        <v>0.96999999638646839</v>
      </c>
      <c r="BN135" s="474">
        <v>0.96999999638646839</v>
      </c>
      <c r="BO135" s="474">
        <v>0.97000000722706314</v>
      </c>
      <c r="BP135" s="261">
        <f t="shared" si="324"/>
        <v>72168</v>
      </c>
      <c r="BQ135" s="578">
        <f t="shared" si="325"/>
        <v>108252</v>
      </c>
      <c r="BR135" s="259">
        <f t="shared" si="326"/>
        <v>288672</v>
      </c>
      <c r="BS135" s="578">
        <f t="shared" si="327"/>
        <v>433008</v>
      </c>
      <c r="BT135" s="216">
        <f t="shared" si="328"/>
        <v>9.8781656399726216</v>
      </c>
      <c r="BU135" s="218">
        <f t="shared" si="243"/>
        <v>41.912806885984359</v>
      </c>
      <c r="BV135" s="216">
        <f t="shared" si="244"/>
        <v>41.912806885984359</v>
      </c>
      <c r="BW135" s="216">
        <f t="shared" si="245"/>
        <v>24.035156688382685</v>
      </c>
      <c r="BX135" s="216">
        <f t="shared" si="329"/>
        <v>24.035156956996495</v>
      </c>
      <c r="BY135" s="216">
        <f t="shared" si="246"/>
        <v>39.606013312100274</v>
      </c>
      <c r="BZ135" s="216">
        <f t="shared" si="247"/>
        <v>34.415727860399016</v>
      </c>
      <c r="CA135" s="264">
        <f t="shared" si="248"/>
        <v>41.912806885984359</v>
      </c>
      <c r="CB135" s="216">
        <f t="shared" si="249"/>
        <v>41.912806885984359</v>
      </c>
      <c r="CC135" s="216">
        <f t="shared" si="250"/>
        <v>24.035156688382685</v>
      </c>
      <c r="CD135" s="216">
        <f t="shared" si="330"/>
        <v>24.035156956996495</v>
      </c>
      <c r="CE135" s="216">
        <f t="shared" si="251"/>
        <v>39.606013312100274</v>
      </c>
      <c r="CF135" s="571">
        <f t="shared" si="252"/>
        <v>34.415727860399016</v>
      </c>
      <c r="CG135" s="573">
        <f t="shared" si="253"/>
        <v>0.13</v>
      </c>
      <c r="CH135" s="219">
        <f t="shared" si="254"/>
        <v>0.13</v>
      </c>
      <c r="CI135" s="219">
        <f t="shared" si="255"/>
        <v>0.11</v>
      </c>
      <c r="CJ135" s="219">
        <f t="shared" si="256"/>
        <v>0.12845212140098389</v>
      </c>
      <c r="CK135" s="219">
        <f t="shared" si="257"/>
        <v>0.12845212140098389</v>
      </c>
      <c r="CL135" s="219">
        <f t="shared" si="258"/>
        <v>0.11</v>
      </c>
      <c r="CM135" s="219">
        <f t="shared" si="259"/>
        <v>0.11396702631882069</v>
      </c>
      <c r="CN135" s="569">
        <f t="shared" si="260"/>
        <v>0.11396702631882069</v>
      </c>
      <c r="CO135" s="264">
        <f t="shared" si="343"/>
        <v>19.928109909343565</v>
      </c>
      <c r="CP135" s="216">
        <f t="shared" si="331"/>
        <v>19.928109909343565</v>
      </c>
      <c r="CQ135" s="216">
        <f t="shared" ca="1" si="361"/>
        <v>19.928109909343565</v>
      </c>
      <c r="CR135" s="216">
        <f t="shared" ca="1" si="362"/>
        <v>19.928109909343565</v>
      </c>
      <c r="CS135" s="1626">
        <f t="shared" ca="1" si="363"/>
        <v>19.928109909343561</v>
      </c>
      <c r="CT135" s="216">
        <f t="shared" si="332"/>
        <v>19.928109909343565</v>
      </c>
      <c r="CU135" s="575">
        <f t="shared" si="261"/>
        <v>0.158</v>
      </c>
      <c r="CV135" s="154">
        <f t="shared" si="262"/>
        <v>0.5</v>
      </c>
      <c r="CW135" s="216">
        <f>IF(OR($BQ135,$BS135),SpreadOptPowerMargin,0)*((1+Assumptions!$C$26)^($B135-YEAR(Assumptions!$C$17)))</f>
        <v>2.0676342017687039</v>
      </c>
      <c r="CX135" s="216">
        <f>IF(OR($BQ135,$BS135),SpreadOptPowerMargin,0)*((1+Assumptions!$C$26)^($B135-YEAR(Assumptions!$C$17)))</f>
        <v>2.0676342017687039</v>
      </c>
      <c r="CY135" s="216">
        <f>IF(OR($BQ135,$BS135),SpreadOptPowerMargin,0)*((1+Assumptions!$C$26)^($B135-YEAR(Assumptions!$C$17)))</f>
        <v>2.0676342017687039</v>
      </c>
      <c r="CZ135" s="216">
        <f>IF(OR($BQ135,$BS135),SpreadOptPowerMargin,0)*((1+Assumptions!$C$26)^($B135-YEAR(Assumptions!$C$17)))</f>
        <v>2.0676342017687039</v>
      </c>
      <c r="DA135" s="440">
        <f t="shared" si="263"/>
        <v>2.0676342017687039</v>
      </c>
      <c r="DB135" s="479">
        <f t="shared" si="264"/>
        <v>0.13</v>
      </c>
      <c r="DC135" s="479">
        <f t="shared" si="265"/>
        <v>0.13</v>
      </c>
      <c r="DD135" s="479">
        <f t="shared" si="266"/>
        <v>0.11</v>
      </c>
      <c r="DE135" s="479">
        <f t="shared" si="267"/>
        <v>0.11</v>
      </c>
      <c r="DF135" s="479">
        <f t="shared" si="268"/>
        <v>0.11396702631882069</v>
      </c>
      <c r="DG135" s="574">
        <f t="shared" si="269"/>
        <v>0.11396702631882069</v>
      </c>
      <c r="DH135" s="216">
        <f t="shared" si="270"/>
        <v>20.313726508164034</v>
      </c>
      <c r="DI135" s="216">
        <f t="shared" si="271"/>
        <v>20.313726508164034</v>
      </c>
      <c r="DJ135" s="216">
        <f t="shared" ca="1" si="364"/>
        <v>4.8309011462121267</v>
      </c>
      <c r="DK135" s="216">
        <f t="shared" ca="1" si="365"/>
        <v>4.8309013254971589</v>
      </c>
      <c r="DL135" s="216">
        <f t="shared" ca="1" si="366"/>
        <v>13.231368549091087</v>
      </c>
      <c r="DM135" s="216"/>
      <c r="DN135" s="216"/>
      <c r="DO135" s="216"/>
      <c r="DP135" s="216"/>
      <c r="DQ135" s="216"/>
      <c r="DR135" s="216"/>
      <c r="DS135" s="216"/>
      <c r="DT135" s="216"/>
      <c r="DU135" s="216"/>
      <c r="DV135" s="216"/>
      <c r="DW135" s="1371">
        <f t="shared" si="272"/>
        <v>4.8309011462121267</v>
      </c>
      <c r="DX135" s="216">
        <f t="shared" si="273"/>
        <v>4.8309013254971589</v>
      </c>
      <c r="DY135" s="440">
        <f t="shared" si="274"/>
        <v>13.820928835494268</v>
      </c>
      <c r="DZ135" s="180">
        <f t="shared" si="275"/>
        <v>1087678.1721531351</v>
      </c>
      <c r="EA135" s="180">
        <f t="shared" si="276"/>
        <v>189161.42124402348</v>
      </c>
      <c r="EB135" s="180">
        <f t="shared" ca="1" si="367"/>
        <v>44985.351473527327</v>
      </c>
      <c r="EC135" s="180">
        <f t="shared" ca="1" si="368"/>
        <v>174318.24342923949</v>
      </c>
      <c r="ED135" s="180">
        <f t="shared" ca="1" si="369"/>
        <v>1432322.1081762083</v>
      </c>
      <c r="EE135" s="581">
        <f t="shared" si="277"/>
        <v>1066439.2092177512</v>
      </c>
      <c r="EF135" s="554">
        <f t="shared" si="278"/>
        <v>185467.68855960891</v>
      </c>
      <c r="EG135" s="554">
        <f t="shared" ca="1" si="370"/>
        <v>18991.009919542106</v>
      </c>
      <c r="EH135" s="554">
        <f t="shared" ca="1" si="371"/>
        <v>73590.173130886382</v>
      </c>
      <c r="EI135" s="561">
        <f t="shared" ca="1" si="279"/>
        <v>1344488.0808277894</v>
      </c>
      <c r="EJ135" s="581">
        <f t="shared" si="333"/>
        <v>21238.962935383897</v>
      </c>
      <c r="EK135" s="554">
        <f t="shared" si="334"/>
        <v>3693.7326844145718</v>
      </c>
      <c r="EL135" s="554">
        <f t="shared" ca="1" si="372"/>
        <v>25994.341553985221</v>
      </c>
      <c r="EM135" s="554">
        <f t="shared" ca="1" si="373"/>
        <v>100728.07029835311</v>
      </c>
      <c r="EN135" s="561">
        <f t="shared" ca="1" si="374"/>
        <v>87834.027348418953</v>
      </c>
      <c r="EO135" s="180">
        <f t="shared" si="280"/>
        <v>4350712.6886125403</v>
      </c>
      <c r="EP135" s="180">
        <f t="shared" si="281"/>
        <v>756645.68497609394</v>
      </c>
      <c r="EQ135" s="180">
        <f t="shared" si="282"/>
        <v>179941.40589410931</v>
      </c>
      <c r="ER135" s="180">
        <f t="shared" si="283"/>
        <v>697272.97371695796</v>
      </c>
      <c r="ES135" s="180">
        <f t="shared" si="284"/>
        <v>5984572.7531997021</v>
      </c>
      <c r="ET135" s="1482">
        <f t="shared" ca="1" si="375"/>
        <v>4265756.8368710047</v>
      </c>
      <c r="EU135" s="180">
        <f t="shared" ca="1" si="376"/>
        <v>741870.75423843565</v>
      </c>
      <c r="EV135" s="180">
        <f t="shared" ca="1" si="377"/>
        <v>75964.039678168425</v>
      </c>
      <c r="EW135" s="180">
        <f t="shared" ca="1" si="378"/>
        <v>294360.69252354553</v>
      </c>
      <c r="EX135" s="555">
        <f t="shared" ca="1" si="351"/>
        <v>5377952.3233111547</v>
      </c>
      <c r="EY135" s="180">
        <f t="shared" ca="1" si="379"/>
        <v>84955.851741535589</v>
      </c>
      <c r="EZ135" s="180">
        <f t="shared" ca="1" si="380"/>
        <v>14774.930737658287</v>
      </c>
      <c r="FA135" s="180">
        <f t="shared" ca="1" si="381"/>
        <v>103977.36621594089</v>
      </c>
      <c r="FB135" s="180">
        <f t="shared" ca="1" si="382"/>
        <v>402912.28119341243</v>
      </c>
      <c r="FC135" s="180">
        <f t="shared" ca="1" si="383"/>
        <v>606620.4298885474</v>
      </c>
      <c r="FD135" s="262">
        <f>IF(AX135,IF(VLOOKUP(C135,MAIN!$L$17:$M$28,2)="Yes",VLOOKUP(CALC!B135,MAIN!$H$17:$I$20,2),0),0)</f>
        <v>0</v>
      </c>
      <c r="FE135" s="623">
        <f t="shared" si="285"/>
        <v>0</v>
      </c>
      <c r="FF135" s="535">
        <f t="shared" si="286"/>
        <v>0</v>
      </c>
      <c r="FG135" s="535">
        <f t="shared" si="287"/>
        <v>0</v>
      </c>
      <c r="FH135" s="624">
        <f t="shared" si="288"/>
        <v>0</v>
      </c>
      <c r="FI135" s="632">
        <f>IF(AX135,VLOOKUP(CALC!B135,MAIN!$H$17:$K$20,4),0)</f>
        <v>0</v>
      </c>
      <c r="FJ135" s="535">
        <f t="shared" si="289"/>
        <v>0</v>
      </c>
      <c r="FK135" s="648">
        <f t="shared" si="335"/>
        <v>0</v>
      </c>
      <c r="FL135" s="530">
        <f t="shared" ca="1" si="384"/>
        <v>0</v>
      </c>
      <c r="FM135" s="530">
        <f t="shared" ca="1" si="385"/>
        <v>0</v>
      </c>
      <c r="FN135" s="530">
        <f t="shared" ca="1" si="386"/>
        <v>0</v>
      </c>
      <c r="FO135" s="622">
        <f t="shared" ca="1" si="387"/>
        <v>0</v>
      </c>
      <c r="FP135" s="530">
        <f t="shared" ca="1" si="388"/>
        <v>0</v>
      </c>
      <c r="FQ135" s="530">
        <f t="shared" ca="1" si="389"/>
        <v>0</v>
      </c>
      <c r="FR135" s="530">
        <f t="shared" ca="1" si="390"/>
        <v>0</v>
      </c>
      <c r="FS135" s="625">
        <f t="shared" ca="1" si="391"/>
        <v>0</v>
      </c>
      <c r="FT135" s="640">
        <f ca="1">IF(AND(Assumptions!$H$71="Yes",A135&gt;=Assumptions!$H$72,A135&lt;=Assumptions!$H$73),0,IF(AND($A135&gt;=Assumptions!$C$17,$A135&lt;=Assumptions!$C$18),MAX(AZ135*(1+VLOOKUP($C135,WeatherCapacityAdjustment,2))-FL135,0),0))</f>
        <v>53544</v>
      </c>
      <c r="FU135" s="530">
        <f ca="1">IF(AND(Assumptions!$H$71="Yes",A135&gt;=Assumptions!$H$72,A135&lt;=Assumptions!$H$73),0,IF(AND($A135&gt;=Assumptions!$C$17,$A135&lt;=Assumptions!$C$18),MAX(BA135*(1+VLOOKUP($C135,WeatherCapacityAdjustment,2))-FM135,0),0))</f>
        <v>9312</v>
      </c>
      <c r="FV135" s="530">
        <f ca="1">IF(AND(Assumptions!$H$71="Yes",A135&gt;=Assumptions!$H$72,A135&lt;=Assumptions!$H$73),0,IF(AND($A135&gt;=Assumptions!$C$17,$A135&lt;=Assumptions!$C$18),MAX(BB135*(1+VLOOKUP($C135,WeatherCapacityAdjustment,2))-FN135,0),0))</f>
        <v>9312</v>
      </c>
      <c r="FW135" s="622">
        <f ca="1">IF(AND(Assumptions!$H$71="Yes",A135&gt;=Assumptions!$H$72,A135&lt;=Assumptions!$H$73),0,IF(AND($A135&gt;=Assumptions!$C$17,$A135&lt;=Assumptions!$C$18),MAX(BC135*(1+VLOOKUP($C135,WeatherCapacityAdjustment,3))-FO135,0),0))</f>
        <v>36084</v>
      </c>
      <c r="FX135" s="621">
        <f ca="1">IF(AND(Assumptions!$H$71="Yes",A135&gt;=Assumptions!$H$72,A135&lt;=Assumptions!$H$73),0,IF(ET135&gt;0,MAX(BH135*(1+VLOOKUP($C135,WeatherCapacityAdjustment,2))-FP135,0),0))</f>
        <v>214176</v>
      </c>
      <c r="FY135" s="530">
        <f ca="1">IF(AND(Assumptions!$H$71="Yes",A135&gt;=Assumptions!$H$72,A135&lt;=Assumptions!$H$73),0,IF(EU135&gt;0,MAX(BI135*(1+VLOOKUP($C135,WeatherCapacityAdjustment,3))-FQ135,0),0))</f>
        <v>37248</v>
      </c>
      <c r="FZ135" s="530">
        <f ca="1">IF(AND(Assumptions!$H$71="Yes",A135&gt;=Assumptions!$H$72,A135&lt;=Assumptions!$H$73),0,IF(EV135&gt;0,MAX(BJ135*(1+VLOOKUP($C135,WeatherCapacityAdjustment,2))-FR135,0),0))</f>
        <v>37248</v>
      </c>
      <c r="GA135" s="622">
        <f ca="1">IF(AND(Assumptions!$H$71="Yes",A135&gt;=Assumptions!$H$72,A135&lt;=Assumptions!$H$73),0,IF(EW135&gt;0,MAX(BK135*(1+VLOOKUP($C135,WeatherCapacityAdjustment,2))-FS135,0),0))</f>
        <v>144336</v>
      </c>
      <c r="GB135" s="530">
        <f t="shared" ca="1" si="290"/>
        <v>541260</v>
      </c>
      <c r="GC135" s="545">
        <f t="shared" ca="1" si="291"/>
        <v>34.415727860399016</v>
      </c>
      <c r="GD135" s="530">
        <f t="shared" ca="1" si="392"/>
        <v>18627856.861719571</v>
      </c>
      <c r="GE135" s="1485">
        <f t="shared" ca="1" si="393"/>
        <v>765053.68967999995</v>
      </c>
      <c r="GF135" s="1776">
        <f t="shared" ca="1" si="394"/>
        <v>3060214.7587199998</v>
      </c>
      <c r="GG135" s="545">
        <f t="shared" si="359"/>
        <v>2.8197468792139002</v>
      </c>
      <c r="GH135" s="622">
        <f t="shared" ca="1" si="360"/>
        <v>10786288.769531297</v>
      </c>
      <c r="GI135" s="621">
        <f t="shared" ca="1" si="336"/>
        <v>541260</v>
      </c>
      <c r="GJ135" s="638">
        <f t="shared" si="292"/>
        <v>2.0676342017687039</v>
      </c>
      <c r="GK135" s="625">
        <f t="shared" ca="1" si="342"/>
        <v>1119127.6880493287</v>
      </c>
      <c r="GL135" s="640">
        <f t="shared" ca="1" si="395"/>
        <v>0</v>
      </c>
      <c r="GM135" s="530">
        <f t="shared" ca="1" si="396"/>
        <v>0</v>
      </c>
      <c r="GN135" s="530">
        <f t="shared" ca="1" si="397"/>
        <v>0</v>
      </c>
      <c r="GO135" s="622">
        <f t="shared" ca="1" si="398"/>
        <v>0</v>
      </c>
      <c r="GP135" s="530">
        <f t="shared" ca="1" si="293"/>
        <v>0</v>
      </c>
      <c r="GQ135" s="545">
        <f t="shared" ca="1" si="294"/>
        <v>0</v>
      </c>
      <c r="GR135" s="625">
        <f t="shared" ca="1" si="399"/>
        <v>0</v>
      </c>
      <c r="GS135" s="640">
        <f>IF($A135&gt;=BegDate,Assumptions!$C$56*24*($A136-$A135)*(1-VLOOKUP($B135,MAIN!$AA$7:$AM$28,$C135+1))*(1-VLOOKUP($B135,MAIN!$AA$33:$AM$54,$C135+1)),0)*80/168</f>
        <v>257742.85714285713</v>
      </c>
      <c r="GT135" s="1715">
        <f t="shared" si="337"/>
        <v>41.912807042121734</v>
      </c>
      <c r="GU135" s="1715">
        <f>IF($A135&gt;=BegDate,VLOOKUP($A135,GasTable,13)+Assumptions!$C$58,0)</f>
        <v>2.8197468792139002</v>
      </c>
      <c r="GV135" s="1715">
        <f>GU135*Assumptions!$C$57/1000</f>
        <v>20.443164874300777</v>
      </c>
      <c r="GW135" s="625">
        <f>IF(Assumptions!$C$60="Hourly",MAX(0,GS135*(GT135-GV135)),GS135*(GT135-GV135))</f>
        <v>5533646.9141689381</v>
      </c>
      <c r="GX135" s="640">
        <f>IF($A135&gt;=BegDate,Assumptions!$C$56*24*($A136-$A135)*(1-VLOOKUP($B135,MAIN!$AA$7:$AM$28,$C135+1))*(1-VLOOKUP($B135,MAIN!$AA$33:$AM$54,$C135+1)),0)*16/168</f>
        <v>51548.571428571428</v>
      </c>
      <c r="GY135" s="1715">
        <f t="shared" si="338"/>
        <v>41.912807042121734</v>
      </c>
      <c r="GZ135" s="1715">
        <f>IF($A135&gt;=BegDate,VLOOKUP($A135,GasTable,13)+Assumptions!$C$58,0)</f>
        <v>2.8197468792139002</v>
      </c>
      <c r="HA135" s="1715">
        <f>GZ135*Assumptions!$C$57/1000</f>
        <v>20.443164874300777</v>
      </c>
      <c r="HB135" s="625">
        <f>IF(Assumptions!$C$60="Hourly",MAX(0,GX135*(GY135-HA135)),GX135*(GY135-HA135))</f>
        <v>1106729.3828337877</v>
      </c>
      <c r="HC135" s="640">
        <f>IF($A135&gt;=BegDate,Assumptions!$C$56*24*($A136-$A135)*(1-VLOOKUP($B135,MAIN!$AA$7:$AM$28,$C135+1))*(1-VLOOKUP($B135,MAIN!$AA$33:$AM$54,$C135+1)),0)*16/168</f>
        <v>51548.571428571428</v>
      </c>
      <c r="HD135" s="1715">
        <f t="shared" si="339"/>
        <v>24.035156777920623</v>
      </c>
      <c r="HE135" s="1715">
        <f>IF($A135&gt;=BegDate,VLOOKUP($A135,GasTable,13)+Assumptions!$C$58,0)</f>
        <v>2.8197468792139002</v>
      </c>
      <c r="HF135" s="1715">
        <f>HE135*Assumptions!$C$57/1000</f>
        <v>20.443164874300777</v>
      </c>
      <c r="HG135" s="625">
        <f>IF(Assumptions!$C$60="Hourly",MAX(0,HC135*(HD135-HF135)),HC135*(HD135-HF135))</f>
        <v>185162.05121459789</v>
      </c>
      <c r="HH135" s="640">
        <f>IF($A135&gt;=BegDate,Assumptions!$C$56*24*($A136-$A135)*(1-VLOOKUP($B135,MAIN!$AA$7:$AM$28,$C135+1))*(1-VLOOKUP($B135,MAIN!$AA$33:$AM$54,$C135+1)),0)*56/168</f>
        <v>180420</v>
      </c>
      <c r="HI135" s="1715">
        <f t="shared" si="340"/>
        <v>24.035156777920623</v>
      </c>
      <c r="HJ135" s="1715">
        <f>IF($A135&gt;=BegDate,VLOOKUP($A135,GasTable,13)+Assumptions!$C$58,0)</f>
        <v>2.8197468792139002</v>
      </c>
      <c r="HK135" s="1715">
        <f>HJ135*Assumptions!$C$57/1000</f>
        <v>20.443164874300777</v>
      </c>
      <c r="HL135" s="625">
        <f>IF(Assumptions!$C$60="Hourly",MAX(0,HH135*(HI135-HK135)),HH135*(HI135-HK135))</f>
        <v>648067.1792510926</v>
      </c>
      <c r="HM135" s="640">
        <f>IF(AND(Assumptions!$H$71="Yes",A135&gt;=Assumptions!$H$72,A135&lt;=Assumptions!$H$73),Assumptions!$H$74*Assumptions!$C$9*1000,0)</f>
        <v>0</v>
      </c>
      <c r="HN135" s="530"/>
      <c r="HO135" s="545"/>
      <c r="HP135" s="545"/>
      <c r="HQ135" s="545"/>
      <c r="HR135" s="545"/>
      <c r="HS135" s="545"/>
      <c r="HT135" s="545"/>
      <c r="HU135" s="545"/>
      <c r="HV135" s="545"/>
      <c r="HW135" s="545"/>
      <c r="HX135" s="545"/>
      <c r="HY135" s="545"/>
      <c r="HZ135" s="545"/>
      <c r="IA135" s="545"/>
      <c r="IB135" s="545"/>
      <c r="IC135" s="545"/>
      <c r="ID135" s="545"/>
      <c r="IE135" s="545"/>
      <c r="IF135" s="545"/>
      <c r="IG135" s="545"/>
      <c r="IH135" s="545"/>
      <c r="II135" s="1464"/>
      <c r="IJ135" s="1463"/>
      <c r="IK135" s="1463"/>
    </row>
    <row r="136" spans="1:245">
      <c r="A136" s="177">
        <f t="shared" si="295"/>
        <v>40269</v>
      </c>
      <c r="B136" s="349">
        <f t="shared" si="296"/>
        <v>2010</v>
      </c>
      <c r="C136" s="15">
        <f t="shared" si="400"/>
        <v>4</v>
      </c>
      <c r="D136" s="612" t="str">
        <f t="shared" si="297"/>
        <v/>
      </c>
      <c r="E136" s="609">
        <f t="shared" si="401"/>
        <v>40269</v>
      </c>
      <c r="F136" s="614">
        <f t="shared" si="402"/>
        <v>40298</v>
      </c>
      <c r="G136" s="1349">
        <v>0</v>
      </c>
      <c r="H136" s="152">
        <f t="shared" si="341"/>
        <v>1</v>
      </c>
      <c r="I136" s="154">
        <f>IF(Assumptions!$L$25=4,VLOOKUP($A136,'Henwood Reference'!$E$9:$R$320,10),(VLOOKUP($A136,PriceTable,2,0)+IF(BasisNumber&lt;&gt;1,VLOOKUP($A136,BasisTable,2,0),0)+I$1)/(1-I$2))</f>
        <v>37.872450037049113</v>
      </c>
      <c r="J136" s="154">
        <f>IF(Assumptions!$L$25=4,VLOOKUP($A136,'Henwood Reference'!$E$9:$R$320,10),(VLOOKUP($A136,PriceTable,3,0)+IF(BasisNumber&lt;&gt;1,VLOOKUP($A136,BasisTable,2,0),0)+J$1)/(1-J$2))</f>
        <v>37.872450037049113</v>
      </c>
      <c r="K136" s="154">
        <f>IF(Assumptions!$L$25=4,VLOOKUP($A136,'Henwood Reference'!$E$9:$R$320,10),(VLOOKUP($A136,PriceTable,4,0)+IF(BasisNumber&lt;&gt;1,VLOOKUP($A136,BasisTable,2,0),0)+K$1)/(1-K$2))</f>
        <v>37.872450037049113</v>
      </c>
      <c r="L136" s="474">
        <f>IF(Assumptions!$L$25=4,VLOOKUP($A136,'Henwood Reference'!$E$9:$R$320,10),(VLOOKUP($A136,PriceTableWeekend,2,0)+IF(BasisNumber&lt;&gt;1,VLOOKUP($A136,BasisTable,2,0),0)+L$1)/(1-L$2))</f>
        <v>37.872450037049113</v>
      </c>
      <c r="M136" s="154">
        <f>IF(Assumptions!$L$25=4,VLOOKUP($A136,'Henwood Reference'!$E$9:$R$320,10),(VLOOKUP($A136,PriceTableWeekend,3,0)+IF(BasisNumber&lt;&gt;1,VLOOKUP($A136,BasisTable,2,0),0)+M$1)/(1-M$2))</f>
        <v>37.872450037049113</v>
      </c>
      <c r="N136" s="156">
        <f>IF(Assumptions!$L$25=4,VLOOKUP($A136,'Henwood Reference'!$E$9:$R$320,10),(VLOOKUP($A136,PriceTableWeekend,4,0)+IF(BasisNumber&lt;&gt;1,VLOOKUP($A136,BasisTable,2,0),0)+N$1)/(1-N$2))</f>
        <v>37.872450037049113</v>
      </c>
      <c r="O136" s="154">
        <f>IF(Assumptions!$L$25=4,VLOOKUP($A136,'Henwood Reference'!$E$9:$R$320,11),(VLOOKUP($A136,PriceTableWeekend,6,0)+IF(BasisNumber&lt;&gt;1,VLOOKUP($A136,BasisTable,3,0),0)+O$1)/(1-O$2))</f>
        <v>23.688474764874115</v>
      </c>
      <c r="P136" s="154">
        <f>IF(Assumptions!$L$25=4,VLOOKUP($A136,'Henwood Reference'!$E$9:$R$320,11),(VLOOKUP($A136,PriceTableWeekend,7,0)+IF(BasisNumber&lt;&gt;1,VLOOKUP($A136,BasisTable,3,0),0)+P$1)/(1-P$2))</f>
        <v>23.688474764874115</v>
      </c>
      <c r="Q136" s="156">
        <f>IF(Assumptions!$L$25=4,VLOOKUP($A136,'Henwood Reference'!$E$9:$R$320,11),(VLOOKUP($A136,PriceTableWeekend,8,0)+IF(BasisNumber&lt;&gt;1,VLOOKUP($A136,BasisTable,3,0),0)+Q$1)/(1-Q$2))</f>
        <v>23.688474764874115</v>
      </c>
      <c r="R136" s="154">
        <f>IF(Assumptions!$L$25=4,VLOOKUP($A136,'Henwood Reference'!$E$9:$R$320,11),(VLOOKUP($A136,PriceTable,6,0)+IF(BasisNumber&lt;&gt;1,VLOOKUP($A136,BasisTable,3,0),0)+R$1)/(1-R$2))</f>
        <v>23.688474764874115</v>
      </c>
      <c r="S136" s="154">
        <f>IF(Assumptions!$L$25=4,VLOOKUP($A136,'Henwood Reference'!$E$9:$R$320,11),(VLOOKUP($A136,PriceTable,7,0)+IF(BasisNumber&lt;&gt;1,VLOOKUP($A136,BasisTable,3,0),0)+S$1)/(1-S$2))</f>
        <v>23.688474764874115</v>
      </c>
      <c r="T136" s="155">
        <f>IF(Assumptions!$L$25=4,VLOOKUP($A136,'Henwood Reference'!$E$9:$R$320,11),(VLOOKUP($A136,PriceTable,8,0)+IF(BasisNumber&lt;&gt;1,VLOOKUP($A136,BasisTable,3,0),0)+T$1)/(1-T$2))</f>
        <v>23.688474764874115</v>
      </c>
      <c r="U136" s="173">
        <f t="shared" si="298"/>
        <v>0.12</v>
      </c>
      <c r="V136" s="173">
        <f t="shared" si="299"/>
        <v>0.13</v>
      </c>
      <c r="W136" s="174">
        <f t="shared" si="300"/>
        <v>0.14000000000000001</v>
      </c>
      <c r="X136" s="173">
        <f t="shared" si="301"/>
        <v>0.12</v>
      </c>
      <c r="Y136" s="173">
        <f t="shared" si="302"/>
        <v>0.13</v>
      </c>
      <c r="Z136" s="174">
        <f t="shared" si="303"/>
        <v>0.14000000000000001</v>
      </c>
      <c r="AA136" s="173">
        <f t="shared" si="304"/>
        <v>0.09</v>
      </c>
      <c r="AB136" s="173">
        <f t="shared" si="305"/>
        <v>0.11</v>
      </c>
      <c r="AC136" s="174">
        <f t="shared" si="306"/>
        <v>0.13</v>
      </c>
      <c r="AD136" s="173">
        <f t="shared" si="307"/>
        <v>0.09</v>
      </c>
      <c r="AE136" s="173">
        <f t="shared" si="308"/>
        <v>0.11</v>
      </c>
      <c r="AF136" s="174">
        <f t="shared" si="309"/>
        <v>0.13</v>
      </c>
      <c r="AG136" s="173">
        <f t="shared" si="310"/>
        <v>-0.1</v>
      </c>
      <c r="AH136" s="173">
        <f t="shared" si="311"/>
        <v>0.65</v>
      </c>
      <c r="AI136" s="174">
        <f t="shared" si="312"/>
        <v>0.1</v>
      </c>
      <c r="AJ136" s="173">
        <f t="shared" si="313"/>
        <v>-0.1</v>
      </c>
      <c r="AK136" s="173">
        <f t="shared" si="314"/>
        <v>0.65</v>
      </c>
      <c r="AL136" s="174">
        <f t="shared" si="315"/>
        <v>0.1</v>
      </c>
      <c r="AM136" s="173">
        <f t="shared" si="316"/>
        <v>-0.01</v>
      </c>
      <c r="AN136" s="173">
        <f t="shared" si="317"/>
        <v>0.16</v>
      </c>
      <c r="AO136" s="174">
        <f t="shared" si="318"/>
        <v>0.01</v>
      </c>
      <c r="AP136" s="173">
        <f t="shared" si="319"/>
        <v>-0.01</v>
      </c>
      <c r="AQ136" s="173">
        <f t="shared" si="320"/>
        <v>0.16</v>
      </c>
      <c r="AR136" s="175">
        <f t="shared" si="321"/>
        <v>0.01</v>
      </c>
      <c r="AS136" s="521">
        <f t="shared" si="405"/>
        <v>0.5</v>
      </c>
      <c r="AT136" s="349">
        <f t="shared" si="403"/>
        <v>22</v>
      </c>
      <c r="AU136" s="159">
        <f t="shared" si="240"/>
        <v>4</v>
      </c>
      <c r="AV136" s="159">
        <f t="shared" si="241"/>
        <v>4</v>
      </c>
      <c r="AW136" s="159">
        <f t="shared" si="406"/>
        <v>0</v>
      </c>
      <c r="AX136" s="15">
        <f t="shared" si="404"/>
        <v>30</v>
      </c>
      <c r="AY136" s="607">
        <f>IF(E136="",0,MIN((1-(1-VLOOKUP(B136,MAIN!$AA$7:$AM$28,C136+1))*(1-VLOOKUP(B136,MAIN!$AA$33:$AM$54,C136+1))),1))</f>
        <v>0.127</v>
      </c>
      <c r="AZ136" s="337">
        <v>46094.400000000001</v>
      </c>
      <c r="BA136" s="509">
        <v>8380.7999999999993</v>
      </c>
      <c r="BB136" s="509">
        <v>8380.7999999999993</v>
      </c>
      <c r="BC136" s="511">
        <v>31428</v>
      </c>
      <c r="BD136" s="153">
        <v>0.873</v>
      </c>
      <c r="BE136" s="474">
        <v>0.873</v>
      </c>
      <c r="BF136" s="474">
        <v>0.873</v>
      </c>
      <c r="BG136" s="515">
        <v>0.87300000650435683</v>
      </c>
      <c r="BH136" s="262">
        <v>184377.60000000001</v>
      </c>
      <c r="BI136" s="509">
        <v>33523.199999999997</v>
      </c>
      <c r="BJ136" s="509">
        <v>33523.199999999997</v>
      </c>
      <c r="BK136" s="511">
        <v>125712</v>
      </c>
      <c r="BL136" s="153">
        <v>0.873</v>
      </c>
      <c r="BM136" s="474">
        <v>0.873</v>
      </c>
      <c r="BN136" s="474">
        <v>0.873</v>
      </c>
      <c r="BO136" s="474">
        <v>0.87300000650435683</v>
      </c>
      <c r="BP136" s="261">
        <f t="shared" si="324"/>
        <v>62856</v>
      </c>
      <c r="BQ136" s="578">
        <f t="shared" si="325"/>
        <v>94284</v>
      </c>
      <c r="BR136" s="259">
        <f t="shared" si="326"/>
        <v>251424</v>
      </c>
      <c r="BS136" s="578">
        <f t="shared" si="327"/>
        <v>377136</v>
      </c>
      <c r="BT136" s="216">
        <f t="shared" si="328"/>
        <v>9.9630390143737166</v>
      </c>
      <c r="BU136" s="218">
        <f t="shared" si="243"/>
        <v>37.872450037049113</v>
      </c>
      <c r="BV136" s="216">
        <f t="shared" si="244"/>
        <v>37.872450037049113</v>
      </c>
      <c r="BW136" s="216">
        <f t="shared" si="245"/>
        <v>23.688474764874115</v>
      </c>
      <c r="BX136" s="216">
        <f t="shared" si="329"/>
        <v>23.688474941367005</v>
      </c>
      <c r="BY136" s="216">
        <f t="shared" si="246"/>
        <v>35.981253334092443</v>
      </c>
      <c r="BZ136" s="216">
        <f t="shared" si="247"/>
        <v>31.883660536517297</v>
      </c>
      <c r="CA136" s="264">
        <f t="shared" si="248"/>
        <v>37.872450037049113</v>
      </c>
      <c r="CB136" s="216">
        <f t="shared" si="249"/>
        <v>37.872450037049113</v>
      </c>
      <c r="CC136" s="216">
        <f t="shared" si="250"/>
        <v>23.688474764874115</v>
      </c>
      <c r="CD136" s="216">
        <f t="shared" si="330"/>
        <v>23.688474941367005</v>
      </c>
      <c r="CE136" s="216">
        <f t="shared" si="251"/>
        <v>35.981253334092443</v>
      </c>
      <c r="CF136" s="571">
        <f t="shared" si="252"/>
        <v>31.883660536517297</v>
      </c>
      <c r="CG136" s="573">
        <f t="shared" si="253"/>
        <v>0.13</v>
      </c>
      <c r="CH136" s="219">
        <f t="shared" si="254"/>
        <v>0.13</v>
      </c>
      <c r="CI136" s="219">
        <f t="shared" si="255"/>
        <v>0.11</v>
      </c>
      <c r="CJ136" s="219">
        <f t="shared" si="256"/>
        <v>0.12826472723587326</v>
      </c>
      <c r="CK136" s="219">
        <f t="shared" si="257"/>
        <v>0.12826472723587326</v>
      </c>
      <c r="CL136" s="219">
        <f t="shared" si="258"/>
        <v>0.11</v>
      </c>
      <c r="CM136" s="219">
        <f t="shared" si="259"/>
        <v>0.11305494499512804</v>
      </c>
      <c r="CN136" s="569">
        <f t="shared" si="260"/>
        <v>0.11305494499512804</v>
      </c>
      <c r="CO136" s="264">
        <f t="shared" si="343"/>
        <v>19.305818856496717</v>
      </c>
      <c r="CP136" s="216">
        <f t="shared" si="331"/>
        <v>19.305818856496717</v>
      </c>
      <c r="CQ136" s="216">
        <f t="shared" ca="1" si="361"/>
        <v>19.305818856496717</v>
      </c>
      <c r="CR136" s="216">
        <f t="shared" ca="1" si="362"/>
        <v>19.305818856496717</v>
      </c>
      <c r="CS136" s="1626">
        <f t="shared" ca="1" si="363"/>
        <v>19.305818856496717</v>
      </c>
      <c r="CT136" s="216">
        <f t="shared" si="332"/>
        <v>19.305818856496717</v>
      </c>
      <c r="CU136" s="575">
        <f t="shared" si="261"/>
        <v>0.158</v>
      </c>
      <c r="CV136" s="154">
        <f t="shared" si="262"/>
        <v>0.5</v>
      </c>
      <c r="CW136" s="216">
        <f>IF(OR($BQ136,$BS136),SpreadOptPowerMargin,0)*((1+Assumptions!$C$26)^($B136-YEAR(Assumptions!$C$17)))</f>
        <v>2.0676342017687039</v>
      </c>
      <c r="CX136" s="216">
        <f>IF(OR($BQ136,$BS136),SpreadOptPowerMargin,0)*((1+Assumptions!$C$26)^($B136-YEAR(Assumptions!$C$17)))</f>
        <v>2.0676342017687039</v>
      </c>
      <c r="CY136" s="216">
        <f>IF(OR($BQ136,$BS136),SpreadOptPowerMargin,0)*((1+Assumptions!$C$26)^($B136-YEAR(Assumptions!$C$17)))</f>
        <v>2.0676342017687039</v>
      </c>
      <c r="CZ136" s="216">
        <f>IF(OR($BQ136,$BS136),SpreadOptPowerMargin,0)*((1+Assumptions!$C$26)^($B136-YEAR(Assumptions!$C$17)))</f>
        <v>2.0676342017687039</v>
      </c>
      <c r="DA136" s="440">
        <f t="shared" si="263"/>
        <v>2.0676342017687039</v>
      </c>
      <c r="DB136" s="479">
        <f t="shared" si="264"/>
        <v>0.13</v>
      </c>
      <c r="DC136" s="479">
        <f t="shared" si="265"/>
        <v>0.13</v>
      </c>
      <c r="DD136" s="479">
        <f t="shared" si="266"/>
        <v>0.11</v>
      </c>
      <c r="DE136" s="479">
        <f t="shared" si="267"/>
        <v>0.11</v>
      </c>
      <c r="DF136" s="479">
        <f t="shared" si="268"/>
        <v>0.11305494499512804</v>
      </c>
      <c r="DG136" s="574">
        <f t="shared" si="269"/>
        <v>0.11305494499512804</v>
      </c>
      <c r="DH136" s="216">
        <f t="shared" si="270"/>
        <v>17.039359051851402</v>
      </c>
      <c r="DI136" s="216">
        <f t="shared" si="271"/>
        <v>17.039359051851402</v>
      </c>
      <c r="DJ136" s="216">
        <f t="shared" ca="1" si="364"/>
        <v>4.9259648171322601</v>
      </c>
      <c r="DK136" s="216">
        <f t="shared" ca="1" si="365"/>
        <v>4.9259649371474854</v>
      </c>
      <c r="DL136" s="216">
        <f t="shared" ca="1" si="366"/>
        <v>11.467804712471452</v>
      </c>
      <c r="DM136" s="216"/>
      <c r="DN136" s="216"/>
      <c r="DO136" s="216"/>
      <c r="DP136" s="216"/>
      <c r="DQ136" s="216"/>
      <c r="DR136" s="216"/>
      <c r="DS136" s="216"/>
      <c r="DT136" s="216"/>
      <c r="DU136" s="216"/>
      <c r="DV136" s="216"/>
      <c r="DW136" s="1371">
        <f t="shared" si="272"/>
        <v>4.9259648171322601</v>
      </c>
      <c r="DX136" s="216">
        <f t="shared" si="273"/>
        <v>4.9259649371474854</v>
      </c>
      <c r="DY136" s="440">
        <f t="shared" si="274"/>
        <v>11.924814859419508</v>
      </c>
      <c r="DZ136" s="180">
        <f t="shared" si="275"/>
        <v>785419.03187965928</v>
      </c>
      <c r="EA136" s="180">
        <f t="shared" si="276"/>
        <v>142803.46034175623</v>
      </c>
      <c r="EB136" s="180">
        <f t="shared" ca="1" si="367"/>
        <v>41283.525939422041</v>
      </c>
      <c r="EC136" s="180">
        <f t="shared" ca="1" si="368"/>
        <v>154813.22604467117</v>
      </c>
      <c r="ED136" s="180">
        <f t="shared" ca="1" si="369"/>
        <v>1081230.4995106584</v>
      </c>
      <c r="EE136" s="581">
        <f t="shared" si="277"/>
        <v>760511.36633884697</v>
      </c>
      <c r="EF136" s="554">
        <f t="shared" si="278"/>
        <v>138274.79387979035</v>
      </c>
      <c r="EG136" s="554">
        <f t="shared" ca="1" si="370"/>
        <v>19401.733918746133</v>
      </c>
      <c r="EH136" s="554">
        <f t="shared" ca="1" si="371"/>
        <v>72756.507742116548</v>
      </c>
      <c r="EI136" s="561">
        <f t="shared" ca="1" si="279"/>
        <v>990944.40187949978</v>
      </c>
      <c r="EJ136" s="581">
        <f t="shared" si="333"/>
        <v>24907.665540812304</v>
      </c>
      <c r="EK136" s="554">
        <f t="shared" si="334"/>
        <v>4528.6664619658841</v>
      </c>
      <c r="EL136" s="554">
        <f t="shared" ca="1" si="372"/>
        <v>21881.792020675908</v>
      </c>
      <c r="EM136" s="554">
        <f t="shared" ca="1" si="373"/>
        <v>82056.718302554626</v>
      </c>
      <c r="EN136" s="561">
        <f t="shared" ca="1" si="374"/>
        <v>90286.097631158656</v>
      </c>
      <c r="EO136" s="180">
        <f t="shared" si="280"/>
        <v>3141676.1275186371</v>
      </c>
      <c r="EP136" s="180">
        <f t="shared" si="281"/>
        <v>571213.84136702493</v>
      </c>
      <c r="EQ136" s="180">
        <f t="shared" si="282"/>
        <v>165134.10375768816</v>
      </c>
      <c r="ER136" s="180">
        <f t="shared" si="283"/>
        <v>619252.90417868469</v>
      </c>
      <c r="ES136" s="180">
        <f t="shared" si="284"/>
        <v>4497276.9768220354</v>
      </c>
      <c r="ET136" s="1482">
        <f t="shared" ca="1" si="375"/>
        <v>3042045.4653553879</v>
      </c>
      <c r="EU136" s="180">
        <f t="shared" ca="1" si="376"/>
        <v>553099.17551916139</v>
      </c>
      <c r="EV136" s="180">
        <f t="shared" ca="1" si="377"/>
        <v>77606.935674984532</v>
      </c>
      <c r="EW136" s="180">
        <f t="shared" ca="1" si="378"/>
        <v>291026.03096846619</v>
      </c>
      <c r="EX136" s="555">
        <f t="shared" ca="1" si="351"/>
        <v>3963777.6075180001</v>
      </c>
      <c r="EY136" s="180">
        <f t="shared" ca="1" si="379"/>
        <v>99630.662163249217</v>
      </c>
      <c r="EZ136" s="180">
        <f t="shared" ca="1" si="380"/>
        <v>18114.665847863536</v>
      </c>
      <c r="FA136" s="180">
        <f t="shared" ca="1" si="381"/>
        <v>87527.168082703633</v>
      </c>
      <c r="FB136" s="180">
        <f t="shared" ca="1" si="382"/>
        <v>328226.8732102185</v>
      </c>
      <c r="FC136" s="180">
        <f t="shared" ca="1" si="383"/>
        <v>533499.36930403532</v>
      </c>
      <c r="FD136" s="262">
        <f>IF(AX136,IF(VLOOKUP(C136,MAIN!$L$17:$M$28,2)="Yes",VLOOKUP(CALC!B136,MAIN!$H$17:$I$20,2),0),0)</f>
        <v>0</v>
      </c>
      <c r="FE136" s="623">
        <f t="shared" si="285"/>
        <v>0</v>
      </c>
      <c r="FF136" s="535">
        <f t="shared" si="286"/>
        <v>0</v>
      </c>
      <c r="FG136" s="535">
        <f t="shared" si="287"/>
        <v>0</v>
      </c>
      <c r="FH136" s="624">
        <f t="shared" si="288"/>
        <v>0</v>
      </c>
      <c r="FI136" s="632">
        <f>IF(AX136,VLOOKUP(CALC!B136,MAIN!$H$17:$K$20,4),0)</f>
        <v>0</v>
      </c>
      <c r="FJ136" s="535">
        <f t="shared" si="289"/>
        <v>0</v>
      </c>
      <c r="FK136" s="648">
        <f t="shared" si="335"/>
        <v>0</v>
      </c>
      <c r="FL136" s="530">
        <f t="shared" ca="1" si="384"/>
        <v>0</v>
      </c>
      <c r="FM136" s="530">
        <f t="shared" ca="1" si="385"/>
        <v>0</v>
      </c>
      <c r="FN136" s="530">
        <f t="shared" ca="1" si="386"/>
        <v>0</v>
      </c>
      <c r="FO136" s="622">
        <f t="shared" ca="1" si="387"/>
        <v>0</v>
      </c>
      <c r="FP136" s="530">
        <f t="shared" ca="1" si="388"/>
        <v>0</v>
      </c>
      <c r="FQ136" s="530">
        <f t="shared" ca="1" si="389"/>
        <v>0</v>
      </c>
      <c r="FR136" s="530">
        <f t="shared" ca="1" si="390"/>
        <v>0</v>
      </c>
      <c r="FS136" s="625">
        <f t="shared" ca="1" si="391"/>
        <v>0</v>
      </c>
      <c r="FT136" s="640">
        <f ca="1">IF(AND(Assumptions!$H$71="Yes",A136&gt;=Assumptions!$H$72,A136&lt;=Assumptions!$H$73),0,IF(AND($A136&gt;=Assumptions!$C$17,$A136&lt;=Assumptions!$C$18),MAX(AZ136*(1+VLOOKUP($C136,WeatherCapacityAdjustment,2))-FL136,0),0))</f>
        <v>46094.400000000001</v>
      </c>
      <c r="FU136" s="530">
        <f ca="1">IF(AND(Assumptions!$H$71="Yes",A136&gt;=Assumptions!$H$72,A136&lt;=Assumptions!$H$73),0,IF(AND($A136&gt;=Assumptions!$C$17,$A136&lt;=Assumptions!$C$18),MAX(BA136*(1+VLOOKUP($C136,WeatherCapacityAdjustment,2))-FM136,0),0))</f>
        <v>8380.7999999999993</v>
      </c>
      <c r="FV136" s="530">
        <f ca="1">IF(AND(Assumptions!$H$71="Yes",A136&gt;=Assumptions!$H$72,A136&lt;=Assumptions!$H$73),0,IF(AND($A136&gt;=Assumptions!$C$17,$A136&lt;=Assumptions!$C$18),MAX(BB136*(1+VLOOKUP($C136,WeatherCapacityAdjustment,2))-FN136,0),0))</f>
        <v>8380.7999999999993</v>
      </c>
      <c r="FW136" s="622">
        <f ca="1">IF(AND(Assumptions!$H$71="Yes",A136&gt;=Assumptions!$H$72,A136&lt;=Assumptions!$H$73),0,IF(AND($A136&gt;=Assumptions!$C$17,$A136&lt;=Assumptions!$C$18),MAX(BC136*(1+VLOOKUP($C136,WeatherCapacityAdjustment,3))-FO136,0),0))</f>
        <v>31428</v>
      </c>
      <c r="FX136" s="621">
        <f ca="1">IF(AND(Assumptions!$H$71="Yes",A136&gt;=Assumptions!$H$72,A136&lt;=Assumptions!$H$73),0,IF(ET136&gt;0,MAX(BH136*(1+VLOOKUP($C136,WeatherCapacityAdjustment,2))-FP136,0),0))</f>
        <v>184377.60000000001</v>
      </c>
      <c r="FY136" s="530">
        <f ca="1">IF(AND(Assumptions!$H$71="Yes",A136&gt;=Assumptions!$H$72,A136&lt;=Assumptions!$H$73),0,IF(EU136&gt;0,MAX(BI136*(1+VLOOKUP($C136,WeatherCapacityAdjustment,3))-FQ136,0),0))</f>
        <v>33523.199999999997</v>
      </c>
      <c r="FZ136" s="530">
        <f ca="1">IF(AND(Assumptions!$H$71="Yes",A136&gt;=Assumptions!$H$72,A136&lt;=Assumptions!$H$73),0,IF(EV136&gt;0,MAX(BJ136*(1+VLOOKUP($C136,WeatherCapacityAdjustment,2))-FR136,0),0))</f>
        <v>33523.199999999997</v>
      </c>
      <c r="GA136" s="622">
        <f ca="1">IF(AND(Assumptions!$H$71="Yes",A136&gt;=Assumptions!$H$72,A136&lt;=Assumptions!$H$73),0,IF(EW136&gt;0,MAX(BK136*(1+VLOOKUP($C136,WeatherCapacityAdjustment,2))-FS136,0),0))</f>
        <v>125712</v>
      </c>
      <c r="GB136" s="530">
        <f t="shared" ca="1" si="290"/>
        <v>471420</v>
      </c>
      <c r="GC136" s="545">
        <f t="shared" ca="1" si="291"/>
        <v>31.883660536517301</v>
      </c>
      <c r="GD136" s="530">
        <f t="shared" ca="1" si="392"/>
        <v>15030595.250124985</v>
      </c>
      <c r="GE136" s="1485">
        <f t="shared" ca="1" si="393"/>
        <v>666614.27951999998</v>
      </c>
      <c r="GF136" s="1776">
        <f t="shared" ca="1" si="394"/>
        <v>2666457.1180799999</v>
      </c>
      <c r="GG136" s="545">
        <f t="shared" si="359"/>
        <v>2.7305593069152443</v>
      </c>
      <c r="GH136" s="622">
        <f t="shared" ca="1" si="360"/>
        <v>9101149.1253296807</v>
      </c>
      <c r="GI136" s="621">
        <f t="shared" ca="1" si="336"/>
        <v>471420</v>
      </c>
      <c r="GJ136" s="638">
        <f t="shared" si="292"/>
        <v>2.0676342017687039</v>
      </c>
      <c r="GK136" s="625">
        <f t="shared" ca="1" si="342"/>
        <v>974724.11539780244</v>
      </c>
      <c r="GL136" s="640">
        <f t="shared" ca="1" si="395"/>
        <v>0</v>
      </c>
      <c r="GM136" s="530">
        <f t="shared" ca="1" si="396"/>
        <v>0</v>
      </c>
      <c r="GN136" s="530">
        <f t="shared" ca="1" si="397"/>
        <v>0</v>
      </c>
      <c r="GO136" s="622">
        <f t="shared" ca="1" si="398"/>
        <v>0</v>
      </c>
      <c r="GP136" s="530">
        <f t="shared" ca="1" si="293"/>
        <v>0</v>
      </c>
      <c r="GQ136" s="545">
        <f t="shared" ca="1" si="294"/>
        <v>0</v>
      </c>
      <c r="GR136" s="625">
        <f t="shared" ca="1" si="399"/>
        <v>0</v>
      </c>
      <c r="GS136" s="640">
        <f>IF($A136&gt;=BegDate,Assumptions!$C$56*24*($A137-$A136)*(1-VLOOKUP($B136,MAIN!$AA$7:$AM$28,$C136+1))*(1-VLOOKUP($B136,MAIN!$AA$33:$AM$54,$C136+1)),0)*80/168</f>
        <v>224485.71428571429</v>
      </c>
      <c r="GT136" s="1715">
        <f t="shared" si="337"/>
        <v>37.872450037049113</v>
      </c>
      <c r="GU136" s="1715">
        <f>IF($A136&gt;=BegDate,VLOOKUP($A136,GasTable,13)+Assumptions!$C$58,0)</f>
        <v>2.7305593069152443</v>
      </c>
      <c r="GV136" s="1715">
        <f>GU136*Assumptions!$C$57/1000</f>
        <v>19.796554975135521</v>
      </c>
      <c r="GW136" s="625">
        <f>IF(Assumptions!$C$60="Hourly",MAX(0,GS136*(GT136-GV136)),GS136*(GT136-GV136))</f>
        <v>4057780.2143272883</v>
      </c>
      <c r="GX136" s="640">
        <f>IF($A136&gt;=BegDate,Assumptions!$C$56*24*($A137-$A136)*(1-VLOOKUP($B136,MAIN!$AA$7:$AM$28,$C136+1))*(1-VLOOKUP($B136,MAIN!$AA$33:$AM$54,$C136+1)),0)*16/168</f>
        <v>44897.142857142855</v>
      </c>
      <c r="GY136" s="1715">
        <f t="shared" si="338"/>
        <v>37.872450037049113</v>
      </c>
      <c r="GZ136" s="1715">
        <f>IF($A136&gt;=BegDate,VLOOKUP($A136,GasTable,13)+Assumptions!$C$58,0)</f>
        <v>2.7305593069152443</v>
      </c>
      <c r="HA136" s="1715">
        <f>GZ136*Assumptions!$C$57/1000</f>
        <v>19.796554975135521</v>
      </c>
      <c r="HB136" s="625">
        <f>IF(Assumptions!$C$60="Hourly",MAX(0,GX136*(GY136-HA136)),GX136*(GY136-HA136))</f>
        <v>811556.0428654576</v>
      </c>
      <c r="HC136" s="640">
        <f>IF($A136&gt;=BegDate,Assumptions!$C$56*24*($A137-$A136)*(1-VLOOKUP($B136,MAIN!$AA$7:$AM$28,$C136+1))*(1-VLOOKUP($B136,MAIN!$AA$33:$AM$54,$C136+1)),0)*16/168</f>
        <v>44897.142857142855</v>
      </c>
      <c r="HD136" s="1715">
        <f t="shared" si="339"/>
        <v>23.688474764874115</v>
      </c>
      <c r="HE136" s="1715">
        <f>IF($A136&gt;=BegDate,VLOOKUP($A136,GasTable,13)+Assumptions!$C$58,0)</f>
        <v>2.7305593069152443</v>
      </c>
      <c r="HF136" s="1715">
        <f>HE136*Assumptions!$C$57/1000</f>
        <v>19.796554975135521</v>
      </c>
      <c r="HG136" s="625">
        <f>IF(Assumptions!$C$60="Hourly",MAX(0,HC136*(HD136-HF136)),HC136*(HD136-HF136))</f>
        <v>174736.07878843506</v>
      </c>
      <c r="HH136" s="640">
        <f>IF($A136&gt;=BegDate,Assumptions!$C$56*24*($A137-$A136)*(1-VLOOKUP($B136,MAIN!$AA$7:$AM$28,$C136+1))*(1-VLOOKUP($B136,MAIN!$AA$33:$AM$54,$C136+1)),0)*56/168</f>
        <v>157140</v>
      </c>
      <c r="HI136" s="1715">
        <f t="shared" si="340"/>
        <v>23.688474764874115</v>
      </c>
      <c r="HJ136" s="1715">
        <f>IF($A136&gt;=BegDate,VLOOKUP($A136,GasTable,13)+Assumptions!$C$58,0)</f>
        <v>2.7305593069152443</v>
      </c>
      <c r="HK136" s="1715">
        <f>HJ136*Assumptions!$C$57/1000</f>
        <v>19.796554975135521</v>
      </c>
      <c r="HL136" s="625">
        <f>IF(Assumptions!$C$60="Hourly",MAX(0,HH136*(HI136-HK136)),HH136*(HI136-HK136))</f>
        <v>611576.27575952269</v>
      </c>
      <c r="HM136" s="640">
        <f>IF(AND(Assumptions!$H$71="Yes",A136&gt;=Assumptions!$H$72,A136&lt;=Assumptions!$H$73),Assumptions!$H$74*Assumptions!$C$9*1000,0)</f>
        <v>0</v>
      </c>
      <c r="HN136" s="530"/>
      <c r="HO136" s="545"/>
      <c r="HP136" s="545"/>
      <c r="HQ136" s="545"/>
      <c r="HR136" s="545"/>
      <c r="HS136" s="545"/>
      <c r="HT136" s="545"/>
      <c r="HU136" s="545"/>
      <c r="HV136" s="545"/>
      <c r="HW136" s="545"/>
      <c r="HX136" s="545"/>
      <c r="HY136" s="545"/>
      <c r="HZ136" s="545"/>
      <c r="IA136" s="545"/>
      <c r="IB136" s="545"/>
      <c r="IC136" s="545"/>
      <c r="ID136" s="545"/>
      <c r="IE136" s="545"/>
      <c r="IF136" s="545"/>
      <c r="IG136" s="545"/>
      <c r="IH136" s="545"/>
      <c r="II136" s="1464"/>
      <c r="IJ136" s="1463"/>
      <c r="IK136" s="1463"/>
    </row>
    <row r="137" spans="1:245">
      <c r="A137" s="177">
        <f t="shared" si="295"/>
        <v>40299</v>
      </c>
      <c r="B137" s="349">
        <f t="shared" si="296"/>
        <v>2010</v>
      </c>
      <c r="C137" s="15">
        <f t="shared" si="400"/>
        <v>5</v>
      </c>
      <c r="D137" s="612">
        <f t="shared" si="297"/>
        <v>40329</v>
      </c>
      <c r="E137" s="609">
        <f t="shared" si="401"/>
        <v>40299</v>
      </c>
      <c r="F137" s="614">
        <f t="shared" si="402"/>
        <v>40329</v>
      </c>
      <c r="G137" s="1349">
        <v>0</v>
      </c>
      <c r="H137" s="152">
        <f t="shared" si="341"/>
        <v>1</v>
      </c>
      <c r="I137" s="154">
        <f>IF(Assumptions!$L$25=4,VLOOKUP($A137,'Henwood Reference'!$E$9:$R$320,10),(VLOOKUP($A137,PriceTable,2,0)+IF(BasisNumber&lt;&gt;1,VLOOKUP($A137,BasisTable,2,0),0)+I$1)/(1-I$2))</f>
        <v>41.206155976850773</v>
      </c>
      <c r="J137" s="154">
        <f>IF(Assumptions!$L$25=4,VLOOKUP($A137,'Henwood Reference'!$E$9:$R$320,10),(VLOOKUP($A137,PriceTable,3,0)+IF(BasisNumber&lt;&gt;1,VLOOKUP($A137,BasisTable,2,0),0)+J$1)/(1-J$2))</f>
        <v>41.206155976850773</v>
      </c>
      <c r="K137" s="154">
        <f>IF(Assumptions!$L$25=4,VLOOKUP($A137,'Henwood Reference'!$E$9:$R$320,10),(VLOOKUP($A137,PriceTable,4,0)+IF(BasisNumber&lt;&gt;1,VLOOKUP($A137,BasisTable,2,0),0)+K$1)/(1-K$2))</f>
        <v>41.206155976850773</v>
      </c>
      <c r="L137" s="474">
        <f>IF(Assumptions!$L$25=4,VLOOKUP($A137,'Henwood Reference'!$E$9:$R$320,10),(VLOOKUP($A137,PriceTableWeekend,2,0)+IF(BasisNumber&lt;&gt;1,VLOOKUP($A137,BasisTable,2,0),0)+L$1)/(1-L$2))</f>
        <v>41.206155976850773</v>
      </c>
      <c r="M137" s="154">
        <f>IF(Assumptions!$L$25=4,VLOOKUP($A137,'Henwood Reference'!$E$9:$R$320,10),(VLOOKUP($A137,PriceTableWeekend,3,0)+IF(BasisNumber&lt;&gt;1,VLOOKUP($A137,BasisTable,2,0),0)+M$1)/(1-M$2))</f>
        <v>41.206155976850773</v>
      </c>
      <c r="N137" s="156">
        <f>IF(Assumptions!$L$25=4,VLOOKUP($A137,'Henwood Reference'!$E$9:$R$320,10),(VLOOKUP($A137,PriceTableWeekend,4,0)+IF(BasisNumber&lt;&gt;1,VLOOKUP($A137,BasisTable,2,0),0)+N$1)/(1-N$2))</f>
        <v>41.206155976850773</v>
      </c>
      <c r="O137" s="154">
        <f>IF(Assumptions!$L$25=4,VLOOKUP($A137,'Henwood Reference'!$E$9:$R$320,11),(VLOOKUP($A137,PriceTableWeekend,6,0)+IF(BasisNumber&lt;&gt;1,VLOOKUP($A137,BasisTable,3,0),0)+O$1)/(1-O$2))</f>
        <v>23.812080799061583</v>
      </c>
      <c r="P137" s="154">
        <f>IF(Assumptions!$L$25=4,VLOOKUP($A137,'Henwood Reference'!$E$9:$R$320,11),(VLOOKUP($A137,PriceTableWeekend,7,0)+IF(BasisNumber&lt;&gt;1,VLOOKUP($A137,BasisTable,3,0),0)+P$1)/(1-P$2))</f>
        <v>23.812080799061583</v>
      </c>
      <c r="Q137" s="156">
        <f>IF(Assumptions!$L$25=4,VLOOKUP($A137,'Henwood Reference'!$E$9:$R$320,11),(VLOOKUP($A137,PriceTableWeekend,8,0)+IF(BasisNumber&lt;&gt;1,VLOOKUP($A137,BasisTable,3,0),0)+Q$1)/(1-Q$2))</f>
        <v>23.812080799061583</v>
      </c>
      <c r="R137" s="154">
        <f>IF(Assumptions!$L$25=4,VLOOKUP($A137,'Henwood Reference'!$E$9:$R$320,11),(VLOOKUP($A137,PriceTable,6,0)+IF(BasisNumber&lt;&gt;1,VLOOKUP($A137,BasisTable,3,0),0)+R$1)/(1-R$2))</f>
        <v>23.812080799061583</v>
      </c>
      <c r="S137" s="154">
        <f>IF(Assumptions!$L$25=4,VLOOKUP($A137,'Henwood Reference'!$E$9:$R$320,11),(VLOOKUP($A137,PriceTable,7,0)+IF(BasisNumber&lt;&gt;1,VLOOKUP($A137,BasisTable,3,0),0)+S$1)/(1-S$2))</f>
        <v>23.812080799061583</v>
      </c>
      <c r="T137" s="155">
        <f>IF(Assumptions!$L$25=4,VLOOKUP($A137,'Henwood Reference'!$E$9:$R$320,11),(VLOOKUP($A137,PriceTable,8,0)+IF(BasisNumber&lt;&gt;1,VLOOKUP($A137,BasisTable,3,0),0)+T$1)/(1-T$2))</f>
        <v>23.812080799061583</v>
      </c>
      <c r="U137" s="173">
        <f t="shared" si="298"/>
        <v>0.12</v>
      </c>
      <c r="V137" s="173">
        <f t="shared" si="299"/>
        <v>0.13</v>
      </c>
      <c r="W137" s="174">
        <f t="shared" si="300"/>
        <v>0.14000000000000001</v>
      </c>
      <c r="X137" s="173">
        <f t="shared" si="301"/>
        <v>0.12</v>
      </c>
      <c r="Y137" s="173">
        <f t="shared" si="302"/>
        <v>0.13</v>
      </c>
      <c r="Z137" s="174">
        <f t="shared" si="303"/>
        <v>0.14000000000000001</v>
      </c>
      <c r="AA137" s="173">
        <f t="shared" si="304"/>
        <v>0.09</v>
      </c>
      <c r="AB137" s="173">
        <f t="shared" si="305"/>
        <v>0.11</v>
      </c>
      <c r="AC137" s="174">
        <f t="shared" si="306"/>
        <v>0.13</v>
      </c>
      <c r="AD137" s="173">
        <f t="shared" si="307"/>
        <v>0.09</v>
      </c>
      <c r="AE137" s="173">
        <f t="shared" si="308"/>
        <v>0.11</v>
      </c>
      <c r="AF137" s="174">
        <f t="shared" si="309"/>
        <v>0.13</v>
      </c>
      <c r="AG137" s="173">
        <f t="shared" si="310"/>
        <v>-0.1</v>
      </c>
      <c r="AH137" s="173">
        <f t="shared" si="311"/>
        <v>0.65</v>
      </c>
      <c r="AI137" s="174">
        <f t="shared" si="312"/>
        <v>0.1</v>
      </c>
      <c r="AJ137" s="173">
        <f t="shared" si="313"/>
        <v>-0.1</v>
      </c>
      <c r="AK137" s="173">
        <f t="shared" si="314"/>
        <v>0.65</v>
      </c>
      <c r="AL137" s="174">
        <f t="shared" si="315"/>
        <v>0.1</v>
      </c>
      <c r="AM137" s="173">
        <f t="shared" si="316"/>
        <v>-0.01</v>
      </c>
      <c r="AN137" s="173">
        <f t="shared" si="317"/>
        <v>0.16</v>
      </c>
      <c r="AO137" s="174">
        <f t="shared" si="318"/>
        <v>0.01</v>
      </c>
      <c r="AP137" s="173">
        <f t="shared" si="319"/>
        <v>-0.01</v>
      </c>
      <c r="AQ137" s="173">
        <f t="shared" si="320"/>
        <v>0.16</v>
      </c>
      <c r="AR137" s="175">
        <f t="shared" si="321"/>
        <v>0.01</v>
      </c>
      <c r="AS137" s="521">
        <f t="shared" si="405"/>
        <v>0.5</v>
      </c>
      <c r="AT137" s="349">
        <f t="shared" si="403"/>
        <v>20</v>
      </c>
      <c r="AU137" s="159">
        <f t="shared" si="240"/>
        <v>5</v>
      </c>
      <c r="AV137" s="159">
        <f t="shared" si="241"/>
        <v>5</v>
      </c>
      <c r="AW137" s="159">
        <f t="shared" si="406"/>
        <v>1</v>
      </c>
      <c r="AX137" s="15">
        <f t="shared" si="404"/>
        <v>31</v>
      </c>
      <c r="AY137" s="607">
        <f>IF(E137="",0,MIN((1-(1-VLOOKUP(B137,MAIN!$AA$7:$AM$28,C137+1))*(1-VLOOKUP(B137,MAIN!$AA$33:$AM$54,C137+1))),1))</f>
        <v>3.0000000000000027E-2</v>
      </c>
      <c r="AZ137" s="337">
        <v>46560</v>
      </c>
      <c r="BA137" s="509">
        <v>11640</v>
      </c>
      <c r="BB137" s="509">
        <v>13968</v>
      </c>
      <c r="BC137" s="511">
        <v>36084</v>
      </c>
      <c r="BD137" s="153">
        <v>0.97</v>
      </c>
      <c r="BE137" s="474">
        <v>0.97</v>
      </c>
      <c r="BF137" s="474">
        <v>0.97</v>
      </c>
      <c r="BG137" s="515">
        <v>0.97</v>
      </c>
      <c r="BH137" s="262">
        <v>186240</v>
      </c>
      <c r="BI137" s="509">
        <v>46560</v>
      </c>
      <c r="BJ137" s="509">
        <v>55872</v>
      </c>
      <c r="BK137" s="511">
        <v>144336</v>
      </c>
      <c r="BL137" s="153">
        <v>0.97</v>
      </c>
      <c r="BM137" s="474">
        <v>0.97</v>
      </c>
      <c r="BN137" s="474">
        <v>0.97</v>
      </c>
      <c r="BO137" s="474">
        <v>0.97</v>
      </c>
      <c r="BP137" s="261">
        <f t="shared" si="324"/>
        <v>72168</v>
      </c>
      <c r="BQ137" s="578">
        <f t="shared" si="325"/>
        <v>108252</v>
      </c>
      <c r="BR137" s="259">
        <f t="shared" si="326"/>
        <v>288672</v>
      </c>
      <c r="BS137" s="578">
        <f t="shared" si="327"/>
        <v>433008</v>
      </c>
      <c r="BT137" s="216">
        <f t="shared" si="328"/>
        <v>10.04517453798768</v>
      </c>
      <c r="BU137" s="218">
        <f t="shared" si="243"/>
        <v>41.206155976850773</v>
      </c>
      <c r="BV137" s="216">
        <f t="shared" si="244"/>
        <v>41.206155976850773</v>
      </c>
      <c r="BW137" s="216">
        <f t="shared" si="245"/>
        <v>23.812080799061583</v>
      </c>
      <c r="BX137" s="216">
        <f t="shared" si="329"/>
        <v>23.812080799061583</v>
      </c>
      <c r="BY137" s="216">
        <f t="shared" si="246"/>
        <v>37.839560781149636</v>
      </c>
      <c r="BZ137" s="216">
        <f t="shared" si="247"/>
        <v>33.163734120453618</v>
      </c>
      <c r="CA137" s="264">
        <f t="shared" si="248"/>
        <v>41.206155976850773</v>
      </c>
      <c r="CB137" s="216">
        <f t="shared" si="249"/>
        <v>41.206155976850773</v>
      </c>
      <c r="CC137" s="216">
        <f t="shared" si="250"/>
        <v>23.812080799061583</v>
      </c>
      <c r="CD137" s="216">
        <f t="shared" si="330"/>
        <v>23.812080799061583</v>
      </c>
      <c r="CE137" s="216">
        <f t="shared" si="251"/>
        <v>37.839560781149636</v>
      </c>
      <c r="CF137" s="571">
        <f t="shared" si="252"/>
        <v>33.163734120453618</v>
      </c>
      <c r="CG137" s="573">
        <f t="shared" si="253"/>
        <v>0.13</v>
      </c>
      <c r="CH137" s="219">
        <f t="shared" si="254"/>
        <v>0.13</v>
      </c>
      <c r="CI137" s="219">
        <f t="shared" si="255"/>
        <v>0.11</v>
      </c>
      <c r="CJ137" s="219">
        <f t="shared" si="256"/>
        <v>0.1275913156757317</v>
      </c>
      <c r="CK137" s="219">
        <f t="shared" si="257"/>
        <v>0.1275913156757317</v>
      </c>
      <c r="CL137" s="219">
        <f t="shared" si="258"/>
        <v>0.11</v>
      </c>
      <c r="CM137" s="219">
        <f t="shared" si="259"/>
        <v>0.11297537601465539</v>
      </c>
      <c r="CN137" s="569">
        <f t="shared" si="260"/>
        <v>0.11297537601465539</v>
      </c>
      <c r="CO137" s="264">
        <f t="shared" si="343"/>
        <v>19.137035943312753</v>
      </c>
      <c r="CP137" s="216">
        <f t="shared" si="331"/>
        <v>19.137035943312753</v>
      </c>
      <c r="CQ137" s="216">
        <f t="shared" ca="1" si="361"/>
        <v>19.137035943312753</v>
      </c>
      <c r="CR137" s="216">
        <f t="shared" ca="1" si="362"/>
        <v>19.137035943312753</v>
      </c>
      <c r="CS137" s="1626">
        <f t="shared" ca="1" si="363"/>
        <v>19.137035943312757</v>
      </c>
      <c r="CT137" s="216">
        <f t="shared" si="332"/>
        <v>19.137035943312753</v>
      </c>
      <c r="CU137" s="575">
        <f t="shared" si="261"/>
        <v>0.158</v>
      </c>
      <c r="CV137" s="154">
        <f t="shared" si="262"/>
        <v>0.5</v>
      </c>
      <c r="CW137" s="216">
        <f>IF(OR($BQ137,$BS137),SpreadOptPowerMargin,0)*((1+Assumptions!$C$26)^($B137-YEAR(Assumptions!$C$17)))</f>
        <v>2.0676342017687039</v>
      </c>
      <c r="CX137" s="216">
        <f>IF(OR($BQ137,$BS137),SpreadOptPowerMargin,0)*((1+Assumptions!$C$26)^($B137-YEAR(Assumptions!$C$17)))</f>
        <v>2.0676342017687039</v>
      </c>
      <c r="CY137" s="216">
        <f>IF(OR($BQ137,$BS137),SpreadOptPowerMargin,0)*((1+Assumptions!$C$26)^($B137-YEAR(Assumptions!$C$17)))</f>
        <v>2.0676342017687039</v>
      </c>
      <c r="CZ137" s="216">
        <f>IF(OR($BQ137,$BS137),SpreadOptPowerMargin,0)*((1+Assumptions!$C$26)^($B137-YEAR(Assumptions!$C$17)))</f>
        <v>2.0676342017687039</v>
      </c>
      <c r="DA137" s="440">
        <f t="shared" si="263"/>
        <v>2.0676342017687039</v>
      </c>
      <c r="DB137" s="479">
        <f t="shared" si="264"/>
        <v>0.13</v>
      </c>
      <c r="DC137" s="479">
        <f t="shared" si="265"/>
        <v>0.13</v>
      </c>
      <c r="DD137" s="479">
        <f t="shared" si="266"/>
        <v>0.11</v>
      </c>
      <c r="DE137" s="479">
        <f t="shared" si="267"/>
        <v>0.11</v>
      </c>
      <c r="DF137" s="479">
        <f t="shared" si="268"/>
        <v>0.11297537601465539</v>
      </c>
      <c r="DG137" s="574">
        <f t="shared" si="269"/>
        <v>0.11297537601465539</v>
      </c>
      <c r="DH137" s="216">
        <f t="shared" si="270"/>
        <v>20.360377799314591</v>
      </c>
      <c r="DI137" s="216">
        <f t="shared" si="271"/>
        <v>20.360377799314591</v>
      </c>
      <c r="DJ137" s="216">
        <f t="shared" ca="1" si="364"/>
        <v>5.1121314130568063</v>
      </c>
      <c r="DK137" s="216">
        <f t="shared" ca="1" si="365"/>
        <v>5.1121314130568063</v>
      </c>
      <c r="DL137" s="216">
        <f t="shared" ca="1" si="366"/>
        <v>12.751597907584289</v>
      </c>
      <c r="DM137" s="216"/>
      <c r="DN137" s="216"/>
      <c r="DO137" s="216"/>
      <c r="DP137" s="216"/>
      <c r="DQ137" s="216"/>
      <c r="DR137" s="216"/>
      <c r="DS137" s="216"/>
      <c r="DT137" s="216"/>
      <c r="DU137" s="216"/>
      <c r="DV137" s="216"/>
      <c r="DW137" s="1371">
        <f t="shared" si="272"/>
        <v>5.1121314130568063</v>
      </c>
      <c r="DX137" s="216">
        <f t="shared" si="273"/>
        <v>5.1121314130568063</v>
      </c>
      <c r="DY137" s="440">
        <f t="shared" si="274"/>
        <v>13.310113341152389</v>
      </c>
      <c r="DZ137" s="180">
        <f t="shared" si="275"/>
        <v>947979.19033608737</v>
      </c>
      <c r="EA137" s="180">
        <f t="shared" si="276"/>
        <v>236994.79758402184</v>
      </c>
      <c r="EB137" s="180">
        <f t="shared" ca="1" si="367"/>
        <v>71406.251577577466</v>
      </c>
      <c r="EC137" s="180">
        <f t="shared" ca="1" si="368"/>
        <v>184466.14990874179</v>
      </c>
      <c r="ED137" s="180">
        <f t="shared" ca="1" si="369"/>
        <v>1380385.9766918144</v>
      </c>
      <c r="EE137" s="581">
        <f t="shared" si="277"/>
        <v>931269.18032717938</v>
      </c>
      <c r="EF137" s="554">
        <f t="shared" si="278"/>
        <v>232817.29508179484</v>
      </c>
      <c r="EG137" s="554">
        <f t="shared" ca="1" si="370"/>
        <v>36420.312014794385</v>
      </c>
      <c r="EH137" s="554">
        <f t="shared" ca="1" si="371"/>
        <v>94085.806038218827</v>
      </c>
      <c r="EI137" s="561">
        <f t="shared" ca="1" si="279"/>
        <v>1294592.5934619866</v>
      </c>
      <c r="EJ137" s="581">
        <f t="shared" si="333"/>
        <v>16710.010008907993</v>
      </c>
      <c r="EK137" s="554">
        <f t="shared" si="334"/>
        <v>4177.5025022269983</v>
      </c>
      <c r="EL137" s="554">
        <f t="shared" ca="1" si="372"/>
        <v>34985.939562783082</v>
      </c>
      <c r="EM137" s="554">
        <f t="shared" ca="1" si="373"/>
        <v>90380.343870522964</v>
      </c>
      <c r="EN137" s="561">
        <f t="shared" ca="1" si="374"/>
        <v>85793.383229827741</v>
      </c>
      <c r="EO137" s="180">
        <f t="shared" si="280"/>
        <v>3791916.7613443495</v>
      </c>
      <c r="EP137" s="180">
        <f t="shared" si="281"/>
        <v>947979.19033608737</v>
      </c>
      <c r="EQ137" s="180">
        <f t="shared" si="282"/>
        <v>285625.00631030987</v>
      </c>
      <c r="ER137" s="180">
        <f t="shared" si="283"/>
        <v>737864.59963496716</v>
      </c>
      <c r="ES137" s="180">
        <f t="shared" si="284"/>
        <v>5763385.5576257138</v>
      </c>
      <c r="ET137" s="1482">
        <f t="shared" ca="1" si="375"/>
        <v>3725076.7213087175</v>
      </c>
      <c r="EU137" s="180">
        <f t="shared" ca="1" si="376"/>
        <v>931269.18032717938</v>
      </c>
      <c r="EV137" s="180">
        <f t="shared" ca="1" si="377"/>
        <v>145681.24805917754</v>
      </c>
      <c r="EW137" s="180">
        <f t="shared" ca="1" si="378"/>
        <v>376343.22415287531</v>
      </c>
      <c r="EX137" s="555">
        <f t="shared" ca="1" si="351"/>
        <v>5178370.3738479493</v>
      </c>
      <c r="EY137" s="180">
        <f t="shared" ca="1" si="379"/>
        <v>66840.040035631973</v>
      </c>
      <c r="EZ137" s="180">
        <f t="shared" ca="1" si="380"/>
        <v>16710.010008907993</v>
      </c>
      <c r="FA137" s="180">
        <f t="shared" ca="1" si="381"/>
        <v>139943.75825113233</v>
      </c>
      <c r="FB137" s="180">
        <f t="shared" ca="1" si="382"/>
        <v>361521.37548209185</v>
      </c>
      <c r="FC137" s="180">
        <f t="shared" ca="1" si="383"/>
        <v>585015.18377776444</v>
      </c>
      <c r="FD137" s="262">
        <f>IF(AX137,IF(VLOOKUP(C137,MAIN!$L$17:$M$28,2)="Yes",VLOOKUP(CALC!B137,MAIN!$H$17:$I$20,2),0),0)</f>
        <v>0</v>
      </c>
      <c r="FE137" s="623">
        <f t="shared" si="285"/>
        <v>0</v>
      </c>
      <c r="FF137" s="535">
        <f t="shared" si="286"/>
        <v>0</v>
      </c>
      <c r="FG137" s="535">
        <f t="shared" si="287"/>
        <v>0</v>
      </c>
      <c r="FH137" s="624">
        <f t="shared" si="288"/>
        <v>0</v>
      </c>
      <c r="FI137" s="632">
        <f>IF(AX137,VLOOKUP(CALC!B137,MAIN!$H$17:$K$20,4),0)</f>
        <v>0</v>
      </c>
      <c r="FJ137" s="535">
        <f t="shared" si="289"/>
        <v>0</v>
      </c>
      <c r="FK137" s="648">
        <f t="shared" si="335"/>
        <v>0</v>
      </c>
      <c r="FL137" s="530">
        <f t="shared" ca="1" si="384"/>
        <v>0</v>
      </c>
      <c r="FM137" s="530">
        <f t="shared" ca="1" si="385"/>
        <v>0</v>
      </c>
      <c r="FN137" s="530">
        <f t="shared" ca="1" si="386"/>
        <v>0</v>
      </c>
      <c r="FO137" s="622">
        <f t="shared" ca="1" si="387"/>
        <v>0</v>
      </c>
      <c r="FP137" s="530">
        <f t="shared" ca="1" si="388"/>
        <v>0</v>
      </c>
      <c r="FQ137" s="530">
        <f t="shared" ca="1" si="389"/>
        <v>0</v>
      </c>
      <c r="FR137" s="530">
        <f t="shared" ca="1" si="390"/>
        <v>0</v>
      </c>
      <c r="FS137" s="625">
        <f t="shared" ca="1" si="391"/>
        <v>0</v>
      </c>
      <c r="FT137" s="640">
        <f ca="1">IF(AND(Assumptions!$H$71="Yes",A137&gt;=Assumptions!$H$72,A137&lt;=Assumptions!$H$73),0,IF(AND($A137&gt;=Assumptions!$C$17,$A137&lt;=Assumptions!$C$18),MAX(AZ137*(1+VLOOKUP($C137,WeatherCapacityAdjustment,2))-FL137,0),0))</f>
        <v>46560</v>
      </c>
      <c r="FU137" s="530">
        <f ca="1">IF(AND(Assumptions!$H$71="Yes",A137&gt;=Assumptions!$H$72,A137&lt;=Assumptions!$H$73),0,IF(AND($A137&gt;=Assumptions!$C$17,$A137&lt;=Assumptions!$C$18),MAX(BA137*(1+VLOOKUP($C137,WeatherCapacityAdjustment,2))-FM137,0),0))</f>
        <v>11640</v>
      </c>
      <c r="FV137" s="530">
        <f ca="1">IF(AND(Assumptions!$H$71="Yes",A137&gt;=Assumptions!$H$72,A137&lt;=Assumptions!$H$73),0,IF(AND($A137&gt;=Assumptions!$C$17,$A137&lt;=Assumptions!$C$18),MAX(BB137*(1+VLOOKUP($C137,WeatherCapacityAdjustment,2))-FN137,0),0))</f>
        <v>13968</v>
      </c>
      <c r="FW137" s="622">
        <f ca="1">IF(AND(Assumptions!$H$71="Yes",A137&gt;=Assumptions!$H$72,A137&lt;=Assumptions!$H$73),0,IF(AND($A137&gt;=Assumptions!$C$17,$A137&lt;=Assumptions!$C$18),MAX(BC137*(1+VLOOKUP($C137,WeatherCapacityAdjustment,3))-FO137,0),0))</f>
        <v>36084</v>
      </c>
      <c r="FX137" s="621">
        <f ca="1">IF(AND(Assumptions!$H$71="Yes",A137&gt;=Assumptions!$H$72,A137&lt;=Assumptions!$H$73),0,IF(ET137&gt;0,MAX(BH137*(1+VLOOKUP($C137,WeatherCapacityAdjustment,2))-FP137,0),0))</f>
        <v>186240</v>
      </c>
      <c r="FY137" s="530">
        <f ca="1">IF(AND(Assumptions!$H$71="Yes",A137&gt;=Assumptions!$H$72,A137&lt;=Assumptions!$H$73),0,IF(EU137&gt;0,MAX(BI137*(1+VLOOKUP($C137,WeatherCapacityAdjustment,3))-FQ137,0),0))</f>
        <v>46560</v>
      </c>
      <c r="FZ137" s="530">
        <f ca="1">IF(AND(Assumptions!$H$71="Yes",A137&gt;=Assumptions!$H$72,A137&lt;=Assumptions!$H$73),0,IF(EV137&gt;0,MAX(BJ137*(1+VLOOKUP($C137,WeatherCapacityAdjustment,2))-FR137,0),0))</f>
        <v>55872</v>
      </c>
      <c r="GA137" s="622">
        <f ca="1">IF(AND(Assumptions!$H$71="Yes",A137&gt;=Assumptions!$H$72,A137&lt;=Assumptions!$H$73),0,IF(EW137&gt;0,MAX(BK137*(1+VLOOKUP($C137,WeatherCapacityAdjustment,2))-FS137,0),0))</f>
        <v>144336</v>
      </c>
      <c r="GB137" s="530">
        <f t="shared" ca="1" si="290"/>
        <v>541260</v>
      </c>
      <c r="GC137" s="545">
        <f t="shared" ca="1" si="291"/>
        <v>33.163734120453618</v>
      </c>
      <c r="GD137" s="530">
        <f t="shared" ca="1" si="392"/>
        <v>17950202.730036724</v>
      </c>
      <c r="GE137" s="1485">
        <f t="shared" ca="1" si="393"/>
        <v>765690.21143999998</v>
      </c>
      <c r="GF137" s="1776">
        <f t="shared" ca="1" si="394"/>
        <v>3062760.8457599999</v>
      </c>
      <c r="GG137" s="545">
        <f t="shared" si="359"/>
        <v>2.7055620980702924</v>
      </c>
      <c r="GH137" s="622">
        <f t="shared" ca="1" si="360"/>
        <v>10358112.07467746</v>
      </c>
      <c r="GI137" s="621">
        <f t="shared" ca="1" si="336"/>
        <v>541260</v>
      </c>
      <c r="GJ137" s="638">
        <f t="shared" si="292"/>
        <v>2.0676342017687039</v>
      </c>
      <c r="GK137" s="625">
        <f t="shared" ca="1" si="342"/>
        <v>1119127.6880493287</v>
      </c>
      <c r="GL137" s="640">
        <f t="shared" ca="1" si="395"/>
        <v>0</v>
      </c>
      <c r="GM137" s="530">
        <f t="shared" ca="1" si="396"/>
        <v>0</v>
      </c>
      <c r="GN137" s="530">
        <f t="shared" ca="1" si="397"/>
        <v>0</v>
      </c>
      <c r="GO137" s="622">
        <f t="shared" ca="1" si="398"/>
        <v>0</v>
      </c>
      <c r="GP137" s="530">
        <f t="shared" ca="1" si="293"/>
        <v>0</v>
      </c>
      <c r="GQ137" s="545">
        <f t="shared" ca="1" si="294"/>
        <v>0</v>
      </c>
      <c r="GR137" s="625">
        <f t="shared" ca="1" si="399"/>
        <v>0</v>
      </c>
      <c r="GS137" s="640">
        <f>IF($A137&gt;=BegDate,Assumptions!$C$56*24*($A138-$A137)*(1-VLOOKUP($B137,MAIN!$AA$7:$AM$28,$C137+1))*(1-VLOOKUP($B137,MAIN!$AA$33:$AM$54,$C137+1)),0)*80/168</f>
        <v>257742.85714285713</v>
      </c>
      <c r="GT137" s="1715">
        <f t="shared" si="337"/>
        <v>41.206155976850773</v>
      </c>
      <c r="GU137" s="1715">
        <f>IF($A137&gt;=BegDate,VLOOKUP($A137,GasTable,13)+Assumptions!$C$58,0)</f>
        <v>2.7055620980702924</v>
      </c>
      <c r="GV137" s="1715">
        <f>GU137*Assumptions!$C$57/1000</f>
        <v>19.615325211009619</v>
      </c>
      <c r="GW137" s="625">
        <f>IF(Assumptions!$C$60="Hourly",MAX(0,GS137*(GT137-GV137)),GS137*(GT137-GV137))</f>
        <v>5564882.4096758012</v>
      </c>
      <c r="GX137" s="640">
        <f>IF($A137&gt;=BegDate,Assumptions!$C$56*24*($A138-$A137)*(1-VLOOKUP($B137,MAIN!$AA$7:$AM$28,$C137+1))*(1-VLOOKUP($B137,MAIN!$AA$33:$AM$54,$C137+1)),0)*16/168</f>
        <v>51548.571428571428</v>
      </c>
      <c r="GY137" s="1715">
        <f t="shared" si="338"/>
        <v>41.206155976850773</v>
      </c>
      <c r="GZ137" s="1715">
        <f>IF($A137&gt;=BegDate,VLOOKUP($A137,GasTable,13)+Assumptions!$C$58,0)</f>
        <v>2.7055620980702924</v>
      </c>
      <c r="HA137" s="1715">
        <f>GZ137*Assumptions!$C$57/1000</f>
        <v>19.615325211009619</v>
      </c>
      <c r="HB137" s="625">
        <f>IF(Assumptions!$C$60="Hourly",MAX(0,GX137*(GY137-HA137)),GX137*(GY137-HA137))</f>
        <v>1112976.4819351602</v>
      </c>
      <c r="HC137" s="640">
        <f>IF($A137&gt;=BegDate,Assumptions!$C$56*24*($A138-$A137)*(1-VLOOKUP($B137,MAIN!$AA$7:$AM$28,$C137+1))*(1-VLOOKUP($B137,MAIN!$AA$33:$AM$54,$C137+1)),0)*16/168</f>
        <v>51548.571428571428</v>
      </c>
      <c r="HD137" s="1715">
        <f t="shared" si="339"/>
        <v>23.812080799061583</v>
      </c>
      <c r="HE137" s="1715">
        <f>IF($A137&gt;=BegDate,VLOOKUP($A137,GasTable,13)+Assumptions!$C$58,0)</f>
        <v>2.7055620980702924</v>
      </c>
      <c r="HF137" s="1715">
        <f>HE137*Assumptions!$C$57/1000</f>
        <v>19.615325211009619</v>
      </c>
      <c r="HG137" s="625">
        <f>IF(Assumptions!$C$60="Hourly",MAX(0,HC137*(HD137-HF137)),HC137*(HD137-HF137))</f>
        <v>216336.75519895295</v>
      </c>
      <c r="HH137" s="640">
        <f>IF($A137&gt;=BegDate,Assumptions!$C$56*24*($A138-$A137)*(1-VLOOKUP($B137,MAIN!$AA$7:$AM$28,$C137+1))*(1-VLOOKUP($B137,MAIN!$AA$33:$AM$54,$C137+1)),0)*56/168</f>
        <v>180420</v>
      </c>
      <c r="HI137" s="1715">
        <f t="shared" si="340"/>
        <v>23.812080799061583</v>
      </c>
      <c r="HJ137" s="1715">
        <f>IF($A137&gt;=BegDate,VLOOKUP($A137,GasTable,13)+Assumptions!$C$58,0)</f>
        <v>2.7055620980702924</v>
      </c>
      <c r="HK137" s="1715">
        <f>HJ137*Assumptions!$C$57/1000</f>
        <v>19.615325211009619</v>
      </c>
      <c r="HL137" s="625">
        <f>IF(Assumptions!$C$60="Hourly",MAX(0,HH137*(HI137-HK137)),HH137*(HI137-HK137))</f>
        <v>757178.6431963353</v>
      </c>
      <c r="HM137" s="640">
        <f>IF(AND(Assumptions!$H$71="Yes",A137&gt;=Assumptions!$H$72,A137&lt;=Assumptions!$H$73),Assumptions!$H$74*Assumptions!$C$9*1000,0)</f>
        <v>0</v>
      </c>
      <c r="HN137" s="530"/>
      <c r="HO137" s="545"/>
      <c r="HP137" s="545"/>
      <c r="HQ137" s="545"/>
      <c r="HR137" s="545"/>
      <c r="HS137" s="545"/>
      <c r="HT137" s="545"/>
      <c r="HU137" s="545"/>
      <c r="HV137" s="545"/>
      <c r="HW137" s="545"/>
      <c r="HX137" s="545"/>
      <c r="HY137" s="545"/>
      <c r="HZ137" s="545"/>
      <c r="IA137" s="545"/>
      <c r="IB137" s="545"/>
      <c r="IC137" s="545"/>
      <c r="ID137" s="545"/>
      <c r="IE137" s="545"/>
      <c r="IF137" s="545"/>
      <c r="IG137" s="545"/>
      <c r="IH137" s="545"/>
      <c r="II137" s="1464"/>
      <c r="IJ137" s="1463"/>
      <c r="IK137" s="1463"/>
    </row>
    <row r="138" spans="1:245">
      <c r="A138" s="177">
        <f t="shared" si="295"/>
        <v>40330</v>
      </c>
      <c r="B138" s="349">
        <f t="shared" si="296"/>
        <v>2010</v>
      </c>
      <c r="C138" s="15">
        <f t="shared" si="400"/>
        <v>6</v>
      </c>
      <c r="D138" s="612" t="str">
        <f t="shared" si="297"/>
        <v/>
      </c>
      <c r="E138" s="609">
        <f t="shared" si="401"/>
        <v>40330</v>
      </c>
      <c r="F138" s="614">
        <f t="shared" si="402"/>
        <v>40359</v>
      </c>
      <c r="G138" s="1349">
        <v>0</v>
      </c>
      <c r="H138" s="152">
        <f t="shared" si="341"/>
        <v>1</v>
      </c>
      <c r="I138" s="154">
        <f>IF(Assumptions!$L$25=4,VLOOKUP($A138,'Henwood Reference'!$E$9:$R$320,10),(VLOOKUP($A138,PriceTable,2,0)+IF(BasisNumber&lt;&gt;1,VLOOKUP($A138,BasisTable,2,0),0)+I$1)/(1-I$2))</f>
        <v>36.845203439319526</v>
      </c>
      <c r="J138" s="154">
        <f>IF(Assumptions!$L$25=4,VLOOKUP($A138,'Henwood Reference'!$E$9:$R$320,10),(VLOOKUP($A138,PriceTable,3,0)+IF(BasisNumber&lt;&gt;1,VLOOKUP($A138,BasisTable,2,0),0)+J$1)/(1-J$2))</f>
        <v>36.845203439319526</v>
      </c>
      <c r="K138" s="154">
        <f>IF(Assumptions!$L$25=4,VLOOKUP($A138,'Henwood Reference'!$E$9:$R$320,10),(VLOOKUP($A138,PriceTable,4,0)+IF(BasisNumber&lt;&gt;1,VLOOKUP($A138,BasisTable,2,0),0)+K$1)/(1-K$2))</f>
        <v>36.845203439319526</v>
      </c>
      <c r="L138" s="474">
        <f>IF(Assumptions!$L$25=4,VLOOKUP($A138,'Henwood Reference'!$E$9:$R$320,10),(VLOOKUP($A138,PriceTableWeekend,2,0)+IF(BasisNumber&lt;&gt;1,VLOOKUP($A138,BasisTable,2,0),0)+L$1)/(1-L$2))</f>
        <v>36.845203439319526</v>
      </c>
      <c r="M138" s="154">
        <f>IF(Assumptions!$L$25=4,VLOOKUP($A138,'Henwood Reference'!$E$9:$R$320,10),(VLOOKUP($A138,PriceTableWeekend,3,0)+IF(BasisNumber&lt;&gt;1,VLOOKUP($A138,BasisTable,2,0),0)+M$1)/(1-M$2))</f>
        <v>36.845203439319526</v>
      </c>
      <c r="N138" s="156">
        <f>IF(Assumptions!$L$25=4,VLOOKUP($A138,'Henwood Reference'!$E$9:$R$320,10),(VLOOKUP($A138,PriceTableWeekend,4,0)+IF(BasisNumber&lt;&gt;1,VLOOKUP($A138,BasisTable,2,0),0)+N$1)/(1-N$2))</f>
        <v>36.845203439319526</v>
      </c>
      <c r="O138" s="154">
        <f>IF(Assumptions!$L$25=4,VLOOKUP($A138,'Henwood Reference'!$E$9:$R$320,11),(VLOOKUP($A138,PriceTableWeekend,6,0)+IF(BasisNumber&lt;&gt;1,VLOOKUP($A138,BasisTable,3,0),0)+O$1)/(1-O$2))</f>
        <v>21.870100788567935</v>
      </c>
      <c r="P138" s="154">
        <f>IF(Assumptions!$L$25=4,VLOOKUP($A138,'Henwood Reference'!$E$9:$R$320,11),(VLOOKUP($A138,PriceTableWeekend,7,0)+IF(BasisNumber&lt;&gt;1,VLOOKUP($A138,BasisTable,3,0),0)+P$1)/(1-P$2))</f>
        <v>21.870100788567935</v>
      </c>
      <c r="Q138" s="156">
        <f>IF(Assumptions!$L$25=4,VLOOKUP($A138,'Henwood Reference'!$E$9:$R$320,11),(VLOOKUP($A138,PriceTableWeekend,8,0)+IF(BasisNumber&lt;&gt;1,VLOOKUP($A138,BasisTable,3,0),0)+Q$1)/(1-Q$2))</f>
        <v>21.870100788567935</v>
      </c>
      <c r="R138" s="154">
        <f>IF(Assumptions!$L$25=4,VLOOKUP($A138,'Henwood Reference'!$E$9:$R$320,11),(VLOOKUP($A138,PriceTable,6,0)+IF(BasisNumber&lt;&gt;1,VLOOKUP($A138,BasisTable,3,0),0)+R$1)/(1-R$2))</f>
        <v>21.870100788567935</v>
      </c>
      <c r="S138" s="154">
        <f>IF(Assumptions!$L$25=4,VLOOKUP($A138,'Henwood Reference'!$E$9:$R$320,11),(VLOOKUP($A138,PriceTable,7,0)+IF(BasisNumber&lt;&gt;1,VLOOKUP($A138,BasisTable,3,0),0)+S$1)/(1-S$2))</f>
        <v>21.870100788567935</v>
      </c>
      <c r="T138" s="155">
        <f>IF(Assumptions!$L$25=4,VLOOKUP($A138,'Henwood Reference'!$E$9:$R$320,11),(VLOOKUP($A138,PriceTable,8,0)+IF(BasisNumber&lt;&gt;1,VLOOKUP($A138,BasisTable,3,0),0)+T$1)/(1-T$2))</f>
        <v>21.870100788567935</v>
      </c>
      <c r="U138" s="173">
        <f t="shared" si="298"/>
        <v>0.12</v>
      </c>
      <c r="V138" s="173">
        <f t="shared" si="299"/>
        <v>0.13</v>
      </c>
      <c r="W138" s="174">
        <f t="shared" si="300"/>
        <v>0.14000000000000001</v>
      </c>
      <c r="X138" s="173">
        <f t="shared" si="301"/>
        <v>0.12</v>
      </c>
      <c r="Y138" s="173">
        <f t="shared" si="302"/>
        <v>0.13</v>
      </c>
      <c r="Z138" s="174">
        <f t="shared" si="303"/>
        <v>0.14000000000000001</v>
      </c>
      <c r="AA138" s="173">
        <f t="shared" si="304"/>
        <v>0.09</v>
      </c>
      <c r="AB138" s="173">
        <f t="shared" si="305"/>
        <v>0.11</v>
      </c>
      <c r="AC138" s="174">
        <f t="shared" si="306"/>
        <v>0.13</v>
      </c>
      <c r="AD138" s="173">
        <f t="shared" si="307"/>
        <v>0.09</v>
      </c>
      <c r="AE138" s="173">
        <f t="shared" si="308"/>
        <v>0.11</v>
      </c>
      <c r="AF138" s="174">
        <f t="shared" si="309"/>
        <v>0.13</v>
      </c>
      <c r="AG138" s="173">
        <f t="shared" si="310"/>
        <v>-0.35</v>
      </c>
      <c r="AH138" s="173">
        <f t="shared" si="311"/>
        <v>0.65</v>
      </c>
      <c r="AI138" s="174">
        <f t="shared" si="312"/>
        <v>0.2</v>
      </c>
      <c r="AJ138" s="173">
        <f t="shared" si="313"/>
        <v>-0.35</v>
      </c>
      <c r="AK138" s="173">
        <f t="shared" si="314"/>
        <v>0.65</v>
      </c>
      <c r="AL138" s="174">
        <f t="shared" si="315"/>
        <v>0.2</v>
      </c>
      <c r="AM138" s="173">
        <f t="shared" si="316"/>
        <v>-0.01</v>
      </c>
      <c r="AN138" s="173">
        <f t="shared" si="317"/>
        <v>0.16</v>
      </c>
      <c r="AO138" s="174">
        <f t="shared" si="318"/>
        <v>0.01</v>
      </c>
      <c r="AP138" s="173">
        <f t="shared" si="319"/>
        <v>-0.01</v>
      </c>
      <c r="AQ138" s="173">
        <f t="shared" si="320"/>
        <v>0.16</v>
      </c>
      <c r="AR138" s="175">
        <f t="shared" si="321"/>
        <v>0.01</v>
      </c>
      <c r="AS138" s="521">
        <f t="shared" si="405"/>
        <v>0.5</v>
      </c>
      <c r="AT138" s="349">
        <f t="shared" si="403"/>
        <v>22</v>
      </c>
      <c r="AU138" s="159">
        <f t="shared" si="240"/>
        <v>4</v>
      </c>
      <c r="AV138" s="159">
        <f t="shared" si="241"/>
        <v>4</v>
      </c>
      <c r="AW138" s="159">
        <f t="shared" si="406"/>
        <v>0</v>
      </c>
      <c r="AX138" s="15">
        <f t="shared" si="404"/>
        <v>30</v>
      </c>
      <c r="AY138" s="607">
        <f>IF(E138="",0,MIN((1-(1-VLOOKUP(B138,MAIN!$AA$7:$AM$28,C138+1))*(1-VLOOKUP(B138,MAIN!$AA$33:$AM$54,C138+1))),1))</f>
        <v>3.0000000000000027E-2</v>
      </c>
      <c r="AZ138" s="337">
        <v>51216</v>
      </c>
      <c r="BA138" s="509">
        <v>9312</v>
      </c>
      <c r="BB138" s="509">
        <v>9312</v>
      </c>
      <c r="BC138" s="511">
        <v>34920</v>
      </c>
      <c r="BD138" s="153">
        <v>0.97000000722706314</v>
      </c>
      <c r="BE138" s="474">
        <v>0.97000000722706314</v>
      </c>
      <c r="BF138" s="474">
        <v>0.97000000722706314</v>
      </c>
      <c r="BG138" s="515">
        <v>0.97000000722706314</v>
      </c>
      <c r="BH138" s="262">
        <v>204864</v>
      </c>
      <c r="BI138" s="509">
        <v>37248</v>
      </c>
      <c r="BJ138" s="509">
        <v>37248</v>
      </c>
      <c r="BK138" s="511">
        <v>139680</v>
      </c>
      <c r="BL138" s="153">
        <v>0.97000000722706314</v>
      </c>
      <c r="BM138" s="474">
        <v>0.97000000722706314</v>
      </c>
      <c r="BN138" s="474">
        <v>0.97000000722706314</v>
      </c>
      <c r="BO138" s="474">
        <v>0.97000000722706314</v>
      </c>
      <c r="BP138" s="261">
        <f t="shared" si="324"/>
        <v>69840</v>
      </c>
      <c r="BQ138" s="578">
        <f t="shared" si="325"/>
        <v>104760</v>
      </c>
      <c r="BR138" s="259">
        <f t="shared" si="326"/>
        <v>279360</v>
      </c>
      <c r="BS138" s="578">
        <f t="shared" si="327"/>
        <v>419040</v>
      </c>
      <c r="BT138" s="216">
        <f t="shared" si="328"/>
        <v>10.130047912388775</v>
      </c>
      <c r="BU138" s="218">
        <f t="shared" si="243"/>
        <v>36.845203713837684</v>
      </c>
      <c r="BV138" s="216">
        <f t="shared" si="244"/>
        <v>36.845203713837684</v>
      </c>
      <c r="BW138" s="216">
        <f t="shared" si="245"/>
        <v>21.870100951512885</v>
      </c>
      <c r="BX138" s="216">
        <f t="shared" si="329"/>
        <v>21.870100951512885</v>
      </c>
      <c r="BY138" s="216">
        <f t="shared" si="246"/>
        <v>34.84852334552771</v>
      </c>
      <c r="BZ138" s="216">
        <f t="shared" si="247"/>
        <v>30.522382547522767</v>
      </c>
      <c r="CA138" s="264">
        <f t="shared" si="248"/>
        <v>36.845203713837684</v>
      </c>
      <c r="CB138" s="216">
        <f t="shared" si="249"/>
        <v>36.845203713837684</v>
      </c>
      <c r="CC138" s="216">
        <f t="shared" si="250"/>
        <v>21.870100951512885</v>
      </c>
      <c r="CD138" s="216">
        <f t="shared" si="330"/>
        <v>21.870100951512885</v>
      </c>
      <c r="CE138" s="216">
        <f t="shared" si="251"/>
        <v>34.84852334552771</v>
      </c>
      <c r="CF138" s="571">
        <f t="shared" si="252"/>
        <v>30.522382547522767</v>
      </c>
      <c r="CG138" s="573">
        <f t="shared" si="253"/>
        <v>0.13</v>
      </c>
      <c r="CH138" s="219">
        <f t="shared" si="254"/>
        <v>0.13</v>
      </c>
      <c r="CI138" s="219">
        <f t="shared" si="255"/>
        <v>0.11</v>
      </c>
      <c r="CJ138" s="219">
        <f t="shared" si="256"/>
        <v>0.12834627755450892</v>
      </c>
      <c r="CK138" s="219">
        <f t="shared" si="257"/>
        <v>0.12834627755450892</v>
      </c>
      <c r="CL138" s="219">
        <f t="shared" si="258"/>
        <v>0.11</v>
      </c>
      <c r="CM138" s="219">
        <f t="shared" si="259"/>
        <v>0.11357931601053814</v>
      </c>
      <c r="CN138" s="569">
        <f t="shared" si="260"/>
        <v>0.11357931601053814</v>
      </c>
      <c r="CO138" s="264">
        <f t="shared" si="343"/>
        <v>19.343712106868331</v>
      </c>
      <c r="CP138" s="216">
        <f t="shared" si="331"/>
        <v>19.343712106868331</v>
      </c>
      <c r="CQ138" s="216">
        <f t="shared" ca="1" si="361"/>
        <v>19.343712106868331</v>
      </c>
      <c r="CR138" s="216">
        <f t="shared" ca="1" si="362"/>
        <v>19.343712106868331</v>
      </c>
      <c r="CS138" s="1626">
        <f t="shared" ca="1" si="363"/>
        <v>19.343712106868331</v>
      </c>
      <c r="CT138" s="216">
        <f t="shared" si="332"/>
        <v>19.343712106868331</v>
      </c>
      <c r="CU138" s="575">
        <f t="shared" si="261"/>
        <v>0.158</v>
      </c>
      <c r="CV138" s="154">
        <f t="shared" si="262"/>
        <v>0.5</v>
      </c>
      <c r="CW138" s="216">
        <f>IF(OR($BQ138,$BS138),SpreadOptPowerMargin,0)*((1+Assumptions!$C$26)^($B138-YEAR(Assumptions!$C$17)))</f>
        <v>2.0676342017687039</v>
      </c>
      <c r="CX138" s="216">
        <f>IF(OR($BQ138,$BS138),SpreadOptPowerMargin,0)*((1+Assumptions!$C$26)^($B138-YEAR(Assumptions!$C$17)))</f>
        <v>2.0676342017687039</v>
      </c>
      <c r="CY138" s="216">
        <f>IF(OR($BQ138,$BS138),SpreadOptPowerMargin,0)*((1+Assumptions!$C$26)^($B138-YEAR(Assumptions!$C$17)))</f>
        <v>2.0676342017687039</v>
      </c>
      <c r="CZ138" s="216">
        <f>IF(OR($BQ138,$BS138),SpreadOptPowerMargin,0)*((1+Assumptions!$C$26)^($B138-YEAR(Assumptions!$C$17)))</f>
        <v>2.0676342017687039</v>
      </c>
      <c r="DA138" s="440">
        <f t="shared" si="263"/>
        <v>2.0676342017687039</v>
      </c>
      <c r="DB138" s="479">
        <f t="shared" si="264"/>
        <v>0.13</v>
      </c>
      <c r="DC138" s="479">
        <f t="shared" si="265"/>
        <v>0.13</v>
      </c>
      <c r="DD138" s="479">
        <f t="shared" si="266"/>
        <v>0.11</v>
      </c>
      <c r="DE138" s="479">
        <f t="shared" si="267"/>
        <v>0.11</v>
      </c>
      <c r="DF138" s="479">
        <f t="shared" si="268"/>
        <v>0.11357931601053814</v>
      </c>
      <c r="DG138" s="574">
        <f t="shared" si="269"/>
        <v>0.11357931601053814</v>
      </c>
      <c r="DH138" s="216">
        <f t="shared" si="270"/>
        <v>16.066297501364904</v>
      </c>
      <c r="DI138" s="216">
        <f t="shared" si="271"/>
        <v>16.066297501364904</v>
      </c>
      <c r="DJ138" s="216">
        <f t="shared" ca="1" si="364"/>
        <v>3.7660683471580194</v>
      </c>
      <c r="DK138" s="216">
        <f t="shared" ca="1" si="365"/>
        <v>3.7660683471580194</v>
      </c>
      <c r="DL138" s="216">
        <f t="shared" ca="1" si="366"/>
        <v>10.282692076340584</v>
      </c>
      <c r="DM138" s="216"/>
      <c r="DN138" s="216"/>
      <c r="DO138" s="216"/>
      <c r="DP138" s="216"/>
      <c r="DQ138" s="216"/>
      <c r="DR138" s="216"/>
      <c r="DS138" s="216"/>
      <c r="DT138" s="216"/>
      <c r="DU138" s="216"/>
      <c r="DV138" s="216"/>
      <c r="DW138" s="1371">
        <f t="shared" si="272"/>
        <v>3.7660683471580194</v>
      </c>
      <c r="DX138" s="216">
        <f t="shared" si="273"/>
        <v>3.7660683471580194</v>
      </c>
      <c r="DY138" s="440">
        <f t="shared" si="274"/>
        <v>10.872867414033106</v>
      </c>
      <c r="DZ138" s="180">
        <f t="shared" si="275"/>
        <v>822851.49282990489</v>
      </c>
      <c r="EA138" s="180">
        <f t="shared" si="276"/>
        <v>149609.36233270998</v>
      </c>
      <c r="EB138" s="180">
        <f t="shared" ca="1" si="367"/>
        <v>35069.628448735479</v>
      </c>
      <c r="EC138" s="180">
        <f t="shared" ca="1" si="368"/>
        <v>131511.10668275805</v>
      </c>
      <c r="ED138" s="180">
        <f t="shared" ca="1" si="369"/>
        <v>1077214.8219174396</v>
      </c>
      <c r="EE138" s="581">
        <f t="shared" si="277"/>
        <v>790460.44086475635</v>
      </c>
      <c r="EF138" s="554">
        <f t="shared" si="278"/>
        <v>143720.08015722843</v>
      </c>
      <c r="EG138" s="554">
        <f t="shared" ca="1" si="370"/>
        <v>4271.9232344599086</v>
      </c>
      <c r="EH138" s="554">
        <f t="shared" ca="1" si="371"/>
        <v>16019.712129224659</v>
      </c>
      <c r="EI138" s="561">
        <f t="shared" ca="1" si="279"/>
        <v>954472.15638566914</v>
      </c>
      <c r="EJ138" s="581">
        <f t="shared" si="333"/>
        <v>32391.051965148537</v>
      </c>
      <c r="EK138" s="554">
        <f t="shared" si="334"/>
        <v>5889.2821754815523</v>
      </c>
      <c r="EL138" s="554">
        <f t="shared" ca="1" si="372"/>
        <v>30797.705214275571</v>
      </c>
      <c r="EM138" s="554">
        <f t="shared" ca="1" si="373"/>
        <v>115491.39455353339</v>
      </c>
      <c r="EN138" s="561">
        <f t="shared" ca="1" si="374"/>
        <v>122742.66553177044</v>
      </c>
      <c r="EO138" s="180">
        <f t="shared" si="280"/>
        <v>3291405.9713196196</v>
      </c>
      <c r="EP138" s="180">
        <f t="shared" si="281"/>
        <v>598437.44933083991</v>
      </c>
      <c r="EQ138" s="180">
        <f t="shared" si="282"/>
        <v>140278.51379494191</v>
      </c>
      <c r="ER138" s="180">
        <f t="shared" si="283"/>
        <v>526044.4267310322</v>
      </c>
      <c r="ES138" s="180">
        <f t="shared" si="284"/>
        <v>4556166.361176433</v>
      </c>
      <c r="ET138" s="1482">
        <f t="shared" ca="1" si="375"/>
        <v>3161841.7634590254</v>
      </c>
      <c r="EU138" s="180">
        <f t="shared" ca="1" si="376"/>
        <v>574880.3206289137</v>
      </c>
      <c r="EV138" s="180">
        <f t="shared" ca="1" si="377"/>
        <v>17087.692937839634</v>
      </c>
      <c r="EW138" s="180">
        <f t="shared" ca="1" si="378"/>
        <v>64078.848516898637</v>
      </c>
      <c r="EX138" s="555">
        <f t="shared" ca="1" si="351"/>
        <v>3817888.6255426775</v>
      </c>
      <c r="EY138" s="180">
        <f t="shared" ca="1" si="379"/>
        <v>129564.20786059415</v>
      </c>
      <c r="EZ138" s="180">
        <f t="shared" ca="1" si="380"/>
        <v>23557.128701926209</v>
      </c>
      <c r="FA138" s="180">
        <f t="shared" ca="1" si="381"/>
        <v>123190.82085710228</v>
      </c>
      <c r="FB138" s="180">
        <f t="shared" ca="1" si="382"/>
        <v>461965.57821413357</v>
      </c>
      <c r="FC138" s="180">
        <f t="shared" ca="1" si="383"/>
        <v>738277.73563375557</v>
      </c>
      <c r="FD138" s="262">
        <f>IF(AX138,IF(VLOOKUP(C138,MAIN!$L$17:$M$28,2)="Yes",VLOOKUP(CALC!B138,MAIN!$H$17:$I$20,2),0),0)</f>
        <v>0</v>
      </c>
      <c r="FE138" s="623">
        <f t="shared" si="285"/>
        <v>0</v>
      </c>
      <c r="FF138" s="535">
        <f t="shared" si="286"/>
        <v>0</v>
      </c>
      <c r="FG138" s="535">
        <f t="shared" si="287"/>
        <v>0</v>
      </c>
      <c r="FH138" s="624">
        <f t="shared" si="288"/>
        <v>0</v>
      </c>
      <c r="FI138" s="632">
        <f>IF(AX138,VLOOKUP(CALC!B138,MAIN!$H$17:$K$20,4),0)</f>
        <v>0</v>
      </c>
      <c r="FJ138" s="535">
        <f t="shared" si="289"/>
        <v>0</v>
      </c>
      <c r="FK138" s="648">
        <f t="shared" si="335"/>
        <v>0</v>
      </c>
      <c r="FL138" s="530">
        <f t="shared" ca="1" si="384"/>
        <v>0</v>
      </c>
      <c r="FM138" s="530">
        <f t="shared" ca="1" si="385"/>
        <v>0</v>
      </c>
      <c r="FN138" s="530">
        <f t="shared" ca="1" si="386"/>
        <v>0</v>
      </c>
      <c r="FO138" s="622">
        <f t="shared" ca="1" si="387"/>
        <v>0</v>
      </c>
      <c r="FP138" s="530">
        <f t="shared" ca="1" si="388"/>
        <v>0</v>
      </c>
      <c r="FQ138" s="530">
        <f t="shared" ca="1" si="389"/>
        <v>0</v>
      </c>
      <c r="FR138" s="530">
        <f t="shared" ca="1" si="390"/>
        <v>0</v>
      </c>
      <c r="FS138" s="625">
        <f t="shared" ca="1" si="391"/>
        <v>0</v>
      </c>
      <c r="FT138" s="640">
        <f ca="1">IF(AND(Assumptions!$H$71="Yes",A138&gt;=Assumptions!$H$72,A138&lt;=Assumptions!$H$73),0,IF(AND($A138&gt;=Assumptions!$C$17,$A138&lt;=Assumptions!$C$18),MAX(AZ138*(1+VLOOKUP($C138,WeatherCapacityAdjustment,2))-FL138,0),0))</f>
        <v>51216</v>
      </c>
      <c r="FU138" s="530">
        <f ca="1">IF(AND(Assumptions!$H$71="Yes",A138&gt;=Assumptions!$H$72,A138&lt;=Assumptions!$H$73),0,IF(AND($A138&gt;=Assumptions!$C$17,$A138&lt;=Assumptions!$C$18),MAX(BA138*(1+VLOOKUP($C138,WeatherCapacityAdjustment,2))-FM138,0),0))</f>
        <v>9312</v>
      </c>
      <c r="FV138" s="530">
        <f ca="1">IF(AND(Assumptions!$H$71="Yes",A138&gt;=Assumptions!$H$72,A138&lt;=Assumptions!$H$73),0,IF(AND($A138&gt;=Assumptions!$C$17,$A138&lt;=Assumptions!$C$18),MAX(BB138*(1+VLOOKUP($C138,WeatherCapacityAdjustment,2))-FN138,0),0))</f>
        <v>9312</v>
      </c>
      <c r="FW138" s="622">
        <f ca="1">IF(AND(Assumptions!$H$71="Yes",A138&gt;=Assumptions!$H$72,A138&lt;=Assumptions!$H$73),0,IF(AND($A138&gt;=Assumptions!$C$17,$A138&lt;=Assumptions!$C$18),MAX(BC138*(1+VLOOKUP($C138,WeatherCapacityAdjustment,3))-FO138,0),0))</f>
        <v>34920</v>
      </c>
      <c r="FX138" s="621">
        <f ca="1">IF(AND(Assumptions!$H$71="Yes",A138&gt;=Assumptions!$H$72,A138&lt;=Assumptions!$H$73),0,IF(ET138&gt;0,MAX(BH138*(1+VLOOKUP($C138,WeatherCapacityAdjustment,2))-FP138,0),0))</f>
        <v>204864</v>
      </c>
      <c r="FY138" s="530">
        <f ca="1">IF(AND(Assumptions!$H$71="Yes",A138&gt;=Assumptions!$H$72,A138&lt;=Assumptions!$H$73),0,IF(EU138&gt;0,MAX(BI138*(1+VLOOKUP($C138,WeatherCapacityAdjustment,3))-FQ138,0),0))</f>
        <v>37248</v>
      </c>
      <c r="FZ138" s="530">
        <f ca="1">IF(AND(Assumptions!$H$71="Yes",A138&gt;=Assumptions!$H$72,A138&lt;=Assumptions!$H$73),0,IF(EV138&gt;0,MAX(BJ138*(1+VLOOKUP($C138,WeatherCapacityAdjustment,2))-FR138,0),0))</f>
        <v>37248</v>
      </c>
      <c r="GA138" s="622">
        <f ca="1">IF(AND(Assumptions!$H$71="Yes",A138&gt;=Assumptions!$H$72,A138&lt;=Assumptions!$H$73),0,IF(EW138&gt;0,MAX(BK138*(1+VLOOKUP($C138,WeatherCapacityAdjustment,2))-FS138,0),0))</f>
        <v>139680</v>
      </c>
      <c r="GB138" s="530">
        <f t="shared" ca="1" si="290"/>
        <v>523800</v>
      </c>
      <c r="GC138" s="545">
        <f t="shared" ca="1" si="291"/>
        <v>30.522382547522767</v>
      </c>
      <c r="GD138" s="530">
        <f t="shared" ca="1" si="392"/>
        <v>15987623.978392428</v>
      </c>
      <c r="GE138" s="1485">
        <f t="shared" ca="1" si="393"/>
        <v>741298.52159999998</v>
      </c>
      <c r="GF138" s="1776">
        <f t="shared" ca="1" si="394"/>
        <v>2965194.0863999999</v>
      </c>
      <c r="GG138" s="545">
        <f t="shared" si="359"/>
        <v>2.7336453820812885</v>
      </c>
      <c r="GH138" s="622">
        <f t="shared" ca="1" si="360"/>
        <v>10132236.401577631</v>
      </c>
      <c r="GI138" s="621">
        <f t="shared" ca="1" si="336"/>
        <v>523800</v>
      </c>
      <c r="GJ138" s="638">
        <f t="shared" si="292"/>
        <v>2.0676342017687039</v>
      </c>
      <c r="GK138" s="625">
        <f t="shared" ca="1" si="342"/>
        <v>1083026.794886447</v>
      </c>
      <c r="GL138" s="640">
        <f t="shared" ca="1" si="395"/>
        <v>0</v>
      </c>
      <c r="GM138" s="530">
        <f t="shared" ca="1" si="396"/>
        <v>0</v>
      </c>
      <c r="GN138" s="530">
        <f t="shared" ca="1" si="397"/>
        <v>0</v>
      </c>
      <c r="GO138" s="622">
        <f t="shared" ca="1" si="398"/>
        <v>0</v>
      </c>
      <c r="GP138" s="530">
        <f t="shared" ca="1" si="293"/>
        <v>0</v>
      </c>
      <c r="GQ138" s="545">
        <f t="shared" ca="1" si="294"/>
        <v>0</v>
      </c>
      <c r="GR138" s="625">
        <f t="shared" ca="1" si="399"/>
        <v>0</v>
      </c>
      <c r="GS138" s="640">
        <f>IF($A138&gt;=BegDate,Assumptions!$C$56*24*($A139-$A138)*(1-VLOOKUP($B138,MAIN!$AA$7:$AM$28,$C138+1))*(1-VLOOKUP($B138,MAIN!$AA$33:$AM$54,$C138+1)),0)*80/168</f>
        <v>249428.57142857142</v>
      </c>
      <c r="GT138" s="1715">
        <f t="shared" si="337"/>
        <v>36.845203439319526</v>
      </c>
      <c r="GU138" s="1715">
        <f>IF($A138&gt;=BegDate,VLOOKUP($A138,GasTable,13)+Assumptions!$C$58,0)</f>
        <v>2.7336453820812885</v>
      </c>
      <c r="GV138" s="1715">
        <f>GU138*Assumptions!$C$57/1000</f>
        <v>19.818929020089342</v>
      </c>
      <c r="GW138" s="625">
        <f>IF(Assumptions!$C$60="Hourly",MAX(0,GS138*(GT138-GV138)),GS138*(GT138-GV138))</f>
        <v>4246839.305139414</v>
      </c>
      <c r="GX138" s="640">
        <f>IF($A138&gt;=BegDate,Assumptions!$C$56*24*($A139-$A138)*(1-VLOOKUP($B138,MAIN!$AA$7:$AM$28,$C138+1))*(1-VLOOKUP($B138,MAIN!$AA$33:$AM$54,$C138+1)),0)*16/168</f>
        <v>49885.714285714283</v>
      </c>
      <c r="GY138" s="1715">
        <f t="shared" si="338"/>
        <v>36.845203439319526</v>
      </c>
      <c r="GZ138" s="1715">
        <f>IF($A138&gt;=BegDate,VLOOKUP($A138,GasTable,13)+Assumptions!$C$58,0)</f>
        <v>2.7336453820812885</v>
      </c>
      <c r="HA138" s="1715">
        <f>GZ138*Assumptions!$C$57/1000</f>
        <v>19.818929020089342</v>
      </c>
      <c r="HB138" s="625">
        <f>IF(Assumptions!$C$60="Hourly",MAX(0,GX138*(GY138-HA138)),GX138*(GY138-HA138))</f>
        <v>849367.86102788278</v>
      </c>
      <c r="HC138" s="640">
        <f>IF($A138&gt;=BegDate,Assumptions!$C$56*24*($A139-$A138)*(1-VLOOKUP($B138,MAIN!$AA$7:$AM$28,$C138+1))*(1-VLOOKUP($B138,MAIN!$AA$33:$AM$54,$C138+1)),0)*16/168</f>
        <v>49885.714285714283</v>
      </c>
      <c r="HD138" s="1715">
        <f t="shared" si="339"/>
        <v>21.870100788567935</v>
      </c>
      <c r="HE138" s="1715">
        <f>IF($A138&gt;=BegDate,VLOOKUP($A138,GasTable,13)+Assumptions!$C$58,0)</f>
        <v>2.7336453820812885</v>
      </c>
      <c r="HF138" s="1715">
        <f>HE138*Assumptions!$C$57/1000</f>
        <v>19.818929020089342</v>
      </c>
      <c r="HG138" s="625">
        <f>IF(Assumptions!$C$60="Hourly",MAX(0,HC138*(HD138-HF138)),HC138*(HD138-HF138))</f>
        <v>102324.16879324637</v>
      </c>
      <c r="HH138" s="640">
        <f>IF($A138&gt;=BegDate,Assumptions!$C$56*24*($A139-$A138)*(1-VLOOKUP($B138,MAIN!$AA$7:$AM$28,$C138+1))*(1-VLOOKUP($B138,MAIN!$AA$33:$AM$54,$C138+1)),0)*56/168</f>
        <v>174600</v>
      </c>
      <c r="HI138" s="1715">
        <f t="shared" si="340"/>
        <v>21.870100788567935</v>
      </c>
      <c r="HJ138" s="1715">
        <f>IF($A138&gt;=BegDate,VLOOKUP($A138,GasTable,13)+Assumptions!$C$58,0)</f>
        <v>2.7336453820812885</v>
      </c>
      <c r="HK138" s="1715">
        <f>HJ138*Assumptions!$C$57/1000</f>
        <v>19.818929020089342</v>
      </c>
      <c r="HL138" s="625">
        <f>IF(Assumptions!$C$60="Hourly",MAX(0,HH138*(HI138-HK138)),HH138*(HI138-HK138))</f>
        <v>358134.59077636228</v>
      </c>
      <c r="HM138" s="640">
        <f>IF(AND(Assumptions!$H$71="Yes",A138&gt;=Assumptions!$H$72,A138&lt;=Assumptions!$H$73),Assumptions!$H$74*Assumptions!$C$9*1000,0)</f>
        <v>0</v>
      </c>
      <c r="HN138" s="530"/>
      <c r="HO138" s="545"/>
      <c r="HP138" s="545"/>
      <c r="HQ138" s="545"/>
      <c r="HR138" s="545"/>
      <c r="HS138" s="545"/>
      <c r="HT138" s="545"/>
      <c r="HU138" s="545"/>
      <c r="HV138" s="545"/>
      <c r="HW138" s="545"/>
      <c r="HX138" s="545"/>
      <c r="HY138" s="545"/>
      <c r="HZ138" s="545"/>
      <c r="IA138" s="545"/>
      <c r="IB138" s="545"/>
      <c r="IC138" s="545"/>
      <c r="ID138" s="545"/>
      <c r="IE138" s="545"/>
      <c r="IF138" s="545"/>
      <c r="IG138" s="545"/>
      <c r="IH138" s="545"/>
      <c r="II138" s="1464"/>
      <c r="IJ138" s="1463"/>
      <c r="IK138" s="1463"/>
    </row>
    <row r="139" spans="1:245">
      <c r="A139" s="177">
        <f t="shared" si="295"/>
        <v>40360</v>
      </c>
      <c r="B139" s="349">
        <f t="shared" si="296"/>
        <v>2010</v>
      </c>
      <c r="C139" s="15">
        <f t="shared" si="400"/>
        <v>7</v>
      </c>
      <c r="D139" s="612">
        <f t="shared" si="297"/>
        <v>40364</v>
      </c>
      <c r="E139" s="609">
        <f t="shared" si="401"/>
        <v>40360</v>
      </c>
      <c r="F139" s="614">
        <f t="shared" si="402"/>
        <v>40390</v>
      </c>
      <c r="G139" s="1349">
        <v>0</v>
      </c>
      <c r="H139" s="152">
        <f t="shared" si="341"/>
        <v>1</v>
      </c>
      <c r="I139" s="154">
        <f>IF(Assumptions!$L$25=4,VLOOKUP($A139,'Henwood Reference'!$E$9:$R$320,10),(VLOOKUP($A139,PriceTable,2,0)+IF(BasisNumber&lt;&gt;1,VLOOKUP($A139,BasisTable,2,0),0)+I$1)/(1-I$2))</f>
        <v>60.973613290369748</v>
      </c>
      <c r="J139" s="154">
        <f>IF(Assumptions!$L$25=4,VLOOKUP($A139,'Henwood Reference'!$E$9:$R$320,10),(VLOOKUP($A139,PriceTable,3,0)+IF(BasisNumber&lt;&gt;1,VLOOKUP($A139,BasisTable,2,0),0)+J$1)/(1-J$2))</f>
        <v>60.973613290369748</v>
      </c>
      <c r="K139" s="154">
        <f>IF(Assumptions!$L$25=4,VLOOKUP($A139,'Henwood Reference'!$E$9:$R$320,10),(VLOOKUP($A139,PriceTable,4,0)+IF(BasisNumber&lt;&gt;1,VLOOKUP($A139,BasisTable,2,0),0)+K$1)/(1-K$2))</f>
        <v>60.973613290369748</v>
      </c>
      <c r="L139" s="474">
        <f>IF(Assumptions!$L$25=4,VLOOKUP($A139,'Henwood Reference'!$E$9:$R$320,10),(VLOOKUP($A139,PriceTableWeekend,2,0)+IF(BasisNumber&lt;&gt;1,VLOOKUP($A139,BasisTable,2,0),0)+L$1)/(1-L$2))</f>
        <v>60.973613290369748</v>
      </c>
      <c r="M139" s="154">
        <f>IF(Assumptions!$L$25=4,VLOOKUP($A139,'Henwood Reference'!$E$9:$R$320,10),(VLOOKUP($A139,PriceTableWeekend,3,0)+IF(BasisNumber&lt;&gt;1,VLOOKUP($A139,BasisTable,2,0),0)+M$1)/(1-M$2))</f>
        <v>60.973613290369748</v>
      </c>
      <c r="N139" s="156">
        <f>IF(Assumptions!$L$25=4,VLOOKUP($A139,'Henwood Reference'!$E$9:$R$320,10),(VLOOKUP($A139,PriceTableWeekend,4,0)+IF(BasisNumber&lt;&gt;1,VLOOKUP($A139,BasisTable,2,0),0)+N$1)/(1-N$2))</f>
        <v>60.973613290369748</v>
      </c>
      <c r="O139" s="154">
        <f>IF(Assumptions!$L$25=4,VLOOKUP($A139,'Henwood Reference'!$E$9:$R$320,11),(VLOOKUP($A139,PriceTableWeekend,6,0)+IF(BasisNumber&lt;&gt;1,VLOOKUP($A139,BasisTable,3,0),0)+O$1)/(1-O$2))</f>
        <v>28.17742171650481</v>
      </c>
      <c r="P139" s="154">
        <f>IF(Assumptions!$L$25=4,VLOOKUP($A139,'Henwood Reference'!$E$9:$R$320,11),(VLOOKUP($A139,PriceTableWeekend,7,0)+IF(BasisNumber&lt;&gt;1,VLOOKUP($A139,BasisTable,3,0),0)+P$1)/(1-P$2))</f>
        <v>28.17742171650481</v>
      </c>
      <c r="Q139" s="156">
        <f>IF(Assumptions!$L$25=4,VLOOKUP($A139,'Henwood Reference'!$E$9:$R$320,11),(VLOOKUP($A139,PriceTableWeekend,8,0)+IF(BasisNumber&lt;&gt;1,VLOOKUP($A139,BasisTable,3,0),0)+Q$1)/(1-Q$2))</f>
        <v>28.17742171650481</v>
      </c>
      <c r="R139" s="154">
        <f>IF(Assumptions!$L$25=4,VLOOKUP($A139,'Henwood Reference'!$E$9:$R$320,11),(VLOOKUP($A139,PriceTable,6,0)+IF(BasisNumber&lt;&gt;1,VLOOKUP($A139,BasisTable,3,0),0)+R$1)/(1-R$2))</f>
        <v>28.17742171650481</v>
      </c>
      <c r="S139" s="154">
        <f>IF(Assumptions!$L$25=4,VLOOKUP($A139,'Henwood Reference'!$E$9:$R$320,11),(VLOOKUP($A139,PriceTable,7,0)+IF(BasisNumber&lt;&gt;1,VLOOKUP($A139,BasisTable,3,0),0)+S$1)/(1-S$2))</f>
        <v>28.17742171650481</v>
      </c>
      <c r="T139" s="155">
        <f>IF(Assumptions!$L$25=4,VLOOKUP($A139,'Henwood Reference'!$E$9:$R$320,11),(VLOOKUP($A139,PriceTable,8,0)+IF(BasisNumber&lt;&gt;1,VLOOKUP($A139,BasisTable,3,0),0)+T$1)/(1-T$2))</f>
        <v>28.17742171650481</v>
      </c>
      <c r="U139" s="173">
        <f t="shared" si="298"/>
        <v>0.12</v>
      </c>
      <c r="V139" s="173">
        <f t="shared" si="299"/>
        <v>0.13</v>
      </c>
      <c r="W139" s="174">
        <f t="shared" si="300"/>
        <v>0.14000000000000001</v>
      </c>
      <c r="X139" s="173">
        <f t="shared" si="301"/>
        <v>0.12</v>
      </c>
      <c r="Y139" s="173">
        <f t="shared" si="302"/>
        <v>0.13</v>
      </c>
      <c r="Z139" s="174">
        <f t="shared" si="303"/>
        <v>0.14000000000000001</v>
      </c>
      <c r="AA139" s="173">
        <f t="shared" si="304"/>
        <v>0.09</v>
      </c>
      <c r="AB139" s="173">
        <f t="shared" si="305"/>
        <v>0.11</v>
      </c>
      <c r="AC139" s="174">
        <f t="shared" si="306"/>
        <v>0.13</v>
      </c>
      <c r="AD139" s="173">
        <f t="shared" si="307"/>
        <v>0.09</v>
      </c>
      <c r="AE139" s="173">
        <f t="shared" si="308"/>
        <v>0.11</v>
      </c>
      <c r="AF139" s="174">
        <f t="shared" si="309"/>
        <v>0.13</v>
      </c>
      <c r="AG139" s="173">
        <f t="shared" si="310"/>
        <v>-0.35</v>
      </c>
      <c r="AH139" s="173">
        <f t="shared" si="311"/>
        <v>3</v>
      </c>
      <c r="AI139" s="174">
        <f t="shared" si="312"/>
        <v>0.35</v>
      </c>
      <c r="AJ139" s="173">
        <f t="shared" si="313"/>
        <v>-0.35</v>
      </c>
      <c r="AK139" s="173">
        <f t="shared" si="314"/>
        <v>3</v>
      </c>
      <c r="AL139" s="174">
        <f t="shared" si="315"/>
        <v>0.35</v>
      </c>
      <c r="AM139" s="173">
        <f t="shared" si="316"/>
        <v>-0.01</v>
      </c>
      <c r="AN139" s="173">
        <f t="shared" si="317"/>
        <v>0.16</v>
      </c>
      <c r="AO139" s="174">
        <f t="shared" si="318"/>
        <v>0.01</v>
      </c>
      <c r="AP139" s="173">
        <f t="shared" si="319"/>
        <v>-0.01</v>
      </c>
      <c r="AQ139" s="173">
        <f t="shared" si="320"/>
        <v>0.16</v>
      </c>
      <c r="AR139" s="175">
        <f t="shared" si="321"/>
        <v>0.01</v>
      </c>
      <c r="AS139" s="521">
        <f t="shared" si="405"/>
        <v>0.5</v>
      </c>
      <c r="AT139" s="349">
        <f t="shared" si="403"/>
        <v>21</v>
      </c>
      <c r="AU139" s="159">
        <f t="shared" si="240"/>
        <v>5</v>
      </c>
      <c r="AV139" s="159">
        <f t="shared" si="241"/>
        <v>4</v>
      </c>
      <c r="AW139" s="159">
        <f t="shared" si="406"/>
        <v>1</v>
      </c>
      <c r="AX139" s="15">
        <f t="shared" si="404"/>
        <v>31</v>
      </c>
      <c r="AY139" s="607">
        <f>IF(E139="",0,MIN((1-(1-VLOOKUP(B139,MAIN!$AA$7:$AM$28,C139+1))*(1-VLOOKUP(B139,MAIN!$AA$33:$AM$54,C139+1))),1))</f>
        <v>3.0000000000000027E-2</v>
      </c>
      <c r="AZ139" s="337">
        <v>48888</v>
      </c>
      <c r="BA139" s="509">
        <v>11640</v>
      </c>
      <c r="BB139" s="509">
        <v>11640</v>
      </c>
      <c r="BC139" s="511">
        <v>36084</v>
      </c>
      <c r="BD139" s="153">
        <v>0.97000000361353156</v>
      </c>
      <c r="BE139" s="474">
        <v>0.97000000361353156</v>
      </c>
      <c r="BF139" s="474">
        <v>0.97000000361353156</v>
      </c>
      <c r="BG139" s="515">
        <v>0.96999998554587363</v>
      </c>
      <c r="BH139" s="262">
        <v>195552</v>
      </c>
      <c r="BI139" s="509">
        <v>46560</v>
      </c>
      <c r="BJ139" s="509">
        <v>46560</v>
      </c>
      <c r="BK139" s="511">
        <v>144336</v>
      </c>
      <c r="BL139" s="153">
        <v>0.97000000361353156</v>
      </c>
      <c r="BM139" s="474">
        <v>0.97000000361353156</v>
      </c>
      <c r="BN139" s="474">
        <v>0.97000000361353156</v>
      </c>
      <c r="BO139" s="474">
        <v>0.96999998554587363</v>
      </c>
      <c r="BP139" s="261">
        <f t="shared" si="324"/>
        <v>72168</v>
      </c>
      <c r="BQ139" s="578">
        <f t="shared" si="325"/>
        <v>108252</v>
      </c>
      <c r="BR139" s="259">
        <f t="shared" si="326"/>
        <v>288672</v>
      </c>
      <c r="BS139" s="578">
        <f t="shared" si="327"/>
        <v>433008</v>
      </c>
      <c r="BT139" s="216">
        <f t="shared" si="328"/>
        <v>10.212183436002737</v>
      </c>
      <c r="BU139" s="218">
        <f t="shared" si="243"/>
        <v>60.973613517514153</v>
      </c>
      <c r="BV139" s="216">
        <f t="shared" si="244"/>
        <v>60.973613517514153</v>
      </c>
      <c r="BW139" s="216">
        <f t="shared" si="245"/>
        <v>28.177421821473885</v>
      </c>
      <c r="BX139" s="216">
        <f t="shared" si="329"/>
        <v>28.177421296628509</v>
      </c>
      <c r="BY139" s="216">
        <f t="shared" si="246"/>
        <v>55.683905179443144</v>
      </c>
      <c r="BZ139" s="216">
        <f t="shared" si="247"/>
        <v>46.515077218504928</v>
      </c>
      <c r="CA139" s="264">
        <f t="shared" si="248"/>
        <v>60.973613517514153</v>
      </c>
      <c r="CB139" s="216">
        <f t="shared" si="249"/>
        <v>60.973613517514153</v>
      </c>
      <c r="CC139" s="216">
        <f t="shared" si="250"/>
        <v>28.177421821473885</v>
      </c>
      <c r="CD139" s="216">
        <f t="shared" si="330"/>
        <v>28.177421296628509</v>
      </c>
      <c r="CE139" s="216">
        <f t="shared" si="251"/>
        <v>55.683905179443144</v>
      </c>
      <c r="CF139" s="571">
        <f t="shared" si="252"/>
        <v>46.515077218504928</v>
      </c>
      <c r="CG139" s="573">
        <f t="shared" si="253"/>
        <v>0.13</v>
      </c>
      <c r="CH139" s="219">
        <f t="shared" si="254"/>
        <v>0.13</v>
      </c>
      <c r="CI139" s="219">
        <f t="shared" si="255"/>
        <v>0.11</v>
      </c>
      <c r="CJ139" s="219">
        <f t="shared" si="256"/>
        <v>0.12838719330521839</v>
      </c>
      <c r="CK139" s="219">
        <f t="shared" si="257"/>
        <v>0.12838719330521839</v>
      </c>
      <c r="CL139" s="219">
        <f t="shared" si="258"/>
        <v>0.11</v>
      </c>
      <c r="CM139" s="219">
        <f t="shared" si="259"/>
        <v>0.11560342594145967</v>
      </c>
      <c r="CN139" s="569">
        <f t="shared" si="260"/>
        <v>0.11560342594145967</v>
      </c>
      <c r="CO139" s="264">
        <f t="shared" si="343"/>
        <v>19.847667632161844</v>
      </c>
      <c r="CP139" s="216">
        <f t="shared" si="331"/>
        <v>19.847667632161844</v>
      </c>
      <c r="CQ139" s="216">
        <f t="shared" ca="1" si="361"/>
        <v>19.847667632161844</v>
      </c>
      <c r="CR139" s="216">
        <f t="shared" ca="1" si="362"/>
        <v>19.847667632161844</v>
      </c>
      <c r="CS139" s="1626">
        <f t="shared" ca="1" si="363"/>
        <v>19.847667632161844</v>
      </c>
      <c r="CT139" s="216">
        <f t="shared" si="332"/>
        <v>19.847667632161844</v>
      </c>
      <c r="CU139" s="575">
        <f t="shared" si="261"/>
        <v>0.158</v>
      </c>
      <c r="CV139" s="154">
        <f t="shared" si="262"/>
        <v>0.5</v>
      </c>
      <c r="CW139" s="216">
        <f>IF(OR($BQ139,$BS139),SpreadOptPowerMargin,0)*((1+Assumptions!$C$26)^($B139-YEAR(Assumptions!$C$17)))</f>
        <v>2.0676342017687039</v>
      </c>
      <c r="CX139" s="216">
        <f>IF(OR($BQ139,$BS139),SpreadOptPowerMargin,0)*((1+Assumptions!$C$26)^($B139-YEAR(Assumptions!$C$17)))</f>
        <v>2.0676342017687039</v>
      </c>
      <c r="CY139" s="216">
        <f>IF(OR($BQ139,$BS139),SpreadOptPowerMargin,0)*((1+Assumptions!$C$26)^($B139-YEAR(Assumptions!$C$17)))</f>
        <v>2.0676342017687039</v>
      </c>
      <c r="CZ139" s="216">
        <f>IF(OR($BQ139,$BS139),SpreadOptPowerMargin,0)*((1+Assumptions!$C$26)^($B139-YEAR(Assumptions!$C$17)))</f>
        <v>2.0676342017687039</v>
      </c>
      <c r="DA139" s="440">
        <f t="shared" si="263"/>
        <v>2.0676342017687035</v>
      </c>
      <c r="DB139" s="479">
        <f t="shared" si="264"/>
        <v>0.13</v>
      </c>
      <c r="DC139" s="479">
        <f t="shared" si="265"/>
        <v>0.13</v>
      </c>
      <c r="DD139" s="479">
        <f t="shared" si="266"/>
        <v>0.11</v>
      </c>
      <c r="DE139" s="479">
        <f t="shared" si="267"/>
        <v>0.11</v>
      </c>
      <c r="DF139" s="479">
        <f t="shared" si="268"/>
        <v>0.11560342594145967</v>
      </c>
      <c r="DG139" s="574">
        <f t="shared" si="269"/>
        <v>0.11560342594145967</v>
      </c>
      <c r="DH139" s="216">
        <f t="shared" si="270"/>
        <v>39.116499236054786</v>
      </c>
      <c r="DI139" s="216">
        <f t="shared" si="271"/>
        <v>39.116499236054786</v>
      </c>
      <c r="DJ139" s="216">
        <f t="shared" ca="1" si="364"/>
        <v>7.982792873988271</v>
      </c>
      <c r="DK139" s="216">
        <f t="shared" ca="1" si="365"/>
        <v>7.9827924569820112</v>
      </c>
      <c r="DL139" s="216">
        <f t="shared" ca="1" si="366"/>
        <v>24.810117502670511</v>
      </c>
      <c r="DM139" s="216"/>
      <c r="DN139" s="216"/>
      <c r="DO139" s="216"/>
      <c r="DP139" s="216"/>
      <c r="DQ139" s="216"/>
      <c r="DR139" s="216"/>
      <c r="DS139" s="216"/>
      <c r="DT139" s="216"/>
      <c r="DU139" s="216"/>
      <c r="DV139" s="216"/>
      <c r="DW139" s="1371">
        <f t="shared" si="272"/>
        <v>7.982792873988271</v>
      </c>
      <c r="DX139" s="216">
        <f t="shared" si="273"/>
        <v>7.9827924569820112</v>
      </c>
      <c r="DY139" s="440">
        <f t="shared" si="274"/>
        <v>25.390886614851333</v>
      </c>
      <c r="DZ139" s="180">
        <f t="shared" si="275"/>
        <v>1912327.4146522463</v>
      </c>
      <c r="EA139" s="180">
        <f t="shared" si="276"/>
        <v>455316.05110767769</v>
      </c>
      <c r="EB139" s="180">
        <f t="shared" ca="1" si="367"/>
        <v>92919.709053223472</v>
      </c>
      <c r="EC139" s="180">
        <f t="shared" ca="1" si="368"/>
        <v>288051.08301773889</v>
      </c>
      <c r="ED139" s="180">
        <f t="shared" ca="1" si="369"/>
        <v>2685744.8398990883</v>
      </c>
      <c r="EE139" s="581">
        <f t="shared" si="277"/>
        <v>1909482.7415870351</v>
      </c>
      <c r="EF139" s="554">
        <f t="shared" si="278"/>
        <v>454638.74799691315</v>
      </c>
      <c r="EG139" s="554">
        <f t="shared" ca="1" si="370"/>
        <v>72891.076655004435</v>
      </c>
      <c r="EH139" s="554">
        <f t="shared" ca="1" si="371"/>
        <v>225962.31869199319</v>
      </c>
      <c r="EI139" s="561">
        <f t="shared" ca="1" si="279"/>
        <v>2662974.8849309455</v>
      </c>
      <c r="EJ139" s="581">
        <f t="shared" si="333"/>
        <v>2844.6730652111582</v>
      </c>
      <c r="EK139" s="554">
        <f t="shared" si="334"/>
        <v>677.30311076453654</v>
      </c>
      <c r="EL139" s="554">
        <f t="shared" ca="1" si="372"/>
        <v>20028.632398219037</v>
      </c>
      <c r="EM139" s="554">
        <f t="shared" ca="1" si="373"/>
        <v>62088.764325745695</v>
      </c>
      <c r="EN139" s="561">
        <f t="shared" ca="1" si="374"/>
        <v>22769.954968142789</v>
      </c>
      <c r="EO139" s="180">
        <f t="shared" si="280"/>
        <v>7649309.6586089851</v>
      </c>
      <c r="EP139" s="180">
        <f t="shared" si="281"/>
        <v>1821264.2044307108</v>
      </c>
      <c r="EQ139" s="180">
        <f t="shared" si="282"/>
        <v>371678.83621289389</v>
      </c>
      <c r="ER139" s="180">
        <f t="shared" si="283"/>
        <v>1152204.3320709555</v>
      </c>
      <c r="ES139" s="180">
        <f t="shared" si="284"/>
        <v>10994457.031323547</v>
      </c>
      <c r="ET139" s="1482">
        <f t="shared" ca="1" si="375"/>
        <v>7637930.9663481405</v>
      </c>
      <c r="EU139" s="180">
        <f t="shared" ca="1" si="376"/>
        <v>1818554.9919876526</v>
      </c>
      <c r="EV139" s="180">
        <f t="shared" ca="1" si="377"/>
        <v>291564.30662001774</v>
      </c>
      <c r="EW139" s="180">
        <f t="shared" ca="1" si="378"/>
        <v>903849.27476797276</v>
      </c>
      <c r="EX139" s="555">
        <f t="shared" ca="1" si="351"/>
        <v>10651899.539723784</v>
      </c>
      <c r="EY139" s="180">
        <f t="shared" ca="1" si="379"/>
        <v>11378.692260844633</v>
      </c>
      <c r="EZ139" s="180">
        <f t="shared" ca="1" si="380"/>
        <v>2709.2124430581462</v>
      </c>
      <c r="FA139" s="180">
        <f t="shared" ca="1" si="381"/>
        <v>80114.529592876148</v>
      </c>
      <c r="FB139" s="180">
        <f t="shared" ca="1" si="382"/>
        <v>248355.05730298278</v>
      </c>
      <c r="FC139" s="180">
        <f t="shared" ca="1" si="383"/>
        <v>342557.49159976281</v>
      </c>
      <c r="FD139" s="262">
        <f>IF(AX139,IF(VLOOKUP(C139,MAIN!$L$17:$M$28,2)="Yes",VLOOKUP(CALC!B139,MAIN!$H$17:$I$20,2),0),0)</f>
        <v>0</v>
      </c>
      <c r="FE139" s="623">
        <f t="shared" si="285"/>
        <v>0</v>
      </c>
      <c r="FF139" s="535">
        <f t="shared" si="286"/>
        <v>0</v>
      </c>
      <c r="FG139" s="535">
        <f t="shared" si="287"/>
        <v>0</v>
      </c>
      <c r="FH139" s="624">
        <f t="shared" si="288"/>
        <v>0</v>
      </c>
      <c r="FI139" s="632">
        <f>IF(AX139,VLOOKUP(CALC!B139,MAIN!$H$17:$K$20,4),0)</f>
        <v>0</v>
      </c>
      <c r="FJ139" s="535">
        <f t="shared" si="289"/>
        <v>0</v>
      </c>
      <c r="FK139" s="648">
        <f t="shared" si="335"/>
        <v>0</v>
      </c>
      <c r="FL139" s="530">
        <f t="shared" ca="1" si="384"/>
        <v>0</v>
      </c>
      <c r="FM139" s="530">
        <f t="shared" ca="1" si="385"/>
        <v>0</v>
      </c>
      <c r="FN139" s="530">
        <f t="shared" ca="1" si="386"/>
        <v>0</v>
      </c>
      <c r="FO139" s="622">
        <f t="shared" ca="1" si="387"/>
        <v>0</v>
      </c>
      <c r="FP139" s="530">
        <f t="shared" ca="1" si="388"/>
        <v>0</v>
      </c>
      <c r="FQ139" s="530">
        <f t="shared" ca="1" si="389"/>
        <v>0</v>
      </c>
      <c r="FR139" s="530">
        <f t="shared" ca="1" si="390"/>
        <v>0</v>
      </c>
      <c r="FS139" s="625">
        <f t="shared" ca="1" si="391"/>
        <v>0</v>
      </c>
      <c r="FT139" s="640">
        <f ca="1">IF(AND(Assumptions!$H$71="Yes",A139&gt;=Assumptions!$H$72,A139&lt;=Assumptions!$H$73),0,IF(AND($A139&gt;=Assumptions!$C$17,$A139&lt;=Assumptions!$C$18),MAX(AZ139*(1+VLOOKUP($C139,WeatherCapacityAdjustment,2))-FL139,0),0))</f>
        <v>48888</v>
      </c>
      <c r="FU139" s="530">
        <f ca="1">IF(AND(Assumptions!$H$71="Yes",A139&gt;=Assumptions!$H$72,A139&lt;=Assumptions!$H$73),0,IF(AND($A139&gt;=Assumptions!$C$17,$A139&lt;=Assumptions!$C$18),MAX(BA139*(1+VLOOKUP($C139,WeatherCapacityAdjustment,2))-FM139,0),0))</f>
        <v>11640</v>
      </c>
      <c r="FV139" s="530">
        <f ca="1">IF(AND(Assumptions!$H$71="Yes",A139&gt;=Assumptions!$H$72,A139&lt;=Assumptions!$H$73),0,IF(AND($A139&gt;=Assumptions!$C$17,$A139&lt;=Assumptions!$C$18),MAX(BB139*(1+VLOOKUP($C139,WeatherCapacityAdjustment,2))-FN139,0),0))</f>
        <v>11640</v>
      </c>
      <c r="FW139" s="622">
        <f ca="1">IF(AND(Assumptions!$H$71="Yes",A139&gt;=Assumptions!$H$72,A139&lt;=Assumptions!$H$73),0,IF(AND($A139&gt;=Assumptions!$C$17,$A139&lt;=Assumptions!$C$18),MAX(BC139*(1+VLOOKUP($C139,WeatherCapacityAdjustment,3))-FO139,0),0))</f>
        <v>36084</v>
      </c>
      <c r="FX139" s="621">
        <f ca="1">IF(AND(Assumptions!$H$71="Yes",A139&gt;=Assumptions!$H$72,A139&lt;=Assumptions!$H$73),0,IF(ET139&gt;0,MAX(BH139*(1+VLOOKUP($C139,WeatherCapacityAdjustment,2))-FP139,0),0))</f>
        <v>195552</v>
      </c>
      <c r="FY139" s="530">
        <f ca="1">IF(AND(Assumptions!$H$71="Yes",A139&gt;=Assumptions!$H$72,A139&lt;=Assumptions!$H$73),0,IF(EU139&gt;0,MAX(BI139*(1+VLOOKUP($C139,WeatherCapacityAdjustment,3))-FQ139,0),0))</f>
        <v>46560</v>
      </c>
      <c r="FZ139" s="530">
        <f ca="1">IF(AND(Assumptions!$H$71="Yes",A139&gt;=Assumptions!$H$72,A139&lt;=Assumptions!$H$73),0,IF(EV139&gt;0,MAX(BJ139*(1+VLOOKUP($C139,WeatherCapacityAdjustment,2))-FR139,0),0))</f>
        <v>46560</v>
      </c>
      <c r="GA139" s="622">
        <f ca="1">IF(AND(Assumptions!$H$71="Yes",A139&gt;=Assumptions!$H$72,A139&lt;=Assumptions!$H$73),0,IF(EW139&gt;0,MAX(BK139*(1+VLOOKUP($C139,WeatherCapacityAdjustment,2))-FS139,0),0))</f>
        <v>144336</v>
      </c>
      <c r="GB139" s="530">
        <f t="shared" ca="1" si="290"/>
        <v>541260</v>
      </c>
      <c r="GC139" s="545">
        <f t="shared" ca="1" si="291"/>
        <v>46.515077218504928</v>
      </c>
      <c r="GD139" s="530">
        <f t="shared" ca="1" si="392"/>
        <v>25176750.69528798</v>
      </c>
      <c r="GE139" s="1485">
        <f t="shared" ca="1" si="393"/>
        <v>766326.73320000002</v>
      </c>
      <c r="GF139" s="1776">
        <f t="shared" ca="1" si="394"/>
        <v>3065306.9328000001</v>
      </c>
      <c r="GG139" s="545">
        <f t="shared" si="359"/>
        <v>2.8036992883504745</v>
      </c>
      <c r="GH139" s="622">
        <f t="shared" ca="1" si="360"/>
        <v>10742748.582583921</v>
      </c>
      <c r="GI139" s="621">
        <f t="shared" ca="1" si="336"/>
        <v>541260</v>
      </c>
      <c r="GJ139" s="638">
        <f t="shared" si="292"/>
        <v>2.0676342017687035</v>
      </c>
      <c r="GK139" s="625">
        <f t="shared" ca="1" si="342"/>
        <v>1119127.6880493285</v>
      </c>
      <c r="GL139" s="640">
        <f t="shared" ca="1" si="395"/>
        <v>0</v>
      </c>
      <c r="GM139" s="530">
        <f t="shared" ca="1" si="396"/>
        <v>0</v>
      </c>
      <c r="GN139" s="530">
        <f t="shared" ca="1" si="397"/>
        <v>0</v>
      </c>
      <c r="GO139" s="622">
        <f t="shared" ca="1" si="398"/>
        <v>0</v>
      </c>
      <c r="GP139" s="530">
        <f t="shared" ca="1" si="293"/>
        <v>0</v>
      </c>
      <c r="GQ139" s="545">
        <f t="shared" ca="1" si="294"/>
        <v>0</v>
      </c>
      <c r="GR139" s="625">
        <f t="shared" ca="1" si="399"/>
        <v>0</v>
      </c>
      <c r="GS139" s="640">
        <f>IF($A139&gt;=BegDate,Assumptions!$C$56*24*($A140-$A139)*(1-VLOOKUP($B139,MAIN!$AA$7:$AM$28,$C139+1))*(1-VLOOKUP($B139,MAIN!$AA$33:$AM$54,$C139+1)),0)*80/168</f>
        <v>257742.85714285713</v>
      </c>
      <c r="GT139" s="1715">
        <f t="shared" si="337"/>
        <v>60.973613290369748</v>
      </c>
      <c r="GU139" s="1715">
        <f>IF($A139&gt;=BegDate,VLOOKUP($A139,GasTable,13)+Assumptions!$C$58,0)</f>
        <v>2.8036992883504745</v>
      </c>
      <c r="GV139" s="1715">
        <f>GU139*Assumptions!$C$57/1000</f>
        <v>20.326819840540942</v>
      </c>
      <c r="GW139" s="625">
        <f>IF(Assumptions!$C$60="Hourly",MAX(0,GS139*(GT139-GV139)),GS139*(GT139-GV139))</f>
        <v>10476420.677454447</v>
      </c>
      <c r="GX139" s="640">
        <f>IF($A139&gt;=BegDate,Assumptions!$C$56*24*($A140-$A139)*(1-VLOOKUP($B139,MAIN!$AA$7:$AM$28,$C139+1))*(1-VLOOKUP($B139,MAIN!$AA$33:$AM$54,$C139+1)),0)*16/168</f>
        <v>51548.571428571428</v>
      </c>
      <c r="GY139" s="1715">
        <f t="shared" si="338"/>
        <v>60.973613290369748</v>
      </c>
      <c r="GZ139" s="1715">
        <f>IF($A139&gt;=BegDate,VLOOKUP($A139,GasTable,13)+Assumptions!$C$58,0)</f>
        <v>2.8036992883504745</v>
      </c>
      <c r="HA139" s="1715">
        <f>GZ139*Assumptions!$C$57/1000</f>
        <v>20.326819840540942</v>
      </c>
      <c r="HB139" s="625">
        <f>IF(Assumptions!$C$60="Hourly",MAX(0,GX139*(GY139-HA139)),GX139*(GY139-HA139))</f>
        <v>2095284.1354908894</v>
      </c>
      <c r="HC139" s="640">
        <f>IF($A139&gt;=BegDate,Assumptions!$C$56*24*($A140-$A139)*(1-VLOOKUP($B139,MAIN!$AA$7:$AM$28,$C139+1))*(1-VLOOKUP($B139,MAIN!$AA$33:$AM$54,$C139+1)),0)*16/168</f>
        <v>51548.571428571428</v>
      </c>
      <c r="HD139" s="1715">
        <f t="shared" si="339"/>
        <v>28.17742171650481</v>
      </c>
      <c r="HE139" s="1715">
        <f>IF($A139&gt;=BegDate,VLOOKUP($A139,GasTable,13)+Assumptions!$C$58,0)</f>
        <v>2.8036992883504745</v>
      </c>
      <c r="HF139" s="1715">
        <f>HE139*Assumptions!$C$57/1000</f>
        <v>20.326819840540942</v>
      </c>
      <c r="HG139" s="625">
        <f>IF(Assumptions!$C$60="Hourly",MAX(0,HC139*(HD139-HF139)),HC139*(HD139-HF139))</f>
        <v>404687.3115604003</v>
      </c>
      <c r="HH139" s="640">
        <f>IF($A139&gt;=BegDate,Assumptions!$C$56*24*($A140-$A139)*(1-VLOOKUP($B139,MAIN!$AA$7:$AM$28,$C139+1))*(1-VLOOKUP($B139,MAIN!$AA$33:$AM$54,$C139+1)),0)*56/168</f>
        <v>180420</v>
      </c>
      <c r="HI139" s="1715">
        <f t="shared" si="340"/>
        <v>28.17742171650481</v>
      </c>
      <c r="HJ139" s="1715">
        <f>IF($A139&gt;=BegDate,VLOOKUP($A139,GasTable,13)+Assumptions!$C$58,0)</f>
        <v>2.8036992883504745</v>
      </c>
      <c r="HK139" s="1715">
        <f>HJ139*Assumptions!$C$57/1000</f>
        <v>20.326819840540942</v>
      </c>
      <c r="HL139" s="625">
        <f>IF(Assumptions!$C$60="Hourly",MAX(0,HH139*(HI139-HK139)),HH139*(HI139-HK139))</f>
        <v>1416405.590461401</v>
      </c>
      <c r="HM139" s="640">
        <f>IF(AND(Assumptions!$H$71="Yes",A139&gt;=Assumptions!$H$72,A139&lt;=Assumptions!$H$73),Assumptions!$H$74*Assumptions!$C$9*1000,0)</f>
        <v>0</v>
      </c>
      <c r="HN139" s="530"/>
      <c r="HO139" s="545"/>
      <c r="HP139" s="545"/>
      <c r="HQ139" s="545"/>
      <c r="HR139" s="545"/>
      <c r="HS139" s="545"/>
      <c r="HT139" s="545"/>
      <c r="HU139" s="545"/>
      <c r="HV139" s="545"/>
      <c r="HW139" s="545"/>
      <c r="HX139" s="545"/>
      <c r="HY139" s="545"/>
      <c r="HZ139" s="545"/>
      <c r="IA139" s="545"/>
      <c r="IB139" s="545"/>
      <c r="IC139" s="545"/>
      <c r="ID139" s="545"/>
      <c r="IE139" s="545"/>
      <c r="IF139" s="545"/>
      <c r="IG139" s="545"/>
      <c r="IH139" s="545"/>
      <c r="II139" s="1464"/>
      <c r="IJ139" s="1463"/>
      <c r="IK139" s="1463"/>
    </row>
    <row r="140" spans="1:245">
      <c r="A140" s="177">
        <f t="shared" si="295"/>
        <v>40391</v>
      </c>
      <c r="B140" s="349">
        <f t="shared" si="296"/>
        <v>2010</v>
      </c>
      <c r="C140" s="15">
        <f t="shared" si="400"/>
        <v>8</v>
      </c>
      <c r="D140" s="612" t="str">
        <f t="shared" si="297"/>
        <v/>
      </c>
      <c r="E140" s="609">
        <f t="shared" si="401"/>
        <v>40391</v>
      </c>
      <c r="F140" s="614">
        <f t="shared" si="402"/>
        <v>40421</v>
      </c>
      <c r="G140" s="1349">
        <v>0</v>
      </c>
      <c r="H140" s="152">
        <f t="shared" si="341"/>
        <v>1</v>
      </c>
      <c r="I140" s="154">
        <f>IF(Assumptions!$L$25=4,VLOOKUP($A140,'Henwood Reference'!$E$9:$R$320,10),(VLOOKUP($A140,PriceTable,2,0)+IF(BasisNumber&lt;&gt;1,VLOOKUP($A140,BasisTable,2,0),0)+I$1)/(1-I$2))</f>
        <v>112.33106719916886</v>
      </c>
      <c r="J140" s="154">
        <f>IF(Assumptions!$L$25=4,VLOOKUP($A140,'Henwood Reference'!$E$9:$R$320,10),(VLOOKUP($A140,PriceTable,3,0)+IF(BasisNumber&lt;&gt;1,VLOOKUP($A140,BasisTable,2,0),0)+J$1)/(1-J$2))</f>
        <v>112.33106719916886</v>
      </c>
      <c r="K140" s="154">
        <f>IF(Assumptions!$L$25=4,VLOOKUP($A140,'Henwood Reference'!$E$9:$R$320,10),(VLOOKUP($A140,PriceTable,4,0)+IF(BasisNumber&lt;&gt;1,VLOOKUP($A140,BasisTable,2,0),0)+K$1)/(1-K$2))</f>
        <v>112.33106719916886</v>
      </c>
      <c r="L140" s="474">
        <f>IF(Assumptions!$L$25=4,VLOOKUP($A140,'Henwood Reference'!$E$9:$R$320,10),(VLOOKUP($A140,PriceTableWeekend,2,0)+IF(BasisNumber&lt;&gt;1,VLOOKUP($A140,BasisTable,2,0),0)+L$1)/(1-L$2))</f>
        <v>112.33106719916886</v>
      </c>
      <c r="M140" s="154">
        <f>IF(Assumptions!$L$25=4,VLOOKUP($A140,'Henwood Reference'!$E$9:$R$320,10),(VLOOKUP($A140,PriceTableWeekend,3,0)+IF(BasisNumber&lt;&gt;1,VLOOKUP($A140,BasisTable,2,0),0)+M$1)/(1-M$2))</f>
        <v>112.33106719916886</v>
      </c>
      <c r="N140" s="156">
        <f>IF(Assumptions!$L$25=4,VLOOKUP($A140,'Henwood Reference'!$E$9:$R$320,10),(VLOOKUP($A140,PriceTableWeekend,4,0)+IF(BasisNumber&lt;&gt;1,VLOOKUP($A140,BasisTable,2,0),0)+N$1)/(1-N$2))</f>
        <v>112.33106719916886</v>
      </c>
      <c r="O140" s="154">
        <f>IF(Assumptions!$L$25=4,VLOOKUP($A140,'Henwood Reference'!$E$9:$R$320,11),(VLOOKUP($A140,PriceTableWeekend,6,0)+IF(BasisNumber&lt;&gt;1,VLOOKUP($A140,BasisTable,3,0),0)+O$1)/(1-O$2))</f>
        <v>34.209737503290867</v>
      </c>
      <c r="P140" s="154">
        <f>IF(Assumptions!$L$25=4,VLOOKUP($A140,'Henwood Reference'!$E$9:$R$320,11),(VLOOKUP($A140,PriceTableWeekend,7,0)+IF(BasisNumber&lt;&gt;1,VLOOKUP($A140,BasisTable,3,0),0)+P$1)/(1-P$2))</f>
        <v>34.209737503290867</v>
      </c>
      <c r="Q140" s="156">
        <f>IF(Assumptions!$L$25=4,VLOOKUP($A140,'Henwood Reference'!$E$9:$R$320,11),(VLOOKUP($A140,PriceTableWeekend,8,0)+IF(BasisNumber&lt;&gt;1,VLOOKUP($A140,BasisTable,3,0),0)+Q$1)/(1-Q$2))</f>
        <v>34.209737503290867</v>
      </c>
      <c r="R140" s="154">
        <f>IF(Assumptions!$L$25=4,VLOOKUP($A140,'Henwood Reference'!$E$9:$R$320,11),(VLOOKUP($A140,PriceTable,6,0)+IF(BasisNumber&lt;&gt;1,VLOOKUP($A140,BasisTable,3,0),0)+R$1)/(1-R$2))</f>
        <v>34.209737503290867</v>
      </c>
      <c r="S140" s="154">
        <f>IF(Assumptions!$L$25=4,VLOOKUP($A140,'Henwood Reference'!$E$9:$R$320,11),(VLOOKUP($A140,PriceTable,7,0)+IF(BasisNumber&lt;&gt;1,VLOOKUP($A140,BasisTable,3,0),0)+S$1)/(1-S$2))</f>
        <v>34.209737503290867</v>
      </c>
      <c r="T140" s="155">
        <f>IF(Assumptions!$L$25=4,VLOOKUP($A140,'Henwood Reference'!$E$9:$R$320,11),(VLOOKUP($A140,PriceTable,8,0)+IF(BasisNumber&lt;&gt;1,VLOOKUP($A140,BasisTable,3,0),0)+T$1)/(1-T$2))</f>
        <v>34.209737503290867</v>
      </c>
      <c r="U140" s="173">
        <f t="shared" si="298"/>
        <v>0.12</v>
      </c>
      <c r="V140" s="173">
        <f t="shared" si="299"/>
        <v>0.13</v>
      </c>
      <c r="W140" s="174">
        <f t="shared" si="300"/>
        <v>0.14000000000000001</v>
      </c>
      <c r="X140" s="173">
        <f t="shared" si="301"/>
        <v>0.12</v>
      </c>
      <c r="Y140" s="173">
        <f t="shared" si="302"/>
        <v>0.13</v>
      </c>
      <c r="Z140" s="174">
        <f t="shared" si="303"/>
        <v>0.14000000000000001</v>
      </c>
      <c r="AA140" s="173">
        <f t="shared" si="304"/>
        <v>0.09</v>
      </c>
      <c r="AB140" s="173">
        <f t="shared" si="305"/>
        <v>0.11</v>
      </c>
      <c r="AC140" s="174">
        <f t="shared" si="306"/>
        <v>0.13</v>
      </c>
      <c r="AD140" s="173">
        <f t="shared" si="307"/>
        <v>0.09</v>
      </c>
      <c r="AE140" s="173">
        <f t="shared" si="308"/>
        <v>0.11</v>
      </c>
      <c r="AF140" s="174">
        <f t="shared" si="309"/>
        <v>0.13</v>
      </c>
      <c r="AG140" s="173">
        <f t="shared" si="310"/>
        <v>-0.35</v>
      </c>
      <c r="AH140" s="173">
        <f t="shared" si="311"/>
        <v>3</v>
      </c>
      <c r="AI140" s="174">
        <f t="shared" si="312"/>
        <v>0.35</v>
      </c>
      <c r="AJ140" s="173">
        <f t="shared" si="313"/>
        <v>-0.35</v>
      </c>
      <c r="AK140" s="173">
        <f t="shared" si="314"/>
        <v>3</v>
      </c>
      <c r="AL140" s="174">
        <f t="shared" si="315"/>
        <v>0.35</v>
      </c>
      <c r="AM140" s="173">
        <f t="shared" si="316"/>
        <v>-0.01</v>
      </c>
      <c r="AN140" s="173">
        <f t="shared" si="317"/>
        <v>0.16</v>
      </c>
      <c r="AO140" s="174">
        <f t="shared" si="318"/>
        <v>0.01</v>
      </c>
      <c r="AP140" s="173">
        <f t="shared" si="319"/>
        <v>-0.01</v>
      </c>
      <c r="AQ140" s="173">
        <f t="shared" si="320"/>
        <v>0.16</v>
      </c>
      <c r="AR140" s="175">
        <f t="shared" si="321"/>
        <v>0.01</v>
      </c>
      <c r="AS140" s="521">
        <f t="shared" si="405"/>
        <v>0.5</v>
      </c>
      <c r="AT140" s="349">
        <f t="shared" si="403"/>
        <v>22</v>
      </c>
      <c r="AU140" s="159">
        <f t="shared" si="240"/>
        <v>4</v>
      </c>
      <c r="AV140" s="159">
        <f t="shared" si="241"/>
        <v>5</v>
      </c>
      <c r="AW140" s="159">
        <f t="shared" si="406"/>
        <v>0</v>
      </c>
      <c r="AX140" s="15">
        <f t="shared" si="404"/>
        <v>31</v>
      </c>
      <c r="AY140" s="607">
        <f>IF(E140="",0,MIN((1-(1-VLOOKUP(B140,MAIN!$AA$7:$AM$28,C140+1))*(1-VLOOKUP(B140,MAIN!$AA$33:$AM$54,C140+1))),1))</f>
        <v>3.0000000000000027E-2</v>
      </c>
      <c r="AZ140" s="337">
        <v>51216</v>
      </c>
      <c r="BA140" s="509">
        <v>9312</v>
      </c>
      <c r="BB140" s="509">
        <v>11640</v>
      </c>
      <c r="BC140" s="511">
        <v>36084</v>
      </c>
      <c r="BD140" s="153">
        <v>0.96999998915940522</v>
      </c>
      <c r="BE140" s="474">
        <v>0.96999998915940522</v>
      </c>
      <c r="BF140" s="474">
        <v>0.96999998915940522</v>
      </c>
      <c r="BG140" s="515">
        <v>0.97000000722706314</v>
      </c>
      <c r="BH140" s="262">
        <v>204864</v>
      </c>
      <c r="BI140" s="509">
        <v>37248</v>
      </c>
      <c r="BJ140" s="509">
        <v>46560</v>
      </c>
      <c r="BK140" s="511">
        <v>144336</v>
      </c>
      <c r="BL140" s="153">
        <v>0.96999998915940522</v>
      </c>
      <c r="BM140" s="474">
        <v>0.96999998915940522</v>
      </c>
      <c r="BN140" s="474">
        <v>0.96999998915940522</v>
      </c>
      <c r="BO140" s="474">
        <v>0.97000000722706314</v>
      </c>
      <c r="BP140" s="261">
        <f t="shared" si="324"/>
        <v>72168</v>
      </c>
      <c r="BQ140" s="578">
        <f t="shared" si="325"/>
        <v>108252</v>
      </c>
      <c r="BR140" s="259">
        <f t="shared" si="326"/>
        <v>288672</v>
      </c>
      <c r="BS140" s="578">
        <f t="shared" si="327"/>
        <v>433008</v>
      </c>
      <c r="BT140" s="216">
        <f t="shared" si="328"/>
        <v>10.297056810403832</v>
      </c>
      <c r="BU140" s="218">
        <f t="shared" si="243"/>
        <v>112.33106594377135</v>
      </c>
      <c r="BV140" s="216">
        <f t="shared" si="244"/>
        <v>112.33106594377135</v>
      </c>
      <c r="BW140" s="216">
        <f t="shared" si="245"/>
        <v>34.209737120967254</v>
      </c>
      <c r="BX140" s="216">
        <f t="shared" si="329"/>
        <v>34.209737758173269</v>
      </c>
      <c r="BY140" s="216">
        <f t="shared" si="246"/>
        <v>99.730851617512627</v>
      </c>
      <c r="BZ140" s="216">
        <f t="shared" si="247"/>
        <v>77.890480331066186</v>
      </c>
      <c r="CA140" s="264">
        <f t="shared" si="248"/>
        <v>112.33106594377135</v>
      </c>
      <c r="CB140" s="216">
        <f t="shared" si="249"/>
        <v>112.33106594377135</v>
      </c>
      <c r="CC140" s="216">
        <f t="shared" si="250"/>
        <v>34.209737120967254</v>
      </c>
      <c r="CD140" s="216">
        <f t="shared" si="330"/>
        <v>34.209737758173269</v>
      </c>
      <c r="CE140" s="216">
        <f t="shared" si="251"/>
        <v>99.730851617512627</v>
      </c>
      <c r="CF140" s="571">
        <f t="shared" si="252"/>
        <v>77.890480331066186</v>
      </c>
      <c r="CG140" s="573">
        <f t="shared" si="253"/>
        <v>0.13</v>
      </c>
      <c r="CH140" s="219">
        <f t="shared" si="254"/>
        <v>0.13</v>
      </c>
      <c r="CI140" s="219">
        <f t="shared" si="255"/>
        <v>0.11</v>
      </c>
      <c r="CJ140" s="219">
        <f t="shared" si="256"/>
        <v>0.1289072572734678</v>
      </c>
      <c r="CK140" s="219">
        <f t="shared" si="257"/>
        <v>0.1289072572734678</v>
      </c>
      <c r="CL140" s="219">
        <f t="shared" si="258"/>
        <v>0.11</v>
      </c>
      <c r="CM140" s="219">
        <f t="shared" si="259"/>
        <v>0.11926926196650461</v>
      </c>
      <c r="CN140" s="569">
        <f t="shared" si="260"/>
        <v>0.11926926196650461</v>
      </c>
      <c r="CO140" s="264">
        <f t="shared" si="343"/>
        <v>20.570592152113484</v>
      </c>
      <c r="CP140" s="216">
        <f t="shared" si="331"/>
        <v>20.570592152113484</v>
      </c>
      <c r="CQ140" s="216">
        <f t="shared" ca="1" si="361"/>
        <v>20.570592152113484</v>
      </c>
      <c r="CR140" s="216">
        <f t="shared" ca="1" si="362"/>
        <v>20.570592152113484</v>
      </c>
      <c r="CS140" s="1626">
        <f t="shared" ca="1" si="363"/>
        <v>20.570592152113484</v>
      </c>
      <c r="CT140" s="216">
        <f t="shared" si="332"/>
        <v>20.570592152113484</v>
      </c>
      <c r="CU140" s="575">
        <f t="shared" si="261"/>
        <v>0.158</v>
      </c>
      <c r="CV140" s="154">
        <f t="shared" si="262"/>
        <v>0.5</v>
      </c>
      <c r="CW140" s="216">
        <f>IF(OR($BQ140,$BS140),SpreadOptPowerMargin,0)*((1+Assumptions!$C$26)^($B140-YEAR(Assumptions!$C$17)))</f>
        <v>2.0676342017687039</v>
      </c>
      <c r="CX140" s="216">
        <f>IF(OR($BQ140,$BS140),SpreadOptPowerMargin,0)*((1+Assumptions!$C$26)^($B140-YEAR(Assumptions!$C$17)))</f>
        <v>2.0676342017687039</v>
      </c>
      <c r="CY140" s="216">
        <f>IF(OR($BQ140,$BS140),SpreadOptPowerMargin,0)*((1+Assumptions!$C$26)^($B140-YEAR(Assumptions!$C$17)))</f>
        <v>2.0676342017687039</v>
      </c>
      <c r="CZ140" s="216">
        <f>IF(OR($BQ140,$BS140),SpreadOptPowerMargin,0)*((1+Assumptions!$C$26)^($B140-YEAR(Assumptions!$C$17)))</f>
        <v>2.0676342017687039</v>
      </c>
      <c r="DA140" s="440">
        <f t="shared" si="263"/>
        <v>2.0676342017687035</v>
      </c>
      <c r="DB140" s="479">
        <f t="shared" si="264"/>
        <v>0.13</v>
      </c>
      <c r="DC140" s="479">
        <f t="shared" si="265"/>
        <v>0.13</v>
      </c>
      <c r="DD140" s="479">
        <f t="shared" si="266"/>
        <v>0.11</v>
      </c>
      <c r="DE140" s="479">
        <f t="shared" si="267"/>
        <v>0.11</v>
      </c>
      <c r="DF140" s="479">
        <f t="shared" si="268"/>
        <v>0.11926926196650461</v>
      </c>
      <c r="DG140" s="574">
        <f t="shared" si="269"/>
        <v>0.11926926196650461</v>
      </c>
      <c r="DH140" s="216">
        <f t="shared" si="270"/>
        <v>89.693885285296474</v>
      </c>
      <c r="DI140" s="216">
        <f t="shared" si="271"/>
        <v>89.693885285296474</v>
      </c>
      <c r="DJ140" s="216">
        <f t="shared" ca="1" si="364"/>
        <v>12.573300978145506</v>
      </c>
      <c r="DK140" s="216">
        <f t="shared" ca="1" si="365"/>
        <v>12.573301542090174</v>
      </c>
      <c r="DL140" s="216">
        <f t="shared" ca="1" si="366"/>
        <v>55.264635109093824</v>
      </c>
      <c r="DM140" s="216"/>
      <c r="DN140" s="216"/>
      <c r="DO140" s="216"/>
      <c r="DP140" s="216"/>
      <c r="DQ140" s="216"/>
      <c r="DR140" s="216"/>
      <c r="DS140" s="216"/>
      <c r="DT140" s="216"/>
      <c r="DU140" s="216"/>
      <c r="DV140" s="216"/>
      <c r="DW140" s="1371">
        <f t="shared" si="272"/>
        <v>12.573300978145506</v>
      </c>
      <c r="DX140" s="216">
        <f t="shared" si="273"/>
        <v>12.573301542090174</v>
      </c>
      <c r="DY140" s="440">
        <f t="shared" si="274"/>
        <v>55.694488090555552</v>
      </c>
      <c r="DZ140" s="180">
        <f t="shared" si="275"/>
        <v>4593762.0287717441</v>
      </c>
      <c r="EA140" s="180">
        <f t="shared" si="276"/>
        <v>835229.4597766808</v>
      </c>
      <c r="EB140" s="180">
        <f t="shared" ca="1" si="367"/>
        <v>146353.22338561367</v>
      </c>
      <c r="EC140" s="180">
        <f t="shared" ca="1" si="368"/>
        <v>453695.01284478186</v>
      </c>
      <c r="ED140" s="180">
        <f t="shared" ca="1" si="369"/>
        <v>5982507.279829625</v>
      </c>
      <c r="EE140" s="581">
        <f t="shared" si="277"/>
        <v>4593708.4724357631</v>
      </c>
      <c r="EF140" s="554">
        <f t="shared" si="278"/>
        <v>835219.72226104792</v>
      </c>
      <c r="EG140" s="554">
        <f t="shared" ca="1" si="370"/>
        <v>134692.38532887015</v>
      </c>
      <c r="EH140" s="554">
        <f t="shared" ca="1" si="371"/>
        <v>417546.41751243931</v>
      </c>
      <c r="EI140" s="561">
        <f t="shared" ca="1" si="279"/>
        <v>5981166.9975381223</v>
      </c>
      <c r="EJ140" s="581">
        <f t="shared" si="333"/>
        <v>53.55633598100394</v>
      </c>
      <c r="EK140" s="554">
        <f t="shared" si="334"/>
        <v>9.7375156328780577</v>
      </c>
      <c r="EL140" s="554">
        <f t="shared" ca="1" si="372"/>
        <v>11660.838056743523</v>
      </c>
      <c r="EM140" s="554">
        <f t="shared" ca="1" si="373"/>
        <v>36148.595332342549</v>
      </c>
      <c r="EN140" s="561">
        <f t="shared" ca="1" si="374"/>
        <v>1340.2822915026918</v>
      </c>
      <c r="EO140" s="180">
        <f t="shared" si="280"/>
        <v>18375048.115086976</v>
      </c>
      <c r="EP140" s="180">
        <f t="shared" si="281"/>
        <v>3340917.8391067232</v>
      </c>
      <c r="EQ140" s="180">
        <f t="shared" si="282"/>
        <v>585412.89354245469</v>
      </c>
      <c r="ER140" s="180">
        <f t="shared" si="283"/>
        <v>1814780.0513791274</v>
      </c>
      <c r="ES140" s="180">
        <f t="shared" si="284"/>
        <v>24116158.899115279</v>
      </c>
      <c r="ET140" s="1482">
        <f t="shared" ca="1" si="375"/>
        <v>18374833.889743052</v>
      </c>
      <c r="EU140" s="180">
        <f t="shared" ca="1" si="376"/>
        <v>3340878.8890441917</v>
      </c>
      <c r="EV140" s="180">
        <f t="shared" ca="1" si="377"/>
        <v>538769.5413154806</v>
      </c>
      <c r="EW140" s="180">
        <f t="shared" ca="1" si="378"/>
        <v>1670185.6700497572</v>
      </c>
      <c r="EX140" s="555">
        <f t="shared" ca="1" si="351"/>
        <v>23924667.990152482</v>
      </c>
      <c r="EY140" s="180">
        <f t="shared" ca="1" si="379"/>
        <v>214.22534392401576</v>
      </c>
      <c r="EZ140" s="180">
        <f t="shared" ca="1" si="380"/>
        <v>38.950062531512231</v>
      </c>
      <c r="FA140" s="180">
        <f t="shared" ca="1" si="381"/>
        <v>46643.352226974093</v>
      </c>
      <c r="FB140" s="180">
        <f t="shared" ca="1" si="382"/>
        <v>144594.3813293702</v>
      </c>
      <c r="FC140" s="180">
        <f t="shared" ca="1" si="383"/>
        <v>191490.90896279737</v>
      </c>
      <c r="FD140" s="262">
        <f>IF(AX140,IF(VLOOKUP(C140,MAIN!$L$17:$M$28,2)="Yes",VLOOKUP(CALC!B140,MAIN!$H$17:$I$20,2),0),0)</f>
        <v>0</v>
      </c>
      <c r="FE140" s="623">
        <f t="shared" si="285"/>
        <v>0</v>
      </c>
      <c r="FF140" s="535">
        <f t="shared" si="286"/>
        <v>0</v>
      </c>
      <c r="FG140" s="535">
        <f t="shared" si="287"/>
        <v>0</v>
      </c>
      <c r="FH140" s="624">
        <f t="shared" si="288"/>
        <v>0</v>
      </c>
      <c r="FI140" s="632">
        <f>IF(AX140,VLOOKUP(CALC!B140,MAIN!$H$17:$K$20,4),0)</f>
        <v>0</v>
      </c>
      <c r="FJ140" s="535">
        <f t="shared" si="289"/>
        <v>0</v>
      </c>
      <c r="FK140" s="648">
        <f t="shared" si="335"/>
        <v>0</v>
      </c>
      <c r="FL140" s="530">
        <f t="shared" ca="1" si="384"/>
        <v>0</v>
      </c>
      <c r="FM140" s="530">
        <f t="shared" ca="1" si="385"/>
        <v>0</v>
      </c>
      <c r="FN140" s="530">
        <f t="shared" ca="1" si="386"/>
        <v>0</v>
      </c>
      <c r="FO140" s="622">
        <f t="shared" ca="1" si="387"/>
        <v>0</v>
      </c>
      <c r="FP140" s="530">
        <f t="shared" ca="1" si="388"/>
        <v>0</v>
      </c>
      <c r="FQ140" s="530">
        <f t="shared" ca="1" si="389"/>
        <v>0</v>
      </c>
      <c r="FR140" s="530">
        <f t="shared" ca="1" si="390"/>
        <v>0</v>
      </c>
      <c r="FS140" s="625">
        <f t="shared" ca="1" si="391"/>
        <v>0</v>
      </c>
      <c r="FT140" s="640">
        <f ca="1">IF(AND(Assumptions!$H$71="Yes",A140&gt;=Assumptions!$H$72,A140&lt;=Assumptions!$H$73),0,IF(AND($A140&gt;=Assumptions!$C$17,$A140&lt;=Assumptions!$C$18),MAX(AZ140*(1+VLOOKUP($C140,WeatherCapacityAdjustment,2))-FL140,0),0))</f>
        <v>51216</v>
      </c>
      <c r="FU140" s="530">
        <f ca="1">IF(AND(Assumptions!$H$71="Yes",A140&gt;=Assumptions!$H$72,A140&lt;=Assumptions!$H$73),0,IF(AND($A140&gt;=Assumptions!$C$17,$A140&lt;=Assumptions!$C$18),MAX(BA140*(1+VLOOKUP($C140,WeatherCapacityAdjustment,2))-FM140,0),0))</f>
        <v>9312</v>
      </c>
      <c r="FV140" s="530">
        <f ca="1">IF(AND(Assumptions!$H$71="Yes",A140&gt;=Assumptions!$H$72,A140&lt;=Assumptions!$H$73),0,IF(AND($A140&gt;=Assumptions!$C$17,$A140&lt;=Assumptions!$C$18),MAX(BB140*(1+VLOOKUP($C140,WeatherCapacityAdjustment,2))-FN140,0),0))</f>
        <v>11640</v>
      </c>
      <c r="FW140" s="622">
        <f ca="1">IF(AND(Assumptions!$H$71="Yes",A140&gt;=Assumptions!$H$72,A140&lt;=Assumptions!$H$73),0,IF(AND($A140&gt;=Assumptions!$C$17,$A140&lt;=Assumptions!$C$18),MAX(BC140*(1+VLOOKUP($C140,WeatherCapacityAdjustment,3))-FO140,0),0))</f>
        <v>36084</v>
      </c>
      <c r="FX140" s="621">
        <f ca="1">IF(AND(Assumptions!$H$71="Yes",A140&gt;=Assumptions!$H$72,A140&lt;=Assumptions!$H$73),0,IF(ET140&gt;0,MAX(BH140*(1+VLOOKUP($C140,WeatherCapacityAdjustment,2))-FP140,0),0))</f>
        <v>204864</v>
      </c>
      <c r="FY140" s="530">
        <f ca="1">IF(AND(Assumptions!$H$71="Yes",A140&gt;=Assumptions!$H$72,A140&lt;=Assumptions!$H$73),0,IF(EU140&gt;0,MAX(BI140*(1+VLOOKUP($C140,WeatherCapacityAdjustment,3))-FQ140,0),0))</f>
        <v>37248</v>
      </c>
      <c r="FZ140" s="530">
        <f ca="1">IF(AND(Assumptions!$H$71="Yes",A140&gt;=Assumptions!$H$72,A140&lt;=Assumptions!$H$73),0,IF(EV140&gt;0,MAX(BJ140*(1+VLOOKUP($C140,WeatherCapacityAdjustment,2))-FR140,0),0))</f>
        <v>46560</v>
      </c>
      <c r="GA140" s="622">
        <f ca="1">IF(AND(Assumptions!$H$71="Yes",A140&gt;=Assumptions!$H$72,A140&lt;=Assumptions!$H$73),0,IF(EW140&gt;0,MAX(BK140*(1+VLOOKUP($C140,WeatherCapacityAdjustment,2))-FS140,0),0))</f>
        <v>144336</v>
      </c>
      <c r="GB140" s="530">
        <f t="shared" ca="1" si="290"/>
        <v>541260</v>
      </c>
      <c r="GC140" s="545">
        <f t="shared" ca="1" si="291"/>
        <v>77.890480331066186</v>
      </c>
      <c r="GD140" s="530">
        <f t="shared" ca="1" si="392"/>
        <v>42159001.383992881</v>
      </c>
      <c r="GE140" s="1485">
        <f t="shared" ca="1" si="393"/>
        <v>766644.99407999997</v>
      </c>
      <c r="GF140" s="1776">
        <f t="shared" ca="1" si="394"/>
        <v>3066579.9763199999</v>
      </c>
      <c r="GG140" s="545">
        <f t="shared" si="359"/>
        <v>2.9046139462800951</v>
      </c>
      <c r="GH140" s="622">
        <f t="shared" ca="1" si="360"/>
        <v>11134038.708252944</v>
      </c>
      <c r="GI140" s="621">
        <f t="shared" ca="1" si="336"/>
        <v>541260</v>
      </c>
      <c r="GJ140" s="638">
        <f t="shared" si="292"/>
        <v>2.0676342017687035</v>
      </c>
      <c r="GK140" s="625">
        <f t="shared" ca="1" si="342"/>
        <v>1119127.6880493285</v>
      </c>
      <c r="GL140" s="640">
        <f t="shared" ca="1" si="395"/>
        <v>0</v>
      </c>
      <c r="GM140" s="530">
        <f t="shared" ca="1" si="396"/>
        <v>0</v>
      </c>
      <c r="GN140" s="530">
        <f t="shared" ca="1" si="397"/>
        <v>0</v>
      </c>
      <c r="GO140" s="622">
        <f t="shared" ca="1" si="398"/>
        <v>0</v>
      </c>
      <c r="GP140" s="530">
        <f t="shared" ca="1" si="293"/>
        <v>0</v>
      </c>
      <c r="GQ140" s="545">
        <f t="shared" ca="1" si="294"/>
        <v>0</v>
      </c>
      <c r="GR140" s="625">
        <f t="shared" ca="1" si="399"/>
        <v>0</v>
      </c>
      <c r="GS140" s="640">
        <f>IF($A140&gt;=BegDate,Assumptions!$C$56*24*($A141-$A140)*(1-VLOOKUP($B140,MAIN!$AA$7:$AM$28,$C140+1))*(1-VLOOKUP($B140,MAIN!$AA$33:$AM$54,$C140+1)),0)*80/168</f>
        <v>257742.85714285713</v>
      </c>
      <c r="GT140" s="1715">
        <f t="shared" si="337"/>
        <v>112.33106719916886</v>
      </c>
      <c r="GU140" s="1715">
        <f>IF($A140&gt;=BegDate,VLOOKUP($A140,GasTable,13)+Assumptions!$C$58,0)</f>
        <v>2.9046139462800951</v>
      </c>
      <c r="GV140" s="1715">
        <f>GU140*Assumptions!$C$57/1000</f>
        <v>21.058451110530687</v>
      </c>
      <c r="GW140" s="625">
        <f>IF(Assumptions!$C$60="Hourly",MAX(0,GS140*(GT140-GV140)),GS140*(GT140-GV140))</f>
        <v>23524864.849588711</v>
      </c>
      <c r="GX140" s="640">
        <f>IF($A140&gt;=BegDate,Assumptions!$C$56*24*($A141-$A140)*(1-VLOOKUP($B140,MAIN!$AA$7:$AM$28,$C140+1))*(1-VLOOKUP($B140,MAIN!$AA$33:$AM$54,$C140+1)),0)*16/168</f>
        <v>51548.571428571428</v>
      </c>
      <c r="GY140" s="1715">
        <f t="shared" si="338"/>
        <v>112.33106719916886</v>
      </c>
      <c r="GZ140" s="1715">
        <f>IF($A140&gt;=BegDate,VLOOKUP($A140,GasTable,13)+Assumptions!$C$58,0)</f>
        <v>2.9046139462800951</v>
      </c>
      <c r="HA140" s="1715">
        <f>GZ140*Assumptions!$C$57/1000</f>
        <v>21.058451110530687</v>
      </c>
      <c r="HB140" s="625">
        <f>IF(Assumptions!$C$60="Hourly",MAX(0,GX140*(GY140-HA140)),GX140*(GY140-HA140))</f>
        <v>4704972.9699177425</v>
      </c>
      <c r="HC140" s="640">
        <f>IF($A140&gt;=BegDate,Assumptions!$C$56*24*($A141-$A140)*(1-VLOOKUP($B140,MAIN!$AA$7:$AM$28,$C140+1))*(1-VLOOKUP($B140,MAIN!$AA$33:$AM$54,$C140+1)),0)*16/168</f>
        <v>51548.571428571428</v>
      </c>
      <c r="HD140" s="1715">
        <f t="shared" si="339"/>
        <v>34.209737503290867</v>
      </c>
      <c r="HE140" s="1715">
        <f>IF($A140&gt;=BegDate,VLOOKUP($A140,GasTable,13)+Assumptions!$C$58,0)</f>
        <v>2.9046139462800951</v>
      </c>
      <c r="HF140" s="1715">
        <f>HE140*Assumptions!$C$57/1000</f>
        <v>21.058451110530687</v>
      </c>
      <c r="HG140" s="625">
        <f>IF(Assumptions!$C$60="Hourly",MAX(0,HC140*(HD140-HF140)),HC140*(HD140-HF140))</f>
        <v>677930.02599479759</v>
      </c>
      <c r="HH140" s="640">
        <f>IF($A140&gt;=BegDate,Assumptions!$C$56*24*($A141-$A140)*(1-VLOOKUP($B140,MAIN!$AA$7:$AM$28,$C140+1))*(1-VLOOKUP($B140,MAIN!$AA$33:$AM$54,$C140+1)),0)*56/168</f>
        <v>180420</v>
      </c>
      <c r="HI140" s="1715">
        <f t="shared" si="340"/>
        <v>34.209737503290867</v>
      </c>
      <c r="HJ140" s="1715">
        <f>IF($A140&gt;=BegDate,VLOOKUP($A140,GasTable,13)+Assumptions!$C$58,0)</f>
        <v>2.9046139462800951</v>
      </c>
      <c r="HK140" s="1715">
        <f>HJ140*Assumptions!$C$57/1000</f>
        <v>21.058451110530687</v>
      </c>
      <c r="HL140" s="625">
        <f>IF(Assumptions!$C$60="Hourly",MAX(0,HH140*(HI140-HK140)),HH140*(HI140-HK140))</f>
        <v>2372755.0909817917</v>
      </c>
      <c r="HM140" s="640">
        <f>IF(AND(Assumptions!$H$71="Yes",A140&gt;=Assumptions!$H$72,A140&lt;=Assumptions!$H$73),Assumptions!$H$74*Assumptions!$C$9*1000,0)</f>
        <v>0</v>
      </c>
      <c r="HN140" s="530"/>
      <c r="HO140" s="545"/>
      <c r="HP140" s="545"/>
      <c r="HQ140" s="545"/>
      <c r="HR140" s="545"/>
      <c r="HS140" s="545"/>
      <c r="HT140" s="545"/>
      <c r="HU140" s="545"/>
      <c r="HV140" s="545"/>
      <c r="HW140" s="545"/>
      <c r="HX140" s="545"/>
      <c r="HY140" s="545"/>
      <c r="HZ140" s="545"/>
      <c r="IA140" s="545"/>
      <c r="IB140" s="545"/>
      <c r="IC140" s="545"/>
      <c r="ID140" s="545"/>
      <c r="IE140" s="545"/>
      <c r="IF140" s="545"/>
      <c r="IG140" s="545"/>
      <c r="IH140" s="545"/>
      <c r="II140" s="1464"/>
      <c r="IJ140" s="1463"/>
      <c r="IK140" s="1463"/>
    </row>
    <row r="141" spans="1:245">
      <c r="A141" s="177">
        <f t="shared" si="295"/>
        <v>40422</v>
      </c>
      <c r="B141" s="349">
        <f t="shared" si="296"/>
        <v>2010</v>
      </c>
      <c r="C141" s="15">
        <f t="shared" si="400"/>
        <v>9</v>
      </c>
      <c r="D141" s="612">
        <f t="shared" si="297"/>
        <v>40427</v>
      </c>
      <c r="E141" s="609">
        <f t="shared" si="401"/>
        <v>40422</v>
      </c>
      <c r="F141" s="614">
        <f t="shared" si="402"/>
        <v>40451</v>
      </c>
      <c r="G141" s="1349">
        <v>0</v>
      </c>
      <c r="H141" s="152">
        <f t="shared" si="341"/>
        <v>1</v>
      </c>
      <c r="I141" s="154">
        <f>IF(Assumptions!$L$25=4,VLOOKUP($A141,'Henwood Reference'!$E$9:$R$320,10),(VLOOKUP($A141,PriceTable,2,0)+IF(BasisNumber&lt;&gt;1,VLOOKUP($A141,BasisTable,2,0),0)+I$1)/(1-I$2))</f>
        <v>74.475804983441677</v>
      </c>
      <c r="J141" s="154">
        <f>IF(Assumptions!$L$25=4,VLOOKUP($A141,'Henwood Reference'!$E$9:$R$320,10),(VLOOKUP($A141,PriceTable,3,0)+IF(BasisNumber&lt;&gt;1,VLOOKUP($A141,BasisTable,2,0),0)+J$1)/(1-J$2))</f>
        <v>74.475804983441677</v>
      </c>
      <c r="K141" s="154">
        <f>IF(Assumptions!$L$25=4,VLOOKUP($A141,'Henwood Reference'!$E$9:$R$320,10),(VLOOKUP($A141,PriceTable,4,0)+IF(BasisNumber&lt;&gt;1,VLOOKUP($A141,BasisTable,2,0),0)+K$1)/(1-K$2))</f>
        <v>74.475804983441677</v>
      </c>
      <c r="L141" s="474">
        <f>IF(Assumptions!$L$25=4,VLOOKUP($A141,'Henwood Reference'!$E$9:$R$320,10),(VLOOKUP($A141,PriceTableWeekend,2,0)+IF(BasisNumber&lt;&gt;1,VLOOKUP($A141,BasisTable,2,0),0)+L$1)/(1-L$2))</f>
        <v>74.475804983441677</v>
      </c>
      <c r="M141" s="154">
        <f>IF(Assumptions!$L$25=4,VLOOKUP($A141,'Henwood Reference'!$E$9:$R$320,10),(VLOOKUP($A141,PriceTableWeekend,3,0)+IF(BasisNumber&lt;&gt;1,VLOOKUP($A141,BasisTable,2,0),0)+M$1)/(1-M$2))</f>
        <v>74.475804983441677</v>
      </c>
      <c r="N141" s="156">
        <f>IF(Assumptions!$L$25=4,VLOOKUP($A141,'Henwood Reference'!$E$9:$R$320,10),(VLOOKUP($A141,PriceTableWeekend,4,0)+IF(BasisNumber&lt;&gt;1,VLOOKUP($A141,BasisTable,2,0),0)+N$1)/(1-N$2))</f>
        <v>74.475804983441677</v>
      </c>
      <c r="O141" s="154">
        <f>IF(Assumptions!$L$25=4,VLOOKUP($A141,'Henwood Reference'!$E$9:$R$320,11),(VLOOKUP($A141,PriceTableWeekend,6,0)+IF(BasisNumber&lt;&gt;1,VLOOKUP($A141,BasisTable,3,0),0)+O$1)/(1-O$2))</f>
        <v>32.324684532210966</v>
      </c>
      <c r="P141" s="154">
        <f>IF(Assumptions!$L$25=4,VLOOKUP($A141,'Henwood Reference'!$E$9:$R$320,11),(VLOOKUP($A141,PriceTableWeekend,7,0)+IF(BasisNumber&lt;&gt;1,VLOOKUP($A141,BasisTable,3,0),0)+P$1)/(1-P$2))</f>
        <v>32.324684532210966</v>
      </c>
      <c r="Q141" s="156">
        <f>IF(Assumptions!$L$25=4,VLOOKUP($A141,'Henwood Reference'!$E$9:$R$320,11),(VLOOKUP($A141,PriceTableWeekend,8,0)+IF(BasisNumber&lt;&gt;1,VLOOKUP($A141,BasisTable,3,0),0)+Q$1)/(1-Q$2))</f>
        <v>32.324684532210966</v>
      </c>
      <c r="R141" s="154">
        <f>IF(Assumptions!$L$25=4,VLOOKUP($A141,'Henwood Reference'!$E$9:$R$320,11),(VLOOKUP($A141,PriceTable,6,0)+IF(BasisNumber&lt;&gt;1,VLOOKUP($A141,BasisTable,3,0),0)+R$1)/(1-R$2))</f>
        <v>32.324684532210966</v>
      </c>
      <c r="S141" s="154">
        <f>IF(Assumptions!$L$25=4,VLOOKUP($A141,'Henwood Reference'!$E$9:$R$320,11),(VLOOKUP($A141,PriceTable,7,0)+IF(BasisNumber&lt;&gt;1,VLOOKUP($A141,BasisTable,3,0),0)+S$1)/(1-S$2))</f>
        <v>32.324684532210966</v>
      </c>
      <c r="T141" s="155">
        <f>IF(Assumptions!$L$25=4,VLOOKUP($A141,'Henwood Reference'!$E$9:$R$320,11),(VLOOKUP($A141,PriceTable,8,0)+IF(BasisNumber&lt;&gt;1,VLOOKUP($A141,BasisTable,3,0),0)+T$1)/(1-T$2))</f>
        <v>32.324684532210966</v>
      </c>
      <c r="U141" s="173">
        <f t="shared" si="298"/>
        <v>0.12</v>
      </c>
      <c r="V141" s="173">
        <f t="shared" si="299"/>
        <v>0.13</v>
      </c>
      <c r="W141" s="174">
        <f t="shared" si="300"/>
        <v>0.14000000000000001</v>
      </c>
      <c r="X141" s="173">
        <f t="shared" si="301"/>
        <v>0.12</v>
      </c>
      <c r="Y141" s="173">
        <f t="shared" si="302"/>
        <v>0.13</v>
      </c>
      <c r="Z141" s="174">
        <f t="shared" si="303"/>
        <v>0.14000000000000001</v>
      </c>
      <c r="AA141" s="173">
        <f t="shared" si="304"/>
        <v>0.09</v>
      </c>
      <c r="AB141" s="173">
        <f t="shared" si="305"/>
        <v>0.11</v>
      </c>
      <c r="AC141" s="174">
        <f t="shared" si="306"/>
        <v>0.13</v>
      </c>
      <c r="AD141" s="173">
        <f t="shared" si="307"/>
        <v>0.09</v>
      </c>
      <c r="AE141" s="173">
        <f t="shared" si="308"/>
        <v>0.11</v>
      </c>
      <c r="AF141" s="174">
        <f t="shared" si="309"/>
        <v>0.13</v>
      </c>
      <c r="AG141" s="173">
        <f t="shared" si="310"/>
        <v>-0.35</v>
      </c>
      <c r="AH141" s="173">
        <f t="shared" si="311"/>
        <v>3</v>
      </c>
      <c r="AI141" s="174">
        <f t="shared" si="312"/>
        <v>0.2</v>
      </c>
      <c r="AJ141" s="173">
        <f t="shared" si="313"/>
        <v>-0.35</v>
      </c>
      <c r="AK141" s="173">
        <f t="shared" si="314"/>
        <v>3</v>
      </c>
      <c r="AL141" s="174">
        <f t="shared" si="315"/>
        <v>0.2</v>
      </c>
      <c r="AM141" s="173">
        <f t="shared" si="316"/>
        <v>-0.01</v>
      </c>
      <c r="AN141" s="173">
        <f t="shared" si="317"/>
        <v>0.16</v>
      </c>
      <c r="AO141" s="174">
        <f t="shared" si="318"/>
        <v>0.01</v>
      </c>
      <c r="AP141" s="173">
        <f t="shared" si="319"/>
        <v>-0.01</v>
      </c>
      <c r="AQ141" s="173">
        <f t="shared" si="320"/>
        <v>0.16</v>
      </c>
      <c r="AR141" s="175">
        <f t="shared" si="321"/>
        <v>0.01</v>
      </c>
      <c r="AS141" s="521">
        <f t="shared" si="405"/>
        <v>0.5</v>
      </c>
      <c r="AT141" s="349">
        <f t="shared" si="403"/>
        <v>21</v>
      </c>
      <c r="AU141" s="159">
        <f t="shared" si="240"/>
        <v>4</v>
      </c>
      <c r="AV141" s="159">
        <f t="shared" si="241"/>
        <v>4</v>
      </c>
      <c r="AW141" s="159">
        <f t="shared" si="406"/>
        <v>1</v>
      </c>
      <c r="AX141" s="15">
        <f t="shared" si="404"/>
        <v>30</v>
      </c>
      <c r="AY141" s="607">
        <f>IF(E141="",0,MIN((1-(1-VLOOKUP(B141,MAIN!$AA$7:$AM$28,C141+1))*(1-VLOOKUP(B141,MAIN!$AA$33:$AM$54,C141+1))),1))</f>
        <v>3.0000000000000027E-2</v>
      </c>
      <c r="AZ141" s="337">
        <v>48888</v>
      </c>
      <c r="BA141" s="509">
        <v>9312</v>
      </c>
      <c r="BB141" s="509">
        <v>11640</v>
      </c>
      <c r="BC141" s="511">
        <v>34920</v>
      </c>
      <c r="BD141" s="153">
        <v>0.9699999927729368</v>
      </c>
      <c r="BE141" s="474">
        <v>0.9699999927729368</v>
      </c>
      <c r="BF141" s="474">
        <v>0.9699999927729368</v>
      </c>
      <c r="BG141" s="515">
        <v>0.9699999927729368</v>
      </c>
      <c r="BH141" s="262">
        <v>195552</v>
      </c>
      <c r="BI141" s="509">
        <v>37248</v>
      </c>
      <c r="BJ141" s="509">
        <v>46560</v>
      </c>
      <c r="BK141" s="511">
        <v>139680</v>
      </c>
      <c r="BL141" s="153">
        <v>0.9699999927729368</v>
      </c>
      <c r="BM141" s="474">
        <v>0.9699999927729368</v>
      </c>
      <c r="BN141" s="474">
        <v>0.9699999927729368</v>
      </c>
      <c r="BO141" s="474">
        <v>0.9699999927729368</v>
      </c>
      <c r="BP141" s="261">
        <f t="shared" si="324"/>
        <v>69840</v>
      </c>
      <c r="BQ141" s="578">
        <f t="shared" si="325"/>
        <v>104760</v>
      </c>
      <c r="BR141" s="259">
        <f t="shared" si="326"/>
        <v>279360</v>
      </c>
      <c r="BS141" s="578">
        <f t="shared" si="327"/>
        <v>419040</v>
      </c>
      <c r="BT141" s="216">
        <f t="shared" si="328"/>
        <v>10.381930184804927</v>
      </c>
      <c r="BU141" s="218">
        <f t="shared" si="243"/>
        <v>74.475804428553687</v>
      </c>
      <c r="BV141" s="216">
        <f t="shared" si="244"/>
        <v>74.475804428553687</v>
      </c>
      <c r="BW141" s="216">
        <f t="shared" si="245"/>
        <v>32.324684291373302</v>
      </c>
      <c r="BX141" s="216">
        <f t="shared" si="329"/>
        <v>32.324684291373302</v>
      </c>
      <c r="BY141" s="216">
        <f t="shared" si="246"/>
        <v>67.450617739023613</v>
      </c>
      <c r="BZ141" s="216">
        <f t="shared" si="247"/>
        <v>55.741973256473507</v>
      </c>
      <c r="CA141" s="264">
        <f t="shared" si="248"/>
        <v>74.475804428553687</v>
      </c>
      <c r="CB141" s="216">
        <f t="shared" si="249"/>
        <v>74.475804428553687</v>
      </c>
      <c r="CC141" s="216">
        <f t="shared" si="250"/>
        <v>32.324684291373302</v>
      </c>
      <c r="CD141" s="216">
        <f t="shared" si="330"/>
        <v>32.324684291373302</v>
      </c>
      <c r="CE141" s="216">
        <f t="shared" si="251"/>
        <v>67.450617739023613</v>
      </c>
      <c r="CF141" s="571">
        <f t="shared" si="252"/>
        <v>55.741973256473507</v>
      </c>
      <c r="CG141" s="573">
        <f t="shared" si="253"/>
        <v>0.13</v>
      </c>
      <c r="CH141" s="219">
        <f t="shared" si="254"/>
        <v>0.13</v>
      </c>
      <c r="CI141" s="219">
        <f t="shared" si="255"/>
        <v>0.11</v>
      </c>
      <c r="CJ141" s="219">
        <f t="shared" si="256"/>
        <v>0.12842202020934276</v>
      </c>
      <c r="CK141" s="219">
        <f t="shared" si="257"/>
        <v>0.12842202020934276</v>
      </c>
      <c r="CL141" s="219">
        <f t="shared" si="258"/>
        <v>0.11</v>
      </c>
      <c r="CM141" s="219">
        <f t="shared" si="259"/>
        <v>0.11612073537064577</v>
      </c>
      <c r="CN141" s="569">
        <f t="shared" si="260"/>
        <v>0.11612073537064577</v>
      </c>
      <c r="CO141" s="264">
        <f t="shared" si="343"/>
        <v>21.434044647565209</v>
      </c>
      <c r="CP141" s="216">
        <f t="shared" si="331"/>
        <v>21.434044647565209</v>
      </c>
      <c r="CQ141" s="216">
        <f t="shared" ca="1" si="361"/>
        <v>21.434044647565209</v>
      </c>
      <c r="CR141" s="216">
        <f t="shared" ca="1" si="362"/>
        <v>21.434044647565209</v>
      </c>
      <c r="CS141" s="1626">
        <f t="shared" ca="1" si="363"/>
        <v>21.434044647565209</v>
      </c>
      <c r="CT141" s="216">
        <f t="shared" si="332"/>
        <v>21.434044647565209</v>
      </c>
      <c r="CU141" s="575">
        <f t="shared" si="261"/>
        <v>0.158</v>
      </c>
      <c r="CV141" s="154">
        <f t="shared" si="262"/>
        <v>0.5</v>
      </c>
      <c r="CW141" s="216">
        <f>IF(OR($BQ141,$BS141),SpreadOptPowerMargin,0)*((1+Assumptions!$C$26)^($B141-YEAR(Assumptions!$C$17)))</f>
        <v>2.0676342017687039</v>
      </c>
      <c r="CX141" s="216">
        <f>IF(OR($BQ141,$BS141),SpreadOptPowerMargin,0)*((1+Assumptions!$C$26)^($B141-YEAR(Assumptions!$C$17)))</f>
        <v>2.0676342017687039</v>
      </c>
      <c r="CY141" s="216">
        <f>IF(OR($BQ141,$BS141),SpreadOptPowerMargin,0)*((1+Assumptions!$C$26)^($B141-YEAR(Assumptions!$C$17)))</f>
        <v>2.0676342017687039</v>
      </c>
      <c r="CZ141" s="216">
        <f>IF(OR($BQ141,$BS141),SpreadOptPowerMargin,0)*((1+Assumptions!$C$26)^($B141-YEAR(Assumptions!$C$17)))</f>
        <v>2.0676342017687039</v>
      </c>
      <c r="DA141" s="440">
        <f t="shared" si="263"/>
        <v>2.0676342017687039</v>
      </c>
      <c r="DB141" s="479">
        <f t="shared" si="264"/>
        <v>0.13</v>
      </c>
      <c r="DC141" s="479">
        <f t="shared" si="265"/>
        <v>0.13</v>
      </c>
      <c r="DD141" s="479">
        <f t="shared" si="266"/>
        <v>0.11</v>
      </c>
      <c r="DE141" s="479">
        <f t="shared" si="267"/>
        <v>0.11</v>
      </c>
      <c r="DF141" s="479">
        <f t="shared" si="268"/>
        <v>0.11612073537064577</v>
      </c>
      <c r="DG141" s="574">
        <f t="shared" si="269"/>
        <v>0.11612073537064577</v>
      </c>
      <c r="DH141" s="216">
        <f t="shared" si="270"/>
        <v>51.004824710651711</v>
      </c>
      <c r="DI141" s="216">
        <f t="shared" si="271"/>
        <v>51.004824710651711</v>
      </c>
      <c r="DJ141" s="216">
        <f t="shared" ca="1" si="364"/>
        <v>10.325835164350009</v>
      </c>
      <c r="DK141" s="216">
        <f t="shared" ca="1" si="365"/>
        <v>10.325835164350009</v>
      </c>
      <c r="DL141" s="216">
        <f t="shared" ca="1" si="366"/>
        <v>32.374159760445949</v>
      </c>
      <c r="DM141" s="216"/>
      <c r="DN141" s="216"/>
      <c r="DO141" s="216"/>
      <c r="DP141" s="216"/>
      <c r="DQ141" s="216"/>
      <c r="DR141" s="216"/>
      <c r="DS141" s="216"/>
      <c r="DT141" s="216"/>
      <c r="DU141" s="216"/>
      <c r="DV141" s="216"/>
      <c r="DW141" s="1371">
        <f t="shared" si="272"/>
        <v>10.325835164350009</v>
      </c>
      <c r="DX141" s="216">
        <f t="shared" si="273"/>
        <v>10.325835164350009</v>
      </c>
      <c r="DY141" s="440">
        <f t="shared" si="274"/>
        <v>32.925273801184282</v>
      </c>
      <c r="DZ141" s="180">
        <f t="shared" si="275"/>
        <v>2493523.8704543407</v>
      </c>
      <c r="EA141" s="180">
        <f t="shared" si="276"/>
        <v>474956.92770558875</v>
      </c>
      <c r="EB141" s="180">
        <f t="shared" ca="1" si="367"/>
        <v>120192.7213130341</v>
      </c>
      <c r="EC141" s="180">
        <f t="shared" ca="1" si="368"/>
        <v>360578.16393910232</v>
      </c>
      <c r="ED141" s="180">
        <f t="shared" ca="1" si="369"/>
        <v>3391516.9765043175</v>
      </c>
      <c r="EE141" s="581">
        <f t="shared" si="277"/>
        <v>2492023.0513168965</v>
      </c>
      <c r="EF141" s="554">
        <f t="shared" si="278"/>
        <v>474671.05739369453</v>
      </c>
      <c r="EG141" s="554">
        <f t="shared" ca="1" si="370"/>
        <v>102699.78334533848</v>
      </c>
      <c r="EH141" s="554">
        <f t="shared" ca="1" si="371"/>
        <v>308099.35003601544</v>
      </c>
      <c r="EI141" s="561">
        <f t="shared" ca="1" si="279"/>
        <v>3377493.242091944</v>
      </c>
      <c r="EJ141" s="581">
        <f t="shared" si="333"/>
        <v>1500.819137444254</v>
      </c>
      <c r="EK141" s="554">
        <f t="shared" si="334"/>
        <v>285.87031189422123</v>
      </c>
      <c r="EL141" s="554">
        <f t="shared" ca="1" si="372"/>
        <v>17492.937967695616</v>
      </c>
      <c r="EM141" s="554">
        <f t="shared" ca="1" si="373"/>
        <v>52478.813903086877</v>
      </c>
      <c r="EN141" s="561">
        <f t="shared" ca="1" si="374"/>
        <v>14023.734412373509</v>
      </c>
      <c r="EO141" s="180">
        <f t="shared" si="280"/>
        <v>9974095.4818173628</v>
      </c>
      <c r="EP141" s="180">
        <f t="shared" si="281"/>
        <v>1899827.710822355</v>
      </c>
      <c r="EQ141" s="180">
        <f t="shared" si="282"/>
        <v>480770.88525213639</v>
      </c>
      <c r="ER141" s="180">
        <f t="shared" si="283"/>
        <v>1442312.6557564093</v>
      </c>
      <c r="ES141" s="180">
        <f t="shared" si="284"/>
        <v>13797006.733648261</v>
      </c>
      <c r="ET141" s="1482">
        <f t="shared" ca="1" si="375"/>
        <v>9968092.2052675858</v>
      </c>
      <c r="EU141" s="180">
        <f t="shared" ca="1" si="376"/>
        <v>1898684.2295747781</v>
      </c>
      <c r="EV141" s="180">
        <f t="shared" ca="1" si="377"/>
        <v>410799.13338135392</v>
      </c>
      <c r="EW141" s="180">
        <f t="shared" ca="1" si="378"/>
        <v>1232397.4001440618</v>
      </c>
      <c r="EX141" s="555">
        <f t="shared" ca="1" si="351"/>
        <v>13509972.968367778</v>
      </c>
      <c r="EY141" s="180">
        <f t="shared" ca="1" si="379"/>
        <v>6003.276549777016</v>
      </c>
      <c r="EZ141" s="180">
        <f t="shared" ca="1" si="380"/>
        <v>1143.4812475768849</v>
      </c>
      <c r="FA141" s="180">
        <f t="shared" ca="1" si="381"/>
        <v>69971.751870782464</v>
      </c>
      <c r="FB141" s="180">
        <f t="shared" ca="1" si="382"/>
        <v>209915.25561234751</v>
      </c>
      <c r="FC141" s="180">
        <f t="shared" ca="1" si="383"/>
        <v>287033.76528048329</v>
      </c>
      <c r="FD141" s="262">
        <f>IF(AX141,IF(VLOOKUP(C141,MAIN!$L$17:$M$28,2)="Yes",VLOOKUP(CALC!B141,MAIN!$H$17:$I$20,2),0),0)</f>
        <v>0</v>
      </c>
      <c r="FE141" s="623">
        <f t="shared" si="285"/>
        <v>0</v>
      </c>
      <c r="FF141" s="535">
        <f t="shared" si="286"/>
        <v>0</v>
      </c>
      <c r="FG141" s="535">
        <f t="shared" si="287"/>
        <v>0</v>
      </c>
      <c r="FH141" s="624">
        <f t="shared" si="288"/>
        <v>0</v>
      </c>
      <c r="FI141" s="632">
        <f>IF(AX141,VLOOKUP(CALC!B141,MAIN!$H$17:$K$20,4),0)</f>
        <v>0</v>
      </c>
      <c r="FJ141" s="535">
        <f t="shared" si="289"/>
        <v>0</v>
      </c>
      <c r="FK141" s="648">
        <f t="shared" si="335"/>
        <v>0</v>
      </c>
      <c r="FL141" s="530">
        <f t="shared" ca="1" si="384"/>
        <v>0</v>
      </c>
      <c r="FM141" s="530">
        <f t="shared" ca="1" si="385"/>
        <v>0</v>
      </c>
      <c r="FN141" s="530">
        <f t="shared" ca="1" si="386"/>
        <v>0</v>
      </c>
      <c r="FO141" s="622">
        <f t="shared" ca="1" si="387"/>
        <v>0</v>
      </c>
      <c r="FP141" s="530">
        <f t="shared" ca="1" si="388"/>
        <v>0</v>
      </c>
      <c r="FQ141" s="530">
        <f t="shared" ca="1" si="389"/>
        <v>0</v>
      </c>
      <c r="FR141" s="530">
        <f t="shared" ca="1" si="390"/>
        <v>0</v>
      </c>
      <c r="FS141" s="625">
        <f t="shared" ca="1" si="391"/>
        <v>0</v>
      </c>
      <c r="FT141" s="640">
        <f ca="1">IF(AND(Assumptions!$H$71="Yes",A141&gt;=Assumptions!$H$72,A141&lt;=Assumptions!$H$73),0,IF(AND($A141&gt;=Assumptions!$C$17,$A141&lt;=Assumptions!$C$18),MAX(AZ141*(1+VLOOKUP($C141,WeatherCapacityAdjustment,2))-FL141,0),0))</f>
        <v>48888</v>
      </c>
      <c r="FU141" s="530">
        <f ca="1">IF(AND(Assumptions!$H$71="Yes",A141&gt;=Assumptions!$H$72,A141&lt;=Assumptions!$H$73),0,IF(AND($A141&gt;=Assumptions!$C$17,$A141&lt;=Assumptions!$C$18),MAX(BA141*(1+VLOOKUP($C141,WeatherCapacityAdjustment,2))-FM141,0),0))</f>
        <v>9312</v>
      </c>
      <c r="FV141" s="530">
        <f ca="1">IF(AND(Assumptions!$H$71="Yes",A141&gt;=Assumptions!$H$72,A141&lt;=Assumptions!$H$73),0,IF(AND($A141&gt;=Assumptions!$C$17,$A141&lt;=Assumptions!$C$18),MAX(BB141*(1+VLOOKUP($C141,WeatherCapacityAdjustment,2))-FN141,0),0))</f>
        <v>11640</v>
      </c>
      <c r="FW141" s="622">
        <f ca="1">IF(AND(Assumptions!$H$71="Yes",A141&gt;=Assumptions!$H$72,A141&lt;=Assumptions!$H$73),0,IF(AND($A141&gt;=Assumptions!$C$17,$A141&lt;=Assumptions!$C$18),MAX(BC141*(1+VLOOKUP($C141,WeatherCapacityAdjustment,3))-FO141,0),0))</f>
        <v>34920</v>
      </c>
      <c r="FX141" s="621">
        <f ca="1">IF(AND(Assumptions!$H$71="Yes",A141&gt;=Assumptions!$H$72,A141&lt;=Assumptions!$H$73),0,IF(ET141&gt;0,MAX(BH141*(1+VLOOKUP($C141,WeatherCapacityAdjustment,2))-FP141,0),0))</f>
        <v>195552</v>
      </c>
      <c r="FY141" s="530">
        <f ca="1">IF(AND(Assumptions!$H$71="Yes",A141&gt;=Assumptions!$H$72,A141&lt;=Assumptions!$H$73),0,IF(EU141&gt;0,MAX(BI141*(1+VLOOKUP($C141,WeatherCapacityAdjustment,3))-FQ141,0),0))</f>
        <v>37248</v>
      </c>
      <c r="FZ141" s="530">
        <f ca="1">IF(AND(Assumptions!$H$71="Yes",A141&gt;=Assumptions!$H$72,A141&lt;=Assumptions!$H$73),0,IF(EV141&gt;0,MAX(BJ141*(1+VLOOKUP($C141,WeatherCapacityAdjustment,2))-FR141,0),0))</f>
        <v>46560</v>
      </c>
      <c r="GA141" s="622">
        <f ca="1">IF(AND(Assumptions!$H$71="Yes",A141&gt;=Assumptions!$H$72,A141&lt;=Assumptions!$H$73),0,IF(EW141&gt;0,MAX(BK141*(1+VLOOKUP($C141,WeatherCapacityAdjustment,2))-FS141,0),0))</f>
        <v>139680</v>
      </c>
      <c r="GB141" s="530">
        <f t="shared" ca="1" si="290"/>
        <v>523800</v>
      </c>
      <c r="GC141" s="545">
        <f t="shared" ca="1" si="291"/>
        <v>55.741973256473507</v>
      </c>
      <c r="GD141" s="530">
        <f t="shared" ca="1" si="392"/>
        <v>29197645.591740824</v>
      </c>
      <c r="GE141" s="1485">
        <f t="shared" ca="1" si="393"/>
        <v>742222.5048</v>
      </c>
      <c r="GF141" s="1776">
        <f t="shared" ca="1" si="394"/>
        <v>2968890.0192</v>
      </c>
      <c r="GG141" s="545">
        <f t="shared" si="359"/>
        <v>3.0252794852723941</v>
      </c>
      <c r="GH141" s="622">
        <f t="shared" ca="1" si="360"/>
        <v>11227152.586394656</v>
      </c>
      <c r="GI141" s="621">
        <f t="shared" ca="1" si="336"/>
        <v>523800</v>
      </c>
      <c r="GJ141" s="638">
        <f t="shared" si="292"/>
        <v>2.0676342017687039</v>
      </c>
      <c r="GK141" s="625">
        <f t="shared" ca="1" si="342"/>
        <v>1083026.794886447</v>
      </c>
      <c r="GL141" s="640">
        <f t="shared" ca="1" si="395"/>
        <v>0</v>
      </c>
      <c r="GM141" s="530">
        <f t="shared" ca="1" si="396"/>
        <v>0</v>
      </c>
      <c r="GN141" s="530">
        <f t="shared" ca="1" si="397"/>
        <v>0</v>
      </c>
      <c r="GO141" s="622">
        <f t="shared" ca="1" si="398"/>
        <v>0</v>
      </c>
      <c r="GP141" s="530">
        <f t="shared" ca="1" si="293"/>
        <v>0</v>
      </c>
      <c r="GQ141" s="545">
        <f t="shared" ca="1" si="294"/>
        <v>0</v>
      </c>
      <c r="GR141" s="625">
        <f t="shared" ca="1" si="399"/>
        <v>0</v>
      </c>
      <c r="GS141" s="640">
        <f>IF($A141&gt;=BegDate,Assumptions!$C$56*24*($A142-$A141)*(1-VLOOKUP($B141,MAIN!$AA$7:$AM$28,$C141+1))*(1-VLOOKUP($B141,MAIN!$AA$33:$AM$54,$C141+1)),0)*80/168</f>
        <v>249428.57142857142</v>
      </c>
      <c r="GT141" s="1715">
        <f t="shared" si="337"/>
        <v>74.475804983441677</v>
      </c>
      <c r="GU141" s="1715">
        <f>IF($A141&gt;=BegDate,VLOOKUP($A141,GasTable,13)+Assumptions!$C$58,0)</f>
        <v>3.0252794852723941</v>
      </c>
      <c r="GV141" s="1715">
        <f>GU141*Assumptions!$C$57/1000</f>
        <v>21.933276268224859</v>
      </c>
      <c r="GW141" s="625">
        <f>IF(Assumptions!$C$60="Hourly",MAX(0,GS141*(GT141-GV141)),GS141*(GT141-GV141))</f>
        <v>13105607.876681224</v>
      </c>
      <c r="GX141" s="640">
        <f>IF($A141&gt;=BegDate,Assumptions!$C$56*24*($A142-$A141)*(1-VLOOKUP($B141,MAIN!$AA$7:$AM$28,$C141+1))*(1-VLOOKUP($B141,MAIN!$AA$33:$AM$54,$C141+1)),0)*16/168</f>
        <v>49885.714285714283</v>
      </c>
      <c r="GY141" s="1715">
        <f t="shared" si="338"/>
        <v>74.475804983441677</v>
      </c>
      <c r="GZ141" s="1715">
        <f>IF($A141&gt;=BegDate,VLOOKUP($A141,GasTable,13)+Assumptions!$C$58,0)</f>
        <v>3.0252794852723941</v>
      </c>
      <c r="HA141" s="1715">
        <f>GZ141*Assumptions!$C$57/1000</f>
        <v>21.933276268224859</v>
      </c>
      <c r="HB141" s="625">
        <f>IF(Assumptions!$C$60="Hourly",MAX(0,GX141*(GY141-HA141)),GX141*(GY141-HA141))</f>
        <v>2621121.5753362444</v>
      </c>
      <c r="HC141" s="640">
        <f>IF($A141&gt;=BegDate,Assumptions!$C$56*24*($A142-$A141)*(1-VLOOKUP($B141,MAIN!$AA$7:$AM$28,$C141+1))*(1-VLOOKUP($B141,MAIN!$AA$33:$AM$54,$C141+1)),0)*16/168</f>
        <v>49885.714285714283</v>
      </c>
      <c r="HD141" s="1715">
        <f t="shared" si="339"/>
        <v>32.324684532210966</v>
      </c>
      <c r="HE141" s="1715">
        <f>IF($A141&gt;=BegDate,VLOOKUP($A141,GasTable,13)+Assumptions!$C$58,0)</f>
        <v>3.0252794852723941</v>
      </c>
      <c r="HF141" s="1715">
        <f>HE141*Assumptions!$C$57/1000</f>
        <v>21.933276268224859</v>
      </c>
      <c r="HG141" s="625">
        <f>IF(Assumptions!$C$60="Hourly",MAX(0,HC141*(HD141-HF141)),HC141*(HD141-HF141))</f>
        <v>518382.82368342124</v>
      </c>
      <c r="HH141" s="640">
        <f>IF($A141&gt;=BegDate,Assumptions!$C$56*24*($A142-$A141)*(1-VLOOKUP($B141,MAIN!$AA$7:$AM$28,$C141+1))*(1-VLOOKUP($B141,MAIN!$AA$33:$AM$54,$C141+1)),0)*56/168</f>
        <v>174600</v>
      </c>
      <c r="HI141" s="1715">
        <f t="shared" si="340"/>
        <v>32.324684532210966</v>
      </c>
      <c r="HJ141" s="1715">
        <f>IF($A141&gt;=BegDate,VLOOKUP($A141,GasTable,13)+Assumptions!$C$58,0)</f>
        <v>3.0252794852723941</v>
      </c>
      <c r="HK141" s="1715">
        <f>HJ141*Assumptions!$C$57/1000</f>
        <v>21.933276268224859</v>
      </c>
      <c r="HL141" s="625">
        <f>IF(Assumptions!$C$60="Hourly",MAX(0,HH141*(HI141-HK141)),HH141*(HI141-HK141))</f>
        <v>1814339.8828919744</v>
      </c>
      <c r="HM141" s="640">
        <f>IF(AND(Assumptions!$H$71="Yes",A141&gt;=Assumptions!$H$72,A141&lt;=Assumptions!$H$73),Assumptions!$H$74*Assumptions!$C$9*1000,0)</f>
        <v>0</v>
      </c>
      <c r="HN141" s="530"/>
      <c r="HO141" s="545"/>
      <c r="HP141" s="545"/>
      <c r="HQ141" s="545"/>
      <c r="HR141" s="545"/>
      <c r="HS141" s="545"/>
      <c r="HT141" s="545"/>
      <c r="HU141" s="545"/>
      <c r="HV141" s="545"/>
      <c r="HW141" s="545"/>
      <c r="HX141" s="545"/>
      <c r="HY141" s="545"/>
      <c r="HZ141" s="545"/>
      <c r="IA141" s="545"/>
      <c r="IB141" s="545"/>
      <c r="IC141" s="545"/>
      <c r="ID141" s="545"/>
      <c r="IE141" s="545"/>
      <c r="IF141" s="545"/>
      <c r="IG141" s="545"/>
      <c r="IH141" s="545"/>
      <c r="II141" s="1464"/>
      <c r="IJ141" s="1463"/>
      <c r="IK141" s="1463"/>
    </row>
    <row r="142" spans="1:245">
      <c r="A142" s="177">
        <f t="shared" si="295"/>
        <v>40452</v>
      </c>
      <c r="B142" s="349">
        <f t="shared" si="296"/>
        <v>2010</v>
      </c>
      <c r="C142" s="15">
        <f t="shared" si="400"/>
        <v>10</v>
      </c>
      <c r="D142" s="612" t="str">
        <f t="shared" si="297"/>
        <v/>
      </c>
      <c r="E142" s="609">
        <f t="shared" si="401"/>
        <v>40452</v>
      </c>
      <c r="F142" s="614">
        <f t="shared" si="402"/>
        <v>40482</v>
      </c>
      <c r="G142" s="1349">
        <v>0</v>
      </c>
      <c r="H142" s="152">
        <f t="shared" si="341"/>
        <v>1</v>
      </c>
      <c r="I142" s="154">
        <f>IF(Assumptions!$L$25=4,VLOOKUP($A142,'Henwood Reference'!$E$9:$R$320,10),(VLOOKUP($A142,PriceTable,2,0)+IF(BasisNumber&lt;&gt;1,VLOOKUP($A142,BasisTable,2,0),0)+I$1)/(1-I$2))</f>
        <v>48.974441717151358</v>
      </c>
      <c r="J142" s="154">
        <f>IF(Assumptions!$L$25=4,VLOOKUP($A142,'Henwood Reference'!$E$9:$R$320,10),(VLOOKUP($A142,PriceTable,3,0)+IF(BasisNumber&lt;&gt;1,VLOOKUP($A142,BasisTable,2,0),0)+J$1)/(1-J$2))</f>
        <v>48.974441717151358</v>
      </c>
      <c r="K142" s="154">
        <f>IF(Assumptions!$L$25=4,VLOOKUP($A142,'Henwood Reference'!$E$9:$R$320,10),(VLOOKUP($A142,PriceTable,4,0)+IF(BasisNumber&lt;&gt;1,VLOOKUP($A142,BasisTable,2,0),0)+K$1)/(1-K$2))</f>
        <v>48.974441717151358</v>
      </c>
      <c r="L142" s="474">
        <f>IF(Assumptions!$L$25=4,VLOOKUP($A142,'Henwood Reference'!$E$9:$R$320,10),(VLOOKUP($A142,PriceTableWeekend,2,0)+IF(BasisNumber&lt;&gt;1,VLOOKUP($A142,BasisTable,2,0),0)+L$1)/(1-L$2))</f>
        <v>48.974441717151358</v>
      </c>
      <c r="M142" s="154">
        <f>IF(Assumptions!$L$25=4,VLOOKUP($A142,'Henwood Reference'!$E$9:$R$320,10),(VLOOKUP($A142,PriceTableWeekend,3,0)+IF(BasisNumber&lt;&gt;1,VLOOKUP($A142,BasisTable,2,0),0)+M$1)/(1-M$2))</f>
        <v>48.974441717151358</v>
      </c>
      <c r="N142" s="156">
        <f>IF(Assumptions!$L$25=4,VLOOKUP($A142,'Henwood Reference'!$E$9:$R$320,10),(VLOOKUP($A142,PriceTableWeekend,4,0)+IF(BasisNumber&lt;&gt;1,VLOOKUP($A142,BasisTable,2,0),0)+N$1)/(1-N$2))</f>
        <v>48.974441717151358</v>
      </c>
      <c r="O142" s="154">
        <f>IF(Assumptions!$L$25=4,VLOOKUP($A142,'Henwood Reference'!$E$9:$R$320,11),(VLOOKUP($A142,PriceTableWeekend,6,0)+IF(BasisNumber&lt;&gt;1,VLOOKUP($A142,BasisTable,3,0),0)+O$1)/(1-O$2))</f>
        <v>26.996703721297887</v>
      </c>
      <c r="P142" s="154">
        <f>IF(Assumptions!$L$25=4,VLOOKUP($A142,'Henwood Reference'!$E$9:$R$320,11),(VLOOKUP($A142,PriceTableWeekend,7,0)+IF(BasisNumber&lt;&gt;1,VLOOKUP($A142,BasisTable,3,0),0)+P$1)/(1-P$2))</f>
        <v>26.996703721297887</v>
      </c>
      <c r="Q142" s="156">
        <f>IF(Assumptions!$L$25=4,VLOOKUP($A142,'Henwood Reference'!$E$9:$R$320,11),(VLOOKUP($A142,PriceTableWeekend,8,0)+IF(BasisNumber&lt;&gt;1,VLOOKUP($A142,BasisTable,3,0),0)+Q$1)/(1-Q$2))</f>
        <v>26.996703721297887</v>
      </c>
      <c r="R142" s="154">
        <f>IF(Assumptions!$L$25=4,VLOOKUP($A142,'Henwood Reference'!$E$9:$R$320,11),(VLOOKUP($A142,PriceTable,6,0)+IF(BasisNumber&lt;&gt;1,VLOOKUP($A142,BasisTable,3,0),0)+R$1)/(1-R$2))</f>
        <v>26.996703721297887</v>
      </c>
      <c r="S142" s="154">
        <f>IF(Assumptions!$L$25=4,VLOOKUP($A142,'Henwood Reference'!$E$9:$R$320,11),(VLOOKUP($A142,PriceTable,7,0)+IF(BasisNumber&lt;&gt;1,VLOOKUP($A142,BasisTable,3,0),0)+S$1)/(1-S$2))</f>
        <v>26.996703721297887</v>
      </c>
      <c r="T142" s="155">
        <f>IF(Assumptions!$L$25=4,VLOOKUP($A142,'Henwood Reference'!$E$9:$R$320,11),(VLOOKUP($A142,PriceTable,8,0)+IF(BasisNumber&lt;&gt;1,VLOOKUP($A142,BasisTable,3,0),0)+T$1)/(1-T$2))</f>
        <v>26.996703721297887</v>
      </c>
      <c r="U142" s="173">
        <f t="shared" si="298"/>
        <v>0.12</v>
      </c>
      <c r="V142" s="173">
        <f t="shared" si="299"/>
        <v>0.13</v>
      </c>
      <c r="W142" s="174">
        <f t="shared" si="300"/>
        <v>0.14000000000000001</v>
      </c>
      <c r="X142" s="173">
        <f t="shared" si="301"/>
        <v>0.12</v>
      </c>
      <c r="Y142" s="173">
        <f t="shared" si="302"/>
        <v>0.13</v>
      </c>
      <c r="Z142" s="174">
        <f t="shared" si="303"/>
        <v>0.14000000000000001</v>
      </c>
      <c r="AA142" s="173">
        <f t="shared" si="304"/>
        <v>0.09</v>
      </c>
      <c r="AB142" s="173">
        <f t="shared" si="305"/>
        <v>0.11</v>
      </c>
      <c r="AC142" s="174">
        <f t="shared" si="306"/>
        <v>0.13</v>
      </c>
      <c r="AD142" s="173">
        <f t="shared" si="307"/>
        <v>0.09</v>
      </c>
      <c r="AE142" s="173">
        <f t="shared" si="308"/>
        <v>0.11</v>
      </c>
      <c r="AF142" s="174">
        <f t="shared" si="309"/>
        <v>0.13</v>
      </c>
      <c r="AG142" s="173">
        <f t="shared" si="310"/>
        <v>-0.1</v>
      </c>
      <c r="AH142" s="173">
        <f t="shared" si="311"/>
        <v>0.6</v>
      </c>
      <c r="AI142" s="174">
        <f t="shared" si="312"/>
        <v>0.1</v>
      </c>
      <c r="AJ142" s="173">
        <f t="shared" si="313"/>
        <v>-0.1</v>
      </c>
      <c r="AK142" s="173">
        <f t="shared" si="314"/>
        <v>0.6</v>
      </c>
      <c r="AL142" s="174">
        <f t="shared" si="315"/>
        <v>0.1</v>
      </c>
      <c r="AM142" s="173">
        <f t="shared" si="316"/>
        <v>-0.01</v>
      </c>
      <c r="AN142" s="173">
        <f t="shared" si="317"/>
        <v>0.16</v>
      </c>
      <c r="AO142" s="174">
        <f t="shared" si="318"/>
        <v>0.01</v>
      </c>
      <c r="AP142" s="173">
        <f t="shared" si="319"/>
        <v>-0.01</v>
      </c>
      <c r="AQ142" s="173">
        <f t="shared" si="320"/>
        <v>0.16</v>
      </c>
      <c r="AR142" s="175">
        <f t="shared" si="321"/>
        <v>0.01</v>
      </c>
      <c r="AS142" s="521">
        <f t="shared" si="405"/>
        <v>0.5</v>
      </c>
      <c r="AT142" s="349">
        <f t="shared" si="403"/>
        <v>21</v>
      </c>
      <c r="AU142" s="159">
        <f t="shared" si="240"/>
        <v>5</v>
      </c>
      <c r="AV142" s="159">
        <f t="shared" si="241"/>
        <v>5</v>
      </c>
      <c r="AW142" s="159">
        <f t="shared" si="406"/>
        <v>0</v>
      </c>
      <c r="AX142" s="15">
        <f t="shared" si="404"/>
        <v>31</v>
      </c>
      <c r="AY142" s="607">
        <f>IF(E142="",0,MIN((1-(1-VLOOKUP(B142,MAIN!$AA$7:$AM$28,C142+1))*(1-VLOOKUP(B142,MAIN!$AA$33:$AM$54,C142+1))),1))</f>
        <v>3.0000000000000027E-2</v>
      </c>
      <c r="AZ142" s="337">
        <v>48888</v>
      </c>
      <c r="BA142" s="509">
        <v>11640</v>
      </c>
      <c r="BB142" s="509">
        <v>11640</v>
      </c>
      <c r="BC142" s="511">
        <v>36084</v>
      </c>
      <c r="BD142" s="153">
        <v>0.97000001445412631</v>
      </c>
      <c r="BE142" s="474">
        <v>0.97000001445412631</v>
      </c>
      <c r="BF142" s="474">
        <v>0.97000001445412631</v>
      </c>
      <c r="BG142" s="515">
        <v>0.9699999927729368</v>
      </c>
      <c r="BH142" s="262">
        <v>195552</v>
      </c>
      <c r="BI142" s="509">
        <v>46560</v>
      </c>
      <c r="BJ142" s="509">
        <v>46560</v>
      </c>
      <c r="BK142" s="511">
        <v>144336</v>
      </c>
      <c r="BL142" s="153">
        <v>0.97000001445412631</v>
      </c>
      <c r="BM142" s="474">
        <v>0.97000001445412631</v>
      </c>
      <c r="BN142" s="474">
        <v>0.97000001445412631</v>
      </c>
      <c r="BO142" s="474">
        <v>0.9699999927729368</v>
      </c>
      <c r="BP142" s="261">
        <f t="shared" si="324"/>
        <v>72168</v>
      </c>
      <c r="BQ142" s="578">
        <f t="shared" si="325"/>
        <v>108252</v>
      </c>
      <c r="BR142" s="259">
        <f t="shared" si="326"/>
        <v>288672</v>
      </c>
      <c r="BS142" s="578">
        <f t="shared" si="327"/>
        <v>433008</v>
      </c>
      <c r="BT142" s="216">
        <f t="shared" si="328"/>
        <v>10.464065708418891</v>
      </c>
      <c r="BU142" s="218">
        <f t="shared" si="243"/>
        <v>48.974442446927405</v>
      </c>
      <c r="BV142" s="216">
        <f t="shared" si="244"/>
        <v>48.974442446927405</v>
      </c>
      <c r="BW142" s="216">
        <f t="shared" si="245"/>
        <v>26.99670412358012</v>
      </c>
      <c r="BX142" s="216">
        <f t="shared" si="329"/>
        <v>26.996703520156771</v>
      </c>
      <c r="BY142" s="216">
        <f t="shared" si="246"/>
        <v>45.429645943161717</v>
      </c>
      <c r="BZ142" s="216">
        <f t="shared" si="247"/>
        <v>39.285331802160066</v>
      </c>
      <c r="CA142" s="264">
        <f t="shared" si="248"/>
        <v>48.974442446927405</v>
      </c>
      <c r="CB142" s="216">
        <f t="shared" si="249"/>
        <v>48.974442446927405</v>
      </c>
      <c r="CC142" s="216">
        <f t="shared" si="250"/>
        <v>26.99670412358012</v>
      </c>
      <c r="CD142" s="216">
        <f t="shared" si="330"/>
        <v>26.996703520156771</v>
      </c>
      <c r="CE142" s="216">
        <f t="shared" si="251"/>
        <v>45.429645943161717</v>
      </c>
      <c r="CF142" s="571">
        <f t="shared" si="252"/>
        <v>39.285331802160066</v>
      </c>
      <c r="CG142" s="573">
        <f t="shared" si="253"/>
        <v>0.13</v>
      </c>
      <c r="CH142" s="219">
        <f t="shared" si="254"/>
        <v>0.13</v>
      </c>
      <c r="CI142" s="219">
        <f t="shared" si="255"/>
        <v>0.11</v>
      </c>
      <c r="CJ142" s="219">
        <f t="shared" si="256"/>
        <v>0.12810614707080006</v>
      </c>
      <c r="CK142" s="219">
        <f t="shared" si="257"/>
        <v>0.12810614707080006</v>
      </c>
      <c r="CL142" s="219">
        <f t="shared" si="258"/>
        <v>0.11</v>
      </c>
      <c r="CM142" s="219">
        <f t="shared" si="259"/>
        <v>0.11392211766187038</v>
      </c>
      <c r="CN142" s="569">
        <f t="shared" si="260"/>
        <v>0.11392211766187038</v>
      </c>
      <c r="CO142" s="264">
        <f t="shared" si="343"/>
        <v>22.359453447280732</v>
      </c>
      <c r="CP142" s="216">
        <f t="shared" si="331"/>
        <v>22.359453447280732</v>
      </c>
      <c r="CQ142" s="216">
        <f t="shared" ca="1" si="361"/>
        <v>22.359453447280732</v>
      </c>
      <c r="CR142" s="216">
        <f t="shared" ca="1" si="362"/>
        <v>22.359453447280732</v>
      </c>
      <c r="CS142" s="1626">
        <f t="shared" ca="1" si="363"/>
        <v>22.359453447280732</v>
      </c>
      <c r="CT142" s="216">
        <f t="shared" si="332"/>
        <v>22.359453447280732</v>
      </c>
      <c r="CU142" s="575">
        <f t="shared" si="261"/>
        <v>0.158</v>
      </c>
      <c r="CV142" s="154">
        <f t="shared" si="262"/>
        <v>0.5</v>
      </c>
      <c r="CW142" s="216">
        <f>IF(OR($BQ142,$BS142),SpreadOptPowerMargin,0)*((1+Assumptions!$C$26)^($B142-YEAR(Assumptions!$C$17)))</f>
        <v>2.0676342017687039</v>
      </c>
      <c r="CX142" s="216">
        <f>IF(OR($BQ142,$BS142),SpreadOptPowerMargin,0)*((1+Assumptions!$C$26)^($B142-YEAR(Assumptions!$C$17)))</f>
        <v>2.0676342017687039</v>
      </c>
      <c r="CY142" s="216">
        <f>IF(OR($BQ142,$BS142),SpreadOptPowerMargin,0)*((1+Assumptions!$C$26)^($B142-YEAR(Assumptions!$C$17)))</f>
        <v>2.0676342017687039</v>
      </c>
      <c r="CZ142" s="216">
        <f>IF(OR($BQ142,$BS142),SpreadOptPowerMargin,0)*((1+Assumptions!$C$26)^($B142-YEAR(Assumptions!$C$17)))</f>
        <v>2.0676342017687039</v>
      </c>
      <c r="DA142" s="440">
        <f t="shared" si="263"/>
        <v>2.0676342017687035</v>
      </c>
      <c r="DB142" s="479">
        <f t="shared" si="264"/>
        <v>0.13</v>
      </c>
      <c r="DC142" s="479">
        <f t="shared" si="265"/>
        <v>0.13</v>
      </c>
      <c r="DD142" s="479">
        <f t="shared" si="266"/>
        <v>0.11</v>
      </c>
      <c r="DE142" s="479">
        <f t="shared" si="267"/>
        <v>0.11</v>
      </c>
      <c r="DF142" s="479">
        <f t="shared" si="268"/>
        <v>0.11392211766187038</v>
      </c>
      <c r="DG142" s="574">
        <f t="shared" si="269"/>
        <v>0.11392211766187038</v>
      </c>
      <c r="DH142" s="216">
        <f t="shared" si="270"/>
        <v>24.952464697264769</v>
      </c>
      <c r="DI142" s="216">
        <f t="shared" si="271"/>
        <v>24.952464697264769</v>
      </c>
      <c r="DJ142" s="216">
        <f t="shared" ca="1" si="364"/>
        <v>5.7170287240311426</v>
      </c>
      <c r="DK142" s="216">
        <f t="shared" ca="1" si="365"/>
        <v>5.7170283156258384</v>
      </c>
      <c r="DL142" s="216">
        <f t="shared" ca="1" si="366"/>
        <v>15.75673709209679</v>
      </c>
      <c r="DM142" s="216"/>
      <c r="DN142" s="216"/>
      <c r="DO142" s="216"/>
      <c r="DP142" s="216"/>
      <c r="DQ142" s="216"/>
      <c r="DR142" s="216"/>
      <c r="DS142" s="216"/>
      <c r="DT142" s="216"/>
      <c r="DU142" s="216"/>
      <c r="DV142" s="216"/>
      <c r="DW142" s="1371">
        <f t="shared" si="272"/>
        <v>5.7170287240311426</v>
      </c>
      <c r="DX142" s="216">
        <f t="shared" si="273"/>
        <v>5.7170283156258384</v>
      </c>
      <c r="DY142" s="440">
        <f t="shared" si="274"/>
        <v>16.472326121316993</v>
      </c>
      <c r="DZ142" s="180">
        <f t="shared" si="275"/>
        <v>1219876.0941198801</v>
      </c>
      <c r="EA142" s="180">
        <f t="shared" si="276"/>
        <v>290446.68907616194</v>
      </c>
      <c r="EB142" s="180">
        <f t="shared" ca="1" si="367"/>
        <v>66546.214347722504</v>
      </c>
      <c r="EC142" s="180">
        <f t="shared" ca="1" si="368"/>
        <v>206293.24974104276</v>
      </c>
      <c r="ED142" s="180">
        <f t="shared" ca="1" si="369"/>
        <v>1705698.3036936617</v>
      </c>
      <c r="EE142" s="581">
        <f t="shared" si="277"/>
        <v>1200071.0813586581</v>
      </c>
      <c r="EF142" s="554">
        <f t="shared" si="278"/>
        <v>285731.20984729956</v>
      </c>
      <c r="EG142" s="554">
        <f t="shared" ca="1" si="370"/>
        <v>29910.33576353715</v>
      </c>
      <c r="EH142" s="554">
        <f t="shared" ca="1" si="371"/>
        <v>92722.019093037059</v>
      </c>
      <c r="EI142" s="561">
        <f t="shared" ca="1" si="279"/>
        <v>1608434.6460625317</v>
      </c>
      <c r="EJ142" s="581">
        <f t="shared" si="333"/>
        <v>19805.012761221966</v>
      </c>
      <c r="EK142" s="554">
        <f t="shared" si="334"/>
        <v>4715.4792288623867</v>
      </c>
      <c r="EL142" s="554">
        <f t="shared" ca="1" si="372"/>
        <v>36635.878584185353</v>
      </c>
      <c r="EM142" s="554">
        <f t="shared" ca="1" si="373"/>
        <v>113571.2306480057</v>
      </c>
      <c r="EN142" s="561">
        <f t="shared" ca="1" si="374"/>
        <v>97263.657631129958</v>
      </c>
      <c r="EO142" s="180">
        <f t="shared" si="280"/>
        <v>4879504.3764795205</v>
      </c>
      <c r="EP142" s="180">
        <f t="shared" si="281"/>
        <v>1161786.7563046478</v>
      </c>
      <c r="EQ142" s="180">
        <f t="shared" si="282"/>
        <v>266184.85739089001</v>
      </c>
      <c r="ER142" s="180">
        <f t="shared" si="283"/>
        <v>825172.99896417104</v>
      </c>
      <c r="ES142" s="180">
        <f t="shared" si="284"/>
        <v>7132648.9891392281</v>
      </c>
      <c r="ET142" s="1482">
        <f t="shared" ca="1" si="375"/>
        <v>4800284.3254346326</v>
      </c>
      <c r="EU142" s="180">
        <f t="shared" ca="1" si="376"/>
        <v>1142924.8393891982</v>
      </c>
      <c r="EV142" s="180">
        <f t="shared" ca="1" si="377"/>
        <v>119641.3430541486</v>
      </c>
      <c r="EW142" s="180">
        <f t="shared" ca="1" si="378"/>
        <v>370888.07637214824</v>
      </c>
      <c r="EX142" s="555">
        <f t="shared" ca="1" si="351"/>
        <v>6433738.5842501279</v>
      </c>
      <c r="EY142" s="180">
        <f t="shared" ca="1" si="379"/>
        <v>79220.051044887863</v>
      </c>
      <c r="EZ142" s="180">
        <f t="shared" ca="1" si="380"/>
        <v>18861.916915449547</v>
      </c>
      <c r="FA142" s="180">
        <f t="shared" ca="1" si="381"/>
        <v>146543.51433674141</v>
      </c>
      <c r="FB142" s="180">
        <f t="shared" ca="1" si="382"/>
        <v>454284.92259202281</v>
      </c>
      <c r="FC142" s="180">
        <f t="shared" ca="1" si="383"/>
        <v>698910.40488910023</v>
      </c>
      <c r="FD142" s="262">
        <f>IF(AX142,IF(VLOOKUP(C142,MAIN!$L$17:$M$28,2)="Yes",VLOOKUP(CALC!B142,MAIN!$H$17:$I$20,2),0),0)</f>
        <v>0</v>
      </c>
      <c r="FE142" s="623">
        <f t="shared" si="285"/>
        <v>0</v>
      </c>
      <c r="FF142" s="535">
        <f t="shared" si="286"/>
        <v>0</v>
      </c>
      <c r="FG142" s="535">
        <f t="shared" si="287"/>
        <v>0</v>
      </c>
      <c r="FH142" s="624">
        <f t="shared" si="288"/>
        <v>0</v>
      </c>
      <c r="FI142" s="632">
        <f>IF(AX142,VLOOKUP(CALC!B142,MAIN!$H$17:$K$20,4),0)</f>
        <v>0</v>
      </c>
      <c r="FJ142" s="535">
        <f t="shared" si="289"/>
        <v>0</v>
      </c>
      <c r="FK142" s="648">
        <f t="shared" si="335"/>
        <v>0</v>
      </c>
      <c r="FL142" s="530">
        <f t="shared" ca="1" si="384"/>
        <v>0</v>
      </c>
      <c r="FM142" s="530">
        <f t="shared" ca="1" si="385"/>
        <v>0</v>
      </c>
      <c r="FN142" s="530">
        <f t="shared" ca="1" si="386"/>
        <v>0</v>
      </c>
      <c r="FO142" s="622">
        <f t="shared" ca="1" si="387"/>
        <v>0</v>
      </c>
      <c r="FP142" s="530">
        <f t="shared" ca="1" si="388"/>
        <v>0</v>
      </c>
      <c r="FQ142" s="530">
        <f t="shared" ca="1" si="389"/>
        <v>0</v>
      </c>
      <c r="FR142" s="530">
        <f t="shared" ca="1" si="390"/>
        <v>0</v>
      </c>
      <c r="FS142" s="625">
        <f t="shared" ca="1" si="391"/>
        <v>0</v>
      </c>
      <c r="FT142" s="640">
        <f ca="1">IF(AND(Assumptions!$H$71="Yes",A142&gt;=Assumptions!$H$72,A142&lt;=Assumptions!$H$73),0,IF(AND($A142&gt;=Assumptions!$C$17,$A142&lt;=Assumptions!$C$18),MAX(AZ142*(1+VLOOKUP($C142,WeatherCapacityAdjustment,2))-FL142,0),0))</f>
        <v>48888</v>
      </c>
      <c r="FU142" s="530">
        <f ca="1">IF(AND(Assumptions!$H$71="Yes",A142&gt;=Assumptions!$H$72,A142&lt;=Assumptions!$H$73),0,IF(AND($A142&gt;=Assumptions!$C$17,$A142&lt;=Assumptions!$C$18),MAX(BA142*(1+VLOOKUP($C142,WeatherCapacityAdjustment,2))-FM142,0),0))</f>
        <v>11640</v>
      </c>
      <c r="FV142" s="530">
        <f ca="1">IF(AND(Assumptions!$H$71="Yes",A142&gt;=Assumptions!$H$72,A142&lt;=Assumptions!$H$73),0,IF(AND($A142&gt;=Assumptions!$C$17,$A142&lt;=Assumptions!$C$18),MAX(BB142*(1+VLOOKUP($C142,WeatherCapacityAdjustment,2))-FN142,0),0))</f>
        <v>11640</v>
      </c>
      <c r="FW142" s="622">
        <f ca="1">IF(AND(Assumptions!$H$71="Yes",A142&gt;=Assumptions!$H$72,A142&lt;=Assumptions!$H$73),0,IF(AND($A142&gt;=Assumptions!$C$17,$A142&lt;=Assumptions!$C$18),MAX(BC142*(1+VLOOKUP($C142,WeatherCapacityAdjustment,3))-FO142,0),0))</f>
        <v>36084</v>
      </c>
      <c r="FX142" s="621">
        <f ca="1">IF(AND(Assumptions!$H$71="Yes",A142&gt;=Assumptions!$H$72,A142&lt;=Assumptions!$H$73),0,IF(ET142&gt;0,MAX(BH142*(1+VLOOKUP($C142,WeatherCapacityAdjustment,2))-FP142,0),0))</f>
        <v>195552</v>
      </c>
      <c r="FY142" s="530">
        <f ca="1">IF(AND(Assumptions!$H$71="Yes",A142&gt;=Assumptions!$H$72,A142&lt;=Assumptions!$H$73),0,IF(EU142&gt;0,MAX(BI142*(1+VLOOKUP($C142,WeatherCapacityAdjustment,3))-FQ142,0),0))</f>
        <v>46560</v>
      </c>
      <c r="FZ142" s="530">
        <f ca="1">IF(AND(Assumptions!$H$71="Yes",A142&gt;=Assumptions!$H$72,A142&lt;=Assumptions!$H$73),0,IF(EV142&gt;0,MAX(BJ142*(1+VLOOKUP($C142,WeatherCapacityAdjustment,2))-FR142,0),0))</f>
        <v>46560</v>
      </c>
      <c r="GA142" s="622">
        <f ca="1">IF(AND(Assumptions!$H$71="Yes",A142&gt;=Assumptions!$H$72,A142&lt;=Assumptions!$H$73),0,IF(EW142&gt;0,MAX(BK142*(1+VLOOKUP($C142,WeatherCapacityAdjustment,2))-FS142,0),0))</f>
        <v>144336</v>
      </c>
      <c r="GB142" s="530">
        <f t="shared" ca="1" si="290"/>
        <v>541260</v>
      </c>
      <c r="GC142" s="545">
        <f t="shared" ca="1" si="291"/>
        <v>39.285331802160066</v>
      </c>
      <c r="GD142" s="530">
        <f t="shared" ca="1" si="392"/>
        <v>21263578.691237155</v>
      </c>
      <c r="GE142" s="1485">
        <f t="shared" ca="1" si="393"/>
        <v>767281.51583999989</v>
      </c>
      <c r="GF142" s="1776">
        <f t="shared" ca="1" si="394"/>
        <v>3069126.0633599996</v>
      </c>
      <c r="GG142" s="545">
        <f t="shared" si="359"/>
        <v>3.1545860347296153</v>
      </c>
      <c r="GH142" s="622">
        <f t="shared" ca="1" si="360"/>
        <v>12102277.772875169</v>
      </c>
      <c r="GI142" s="621">
        <f t="shared" ca="1" si="336"/>
        <v>541260</v>
      </c>
      <c r="GJ142" s="638">
        <f t="shared" si="292"/>
        <v>2.0676342017687035</v>
      </c>
      <c r="GK142" s="625">
        <f t="shared" ca="1" si="342"/>
        <v>1119127.6880493285</v>
      </c>
      <c r="GL142" s="640">
        <f t="shared" ca="1" si="395"/>
        <v>0</v>
      </c>
      <c r="GM142" s="530">
        <f t="shared" ca="1" si="396"/>
        <v>0</v>
      </c>
      <c r="GN142" s="530">
        <f t="shared" ca="1" si="397"/>
        <v>0</v>
      </c>
      <c r="GO142" s="622">
        <f t="shared" ca="1" si="398"/>
        <v>0</v>
      </c>
      <c r="GP142" s="530">
        <f t="shared" ca="1" si="293"/>
        <v>0</v>
      </c>
      <c r="GQ142" s="545">
        <f t="shared" ca="1" si="294"/>
        <v>0</v>
      </c>
      <c r="GR142" s="625">
        <f t="shared" ca="1" si="399"/>
        <v>0</v>
      </c>
      <c r="GS142" s="640">
        <f>IF($A142&gt;=BegDate,Assumptions!$C$56*24*($A143-$A142)*(1-VLOOKUP($B142,MAIN!$AA$7:$AM$28,$C142+1))*(1-VLOOKUP($B142,MAIN!$AA$33:$AM$54,$C142+1)),0)*80/168</f>
        <v>257742.85714285713</v>
      </c>
      <c r="GT142" s="1715">
        <f t="shared" si="337"/>
        <v>48.974441717151358</v>
      </c>
      <c r="GU142" s="1715">
        <f>IF($A142&gt;=BegDate,VLOOKUP($A142,GasTable,13)+Assumptions!$C$58,0)</f>
        <v>3.1545860347296153</v>
      </c>
      <c r="GV142" s="1715">
        <f>GU142*Assumptions!$C$57/1000</f>
        <v>22.870748751789709</v>
      </c>
      <c r="GW142" s="625">
        <f>IF(Assumptions!$C$60="Hourly",MAX(0,GS142*(GT142-GV142)),GS142*(GT142-GV142))</f>
        <v>6728040.406872212</v>
      </c>
      <c r="GX142" s="640">
        <f>IF($A142&gt;=BegDate,Assumptions!$C$56*24*($A143-$A142)*(1-VLOOKUP($B142,MAIN!$AA$7:$AM$28,$C142+1))*(1-VLOOKUP($B142,MAIN!$AA$33:$AM$54,$C142+1)),0)*16/168</f>
        <v>51548.571428571428</v>
      </c>
      <c r="GY142" s="1715">
        <f t="shared" si="338"/>
        <v>48.974441717151358</v>
      </c>
      <c r="GZ142" s="1715">
        <f>IF($A142&gt;=BegDate,VLOOKUP($A142,GasTable,13)+Assumptions!$C$58,0)</f>
        <v>3.1545860347296153</v>
      </c>
      <c r="HA142" s="1715">
        <f>GZ142*Assumptions!$C$57/1000</f>
        <v>22.870748751789709</v>
      </c>
      <c r="HB142" s="625">
        <f>IF(Assumptions!$C$60="Hourly",MAX(0,GX142*(GY142-HA142)),GX142*(GY142-HA142))</f>
        <v>1345608.0813744424</v>
      </c>
      <c r="HC142" s="640">
        <f>IF($A142&gt;=BegDate,Assumptions!$C$56*24*($A143-$A142)*(1-VLOOKUP($B142,MAIN!$AA$7:$AM$28,$C142+1))*(1-VLOOKUP($B142,MAIN!$AA$33:$AM$54,$C142+1)),0)*16/168</f>
        <v>51548.571428571428</v>
      </c>
      <c r="HD142" s="1715">
        <f t="shared" si="339"/>
        <v>26.996703721297887</v>
      </c>
      <c r="HE142" s="1715">
        <f>IF($A142&gt;=BegDate,VLOOKUP($A142,GasTable,13)+Assumptions!$C$58,0)</f>
        <v>3.1545860347296153</v>
      </c>
      <c r="HF142" s="1715">
        <f>HE142*Assumptions!$C$57/1000</f>
        <v>22.870748751789709</v>
      </c>
      <c r="HG142" s="625">
        <f>IF(Assumptions!$C$60="Hourly",MAX(0,HC142*(HD142-HF142)),HC142*(HD142-HF142))</f>
        <v>212687.0844567616</v>
      </c>
      <c r="HH142" s="640">
        <f>IF($A142&gt;=BegDate,Assumptions!$C$56*24*($A143-$A142)*(1-VLOOKUP($B142,MAIN!$AA$7:$AM$28,$C142+1))*(1-VLOOKUP($B142,MAIN!$AA$33:$AM$54,$C142+1)),0)*56/168</f>
        <v>180420</v>
      </c>
      <c r="HI142" s="1715">
        <f t="shared" si="340"/>
        <v>26.996703721297887</v>
      </c>
      <c r="HJ142" s="1715">
        <f>IF($A142&gt;=BegDate,VLOOKUP($A142,GasTable,13)+Assumptions!$C$58,0)</f>
        <v>3.1545860347296153</v>
      </c>
      <c r="HK142" s="1715">
        <f>HJ142*Assumptions!$C$57/1000</f>
        <v>22.870748751789709</v>
      </c>
      <c r="HL142" s="625">
        <f>IF(Assumptions!$C$60="Hourly",MAX(0,HH142*(HI142-HK142)),HH142*(HI142-HK142))</f>
        <v>744404.7955986656</v>
      </c>
      <c r="HM142" s="640">
        <f>IF(AND(Assumptions!$H$71="Yes",A142&gt;=Assumptions!$H$72,A142&lt;=Assumptions!$H$73),Assumptions!$H$74*Assumptions!$C$9*1000,0)</f>
        <v>0</v>
      </c>
      <c r="HN142" s="530"/>
      <c r="HO142" s="545"/>
      <c r="HP142" s="545"/>
      <c r="HQ142" s="545"/>
      <c r="HR142" s="545"/>
      <c r="HS142" s="545"/>
      <c r="HT142" s="545"/>
      <c r="HU142" s="545"/>
      <c r="HV142" s="545"/>
      <c r="HW142" s="545"/>
      <c r="HX142" s="545"/>
      <c r="HY142" s="545"/>
      <c r="HZ142" s="545"/>
      <c r="IA142" s="545"/>
      <c r="IB142" s="545"/>
      <c r="IC142" s="545"/>
      <c r="ID142" s="545"/>
      <c r="IE142" s="545"/>
      <c r="IF142" s="545"/>
      <c r="IG142" s="545"/>
      <c r="IH142" s="545"/>
      <c r="II142" s="1464"/>
      <c r="IJ142" s="1463"/>
      <c r="IK142" s="1463"/>
    </row>
    <row r="143" spans="1:245">
      <c r="A143" s="177">
        <f t="shared" si="295"/>
        <v>40483</v>
      </c>
      <c r="B143" s="349">
        <f t="shared" si="296"/>
        <v>2010</v>
      </c>
      <c r="C143" s="15">
        <f t="shared" si="400"/>
        <v>11</v>
      </c>
      <c r="D143" s="612">
        <f t="shared" si="297"/>
        <v>40507</v>
      </c>
      <c r="E143" s="609">
        <f t="shared" si="401"/>
        <v>40483</v>
      </c>
      <c r="F143" s="614">
        <f t="shared" si="402"/>
        <v>40512</v>
      </c>
      <c r="G143" s="1349">
        <v>0</v>
      </c>
      <c r="H143" s="152">
        <f t="shared" si="341"/>
        <v>1</v>
      </c>
      <c r="I143" s="154">
        <f>IF(Assumptions!$L$25=4,VLOOKUP($A143,'Henwood Reference'!$E$9:$R$320,10),(VLOOKUP($A143,PriceTable,2,0)+IF(BasisNumber&lt;&gt;1,VLOOKUP($A143,BasisTable,2,0),0)+I$1)/(1-I$2))</f>
        <v>53.558470233541641</v>
      </c>
      <c r="J143" s="154">
        <f>IF(Assumptions!$L$25=4,VLOOKUP($A143,'Henwood Reference'!$E$9:$R$320,10),(VLOOKUP($A143,PriceTable,3,0)+IF(BasisNumber&lt;&gt;1,VLOOKUP($A143,BasisTable,2,0),0)+J$1)/(1-J$2))</f>
        <v>53.558470233541641</v>
      </c>
      <c r="K143" s="154">
        <f>IF(Assumptions!$L$25=4,VLOOKUP($A143,'Henwood Reference'!$E$9:$R$320,10),(VLOOKUP($A143,PriceTable,4,0)+IF(BasisNumber&lt;&gt;1,VLOOKUP($A143,BasisTable,2,0),0)+K$1)/(1-K$2))</f>
        <v>53.558470233541641</v>
      </c>
      <c r="L143" s="474">
        <f>IF(Assumptions!$L$25=4,VLOOKUP($A143,'Henwood Reference'!$E$9:$R$320,10),(VLOOKUP($A143,PriceTableWeekend,2,0)+IF(BasisNumber&lt;&gt;1,VLOOKUP($A143,BasisTable,2,0),0)+L$1)/(1-L$2))</f>
        <v>53.558470233541641</v>
      </c>
      <c r="M143" s="154">
        <f>IF(Assumptions!$L$25=4,VLOOKUP($A143,'Henwood Reference'!$E$9:$R$320,10),(VLOOKUP($A143,PriceTableWeekend,3,0)+IF(BasisNumber&lt;&gt;1,VLOOKUP($A143,BasisTable,2,0),0)+M$1)/(1-M$2))</f>
        <v>53.558470233541641</v>
      </c>
      <c r="N143" s="156">
        <f>IF(Assumptions!$L$25=4,VLOOKUP($A143,'Henwood Reference'!$E$9:$R$320,10),(VLOOKUP($A143,PriceTableWeekend,4,0)+IF(BasisNumber&lt;&gt;1,VLOOKUP($A143,BasisTable,2,0),0)+N$1)/(1-N$2))</f>
        <v>53.558470233541641</v>
      </c>
      <c r="O143" s="154">
        <f>IF(Assumptions!$L$25=4,VLOOKUP($A143,'Henwood Reference'!$E$9:$R$320,11),(VLOOKUP($A143,PriceTableWeekend,6,0)+IF(BasisNumber&lt;&gt;1,VLOOKUP($A143,BasisTable,3,0),0)+O$1)/(1-O$2))</f>
        <v>29.552203623374893</v>
      </c>
      <c r="P143" s="154">
        <f>IF(Assumptions!$L$25=4,VLOOKUP($A143,'Henwood Reference'!$E$9:$R$320,11),(VLOOKUP($A143,PriceTableWeekend,7,0)+IF(BasisNumber&lt;&gt;1,VLOOKUP($A143,BasisTable,3,0),0)+P$1)/(1-P$2))</f>
        <v>29.552203623374893</v>
      </c>
      <c r="Q143" s="156">
        <f>IF(Assumptions!$L$25=4,VLOOKUP($A143,'Henwood Reference'!$E$9:$R$320,11),(VLOOKUP($A143,PriceTableWeekend,8,0)+IF(BasisNumber&lt;&gt;1,VLOOKUP($A143,BasisTable,3,0),0)+Q$1)/(1-Q$2))</f>
        <v>29.552203623374893</v>
      </c>
      <c r="R143" s="154">
        <f>IF(Assumptions!$L$25=4,VLOOKUP($A143,'Henwood Reference'!$E$9:$R$320,11),(VLOOKUP($A143,PriceTable,6,0)+IF(BasisNumber&lt;&gt;1,VLOOKUP($A143,BasisTable,3,0),0)+R$1)/(1-R$2))</f>
        <v>29.552203623374893</v>
      </c>
      <c r="S143" s="154">
        <f>IF(Assumptions!$L$25=4,VLOOKUP($A143,'Henwood Reference'!$E$9:$R$320,11),(VLOOKUP($A143,PriceTable,7,0)+IF(BasisNumber&lt;&gt;1,VLOOKUP($A143,BasisTable,3,0),0)+S$1)/(1-S$2))</f>
        <v>29.552203623374893</v>
      </c>
      <c r="T143" s="155">
        <f>IF(Assumptions!$L$25=4,VLOOKUP($A143,'Henwood Reference'!$E$9:$R$320,11),(VLOOKUP($A143,PriceTable,8,0)+IF(BasisNumber&lt;&gt;1,VLOOKUP($A143,BasisTable,3,0),0)+T$1)/(1-T$2))</f>
        <v>29.552203623374893</v>
      </c>
      <c r="U143" s="173">
        <f t="shared" si="298"/>
        <v>0.12</v>
      </c>
      <c r="V143" s="173">
        <f t="shared" si="299"/>
        <v>0.13</v>
      </c>
      <c r="W143" s="174">
        <f t="shared" si="300"/>
        <v>0.14000000000000001</v>
      </c>
      <c r="X143" s="173">
        <f t="shared" si="301"/>
        <v>0.12</v>
      </c>
      <c r="Y143" s="173">
        <f t="shared" si="302"/>
        <v>0.13</v>
      </c>
      <c r="Z143" s="174">
        <f t="shared" si="303"/>
        <v>0.14000000000000001</v>
      </c>
      <c r="AA143" s="173">
        <f t="shared" si="304"/>
        <v>0.09</v>
      </c>
      <c r="AB143" s="173">
        <f t="shared" si="305"/>
        <v>0.11</v>
      </c>
      <c r="AC143" s="174">
        <f t="shared" si="306"/>
        <v>0.13</v>
      </c>
      <c r="AD143" s="173">
        <f t="shared" si="307"/>
        <v>0.09</v>
      </c>
      <c r="AE143" s="173">
        <f t="shared" si="308"/>
        <v>0.11</v>
      </c>
      <c r="AF143" s="174">
        <f t="shared" si="309"/>
        <v>0.13</v>
      </c>
      <c r="AG143" s="173">
        <f t="shared" si="310"/>
        <v>-0.1</v>
      </c>
      <c r="AH143" s="173">
        <f t="shared" si="311"/>
        <v>0.6</v>
      </c>
      <c r="AI143" s="174">
        <f t="shared" si="312"/>
        <v>0.1</v>
      </c>
      <c r="AJ143" s="173">
        <f t="shared" si="313"/>
        <v>-0.1</v>
      </c>
      <c r="AK143" s="173">
        <f t="shared" si="314"/>
        <v>0.6</v>
      </c>
      <c r="AL143" s="174">
        <f t="shared" si="315"/>
        <v>0.1</v>
      </c>
      <c r="AM143" s="173">
        <f t="shared" si="316"/>
        <v>-0.01</v>
      </c>
      <c r="AN143" s="173">
        <f t="shared" si="317"/>
        <v>0.16</v>
      </c>
      <c r="AO143" s="174">
        <f t="shared" si="318"/>
        <v>0.01</v>
      </c>
      <c r="AP143" s="173">
        <f t="shared" si="319"/>
        <v>-0.01</v>
      </c>
      <c r="AQ143" s="173">
        <f t="shared" si="320"/>
        <v>0.16</v>
      </c>
      <c r="AR143" s="175">
        <f t="shared" si="321"/>
        <v>0.01</v>
      </c>
      <c r="AS143" s="521">
        <f t="shared" si="405"/>
        <v>0.5</v>
      </c>
      <c r="AT143" s="349">
        <f t="shared" si="403"/>
        <v>21</v>
      </c>
      <c r="AU143" s="159">
        <f t="shared" si="240"/>
        <v>4</v>
      </c>
      <c r="AV143" s="159">
        <f t="shared" si="241"/>
        <v>4</v>
      </c>
      <c r="AW143" s="159">
        <f t="shared" si="406"/>
        <v>1</v>
      </c>
      <c r="AX143" s="15">
        <f t="shared" si="404"/>
        <v>30</v>
      </c>
      <c r="AY143" s="607">
        <f>IF(E143="",0,MIN((1-(1-VLOOKUP(B143,MAIN!$AA$7:$AM$28,C143+1))*(1-VLOOKUP(B143,MAIN!$AA$33:$AM$54,C143+1))),1))</f>
        <v>3.0000000000000027E-2</v>
      </c>
      <c r="AZ143" s="337">
        <v>48888</v>
      </c>
      <c r="BA143" s="509">
        <v>9312</v>
      </c>
      <c r="BB143" s="509">
        <v>11640</v>
      </c>
      <c r="BC143" s="511">
        <v>34920</v>
      </c>
      <c r="BD143" s="153">
        <v>0.97</v>
      </c>
      <c r="BE143" s="474">
        <v>0.97</v>
      </c>
      <c r="BF143" s="474">
        <v>0.97</v>
      </c>
      <c r="BG143" s="515">
        <v>0.9699999927729368</v>
      </c>
      <c r="BH143" s="262">
        <v>195552</v>
      </c>
      <c r="BI143" s="509">
        <v>37248</v>
      </c>
      <c r="BJ143" s="509">
        <v>46560</v>
      </c>
      <c r="BK143" s="511">
        <v>139680</v>
      </c>
      <c r="BL143" s="153">
        <v>0.97</v>
      </c>
      <c r="BM143" s="474">
        <v>0.97</v>
      </c>
      <c r="BN143" s="474">
        <v>0.97</v>
      </c>
      <c r="BO143" s="474">
        <v>0.9699999927729368</v>
      </c>
      <c r="BP143" s="261">
        <f t="shared" si="324"/>
        <v>69840</v>
      </c>
      <c r="BQ143" s="578">
        <f t="shared" si="325"/>
        <v>104760</v>
      </c>
      <c r="BR143" s="259">
        <f t="shared" si="326"/>
        <v>279360</v>
      </c>
      <c r="BS143" s="578">
        <f t="shared" si="327"/>
        <v>419040</v>
      </c>
      <c r="BT143" s="216">
        <f t="shared" si="328"/>
        <v>10.548939082819986</v>
      </c>
      <c r="BU143" s="218">
        <f t="shared" si="243"/>
        <v>53.558470233541641</v>
      </c>
      <c r="BV143" s="216">
        <f t="shared" si="244"/>
        <v>53.558470233541641</v>
      </c>
      <c r="BW143" s="216">
        <f t="shared" si="245"/>
        <v>29.552203623374893</v>
      </c>
      <c r="BX143" s="216">
        <f t="shared" si="329"/>
        <v>29.552203403193818</v>
      </c>
      <c r="BY143" s="216">
        <f t="shared" si="246"/>
        <v>49.557425798513854</v>
      </c>
      <c r="BZ143" s="216">
        <f t="shared" si="247"/>
        <v>42.889018333407179</v>
      </c>
      <c r="CA143" s="264">
        <f t="shared" si="248"/>
        <v>53.558470233541641</v>
      </c>
      <c r="CB143" s="216">
        <f t="shared" si="249"/>
        <v>53.558470233541641</v>
      </c>
      <c r="CC143" s="216">
        <f t="shared" si="250"/>
        <v>29.552203623374893</v>
      </c>
      <c r="CD143" s="216">
        <f t="shared" si="330"/>
        <v>29.552203403193818</v>
      </c>
      <c r="CE143" s="216">
        <f t="shared" si="251"/>
        <v>49.557425798513854</v>
      </c>
      <c r="CF143" s="571">
        <f t="shared" si="252"/>
        <v>42.889018333407179</v>
      </c>
      <c r="CG143" s="573">
        <f t="shared" si="253"/>
        <v>0.13</v>
      </c>
      <c r="CH143" s="219">
        <f t="shared" si="254"/>
        <v>0.13</v>
      </c>
      <c r="CI143" s="219">
        <f t="shared" si="255"/>
        <v>0.11</v>
      </c>
      <c r="CJ143" s="219">
        <f t="shared" si="256"/>
        <v>0.12803629147960796</v>
      </c>
      <c r="CK143" s="219">
        <f t="shared" si="257"/>
        <v>0.12803629147960796</v>
      </c>
      <c r="CL143" s="219">
        <f t="shared" si="258"/>
        <v>0.11</v>
      </c>
      <c r="CM143" s="219">
        <f t="shared" si="259"/>
        <v>0.11383932444893234</v>
      </c>
      <c r="CN143" s="569">
        <f t="shared" si="260"/>
        <v>0.11383932444893234</v>
      </c>
      <c r="CO143" s="264">
        <f t="shared" si="343"/>
        <v>23.268116227945548</v>
      </c>
      <c r="CP143" s="216">
        <f t="shared" si="331"/>
        <v>23.268116227945548</v>
      </c>
      <c r="CQ143" s="216">
        <f t="shared" ca="1" si="361"/>
        <v>23.268116227945548</v>
      </c>
      <c r="CR143" s="216">
        <f t="shared" ca="1" si="362"/>
        <v>23.268116227945548</v>
      </c>
      <c r="CS143" s="1626">
        <f t="shared" ca="1" si="363"/>
        <v>23.268116227945548</v>
      </c>
      <c r="CT143" s="216">
        <f t="shared" si="332"/>
        <v>23.268116227945548</v>
      </c>
      <c r="CU143" s="575">
        <f t="shared" si="261"/>
        <v>0.158</v>
      </c>
      <c r="CV143" s="154">
        <f t="shared" si="262"/>
        <v>0.5</v>
      </c>
      <c r="CW143" s="216">
        <f>IF(OR($BQ143,$BS143),SpreadOptPowerMargin,0)*((1+Assumptions!$C$26)^($B143-YEAR(Assumptions!$C$17)))</f>
        <v>2.0676342017687039</v>
      </c>
      <c r="CX143" s="216">
        <f>IF(OR($BQ143,$BS143),SpreadOptPowerMargin,0)*((1+Assumptions!$C$26)^($B143-YEAR(Assumptions!$C$17)))</f>
        <v>2.0676342017687039</v>
      </c>
      <c r="CY143" s="216">
        <f>IF(OR($BQ143,$BS143),SpreadOptPowerMargin,0)*((1+Assumptions!$C$26)^($B143-YEAR(Assumptions!$C$17)))</f>
        <v>2.0676342017687039</v>
      </c>
      <c r="CZ143" s="216">
        <f>IF(OR($BQ143,$BS143),SpreadOptPowerMargin,0)*((1+Assumptions!$C$26)^($B143-YEAR(Assumptions!$C$17)))</f>
        <v>2.0676342017687039</v>
      </c>
      <c r="DA143" s="440">
        <f t="shared" si="263"/>
        <v>2.0676342017687039</v>
      </c>
      <c r="DB143" s="479">
        <f t="shared" si="264"/>
        <v>0.13</v>
      </c>
      <c r="DC143" s="479">
        <f t="shared" si="265"/>
        <v>0.13</v>
      </c>
      <c r="DD143" s="479">
        <f t="shared" si="266"/>
        <v>0.11</v>
      </c>
      <c r="DE143" s="479">
        <f t="shared" si="267"/>
        <v>0.11</v>
      </c>
      <c r="DF143" s="479">
        <f t="shared" si="268"/>
        <v>0.11383932444893234</v>
      </c>
      <c r="DG143" s="574">
        <f t="shared" si="269"/>
        <v>0.11383932444893234</v>
      </c>
      <c r="DH143" s="216">
        <f t="shared" si="270"/>
        <v>28.560084618508789</v>
      </c>
      <c r="DI143" s="216">
        <f t="shared" si="271"/>
        <v>28.560084618508789</v>
      </c>
      <c r="DJ143" s="216">
        <f t="shared" ca="1" si="364"/>
        <v>7.0419442753947585</v>
      </c>
      <c r="DK143" s="216">
        <f t="shared" ca="1" si="365"/>
        <v>7.041944116750277</v>
      </c>
      <c r="DL143" s="216">
        <f t="shared" ca="1" si="366"/>
        <v>18.323068173431427</v>
      </c>
      <c r="DM143" s="216"/>
      <c r="DN143" s="216"/>
      <c r="DO143" s="216"/>
      <c r="DP143" s="216"/>
      <c r="DQ143" s="216"/>
      <c r="DR143" s="216"/>
      <c r="DS143" s="216"/>
      <c r="DT143" s="216"/>
      <c r="DU143" s="216"/>
      <c r="DV143" s="216"/>
      <c r="DW143" s="1371">
        <f t="shared" si="272"/>
        <v>7.0419442753947585</v>
      </c>
      <c r="DX143" s="216">
        <f t="shared" si="273"/>
        <v>7.041944116750277</v>
      </c>
      <c r="DY143" s="440">
        <f t="shared" si="274"/>
        <v>18.996466635354391</v>
      </c>
      <c r="DZ143" s="180">
        <f t="shared" si="275"/>
        <v>1396245.4168296577</v>
      </c>
      <c r="EA143" s="180">
        <f t="shared" si="276"/>
        <v>265951.50796755386</v>
      </c>
      <c r="EB143" s="180">
        <f t="shared" ca="1" si="367"/>
        <v>81968.231365594984</v>
      </c>
      <c r="EC143" s="180">
        <f t="shared" ca="1" si="368"/>
        <v>245904.68855691966</v>
      </c>
      <c r="ED143" s="180">
        <f t="shared" ca="1" si="369"/>
        <v>1919524.6218486764</v>
      </c>
      <c r="EE143" s="581">
        <f t="shared" si="277"/>
        <v>1379752.3257695134</v>
      </c>
      <c r="EF143" s="554">
        <f t="shared" si="278"/>
        <v>262809.96681324067</v>
      </c>
      <c r="EG143" s="554">
        <f t="shared" ca="1" si="370"/>
        <v>49079.515174209861</v>
      </c>
      <c r="EH143" s="554">
        <f t="shared" ca="1" si="371"/>
        <v>147238.53783390645</v>
      </c>
      <c r="EI143" s="561">
        <f t="shared" ca="1" si="279"/>
        <v>1838880.3455908711</v>
      </c>
      <c r="EJ143" s="581">
        <f t="shared" si="333"/>
        <v>16493.091060144361</v>
      </c>
      <c r="EK143" s="554">
        <f t="shared" si="334"/>
        <v>3141.5411543131922</v>
      </c>
      <c r="EL143" s="554">
        <f t="shared" ca="1" si="372"/>
        <v>32888.716191385123</v>
      </c>
      <c r="EM143" s="554">
        <f t="shared" ca="1" si="373"/>
        <v>98666.150723013212</v>
      </c>
      <c r="EN143" s="561">
        <f t="shared" ca="1" si="374"/>
        <v>80644.276257805293</v>
      </c>
      <c r="EO143" s="180">
        <f t="shared" si="280"/>
        <v>5584981.667318631</v>
      </c>
      <c r="EP143" s="180">
        <f t="shared" si="281"/>
        <v>1063806.0318702154</v>
      </c>
      <c r="EQ143" s="180">
        <f t="shared" si="282"/>
        <v>327872.92546237994</v>
      </c>
      <c r="ER143" s="180">
        <f t="shared" si="283"/>
        <v>983618.75422767864</v>
      </c>
      <c r="ES143" s="180">
        <f t="shared" si="284"/>
        <v>7960279.3788789045</v>
      </c>
      <c r="ET143" s="1482">
        <f t="shared" ca="1" si="375"/>
        <v>5519009.3030780535</v>
      </c>
      <c r="EU143" s="180">
        <f t="shared" ca="1" si="376"/>
        <v>1051239.8672529627</v>
      </c>
      <c r="EV143" s="180">
        <f t="shared" ca="1" si="377"/>
        <v>196318.06069683944</v>
      </c>
      <c r="EW143" s="180">
        <f t="shared" ca="1" si="378"/>
        <v>588954.15133562579</v>
      </c>
      <c r="EX143" s="555">
        <f t="shared" ca="1" si="351"/>
        <v>7355521.3823634814</v>
      </c>
      <c r="EY143" s="180">
        <f t="shared" ca="1" si="379"/>
        <v>65972.364240577444</v>
      </c>
      <c r="EZ143" s="180">
        <f t="shared" ca="1" si="380"/>
        <v>12566.164617252769</v>
      </c>
      <c r="FA143" s="180">
        <f t="shared" ca="1" si="381"/>
        <v>131554.86476554049</v>
      </c>
      <c r="FB143" s="180">
        <f t="shared" ca="1" si="382"/>
        <v>394664.60289205285</v>
      </c>
      <c r="FC143" s="180">
        <f t="shared" ca="1" si="383"/>
        <v>604757.99651542306</v>
      </c>
      <c r="FD143" s="262">
        <f>IF(AX143,IF(VLOOKUP(C143,MAIN!$L$17:$M$28,2)="Yes",VLOOKUP(CALC!B143,MAIN!$H$17:$I$20,2),0),0)</f>
        <v>0</v>
      </c>
      <c r="FE143" s="623">
        <f t="shared" si="285"/>
        <v>0</v>
      </c>
      <c r="FF143" s="535">
        <f t="shared" si="286"/>
        <v>0</v>
      </c>
      <c r="FG143" s="535">
        <f t="shared" si="287"/>
        <v>0</v>
      </c>
      <c r="FH143" s="624">
        <f t="shared" si="288"/>
        <v>0</v>
      </c>
      <c r="FI143" s="632">
        <f>IF(AX143,VLOOKUP(CALC!B143,MAIN!$H$17:$K$20,4),0)</f>
        <v>0</v>
      </c>
      <c r="FJ143" s="535">
        <f t="shared" si="289"/>
        <v>0</v>
      </c>
      <c r="FK143" s="648">
        <f t="shared" si="335"/>
        <v>0</v>
      </c>
      <c r="FL143" s="530">
        <f t="shared" ca="1" si="384"/>
        <v>0</v>
      </c>
      <c r="FM143" s="530">
        <f t="shared" ca="1" si="385"/>
        <v>0</v>
      </c>
      <c r="FN143" s="530">
        <f t="shared" ca="1" si="386"/>
        <v>0</v>
      </c>
      <c r="FO143" s="622">
        <f t="shared" ca="1" si="387"/>
        <v>0</v>
      </c>
      <c r="FP143" s="530">
        <f t="shared" ca="1" si="388"/>
        <v>0</v>
      </c>
      <c r="FQ143" s="530">
        <f t="shared" ca="1" si="389"/>
        <v>0</v>
      </c>
      <c r="FR143" s="530">
        <f t="shared" ca="1" si="390"/>
        <v>0</v>
      </c>
      <c r="FS143" s="625">
        <f t="shared" ca="1" si="391"/>
        <v>0</v>
      </c>
      <c r="FT143" s="640">
        <f ca="1">IF(AND(Assumptions!$H$71="Yes",A143&gt;=Assumptions!$H$72,A143&lt;=Assumptions!$H$73),0,IF(AND($A143&gt;=Assumptions!$C$17,$A143&lt;=Assumptions!$C$18),MAX(AZ143*(1+VLOOKUP($C143,WeatherCapacityAdjustment,2))-FL143,0),0))</f>
        <v>48888</v>
      </c>
      <c r="FU143" s="530">
        <f ca="1">IF(AND(Assumptions!$H$71="Yes",A143&gt;=Assumptions!$H$72,A143&lt;=Assumptions!$H$73),0,IF(AND($A143&gt;=Assumptions!$C$17,$A143&lt;=Assumptions!$C$18),MAX(BA143*(1+VLOOKUP($C143,WeatherCapacityAdjustment,2))-FM143,0),0))</f>
        <v>9312</v>
      </c>
      <c r="FV143" s="530">
        <f ca="1">IF(AND(Assumptions!$H$71="Yes",A143&gt;=Assumptions!$H$72,A143&lt;=Assumptions!$H$73),0,IF(AND($A143&gt;=Assumptions!$C$17,$A143&lt;=Assumptions!$C$18),MAX(BB143*(1+VLOOKUP($C143,WeatherCapacityAdjustment,2))-FN143,0),0))</f>
        <v>11640</v>
      </c>
      <c r="FW143" s="622">
        <f ca="1">IF(AND(Assumptions!$H$71="Yes",A143&gt;=Assumptions!$H$72,A143&lt;=Assumptions!$H$73),0,IF(AND($A143&gt;=Assumptions!$C$17,$A143&lt;=Assumptions!$C$18),MAX(BC143*(1+VLOOKUP($C143,WeatherCapacityAdjustment,3))-FO143,0),0))</f>
        <v>34920</v>
      </c>
      <c r="FX143" s="621">
        <f ca="1">IF(AND(Assumptions!$H$71="Yes",A143&gt;=Assumptions!$H$72,A143&lt;=Assumptions!$H$73),0,IF(ET143&gt;0,MAX(BH143*(1+VLOOKUP($C143,WeatherCapacityAdjustment,2))-FP143,0),0))</f>
        <v>195552</v>
      </c>
      <c r="FY143" s="530">
        <f ca="1">IF(AND(Assumptions!$H$71="Yes",A143&gt;=Assumptions!$H$72,A143&lt;=Assumptions!$H$73),0,IF(EU143&gt;0,MAX(BI143*(1+VLOOKUP($C143,WeatherCapacityAdjustment,3))-FQ143,0),0))</f>
        <v>37248</v>
      </c>
      <c r="FZ143" s="530">
        <f ca="1">IF(AND(Assumptions!$H$71="Yes",A143&gt;=Assumptions!$H$72,A143&lt;=Assumptions!$H$73),0,IF(EV143&gt;0,MAX(BJ143*(1+VLOOKUP($C143,WeatherCapacityAdjustment,2))-FR143,0),0))</f>
        <v>46560</v>
      </c>
      <c r="GA143" s="622">
        <f ca="1">IF(AND(Assumptions!$H$71="Yes",A143&gt;=Assumptions!$H$72,A143&lt;=Assumptions!$H$73),0,IF(EW143&gt;0,MAX(BK143*(1+VLOOKUP($C143,WeatherCapacityAdjustment,2))-FS143,0),0))</f>
        <v>139680</v>
      </c>
      <c r="GB143" s="530">
        <f t="shared" ca="1" si="290"/>
        <v>523800</v>
      </c>
      <c r="GC143" s="545">
        <f t="shared" ca="1" si="291"/>
        <v>42.889018333407179</v>
      </c>
      <c r="GD143" s="530">
        <f t="shared" ca="1" si="392"/>
        <v>22465267.803038683</v>
      </c>
      <c r="GE143" s="1485">
        <f t="shared" ca="1" si="393"/>
        <v>742838.49360000005</v>
      </c>
      <c r="GF143" s="1776">
        <f t="shared" ca="1" si="394"/>
        <v>2971353.9744000002</v>
      </c>
      <c r="GG143" s="545">
        <f t="shared" si="359"/>
        <v>3.2814237240540001</v>
      </c>
      <c r="GH143" s="622">
        <f t="shared" ca="1" si="360"/>
        <v>12187839.280197879</v>
      </c>
      <c r="GI143" s="621">
        <f t="shared" ca="1" si="336"/>
        <v>523800</v>
      </c>
      <c r="GJ143" s="638">
        <f t="shared" si="292"/>
        <v>2.0676342017687039</v>
      </c>
      <c r="GK143" s="625">
        <f t="shared" ca="1" si="342"/>
        <v>1083026.794886447</v>
      </c>
      <c r="GL143" s="640">
        <f t="shared" ca="1" si="395"/>
        <v>0</v>
      </c>
      <c r="GM143" s="530">
        <f t="shared" ca="1" si="396"/>
        <v>0</v>
      </c>
      <c r="GN143" s="530">
        <f t="shared" ca="1" si="397"/>
        <v>0</v>
      </c>
      <c r="GO143" s="622">
        <f t="shared" ca="1" si="398"/>
        <v>0</v>
      </c>
      <c r="GP143" s="530">
        <f t="shared" ca="1" si="293"/>
        <v>0</v>
      </c>
      <c r="GQ143" s="545">
        <f t="shared" ca="1" si="294"/>
        <v>0</v>
      </c>
      <c r="GR143" s="625">
        <f t="shared" ca="1" si="399"/>
        <v>0</v>
      </c>
      <c r="GS143" s="640">
        <f>IF($A143&gt;=BegDate,Assumptions!$C$56*24*($A144-$A143)*(1-VLOOKUP($B143,MAIN!$AA$7:$AM$28,$C143+1))*(1-VLOOKUP($B143,MAIN!$AA$33:$AM$54,$C143+1)),0)*80/168</f>
        <v>249428.57142857142</v>
      </c>
      <c r="GT143" s="1715">
        <f t="shared" si="337"/>
        <v>53.558470233541641</v>
      </c>
      <c r="GU143" s="1715">
        <f>IF($A143&gt;=BegDate,VLOOKUP($A143,GasTable,13)+Assumptions!$C$58,0)</f>
        <v>3.2814237240540001</v>
      </c>
      <c r="GV143" s="1715">
        <f>GU143*Assumptions!$C$57/1000</f>
        <v>23.790321999391502</v>
      </c>
      <c r="GW143" s="625">
        <f>IF(Assumptions!$C$60="Hourly",MAX(0,GS143*(GT143-GV143)),GS143*(GT143-GV143))</f>
        <v>7425026.6881180201</v>
      </c>
      <c r="GX143" s="640">
        <f>IF($A143&gt;=BegDate,Assumptions!$C$56*24*($A144-$A143)*(1-VLOOKUP($B143,MAIN!$AA$7:$AM$28,$C143+1))*(1-VLOOKUP($B143,MAIN!$AA$33:$AM$54,$C143+1)),0)*16/168</f>
        <v>49885.714285714283</v>
      </c>
      <c r="GY143" s="1715">
        <f t="shared" si="338"/>
        <v>53.558470233541641</v>
      </c>
      <c r="GZ143" s="1715">
        <f>IF($A143&gt;=BegDate,VLOOKUP($A143,GasTable,13)+Assumptions!$C$58,0)</f>
        <v>3.2814237240540001</v>
      </c>
      <c r="HA143" s="1715">
        <f>GZ143*Assumptions!$C$57/1000</f>
        <v>23.790321999391502</v>
      </c>
      <c r="HB143" s="625">
        <f>IF(Assumptions!$C$60="Hourly",MAX(0,GX143*(GY143-HA143)),GX143*(GY143-HA143))</f>
        <v>1485005.3376236041</v>
      </c>
      <c r="HC143" s="640">
        <f>IF($A143&gt;=BegDate,Assumptions!$C$56*24*($A144-$A143)*(1-VLOOKUP($B143,MAIN!$AA$7:$AM$28,$C143+1))*(1-VLOOKUP($B143,MAIN!$AA$33:$AM$54,$C143+1)),0)*16/168</f>
        <v>49885.714285714283</v>
      </c>
      <c r="HD143" s="1715">
        <f t="shared" si="339"/>
        <v>29.552203623374893</v>
      </c>
      <c r="HE143" s="1715">
        <f>IF($A143&gt;=BegDate,VLOOKUP($A143,GasTable,13)+Assumptions!$C$58,0)</f>
        <v>3.2814237240540001</v>
      </c>
      <c r="HF143" s="1715">
        <f>HE143*Assumptions!$C$57/1000</f>
        <v>23.790321999391502</v>
      </c>
      <c r="HG143" s="625">
        <f>IF(Assumptions!$C$60="Hourly",MAX(0,HC143*(HD143-HF143)),HC143*(HD143-HF143))</f>
        <v>287435.58044214291</v>
      </c>
      <c r="HH143" s="640">
        <f>IF($A143&gt;=BegDate,Assumptions!$C$56*24*($A144-$A143)*(1-VLOOKUP($B143,MAIN!$AA$7:$AM$28,$C143+1))*(1-VLOOKUP($B143,MAIN!$AA$33:$AM$54,$C143+1)),0)*56/168</f>
        <v>174600</v>
      </c>
      <c r="HI143" s="1715">
        <f t="shared" si="340"/>
        <v>29.552203623374893</v>
      </c>
      <c r="HJ143" s="1715">
        <f>IF($A143&gt;=BegDate,VLOOKUP($A143,GasTable,13)+Assumptions!$C$58,0)</f>
        <v>3.2814237240540001</v>
      </c>
      <c r="HK143" s="1715">
        <f>HJ143*Assumptions!$C$57/1000</f>
        <v>23.790321999391502</v>
      </c>
      <c r="HL143" s="625">
        <f>IF(Assumptions!$C$60="Hourly",MAX(0,HH143*(HI143-HK143)),HH143*(HI143-HK143))</f>
        <v>1006024.5315475002</v>
      </c>
      <c r="HM143" s="640">
        <f>IF(AND(Assumptions!$H$71="Yes",A143&gt;=Assumptions!$H$72,A143&lt;=Assumptions!$H$73),Assumptions!$H$74*Assumptions!$C$9*1000,0)</f>
        <v>0</v>
      </c>
      <c r="HN143" s="530"/>
      <c r="HO143" s="545"/>
      <c r="HP143" s="545"/>
      <c r="HQ143" s="545"/>
      <c r="HR143" s="545"/>
      <c r="HS143" s="545"/>
      <c r="HT143" s="545"/>
      <c r="HU143" s="545"/>
      <c r="HV143" s="545"/>
      <c r="HW143" s="545"/>
      <c r="HX143" s="545"/>
      <c r="HY143" s="545"/>
      <c r="HZ143" s="545"/>
      <c r="IA143" s="545"/>
      <c r="IB143" s="545"/>
      <c r="IC143" s="545"/>
      <c r="ID143" s="545"/>
      <c r="IE143" s="545"/>
      <c r="IF143" s="545"/>
      <c r="IG143" s="545"/>
      <c r="IH143" s="545"/>
      <c r="II143" s="1464"/>
      <c r="IJ143" s="1463"/>
      <c r="IK143" s="1463"/>
    </row>
    <row r="144" spans="1:245">
      <c r="A144" s="177">
        <f t="shared" si="295"/>
        <v>40513</v>
      </c>
      <c r="B144" s="349">
        <f t="shared" si="296"/>
        <v>2010</v>
      </c>
      <c r="C144" s="15">
        <f t="shared" si="400"/>
        <v>12</v>
      </c>
      <c r="D144" s="612">
        <f t="shared" si="297"/>
        <v>40537</v>
      </c>
      <c r="E144" s="609">
        <f t="shared" si="401"/>
        <v>40513</v>
      </c>
      <c r="F144" s="614">
        <f t="shared" si="402"/>
        <v>40543</v>
      </c>
      <c r="G144" s="1349">
        <v>0</v>
      </c>
      <c r="H144" s="152">
        <f t="shared" si="341"/>
        <v>1</v>
      </c>
      <c r="I144" s="154">
        <f>IF(Assumptions!$L$25=4,VLOOKUP($A144,'Henwood Reference'!$E$9:$R$320,10),(VLOOKUP($A144,PriceTable,2,0)+IF(BasisNumber&lt;&gt;1,VLOOKUP($A144,BasisTable,2,0),0)+I$1)/(1-I$2))</f>
        <v>52.878880844394573</v>
      </c>
      <c r="J144" s="154">
        <f>IF(Assumptions!$L$25=4,VLOOKUP($A144,'Henwood Reference'!$E$9:$R$320,10),(VLOOKUP($A144,PriceTable,3,0)+IF(BasisNumber&lt;&gt;1,VLOOKUP($A144,BasisTable,2,0),0)+J$1)/(1-J$2))</f>
        <v>52.878880844394573</v>
      </c>
      <c r="K144" s="154">
        <f>IF(Assumptions!$L$25=4,VLOOKUP($A144,'Henwood Reference'!$E$9:$R$320,10),(VLOOKUP($A144,PriceTable,4,0)+IF(BasisNumber&lt;&gt;1,VLOOKUP($A144,BasisTable,2,0),0)+K$1)/(1-K$2))</f>
        <v>52.878880844394573</v>
      </c>
      <c r="L144" s="474">
        <f>IF(Assumptions!$L$25=4,VLOOKUP($A144,'Henwood Reference'!$E$9:$R$320,10),(VLOOKUP($A144,PriceTableWeekend,2,0)+IF(BasisNumber&lt;&gt;1,VLOOKUP($A144,BasisTable,2,0),0)+L$1)/(1-L$2))</f>
        <v>52.878880844394573</v>
      </c>
      <c r="M144" s="154">
        <f>IF(Assumptions!$L$25=4,VLOOKUP($A144,'Henwood Reference'!$E$9:$R$320,10),(VLOOKUP($A144,PriceTableWeekend,3,0)+IF(BasisNumber&lt;&gt;1,VLOOKUP($A144,BasisTable,2,0),0)+M$1)/(1-M$2))</f>
        <v>52.878880844394573</v>
      </c>
      <c r="N144" s="156">
        <f>IF(Assumptions!$L$25=4,VLOOKUP($A144,'Henwood Reference'!$E$9:$R$320,10),(VLOOKUP($A144,PriceTableWeekend,4,0)+IF(BasisNumber&lt;&gt;1,VLOOKUP($A144,BasisTable,2,0),0)+N$1)/(1-N$2))</f>
        <v>52.878880844394573</v>
      </c>
      <c r="O144" s="154">
        <f>IF(Assumptions!$L$25=4,VLOOKUP($A144,'Henwood Reference'!$E$9:$R$320,11),(VLOOKUP($A144,PriceTableWeekend,6,0)+IF(BasisNumber&lt;&gt;1,VLOOKUP($A144,BasisTable,3,0),0)+O$1)/(1-O$2))</f>
        <v>30.607243293880359</v>
      </c>
      <c r="P144" s="154">
        <f>IF(Assumptions!$L$25=4,VLOOKUP($A144,'Henwood Reference'!$E$9:$R$320,11),(VLOOKUP($A144,PriceTableWeekend,7,0)+IF(BasisNumber&lt;&gt;1,VLOOKUP($A144,BasisTable,3,0),0)+P$1)/(1-P$2))</f>
        <v>30.607243293880359</v>
      </c>
      <c r="Q144" s="156">
        <f>IF(Assumptions!$L$25=4,VLOOKUP($A144,'Henwood Reference'!$E$9:$R$320,11),(VLOOKUP($A144,PriceTableWeekend,8,0)+IF(BasisNumber&lt;&gt;1,VLOOKUP($A144,BasisTable,3,0),0)+Q$1)/(1-Q$2))</f>
        <v>30.607243293880359</v>
      </c>
      <c r="R144" s="154">
        <f>IF(Assumptions!$L$25=4,VLOOKUP($A144,'Henwood Reference'!$E$9:$R$320,11),(VLOOKUP($A144,PriceTable,6,0)+IF(BasisNumber&lt;&gt;1,VLOOKUP($A144,BasisTable,3,0),0)+R$1)/(1-R$2))</f>
        <v>30.607243293880359</v>
      </c>
      <c r="S144" s="154">
        <f>IF(Assumptions!$L$25=4,VLOOKUP($A144,'Henwood Reference'!$E$9:$R$320,11),(VLOOKUP($A144,PriceTable,7,0)+IF(BasisNumber&lt;&gt;1,VLOOKUP($A144,BasisTable,3,0),0)+S$1)/(1-S$2))</f>
        <v>30.607243293880359</v>
      </c>
      <c r="T144" s="155">
        <f>IF(Assumptions!$L$25=4,VLOOKUP($A144,'Henwood Reference'!$E$9:$R$320,11),(VLOOKUP($A144,PriceTable,8,0)+IF(BasisNumber&lt;&gt;1,VLOOKUP($A144,BasisTable,3,0),0)+T$1)/(1-T$2))</f>
        <v>30.607243293880359</v>
      </c>
      <c r="U144" s="173">
        <f t="shared" si="298"/>
        <v>0.12</v>
      </c>
      <c r="V144" s="173">
        <f t="shared" si="299"/>
        <v>0.13</v>
      </c>
      <c r="W144" s="174">
        <f t="shared" si="300"/>
        <v>0.14000000000000001</v>
      </c>
      <c r="X144" s="173">
        <f t="shared" si="301"/>
        <v>0.12</v>
      </c>
      <c r="Y144" s="173">
        <f t="shared" si="302"/>
        <v>0.13</v>
      </c>
      <c r="Z144" s="174">
        <f t="shared" si="303"/>
        <v>0.14000000000000001</v>
      </c>
      <c r="AA144" s="173">
        <f t="shared" si="304"/>
        <v>0.09</v>
      </c>
      <c r="AB144" s="173">
        <f t="shared" si="305"/>
        <v>0.11</v>
      </c>
      <c r="AC144" s="174">
        <f t="shared" si="306"/>
        <v>0.13</v>
      </c>
      <c r="AD144" s="173">
        <f t="shared" si="307"/>
        <v>0.09</v>
      </c>
      <c r="AE144" s="173">
        <f t="shared" si="308"/>
        <v>0.11</v>
      </c>
      <c r="AF144" s="174">
        <f t="shared" si="309"/>
        <v>0.13</v>
      </c>
      <c r="AG144" s="173">
        <f t="shared" si="310"/>
        <v>-0.25</v>
      </c>
      <c r="AH144" s="173">
        <f t="shared" si="311"/>
        <v>0.6</v>
      </c>
      <c r="AI144" s="174">
        <f t="shared" si="312"/>
        <v>0.25</v>
      </c>
      <c r="AJ144" s="173">
        <f t="shared" si="313"/>
        <v>-0.25</v>
      </c>
      <c r="AK144" s="173">
        <f t="shared" si="314"/>
        <v>0.6</v>
      </c>
      <c r="AL144" s="174">
        <f t="shared" si="315"/>
        <v>0.25</v>
      </c>
      <c r="AM144" s="173">
        <f t="shared" si="316"/>
        <v>-0.01</v>
      </c>
      <c r="AN144" s="173">
        <f t="shared" si="317"/>
        <v>0.16</v>
      </c>
      <c r="AO144" s="174">
        <f t="shared" si="318"/>
        <v>0.01</v>
      </c>
      <c r="AP144" s="173">
        <f t="shared" si="319"/>
        <v>-0.01</v>
      </c>
      <c r="AQ144" s="173">
        <f t="shared" si="320"/>
        <v>0.16</v>
      </c>
      <c r="AR144" s="175">
        <f t="shared" si="321"/>
        <v>0.01</v>
      </c>
      <c r="AS144" s="521">
        <f t="shared" si="405"/>
        <v>0.5</v>
      </c>
      <c r="AT144" s="349">
        <f t="shared" si="403"/>
        <v>23</v>
      </c>
      <c r="AU144" s="159">
        <f t="shared" si="240"/>
        <v>3</v>
      </c>
      <c r="AV144" s="159">
        <f t="shared" si="241"/>
        <v>4</v>
      </c>
      <c r="AW144" s="159">
        <f t="shared" si="406"/>
        <v>1</v>
      </c>
      <c r="AX144" s="15">
        <f t="shared" si="404"/>
        <v>31</v>
      </c>
      <c r="AY144" s="607">
        <f>IF(E144="",0,MIN((1-(1-VLOOKUP(B144,MAIN!$AA$7:$AM$28,C144+1))*(1-VLOOKUP(B144,MAIN!$AA$33:$AM$54,C144+1))),1))</f>
        <v>3.0000000000000027E-2</v>
      </c>
      <c r="AZ144" s="337">
        <v>53544</v>
      </c>
      <c r="BA144" s="509">
        <v>6984</v>
      </c>
      <c r="BB144" s="509">
        <v>11640</v>
      </c>
      <c r="BC144" s="511">
        <v>36084</v>
      </c>
      <c r="BD144" s="153">
        <v>0.97</v>
      </c>
      <c r="BE144" s="474">
        <v>0.97</v>
      </c>
      <c r="BF144" s="474">
        <v>0.97</v>
      </c>
      <c r="BG144" s="515">
        <v>0.97</v>
      </c>
      <c r="BH144" s="262">
        <v>214176</v>
      </c>
      <c r="BI144" s="509">
        <v>27936</v>
      </c>
      <c r="BJ144" s="509">
        <v>46560</v>
      </c>
      <c r="BK144" s="511">
        <v>144336</v>
      </c>
      <c r="BL144" s="153">
        <v>0.97</v>
      </c>
      <c r="BM144" s="474">
        <v>0.97</v>
      </c>
      <c r="BN144" s="474">
        <v>0.97</v>
      </c>
      <c r="BO144" s="474">
        <v>0.97</v>
      </c>
      <c r="BP144" s="261">
        <f t="shared" si="324"/>
        <v>72168</v>
      </c>
      <c r="BQ144" s="578">
        <f t="shared" si="325"/>
        <v>108252</v>
      </c>
      <c r="BR144" s="259">
        <f t="shared" si="326"/>
        <v>288672</v>
      </c>
      <c r="BS144" s="578">
        <f t="shared" si="327"/>
        <v>433008</v>
      </c>
      <c r="BT144" s="216">
        <f t="shared" si="328"/>
        <v>10.63107460643395</v>
      </c>
      <c r="BU144" s="218">
        <f t="shared" si="243"/>
        <v>52.878880844394573</v>
      </c>
      <c r="BV144" s="216">
        <f t="shared" si="244"/>
        <v>52.878880844394573</v>
      </c>
      <c r="BW144" s="216">
        <f t="shared" si="245"/>
        <v>30.607243293880359</v>
      </c>
      <c r="BX144" s="216">
        <f t="shared" si="329"/>
        <v>30.607243293880359</v>
      </c>
      <c r="BY144" s="216">
        <f t="shared" si="246"/>
        <v>49.286681239472927</v>
      </c>
      <c r="BZ144" s="216">
        <f t="shared" si="247"/>
        <v>43.060201924275404</v>
      </c>
      <c r="CA144" s="264">
        <f t="shared" si="248"/>
        <v>52.878880844394573</v>
      </c>
      <c r="CB144" s="216">
        <f t="shared" si="249"/>
        <v>52.878880844394573</v>
      </c>
      <c r="CC144" s="216">
        <f t="shared" si="250"/>
        <v>30.607243293880359</v>
      </c>
      <c r="CD144" s="216">
        <f t="shared" si="330"/>
        <v>30.607243293880359</v>
      </c>
      <c r="CE144" s="216">
        <f t="shared" si="251"/>
        <v>49.286681239472927</v>
      </c>
      <c r="CF144" s="571">
        <f t="shared" si="252"/>
        <v>43.060201924275404</v>
      </c>
      <c r="CG144" s="573">
        <f t="shared" si="253"/>
        <v>0.13</v>
      </c>
      <c r="CH144" s="219">
        <f t="shared" si="254"/>
        <v>0.13</v>
      </c>
      <c r="CI144" s="219">
        <f t="shared" si="255"/>
        <v>0.11</v>
      </c>
      <c r="CJ144" s="219">
        <f t="shared" si="256"/>
        <v>0.12802114430285921</v>
      </c>
      <c r="CK144" s="219">
        <f t="shared" si="257"/>
        <v>0.12802114430285921</v>
      </c>
      <c r="CL144" s="219">
        <f t="shared" si="258"/>
        <v>0.11</v>
      </c>
      <c r="CM144" s="219">
        <f t="shared" si="259"/>
        <v>0.11345188723610386</v>
      </c>
      <c r="CN144" s="569">
        <f t="shared" si="260"/>
        <v>0.11345188723610386</v>
      </c>
      <c r="CO144" s="264">
        <f t="shared" si="343"/>
        <v>24.22844603399226</v>
      </c>
      <c r="CP144" s="216">
        <f t="shared" si="331"/>
        <v>24.22844603399226</v>
      </c>
      <c r="CQ144" s="216">
        <f t="shared" ca="1" si="361"/>
        <v>24.22844603399226</v>
      </c>
      <c r="CR144" s="216">
        <f t="shared" ca="1" si="362"/>
        <v>24.22844603399226</v>
      </c>
      <c r="CS144" s="1626">
        <f t="shared" ca="1" si="363"/>
        <v>24.228446033992256</v>
      </c>
      <c r="CT144" s="216">
        <f t="shared" si="332"/>
        <v>24.22844603399226</v>
      </c>
      <c r="CU144" s="575">
        <f t="shared" si="261"/>
        <v>0.158</v>
      </c>
      <c r="CV144" s="154">
        <f t="shared" si="262"/>
        <v>0.5</v>
      </c>
      <c r="CW144" s="216">
        <f>IF(OR($BQ144,$BS144),SpreadOptPowerMargin,0)*((1+Assumptions!$C$26)^($B144-YEAR(Assumptions!$C$17)))</f>
        <v>2.0676342017687039</v>
      </c>
      <c r="CX144" s="216">
        <f>IF(OR($BQ144,$BS144),SpreadOptPowerMargin,0)*((1+Assumptions!$C$26)^($B144-YEAR(Assumptions!$C$17)))</f>
        <v>2.0676342017687039</v>
      </c>
      <c r="CY144" s="216">
        <f>IF(OR($BQ144,$BS144),SpreadOptPowerMargin,0)*((1+Assumptions!$C$26)^($B144-YEAR(Assumptions!$C$17)))</f>
        <v>2.0676342017687039</v>
      </c>
      <c r="CZ144" s="216">
        <f>IF(OR($BQ144,$BS144),SpreadOptPowerMargin,0)*((1+Assumptions!$C$26)^($B144-YEAR(Assumptions!$C$17)))</f>
        <v>2.0676342017687039</v>
      </c>
      <c r="DA144" s="440">
        <f t="shared" si="263"/>
        <v>2.0676342017687035</v>
      </c>
      <c r="DB144" s="479">
        <f t="shared" si="264"/>
        <v>0.13</v>
      </c>
      <c r="DC144" s="479">
        <f t="shared" si="265"/>
        <v>0.13</v>
      </c>
      <c r="DD144" s="479">
        <f t="shared" si="266"/>
        <v>0.11</v>
      </c>
      <c r="DE144" s="479">
        <f t="shared" si="267"/>
        <v>0.11</v>
      </c>
      <c r="DF144" s="479">
        <f t="shared" si="268"/>
        <v>0.11345188723610386</v>
      </c>
      <c r="DG144" s="574">
        <f t="shared" si="269"/>
        <v>0.11345188723610386</v>
      </c>
      <c r="DH144" s="216">
        <f t="shared" si="270"/>
        <v>27.035554659520891</v>
      </c>
      <c r="DI144" s="216">
        <f t="shared" si="271"/>
        <v>27.035554659520891</v>
      </c>
      <c r="DJ144" s="216">
        <f t="shared" ca="1" si="364"/>
        <v>7.2897761682440008</v>
      </c>
      <c r="DK144" s="216">
        <f t="shared" ca="1" si="365"/>
        <v>7.2897761682440008</v>
      </c>
      <c r="DL144" s="216">
        <f t="shared" ca="1" si="366"/>
        <v>17.695793119485714</v>
      </c>
      <c r="DM144" s="216"/>
      <c r="DN144" s="216"/>
      <c r="DO144" s="216"/>
      <c r="DP144" s="216"/>
      <c r="DQ144" s="216"/>
      <c r="DR144" s="216"/>
      <c r="DS144" s="216"/>
      <c r="DT144" s="216"/>
      <c r="DU144" s="216"/>
      <c r="DV144" s="216"/>
      <c r="DW144" s="1371">
        <f t="shared" si="272"/>
        <v>7.2897761682440008</v>
      </c>
      <c r="DX144" s="216">
        <f t="shared" si="273"/>
        <v>7.2897761682440008</v>
      </c>
      <c r="DY144" s="440">
        <f t="shared" si="274"/>
        <v>18.330426507452586</v>
      </c>
      <c r="DZ144" s="180">
        <f t="shared" si="275"/>
        <v>1447591.7386893865</v>
      </c>
      <c r="EA144" s="180">
        <f t="shared" si="276"/>
        <v>188816.31374209389</v>
      </c>
      <c r="EB144" s="180">
        <f t="shared" ca="1" si="367"/>
        <v>84852.994598360165</v>
      </c>
      <c r="EC144" s="180">
        <f t="shared" ca="1" si="368"/>
        <v>263044.28325491655</v>
      </c>
      <c r="ED144" s="180">
        <f t="shared" ca="1" si="369"/>
        <v>1915604.9967705675</v>
      </c>
      <c r="EE144" s="581">
        <f t="shared" si="277"/>
        <v>1423349.4757886778</v>
      </c>
      <c r="EF144" s="554">
        <f t="shared" si="278"/>
        <v>185654.27945069713</v>
      </c>
      <c r="EG144" s="554">
        <f t="shared" ca="1" si="370"/>
        <v>50181.937996509747</v>
      </c>
      <c r="EH144" s="554">
        <f t="shared" ca="1" si="371"/>
        <v>155564.00778918024</v>
      </c>
      <c r="EI144" s="561">
        <f t="shared" ca="1" si="279"/>
        <v>1814749.7010250655</v>
      </c>
      <c r="EJ144" s="581">
        <f t="shared" si="333"/>
        <v>24242.262900708709</v>
      </c>
      <c r="EK144" s="554">
        <f t="shared" si="334"/>
        <v>3162.0342913967615</v>
      </c>
      <c r="EL144" s="554">
        <f t="shared" ca="1" si="372"/>
        <v>34671.056601850418</v>
      </c>
      <c r="EM144" s="554">
        <f t="shared" ca="1" si="373"/>
        <v>107480.27546573631</v>
      </c>
      <c r="EN144" s="561">
        <f t="shared" ca="1" si="374"/>
        <v>100855.29574550199</v>
      </c>
      <c r="EO144" s="180">
        <f t="shared" si="280"/>
        <v>5790366.9547575461</v>
      </c>
      <c r="EP144" s="180">
        <f t="shared" si="281"/>
        <v>755265.25496837555</v>
      </c>
      <c r="EQ144" s="180">
        <f t="shared" si="282"/>
        <v>339411.97839344066</v>
      </c>
      <c r="ER144" s="180">
        <f t="shared" si="283"/>
        <v>1052177.1330196662</v>
      </c>
      <c r="ES144" s="180">
        <f t="shared" si="284"/>
        <v>7937221.3211390292</v>
      </c>
      <c r="ET144" s="1482">
        <f t="shared" ca="1" si="375"/>
        <v>5693397.9031547112</v>
      </c>
      <c r="EU144" s="180">
        <f t="shared" ca="1" si="376"/>
        <v>742617.1178027885</v>
      </c>
      <c r="EV144" s="180">
        <f t="shared" ca="1" si="377"/>
        <v>200727.75198603899</v>
      </c>
      <c r="EW144" s="180">
        <f t="shared" ca="1" si="378"/>
        <v>622256.03115672094</v>
      </c>
      <c r="EX144" s="555">
        <f t="shared" ca="1" si="351"/>
        <v>7258998.8041002592</v>
      </c>
      <c r="EY144" s="180">
        <f t="shared" ca="1" si="379"/>
        <v>96969.051602834836</v>
      </c>
      <c r="EZ144" s="180">
        <f t="shared" ca="1" si="380"/>
        <v>12648.137165587046</v>
      </c>
      <c r="FA144" s="180">
        <f t="shared" ca="1" si="381"/>
        <v>138684.22640740167</v>
      </c>
      <c r="FB144" s="180">
        <f t="shared" ca="1" si="382"/>
        <v>429921.10186294524</v>
      </c>
      <c r="FC144" s="180">
        <f t="shared" ca="1" si="383"/>
        <v>678222.51703877002</v>
      </c>
      <c r="FD144" s="262">
        <f>IF(AX144,IF(VLOOKUP(C144,MAIN!$L$17:$M$28,2)="Yes",VLOOKUP(CALC!B144,MAIN!$H$17:$I$20,2),0),0)</f>
        <v>0</v>
      </c>
      <c r="FE144" s="623">
        <f t="shared" si="285"/>
        <v>0</v>
      </c>
      <c r="FF144" s="535">
        <f t="shared" si="286"/>
        <v>0</v>
      </c>
      <c r="FG144" s="535">
        <f t="shared" si="287"/>
        <v>0</v>
      </c>
      <c r="FH144" s="624">
        <f t="shared" si="288"/>
        <v>0</v>
      </c>
      <c r="FI144" s="632">
        <f>IF(AX144,VLOOKUP(CALC!B144,MAIN!$H$17:$K$20,4),0)</f>
        <v>0</v>
      </c>
      <c r="FJ144" s="535">
        <f t="shared" si="289"/>
        <v>0</v>
      </c>
      <c r="FK144" s="648">
        <f t="shared" si="335"/>
        <v>0</v>
      </c>
      <c r="FL144" s="530">
        <f t="shared" ca="1" si="384"/>
        <v>0</v>
      </c>
      <c r="FM144" s="530">
        <f t="shared" ca="1" si="385"/>
        <v>0</v>
      </c>
      <c r="FN144" s="530">
        <f t="shared" ca="1" si="386"/>
        <v>0</v>
      </c>
      <c r="FO144" s="622">
        <f t="shared" ca="1" si="387"/>
        <v>0</v>
      </c>
      <c r="FP144" s="530">
        <f t="shared" ca="1" si="388"/>
        <v>0</v>
      </c>
      <c r="FQ144" s="530">
        <f t="shared" ca="1" si="389"/>
        <v>0</v>
      </c>
      <c r="FR144" s="530">
        <f t="shared" ca="1" si="390"/>
        <v>0</v>
      </c>
      <c r="FS144" s="625">
        <f t="shared" ca="1" si="391"/>
        <v>0</v>
      </c>
      <c r="FT144" s="640">
        <f ca="1">IF(AND(Assumptions!$H$71="Yes",A144&gt;=Assumptions!$H$72,A144&lt;=Assumptions!$H$73),0,IF(AND($A144&gt;=Assumptions!$C$17,$A144&lt;=Assumptions!$C$18),MAX(AZ144*(1+VLOOKUP($C144,WeatherCapacityAdjustment,2))-FL144,0),0))</f>
        <v>53544</v>
      </c>
      <c r="FU144" s="530">
        <f ca="1">IF(AND(Assumptions!$H$71="Yes",A144&gt;=Assumptions!$H$72,A144&lt;=Assumptions!$H$73),0,IF(AND($A144&gt;=Assumptions!$C$17,$A144&lt;=Assumptions!$C$18),MAX(BA144*(1+VLOOKUP($C144,WeatherCapacityAdjustment,2))-FM144,0),0))</f>
        <v>6984</v>
      </c>
      <c r="FV144" s="530">
        <f ca="1">IF(AND(Assumptions!$H$71="Yes",A144&gt;=Assumptions!$H$72,A144&lt;=Assumptions!$H$73),0,IF(AND($A144&gt;=Assumptions!$C$17,$A144&lt;=Assumptions!$C$18),MAX(BB144*(1+VLOOKUP($C144,WeatherCapacityAdjustment,2))-FN144,0),0))</f>
        <v>11640</v>
      </c>
      <c r="FW144" s="622">
        <f ca="1">IF(AND(Assumptions!$H$71="Yes",A144&gt;=Assumptions!$H$72,A144&lt;=Assumptions!$H$73),0,IF(AND($A144&gt;=Assumptions!$C$17,$A144&lt;=Assumptions!$C$18),MAX(BC144*(1+VLOOKUP($C144,WeatherCapacityAdjustment,3))-FO144,0),0))</f>
        <v>36084</v>
      </c>
      <c r="FX144" s="621">
        <f ca="1">IF(AND(Assumptions!$H$71="Yes",A144&gt;=Assumptions!$H$72,A144&lt;=Assumptions!$H$73),0,IF(ET144&gt;0,MAX(BH144*(1+VLOOKUP($C144,WeatherCapacityAdjustment,2))-FP144,0),0))</f>
        <v>214176</v>
      </c>
      <c r="FY144" s="530">
        <f ca="1">IF(AND(Assumptions!$H$71="Yes",A144&gt;=Assumptions!$H$72,A144&lt;=Assumptions!$H$73),0,IF(EU144&gt;0,MAX(BI144*(1+VLOOKUP($C144,WeatherCapacityAdjustment,3))-FQ144,0),0))</f>
        <v>27936</v>
      </c>
      <c r="FZ144" s="530">
        <f ca="1">IF(AND(Assumptions!$H$71="Yes",A144&gt;=Assumptions!$H$72,A144&lt;=Assumptions!$H$73),0,IF(EV144&gt;0,MAX(BJ144*(1+VLOOKUP($C144,WeatherCapacityAdjustment,2))-FR144,0),0))</f>
        <v>46560</v>
      </c>
      <c r="GA144" s="622">
        <f ca="1">IF(AND(Assumptions!$H$71="Yes",A144&gt;=Assumptions!$H$72,A144&lt;=Assumptions!$H$73),0,IF(EW144&gt;0,MAX(BK144*(1+VLOOKUP($C144,WeatherCapacityAdjustment,2))-FS144,0),0))</f>
        <v>144336</v>
      </c>
      <c r="GB144" s="530">
        <f t="shared" ca="1" si="290"/>
        <v>541260</v>
      </c>
      <c r="GC144" s="545">
        <f t="shared" ca="1" si="291"/>
        <v>43.060201924275404</v>
      </c>
      <c r="GD144" s="530">
        <f t="shared" ca="1" si="392"/>
        <v>23306764.893533304</v>
      </c>
      <c r="GE144" s="1485">
        <f t="shared" ca="1" si="393"/>
        <v>767918.03760000004</v>
      </c>
      <c r="GF144" s="1776">
        <f t="shared" ca="1" si="394"/>
        <v>3071672.1504000002</v>
      </c>
      <c r="GG144" s="545">
        <f t="shared" si="359"/>
        <v>3.4154396845121457</v>
      </c>
      <c r="GH144" s="622">
        <f t="shared" ca="1" si="360"/>
        <v>13113888.700358652</v>
      </c>
      <c r="GI144" s="621">
        <f t="shared" ca="1" si="336"/>
        <v>541260</v>
      </c>
      <c r="GJ144" s="638">
        <f t="shared" si="292"/>
        <v>2.0676342017687035</v>
      </c>
      <c r="GK144" s="625">
        <f t="shared" ca="1" si="342"/>
        <v>1119127.6880493285</v>
      </c>
      <c r="GL144" s="640">
        <f t="shared" ca="1" si="395"/>
        <v>0</v>
      </c>
      <c r="GM144" s="530">
        <f t="shared" ca="1" si="396"/>
        <v>0</v>
      </c>
      <c r="GN144" s="530">
        <f t="shared" ca="1" si="397"/>
        <v>0</v>
      </c>
      <c r="GO144" s="622">
        <f t="shared" ca="1" si="398"/>
        <v>0</v>
      </c>
      <c r="GP144" s="530">
        <f t="shared" ca="1" si="293"/>
        <v>0</v>
      </c>
      <c r="GQ144" s="545">
        <f t="shared" ca="1" si="294"/>
        <v>0</v>
      </c>
      <c r="GR144" s="625">
        <f t="shared" ca="1" si="399"/>
        <v>0</v>
      </c>
      <c r="GS144" s="640">
        <f>IF($A144&gt;=BegDate,Assumptions!$C$56*24*($A145-$A144)*(1-VLOOKUP($B144,MAIN!$AA$7:$AM$28,$C144+1))*(1-VLOOKUP($B144,MAIN!$AA$33:$AM$54,$C144+1)),0)*80/168</f>
        <v>257742.85714285713</v>
      </c>
      <c r="GT144" s="1715">
        <f t="shared" si="337"/>
        <v>52.878880844394573</v>
      </c>
      <c r="GU144" s="1715">
        <f>IF($A144&gt;=BegDate,VLOOKUP($A144,GasTable,13)+Assumptions!$C$58,0)</f>
        <v>3.4154396845121457</v>
      </c>
      <c r="GV144" s="1715">
        <f>GU144*Assumptions!$C$57/1000</f>
        <v>24.761937712713056</v>
      </c>
      <c r="GW144" s="625">
        <f>IF(Assumptions!$C$60="Hourly",MAX(0,GS144*(GT144-GV144)),GS144*(GT144-GV144))</f>
        <v>7246941.2568828268</v>
      </c>
      <c r="GX144" s="640">
        <f>IF($A144&gt;=BegDate,Assumptions!$C$56*24*($A145-$A144)*(1-VLOOKUP($B144,MAIN!$AA$7:$AM$28,$C144+1))*(1-VLOOKUP($B144,MAIN!$AA$33:$AM$54,$C144+1)),0)*16/168</f>
        <v>51548.571428571428</v>
      </c>
      <c r="GY144" s="1715">
        <f t="shared" si="338"/>
        <v>52.878880844394573</v>
      </c>
      <c r="GZ144" s="1715">
        <f>IF($A144&gt;=BegDate,VLOOKUP($A144,GasTable,13)+Assumptions!$C$58,0)</f>
        <v>3.4154396845121457</v>
      </c>
      <c r="HA144" s="1715">
        <f>GZ144*Assumptions!$C$57/1000</f>
        <v>24.761937712713056</v>
      </c>
      <c r="HB144" s="625">
        <f>IF(Assumptions!$C$60="Hourly",MAX(0,GX144*(GY144-HA144)),GX144*(GY144-HA144))</f>
        <v>1449388.2513765655</v>
      </c>
      <c r="HC144" s="640">
        <f>IF($A144&gt;=BegDate,Assumptions!$C$56*24*($A145-$A144)*(1-VLOOKUP($B144,MAIN!$AA$7:$AM$28,$C144+1))*(1-VLOOKUP($B144,MAIN!$AA$33:$AM$54,$C144+1)),0)*16/168</f>
        <v>51548.571428571428</v>
      </c>
      <c r="HD144" s="1715">
        <f t="shared" si="339"/>
        <v>30.607243293880359</v>
      </c>
      <c r="HE144" s="1715">
        <f>IF($A144&gt;=BegDate,VLOOKUP($A144,GasTable,13)+Assumptions!$C$58,0)</f>
        <v>3.4154396845121457</v>
      </c>
      <c r="HF144" s="1715">
        <f>HE144*Assumptions!$C$57/1000</f>
        <v>24.761937712713056</v>
      </c>
      <c r="HG144" s="625">
        <f>IF(Assumptions!$C$60="Hourly",MAX(0,HC144*(HD144-HF144)),HC144*(HD144-HF144))</f>
        <v>301317.1522726299</v>
      </c>
      <c r="HH144" s="640">
        <f>IF($A144&gt;=BegDate,Assumptions!$C$56*24*($A145-$A144)*(1-VLOOKUP($B144,MAIN!$AA$7:$AM$28,$C144+1))*(1-VLOOKUP($B144,MAIN!$AA$33:$AM$54,$C144+1)),0)*56/168</f>
        <v>180420</v>
      </c>
      <c r="HI144" s="1715">
        <f t="shared" si="340"/>
        <v>30.607243293880359</v>
      </c>
      <c r="HJ144" s="1715">
        <f>IF($A144&gt;=BegDate,VLOOKUP($A144,GasTable,13)+Assumptions!$C$58,0)</f>
        <v>3.4154396845121457</v>
      </c>
      <c r="HK144" s="1715">
        <f>HJ144*Assumptions!$C$57/1000</f>
        <v>24.761937712713056</v>
      </c>
      <c r="HL144" s="625">
        <f>IF(Assumptions!$C$60="Hourly",MAX(0,HH144*(HI144-HK144)),HH144*(HI144-HK144))</f>
        <v>1054610.0329542048</v>
      </c>
      <c r="HM144" s="640">
        <f>IF(AND(Assumptions!$H$71="Yes",A144&gt;=Assumptions!$H$72,A144&lt;=Assumptions!$H$73),Assumptions!$H$74*Assumptions!$C$9*1000,0)</f>
        <v>0</v>
      </c>
      <c r="HN144" s="530"/>
      <c r="HO144" s="545"/>
      <c r="HP144" s="545"/>
      <c r="HQ144" s="545"/>
      <c r="HR144" s="545"/>
      <c r="HS144" s="545"/>
      <c r="HT144" s="545"/>
      <c r="HU144" s="545"/>
      <c r="HV144" s="545"/>
      <c r="HW144" s="545"/>
      <c r="HX144" s="545"/>
      <c r="HY144" s="545"/>
      <c r="HZ144" s="545"/>
      <c r="IA144" s="545"/>
      <c r="IB144" s="545"/>
      <c r="IC144" s="545"/>
      <c r="ID144" s="545"/>
      <c r="IE144" s="545"/>
      <c r="IF144" s="545"/>
      <c r="IG144" s="545"/>
      <c r="IH144" s="545"/>
      <c r="II144" s="1464"/>
      <c r="IJ144" s="1463"/>
      <c r="IK144" s="1463"/>
    </row>
    <row r="145" spans="1:245">
      <c r="A145" s="177">
        <f t="shared" si="295"/>
        <v>40544</v>
      </c>
      <c r="B145" s="349">
        <f t="shared" si="296"/>
        <v>2011</v>
      </c>
      <c r="C145" s="15">
        <f t="shared" ref="C145:C160" si="407">MONTH(A145)</f>
        <v>1</v>
      </c>
      <c r="D145" s="612">
        <f t="shared" si="297"/>
        <v>40544</v>
      </c>
      <c r="E145" s="609">
        <f t="shared" ref="E145:E160" si="408">IF(OR(BegDate&gt;=A146,EndDate&lt;A145,AND(VolumeMonthlyOverFlag,INDEX(VolumeMonthlyOver,C145)=0),NOT(INDEX(MonthKnockOutTable,C145))),"",MAX(A145,BegDate))</f>
        <v>40544</v>
      </c>
      <c r="F145" s="614">
        <f t="shared" ref="F145:F160" si="409">IF(E145="","",MIN(A146-1,EndDate))</f>
        <v>40574</v>
      </c>
      <c r="G145" s="1349">
        <v>0</v>
      </c>
      <c r="H145" s="152">
        <f t="shared" si="341"/>
        <v>1</v>
      </c>
      <c r="I145" s="154">
        <f>IF(Assumptions!$L$25=4,VLOOKUP($A145,'Henwood Reference'!$E$9:$R$320,10),(VLOOKUP($A145,PriceTable,2,0)+IF(BasisNumber&lt;&gt;1,VLOOKUP($A145,BasisTable,2,0),0)+I$1)/(1-I$2))</f>
        <v>53.549271701648358</v>
      </c>
      <c r="J145" s="154">
        <f>IF(Assumptions!$L$25=4,VLOOKUP($A145,'Henwood Reference'!$E$9:$R$320,10),(VLOOKUP($A145,PriceTable,3,0)+IF(BasisNumber&lt;&gt;1,VLOOKUP($A145,BasisTable,2,0),0)+J$1)/(1-J$2))</f>
        <v>53.549271701648358</v>
      </c>
      <c r="K145" s="154">
        <f>IF(Assumptions!$L$25=4,VLOOKUP($A145,'Henwood Reference'!$E$9:$R$320,10),(VLOOKUP($A145,PriceTable,4,0)+IF(BasisNumber&lt;&gt;1,VLOOKUP($A145,BasisTable,2,0),0)+K$1)/(1-K$2))</f>
        <v>53.549271701648358</v>
      </c>
      <c r="L145" s="474">
        <f>IF(Assumptions!$L$25=4,VLOOKUP($A145,'Henwood Reference'!$E$9:$R$320,10),(VLOOKUP($A145,PriceTableWeekend,2,0)+IF(BasisNumber&lt;&gt;1,VLOOKUP($A145,BasisTable,2,0),0)+L$1)/(1-L$2))</f>
        <v>53.549271701648358</v>
      </c>
      <c r="M145" s="154">
        <f>IF(Assumptions!$L$25=4,VLOOKUP($A145,'Henwood Reference'!$E$9:$R$320,10),(VLOOKUP($A145,PriceTableWeekend,3,0)+IF(BasisNumber&lt;&gt;1,VLOOKUP($A145,BasisTable,2,0),0)+M$1)/(1-M$2))</f>
        <v>53.549271701648358</v>
      </c>
      <c r="N145" s="156">
        <f>IF(Assumptions!$L$25=4,VLOOKUP($A145,'Henwood Reference'!$E$9:$R$320,10),(VLOOKUP($A145,PriceTableWeekend,4,0)+IF(BasisNumber&lt;&gt;1,VLOOKUP($A145,BasisTable,2,0),0)+N$1)/(1-N$2))</f>
        <v>53.549271701648358</v>
      </c>
      <c r="O145" s="154">
        <f>IF(Assumptions!$L$25=4,VLOOKUP($A145,'Henwood Reference'!$E$9:$R$320,11),(VLOOKUP($A145,PriceTableWeekend,6,0)+IF(BasisNumber&lt;&gt;1,VLOOKUP($A145,BasisTable,3,0),0)+O$1)/(1-O$2))</f>
        <v>29.728955376285292</v>
      </c>
      <c r="P145" s="154">
        <f>IF(Assumptions!$L$25=4,VLOOKUP($A145,'Henwood Reference'!$E$9:$R$320,11),(VLOOKUP($A145,PriceTableWeekend,7,0)+IF(BasisNumber&lt;&gt;1,VLOOKUP($A145,BasisTable,3,0),0)+P$1)/(1-P$2))</f>
        <v>29.728955376285292</v>
      </c>
      <c r="Q145" s="156">
        <f>IF(Assumptions!$L$25=4,VLOOKUP($A145,'Henwood Reference'!$E$9:$R$320,11),(VLOOKUP($A145,PriceTableWeekend,8,0)+IF(BasisNumber&lt;&gt;1,VLOOKUP($A145,BasisTable,3,0),0)+Q$1)/(1-Q$2))</f>
        <v>29.728955376285292</v>
      </c>
      <c r="R145" s="154">
        <f>IF(Assumptions!$L$25=4,VLOOKUP($A145,'Henwood Reference'!$E$9:$R$320,11),(VLOOKUP($A145,PriceTable,6,0)+IF(BasisNumber&lt;&gt;1,VLOOKUP($A145,BasisTable,3,0),0)+R$1)/(1-R$2))</f>
        <v>29.728955376285292</v>
      </c>
      <c r="S145" s="154">
        <f>IF(Assumptions!$L$25=4,VLOOKUP($A145,'Henwood Reference'!$E$9:$R$320,11),(VLOOKUP($A145,PriceTable,7,0)+IF(BasisNumber&lt;&gt;1,VLOOKUP($A145,BasisTable,3,0),0)+S$1)/(1-S$2))</f>
        <v>29.728955376285292</v>
      </c>
      <c r="T145" s="155">
        <f>IF(Assumptions!$L$25=4,VLOOKUP($A145,'Henwood Reference'!$E$9:$R$320,11),(VLOOKUP($A145,PriceTable,8,0)+IF(BasisNumber&lt;&gt;1,VLOOKUP($A145,BasisTable,3,0),0)+T$1)/(1-T$2))</f>
        <v>29.728955376285292</v>
      </c>
      <c r="U145" s="173">
        <f t="shared" si="298"/>
        <v>0.115</v>
      </c>
      <c r="V145" s="173">
        <f t="shared" si="299"/>
        <v>0.125</v>
      </c>
      <c r="W145" s="174">
        <f t="shared" si="300"/>
        <v>0.13500000000000001</v>
      </c>
      <c r="X145" s="173">
        <f t="shared" si="301"/>
        <v>0.115</v>
      </c>
      <c r="Y145" s="173">
        <f t="shared" si="302"/>
        <v>0.125</v>
      </c>
      <c r="Z145" s="174">
        <f t="shared" si="303"/>
        <v>0.13500000000000001</v>
      </c>
      <c r="AA145" s="173">
        <f t="shared" si="304"/>
        <v>0.09</v>
      </c>
      <c r="AB145" s="173">
        <f t="shared" si="305"/>
        <v>0.11</v>
      </c>
      <c r="AC145" s="174">
        <f t="shared" si="306"/>
        <v>0.13</v>
      </c>
      <c r="AD145" s="173">
        <f t="shared" si="307"/>
        <v>0.09</v>
      </c>
      <c r="AE145" s="173">
        <f t="shared" si="308"/>
        <v>0.11</v>
      </c>
      <c r="AF145" s="174">
        <f t="shared" si="309"/>
        <v>0.13</v>
      </c>
      <c r="AG145" s="173">
        <f t="shared" si="310"/>
        <v>-0.25</v>
      </c>
      <c r="AH145" s="173">
        <f t="shared" si="311"/>
        <v>0.65</v>
      </c>
      <c r="AI145" s="174">
        <f t="shared" si="312"/>
        <v>0.25</v>
      </c>
      <c r="AJ145" s="173">
        <f t="shared" si="313"/>
        <v>-0.25</v>
      </c>
      <c r="AK145" s="173">
        <f t="shared" si="314"/>
        <v>0.65</v>
      </c>
      <c r="AL145" s="174">
        <f t="shared" si="315"/>
        <v>0.25</v>
      </c>
      <c r="AM145" s="173">
        <f t="shared" si="316"/>
        <v>-0.01</v>
      </c>
      <c r="AN145" s="173">
        <f t="shared" si="317"/>
        <v>0.16</v>
      </c>
      <c r="AO145" s="174">
        <f t="shared" si="318"/>
        <v>0.01</v>
      </c>
      <c r="AP145" s="173">
        <f t="shared" si="319"/>
        <v>-0.01</v>
      </c>
      <c r="AQ145" s="173">
        <f t="shared" si="320"/>
        <v>0.16</v>
      </c>
      <c r="AR145" s="175">
        <f t="shared" si="321"/>
        <v>0.01</v>
      </c>
      <c r="AS145" s="521">
        <f t="shared" si="405"/>
        <v>0.5</v>
      </c>
      <c r="AT145" s="349">
        <f t="shared" ref="AT145:AT160" si="410">AX145-SUM(AU145:AW145)</f>
        <v>21</v>
      </c>
      <c r="AU145" s="159">
        <f t="shared" ref="AU145:AU208" si="411">IF(E145="",0,INT((F145-MOD(F145,7)-E145)/7)+1-IF(AW145,IF(WEEKDAY(D145)=7,1,0),0))</f>
        <v>4</v>
      </c>
      <c r="AV145" s="159">
        <f t="shared" ref="AV145:AV208" si="412">IF(E145="",0,INT((F145-MOD(F145-1,7)-E145)/7)+1-IF(AW145,IF(WEEKDAY(D145)=1,1,0),0))</f>
        <v>5</v>
      </c>
      <c r="AW145" s="159">
        <f t="shared" si="406"/>
        <v>1</v>
      </c>
      <c r="AX145" s="15">
        <f t="shared" ref="AX145:AX160" si="413">IF(E145="",0,F145-E145+1)</f>
        <v>31</v>
      </c>
      <c r="AY145" s="607">
        <f>IF(E145="",0,MIN((1-(1-VLOOKUP(B145,MAIN!$AA$7:$AM$28,C145+1))*(1-VLOOKUP(B145,MAIN!$AA$33:$AM$54,C145+1))),1))</f>
        <v>3.0000000000000027E-2</v>
      </c>
      <c r="AZ145" s="337">
        <v>48888</v>
      </c>
      <c r="BA145" s="509">
        <v>9312</v>
      </c>
      <c r="BB145" s="509">
        <v>13968</v>
      </c>
      <c r="BC145" s="511">
        <v>36084</v>
      </c>
      <c r="BD145" s="153">
        <v>0.96999999638646839</v>
      </c>
      <c r="BE145" s="474">
        <v>0.96999999638646839</v>
      </c>
      <c r="BF145" s="474">
        <v>0.96999999638646839</v>
      </c>
      <c r="BG145" s="515">
        <v>0.9699999927729368</v>
      </c>
      <c r="BH145" s="262">
        <v>195552</v>
      </c>
      <c r="BI145" s="509">
        <v>37248</v>
      </c>
      <c r="BJ145" s="509">
        <v>55872</v>
      </c>
      <c r="BK145" s="511">
        <v>144336</v>
      </c>
      <c r="BL145" s="153">
        <v>0.96999999638646839</v>
      </c>
      <c r="BM145" s="474">
        <v>0.96999999638646839</v>
      </c>
      <c r="BN145" s="474">
        <v>0.96999999638646839</v>
      </c>
      <c r="BO145" s="474">
        <v>0.9699999927729368</v>
      </c>
      <c r="BP145" s="261">
        <f t="shared" si="324"/>
        <v>72168</v>
      </c>
      <c r="BQ145" s="578">
        <f t="shared" si="325"/>
        <v>108252</v>
      </c>
      <c r="BR145" s="259">
        <f t="shared" si="326"/>
        <v>288672</v>
      </c>
      <c r="BS145" s="578">
        <f t="shared" si="327"/>
        <v>433008</v>
      </c>
      <c r="BT145" s="216">
        <f t="shared" si="328"/>
        <v>10.715947980835045</v>
      </c>
      <c r="BU145" s="218">
        <f t="shared" ref="BU145:BU208" si="414">IF(BQ145,IF(OPriceCurve,IF(OBuySell=OCallPut,I145/(1-AY145),K145/(1-AY145)),J145/(1-AY145))*BD145,0)</f>
        <v>53.549271502161773</v>
      </c>
      <c r="BV145" s="216">
        <f t="shared" ref="BV145:BV208" si="415">IF(BQ145,IF(OPriceCurve,IF(OBuySell=OCallPut,L145/(1-AY145),N145/(1-AY145)),M145/(1-AY145))*BE145,0)</f>
        <v>53.549271502161773</v>
      </c>
      <c r="BW145" s="216">
        <f t="shared" ref="BW145:BW208" si="416">IF(BQ145,IF(OPriceCurve,IF(OBuySell=OCallPut,O145/(1-AY145),Q145/(1-AY145)),P145/(1-AY145))*BF145,0)</f>
        <v>29.728955265536303</v>
      </c>
      <c r="BX145" s="216">
        <f t="shared" si="329"/>
        <v>29.728955154787315</v>
      </c>
      <c r="BY145" s="216">
        <f t="shared" ref="BY145:BY208" si="417">IF(BP145,(BU145*AZ145+BV145*BA145+BW145*BB145)/BP145,0)</f>
        <v>48.938887714427807</v>
      </c>
      <c r="BZ145" s="216">
        <f t="shared" ref="BZ145:BZ208" si="418">IF(BQ145,(BY145*BP145+BX145*BC145)/BQ145,0)</f>
        <v>42.535576861214309</v>
      </c>
      <c r="CA145" s="264">
        <f t="shared" ref="CA145:CA208" si="419">IF(BS145,IF(OPriceCurve,IF(OBuySell=OCallPut,I145/(1-AY145),K145/(1-AY145)),J145/(1-AY145))*BL145,0)</f>
        <v>53.549271502161773</v>
      </c>
      <c r="CB145" s="216">
        <f t="shared" ref="CB145:CB208" si="420">IF(BS145,IF(OPriceCurve,IF(OBuySell=OCallPut,L145/(1-AY145),N145/(1-AY145)),M145/(1-AY145))*BM145,0)</f>
        <v>53.549271502161773</v>
      </c>
      <c r="CC145" s="216">
        <f t="shared" ref="CC145:CC208" si="421">IF(BS145,IF(OPriceCurve,IF(OBuySell=OCallPut,O145/(1-AY145),Q145/(1-AY145)),P145/(1-AY145))*BN145,0)</f>
        <v>29.728955265536303</v>
      </c>
      <c r="CD145" s="216">
        <f t="shared" si="330"/>
        <v>29.728955154787315</v>
      </c>
      <c r="CE145" s="216">
        <f t="shared" ref="CE145:CE208" si="422">IF(BR145,(BU145*BH145+BV145*BI145+BW145*BJ145)/BR145,0)</f>
        <v>48.938887714427807</v>
      </c>
      <c r="CF145" s="571">
        <f t="shared" ref="CF145:CF208" si="423">IF(BS145,(CE145*BR145+CD145*BK145)/BS145,0)</f>
        <v>42.535576861214309</v>
      </c>
      <c r="CG145" s="573">
        <f t="shared" ref="CG145:CG208" si="424">IF(OR(BQ145,BS145),IF(OVolType&lt;&gt;2,SQRT(IF(OVolOverMonthlyPeak,OVolOverMonthlyPeak,IF(OVolCurve,IF(OBuySell,U145,W145),V145))^2*(1-15/365.25/BT145)+IF(OVolOverDailyPeak,OVolOverDailyPeak,IF(OVolCurve,IF(OBuySell,AG145,AI145),AH145))^2*15/365.25/BT145),IF(OVolOverMonthlyPeak,OVolOverMonthlyPeak,IF(OVolCurve,IF(OBuySell,U145,W145),V145))),"")</f>
        <v>0.125</v>
      </c>
      <c r="CH145" s="219">
        <f t="shared" ref="CH145:CH208" si="425">IF(OR(BQ145,BS145),IF(OVolType&lt;&gt;2,SQRT(IF(OVolOverMonthlyPeak,OVolOverMonthlyPeak,IF(OVolCurve,IF(OBuySell,X145,Z145),Y145))^2*(1-15/365.25/BT145)+IF(OVolOverDailyPeak,OVolOverDailyPeak,IF(OVolCurve,IF(OBuySell,AJ145,AL145),AK145))^2*15/365.25/BT145),IF(OVolOverMonthlyPeak,OVolOverMonthlyPeak,IF(OVolCurve,IF(OBuySell,X145,Z145),Y145))),"")</f>
        <v>0.125</v>
      </c>
      <c r="CI145" s="219">
        <f t="shared" ref="CI145:CI208" si="426">IF(OR(BQ145,BS145),IF(OVolType&lt;&gt;2,SQRT(IF(OVolOverMonthlyPeak,OVolOverMonthlyPeak,IF(OVolCurve,IF(OBuySell,AA145,AC145),AB145))^2*(1-15/365.25/BT145)+IF(OVolOverDailyPeak,OVolOverDailyPeak,IF(OVolCurve,IF(OBuySell,AM145,AO145),AN145))^2*15/365.25/BT145),IF(OVolOverMonthlyPeak,OVolOverMonthlyPeak,IF(OVolCurve,IF(OBuySell,AA145,AC145),AB145))),"")</f>
        <v>0.11</v>
      </c>
      <c r="CJ145" s="219">
        <f t="shared" ref="CJ145:CJ208" si="427">IF(BQ145,IF(BP145,SQRT(LN(1+((BU145*AZ145)^2*(EXP(CG145^2*BT145)-1)+(BV145*BA145)^2*(EXP(CH145^2*BT145)-1)+(BW145*BB145)^2*(EXP(CI145^2*BT145)-1)+2*BU145*AZ145*BV145*BA145*(EXP(CG145*CH145*BT145)-1)+2*BV145*BA145*BW145*BB145*(EXP(CH145*CI145*BT145)-1)+2*BW145*BB145*BU145*AZ145*(EXP(CI145*CG145*BT145)-1))/(BY145*BP145)^2)/BT145),0),"")</f>
        <v>0.12325172517429799</v>
      </c>
      <c r="CK145" s="219">
        <f t="shared" ref="CK145:CK208" si="428">IF(BS145,IF(BR145,SQRT(LN(1+((CA145*BH145)^2*(EXP(CG145^2*BT145)-1)+(CB145*BI145)^2*(EXP(CH145^2*BT145)-1)+(CC145*BJ145)^2*(EXP(CI145^2*BT145)-1)+2*CA145*BH145*CB145*BI145*(EXP(CG145*CH145*BT145)-1)+2*CB145*BI145*CC145*BJ145*(EXP(CH145*CI145*BT145)-1)+2*CC145*BJ145*CA145*BH145*(EXP(CI145*CG145*BT145)-1))/(CE145*BR145)^2)/BT145),0),"")</f>
        <v>0.12325172517429799</v>
      </c>
      <c r="CL145" s="219">
        <f t="shared" ref="CL145:CL208" si="429">IF(OR(BQ145,BS145),IF(OVolType&lt;&gt;2,SQRT(IF(OVolOverMonthlyOffPeak,OVolOverMonthlyOffPeak,IF(OVolCurve,IF(OBuySell,AD145,AF145),AE145))^2*(1-15/365.25/BT145)+IF(OVolOverDailyOffPeak,OVolOverDailyOffPeak,IF(OVolCurve,IF(OBuySell,AP145,AR145),AQ145))^2*15/365.25/BT145),IF(OVolOverMonthlyOffPeak,OVolOverMonthlyOffPeak,IF(OVolCurve,IF(OBuySell,AD145,AF145),AE145))),"")</f>
        <v>0.11</v>
      </c>
      <c r="CM145" s="219">
        <f t="shared" ref="CM145:CM208" si="430">IF(BQ145,SQRT(LN(1+((BY145*BP145)^2*(EXP(CJ145^2*BT145)-1)+(BX145*BC145)^2*(EXP(CL145^2*BT145)-1)+2*BY145*BP145*BX145*BC145*(EXP(AS145*CJ145*CL145*BT145)-1))/(BY145*BP145+BX145*BC145)^2)/BT145),"")</f>
        <v>0.1100019614929218</v>
      </c>
      <c r="CN145" s="569">
        <f t="shared" ref="CN145:CN208" si="431">IF(BS145,SQRT(LN(1+((CE145*BR145)^2*(EXP(CK145^2*BT145)-1)+(CD145*BK145)^2*(EXP(CL145^2*BT145)-1)+2*CE145*BR145*CD145*BK145*(EXP(AS145*CK145*CL145*BT145)-1))/(CE145*BR145+CD145*BK145)^2)/BT145),"")</f>
        <v>0.1100019614929218</v>
      </c>
      <c r="CO145" s="264">
        <f t="shared" si="343"/>
        <v>23.586910161277498</v>
      </c>
      <c r="CP145" s="216">
        <f t="shared" si="331"/>
        <v>23.586910161277498</v>
      </c>
      <c r="CQ145" s="216">
        <f t="shared" ca="1" si="361"/>
        <v>23.586910161277498</v>
      </c>
      <c r="CR145" s="216">
        <f t="shared" ca="1" si="362"/>
        <v>23.586910161277498</v>
      </c>
      <c r="CS145" s="1626">
        <f t="shared" ca="1" si="363"/>
        <v>23.586910161277498</v>
      </c>
      <c r="CT145" s="216">
        <f t="shared" si="332"/>
        <v>23.586910161277498</v>
      </c>
      <c r="CU145" s="575">
        <f t="shared" ref="CU145:CU208" si="432">IF(OR(BQ145,BS145),VLOOKUP(A145,GasTable,14),"")</f>
        <v>0.158</v>
      </c>
      <c r="CV145" s="154">
        <f t="shared" ref="CV145:CV208" si="433">IF(OR(BQ145,BS145),IF(CorrPowerGasOverFlag,INDEX(CorrPowerGasOver,C145),CorrPowerGas),"")</f>
        <v>0.5</v>
      </c>
      <c r="CW145" s="216">
        <f>IF(OR($BQ145,$BS145),SpreadOptPowerMargin,0)*((1+Assumptions!$C$26)^($B145-YEAR(Assumptions!$C$17)))</f>
        <v>2.1089868858040779</v>
      </c>
      <c r="CX145" s="216">
        <f>IF(OR($BQ145,$BS145),SpreadOptPowerMargin,0)*((1+Assumptions!$C$26)^($B145-YEAR(Assumptions!$C$17)))</f>
        <v>2.1089868858040779</v>
      </c>
      <c r="CY145" s="216">
        <f>IF(OR($BQ145,$BS145),SpreadOptPowerMargin,0)*((1+Assumptions!$C$26)^($B145-YEAR(Assumptions!$C$17)))</f>
        <v>2.1089868858040779</v>
      </c>
      <c r="CZ145" s="216">
        <f>IF(OR($BQ145,$BS145),SpreadOptPowerMargin,0)*((1+Assumptions!$C$26)^($B145-YEAR(Assumptions!$C$17)))</f>
        <v>2.1089868858040779</v>
      </c>
      <c r="DA145" s="440">
        <f t="shared" ref="DA145:DA208" si="434">IF(OR(BQ145,BS145),(CW145*(AZ145+BH145)+CX145*(BA145+BI145)+CY145*(BB145+BJ145)+CZ145*(BC145+BK145))/(BQ145+BS145),0)</f>
        <v>2.1089868858040774</v>
      </c>
      <c r="DB145" s="479">
        <f t="shared" ref="DB145:DB208" si="435">IF(OR(BQ145,BS145),CG145+IF(OVolSmile,VLOOKUP(MAX(-5,CO145+CW145-BU145),IF(OVolSmile=1,VolSmileBook,VolSmileModel),2),0),"")</f>
        <v>0.125</v>
      </c>
      <c r="DC145" s="479">
        <f t="shared" ref="DC145:DC208" si="436">IF(OR(BQ145,BS145),CH145+IF(OVolSmile,VLOOKUP(MAX(-5,CP145+CW145-BV145),IF(OVolSmile=1,VolSmileBook,VolSmileModel),2),0),"")</f>
        <v>0.125</v>
      </c>
      <c r="DD145" s="479">
        <f t="shared" ref="DD145:DD208" si="437">IF(OR(BQ145,BS145),CI145+IF(OVolSmile,VLOOKUP(MAX(-5,CQ145+CW145-BW145),IF(OVolSmile=1,VolSmileBook,VolSmileModel),2),0),"")</f>
        <v>0.11</v>
      </c>
      <c r="DE145" s="479">
        <f t="shared" ref="DE145:DE208" si="438">IF(OR(BQ145,BS145),CL145+IF(OVolSmile,VLOOKUP(MAX(-5,CR145+CZ145-BX145),IF(OVolSmile=1,VolSmileBook,VolSmileModel),2),0),"")</f>
        <v>0.11</v>
      </c>
      <c r="DF145" s="479">
        <f t="shared" ref="DF145:DF208" si="439">IF(BQ145,CM145+IF(OVolSmile,VLOOKUP(MAX(-5,CS145+DA145-BZ145),IF(OVolSmile=1,VolSmileBook,VolSmileModel),2),0),"")</f>
        <v>0.1100019614929218</v>
      </c>
      <c r="DG145" s="574">
        <f t="shared" ref="DG145:DG208" si="440">IF(BS145,CN145+IF(OVolSmile,VLOOKUP(MAX(-5,CT145+DA145-CF145),IF(OVolSmile=1,VolSmileBook,VolSmileModel),2),0),"")</f>
        <v>0.1100019614929218</v>
      </c>
      <c r="DH145" s="216">
        <f t="shared" ref="DH145:DH208" si="441">IF(AND(BU145&gt;0,CO145&gt;0,DB145&gt;0,CU145&gt;0),newSPRDOPT(BU145,CO145,CW145,0,DB145,CU145,CV145,BT145*365.25,OCallPut,0),0)</f>
        <v>28.209175403019945</v>
      </c>
      <c r="DI145" s="216">
        <f t="shared" ref="DI145:DI208" si="442">IF(AND(BV145&gt;0,CP145&gt;0,DC145&gt;0,CU145&gt;0),newSPRDOPT(BV145,CP145,CX145,0,DC145,CU145,CV145,BT145*365.25,OCallPut,0),0)</f>
        <v>28.209175403019945</v>
      </c>
      <c r="DJ145" s="216">
        <f t="shared" ca="1" si="364"/>
        <v>7.000049183949689</v>
      </c>
      <c r="DK145" s="216">
        <f t="shared" ca="1" si="365"/>
        <v>7.0000491048959912</v>
      </c>
      <c r="DL145" s="216">
        <f t="shared" ca="1" si="366"/>
        <v>17.695209058873008</v>
      </c>
      <c r="DM145" s="216"/>
      <c r="DN145" s="216"/>
      <c r="DO145" s="216"/>
      <c r="DP145" s="216"/>
      <c r="DQ145" s="216"/>
      <c r="DR145" s="216"/>
      <c r="DS145" s="216"/>
      <c r="DT145" s="216"/>
      <c r="DU145" s="216"/>
      <c r="DV145" s="216"/>
      <c r="DW145" s="1371">
        <f t="shared" ref="DW145:DW208" si="443">IF(AND(BW145&gt;0,CT145&gt;0,DD145&gt;0,CU145&gt;0),newSPRDOPT(BW145,CT145,CY145,0,DD145,CU145,CV145,BT145*365.25,OCallPut,0),0)</f>
        <v>7.000049183949689</v>
      </c>
      <c r="DX145" s="216">
        <f t="shared" ref="DX145:DX208" si="444">IF(AND(BX145&gt;0,CT145&gt;0,DE145&gt;0,CU145&gt;0),newSPRDOPT(BX145,CT145,CZ145,0,DE145,CU145,CV145,BT145*365.25,OCallPut,0),0)</f>
        <v>7.0000491048959912</v>
      </c>
      <c r="DY145" s="440">
        <f t="shared" ref="DY145:DY208" si="445">IF(BS145,(DH145*BH145+DI145*BI145+DW145*BJ145+DX145*BK145)/BS145,0)</f>
        <v>18.402805189356659</v>
      </c>
      <c r="DZ145" s="180">
        <f t="shared" ref="DZ145:DZ208" si="446">DH145*AZ145</f>
        <v>1379090.1671028391</v>
      </c>
      <c r="EA145" s="180">
        <f t="shared" ref="EA145:EA208" si="447">DI145*BA145</f>
        <v>262683.84135292174</v>
      </c>
      <c r="EB145" s="180">
        <f t="shared" ca="1" si="367"/>
        <v>97776.687001409256</v>
      </c>
      <c r="EC145" s="180">
        <f t="shared" ca="1" si="368"/>
        <v>252589.77190106694</v>
      </c>
      <c r="ED145" s="180">
        <f t="shared" ca="1" si="369"/>
        <v>1915541.7710411209</v>
      </c>
      <c r="EE145" s="581">
        <f t="shared" ref="EE145:EE208" si="448">IF(BQ145,IF(OCallPut,IF(BU145&gt;(CO145+CW145),BU145-(CO145+CW145),0),IF((CO145+CW145)&gt;BU145,(CO145+CW145)-BU145,0))*AZ145,0)</f>
        <v>1361695.7703599606</v>
      </c>
      <c r="EF145" s="554">
        <f t="shared" ref="EF145:EF208" si="449">IF(BQ145,IF(OCallPut,IF(BV145&gt;(CP145+CX145),BV145-(CP145+CX145),0),IF((CP145+CX145)&gt;BV145,(CP145+CX145)-BV145,0))*BA145,0)</f>
        <v>259370.62292570679</v>
      </c>
      <c r="EG145" s="554">
        <f t="shared" ca="1" si="370"/>
        <v>56333.757195375627</v>
      </c>
      <c r="EH145" s="554">
        <f t="shared" ca="1" si="371"/>
        <v>145528.86875845384</v>
      </c>
      <c r="EI145" s="561">
        <f t="shared" ref="EI145:EI208" ca="1" si="450">IF(BQ145,IF(OVolType,IF(OCallPut,IF(BZ145&gt;(CS145+DA145),BZ145-(CS145+DA145),0),IF((CS145+DA145)&gt;BZ145,(CS145+DA145)-BZ145,0))*BQ145,SUM(EE145:EH145)),0)</f>
        <v>1822929.0192394967</v>
      </c>
      <c r="EJ145" s="581">
        <f t="shared" si="333"/>
        <v>17394.396742878482</v>
      </c>
      <c r="EK145" s="554">
        <f t="shared" si="334"/>
        <v>3313.2184272149461</v>
      </c>
      <c r="EL145" s="554">
        <f t="shared" ca="1" si="372"/>
        <v>41442.92980603363</v>
      </c>
      <c r="EM145" s="554">
        <f t="shared" ca="1" si="373"/>
        <v>107060.9031426131</v>
      </c>
      <c r="EN145" s="561">
        <f t="shared" ca="1" si="374"/>
        <v>92612.751801624196</v>
      </c>
      <c r="EO145" s="180">
        <f t="shared" ref="EO145:EO208" si="451">DH145*BH145</f>
        <v>5516360.6684113564</v>
      </c>
      <c r="EP145" s="180">
        <f t="shared" ref="EP145:EP208" si="452">DI145*BI145</f>
        <v>1050735.3654116869</v>
      </c>
      <c r="EQ145" s="180">
        <f t="shared" ref="EQ145:EQ208" si="453">DW145*BJ145</f>
        <v>391106.74800563703</v>
      </c>
      <c r="ER145" s="180">
        <f t="shared" ref="ER145:ER208" si="454">DX145*BK145</f>
        <v>1010359.0876042678</v>
      </c>
      <c r="ES145" s="180">
        <f t="shared" ref="ES145:ES208" si="455">DY145*BS145</f>
        <v>7968561.8694329485</v>
      </c>
      <c r="ET145" s="1482">
        <f t="shared" ca="1" si="375"/>
        <v>5446783.0814398425</v>
      </c>
      <c r="EU145" s="180">
        <f t="shared" ca="1" si="376"/>
        <v>1037482.4917028272</v>
      </c>
      <c r="EV145" s="180">
        <f t="shared" ca="1" si="377"/>
        <v>225335.02878150251</v>
      </c>
      <c r="EW145" s="180">
        <f t="shared" ca="1" si="378"/>
        <v>582115.47503381537</v>
      </c>
      <c r="EX145" s="555">
        <f t="shared" ca="1" si="351"/>
        <v>7291716.0769579876</v>
      </c>
      <c r="EY145" s="180">
        <f t="shared" ca="1" si="379"/>
        <v>69577.586971513927</v>
      </c>
      <c r="EZ145" s="180">
        <f t="shared" ca="1" si="380"/>
        <v>13252.873708859785</v>
      </c>
      <c r="FA145" s="180">
        <f t="shared" ca="1" si="381"/>
        <v>165771.71922413452</v>
      </c>
      <c r="FB145" s="180">
        <f t="shared" ca="1" si="382"/>
        <v>428243.61257045239</v>
      </c>
      <c r="FC145" s="180">
        <f t="shared" ca="1" si="383"/>
        <v>676845.79247496091</v>
      </c>
      <c r="FD145" s="262">
        <f>IF(AX145,IF(VLOOKUP(C145,MAIN!$L$17:$M$28,2)="Yes",VLOOKUP(CALC!B145,MAIN!$H$17:$I$20,2),0),0)</f>
        <v>0</v>
      </c>
      <c r="FE145" s="623">
        <f t="shared" ref="FE145:FE208" si="456">$FD145*16*AT145*(1-$AY145)</f>
        <v>0</v>
      </c>
      <c r="FF145" s="535">
        <f t="shared" ref="FF145:FF208" si="457">$FD145*16*AU145*(1-$AY145)</f>
        <v>0</v>
      </c>
      <c r="FG145" s="535">
        <f t="shared" ref="FG145:FG208" si="458">$FD145*16*(AV145+AW145)*(1-$AY145)</f>
        <v>0</v>
      </c>
      <c r="FH145" s="624">
        <f t="shared" ref="FH145:FH208" si="459">$FD145*8*AX145*(1-$AY145)</f>
        <v>0</v>
      </c>
      <c r="FI145" s="632">
        <f>IF(AX145,VLOOKUP(CALC!B145,MAIN!$H$17:$K$20,4),0)</f>
        <v>0</v>
      </c>
      <c r="FJ145" s="535">
        <f t="shared" ref="FJ145:FJ208" si="460">SUM(FE145:FH145)</f>
        <v>0</v>
      </c>
      <c r="FK145" s="648">
        <f t="shared" si="335"/>
        <v>0</v>
      </c>
      <c r="FL145" s="530">
        <f t="shared" ca="1" si="384"/>
        <v>0</v>
      </c>
      <c r="FM145" s="530">
        <f t="shared" ca="1" si="385"/>
        <v>0</v>
      </c>
      <c r="FN145" s="530">
        <f t="shared" ca="1" si="386"/>
        <v>0</v>
      </c>
      <c r="FO145" s="622">
        <f t="shared" ca="1" si="387"/>
        <v>0</v>
      </c>
      <c r="FP145" s="530">
        <f t="shared" ca="1" si="388"/>
        <v>0</v>
      </c>
      <c r="FQ145" s="530">
        <f t="shared" ca="1" si="389"/>
        <v>0</v>
      </c>
      <c r="FR145" s="530">
        <f t="shared" ca="1" si="390"/>
        <v>0</v>
      </c>
      <c r="FS145" s="625">
        <f t="shared" ca="1" si="391"/>
        <v>0</v>
      </c>
      <c r="FT145" s="640">
        <f ca="1">IF(AND(Assumptions!$H$71="Yes",A145&gt;=Assumptions!$H$72,A145&lt;=Assumptions!$H$73),0,IF(AND($A145&gt;=Assumptions!$C$17,$A145&lt;=Assumptions!$C$18),MAX(AZ145*(1+VLOOKUP($C145,WeatherCapacityAdjustment,2))-FL145,0),0))</f>
        <v>48888</v>
      </c>
      <c r="FU145" s="530">
        <f ca="1">IF(AND(Assumptions!$H$71="Yes",A145&gt;=Assumptions!$H$72,A145&lt;=Assumptions!$H$73),0,IF(AND($A145&gt;=Assumptions!$C$17,$A145&lt;=Assumptions!$C$18),MAX(BA145*(1+VLOOKUP($C145,WeatherCapacityAdjustment,2))-FM145,0),0))</f>
        <v>9312</v>
      </c>
      <c r="FV145" s="530">
        <f ca="1">IF(AND(Assumptions!$H$71="Yes",A145&gt;=Assumptions!$H$72,A145&lt;=Assumptions!$H$73),0,IF(AND($A145&gt;=Assumptions!$C$17,$A145&lt;=Assumptions!$C$18),MAX(BB145*(1+VLOOKUP($C145,WeatherCapacityAdjustment,2))-FN145,0),0))</f>
        <v>13968</v>
      </c>
      <c r="FW145" s="622">
        <f ca="1">IF(AND(Assumptions!$H$71="Yes",A145&gt;=Assumptions!$H$72,A145&lt;=Assumptions!$H$73),0,IF(AND($A145&gt;=Assumptions!$C$17,$A145&lt;=Assumptions!$C$18),MAX(BC145*(1+VLOOKUP($C145,WeatherCapacityAdjustment,3))-FO145,0),0))</f>
        <v>36084</v>
      </c>
      <c r="FX145" s="621">
        <f ca="1">IF(AND(Assumptions!$H$71="Yes",A145&gt;=Assumptions!$H$72,A145&lt;=Assumptions!$H$73),0,IF(ET145&gt;0,MAX(BH145*(1+VLOOKUP($C145,WeatherCapacityAdjustment,2))-FP145,0),0))</f>
        <v>195552</v>
      </c>
      <c r="FY145" s="530">
        <f ca="1">IF(AND(Assumptions!$H$71="Yes",A145&gt;=Assumptions!$H$72,A145&lt;=Assumptions!$H$73),0,IF(EU145&gt;0,MAX(BI145*(1+VLOOKUP($C145,WeatherCapacityAdjustment,3))-FQ145,0),0))</f>
        <v>37248</v>
      </c>
      <c r="FZ145" s="530">
        <f ca="1">IF(AND(Assumptions!$H$71="Yes",A145&gt;=Assumptions!$H$72,A145&lt;=Assumptions!$H$73),0,IF(EV145&gt;0,MAX(BJ145*(1+VLOOKUP($C145,WeatherCapacityAdjustment,2))-FR145,0),0))</f>
        <v>55872</v>
      </c>
      <c r="GA145" s="622">
        <f ca="1">IF(AND(Assumptions!$H$71="Yes",A145&gt;=Assumptions!$H$72,A145&lt;=Assumptions!$H$73),0,IF(EW145&gt;0,MAX(BK145*(1+VLOOKUP($C145,WeatherCapacityAdjustment,2))-FS145,0),0))</f>
        <v>144336</v>
      </c>
      <c r="GB145" s="530">
        <f t="shared" ref="GB145:GB208" ca="1" si="461">SUM(FT145:GA145)</f>
        <v>541260</v>
      </c>
      <c r="GC145" s="545">
        <f t="shared" ref="GC145:GC208" ca="1" si="462">+IF(SUM(FT145:GA145)=0,0,(SUMPRODUCT(BU145:BX145,FT145:FW145)+SUMPRODUCT(CA145:CD145,FX145:GA145))/SUM(FT145:GA145))</f>
        <v>42.535576861214309</v>
      </c>
      <c r="GD145" s="530">
        <f t="shared" ca="1" si="392"/>
        <v>23022806.331900857</v>
      </c>
      <c r="GE145" s="1485">
        <f t="shared" ca="1" si="393"/>
        <v>768236.29848</v>
      </c>
      <c r="GF145" s="1776">
        <f t="shared" ca="1" si="394"/>
        <v>3072945.19392</v>
      </c>
      <c r="GG145" s="545">
        <f t="shared" si="359"/>
        <v>3.3236260820147701</v>
      </c>
      <c r="GH145" s="622">
        <f t="shared" ca="1" si="360"/>
        <v>12766650.993893059</v>
      </c>
      <c r="GI145" s="621">
        <f t="shared" ca="1" si="336"/>
        <v>541260</v>
      </c>
      <c r="GJ145" s="638">
        <f t="shared" ref="GJ145:GJ208" si="463">+DA145</f>
        <v>2.1089868858040774</v>
      </c>
      <c r="GK145" s="625">
        <f t="shared" ca="1" si="342"/>
        <v>1141510.2418103151</v>
      </c>
      <c r="GL145" s="640">
        <f t="shared" ca="1" si="395"/>
        <v>0</v>
      </c>
      <c r="GM145" s="530">
        <f t="shared" ca="1" si="396"/>
        <v>0</v>
      </c>
      <c r="GN145" s="530">
        <f t="shared" ca="1" si="397"/>
        <v>0</v>
      </c>
      <c r="GO145" s="622">
        <f t="shared" ca="1" si="398"/>
        <v>0</v>
      </c>
      <c r="GP145" s="530">
        <f t="shared" ref="GP145:GP208" ca="1" si="464">SUM(GL145:GO145)</f>
        <v>0</v>
      </c>
      <c r="GQ145" s="545">
        <f t="shared" ref="GQ145:GQ208" ca="1" si="465">IF(SUM(GL145:GO145)=0,0,((GL145*BU145+GM145*BV145+GN145*BW145+GO145*BX145)/SUM(GL145:GO145)))</f>
        <v>0</v>
      </c>
      <c r="GR145" s="625">
        <f t="shared" ca="1" si="399"/>
        <v>0</v>
      </c>
      <c r="GS145" s="640">
        <f>IF($A145&gt;=BegDate,Assumptions!$C$56*24*($A146-$A145)*(1-VLOOKUP($B145,MAIN!$AA$7:$AM$28,$C145+1))*(1-VLOOKUP($B145,MAIN!$AA$33:$AM$54,$C145+1)),0)*80/168</f>
        <v>257742.85714285713</v>
      </c>
      <c r="GT145" s="1715">
        <f t="shared" si="337"/>
        <v>53.549271701648358</v>
      </c>
      <c r="GU145" s="1715">
        <f>IF($A145&gt;=BegDate,VLOOKUP($A145,GasTable,13)+Assumptions!$C$58,0)</f>
        <v>3.3236260820147701</v>
      </c>
      <c r="GV145" s="1715">
        <f>GU145*Assumptions!$C$57/1000</f>
        <v>24.096289094607084</v>
      </c>
      <c r="GW145" s="625">
        <f>IF(Assumptions!$C$60="Hourly",MAX(0,GS145*(GT145-GV145)),GS145*(GT145-GV145))</f>
        <v>7591295.8885176945</v>
      </c>
      <c r="GX145" s="640">
        <f>IF($A145&gt;=BegDate,Assumptions!$C$56*24*($A146-$A145)*(1-VLOOKUP($B145,MAIN!$AA$7:$AM$28,$C145+1))*(1-VLOOKUP($B145,MAIN!$AA$33:$AM$54,$C145+1)),0)*16/168</f>
        <v>51548.571428571428</v>
      </c>
      <c r="GY145" s="1715">
        <f t="shared" si="338"/>
        <v>53.549271701648358</v>
      </c>
      <c r="GZ145" s="1715">
        <f>IF($A145&gt;=BegDate,VLOOKUP($A145,GasTable,13)+Assumptions!$C$58,0)</f>
        <v>3.3236260820147701</v>
      </c>
      <c r="HA145" s="1715">
        <f>GZ145*Assumptions!$C$57/1000</f>
        <v>24.096289094607084</v>
      </c>
      <c r="HB145" s="625">
        <f>IF(Assumptions!$C$60="Hourly",MAX(0,GX145*(GY145-HA145)),GX145*(GY145-HA145))</f>
        <v>1518259.1777035391</v>
      </c>
      <c r="HC145" s="640">
        <f>IF($A145&gt;=BegDate,Assumptions!$C$56*24*($A146-$A145)*(1-VLOOKUP($B145,MAIN!$AA$7:$AM$28,$C145+1))*(1-VLOOKUP($B145,MAIN!$AA$33:$AM$54,$C145+1)),0)*16/168</f>
        <v>51548.571428571428</v>
      </c>
      <c r="HD145" s="1715">
        <f t="shared" si="339"/>
        <v>29.728955376285292</v>
      </c>
      <c r="HE145" s="1715">
        <f>IF($A145&gt;=BegDate,VLOOKUP($A145,GasTable,13)+Assumptions!$C$58,0)</f>
        <v>3.3236260820147701</v>
      </c>
      <c r="HF145" s="1715">
        <f>HE145*Assumptions!$C$57/1000</f>
        <v>24.096289094607084</v>
      </c>
      <c r="HG145" s="625">
        <f>IF(Assumptions!$C$60="Hourly",MAX(0,HC145*(HD145-HF145)),HC145*(HD145-HF145))</f>
        <v>290355.90015439497</v>
      </c>
      <c r="HH145" s="640">
        <f>IF($A145&gt;=BegDate,Assumptions!$C$56*24*($A146-$A145)*(1-VLOOKUP($B145,MAIN!$AA$7:$AM$28,$C145+1))*(1-VLOOKUP($B145,MAIN!$AA$33:$AM$54,$C145+1)),0)*56/168</f>
        <v>180420</v>
      </c>
      <c r="HI145" s="1715">
        <f t="shared" si="340"/>
        <v>29.728955376285292</v>
      </c>
      <c r="HJ145" s="1715">
        <f>IF($A145&gt;=BegDate,VLOOKUP($A145,GasTable,13)+Assumptions!$C$58,0)</f>
        <v>3.3236260820147701</v>
      </c>
      <c r="HK145" s="1715">
        <f>HJ145*Assumptions!$C$57/1000</f>
        <v>24.096289094607084</v>
      </c>
      <c r="HL145" s="625">
        <f>IF(Assumptions!$C$60="Hourly",MAX(0,HH145*(HI145-HK145)),HH145*(HI145-HK145))</f>
        <v>1016245.6505403824</v>
      </c>
      <c r="HM145" s="640">
        <f>IF(AND(Assumptions!$H$71="Yes",A145&gt;=Assumptions!$H$72,A145&lt;=Assumptions!$H$73),Assumptions!$H$74*Assumptions!$C$9*1000,0)</f>
        <v>0</v>
      </c>
      <c r="HN145" s="530"/>
      <c r="HO145" s="545"/>
      <c r="HP145" s="545"/>
      <c r="HQ145" s="545"/>
      <c r="HR145" s="545"/>
      <c r="HS145" s="545"/>
      <c r="HT145" s="545"/>
      <c r="HU145" s="545"/>
      <c r="HV145" s="545"/>
      <c r="HW145" s="545"/>
      <c r="HX145" s="545"/>
      <c r="HY145" s="545"/>
      <c r="HZ145" s="545"/>
      <c r="IA145" s="545"/>
      <c r="IB145" s="545"/>
      <c r="IC145" s="545"/>
      <c r="ID145" s="545"/>
      <c r="IE145" s="545"/>
      <c r="IF145" s="545"/>
      <c r="IG145" s="545"/>
      <c r="IH145" s="545"/>
      <c r="II145" s="1464"/>
      <c r="IJ145" s="1463"/>
      <c r="IK145" s="1463"/>
    </row>
    <row r="146" spans="1:245">
      <c r="A146" s="177">
        <f t="shared" ref="A146:A209" si="466">EOMONTH(A145,0)+1</f>
        <v>40575</v>
      </c>
      <c r="B146" s="349">
        <f t="shared" ref="B146:B209" si="467">+YEAR(A146)</f>
        <v>2011</v>
      </c>
      <c r="C146" s="15">
        <f t="shared" si="407"/>
        <v>2</v>
      </c>
      <c r="D146" s="612" t="str">
        <f t="shared" ref="D146:D209" si="468">IF(E146="","",Holiday(B146,C146))</f>
        <v/>
      </c>
      <c r="E146" s="609">
        <f t="shared" si="408"/>
        <v>40575</v>
      </c>
      <c r="F146" s="614">
        <f t="shared" si="409"/>
        <v>40602</v>
      </c>
      <c r="G146" s="1349">
        <v>0</v>
      </c>
      <c r="H146" s="152">
        <f t="shared" si="341"/>
        <v>1</v>
      </c>
      <c r="I146" s="154">
        <f>IF(Assumptions!$L$25=4,VLOOKUP($A146,'Henwood Reference'!$E$9:$R$320,10),(VLOOKUP($A146,PriceTable,2,0)+IF(BasisNumber&lt;&gt;1,VLOOKUP($A146,BasisTable,2,0),0)+I$1)/(1-I$2))</f>
        <v>46.028722197323297</v>
      </c>
      <c r="J146" s="154">
        <f>IF(Assumptions!$L$25=4,VLOOKUP($A146,'Henwood Reference'!$E$9:$R$320,10),(VLOOKUP($A146,PriceTable,3,0)+IF(BasisNumber&lt;&gt;1,VLOOKUP($A146,BasisTable,2,0),0)+J$1)/(1-J$2))</f>
        <v>46.028722197323297</v>
      </c>
      <c r="K146" s="154">
        <f>IF(Assumptions!$L$25=4,VLOOKUP($A146,'Henwood Reference'!$E$9:$R$320,10),(VLOOKUP($A146,PriceTable,4,0)+IF(BasisNumber&lt;&gt;1,VLOOKUP($A146,BasisTable,2,0),0)+K$1)/(1-K$2))</f>
        <v>46.028722197323297</v>
      </c>
      <c r="L146" s="474">
        <f>IF(Assumptions!$L$25=4,VLOOKUP($A146,'Henwood Reference'!$E$9:$R$320,10),(VLOOKUP($A146,PriceTableWeekend,2,0)+IF(BasisNumber&lt;&gt;1,VLOOKUP($A146,BasisTable,2,0),0)+L$1)/(1-L$2))</f>
        <v>46.028722197323297</v>
      </c>
      <c r="M146" s="154">
        <f>IF(Assumptions!$L$25=4,VLOOKUP($A146,'Henwood Reference'!$E$9:$R$320,10),(VLOOKUP($A146,PriceTableWeekend,3,0)+IF(BasisNumber&lt;&gt;1,VLOOKUP($A146,BasisTable,2,0),0)+M$1)/(1-M$2))</f>
        <v>46.028722197323297</v>
      </c>
      <c r="N146" s="156">
        <f>IF(Assumptions!$L$25=4,VLOOKUP($A146,'Henwood Reference'!$E$9:$R$320,10),(VLOOKUP($A146,PriceTableWeekend,4,0)+IF(BasisNumber&lt;&gt;1,VLOOKUP($A146,BasisTable,2,0),0)+N$1)/(1-N$2))</f>
        <v>46.028722197323297</v>
      </c>
      <c r="O146" s="154">
        <f>IF(Assumptions!$L$25=4,VLOOKUP($A146,'Henwood Reference'!$E$9:$R$320,11),(VLOOKUP($A146,PriceTableWeekend,6,0)+IF(BasisNumber&lt;&gt;1,VLOOKUP($A146,BasisTable,3,0),0)+O$1)/(1-O$2))</f>
        <v>28.053632833154335</v>
      </c>
      <c r="P146" s="154">
        <f>IF(Assumptions!$L$25=4,VLOOKUP($A146,'Henwood Reference'!$E$9:$R$320,11),(VLOOKUP($A146,PriceTableWeekend,7,0)+IF(BasisNumber&lt;&gt;1,VLOOKUP($A146,BasisTable,3,0),0)+P$1)/(1-P$2))</f>
        <v>28.053632833154335</v>
      </c>
      <c r="Q146" s="156">
        <f>IF(Assumptions!$L$25=4,VLOOKUP($A146,'Henwood Reference'!$E$9:$R$320,11),(VLOOKUP($A146,PriceTableWeekend,8,0)+IF(BasisNumber&lt;&gt;1,VLOOKUP($A146,BasisTable,3,0),0)+Q$1)/(1-Q$2))</f>
        <v>28.053632833154335</v>
      </c>
      <c r="R146" s="154">
        <f>IF(Assumptions!$L$25=4,VLOOKUP($A146,'Henwood Reference'!$E$9:$R$320,11),(VLOOKUP($A146,PriceTable,6,0)+IF(BasisNumber&lt;&gt;1,VLOOKUP($A146,BasisTable,3,0),0)+R$1)/(1-R$2))</f>
        <v>28.053632833154335</v>
      </c>
      <c r="S146" s="154">
        <f>IF(Assumptions!$L$25=4,VLOOKUP($A146,'Henwood Reference'!$E$9:$R$320,11),(VLOOKUP($A146,PriceTable,7,0)+IF(BasisNumber&lt;&gt;1,VLOOKUP($A146,BasisTable,3,0),0)+S$1)/(1-S$2))</f>
        <v>28.053632833154335</v>
      </c>
      <c r="T146" s="155">
        <f>IF(Assumptions!$L$25=4,VLOOKUP($A146,'Henwood Reference'!$E$9:$R$320,11),(VLOOKUP($A146,PriceTable,8,0)+IF(BasisNumber&lt;&gt;1,VLOOKUP($A146,BasisTable,3,0),0)+T$1)/(1-T$2))</f>
        <v>28.053632833154335</v>
      </c>
      <c r="U146" s="173">
        <f t="shared" ref="U146:U209" si="469">VLOOKUP($A146,VolatilityTable,14)</f>
        <v>0.115</v>
      </c>
      <c r="V146" s="173">
        <f t="shared" ref="V146:V209" si="470">VLOOKUP($A146,VolatilityTable,15)</f>
        <v>0.125</v>
      </c>
      <c r="W146" s="174">
        <f t="shared" ref="W146:W209" si="471">VLOOKUP($A146,VolatilityTable,16)</f>
        <v>0.13500000000000001</v>
      </c>
      <c r="X146" s="173">
        <f t="shared" ref="X146:X209" si="472">VLOOKUP($A146,VolatilityTable,14)</f>
        <v>0.115</v>
      </c>
      <c r="Y146" s="173">
        <f t="shared" ref="Y146:Y209" si="473">VLOOKUP($A146,VolatilityTable,15)</f>
        <v>0.125</v>
      </c>
      <c r="Z146" s="174">
        <f t="shared" ref="Z146:Z209" si="474">VLOOKUP($A146,VolatilityTable,16)</f>
        <v>0.13500000000000001</v>
      </c>
      <c r="AA146" s="173">
        <f t="shared" ref="AA146:AA209" si="475">VLOOKUP($A146,VolatilityTable,18)</f>
        <v>0.09</v>
      </c>
      <c r="AB146" s="173">
        <f t="shared" ref="AB146:AB209" si="476">VLOOKUP($A146,VolatilityTable,19)</f>
        <v>0.11</v>
      </c>
      <c r="AC146" s="174">
        <f t="shared" ref="AC146:AC209" si="477">VLOOKUP($A146,VolatilityTable,20)</f>
        <v>0.13</v>
      </c>
      <c r="AD146" s="173">
        <f t="shared" ref="AD146:AD209" si="478">VLOOKUP($A146,VolatilityTable,18)</f>
        <v>0.09</v>
      </c>
      <c r="AE146" s="173">
        <f t="shared" ref="AE146:AE209" si="479">VLOOKUP($A146,VolatilityTable,19)</f>
        <v>0.11</v>
      </c>
      <c r="AF146" s="174">
        <f t="shared" ref="AF146:AF209" si="480">VLOOKUP($A146,VolatilityTable,20)</f>
        <v>0.13</v>
      </c>
      <c r="AG146" s="173">
        <f t="shared" ref="AG146:AG209" si="481">VLOOKUP($A146,VolatilityTable,22)</f>
        <v>-0.25</v>
      </c>
      <c r="AH146" s="173">
        <f t="shared" ref="AH146:AH209" si="482">VLOOKUP($A146,VolatilityTable,23)</f>
        <v>0.65</v>
      </c>
      <c r="AI146" s="174">
        <f t="shared" ref="AI146:AI209" si="483">VLOOKUP($A146,VolatilityTable,24)</f>
        <v>0.25</v>
      </c>
      <c r="AJ146" s="173">
        <f t="shared" ref="AJ146:AJ209" si="484">VLOOKUP($A146,VolatilityTable,22)</f>
        <v>-0.25</v>
      </c>
      <c r="AK146" s="173">
        <f t="shared" ref="AK146:AK209" si="485">VLOOKUP($A146,VolatilityTable,23)</f>
        <v>0.65</v>
      </c>
      <c r="AL146" s="174">
        <f t="shared" ref="AL146:AL209" si="486">VLOOKUP($A146,VolatilityTable,24)</f>
        <v>0.25</v>
      </c>
      <c r="AM146" s="173">
        <f t="shared" ref="AM146:AM209" si="487">VLOOKUP($A146,VolatilityTable,26)</f>
        <v>-0.01</v>
      </c>
      <c r="AN146" s="173">
        <f t="shared" ref="AN146:AN209" si="488">VLOOKUP($A146,VolatilityTable,27)</f>
        <v>0.16</v>
      </c>
      <c r="AO146" s="174">
        <f t="shared" ref="AO146:AO209" si="489">VLOOKUP($A146,VolatilityTable,28)</f>
        <v>0.01</v>
      </c>
      <c r="AP146" s="173">
        <f t="shared" ref="AP146:AP209" si="490">VLOOKUP($A146,VolatilityTable,26)</f>
        <v>-0.01</v>
      </c>
      <c r="AQ146" s="173">
        <f t="shared" ref="AQ146:AQ209" si="491">VLOOKUP($A146,VolatilityTable,27)</f>
        <v>0.16</v>
      </c>
      <c r="AR146" s="175">
        <f t="shared" ref="AR146:AR209" si="492">VLOOKUP($A146,VolatilityTable,28)</f>
        <v>0.01</v>
      </c>
      <c r="AS146" s="521">
        <f t="shared" ref="AS146:AS161" si="493">IF(CorrPeakOffPeakOverFlag,INDEX(CorrPeakOffPeakOver,C146),CorrPeakOffPeak)</f>
        <v>0.5</v>
      </c>
      <c r="AT146" s="349">
        <f t="shared" si="410"/>
        <v>20</v>
      </c>
      <c r="AU146" s="159">
        <f t="shared" si="411"/>
        <v>4</v>
      </c>
      <c r="AV146" s="159">
        <f t="shared" si="412"/>
        <v>4</v>
      </c>
      <c r="AW146" s="159">
        <f t="shared" ref="AW146:AW161" si="494">IF(OR(E146="",D146="",D146&lt;BegDate,D146&gt;EndDate),0,1)</f>
        <v>0</v>
      </c>
      <c r="AX146" s="15">
        <f t="shared" si="413"/>
        <v>28</v>
      </c>
      <c r="AY146" s="607">
        <f>IF(E146="",0,MIN((1-(1-VLOOKUP(B146,MAIN!$AA$7:$AM$28,C146+1))*(1-VLOOKUP(B146,MAIN!$AA$33:$AM$54,C146+1))),1))</f>
        <v>3.0000000000000027E-2</v>
      </c>
      <c r="AZ146" s="337">
        <v>46560</v>
      </c>
      <c r="BA146" s="509">
        <v>9312</v>
      </c>
      <c r="BB146" s="509">
        <v>9312</v>
      </c>
      <c r="BC146" s="511">
        <v>32592</v>
      </c>
      <c r="BD146" s="153">
        <v>0.97</v>
      </c>
      <c r="BE146" s="474">
        <v>0.97</v>
      </c>
      <c r="BF146" s="474">
        <v>0.97</v>
      </c>
      <c r="BG146" s="515">
        <v>0.9699999927729368</v>
      </c>
      <c r="BH146" s="262">
        <v>186240</v>
      </c>
      <c r="BI146" s="509">
        <v>37248</v>
      </c>
      <c r="BJ146" s="509">
        <v>37248</v>
      </c>
      <c r="BK146" s="511">
        <v>130368</v>
      </c>
      <c r="BL146" s="153">
        <v>0.97</v>
      </c>
      <c r="BM146" s="474">
        <v>0.97</v>
      </c>
      <c r="BN146" s="474">
        <v>0.97</v>
      </c>
      <c r="BO146" s="474">
        <v>0.9699999927729368</v>
      </c>
      <c r="BP146" s="261">
        <f t="shared" ref="BP146:BP209" si="495">SUM(AZ146:BB146)</f>
        <v>65184</v>
      </c>
      <c r="BQ146" s="578">
        <f t="shared" ref="BQ146:BQ209" si="496">SUM(AZ146:BC146)</f>
        <v>97776</v>
      </c>
      <c r="BR146" s="259">
        <f t="shared" ref="BR146:BR209" si="497">SUM(BH146:BJ146)</f>
        <v>260736</v>
      </c>
      <c r="BS146" s="578">
        <f t="shared" ref="BS146:BS209" si="498">SUM(BH146:BK146)</f>
        <v>391104</v>
      </c>
      <c r="BT146" s="216">
        <f t="shared" ref="BT146:BT209" si="499">(IF(OVolType&lt;&gt;2,A146+14,IF(OptExpDateShift,ShiftBack(A146,OptExpDateShift,D145),A146))-DateToday)/365.25</f>
        <v>10.80082135523614</v>
      </c>
      <c r="BU146" s="218">
        <f t="shared" si="414"/>
        <v>46.028722197323297</v>
      </c>
      <c r="BV146" s="216">
        <f t="shared" si="415"/>
        <v>46.028722197323297</v>
      </c>
      <c r="BW146" s="216">
        <f t="shared" si="416"/>
        <v>28.053632833154335</v>
      </c>
      <c r="BX146" s="216">
        <f t="shared" ref="BX146:BX209" si="500">IF(BQ146,IF(OPriceCurve,IF(OBuySell=OCallPut,R146/(1-AY146),T146/(1-AY146)),S146/(1-AY146))*BG146,0)</f>
        <v>28.053632624138483</v>
      </c>
      <c r="BY146" s="216">
        <f t="shared" si="417"/>
        <v>43.460852288156303</v>
      </c>
      <c r="BZ146" s="216">
        <f t="shared" si="418"/>
        <v>38.32511240015036</v>
      </c>
      <c r="CA146" s="264">
        <f t="shared" si="419"/>
        <v>46.028722197323297</v>
      </c>
      <c r="CB146" s="216">
        <f t="shared" si="420"/>
        <v>46.028722197323297</v>
      </c>
      <c r="CC146" s="216">
        <f t="shared" si="421"/>
        <v>28.053632833154335</v>
      </c>
      <c r="CD146" s="216">
        <f t="shared" ref="CD146:CD209" si="501">IF(BS146,IF(OPriceCurve,IF(OBuySell=OCallPut,R146/(1-AY146),T146/(1-AY146)),S146/(1-AY146))*BO146,0)</f>
        <v>28.053632624138483</v>
      </c>
      <c r="CE146" s="216">
        <f t="shared" si="422"/>
        <v>43.460852288156303</v>
      </c>
      <c r="CF146" s="571">
        <f t="shared" si="423"/>
        <v>38.32511240015036</v>
      </c>
      <c r="CG146" s="573">
        <f t="shared" si="424"/>
        <v>0.125</v>
      </c>
      <c r="CH146" s="219">
        <f t="shared" si="425"/>
        <v>0.125</v>
      </c>
      <c r="CI146" s="219">
        <f t="shared" si="426"/>
        <v>0.11</v>
      </c>
      <c r="CJ146" s="219">
        <f t="shared" si="427"/>
        <v>0.12362931768858205</v>
      </c>
      <c r="CK146" s="219">
        <f t="shared" si="428"/>
        <v>0.12362931768858205</v>
      </c>
      <c r="CL146" s="219">
        <f t="shared" si="429"/>
        <v>0.11</v>
      </c>
      <c r="CM146" s="219">
        <f t="shared" si="430"/>
        <v>0.10977715432712799</v>
      </c>
      <c r="CN146" s="569">
        <f t="shared" si="431"/>
        <v>0.10977715432712799</v>
      </c>
      <c r="CO146" s="264">
        <f t="shared" si="343"/>
        <v>21.757702536597478</v>
      </c>
      <c r="CP146" s="216">
        <f t="shared" ref="CP146:CP209" si="502">IF(OR(BQ146,BS146),VLOOKUP(A146,GasTable,13)*HeatRatePeak*(1+VLOOKUP($B146,HeatRateDegradation,$C146+1))/1000,0)</f>
        <v>21.757702536597478</v>
      </c>
      <c r="CQ146" s="216">
        <f t="shared" ca="1" si="361"/>
        <v>21.757702536597478</v>
      </c>
      <c r="CR146" s="216">
        <f t="shared" ca="1" si="362"/>
        <v>21.757702536597478</v>
      </c>
      <c r="CS146" s="1626">
        <f t="shared" ca="1" si="363"/>
        <v>21.757702536597481</v>
      </c>
      <c r="CT146" s="216">
        <f t="shared" ref="CT146:CT209" si="503">IF(BS146,CO146,0)</f>
        <v>21.757702536597478</v>
      </c>
      <c r="CU146" s="575">
        <f t="shared" si="432"/>
        <v>0.157</v>
      </c>
      <c r="CV146" s="154">
        <f t="shared" si="433"/>
        <v>0.5</v>
      </c>
      <c r="CW146" s="216">
        <f>IF(OR($BQ146,$BS146),SpreadOptPowerMargin,0)*((1+Assumptions!$C$26)^($B146-YEAR(Assumptions!$C$17)))</f>
        <v>2.1089868858040779</v>
      </c>
      <c r="CX146" s="216">
        <f>IF(OR($BQ146,$BS146),SpreadOptPowerMargin,0)*((1+Assumptions!$C$26)^($B146-YEAR(Assumptions!$C$17)))</f>
        <v>2.1089868858040779</v>
      </c>
      <c r="CY146" s="216">
        <f>IF(OR($BQ146,$BS146),SpreadOptPowerMargin,0)*((1+Assumptions!$C$26)^($B146-YEAR(Assumptions!$C$17)))</f>
        <v>2.1089868858040779</v>
      </c>
      <c r="CZ146" s="216">
        <f>IF(OR($BQ146,$BS146),SpreadOptPowerMargin,0)*((1+Assumptions!$C$26)^($B146-YEAR(Assumptions!$C$17)))</f>
        <v>2.1089868858040779</v>
      </c>
      <c r="DA146" s="440">
        <f t="shared" si="434"/>
        <v>2.1089868858040779</v>
      </c>
      <c r="DB146" s="479">
        <f t="shared" si="435"/>
        <v>0.125</v>
      </c>
      <c r="DC146" s="479">
        <f t="shared" si="436"/>
        <v>0.125</v>
      </c>
      <c r="DD146" s="479">
        <f t="shared" si="437"/>
        <v>0.11</v>
      </c>
      <c r="DE146" s="479">
        <f t="shared" si="438"/>
        <v>0.11</v>
      </c>
      <c r="DF146" s="479">
        <f t="shared" si="439"/>
        <v>0.10977715432712799</v>
      </c>
      <c r="DG146" s="574">
        <f t="shared" si="440"/>
        <v>0.10977715432712799</v>
      </c>
      <c r="DH146" s="216">
        <f t="shared" si="441"/>
        <v>22.625241296098466</v>
      </c>
      <c r="DI146" s="216">
        <f t="shared" si="442"/>
        <v>22.625241296098466</v>
      </c>
      <c r="DJ146" s="216">
        <f t="shared" ca="1" si="364"/>
        <v>6.7956298242127628</v>
      </c>
      <c r="DK146" s="216">
        <f t="shared" ca="1" si="365"/>
        <v>6.7956296723319634</v>
      </c>
      <c r="DL146" s="216">
        <f t="shared" ca="1" si="366"/>
        <v>15.340539064206984</v>
      </c>
      <c r="DM146" s="216"/>
      <c r="DN146" s="216"/>
      <c r="DO146" s="216"/>
      <c r="DP146" s="216"/>
      <c r="DQ146" s="216"/>
      <c r="DR146" s="216"/>
      <c r="DS146" s="216"/>
      <c r="DT146" s="216"/>
      <c r="DU146" s="216"/>
      <c r="DV146" s="216"/>
      <c r="DW146" s="1371">
        <f t="shared" si="443"/>
        <v>6.7956298242127628</v>
      </c>
      <c r="DX146" s="216">
        <f t="shared" si="444"/>
        <v>6.7956296723319634</v>
      </c>
      <c r="DY146" s="440">
        <f t="shared" si="445"/>
        <v>15.841122043234805</v>
      </c>
      <c r="DZ146" s="180">
        <f t="shared" si="446"/>
        <v>1053431.2347463446</v>
      </c>
      <c r="EA146" s="180">
        <f t="shared" si="447"/>
        <v>210686.24694926891</v>
      </c>
      <c r="EB146" s="180">
        <f t="shared" ca="1" si="367"/>
        <v>63280.904923069247</v>
      </c>
      <c r="EC146" s="180">
        <f t="shared" ca="1" si="368"/>
        <v>221483.16228064336</v>
      </c>
      <c r="ED146" s="180">
        <f t="shared" ca="1" si="369"/>
        <v>1499936.5475419022</v>
      </c>
      <c r="EE146" s="581">
        <f t="shared" si="448"/>
        <v>1031864.2460003563</v>
      </c>
      <c r="EF146" s="554">
        <f t="shared" si="449"/>
        <v>206372.84920007124</v>
      </c>
      <c r="EG146" s="554">
        <f t="shared" ca="1" si="370"/>
        <v>38988.817040929876</v>
      </c>
      <c r="EH146" s="554">
        <f t="shared" ca="1" si="371"/>
        <v>136460.85283100992</v>
      </c>
      <c r="EI146" s="561">
        <f t="shared" ca="1" si="450"/>
        <v>1413686.7650723667</v>
      </c>
      <c r="EJ146" s="581">
        <f t="shared" ref="EJ146:EJ209" si="504">DZ146-EE146</f>
        <v>21566.988745988347</v>
      </c>
      <c r="EK146" s="554">
        <f t="shared" ref="EK146:EK209" si="505">EA146-EF146</f>
        <v>4313.3977491976693</v>
      </c>
      <c r="EL146" s="554">
        <f t="shared" ca="1" si="372"/>
        <v>24292.087882139371</v>
      </c>
      <c r="EM146" s="554">
        <f t="shared" ca="1" si="373"/>
        <v>85022.309449633438</v>
      </c>
      <c r="EN146" s="561">
        <f t="shared" ca="1" si="374"/>
        <v>86249.782469535479</v>
      </c>
      <c r="EO146" s="180">
        <f t="shared" si="451"/>
        <v>4213724.9389853785</v>
      </c>
      <c r="EP146" s="180">
        <f t="shared" si="452"/>
        <v>842744.98779707565</v>
      </c>
      <c r="EQ146" s="180">
        <f t="shared" si="453"/>
        <v>253123.61969227699</v>
      </c>
      <c r="ER146" s="180">
        <f t="shared" si="454"/>
        <v>885932.64912257344</v>
      </c>
      <c r="ES146" s="180">
        <f t="shared" si="455"/>
        <v>6195526.195597305</v>
      </c>
      <c r="ET146" s="1482">
        <f t="shared" ca="1" si="375"/>
        <v>4127456.9840014251</v>
      </c>
      <c r="EU146" s="180">
        <f t="shared" ca="1" si="376"/>
        <v>825491.39680028497</v>
      </c>
      <c r="EV146" s="180">
        <f t="shared" ca="1" si="377"/>
        <v>155955.26816371951</v>
      </c>
      <c r="EW146" s="180">
        <f t="shared" ca="1" si="378"/>
        <v>545843.41132403968</v>
      </c>
      <c r="EX146" s="555">
        <f t="shared" ca="1" si="351"/>
        <v>5654747.0602894695</v>
      </c>
      <c r="EY146" s="180">
        <f t="shared" ca="1" si="379"/>
        <v>86267.954983953387</v>
      </c>
      <c r="EZ146" s="180">
        <f t="shared" ca="1" si="380"/>
        <v>17253.590996790677</v>
      </c>
      <c r="FA146" s="180">
        <f t="shared" ca="1" si="381"/>
        <v>97168.351528557483</v>
      </c>
      <c r="FB146" s="180">
        <f t="shared" ca="1" si="382"/>
        <v>340089.23779853375</v>
      </c>
      <c r="FC146" s="180">
        <f t="shared" ca="1" si="383"/>
        <v>540779.13530783542</v>
      </c>
      <c r="FD146" s="262">
        <f>IF(AX146,IF(VLOOKUP(C146,MAIN!$L$17:$M$28,2)="Yes",VLOOKUP(CALC!B146,MAIN!$H$17:$I$20,2),0),0)</f>
        <v>0</v>
      </c>
      <c r="FE146" s="623">
        <f t="shared" si="456"/>
        <v>0</v>
      </c>
      <c r="FF146" s="535">
        <f t="shared" si="457"/>
        <v>0</v>
      </c>
      <c r="FG146" s="535">
        <f t="shared" si="458"/>
        <v>0</v>
      </c>
      <c r="FH146" s="624">
        <f t="shared" si="459"/>
        <v>0</v>
      </c>
      <c r="FI146" s="632">
        <f>IF(AX146,VLOOKUP(CALC!B146,MAIN!$H$17:$K$20,4),0)</f>
        <v>0</v>
      </c>
      <c r="FJ146" s="535">
        <f t="shared" si="460"/>
        <v>0</v>
      </c>
      <c r="FK146" s="648">
        <f t="shared" ref="FK146:FK209" si="506">FI146*FJ146</f>
        <v>0</v>
      </c>
      <c r="FL146" s="530">
        <f t="shared" ca="1" si="384"/>
        <v>0</v>
      </c>
      <c r="FM146" s="530">
        <f t="shared" ca="1" si="385"/>
        <v>0</v>
      </c>
      <c r="FN146" s="530">
        <f t="shared" ca="1" si="386"/>
        <v>0</v>
      </c>
      <c r="FO146" s="622">
        <f t="shared" ca="1" si="387"/>
        <v>0</v>
      </c>
      <c r="FP146" s="530">
        <f t="shared" ca="1" si="388"/>
        <v>0</v>
      </c>
      <c r="FQ146" s="530">
        <f t="shared" ca="1" si="389"/>
        <v>0</v>
      </c>
      <c r="FR146" s="530">
        <f t="shared" ca="1" si="390"/>
        <v>0</v>
      </c>
      <c r="FS146" s="625">
        <f t="shared" ca="1" si="391"/>
        <v>0</v>
      </c>
      <c r="FT146" s="640">
        <f ca="1">IF(AND(Assumptions!$H$71="Yes",A146&gt;=Assumptions!$H$72,A146&lt;=Assumptions!$H$73),0,IF(AND($A146&gt;=Assumptions!$C$17,$A146&lt;=Assumptions!$C$18),MAX(AZ146*(1+VLOOKUP($C146,WeatherCapacityAdjustment,2))-FL146,0),0))</f>
        <v>46560</v>
      </c>
      <c r="FU146" s="530">
        <f ca="1">IF(AND(Assumptions!$H$71="Yes",A146&gt;=Assumptions!$H$72,A146&lt;=Assumptions!$H$73),0,IF(AND($A146&gt;=Assumptions!$C$17,$A146&lt;=Assumptions!$C$18),MAX(BA146*(1+VLOOKUP($C146,WeatherCapacityAdjustment,2))-FM146,0),0))</f>
        <v>9312</v>
      </c>
      <c r="FV146" s="530">
        <f ca="1">IF(AND(Assumptions!$H$71="Yes",A146&gt;=Assumptions!$H$72,A146&lt;=Assumptions!$H$73),0,IF(AND($A146&gt;=Assumptions!$C$17,$A146&lt;=Assumptions!$C$18),MAX(BB146*(1+VLOOKUP($C146,WeatherCapacityAdjustment,2))-FN146,0),0))</f>
        <v>9312</v>
      </c>
      <c r="FW146" s="622">
        <f ca="1">IF(AND(Assumptions!$H$71="Yes",A146&gt;=Assumptions!$H$72,A146&lt;=Assumptions!$H$73),0,IF(AND($A146&gt;=Assumptions!$C$17,$A146&lt;=Assumptions!$C$18),MAX(BC146*(1+VLOOKUP($C146,WeatherCapacityAdjustment,3))-FO146,0),0))</f>
        <v>32592</v>
      </c>
      <c r="FX146" s="621">
        <f ca="1">IF(AND(Assumptions!$H$71="Yes",A146&gt;=Assumptions!$H$72,A146&lt;=Assumptions!$H$73),0,IF(ET146&gt;0,MAX(BH146*(1+VLOOKUP($C146,WeatherCapacityAdjustment,2))-FP146,0),0))</f>
        <v>186240</v>
      </c>
      <c r="FY146" s="530">
        <f ca="1">IF(AND(Assumptions!$H$71="Yes",A146&gt;=Assumptions!$H$72,A146&lt;=Assumptions!$H$73),0,IF(EU146&gt;0,MAX(BI146*(1+VLOOKUP($C146,WeatherCapacityAdjustment,3))-FQ146,0),0))</f>
        <v>37248</v>
      </c>
      <c r="FZ146" s="530">
        <f ca="1">IF(AND(Assumptions!$H$71="Yes",A146&gt;=Assumptions!$H$72,A146&lt;=Assumptions!$H$73),0,IF(EV146&gt;0,MAX(BJ146*(1+VLOOKUP($C146,WeatherCapacityAdjustment,2))-FR146,0),0))</f>
        <v>37248</v>
      </c>
      <c r="GA146" s="622">
        <f ca="1">IF(AND(Assumptions!$H$71="Yes",A146&gt;=Assumptions!$H$72,A146&lt;=Assumptions!$H$73),0,IF(EW146&gt;0,MAX(BK146*(1+VLOOKUP($C146,WeatherCapacityAdjustment,2))-FS146,0),0))</f>
        <v>130368</v>
      </c>
      <c r="GB146" s="530">
        <f t="shared" ca="1" si="461"/>
        <v>488880</v>
      </c>
      <c r="GC146" s="545">
        <f t="shared" ca="1" si="462"/>
        <v>38.32511240015036</v>
      </c>
      <c r="GD146" s="530">
        <f t="shared" ca="1" si="392"/>
        <v>18736380.950185511</v>
      </c>
      <c r="GE146" s="1485">
        <f t="shared" ca="1" si="393"/>
        <v>694178.31168000004</v>
      </c>
      <c r="GF146" s="1776">
        <f t="shared" ca="1" si="394"/>
        <v>2776713.2467200002</v>
      </c>
      <c r="GG146" s="545">
        <f t="shared" si="359"/>
        <v>3.0646032689638796</v>
      </c>
      <c r="GH146" s="622">
        <f t="shared" ca="1" si="360"/>
        <v>10636905.616091777</v>
      </c>
      <c r="GI146" s="621">
        <f t="shared" ref="GI146:GI209" ca="1" si="507">GB146</f>
        <v>488880</v>
      </c>
      <c r="GJ146" s="638">
        <f t="shared" si="463"/>
        <v>2.1089868858040779</v>
      </c>
      <c r="GK146" s="625">
        <f t="shared" ca="1" si="342"/>
        <v>1031041.5087318976</v>
      </c>
      <c r="GL146" s="640">
        <f t="shared" ca="1" si="395"/>
        <v>0</v>
      </c>
      <c r="GM146" s="530">
        <f t="shared" ca="1" si="396"/>
        <v>0</v>
      </c>
      <c r="GN146" s="530">
        <f t="shared" ca="1" si="397"/>
        <v>0</v>
      </c>
      <c r="GO146" s="622">
        <f t="shared" ca="1" si="398"/>
        <v>0</v>
      </c>
      <c r="GP146" s="530">
        <f t="shared" ca="1" si="464"/>
        <v>0</v>
      </c>
      <c r="GQ146" s="545">
        <f t="shared" ca="1" si="465"/>
        <v>0</v>
      </c>
      <c r="GR146" s="625">
        <f t="shared" ca="1" si="399"/>
        <v>0</v>
      </c>
      <c r="GS146" s="640">
        <f>IF($A146&gt;=BegDate,Assumptions!$C$56*24*($A147-$A146)*(1-VLOOKUP($B146,MAIN!$AA$7:$AM$28,$C146+1))*(1-VLOOKUP($B146,MAIN!$AA$33:$AM$54,$C146+1)),0)*80/168</f>
        <v>232800</v>
      </c>
      <c r="GT146" s="1715">
        <f t="shared" ref="GT146:GT209" si="508">J146</f>
        <v>46.028722197323297</v>
      </c>
      <c r="GU146" s="1715">
        <f>IF($A146&gt;=BegDate,VLOOKUP($A146,GasTable,13)+Assumptions!$C$58,0)</f>
        <v>3.0646032689638796</v>
      </c>
      <c r="GV146" s="1715">
        <f>GU146*Assumptions!$C$57/1000</f>
        <v>22.218373699988124</v>
      </c>
      <c r="GW146" s="625">
        <f>IF(Assumptions!$C$60="Hourly",MAX(0,GS146*(GT146-GV146)),GS146*(GT146-GV146))</f>
        <v>5543049.1301796287</v>
      </c>
      <c r="GX146" s="640">
        <f>IF($A146&gt;=BegDate,Assumptions!$C$56*24*($A147-$A146)*(1-VLOOKUP($B146,MAIN!$AA$7:$AM$28,$C146+1))*(1-VLOOKUP($B146,MAIN!$AA$33:$AM$54,$C146+1)),0)*16/168</f>
        <v>46560</v>
      </c>
      <c r="GY146" s="1715">
        <f t="shared" ref="GY146:GY209" si="509">M146</f>
        <v>46.028722197323297</v>
      </c>
      <c r="GZ146" s="1715">
        <f>IF($A146&gt;=BegDate,VLOOKUP($A146,GasTable,13)+Assumptions!$C$58,0)</f>
        <v>3.0646032689638796</v>
      </c>
      <c r="HA146" s="1715">
        <f>GZ146*Assumptions!$C$57/1000</f>
        <v>22.218373699988124</v>
      </c>
      <c r="HB146" s="625">
        <f>IF(Assumptions!$C$60="Hourly",MAX(0,GX146*(GY146-HA146)),GX146*(GY146-HA146))</f>
        <v>1108609.8260359257</v>
      </c>
      <c r="HC146" s="640">
        <f>IF($A146&gt;=BegDate,Assumptions!$C$56*24*($A147-$A146)*(1-VLOOKUP($B146,MAIN!$AA$7:$AM$28,$C146+1))*(1-VLOOKUP($B146,MAIN!$AA$33:$AM$54,$C146+1)),0)*16/168</f>
        <v>46560</v>
      </c>
      <c r="HD146" s="1715">
        <f t="shared" ref="HD146:HD209" si="510">P146</f>
        <v>28.053632833154335</v>
      </c>
      <c r="HE146" s="1715">
        <f>IF($A146&gt;=BegDate,VLOOKUP($A146,GasTable,13)+Assumptions!$C$58,0)</f>
        <v>3.0646032689638796</v>
      </c>
      <c r="HF146" s="1715">
        <f>HE146*Assumptions!$C$57/1000</f>
        <v>22.218373699988124</v>
      </c>
      <c r="HG146" s="625">
        <f>IF(Assumptions!$C$60="Hourly",MAX(0,HC146*(HD146-HF146)),HC146*(HD146-HF146))</f>
        <v>271689.6652402188</v>
      </c>
      <c r="HH146" s="640">
        <f>IF($A146&gt;=BegDate,Assumptions!$C$56*24*($A147-$A146)*(1-VLOOKUP($B146,MAIN!$AA$7:$AM$28,$C146+1))*(1-VLOOKUP($B146,MAIN!$AA$33:$AM$54,$C146+1)),0)*56/168</f>
        <v>162960</v>
      </c>
      <c r="HI146" s="1715">
        <f t="shared" ref="HI146:HI209" si="511">S146</f>
        <v>28.053632833154335</v>
      </c>
      <c r="HJ146" s="1715">
        <f>IF($A146&gt;=BegDate,VLOOKUP($A146,GasTable,13)+Assumptions!$C$58,0)</f>
        <v>3.0646032689638796</v>
      </c>
      <c r="HK146" s="1715">
        <f>HJ146*Assumptions!$C$57/1000</f>
        <v>22.218373699988124</v>
      </c>
      <c r="HL146" s="625">
        <f>IF(Assumptions!$C$60="Hourly",MAX(0,HH146*(HI146-HK146)),HH146*(HI146-HK146))</f>
        <v>950913.82834076579</v>
      </c>
      <c r="HM146" s="640">
        <f>IF(AND(Assumptions!$H$71="Yes",A146&gt;=Assumptions!$H$72,A146&lt;=Assumptions!$H$73),Assumptions!$H$74*Assumptions!$C$9*1000,0)</f>
        <v>0</v>
      </c>
      <c r="HN146" s="530"/>
      <c r="HO146" s="545"/>
      <c r="HP146" s="545"/>
      <c r="HQ146" s="545"/>
      <c r="HR146" s="545"/>
      <c r="HS146" s="545"/>
      <c r="HT146" s="545"/>
      <c r="HU146" s="545"/>
      <c r="HV146" s="545"/>
      <c r="HW146" s="545"/>
      <c r="HX146" s="545"/>
      <c r="HY146" s="545"/>
      <c r="HZ146" s="545"/>
      <c r="IA146" s="545"/>
      <c r="IB146" s="545"/>
      <c r="IC146" s="545"/>
      <c r="ID146" s="545"/>
      <c r="IE146" s="545"/>
      <c r="IF146" s="545"/>
      <c r="IG146" s="545"/>
      <c r="IH146" s="545"/>
      <c r="II146" s="1464"/>
      <c r="IJ146" s="1463"/>
      <c r="IK146" s="1463"/>
    </row>
    <row r="147" spans="1:245">
      <c r="A147" s="177">
        <f t="shared" si="466"/>
        <v>40603</v>
      </c>
      <c r="B147" s="349">
        <f t="shared" si="467"/>
        <v>2011</v>
      </c>
      <c r="C147" s="15">
        <f t="shared" si="407"/>
        <v>3</v>
      </c>
      <c r="D147" s="612" t="str">
        <f t="shared" si="468"/>
        <v/>
      </c>
      <c r="E147" s="609">
        <f t="shared" si="408"/>
        <v>40603</v>
      </c>
      <c r="F147" s="614">
        <f t="shared" si="409"/>
        <v>40633</v>
      </c>
      <c r="G147" s="1349">
        <v>0</v>
      </c>
      <c r="H147" s="152">
        <f t="shared" ref="H147:H210" si="512">(1+G147/2)^(-2*(DATE(B148,C148,20)-DateToday)/365.25)</f>
        <v>1</v>
      </c>
      <c r="I147" s="154">
        <f>IF(Assumptions!$L$25=4,VLOOKUP($A147,'Henwood Reference'!$E$9:$R$320,10),(VLOOKUP($A147,PriceTable,2,0)+IF(BasisNumber&lt;&gt;1,VLOOKUP($A147,BasisTable,2,0),0)+I$1)/(1-I$2))</f>
        <v>39.625593183952525</v>
      </c>
      <c r="J147" s="154">
        <f>IF(Assumptions!$L$25=4,VLOOKUP($A147,'Henwood Reference'!$E$9:$R$320,10),(VLOOKUP($A147,PriceTable,3,0)+IF(BasisNumber&lt;&gt;1,VLOOKUP($A147,BasisTable,2,0),0)+J$1)/(1-J$2))</f>
        <v>39.625593183952525</v>
      </c>
      <c r="K147" s="154">
        <f>IF(Assumptions!$L$25=4,VLOOKUP($A147,'Henwood Reference'!$E$9:$R$320,10),(VLOOKUP($A147,PriceTable,4,0)+IF(BasisNumber&lt;&gt;1,VLOOKUP($A147,BasisTable,2,0),0)+K$1)/(1-K$2))</f>
        <v>39.625593183952525</v>
      </c>
      <c r="L147" s="474">
        <f>IF(Assumptions!$L$25=4,VLOOKUP($A147,'Henwood Reference'!$E$9:$R$320,10),(VLOOKUP($A147,PriceTableWeekend,2,0)+IF(BasisNumber&lt;&gt;1,VLOOKUP($A147,BasisTable,2,0),0)+L$1)/(1-L$2))</f>
        <v>39.625593183952525</v>
      </c>
      <c r="M147" s="154">
        <f>IF(Assumptions!$L$25=4,VLOOKUP($A147,'Henwood Reference'!$E$9:$R$320,10),(VLOOKUP($A147,PriceTableWeekend,3,0)+IF(BasisNumber&lt;&gt;1,VLOOKUP($A147,BasisTable,2,0),0)+M$1)/(1-M$2))</f>
        <v>39.625593183952525</v>
      </c>
      <c r="N147" s="156">
        <f>IF(Assumptions!$L$25=4,VLOOKUP($A147,'Henwood Reference'!$E$9:$R$320,10),(VLOOKUP($A147,PriceTableWeekend,4,0)+IF(BasisNumber&lt;&gt;1,VLOOKUP($A147,BasisTable,2,0),0)+N$1)/(1-N$2))</f>
        <v>39.625593183952525</v>
      </c>
      <c r="O147" s="154">
        <f>IF(Assumptions!$L$25=4,VLOOKUP($A147,'Henwood Reference'!$E$9:$R$320,11),(VLOOKUP($A147,PriceTableWeekend,6,0)+IF(BasisNumber&lt;&gt;1,VLOOKUP($A147,BasisTable,3,0),0)+O$1)/(1-O$2))</f>
        <v>24.361184149514738</v>
      </c>
      <c r="P147" s="154">
        <f>IF(Assumptions!$L$25=4,VLOOKUP($A147,'Henwood Reference'!$E$9:$R$320,11),(VLOOKUP($A147,PriceTableWeekend,7,0)+IF(BasisNumber&lt;&gt;1,VLOOKUP($A147,BasisTable,3,0),0)+P$1)/(1-P$2))</f>
        <v>24.361184149514738</v>
      </c>
      <c r="Q147" s="156">
        <f>IF(Assumptions!$L$25=4,VLOOKUP($A147,'Henwood Reference'!$E$9:$R$320,11),(VLOOKUP($A147,PriceTableWeekend,8,0)+IF(BasisNumber&lt;&gt;1,VLOOKUP($A147,BasisTable,3,0),0)+Q$1)/(1-Q$2))</f>
        <v>24.361184149514738</v>
      </c>
      <c r="R147" s="154">
        <f>IF(Assumptions!$L$25=4,VLOOKUP($A147,'Henwood Reference'!$E$9:$R$320,11),(VLOOKUP($A147,PriceTable,6,0)+IF(BasisNumber&lt;&gt;1,VLOOKUP($A147,BasisTable,3,0),0)+R$1)/(1-R$2))</f>
        <v>24.361184149514738</v>
      </c>
      <c r="S147" s="154">
        <f>IF(Assumptions!$L$25=4,VLOOKUP($A147,'Henwood Reference'!$E$9:$R$320,11),(VLOOKUP($A147,PriceTable,7,0)+IF(BasisNumber&lt;&gt;1,VLOOKUP($A147,BasisTable,3,0),0)+S$1)/(1-S$2))</f>
        <v>24.361184149514738</v>
      </c>
      <c r="T147" s="155">
        <f>IF(Assumptions!$L$25=4,VLOOKUP($A147,'Henwood Reference'!$E$9:$R$320,11),(VLOOKUP($A147,PriceTable,8,0)+IF(BasisNumber&lt;&gt;1,VLOOKUP($A147,BasisTable,3,0),0)+T$1)/(1-T$2))</f>
        <v>24.361184149514738</v>
      </c>
      <c r="U147" s="173">
        <f t="shared" si="469"/>
        <v>0.115</v>
      </c>
      <c r="V147" s="173">
        <f t="shared" si="470"/>
        <v>0.125</v>
      </c>
      <c r="W147" s="174">
        <f t="shared" si="471"/>
        <v>0.13500000000000001</v>
      </c>
      <c r="X147" s="173">
        <f t="shared" si="472"/>
        <v>0.115</v>
      </c>
      <c r="Y147" s="173">
        <f t="shared" si="473"/>
        <v>0.125</v>
      </c>
      <c r="Z147" s="174">
        <f t="shared" si="474"/>
        <v>0.13500000000000001</v>
      </c>
      <c r="AA147" s="173">
        <f t="shared" si="475"/>
        <v>0.09</v>
      </c>
      <c r="AB147" s="173">
        <f t="shared" si="476"/>
        <v>0.11</v>
      </c>
      <c r="AC147" s="174">
        <f t="shared" si="477"/>
        <v>0.13</v>
      </c>
      <c r="AD147" s="173">
        <f t="shared" si="478"/>
        <v>0.09</v>
      </c>
      <c r="AE147" s="173">
        <f t="shared" si="479"/>
        <v>0.11</v>
      </c>
      <c r="AF147" s="174">
        <f t="shared" si="480"/>
        <v>0.13</v>
      </c>
      <c r="AG147" s="173">
        <f t="shared" si="481"/>
        <v>-0.1</v>
      </c>
      <c r="AH147" s="173">
        <f t="shared" si="482"/>
        <v>0.65</v>
      </c>
      <c r="AI147" s="174">
        <f t="shared" si="483"/>
        <v>0.1</v>
      </c>
      <c r="AJ147" s="173">
        <f t="shared" si="484"/>
        <v>-0.1</v>
      </c>
      <c r="AK147" s="173">
        <f t="shared" si="485"/>
        <v>0.65</v>
      </c>
      <c r="AL147" s="174">
        <f t="shared" si="486"/>
        <v>0.1</v>
      </c>
      <c r="AM147" s="173">
        <f t="shared" si="487"/>
        <v>-0.01</v>
      </c>
      <c r="AN147" s="173">
        <f t="shared" si="488"/>
        <v>0.16</v>
      </c>
      <c r="AO147" s="174">
        <f t="shared" si="489"/>
        <v>0.01</v>
      </c>
      <c r="AP147" s="173">
        <f t="shared" si="490"/>
        <v>-0.01</v>
      </c>
      <c r="AQ147" s="173">
        <f t="shared" si="491"/>
        <v>0.16</v>
      </c>
      <c r="AR147" s="175">
        <f t="shared" si="492"/>
        <v>0.01</v>
      </c>
      <c r="AS147" s="521">
        <f t="shared" si="493"/>
        <v>0.5</v>
      </c>
      <c r="AT147" s="349">
        <f t="shared" si="410"/>
        <v>23</v>
      </c>
      <c r="AU147" s="159">
        <f t="shared" si="411"/>
        <v>4</v>
      </c>
      <c r="AV147" s="159">
        <f t="shared" si="412"/>
        <v>4</v>
      </c>
      <c r="AW147" s="159">
        <f t="shared" si="494"/>
        <v>0</v>
      </c>
      <c r="AX147" s="15">
        <f t="shared" si="413"/>
        <v>31</v>
      </c>
      <c r="AY147" s="607">
        <f>IF(E147="",0,MIN((1-(1-VLOOKUP(B147,MAIN!$AA$7:$AM$28,C147+1))*(1-VLOOKUP(B147,MAIN!$AA$33:$AM$54,C147+1))),1))</f>
        <v>3.0000000000000027E-2</v>
      </c>
      <c r="AZ147" s="337">
        <v>53544</v>
      </c>
      <c r="BA147" s="509">
        <v>9312</v>
      </c>
      <c r="BB147" s="509">
        <v>9312</v>
      </c>
      <c r="BC147" s="511">
        <v>36084</v>
      </c>
      <c r="BD147" s="153">
        <v>0.96999999638646839</v>
      </c>
      <c r="BE147" s="474">
        <v>0.96999999638646839</v>
      </c>
      <c r="BF147" s="474">
        <v>0.96999999638646839</v>
      </c>
      <c r="BG147" s="515">
        <v>0.97000000722706314</v>
      </c>
      <c r="BH147" s="262">
        <v>214176</v>
      </c>
      <c r="BI147" s="509">
        <v>37248</v>
      </c>
      <c r="BJ147" s="509">
        <v>37248</v>
      </c>
      <c r="BK147" s="511">
        <v>144336</v>
      </c>
      <c r="BL147" s="153">
        <v>0.96999999638646839</v>
      </c>
      <c r="BM147" s="474">
        <v>0.96999999638646839</v>
      </c>
      <c r="BN147" s="474">
        <v>0.96999999638646839</v>
      </c>
      <c r="BO147" s="474">
        <v>0.97000000722706314</v>
      </c>
      <c r="BP147" s="261">
        <f t="shared" si="495"/>
        <v>72168</v>
      </c>
      <c r="BQ147" s="578">
        <f t="shared" si="496"/>
        <v>108252</v>
      </c>
      <c r="BR147" s="259">
        <f t="shared" si="497"/>
        <v>288672</v>
      </c>
      <c r="BS147" s="578">
        <f t="shared" si="498"/>
        <v>433008</v>
      </c>
      <c r="BT147" s="216">
        <f t="shared" si="499"/>
        <v>10.877481177275838</v>
      </c>
      <c r="BU147" s="218">
        <f t="shared" si="414"/>
        <v>39.625593036335687</v>
      </c>
      <c r="BV147" s="216">
        <f t="shared" si="415"/>
        <v>39.625593036335687</v>
      </c>
      <c r="BW147" s="216">
        <f t="shared" si="416"/>
        <v>24.361184058762255</v>
      </c>
      <c r="BX147" s="216">
        <f t="shared" si="500"/>
        <v>24.361184331019704</v>
      </c>
      <c r="BY147" s="216">
        <f t="shared" si="417"/>
        <v>37.655991877939115</v>
      </c>
      <c r="BZ147" s="216">
        <f t="shared" si="418"/>
        <v>33.224389362299306</v>
      </c>
      <c r="CA147" s="264">
        <f t="shared" si="419"/>
        <v>39.625593036335687</v>
      </c>
      <c r="CB147" s="216">
        <f t="shared" si="420"/>
        <v>39.625593036335687</v>
      </c>
      <c r="CC147" s="216">
        <f t="shared" si="421"/>
        <v>24.361184058762255</v>
      </c>
      <c r="CD147" s="216">
        <f t="shared" si="501"/>
        <v>24.361184331019704</v>
      </c>
      <c r="CE147" s="216">
        <f t="shared" si="422"/>
        <v>37.655991877939115</v>
      </c>
      <c r="CF147" s="571">
        <f t="shared" si="423"/>
        <v>33.224389362299306</v>
      </c>
      <c r="CG147" s="573">
        <f t="shared" si="424"/>
        <v>0.125</v>
      </c>
      <c r="CH147" s="219">
        <f t="shared" si="425"/>
        <v>0.125</v>
      </c>
      <c r="CI147" s="219">
        <f t="shared" si="426"/>
        <v>0.11</v>
      </c>
      <c r="CJ147" s="219">
        <f t="shared" si="427"/>
        <v>0.12375938612886257</v>
      </c>
      <c r="CK147" s="219">
        <f t="shared" si="428"/>
        <v>0.12375938612886257</v>
      </c>
      <c r="CL147" s="219">
        <f t="shared" si="429"/>
        <v>0.11</v>
      </c>
      <c r="CM147" s="219">
        <f t="shared" si="430"/>
        <v>0.1098587749255447</v>
      </c>
      <c r="CN147" s="569">
        <f t="shared" si="431"/>
        <v>0.1098587749255447</v>
      </c>
      <c r="CO147" s="264">
        <f t="shared" si="343"/>
        <v>20.56695468875828</v>
      </c>
      <c r="CP147" s="216">
        <f t="shared" si="502"/>
        <v>20.56695468875828</v>
      </c>
      <c r="CQ147" s="216">
        <f t="shared" ca="1" si="361"/>
        <v>20.56695468875828</v>
      </c>
      <c r="CR147" s="216">
        <f t="shared" ca="1" si="362"/>
        <v>20.56695468875828</v>
      </c>
      <c r="CS147" s="1626">
        <f t="shared" ca="1" si="363"/>
        <v>20.56695468875828</v>
      </c>
      <c r="CT147" s="216">
        <f t="shared" si="503"/>
        <v>20.56695468875828</v>
      </c>
      <c r="CU147" s="575">
        <f t="shared" si="432"/>
        <v>0.157</v>
      </c>
      <c r="CV147" s="154">
        <f t="shared" si="433"/>
        <v>0.5</v>
      </c>
      <c r="CW147" s="216">
        <f>IF(OR($BQ147,$BS147),SpreadOptPowerMargin,0)*((1+Assumptions!$C$26)^($B147-YEAR(Assumptions!$C$17)))</f>
        <v>2.1089868858040779</v>
      </c>
      <c r="CX147" s="216">
        <f>IF(OR($BQ147,$BS147),SpreadOptPowerMargin,0)*((1+Assumptions!$C$26)^($B147-YEAR(Assumptions!$C$17)))</f>
        <v>2.1089868858040779</v>
      </c>
      <c r="CY147" s="216">
        <f>IF(OR($BQ147,$BS147),SpreadOptPowerMargin,0)*((1+Assumptions!$C$26)^($B147-YEAR(Assumptions!$C$17)))</f>
        <v>2.1089868858040779</v>
      </c>
      <c r="CZ147" s="216">
        <f>IF(OR($BQ147,$BS147),SpreadOptPowerMargin,0)*((1+Assumptions!$C$26)^($B147-YEAR(Assumptions!$C$17)))</f>
        <v>2.1089868858040779</v>
      </c>
      <c r="DA147" s="440">
        <f t="shared" si="434"/>
        <v>2.1089868858040779</v>
      </c>
      <c r="DB147" s="479">
        <f t="shared" si="435"/>
        <v>0.125</v>
      </c>
      <c r="DC147" s="479">
        <f t="shared" si="436"/>
        <v>0.125</v>
      </c>
      <c r="DD147" s="479">
        <f t="shared" si="437"/>
        <v>0.11</v>
      </c>
      <c r="DE147" s="479">
        <f t="shared" si="438"/>
        <v>0.11</v>
      </c>
      <c r="DF147" s="479">
        <f t="shared" si="439"/>
        <v>0.1098587749255447</v>
      </c>
      <c r="DG147" s="574">
        <f t="shared" si="440"/>
        <v>0.1098587749255447</v>
      </c>
      <c r="DH147" s="216">
        <f t="shared" si="441"/>
        <v>17.623069904391514</v>
      </c>
      <c r="DI147" s="216">
        <f t="shared" si="442"/>
        <v>17.623069904391514</v>
      </c>
      <c r="DJ147" s="216">
        <f t="shared" ca="1" si="364"/>
        <v>4.8715477709629313</v>
      </c>
      <c r="DK147" s="216">
        <f t="shared" ca="1" si="365"/>
        <v>4.8715479487274225</v>
      </c>
      <c r="DL147" s="216">
        <f t="shared" ca="1" si="366"/>
        <v>11.743132107688186</v>
      </c>
      <c r="DM147" s="216"/>
      <c r="DN147" s="216"/>
      <c r="DO147" s="216"/>
      <c r="DP147" s="216"/>
      <c r="DQ147" s="216"/>
      <c r="DR147" s="216"/>
      <c r="DS147" s="216"/>
      <c r="DT147" s="216"/>
      <c r="DU147" s="216"/>
      <c r="DV147" s="216"/>
      <c r="DW147" s="1371">
        <f t="shared" si="443"/>
        <v>4.8715477709629313</v>
      </c>
      <c r="DX147" s="216">
        <f t="shared" si="444"/>
        <v>4.8715479487274225</v>
      </c>
      <c r="DY147" s="440">
        <f t="shared" si="445"/>
        <v>12.275657456079518</v>
      </c>
      <c r="DZ147" s="180">
        <f t="shared" si="446"/>
        <v>943609.65496073919</v>
      </c>
      <c r="EA147" s="180">
        <f t="shared" si="447"/>
        <v>164106.02694969377</v>
      </c>
      <c r="EB147" s="180">
        <f t="shared" ca="1" si="367"/>
        <v>45363.85284320682</v>
      </c>
      <c r="EC147" s="180">
        <f t="shared" ca="1" si="368"/>
        <v>175784.9361818803</v>
      </c>
      <c r="ED147" s="180">
        <f t="shared" ca="1" si="369"/>
        <v>1271217.5369214616</v>
      </c>
      <c r="EE147" s="581">
        <f t="shared" si="448"/>
        <v>907552.13786919112</v>
      </c>
      <c r="EF147" s="554">
        <f t="shared" si="449"/>
        <v>157835.15441203324</v>
      </c>
      <c r="EG147" s="554">
        <f t="shared" ca="1" si="370"/>
        <v>15692.978012869438</v>
      </c>
      <c r="EH147" s="554">
        <f t="shared" ca="1" si="371"/>
        <v>60810.299624006846</v>
      </c>
      <c r="EI147" s="561">
        <f t="shared" ca="1" si="450"/>
        <v>1141890.5699181</v>
      </c>
      <c r="EJ147" s="581">
        <f t="shared" si="504"/>
        <v>36057.51709154807</v>
      </c>
      <c r="EK147" s="554">
        <f t="shared" si="505"/>
        <v>6270.8725376605289</v>
      </c>
      <c r="EL147" s="554">
        <f t="shared" ca="1" si="372"/>
        <v>29670.87483033738</v>
      </c>
      <c r="EM147" s="554">
        <f t="shared" ca="1" si="373"/>
        <v>114974.63655787345</v>
      </c>
      <c r="EN147" s="561">
        <f t="shared" ca="1" si="374"/>
        <v>129326.96700336155</v>
      </c>
      <c r="EO147" s="180">
        <f t="shared" si="451"/>
        <v>3774438.6198429568</v>
      </c>
      <c r="EP147" s="180">
        <f t="shared" si="452"/>
        <v>656424.10779877508</v>
      </c>
      <c r="EQ147" s="180">
        <f t="shared" si="453"/>
        <v>181455.41137282728</v>
      </c>
      <c r="ER147" s="180">
        <f t="shared" si="454"/>
        <v>703139.7447275212</v>
      </c>
      <c r="ES147" s="180">
        <f t="shared" si="455"/>
        <v>5315457.8837420801</v>
      </c>
      <c r="ET147" s="1482">
        <f t="shared" ca="1" si="375"/>
        <v>3630208.5514767645</v>
      </c>
      <c r="EU147" s="180">
        <f t="shared" ca="1" si="376"/>
        <v>631340.61764813296</v>
      </c>
      <c r="EV147" s="180">
        <f t="shared" ca="1" si="377"/>
        <v>62771.912051477753</v>
      </c>
      <c r="EW147" s="180">
        <f t="shared" ca="1" si="378"/>
        <v>243241.19849602738</v>
      </c>
      <c r="EX147" s="555">
        <f t="shared" ca="1" si="351"/>
        <v>4567562.2796724029</v>
      </c>
      <c r="EY147" s="180">
        <f t="shared" ca="1" si="379"/>
        <v>144230.06836619228</v>
      </c>
      <c r="EZ147" s="180">
        <f t="shared" ca="1" si="380"/>
        <v>25083.490150642116</v>
      </c>
      <c r="FA147" s="180">
        <f t="shared" ca="1" si="381"/>
        <v>118683.49932134952</v>
      </c>
      <c r="FB147" s="180">
        <f t="shared" ca="1" si="382"/>
        <v>459898.54623149382</v>
      </c>
      <c r="FC147" s="180">
        <f t="shared" ca="1" si="383"/>
        <v>747895.60406967718</v>
      </c>
      <c r="FD147" s="262">
        <f>IF(AX147,IF(VLOOKUP(C147,MAIN!$L$17:$M$28,2)="Yes",VLOOKUP(CALC!B147,MAIN!$H$17:$I$20,2),0),0)</f>
        <v>0</v>
      </c>
      <c r="FE147" s="623">
        <f t="shared" si="456"/>
        <v>0</v>
      </c>
      <c r="FF147" s="535">
        <f t="shared" si="457"/>
        <v>0</v>
      </c>
      <c r="FG147" s="535">
        <f t="shared" si="458"/>
        <v>0</v>
      </c>
      <c r="FH147" s="624">
        <f t="shared" si="459"/>
        <v>0</v>
      </c>
      <c r="FI147" s="632">
        <f>IF(AX147,VLOOKUP(CALC!B147,MAIN!$H$17:$K$20,4),0)</f>
        <v>0</v>
      </c>
      <c r="FJ147" s="535">
        <f t="shared" si="460"/>
        <v>0</v>
      </c>
      <c r="FK147" s="648">
        <f t="shared" si="506"/>
        <v>0</v>
      </c>
      <c r="FL147" s="530">
        <f t="shared" ca="1" si="384"/>
        <v>0</v>
      </c>
      <c r="FM147" s="530">
        <f t="shared" ca="1" si="385"/>
        <v>0</v>
      </c>
      <c r="FN147" s="530">
        <f t="shared" ca="1" si="386"/>
        <v>0</v>
      </c>
      <c r="FO147" s="622">
        <f t="shared" ca="1" si="387"/>
        <v>0</v>
      </c>
      <c r="FP147" s="530">
        <f t="shared" ca="1" si="388"/>
        <v>0</v>
      </c>
      <c r="FQ147" s="530">
        <f t="shared" ca="1" si="389"/>
        <v>0</v>
      </c>
      <c r="FR147" s="530">
        <f t="shared" ca="1" si="390"/>
        <v>0</v>
      </c>
      <c r="FS147" s="625">
        <f t="shared" ca="1" si="391"/>
        <v>0</v>
      </c>
      <c r="FT147" s="640">
        <f ca="1">IF(AND(Assumptions!$H$71="Yes",A147&gt;=Assumptions!$H$72,A147&lt;=Assumptions!$H$73),0,IF(AND($A147&gt;=Assumptions!$C$17,$A147&lt;=Assumptions!$C$18),MAX(AZ147*(1+VLOOKUP($C147,WeatherCapacityAdjustment,2))-FL147,0),0))</f>
        <v>53544</v>
      </c>
      <c r="FU147" s="530">
        <f ca="1">IF(AND(Assumptions!$H$71="Yes",A147&gt;=Assumptions!$H$72,A147&lt;=Assumptions!$H$73),0,IF(AND($A147&gt;=Assumptions!$C$17,$A147&lt;=Assumptions!$C$18),MAX(BA147*(1+VLOOKUP($C147,WeatherCapacityAdjustment,2))-FM147,0),0))</f>
        <v>9312</v>
      </c>
      <c r="FV147" s="530">
        <f ca="1">IF(AND(Assumptions!$H$71="Yes",A147&gt;=Assumptions!$H$72,A147&lt;=Assumptions!$H$73),0,IF(AND($A147&gt;=Assumptions!$C$17,$A147&lt;=Assumptions!$C$18),MAX(BB147*(1+VLOOKUP($C147,WeatherCapacityAdjustment,2))-FN147,0),0))</f>
        <v>9312</v>
      </c>
      <c r="FW147" s="622">
        <f ca="1">IF(AND(Assumptions!$H$71="Yes",A147&gt;=Assumptions!$H$72,A147&lt;=Assumptions!$H$73),0,IF(AND($A147&gt;=Assumptions!$C$17,$A147&lt;=Assumptions!$C$18),MAX(BC147*(1+VLOOKUP($C147,WeatherCapacityAdjustment,3))-FO147,0),0))</f>
        <v>36084</v>
      </c>
      <c r="FX147" s="621">
        <f ca="1">IF(AND(Assumptions!$H$71="Yes",A147&gt;=Assumptions!$H$72,A147&lt;=Assumptions!$H$73),0,IF(ET147&gt;0,MAX(BH147*(1+VLOOKUP($C147,WeatherCapacityAdjustment,2))-FP147,0),0))</f>
        <v>214176</v>
      </c>
      <c r="FY147" s="530">
        <f ca="1">IF(AND(Assumptions!$H$71="Yes",A147&gt;=Assumptions!$H$72,A147&lt;=Assumptions!$H$73),0,IF(EU147&gt;0,MAX(BI147*(1+VLOOKUP($C147,WeatherCapacityAdjustment,3))-FQ147,0),0))</f>
        <v>37248</v>
      </c>
      <c r="FZ147" s="530">
        <f ca="1">IF(AND(Assumptions!$H$71="Yes",A147&gt;=Assumptions!$H$72,A147&lt;=Assumptions!$H$73),0,IF(EV147&gt;0,MAX(BJ147*(1+VLOOKUP($C147,WeatherCapacityAdjustment,2))-FR147,0),0))</f>
        <v>37248</v>
      </c>
      <c r="GA147" s="622">
        <f ca="1">IF(AND(Assumptions!$H$71="Yes",A147&gt;=Assumptions!$H$72,A147&lt;=Assumptions!$H$73),0,IF(EW147&gt;0,MAX(BK147*(1+VLOOKUP($C147,WeatherCapacityAdjustment,2))-FS147,0),0))</f>
        <v>144336</v>
      </c>
      <c r="GB147" s="530">
        <f t="shared" ca="1" si="461"/>
        <v>541260</v>
      </c>
      <c r="GC147" s="545">
        <f t="shared" ca="1" si="462"/>
        <v>33.224389362299306</v>
      </c>
      <c r="GD147" s="530">
        <f t="shared" ca="1" si="392"/>
        <v>17983032.986238126</v>
      </c>
      <c r="GE147" s="1485">
        <f t="shared" ca="1" si="393"/>
        <v>768872.82023999991</v>
      </c>
      <c r="GF147" s="1776">
        <f t="shared" ca="1" si="394"/>
        <v>3075491.2809599997</v>
      </c>
      <c r="GG147" s="545">
        <f t="shared" si="359"/>
        <v>2.895685632732468</v>
      </c>
      <c r="GH147" s="622">
        <f t="shared" ca="1" si="360"/>
        <v>11132069.894837307</v>
      </c>
      <c r="GI147" s="621">
        <f t="shared" ca="1" si="507"/>
        <v>541260</v>
      </c>
      <c r="GJ147" s="638">
        <f t="shared" si="463"/>
        <v>2.1089868858040779</v>
      </c>
      <c r="GK147" s="625">
        <f t="shared" ref="GK147:GK210" ca="1" si="513">+GI147*GJ147</f>
        <v>1141510.2418103153</v>
      </c>
      <c r="GL147" s="640">
        <f t="shared" ca="1" si="395"/>
        <v>0</v>
      </c>
      <c r="GM147" s="530">
        <f t="shared" ca="1" si="396"/>
        <v>0</v>
      </c>
      <c r="GN147" s="530">
        <f t="shared" ca="1" si="397"/>
        <v>0</v>
      </c>
      <c r="GO147" s="622">
        <f t="shared" ca="1" si="398"/>
        <v>0</v>
      </c>
      <c r="GP147" s="530">
        <f t="shared" ca="1" si="464"/>
        <v>0</v>
      </c>
      <c r="GQ147" s="545">
        <f t="shared" ca="1" si="465"/>
        <v>0</v>
      </c>
      <c r="GR147" s="625">
        <f t="shared" ca="1" si="399"/>
        <v>0</v>
      </c>
      <c r="GS147" s="640">
        <f>IF($A147&gt;=BegDate,Assumptions!$C$56*24*($A148-$A147)*(1-VLOOKUP($B147,MAIN!$AA$7:$AM$28,$C147+1))*(1-VLOOKUP($B147,MAIN!$AA$33:$AM$54,$C147+1)),0)*80/168</f>
        <v>257742.85714285713</v>
      </c>
      <c r="GT147" s="1715">
        <f t="shared" si="508"/>
        <v>39.625593183952525</v>
      </c>
      <c r="GU147" s="1715">
        <f>IF($A147&gt;=BegDate,VLOOKUP($A147,GasTable,13)+Assumptions!$C$58,0)</f>
        <v>2.895685632732468</v>
      </c>
      <c r="GV147" s="1715">
        <f>GU147*Assumptions!$C$57/1000</f>
        <v>20.993720837310391</v>
      </c>
      <c r="GW147" s="625">
        <f>IF(Assumptions!$C$60="Hourly",MAX(0,GS147*(GT147-GV147)),GS147*(GT147-GV147))</f>
        <v>4802232.0125445332</v>
      </c>
      <c r="GX147" s="640">
        <f>IF($A147&gt;=BegDate,Assumptions!$C$56*24*($A148-$A147)*(1-VLOOKUP($B147,MAIN!$AA$7:$AM$28,$C147+1))*(1-VLOOKUP($B147,MAIN!$AA$33:$AM$54,$C147+1)),0)*16/168</f>
        <v>51548.571428571428</v>
      </c>
      <c r="GY147" s="1715">
        <f t="shared" si="509"/>
        <v>39.625593183952525</v>
      </c>
      <c r="GZ147" s="1715">
        <f>IF($A147&gt;=BegDate,VLOOKUP($A147,GasTable,13)+Assumptions!$C$58,0)</f>
        <v>2.895685632732468</v>
      </c>
      <c r="HA147" s="1715">
        <f>GZ147*Assumptions!$C$57/1000</f>
        <v>20.993720837310391</v>
      </c>
      <c r="HB147" s="625">
        <f>IF(Assumptions!$C$60="Hourly",MAX(0,GX147*(GY147-HA147)),GX147*(GY147-HA147))</f>
        <v>960446.40250890679</v>
      </c>
      <c r="HC147" s="640">
        <f>IF($A147&gt;=BegDate,Assumptions!$C$56*24*($A148-$A147)*(1-VLOOKUP($B147,MAIN!$AA$7:$AM$28,$C147+1))*(1-VLOOKUP($B147,MAIN!$AA$33:$AM$54,$C147+1)),0)*16/168</f>
        <v>51548.571428571428</v>
      </c>
      <c r="HD147" s="1715">
        <f t="shared" si="510"/>
        <v>24.361184149514738</v>
      </c>
      <c r="HE147" s="1715">
        <f>IF($A147&gt;=BegDate,VLOOKUP($A147,GasTable,13)+Assumptions!$C$58,0)</f>
        <v>2.895685632732468</v>
      </c>
      <c r="HF147" s="1715">
        <f>HE147*Assumptions!$C$57/1000</f>
        <v>20.993720837310391</v>
      </c>
      <c r="HG147" s="625">
        <f>IF(Assumptions!$C$60="Hourly",MAX(0,HC147*(HD147-HF147)),HC147*(HD147-HF147))</f>
        <v>173587.92308225948</v>
      </c>
      <c r="HH147" s="640">
        <f>IF($A147&gt;=BegDate,Assumptions!$C$56*24*($A148-$A147)*(1-VLOOKUP($B147,MAIN!$AA$7:$AM$28,$C147+1))*(1-VLOOKUP($B147,MAIN!$AA$33:$AM$54,$C147+1)),0)*56/168</f>
        <v>180420</v>
      </c>
      <c r="HI147" s="1715">
        <f t="shared" si="511"/>
        <v>24.361184149514738</v>
      </c>
      <c r="HJ147" s="1715">
        <f>IF($A147&gt;=BegDate,VLOOKUP($A147,GasTable,13)+Assumptions!$C$58,0)</f>
        <v>2.895685632732468</v>
      </c>
      <c r="HK147" s="1715">
        <f>HJ147*Assumptions!$C$57/1000</f>
        <v>20.993720837310391</v>
      </c>
      <c r="HL147" s="625">
        <f>IF(Assumptions!$C$60="Hourly",MAX(0,HH147*(HI147-HK147)),HH147*(HI147-HK147))</f>
        <v>607557.73078790819</v>
      </c>
      <c r="HM147" s="640">
        <f>IF(AND(Assumptions!$H$71="Yes",A147&gt;=Assumptions!$H$72,A147&lt;=Assumptions!$H$73),Assumptions!$H$74*Assumptions!$C$9*1000,0)</f>
        <v>0</v>
      </c>
      <c r="HN147" s="530"/>
      <c r="HO147" s="545"/>
      <c r="HP147" s="545"/>
      <c r="HQ147" s="545"/>
      <c r="HR147" s="545"/>
      <c r="HS147" s="545"/>
      <c r="HT147" s="545"/>
      <c r="HU147" s="545"/>
      <c r="HV147" s="545"/>
      <c r="HW147" s="545"/>
      <c r="HX147" s="545"/>
      <c r="HY147" s="545"/>
      <c r="HZ147" s="545"/>
      <c r="IA147" s="545"/>
      <c r="IB147" s="545"/>
      <c r="IC147" s="545"/>
      <c r="ID147" s="545"/>
      <c r="IE147" s="545"/>
      <c r="IF147" s="545"/>
      <c r="IG147" s="545"/>
      <c r="IH147" s="545"/>
      <c r="II147" s="1464"/>
      <c r="IJ147" s="1463"/>
      <c r="IK147" s="1463"/>
    </row>
    <row r="148" spans="1:245">
      <c r="A148" s="177">
        <f t="shared" si="466"/>
        <v>40634</v>
      </c>
      <c r="B148" s="349">
        <f t="shared" si="467"/>
        <v>2011</v>
      </c>
      <c r="C148" s="15">
        <f t="shared" si="407"/>
        <v>4</v>
      </c>
      <c r="D148" s="612" t="str">
        <f t="shared" si="468"/>
        <v/>
      </c>
      <c r="E148" s="609">
        <f t="shared" si="408"/>
        <v>40634</v>
      </c>
      <c r="F148" s="614">
        <f t="shared" si="409"/>
        <v>40663</v>
      </c>
      <c r="G148" s="1349">
        <v>0</v>
      </c>
      <c r="H148" s="152">
        <f t="shared" si="512"/>
        <v>1</v>
      </c>
      <c r="I148" s="154">
        <f>IF(Assumptions!$L$25=4,VLOOKUP($A148,'Henwood Reference'!$E$9:$R$320,10),(VLOOKUP($A148,PriceTable,2,0)+IF(BasisNumber&lt;&gt;1,VLOOKUP($A148,BasisTable,2,0),0)+I$1)/(1-I$2))</f>
        <v>37.875046495163694</v>
      </c>
      <c r="J148" s="154">
        <f>IF(Assumptions!$L$25=4,VLOOKUP($A148,'Henwood Reference'!$E$9:$R$320,10),(VLOOKUP($A148,PriceTable,3,0)+IF(BasisNumber&lt;&gt;1,VLOOKUP($A148,BasisTable,2,0),0)+J$1)/(1-J$2))</f>
        <v>37.875046495163694</v>
      </c>
      <c r="K148" s="154">
        <f>IF(Assumptions!$L$25=4,VLOOKUP($A148,'Henwood Reference'!$E$9:$R$320,10),(VLOOKUP($A148,PriceTable,4,0)+IF(BasisNumber&lt;&gt;1,VLOOKUP($A148,BasisTable,2,0),0)+K$1)/(1-K$2))</f>
        <v>37.875046495163694</v>
      </c>
      <c r="L148" s="474">
        <f>IF(Assumptions!$L$25=4,VLOOKUP($A148,'Henwood Reference'!$E$9:$R$320,10),(VLOOKUP($A148,PriceTableWeekend,2,0)+IF(BasisNumber&lt;&gt;1,VLOOKUP($A148,BasisTable,2,0),0)+L$1)/(1-L$2))</f>
        <v>37.875046495163694</v>
      </c>
      <c r="M148" s="154">
        <f>IF(Assumptions!$L$25=4,VLOOKUP($A148,'Henwood Reference'!$E$9:$R$320,10),(VLOOKUP($A148,PriceTableWeekend,3,0)+IF(BasisNumber&lt;&gt;1,VLOOKUP($A148,BasisTable,2,0),0)+M$1)/(1-M$2))</f>
        <v>37.875046495163694</v>
      </c>
      <c r="N148" s="156">
        <f>IF(Assumptions!$L$25=4,VLOOKUP($A148,'Henwood Reference'!$E$9:$R$320,10),(VLOOKUP($A148,PriceTableWeekend,4,0)+IF(BasisNumber&lt;&gt;1,VLOOKUP($A148,BasisTable,2,0),0)+N$1)/(1-N$2))</f>
        <v>37.875046495163694</v>
      </c>
      <c r="O148" s="154">
        <f>IF(Assumptions!$L$25=4,VLOOKUP($A148,'Henwood Reference'!$E$9:$R$320,11),(VLOOKUP($A148,PriceTableWeekend,6,0)+IF(BasisNumber&lt;&gt;1,VLOOKUP($A148,BasisTable,3,0),0)+O$1)/(1-O$2))</f>
        <v>24.651512050524889</v>
      </c>
      <c r="P148" s="154">
        <f>IF(Assumptions!$L$25=4,VLOOKUP($A148,'Henwood Reference'!$E$9:$R$320,11),(VLOOKUP($A148,PriceTableWeekend,7,0)+IF(BasisNumber&lt;&gt;1,VLOOKUP($A148,BasisTable,3,0),0)+P$1)/(1-P$2))</f>
        <v>24.651512050524889</v>
      </c>
      <c r="Q148" s="156">
        <f>IF(Assumptions!$L$25=4,VLOOKUP($A148,'Henwood Reference'!$E$9:$R$320,11),(VLOOKUP($A148,PriceTableWeekend,8,0)+IF(BasisNumber&lt;&gt;1,VLOOKUP($A148,BasisTable,3,0),0)+Q$1)/(1-Q$2))</f>
        <v>24.651512050524889</v>
      </c>
      <c r="R148" s="154">
        <f>IF(Assumptions!$L$25=4,VLOOKUP($A148,'Henwood Reference'!$E$9:$R$320,11),(VLOOKUP($A148,PriceTable,6,0)+IF(BasisNumber&lt;&gt;1,VLOOKUP($A148,BasisTable,3,0),0)+R$1)/(1-R$2))</f>
        <v>24.651512050524889</v>
      </c>
      <c r="S148" s="154">
        <f>IF(Assumptions!$L$25=4,VLOOKUP($A148,'Henwood Reference'!$E$9:$R$320,11),(VLOOKUP($A148,PriceTable,7,0)+IF(BasisNumber&lt;&gt;1,VLOOKUP($A148,BasisTable,3,0),0)+S$1)/(1-S$2))</f>
        <v>24.651512050524889</v>
      </c>
      <c r="T148" s="155">
        <f>IF(Assumptions!$L$25=4,VLOOKUP($A148,'Henwood Reference'!$E$9:$R$320,11),(VLOOKUP($A148,PriceTable,8,0)+IF(BasisNumber&lt;&gt;1,VLOOKUP($A148,BasisTable,3,0),0)+T$1)/(1-T$2))</f>
        <v>24.651512050524889</v>
      </c>
      <c r="U148" s="173">
        <f t="shared" si="469"/>
        <v>0.115</v>
      </c>
      <c r="V148" s="173">
        <f t="shared" si="470"/>
        <v>0.125</v>
      </c>
      <c r="W148" s="174">
        <f t="shared" si="471"/>
        <v>0.13500000000000001</v>
      </c>
      <c r="X148" s="173">
        <f t="shared" si="472"/>
        <v>0.115</v>
      </c>
      <c r="Y148" s="173">
        <f t="shared" si="473"/>
        <v>0.125</v>
      </c>
      <c r="Z148" s="174">
        <f t="shared" si="474"/>
        <v>0.13500000000000001</v>
      </c>
      <c r="AA148" s="173">
        <f t="shared" si="475"/>
        <v>0.09</v>
      </c>
      <c r="AB148" s="173">
        <f t="shared" si="476"/>
        <v>0.11</v>
      </c>
      <c r="AC148" s="174">
        <f t="shared" si="477"/>
        <v>0.13</v>
      </c>
      <c r="AD148" s="173">
        <f t="shared" si="478"/>
        <v>0.09</v>
      </c>
      <c r="AE148" s="173">
        <f t="shared" si="479"/>
        <v>0.11</v>
      </c>
      <c r="AF148" s="174">
        <f t="shared" si="480"/>
        <v>0.13</v>
      </c>
      <c r="AG148" s="173">
        <f t="shared" si="481"/>
        <v>-0.1</v>
      </c>
      <c r="AH148" s="173">
        <f t="shared" si="482"/>
        <v>0.65</v>
      </c>
      <c r="AI148" s="174">
        <f t="shared" si="483"/>
        <v>0.1</v>
      </c>
      <c r="AJ148" s="173">
        <f t="shared" si="484"/>
        <v>-0.1</v>
      </c>
      <c r="AK148" s="173">
        <f t="shared" si="485"/>
        <v>0.65</v>
      </c>
      <c r="AL148" s="174">
        <f t="shared" si="486"/>
        <v>0.1</v>
      </c>
      <c r="AM148" s="173">
        <f t="shared" si="487"/>
        <v>-0.01</v>
      </c>
      <c r="AN148" s="173">
        <f t="shared" si="488"/>
        <v>0.16</v>
      </c>
      <c r="AO148" s="174">
        <f t="shared" si="489"/>
        <v>0.01</v>
      </c>
      <c r="AP148" s="173">
        <f t="shared" si="490"/>
        <v>-0.01</v>
      </c>
      <c r="AQ148" s="173">
        <f t="shared" si="491"/>
        <v>0.16</v>
      </c>
      <c r="AR148" s="175">
        <f t="shared" si="492"/>
        <v>0.01</v>
      </c>
      <c r="AS148" s="521">
        <f t="shared" si="493"/>
        <v>0.5</v>
      </c>
      <c r="AT148" s="349">
        <f t="shared" si="410"/>
        <v>21</v>
      </c>
      <c r="AU148" s="159">
        <f t="shared" si="411"/>
        <v>5</v>
      </c>
      <c r="AV148" s="159">
        <f t="shared" si="412"/>
        <v>4</v>
      </c>
      <c r="AW148" s="159">
        <f t="shared" si="494"/>
        <v>0</v>
      </c>
      <c r="AX148" s="15">
        <f t="shared" si="413"/>
        <v>30</v>
      </c>
      <c r="AY148" s="607">
        <f>IF(E148="",0,MIN((1-(1-VLOOKUP(B148,MAIN!$AA$7:$AM$28,C148+1))*(1-VLOOKUP(B148,MAIN!$AA$33:$AM$54,C148+1))),1))</f>
        <v>0.127</v>
      </c>
      <c r="AZ148" s="337">
        <v>43999.199999999997</v>
      </c>
      <c r="BA148" s="509">
        <v>10476</v>
      </c>
      <c r="BB148" s="509">
        <v>8380.7999999999993</v>
      </c>
      <c r="BC148" s="511">
        <v>31428</v>
      </c>
      <c r="BD148" s="153">
        <v>0.873</v>
      </c>
      <c r="BE148" s="474">
        <v>0.873</v>
      </c>
      <c r="BF148" s="474">
        <v>0.873</v>
      </c>
      <c r="BG148" s="515">
        <v>0.87300000650435683</v>
      </c>
      <c r="BH148" s="262">
        <v>175996.79999999999</v>
      </c>
      <c r="BI148" s="509">
        <v>41904</v>
      </c>
      <c r="BJ148" s="509">
        <v>33523.199999999997</v>
      </c>
      <c r="BK148" s="511">
        <v>125712</v>
      </c>
      <c r="BL148" s="153">
        <v>0.873</v>
      </c>
      <c r="BM148" s="474">
        <v>0.873</v>
      </c>
      <c r="BN148" s="474">
        <v>0.873</v>
      </c>
      <c r="BO148" s="474">
        <v>0.87300000650435683</v>
      </c>
      <c r="BP148" s="261">
        <f t="shared" si="495"/>
        <v>62856</v>
      </c>
      <c r="BQ148" s="578">
        <f t="shared" si="496"/>
        <v>94284</v>
      </c>
      <c r="BR148" s="259">
        <f t="shared" si="497"/>
        <v>251424</v>
      </c>
      <c r="BS148" s="578">
        <f t="shared" si="498"/>
        <v>377136</v>
      </c>
      <c r="BT148" s="216">
        <f t="shared" si="499"/>
        <v>10.962354551676933</v>
      </c>
      <c r="BU148" s="218">
        <f t="shared" si="414"/>
        <v>37.875046495163694</v>
      </c>
      <c r="BV148" s="216">
        <f t="shared" si="415"/>
        <v>37.875046495163694</v>
      </c>
      <c r="BW148" s="216">
        <f t="shared" si="416"/>
        <v>24.651512050524889</v>
      </c>
      <c r="BX148" s="216">
        <f t="shared" si="500"/>
        <v>24.651512234192968</v>
      </c>
      <c r="BY148" s="216">
        <f t="shared" si="417"/>
        <v>36.111908569211849</v>
      </c>
      <c r="BZ148" s="216">
        <f t="shared" si="418"/>
        <v>32.291776457538887</v>
      </c>
      <c r="CA148" s="264">
        <f t="shared" si="419"/>
        <v>37.875046495163694</v>
      </c>
      <c r="CB148" s="216">
        <f t="shared" si="420"/>
        <v>37.875046495163694</v>
      </c>
      <c r="CC148" s="216">
        <f t="shared" si="421"/>
        <v>24.651512050524889</v>
      </c>
      <c r="CD148" s="216">
        <f t="shared" si="501"/>
        <v>24.651512234192968</v>
      </c>
      <c r="CE148" s="216">
        <f t="shared" si="422"/>
        <v>36.111908569211849</v>
      </c>
      <c r="CF148" s="571">
        <f t="shared" si="423"/>
        <v>32.291776457538887</v>
      </c>
      <c r="CG148" s="573">
        <f t="shared" si="424"/>
        <v>0.125</v>
      </c>
      <c r="CH148" s="219">
        <f t="shared" si="425"/>
        <v>0.125</v>
      </c>
      <c r="CI148" s="219">
        <f t="shared" si="426"/>
        <v>0.11</v>
      </c>
      <c r="CJ148" s="219">
        <f t="shared" si="427"/>
        <v>0.12364727014976687</v>
      </c>
      <c r="CK148" s="219">
        <f t="shared" si="428"/>
        <v>0.12364727014976687</v>
      </c>
      <c r="CL148" s="219">
        <f t="shared" si="429"/>
        <v>0.11</v>
      </c>
      <c r="CM148" s="219">
        <f t="shared" si="430"/>
        <v>0.10931646839962104</v>
      </c>
      <c r="CN148" s="569">
        <f t="shared" si="431"/>
        <v>0.10931646839962104</v>
      </c>
      <c r="CO148" s="264">
        <f t="shared" si="343"/>
        <v>19.924673405273047</v>
      </c>
      <c r="CP148" s="216">
        <f t="shared" si="502"/>
        <v>19.924673405273047</v>
      </c>
      <c r="CQ148" s="216">
        <f t="shared" ca="1" si="361"/>
        <v>19.924673405273047</v>
      </c>
      <c r="CR148" s="216">
        <f t="shared" ca="1" si="362"/>
        <v>19.924673405273047</v>
      </c>
      <c r="CS148" s="1626">
        <f t="shared" ca="1" si="363"/>
        <v>19.924673405273047</v>
      </c>
      <c r="CT148" s="216">
        <f t="shared" si="503"/>
        <v>19.924673405273047</v>
      </c>
      <c r="CU148" s="575">
        <f t="shared" si="432"/>
        <v>0.157</v>
      </c>
      <c r="CV148" s="154">
        <f t="shared" si="433"/>
        <v>0.5</v>
      </c>
      <c r="CW148" s="216">
        <f>IF(OR($BQ148,$BS148),SpreadOptPowerMargin,0)*((1+Assumptions!$C$26)^($B148-YEAR(Assumptions!$C$17)))</f>
        <v>2.1089868858040779</v>
      </c>
      <c r="CX148" s="216">
        <f>IF(OR($BQ148,$BS148),SpreadOptPowerMargin,0)*((1+Assumptions!$C$26)^($B148-YEAR(Assumptions!$C$17)))</f>
        <v>2.1089868858040779</v>
      </c>
      <c r="CY148" s="216">
        <f>IF(OR($BQ148,$BS148),SpreadOptPowerMargin,0)*((1+Assumptions!$C$26)^($B148-YEAR(Assumptions!$C$17)))</f>
        <v>2.1089868858040779</v>
      </c>
      <c r="CZ148" s="216">
        <f>IF(OR($BQ148,$BS148),SpreadOptPowerMargin,0)*((1+Assumptions!$C$26)^($B148-YEAR(Assumptions!$C$17)))</f>
        <v>2.1089868858040779</v>
      </c>
      <c r="DA148" s="440">
        <f t="shared" si="434"/>
        <v>2.1089868858040779</v>
      </c>
      <c r="DB148" s="479">
        <f t="shared" si="435"/>
        <v>0.125</v>
      </c>
      <c r="DC148" s="479">
        <f t="shared" si="436"/>
        <v>0.125</v>
      </c>
      <c r="DD148" s="479">
        <f t="shared" si="437"/>
        <v>0.11</v>
      </c>
      <c r="DE148" s="479">
        <f t="shared" si="438"/>
        <v>0.11</v>
      </c>
      <c r="DF148" s="479">
        <f t="shared" si="439"/>
        <v>0.10931646839962104</v>
      </c>
      <c r="DG148" s="574">
        <f t="shared" si="440"/>
        <v>0.10931646839962104</v>
      </c>
      <c r="DH148" s="216">
        <f t="shared" si="441"/>
        <v>16.546519581597565</v>
      </c>
      <c r="DI148" s="216">
        <f t="shared" si="442"/>
        <v>16.546519581597565</v>
      </c>
      <c r="DJ148" s="216">
        <f t="shared" ca="1" si="364"/>
        <v>5.3971465457232464</v>
      </c>
      <c r="DK148" s="216">
        <f t="shared" ca="1" si="365"/>
        <v>5.3971466719666861</v>
      </c>
      <c r="DL148" s="216">
        <f t="shared" ca="1" si="366"/>
        <v>11.420051894381089</v>
      </c>
      <c r="DM148" s="216"/>
      <c r="DN148" s="216"/>
      <c r="DO148" s="216"/>
      <c r="DP148" s="216"/>
      <c r="DQ148" s="216"/>
      <c r="DR148" s="216"/>
      <c r="DS148" s="216"/>
      <c r="DT148" s="216"/>
      <c r="DU148" s="216"/>
      <c r="DV148" s="216"/>
      <c r="DW148" s="1371">
        <f t="shared" si="443"/>
        <v>5.3971465457232464</v>
      </c>
      <c r="DX148" s="216">
        <f t="shared" si="444"/>
        <v>5.3971466719666861</v>
      </c>
      <c r="DY148" s="440">
        <f t="shared" si="445"/>
        <v>11.839006564087331</v>
      </c>
      <c r="DZ148" s="180">
        <f t="shared" si="446"/>
        <v>728033.62437462748</v>
      </c>
      <c r="EA148" s="180">
        <f t="shared" si="447"/>
        <v>173341.3391368161</v>
      </c>
      <c r="EB148" s="180">
        <f t="shared" ca="1" si="367"/>
        <v>45232.405770397381</v>
      </c>
      <c r="EC148" s="180">
        <f t="shared" ca="1" si="368"/>
        <v>169621.52560656902</v>
      </c>
      <c r="ED148" s="180">
        <f t="shared" ca="1" si="369"/>
        <v>1076728.1728098267</v>
      </c>
      <c r="EE148" s="581">
        <f t="shared" si="448"/>
        <v>697008.31987084565</v>
      </c>
      <c r="EF148" s="554">
        <f t="shared" si="449"/>
        <v>165954.36187401088</v>
      </c>
      <c r="EG148" s="554">
        <f t="shared" ca="1" si="370"/>
        <v>21939.692025579814</v>
      </c>
      <c r="EH148" s="554">
        <f t="shared" ca="1" si="371"/>
        <v>82273.850868244655</v>
      </c>
      <c r="EI148" s="561">
        <f t="shared" ca="1" si="450"/>
        <v>967176.22463868069</v>
      </c>
      <c r="EJ148" s="581">
        <f t="shared" si="504"/>
        <v>31025.304503781837</v>
      </c>
      <c r="EK148" s="554">
        <f t="shared" si="505"/>
        <v>7386.977262805216</v>
      </c>
      <c r="EL148" s="554">
        <f t="shared" ca="1" si="372"/>
        <v>23292.713744817567</v>
      </c>
      <c r="EM148" s="554">
        <f t="shared" ca="1" si="373"/>
        <v>87347.674738324364</v>
      </c>
      <c r="EN148" s="561">
        <f t="shared" ca="1" si="374"/>
        <v>109551.94817114598</v>
      </c>
      <c r="EO148" s="180">
        <f t="shared" si="451"/>
        <v>2912134.4974985099</v>
      </c>
      <c r="EP148" s="180">
        <f t="shared" si="452"/>
        <v>693365.35654726438</v>
      </c>
      <c r="EQ148" s="180">
        <f t="shared" si="453"/>
        <v>180929.62308158953</v>
      </c>
      <c r="ER148" s="180">
        <f t="shared" si="454"/>
        <v>678486.10242627608</v>
      </c>
      <c r="ES148" s="180">
        <f t="shared" si="455"/>
        <v>4464915.5795536395</v>
      </c>
      <c r="ET148" s="1482">
        <f t="shared" ca="1" si="375"/>
        <v>2788033.2794833826</v>
      </c>
      <c r="EU148" s="180">
        <f t="shared" ca="1" si="376"/>
        <v>663817.44749604352</v>
      </c>
      <c r="EV148" s="180">
        <f t="shared" ca="1" si="377"/>
        <v>87758.768102319256</v>
      </c>
      <c r="EW148" s="180">
        <f t="shared" ca="1" si="378"/>
        <v>329095.40347297862</v>
      </c>
      <c r="EX148" s="555">
        <f t="shared" ca="1" si="351"/>
        <v>3868704.8985547242</v>
      </c>
      <c r="EY148" s="180">
        <f t="shared" ca="1" si="379"/>
        <v>124101.21801512735</v>
      </c>
      <c r="EZ148" s="180">
        <f t="shared" ca="1" si="380"/>
        <v>29547.909051220864</v>
      </c>
      <c r="FA148" s="180">
        <f t="shared" ca="1" si="381"/>
        <v>93170.854979270269</v>
      </c>
      <c r="FB148" s="180">
        <f t="shared" ca="1" si="382"/>
        <v>349390.69895329745</v>
      </c>
      <c r="FC148" s="180">
        <f t="shared" ca="1" si="383"/>
        <v>596210.68099891534</v>
      </c>
      <c r="FD148" s="262">
        <f>IF(AX148,IF(VLOOKUP(C148,MAIN!$L$17:$M$28,2)="Yes",VLOOKUP(CALC!B148,MAIN!$H$17:$I$20,2),0),0)</f>
        <v>0</v>
      </c>
      <c r="FE148" s="623">
        <f t="shared" si="456"/>
        <v>0</v>
      </c>
      <c r="FF148" s="535">
        <f t="shared" si="457"/>
        <v>0</v>
      </c>
      <c r="FG148" s="535">
        <f t="shared" si="458"/>
        <v>0</v>
      </c>
      <c r="FH148" s="624">
        <f t="shared" si="459"/>
        <v>0</v>
      </c>
      <c r="FI148" s="632">
        <f>IF(AX148,VLOOKUP(CALC!B148,MAIN!$H$17:$K$20,4),0)</f>
        <v>0</v>
      </c>
      <c r="FJ148" s="535">
        <f t="shared" si="460"/>
        <v>0</v>
      </c>
      <c r="FK148" s="648">
        <f t="shared" si="506"/>
        <v>0</v>
      </c>
      <c r="FL148" s="530">
        <f t="shared" ca="1" si="384"/>
        <v>0</v>
      </c>
      <c r="FM148" s="530">
        <f t="shared" ca="1" si="385"/>
        <v>0</v>
      </c>
      <c r="FN148" s="530">
        <f t="shared" ca="1" si="386"/>
        <v>0</v>
      </c>
      <c r="FO148" s="622">
        <f t="shared" ca="1" si="387"/>
        <v>0</v>
      </c>
      <c r="FP148" s="530">
        <f t="shared" ca="1" si="388"/>
        <v>0</v>
      </c>
      <c r="FQ148" s="530">
        <f t="shared" ca="1" si="389"/>
        <v>0</v>
      </c>
      <c r="FR148" s="530">
        <f t="shared" ca="1" si="390"/>
        <v>0</v>
      </c>
      <c r="FS148" s="625">
        <f t="shared" ca="1" si="391"/>
        <v>0</v>
      </c>
      <c r="FT148" s="640">
        <f ca="1">IF(AND(Assumptions!$H$71="Yes",A148&gt;=Assumptions!$H$72,A148&lt;=Assumptions!$H$73),0,IF(AND($A148&gt;=Assumptions!$C$17,$A148&lt;=Assumptions!$C$18),MAX(AZ148*(1+VLOOKUP($C148,WeatherCapacityAdjustment,2))-FL148,0),0))</f>
        <v>43999.199999999997</v>
      </c>
      <c r="FU148" s="530">
        <f ca="1">IF(AND(Assumptions!$H$71="Yes",A148&gt;=Assumptions!$H$72,A148&lt;=Assumptions!$H$73),0,IF(AND($A148&gt;=Assumptions!$C$17,$A148&lt;=Assumptions!$C$18),MAX(BA148*(1+VLOOKUP($C148,WeatherCapacityAdjustment,2))-FM148,0),0))</f>
        <v>10476</v>
      </c>
      <c r="FV148" s="530">
        <f ca="1">IF(AND(Assumptions!$H$71="Yes",A148&gt;=Assumptions!$H$72,A148&lt;=Assumptions!$H$73),0,IF(AND($A148&gt;=Assumptions!$C$17,$A148&lt;=Assumptions!$C$18),MAX(BB148*(1+VLOOKUP($C148,WeatherCapacityAdjustment,2))-FN148,0),0))</f>
        <v>8380.7999999999993</v>
      </c>
      <c r="FW148" s="622">
        <f ca="1">IF(AND(Assumptions!$H$71="Yes",A148&gt;=Assumptions!$H$72,A148&lt;=Assumptions!$H$73),0,IF(AND($A148&gt;=Assumptions!$C$17,$A148&lt;=Assumptions!$C$18),MAX(BC148*(1+VLOOKUP($C148,WeatherCapacityAdjustment,3))-FO148,0),0))</f>
        <v>31428</v>
      </c>
      <c r="FX148" s="621">
        <f ca="1">IF(AND(Assumptions!$H$71="Yes",A148&gt;=Assumptions!$H$72,A148&lt;=Assumptions!$H$73),0,IF(ET148&gt;0,MAX(BH148*(1+VLOOKUP($C148,WeatherCapacityAdjustment,2))-FP148,0),0))</f>
        <v>175996.79999999999</v>
      </c>
      <c r="FY148" s="530">
        <f ca="1">IF(AND(Assumptions!$H$71="Yes",A148&gt;=Assumptions!$H$72,A148&lt;=Assumptions!$H$73),0,IF(EU148&gt;0,MAX(BI148*(1+VLOOKUP($C148,WeatherCapacityAdjustment,3))-FQ148,0),0))</f>
        <v>41904</v>
      </c>
      <c r="FZ148" s="530">
        <f ca="1">IF(AND(Assumptions!$H$71="Yes",A148&gt;=Assumptions!$H$72,A148&lt;=Assumptions!$H$73),0,IF(EV148&gt;0,MAX(BJ148*(1+VLOOKUP($C148,WeatherCapacityAdjustment,2))-FR148,0),0))</f>
        <v>33523.199999999997</v>
      </c>
      <c r="GA148" s="622">
        <f ca="1">IF(AND(Assumptions!$H$71="Yes",A148&gt;=Assumptions!$H$72,A148&lt;=Assumptions!$H$73),0,IF(EW148&gt;0,MAX(BK148*(1+VLOOKUP($C148,WeatherCapacityAdjustment,2))-FS148,0),0))</f>
        <v>125712</v>
      </c>
      <c r="GB148" s="530">
        <f t="shared" ca="1" si="461"/>
        <v>471420</v>
      </c>
      <c r="GC148" s="545">
        <f t="shared" ca="1" si="462"/>
        <v>32.291776457538887</v>
      </c>
      <c r="GD148" s="530">
        <f t="shared" ca="1" si="392"/>
        <v>15222989.257612985</v>
      </c>
      <c r="GE148" s="1485">
        <f t="shared" ca="1" si="393"/>
        <v>669940.61904000002</v>
      </c>
      <c r="GF148" s="1776">
        <f t="shared" ca="1" si="394"/>
        <v>2679762.4761600001</v>
      </c>
      <c r="GG148" s="545">
        <f t="shared" si="359"/>
        <v>2.8040961451698454</v>
      </c>
      <c r="GH148" s="622">
        <f t="shared" ca="1" si="360"/>
        <v>9392889.53671382</v>
      </c>
      <c r="GI148" s="621">
        <f t="shared" ca="1" si="507"/>
        <v>471420</v>
      </c>
      <c r="GJ148" s="638">
        <f t="shared" si="463"/>
        <v>2.1089868858040779</v>
      </c>
      <c r="GK148" s="625">
        <f t="shared" ca="1" si="513"/>
        <v>994218.59770575841</v>
      </c>
      <c r="GL148" s="640">
        <f t="shared" ca="1" si="395"/>
        <v>0</v>
      </c>
      <c r="GM148" s="530">
        <f t="shared" ca="1" si="396"/>
        <v>0</v>
      </c>
      <c r="GN148" s="530">
        <f t="shared" ca="1" si="397"/>
        <v>0</v>
      </c>
      <c r="GO148" s="622">
        <f t="shared" ca="1" si="398"/>
        <v>0</v>
      </c>
      <c r="GP148" s="530">
        <f t="shared" ca="1" si="464"/>
        <v>0</v>
      </c>
      <c r="GQ148" s="545">
        <f t="shared" ca="1" si="465"/>
        <v>0</v>
      </c>
      <c r="GR148" s="625">
        <f t="shared" ca="1" si="399"/>
        <v>0</v>
      </c>
      <c r="GS148" s="640">
        <f>IF($A148&gt;=BegDate,Assumptions!$C$56*24*($A149-$A148)*(1-VLOOKUP($B148,MAIN!$AA$7:$AM$28,$C148+1))*(1-VLOOKUP($B148,MAIN!$AA$33:$AM$54,$C148+1)),0)*80/168</f>
        <v>224485.71428571429</v>
      </c>
      <c r="GT148" s="1715">
        <f t="shared" si="508"/>
        <v>37.875046495163694</v>
      </c>
      <c r="GU148" s="1715">
        <f>IF($A148&gt;=BegDate,VLOOKUP($A148,GasTable,13)+Assumptions!$C$58,0)</f>
        <v>2.8040961451698454</v>
      </c>
      <c r="GV148" s="1715">
        <f>GU148*Assumptions!$C$57/1000</f>
        <v>20.329697052481382</v>
      </c>
      <c r="GW148" s="625">
        <f>IF(Assumptions!$C$60="Hourly",MAX(0,GS148*(GT148-GV148)),GS148*(GT148-GV148))</f>
        <v>3938680.3020329978</v>
      </c>
      <c r="GX148" s="640">
        <f>IF($A148&gt;=BegDate,Assumptions!$C$56*24*($A149-$A148)*(1-VLOOKUP($B148,MAIN!$AA$7:$AM$28,$C148+1))*(1-VLOOKUP($B148,MAIN!$AA$33:$AM$54,$C148+1)),0)*16/168</f>
        <v>44897.142857142855</v>
      </c>
      <c r="GY148" s="1715">
        <f t="shared" si="509"/>
        <v>37.875046495163694</v>
      </c>
      <c r="GZ148" s="1715">
        <f>IF($A148&gt;=BegDate,VLOOKUP($A148,GasTable,13)+Assumptions!$C$58,0)</f>
        <v>2.8040961451698454</v>
      </c>
      <c r="HA148" s="1715">
        <f>GZ148*Assumptions!$C$57/1000</f>
        <v>20.329697052481382</v>
      </c>
      <c r="HB148" s="625">
        <f>IF(Assumptions!$C$60="Hourly",MAX(0,GX148*(GY148-HA148)),GX148*(GY148-HA148))</f>
        <v>787736.06040659954</v>
      </c>
      <c r="HC148" s="640">
        <f>IF($A148&gt;=BegDate,Assumptions!$C$56*24*($A149-$A148)*(1-VLOOKUP($B148,MAIN!$AA$7:$AM$28,$C148+1))*(1-VLOOKUP($B148,MAIN!$AA$33:$AM$54,$C148+1)),0)*16/168</f>
        <v>44897.142857142855</v>
      </c>
      <c r="HD148" s="1715">
        <f t="shared" si="510"/>
        <v>24.651512050524889</v>
      </c>
      <c r="HE148" s="1715">
        <f>IF($A148&gt;=BegDate,VLOOKUP($A148,GasTable,13)+Assumptions!$C$58,0)</f>
        <v>2.8040961451698454</v>
      </c>
      <c r="HF148" s="1715">
        <f>HE148*Assumptions!$C$57/1000</f>
        <v>20.329697052481382</v>
      </c>
      <c r="HG148" s="625">
        <f>IF(Assumptions!$C$60="Hourly",MAX(0,HC148*(HD148-HF148)),HC148*(HD148-HF148))</f>
        <v>194037.1453693019</v>
      </c>
      <c r="HH148" s="640">
        <f>IF($A148&gt;=BegDate,Assumptions!$C$56*24*($A149-$A148)*(1-VLOOKUP($B148,MAIN!$AA$7:$AM$28,$C148+1))*(1-VLOOKUP($B148,MAIN!$AA$33:$AM$54,$C148+1)),0)*56/168</f>
        <v>157140</v>
      </c>
      <c r="HI148" s="1715">
        <f t="shared" si="511"/>
        <v>24.651512050524889</v>
      </c>
      <c r="HJ148" s="1715">
        <f>IF($A148&gt;=BegDate,VLOOKUP($A148,GasTable,13)+Assumptions!$C$58,0)</f>
        <v>2.8040961451698454</v>
      </c>
      <c r="HK148" s="1715">
        <f>HJ148*Assumptions!$C$57/1000</f>
        <v>20.329697052481382</v>
      </c>
      <c r="HL148" s="625">
        <f>IF(Assumptions!$C$60="Hourly",MAX(0,HH148*(HI148-HK148)),HH148*(HI148-HK148))</f>
        <v>679130.00879255671</v>
      </c>
      <c r="HM148" s="640">
        <f>IF(AND(Assumptions!$H$71="Yes",A148&gt;=Assumptions!$H$72,A148&lt;=Assumptions!$H$73),Assumptions!$H$74*Assumptions!$C$9*1000,0)</f>
        <v>0</v>
      </c>
      <c r="HN148" s="530"/>
      <c r="HO148" s="545"/>
      <c r="HP148" s="545"/>
      <c r="HQ148" s="545"/>
      <c r="HR148" s="545"/>
      <c r="HS148" s="545"/>
      <c r="HT148" s="545"/>
      <c r="HU148" s="545"/>
      <c r="HV148" s="545"/>
      <c r="HW148" s="545"/>
      <c r="HX148" s="545"/>
      <c r="HY148" s="545"/>
      <c r="HZ148" s="545"/>
      <c r="IA148" s="545"/>
      <c r="IB148" s="545"/>
      <c r="IC148" s="545"/>
      <c r="ID148" s="545"/>
      <c r="IE148" s="545"/>
      <c r="IF148" s="545"/>
      <c r="IG148" s="545"/>
      <c r="IH148" s="545"/>
      <c r="II148" s="1464"/>
      <c r="IJ148" s="1463"/>
      <c r="IK148" s="1463"/>
    </row>
    <row r="149" spans="1:245">
      <c r="A149" s="177">
        <f t="shared" si="466"/>
        <v>40664</v>
      </c>
      <c r="B149" s="349">
        <f t="shared" si="467"/>
        <v>2011</v>
      </c>
      <c r="C149" s="15">
        <f t="shared" si="407"/>
        <v>5</v>
      </c>
      <c r="D149" s="612">
        <f t="shared" si="468"/>
        <v>40693</v>
      </c>
      <c r="E149" s="609">
        <f t="shared" si="408"/>
        <v>40664</v>
      </c>
      <c r="F149" s="614">
        <f t="shared" si="409"/>
        <v>40694</v>
      </c>
      <c r="G149" s="1349">
        <v>0</v>
      </c>
      <c r="H149" s="152">
        <f t="shared" si="512"/>
        <v>1</v>
      </c>
      <c r="I149" s="154">
        <f>IF(Assumptions!$L$25=4,VLOOKUP($A149,'Henwood Reference'!$E$9:$R$320,10),(VLOOKUP($A149,PriceTable,2,0)+IF(BasisNumber&lt;&gt;1,VLOOKUP($A149,BasisTable,2,0),0)+I$1)/(1-I$2))</f>
        <v>40.267174327084163</v>
      </c>
      <c r="J149" s="154">
        <f>IF(Assumptions!$L$25=4,VLOOKUP($A149,'Henwood Reference'!$E$9:$R$320,10),(VLOOKUP($A149,PriceTable,3,0)+IF(BasisNumber&lt;&gt;1,VLOOKUP($A149,BasisTable,2,0),0)+J$1)/(1-J$2))</f>
        <v>40.267174327084163</v>
      </c>
      <c r="K149" s="154">
        <f>IF(Assumptions!$L$25=4,VLOOKUP($A149,'Henwood Reference'!$E$9:$R$320,10),(VLOOKUP($A149,PriceTable,4,0)+IF(BasisNumber&lt;&gt;1,VLOOKUP($A149,BasisTable,2,0),0)+K$1)/(1-K$2))</f>
        <v>40.267174327084163</v>
      </c>
      <c r="L149" s="474">
        <f>IF(Assumptions!$L$25=4,VLOOKUP($A149,'Henwood Reference'!$E$9:$R$320,10),(VLOOKUP($A149,PriceTableWeekend,2,0)+IF(BasisNumber&lt;&gt;1,VLOOKUP($A149,BasisTable,2,0),0)+L$1)/(1-L$2))</f>
        <v>40.267174327084163</v>
      </c>
      <c r="M149" s="154">
        <f>IF(Assumptions!$L$25=4,VLOOKUP($A149,'Henwood Reference'!$E$9:$R$320,10),(VLOOKUP($A149,PriceTableWeekend,3,0)+IF(BasisNumber&lt;&gt;1,VLOOKUP($A149,BasisTable,2,0),0)+M$1)/(1-M$2))</f>
        <v>40.267174327084163</v>
      </c>
      <c r="N149" s="156">
        <f>IF(Assumptions!$L$25=4,VLOOKUP($A149,'Henwood Reference'!$E$9:$R$320,10),(VLOOKUP($A149,PriceTableWeekend,4,0)+IF(BasisNumber&lt;&gt;1,VLOOKUP($A149,BasisTable,2,0),0)+N$1)/(1-N$2))</f>
        <v>40.267174327084163</v>
      </c>
      <c r="O149" s="154">
        <f>IF(Assumptions!$L$25=4,VLOOKUP($A149,'Henwood Reference'!$E$9:$R$320,11),(VLOOKUP($A149,PriceTableWeekend,6,0)+IF(BasisNumber&lt;&gt;1,VLOOKUP($A149,BasisTable,3,0),0)+O$1)/(1-O$2))</f>
        <v>24.636715896254991</v>
      </c>
      <c r="P149" s="154">
        <f>IF(Assumptions!$L$25=4,VLOOKUP($A149,'Henwood Reference'!$E$9:$R$320,11),(VLOOKUP($A149,PriceTableWeekend,7,0)+IF(BasisNumber&lt;&gt;1,VLOOKUP($A149,BasisTable,3,0),0)+P$1)/(1-P$2))</f>
        <v>24.636715896254991</v>
      </c>
      <c r="Q149" s="156">
        <f>IF(Assumptions!$L$25=4,VLOOKUP($A149,'Henwood Reference'!$E$9:$R$320,11),(VLOOKUP($A149,PriceTableWeekend,8,0)+IF(BasisNumber&lt;&gt;1,VLOOKUP($A149,BasisTable,3,0),0)+Q$1)/(1-Q$2))</f>
        <v>24.636715896254991</v>
      </c>
      <c r="R149" s="154">
        <f>IF(Assumptions!$L$25=4,VLOOKUP($A149,'Henwood Reference'!$E$9:$R$320,11),(VLOOKUP($A149,PriceTable,6,0)+IF(BasisNumber&lt;&gt;1,VLOOKUP($A149,BasisTable,3,0),0)+R$1)/(1-R$2))</f>
        <v>24.636715896254991</v>
      </c>
      <c r="S149" s="154">
        <f>IF(Assumptions!$L$25=4,VLOOKUP($A149,'Henwood Reference'!$E$9:$R$320,11),(VLOOKUP($A149,PriceTable,7,0)+IF(BasisNumber&lt;&gt;1,VLOOKUP($A149,BasisTable,3,0),0)+S$1)/(1-S$2))</f>
        <v>24.636715896254991</v>
      </c>
      <c r="T149" s="155">
        <f>IF(Assumptions!$L$25=4,VLOOKUP($A149,'Henwood Reference'!$E$9:$R$320,11),(VLOOKUP($A149,PriceTable,8,0)+IF(BasisNumber&lt;&gt;1,VLOOKUP($A149,BasisTable,3,0),0)+T$1)/(1-T$2))</f>
        <v>24.636715896254991</v>
      </c>
      <c r="U149" s="173">
        <f t="shared" si="469"/>
        <v>0.115</v>
      </c>
      <c r="V149" s="173">
        <f t="shared" si="470"/>
        <v>0.125</v>
      </c>
      <c r="W149" s="174">
        <f t="shared" si="471"/>
        <v>0.13500000000000001</v>
      </c>
      <c r="X149" s="173">
        <f t="shared" si="472"/>
        <v>0.115</v>
      </c>
      <c r="Y149" s="173">
        <f t="shared" si="473"/>
        <v>0.125</v>
      </c>
      <c r="Z149" s="174">
        <f t="shared" si="474"/>
        <v>0.13500000000000001</v>
      </c>
      <c r="AA149" s="173">
        <f t="shared" si="475"/>
        <v>0.09</v>
      </c>
      <c r="AB149" s="173">
        <f t="shared" si="476"/>
        <v>0.11</v>
      </c>
      <c r="AC149" s="174">
        <f t="shared" si="477"/>
        <v>0.13</v>
      </c>
      <c r="AD149" s="173">
        <f t="shared" si="478"/>
        <v>0.09</v>
      </c>
      <c r="AE149" s="173">
        <f t="shared" si="479"/>
        <v>0.11</v>
      </c>
      <c r="AF149" s="174">
        <f t="shared" si="480"/>
        <v>0.13</v>
      </c>
      <c r="AG149" s="173">
        <f t="shared" si="481"/>
        <v>-0.1</v>
      </c>
      <c r="AH149" s="173">
        <f t="shared" si="482"/>
        <v>0.65</v>
      </c>
      <c r="AI149" s="174">
        <f t="shared" si="483"/>
        <v>0.1</v>
      </c>
      <c r="AJ149" s="173">
        <f t="shared" si="484"/>
        <v>-0.1</v>
      </c>
      <c r="AK149" s="173">
        <f t="shared" si="485"/>
        <v>0.65</v>
      </c>
      <c r="AL149" s="174">
        <f t="shared" si="486"/>
        <v>0.1</v>
      </c>
      <c r="AM149" s="173">
        <f t="shared" si="487"/>
        <v>-0.01</v>
      </c>
      <c r="AN149" s="173">
        <f t="shared" si="488"/>
        <v>0.16</v>
      </c>
      <c r="AO149" s="174">
        <f t="shared" si="489"/>
        <v>0.01</v>
      </c>
      <c r="AP149" s="173">
        <f t="shared" si="490"/>
        <v>-0.01</v>
      </c>
      <c r="AQ149" s="173">
        <f t="shared" si="491"/>
        <v>0.16</v>
      </c>
      <c r="AR149" s="175">
        <f t="shared" si="492"/>
        <v>0.01</v>
      </c>
      <c r="AS149" s="521">
        <f t="shared" si="493"/>
        <v>0.5</v>
      </c>
      <c r="AT149" s="349">
        <f t="shared" si="410"/>
        <v>21</v>
      </c>
      <c r="AU149" s="159">
        <f t="shared" si="411"/>
        <v>4</v>
      </c>
      <c r="AV149" s="159">
        <f t="shared" si="412"/>
        <v>5</v>
      </c>
      <c r="AW149" s="159">
        <f t="shared" si="494"/>
        <v>1</v>
      </c>
      <c r="AX149" s="15">
        <f t="shared" si="413"/>
        <v>31</v>
      </c>
      <c r="AY149" s="607">
        <f>IF(E149="",0,MIN((1-(1-VLOOKUP(B149,MAIN!$AA$7:$AM$28,C149+1))*(1-VLOOKUP(B149,MAIN!$AA$33:$AM$54,C149+1))),1))</f>
        <v>3.0000000000000027E-2</v>
      </c>
      <c r="AZ149" s="337">
        <v>48888</v>
      </c>
      <c r="BA149" s="509">
        <v>9312</v>
      </c>
      <c r="BB149" s="509">
        <v>13968</v>
      </c>
      <c r="BC149" s="511">
        <v>36084</v>
      </c>
      <c r="BD149" s="153">
        <v>0.97</v>
      </c>
      <c r="BE149" s="474">
        <v>0.97</v>
      </c>
      <c r="BF149" s="474">
        <v>0.97</v>
      </c>
      <c r="BG149" s="515">
        <v>0.97</v>
      </c>
      <c r="BH149" s="262">
        <v>195552</v>
      </c>
      <c r="BI149" s="509">
        <v>37248</v>
      </c>
      <c r="BJ149" s="509">
        <v>55872</v>
      </c>
      <c r="BK149" s="511">
        <v>144336</v>
      </c>
      <c r="BL149" s="153">
        <v>0.97</v>
      </c>
      <c r="BM149" s="474">
        <v>0.97</v>
      </c>
      <c r="BN149" s="474">
        <v>0.97</v>
      </c>
      <c r="BO149" s="474">
        <v>0.97</v>
      </c>
      <c r="BP149" s="261">
        <f t="shared" si="495"/>
        <v>72168</v>
      </c>
      <c r="BQ149" s="578">
        <f t="shared" si="496"/>
        <v>108252</v>
      </c>
      <c r="BR149" s="259">
        <f t="shared" si="497"/>
        <v>288672</v>
      </c>
      <c r="BS149" s="578">
        <f t="shared" si="498"/>
        <v>433008</v>
      </c>
      <c r="BT149" s="216">
        <f t="shared" si="499"/>
        <v>11.044490075290897</v>
      </c>
      <c r="BU149" s="218">
        <f t="shared" si="414"/>
        <v>40.267174327084163</v>
      </c>
      <c r="BV149" s="216">
        <f t="shared" si="415"/>
        <v>40.267174327084163</v>
      </c>
      <c r="BW149" s="216">
        <f t="shared" si="416"/>
        <v>24.636715896254991</v>
      </c>
      <c r="BX149" s="216">
        <f t="shared" si="500"/>
        <v>24.636715896254991</v>
      </c>
      <c r="BY149" s="216">
        <f t="shared" si="417"/>
        <v>37.241924308213996</v>
      </c>
      <c r="BZ149" s="216">
        <f t="shared" si="418"/>
        <v>33.040188170894325</v>
      </c>
      <c r="CA149" s="264">
        <f t="shared" si="419"/>
        <v>40.267174327084163</v>
      </c>
      <c r="CB149" s="216">
        <f t="shared" si="420"/>
        <v>40.267174327084163</v>
      </c>
      <c r="CC149" s="216">
        <f t="shared" si="421"/>
        <v>24.636715896254991</v>
      </c>
      <c r="CD149" s="216">
        <f t="shared" si="501"/>
        <v>24.636715896254991</v>
      </c>
      <c r="CE149" s="216">
        <f t="shared" si="422"/>
        <v>37.241924308213996</v>
      </c>
      <c r="CF149" s="571">
        <f t="shared" si="423"/>
        <v>33.040188170894325</v>
      </c>
      <c r="CG149" s="573">
        <f t="shared" si="424"/>
        <v>0.125</v>
      </c>
      <c r="CH149" s="219">
        <f t="shared" si="425"/>
        <v>0.125</v>
      </c>
      <c r="CI149" s="219">
        <f t="shared" si="426"/>
        <v>0.11</v>
      </c>
      <c r="CJ149" s="219">
        <f t="shared" si="427"/>
        <v>0.1230964284570724</v>
      </c>
      <c r="CK149" s="219">
        <f t="shared" si="428"/>
        <v>0.1230964284570724</v>
      </c>
      <c r="CL149" s="219">
        <f t="shared" si="429"/>
        <v>0.11</v>
      </c>
      <c r="CM149" s="219">
        <f t="shared" si="430"/>
        <v>0.10917675410328918</v>
      </c>
      <c r="CN149" s="569">
        <f t="shared" si="431"/>
        <v>0.10917675410328918</v>
      </c>
      <c r="CO149" s="264">
        <f t="shared" si="343"/>
        <v>19.750439338391569</v>
      </c>
      <c r="CP149" s="216">
        <f t="shared" si="502"/>
        <v>19.750439338391569</v>
      </c>
      <c r="CQ149" s="216">
        <f t="shared" ca="1" si="361"/>
        <v>19.750439338391569</v>
      </c>
      <c r="CR149" s="216">
        <f t="shared" ca="1" si="362"/>
        <v>19.750439338391569</v>
      </c>
      <c r="CS149" s="1626">
        <f t="shared" ca="1" si="363"/>
        <v>19.750439338391569</v>
      </c>
      <c r="CT149" s="216">
        <f t="shared" si="503"/>
        <v>19.750439338391569</v>
      </c>
      <c r="CU149" s="575">
        <f t="shared" si="432"/>
        <v>0.157</v>
      </c>
      <c r="CV149" s="154">
        <f t="shared" si="433"/>
        <v>0.5</v>
      </c>
      <c r="CW149" s="216">
        <f>IF(OR($BQ149,$BS149),SpreadOptPowerMargin,0)*((1+Assumptions!$C$26)^($B149-YEAR(Assumptions!$C$17)))</f>
        <v>2.1089868858040779</v>
      </c>
      <c r="CX149" s="216">
        <f>IF(OR($BQ149,$BS149),SpreadOptPowerMargin,0)*((1+Assumptions!$C$26)^($B149-YEAR(Assumptions!$C$17)))</f>
        <v>2.1089868858040779</v>
      </c>
      <c r="CY149" s="216">
        <f>IF(OR($BQ149,$BS149),SpreadOptPowerMargin,0)*((1+Assumptions!$C$26)^($B149-YEAR(Assumptions!$C$17)))</f>
        <v>2.1089868858040779</v>
      </c>
      <c r="CZ149" s="216">
        <f>IF(OR($BQ149,$BS149),SpreadOptPowerMargin,0)*((1+Assumptions!$C$26)^($B149-YEAR(Assumptions!$C$17)))</f>
        <v>2.1089868858040779</v>
      </c>
      <c r="DA149" s="440">
        <f t="shared" si="434"/>
        <v>2.1089868858040774</v>
      </c>
      <c r="DB149" s="479">
        <f t="shared" si="435"/>
        <v>0.125</v>
      </c>
      <c r="DC149" s="479">
        <f t="shared" si="436"/>
        <v>0.125</v>
      </c>
      <c r="DD149" s="479">
        <f t="shared" si="437"/>
        <v>0.11</v>
      </c>
      <c r="DE149" s="479">
        <f t="shared" si="438"/>
        <v>0.11</v>
      </c>
      <c r="DF149" s="479">
        <f t="shared" si="439"/>
        <v>0.10917675410328918</v>
      </c>
      <c r="DG149" s="574">
        <f t="shared" si="440"/>
        <v>0.10917675410328918</v>
      </c>
      <c r="DH149" s="216">
        <f t="shared" si="441"/>
        <v>18.939421482212694</v>
      </c>
      <c r="DI149" s="216">
        <f t="shared" si="442"/>
        <v>18.939421482212694</v>
      </c>
      <c r="DJ149" s="216">
        <f t="shared" ca="1" si="364"/>
        <v>5.4904538870717374</v>
      </c>
      <c r="DK149" s="216">
        <f t="shared" ca="1" si="365"/>
        <v>5.4904538870717374</v>
      </c>
      <c r="DL149" s="216">
        <f t="shared" ca="1" si="366"/>
        <v>12.216120320390656</v>
      </c>
      <c r="DM149" s="216"/>
      <c r="DN149" s="216"/>
      <c r="DO149" s="216"/>
      <c r="DP149" s="216"/>
      <c r="DQ149" s="216"/>
      <c r="DR149" s="216"/>
      <c r="DS149" s="216"/>
      <c r="DT149" s="216"/>
      <c r="DU149" s="216"/>
      <c r="DV149" s="216"/>
      <c r="DW149" s="1371">
        <f t="shared" si="443"/>
        <v>5.4904538870717374</v>
      </c>
      <c r="DX149" s="216">
        <f t="shared" si="444"/>
        <v>5.4904538870717374</v>
      </c>
      <c r="DY149" s="440">
        <f t="shared" si="445"/>
        <v>12.721081626394833</v>
      </c>
      <c r="DZ149" s="180">
        <f t="shared" si="446"/>
        <v>925910.43742241419</v>
      </c>
      <c r="EA149" s="180">
        <f t="shared" si="447"/>
        <v>176363.89284236461</v>
      </c>
      <c r="EB149" s="180">
        <f t="shared" ca="1" si="367"/>
        <v>76690.659894618031</v>
      </c>
      <c r="EC149" s="180">
        <f t="shared" ca="1" si="368"/>
        <v>198117.53806109657</v>
      </c>
      <c r="ED149" s="180">
        <f t="shared" ca="1" si="369"/>
        <v>1322419.4569229293</v>
      </c>
      <c r="EE149" s="581">
        <f t="shared" si="448"/>
        <v>899917.98925401375</v>
      </c>
      <c r="EF149" s="554">
        <f t="shared" si="449"/>
        <v>171412.95033409784</v>
      </c>
      <c r="EG149" s="554">
        <f t="shared" ca="1" si="370"/>
        <v>38793.182139324905</v>
      </c>
      <c r="EH149" s="554">
        <f t="shared" ca="1" si="371"/>
        <v>100215.72052658933</v>
      </c>
      <c r="EI149" s="561">
        <f t="shared" ca="1" si="450"/>
        <v>1210339.8422540252</v>
      </c>
      <c r="EJ149" s="581">
        <f t="shared" si="504"/>
        <v>25992.448168400442</v>
      </c>
      <c r="EK149" s="554">
        <f t="shared" si="505"/>
        <v>4950.9425082667731</v>
      </c>
      <c r="EL149" s="554">
        <f t="shared" ca="1" si="372"/>
        <v>37897.477755293126</v>
      </c>
      <c r="EM149" s="554">
        <f t="shared" ca="1" si="373"/>
        <v>97901.817534507238</v>
      </c>
      <c r="EN149" s="561">
        <f t="shared" ca="1" si="374"/>
        <v>112079.61466890411</v>
      </c>
      <c r="EO149" s="180">
        <f t="shared" si="451"/>
        <v>3703641.7496896568</v>
      </c>
      <c r="EP149" s="180">
        <f t="shared" si="452"/>
        <v>705455.57136945846</v>
      </c>
      <c r="EQ149" s="180">
        <f t="shared" si="453"/>
        <v>306762.63957847212</v>
      </c>
      <c r="ER149" s="180">
        <f t="shared" si="454"/>
        <v>792470.15224438626</v>
      </c>
      <c r="ES149" s="180">
        <f t="shared" si="455"/>
        <v>5508330.1128819734</v>
      </c>
      <c r="ET149" s="1482">
        <f t="shared" ca="1" si="375"/>
        <v>3599671.957016055</v>
      </c>
      <c r="EU149" s="180">
        <f t="shared" ca="1" si="376"/>
        <v>685651.80133639136</v>
      </c>
      <c r="EV149" s="180">
        <f t="shared" ca="1" si="377"/>
        <v>155172.72855729962</v>
      </c>
      <c r="EW149" s="180">
        <f t="shared" ca="1" si="378"/>
        <v>400862.88210635731</v>
      </c>
      <c r="EX149" s="555">
        <f t="shared" ca="1" si="351"/>
        <v>4841359.3690161034</v>
      </c>
      <c r="EY149" s="180">
        <f t="shared" ca="1" si="379"/>
        <v>103969.79267360177</v>
      </c>
      <c r="EZ149" s="180">
        <f t="shared" ca="1" si="380"/>
        <v>19803.770033067092</v>
      </c>
      <c r="FA149" s="180">
        <f t="shared" ca="1" si="381"/>
        <v>151589.91102117251</v>
      </c>
      <c r="FB149" s="180">
        <f t="shared" ca="1" si="382"/>
        <v>391607.27013802895</v>
      </c>
      <c r="FC149" s="180">
        <f t="shared" ca="1" si="383"/>
        <v>666970.74386586994</v>
      </c>
      <c r="FD149" s="262">
        <f>IF(AX149,IF(VLOOKUP(C149,MAIN!$L$17:$M$28,2)="Yes",VLOOKUP(CALC!B149,MAIN!$H$17:$I$20,2),0),0)</f>
        <v>0</v>
      </c>
      <c r="FE149" s="623">
        <f t="shared" si="456"/>
        <v>0</v>
      </c>
      <c r="FF149" s="535">
        <f t="shared" si="457"/>
        <v>0</v>
      </c>
      <c r="FG149" s="535">
        <f t="shared" si="458"/>
        <v>0</v>
      </c>
      <c r="FH149" s="624">
        <f t="shared" si="459"/>
        <v>0</v>
      </c>
      <c r="FI149" s="632">
        <f>IF(AX149,VLOOKUP(CALC!B149,MAIN!$H$17:$K$20,4),0)</f>
        <v>0</v>
      </c>
      <c r="FJ149" s="535">
        <f t="shared" si="460"/>
        <v>0</v>
      </c>
      <c r="FK149" s="648">
        <f t="shared" si="506"/>
        <v>0</v>
      </c>
      <c r="FL149" s="530">
        <f t="shared" ca="1" si="384"/>
        <v>0</v>
      </c>
      <c r="FM149" s="530">
        <f t="shared" ca="1" si="385"/>
        <v>0</v>
      </c>
      <c r="FN149" s="530">
        <f t="shared" ca="1" si="386"/>
        <v>0</v>
      </c>
      <c r="FO149" s="622">
        <f t="shared" ca="1" si="387"/>
        <v>0</v>
      </c>
      <c r="FP149" s="530">
        <f t="shared" ca="1" si="388"/>
        <v>0</v>
      </c>
      <c r="FQ149" s="530">
        <f t="shared" ca="1" si="389"/>
        <v>0</v>
      </c>
      <c r="FR149" s="530">
        <f t="shared" ca="1" si="390"/>
        <v>0</v>
      </c>
      <c r="FS149" s="625">
        <f t="shared" ca="1" si="391"/>
        <v>0</v>
      </c>
      <c r="FT149" s="640">
        <f ca="1">IF(AND(Assumptions!$H$71="Yes",A149&gt;=Assumptions!$H$72,A149&lt;=Assumptions!$H$73),0,IF(AND($A149&gt;=Assumptions!$C$17,$A149&lt;=Assumptions!$C$18),MAX(AZ149*(1+VLOOKUP($C149,WeatherCapacityAdjustment,2))-FL149,0),0))</f>
        <v>48888</v>
      </c>
      <c r="FU149" s="530">
        <f ca="1">IF(AND(Assumptions!$H$71="Yes",A149&gt;=Assumptions!$H$72,A149&lt;=Assumptions!$H$73),0,IF(AND($A149&gt;=Assumptions!$C$17,$A149&lt;=Assumptions!$C$18),MAX(BA149*(1+VLOOKUP($C149,WeatherCapacityAdjustment,2))-FM149,0),0))</f>
        <v>9312</v>
      </c>
      <c r="FV149" s="530">
        <f ca="1">IF(AND(Assumptions!$H$71="Yes",A149&gt;=Assumptions!$H$72,A149&lt;=Assumptions!$H$73),0,IF(AND($A149&gt;=Assumptions!$C$17,$A149&lt;=Assumptions!$C$18),MAX(BB149*(1+VLOOKUP($C149,WeatherCapacityAdjustment,2))-FN149,0),0))</f>
        <v>13968</v>
      </c>
      <c r="FW149" s="622">
        <f ca="1">IF(AND(Assumptions!$H$71="Yes",A149&gt;=Assumptions!$H$72,A149&lt;=Assumptions!$H$73),0,IF(AND($A149&gt;=Assumptions!$C$17,$A149&lt;=Assumptions!$C$18),MAX(BC149*(1+VLOOKUP($C149,WeatherCapacityAdjustment,3))-FO149,0),0))</f>
        <v>36084</v>
      </c>
      <c r="FX149" s="621">
        <f ca="1">IF(AND(Assumptions!$H$71="Yes",A149&gt;=Assumptions!$H$72,A149&lt;=Assumptions!$H$73),0,IF(ET149&gt;0,MAX(BH149*(1+VLOOKUP($C149,WeatherCapacityAdjustment,2))-FP149,0),0))</f>
        <v>195552</v>
      </c>
      <c r="FY149" s="530">
        <f ca="1">IF(AND(Assumptions!$H$71="Yes",A149&gt;=Assumptions!$H$72,A149&lt;=Assumptions!$H$73),0,IF(EU149&gt;0,MAX(BI149*(1+VLOOKUP($C149,WeatherCapacityAdjustment,3))-FQ149,0),0))</f>
        <v>37248</v>
      </c>
      <c r="FZ149" s="530">
        <f ca="1">IF(AND(Assumptions!$H$71="Yes",A149&gt;=Assumptions!$H$72,A149&lt;=Assumptions!$H$73),0,IF(EV149&gt;0,MAX(BJ149*(1+VLOOKUP($C149,WeatherCapacityAdjustment,2))-FR149,0),0))</f>
        <v>55872</v>
      </c>
      <c r="GA149" s="622">
        <f ca="1">IF(AND(Assumptions!$H$71="Yes",A149&gt;=Assumptions!$H$72,A149&lt;=Assumptions!$H$73),0,IF(EW149&gt;0,MAX(BK149*(1+VLOOKUP($C149,WeatherCapacityAdjustment,2))-FS149,0),0))</f>
        <v>144336</v>
      </c>
      <c r="GB149" s="530">
        <f t="shared" ca="1" si="461"/>
        <v>541260</v>
      </c>
      <c r="GC149" s="545">
        <f t="shared" ca="1" si="462"/>
        <v>33.040188170894325</v>
      </c>
      <c r="GD149" s="530">
        <f t="shared" ca="1" si="392"/>
        <v>17883332.249378264</v>
      </c>
      <c r="GE149" s="1485">
        <f t="shared" ca="1" si="393"/>
        <v>769509.34200000006</v>
      </c>
      <c r="GF149" s="1776">
        <f t="shared" ca="1" si="394"/>
        <v>3078037.3680000002</v>
      </c>
      <c r="GG149" s="545">
        <f t="shared" si="359"/>
        <v>2.778425735160944</v>
      </c>
      <c r="GH149" s="622">
        <f t="shared" ca="1" si="360"/>
        <v>10690122.796297822</v>
      </c>
      <c r="GI149" s="621">
        <f t="shared" ca="1" si="507"/>
        <v>541260</v>
      </c>
      <c r="GJ149" s="638">
        <f t="shared" si="463"/>
        <v>2.1089868858040774</v>
      </c>
      <c r="GK149" s="625">
        <f t="shared" ca="1" si="513"/>
        <v>1141510.2418103151</v>
      </c>
      <c r="GL149" s="640">
        <f t="shared" ca="1" si="395"/>
        <v>0</v>
      </c>
      <c r="GM149" s="530">
        <f t="shared" ca="1" si="396"/>
        <v>0</v>
      </c>
      <c r="GN149" s="530">
        <f t="shared" ca="1" si="397"/>
        <v>0</v>
      </c>
      <c r="GO149" s="622">
        <f t="shared" ca="1" si="398"/>
        <v>0</v>
      </c>
      <c r="GP149" s="530">
        <f t="shared" ca="1" si="464"/>
        <v>0</v>
      </c>
      <c r="GQ149" s="545">
        <f t="shared" ca="1" si="465"/>
        <v>0</v>
      </c>
      <c r="GR149" s="625">
        <f t="shared" ca="1" si="399"/>
        <v>0</v>
      </c>
      <c r="GS149" s="640">
        <f>IF($A149&gt;=BegDate,Assumptions!$C$56*24*($A150-$A149)*(1-VLOOKUP($B149,MAIN!$AA$7:$AM$28,$C149+1))*(1-VLOOKUP($B149,MAIN!$AA$33:$AM$54,$C149+1)),0)*80/168</f>
        <v>257742.85714285713</v>
      </c>
      <c r="GT149" s="1715">
        <f t="shared" si="508"/>
        <v>40.267174327084163</v>
      </c>
      <c r="GU149" s="1715">
        <f>IF($A149&gt;=BegDate,VLOOKUP($A149,GasTable,13)+Assumptions!$C$58,0)</f>
        <v>2.778425735160944</v>
      </c>
      <c r="GV149" s="1715">
        <f>GU149*Assumptions!$C$57/1000</f>
        <v>20.143586579916846</v>
      </c>
      <c r="GW149" s="625">
        <f>IF(Assumptions!$C$60="Hourly",MAX(0,GS149*(GT149-GV149)),GS149*(GT149-GV149))</f>
        <v>5186711.0019198963</v>
      </c>
      <c r="GX149" s="640">
        <f>IF($A149&gt;=BegDate,Assumptions!$C$56*24*($A150-$A149)*(1-VLOOKUP($B149,MAIN!$AA$7:$AM$28,$C149+1))*(1-VLOOKUP($B149,MAIN!$AA$33:$AM$54,$C149+1)),0)*16/168</f>
        <v>51548.571428571428</v>
      </c>
      <c r="GY149" s="1715">
        <f t="shared" si="509"/>
        <v>40.267174327084163</v>
      </c>
      <c r="GZ149" s="1715">
        <f>IF($A149&gt;=BegDate,VLOOKUP($A149,GasTable,13)+Assumptions!$C$58,0)</f>
        <v>2.778425735160944</v>
      </c>
      <c r="HA149" s="1715">
        <f>GZ149*Assumptions!$C$57/1000</f>
        <v>20.143586579916846</v>
      </c>
      <c r="HB149" s="625">
        <f>IF(Assumptions!$C$60="Hourly",MAX(0,GX149*(GY149-HA149)),GX149*(GY149-HA149))</f>
        <v>1037342.2003839792</v>
      </c>
      <c r="HC149" s="640">
        <f>IF($A149&gt;=BegDate,Assumptions!$C$56*24*($A150-$A149)*(1-VLOOKUP($B149,MAIN!$AA$7:$AM$28,$C149+1))*(1-VLOOKUP($B149,MAIN!$AA$33:$AM$54,$C149+1)),0)*16/168</f>
        <v>51548.571428571428</v>
      </c>
      <c r="HD149" s="1715">
        <f t="shared" si="510"/>
        <v>24.636715896254991</v>
      </c>
      <c r="HE149" s="1715">
        <f>IF($A149&gt;=BegDate,VLOOKUP($A149,GasTable,13)+Assumptions!$C$58,0)</f>
        <v>2.778425735160944</v>
      </c>
      <c r="HF149" s="1715">
        <f>HE149*Assumptions!$C$57/1000</f>
        <v>20.143586579916846</v>
      </c>
      <c r="HG149" s="625">
        <f>IF(Assumptions!$C$60="Hourly",MAX(0,HC149*(HD149-HF149)),HC149*(HD149-HF149))</f>
        <v>231614.39750106516</v>
      </c>
      <c r="HH149" s="640">
        <f>IF($A149&gt;=BegDate,Assumptions!$C$56*24*($A150-$A149)*(1-VLOOKUP($B149,MAIN!$AA$7:$AM$28,$C149+1))*(1-VLOOKUP($B149,MAIN!$AA$33:$AM$54,$C149+1)),0)*56/168</f>
        <v>180420</v>
      </c>
      <c r="HI149" s="1715">
        <f t="shared" si="511"/>
        <v>24.636715896254991</v>
      </c>
      <c r="HJ149" s="1715">
        <f>IF($A149&gt;=BegDate,VLOOKUP($A149,GasTable,13)+Assumptions!$C$58,0)</f>
        <v>2.778425735160944</v>
      </c>
      <c r="HK149" s="1715">
        <f>HJ149*Assumptions!$C$57/1000</f>
        <v>20.143586579916846</v>
      </c>
      <c r="HL149" s="625">
        <f>IF(Assumptions!$C$60="Hourly",MAX(0,HH149*(HI149-HK149)),HH149*(HI149-HK149))</f>
        <v>810650.39125372807</v>
      </c>
      <c r="HM149" s="640">
        <f>IF(AND(Assumptions!$H$71="Yes",A149&gt;=Assumptions!$H$72,A149&lt;=Assumptions!$H$73),Assumptions!$H$74*Assumptions!$C$9*1000,0)</f>
        <v>0</v>
      </c>
      <c r="HN149" s="530"/>
      <c r="HO149" s="545"/>
      <c r="HP149" s="545"/>
      <c r="HQ149" s="545"/>
      <c r="HR149" s="545"/>
      <c r="HS149" s="545"/>
      <c r="HT149" s="545"/>
      <c r="HU149" s="545"/>
      <c r="HV149" s="545"/>
      <c r="HW149" s="545"/>
      <c r="HX149" s="545"/>
      <c r="HY149" s="545"/>
      <c r="HZ149" s="545"/>
      <c r="IA149" s="545"/>
      <c r="IB149" s="545"/>
      <c r="IC149" s="545"/>
      <c r="ID149" s="545"/>
      <c r="IE149" s="545"/>
      <c r="IF149" s="545"/>
      <c r="IG149" s="545"/>
      <c r="IH149" s="545"/>
      <c r="II149" s="1464"/>
      <c r="IJ149" s="1463"/>
      <c r="IK149" s="1463"/>
    </row>
    <row r="150" spans="1:245">
      <c r="A150" s="177">
        <f t="shared" si="466"/>
        <v>40695</v>
      </c>
      <c r="B150" s="349">
        <f t="shared" si="467"/>
        <v>2011</v>
      </c>
      <c r="C150" s="15">
        <f t="shared" si="407"/>
        <v>6</v>
      </c>
      <c r="D150" s="612" t="str">
        <f t="shared" si="468"/>
        <v/>
      </c>
      <c r="E150" s="609">
        <f t="shared" si="408"/>
        <v>40695</v>
      </c>
      <c r="F150" s="614">
        <f t="shared" si="409"/>
        <v>40724</v>
      </c>
      <c r="G150" s="1349">
        <v>0</v>
      </c>
      <c r="H150" s="152">
        <f t="shared" si="512"/>
        <v>1</v>
      </c>
      <c r="I150" s="154">
        <f>IF(Assumptions!$L$25=4,VLOOKUP($A150,'Henwood Reference'!$E$9:$R$320,10),(VLOOKUP($A150,PriceTable,2,0)+IF(BasisNumber&lt;&gt;1,VLOOKUP($A150,BasisTable,2,0),0)+I$1)/(1-I$2))</f>
        <v>37.452920917463707</v>
      </c>
      <c r="J150" s="154">
        <f>IF(Assumptions!$L$25=4,VLOOKUP($A150,'Henwood Reference'!$E$9:$R$320,10),(VLOOKUP($A150,PriceTable,3,0)+IF(BasisNumber&lt;&gt;1,VLOOKUP($A150,BasisTable,2,0),0)+J$1)/(1-J$2))</f>
        <v>37.452920917463707</v>
      </c>
      <c r="K150" s="154">
        <f>IF(Assumptions!$L$25=4,VLOOKUP($A150,'Henwood Reference'!$E$9:$R$320,10),(VLOOKUP($A150,PriceTable,4,0)+IF(BasisNumber&lt;&gt;1,VLOOKUP($A150,BasisTable,2,0),0)+K$1)/(1-K$2))</f>
        <v>37.452920917463707</v>
      </c>
      <c r="L150" s="474">
        <f>IF(Assumptions!$L$25=4,VLOOKUP($A150,'Henwood Reference'!$E$9:$R$320,10),(VLOOKUP($A150,PriceTableWeekend,2,0)+IF(BasisNumber&lt;&gt;1,VLOOKUP($A150,BasisTable,2,0),0)+L$1)/(1-L$2))</f>
        <v>37.452920917463707</v>
      </c>
      <c r="M150" s="154">
        <f>IF(Assumptions!$L$25=4,VLOOKUP($A150,'Henwood Reference'!$E$9:$R$320,10),(VLOOKUP($A150,PriceTableWeekend,3,0)+IF(BasisNumber&lt;&gt;1,VLOOKUP($A150,BasisTable,2,0),0)+M$1)/(1-M$2))</f>
        <v>37.452920917463707</v>
      </c>
      <c r="N150" s="156">
        <f>IF(Assumptions!$L$25=4,VLOOKUP($A150,'Henwood Reference'!$E$9:$R$320,10),(VLOOKUP($A150,PriceTableWeekend,4,0)+IF(BasisNumber&lt;&gt;1,VLOOKUP($A150,BasisTable,2,0),0)+N$1)/(1-N$2))</f>
        <v>37.452920917463707</v>
      </c>
      <c r="O150" s="154">
        <f>IF(Assumptions!$L$25=4,VLOOKUP($A150,'Henwood Reference'!$E$9:$R$320,11),(VLOOKUP($A150,PriceTableWeekend,6,0)+IF(BasisNumber&lt;&gt;1,VLOOKUP($A150,BasisTable,3,0),0)+O$1)/(1-O$2))</f>
        <v>22.891391379561419</v>
      </c>
      <c r="P150" s="154">
        <f>IF(Assumptions!$L$25=4,VLOOKUP($A150,'Henwood Reference'!$E$9:$R$320,11),(VLOOKUP($A150,PriceTableWeekend,7,0)+IF(BasisNumber&lt;&gt;1,VLOOKUP($A150,BasisTable,3,0),0)+P$1)/(1-P$2))</f>
        <v>22.891391379561419</v>
      </c>
      <c r="Q150" s="156">
        <f>IF(Assumptions!$L$25=4,VLOOKUP($A150,'Henwood Reference'!$E$9:$R$320,11),(VLOOKUP($A150,PriceTableWeekend,8,0)+IF(BasisNumber&lt;&gt;1,VLOOKUP($A150,BasisTable,3,0),0)+Q$1)/(1-Q$2))</f>
        <v>22.891391379561419</v>
      </c>
      <c r="R150" s="154">
        <f>IF(Assumptions!$L$25=4,VLOOKUP($A150,'Henwood Reference'!$E$9:$R$320,11),(VLOOKUP($A150,PriceTable,6,0)+IF(BasisNumber&lt;&gt;1,VLOOKUP($A150,BasisTable,3,0),0)+R$1)/(1-R$2))</f>
        <v>22.891391379561419</v>
      </c>
      <c r="S150" s="154">
        <f>IF(Assumptions!$L$25=4,VLOOKUP($A150,'Henwood Reference'!$E$9:$R$320,11),(VLOOKUP($A150,PriceTable,7,0)+IF(BasisNumber&lt;&gt;1,VLOOKUP($A150,BasisTable,3,0),0)+S$1)/(1-S$2))</f>
        <v>22.891391379561419</v>
      </c>
      <c r="T150" s="155">
        <f>IF(Assumptions!$L$25=4,VLOOKUP($A150,'Henwood Reference'!$E$9:$R$320,11),(VLOOKUP($A150,PriceTable,8,0)+IF(BasisNumber&lt;&gt;1,VLOOKUP($A150,BasisTable,3,0),0)+T$1)/(1-T$2))</f>
        <v>22.891391379561419</v>
      </c>
      <c r="U150" s="173">
        <f t="shared" si="469"/>
        <v>0.115</v>
      </c>
      <c r="V150" s="173">
        <f t="shared" si="470"/>
        <v>0.125</v>
      </c>
      <c r="W150" s="174">
        <f t="shared" si="471"/>
        <v>0.13500000000000001</v>
      </c>
      <c r="X150" s="173">
        <f t="shared" si="472"/>
        <v>0.115</v>
      </c>
      <c r="Y150" s="173">
        <f t="shared" si="473"/>
        <v>0.125</v>
      </c>
      <c r="Z150" s="174">
        <f t="shared" si="474"/>
        <v>0.13500000000000001</v>
      </c>
      <c r="AA150" s="173">
        <f t="shared" si="475"/>
        <v>0.09</v>
      </c>
      <c r="AB150" s="173">
        <f t="shared" si="476"/>
        <v>0.11</v>
      </c>
      <c r="AC150" s="174">
        <f t="shared" si="477"/>
        <v>0.13</v>
      </c>
      <c r="AD150" s="173">
        <f t="shared" si="478"/>
        <v>0.09</v>
      </c>
      <c r="AE150" s="173">
        <f t="shared" si="479"/>
        <v>0.11</v>
      </c>
      <c r="AF150" s="174">
        <f t="shared" si="480"/>
        <v>0.13</v>
      </c>
      <c r="AG150" s="173">
        <f t="shared" si="481"/>
        <v>-0.35</v>
      </c>
      <c r="AH150" s="173">
        <f t="shared" si="482"/>
        <v>0.65</v>
      </c>
      <c r="AI150" s="174">
        <f t="shared" si="483"/>
        <v>0.2</v>
      </c>
      <c r="AJ150" s="173">
        <f t="shared" si="484"/>
        <v>-0.35</v>
      </c>
      <c r="AK150" s="173">
        <f t="shared" si="485"/>
        <v>0.65</v>
      </c>
      <c r="AL150" s="174">
        <f t="shared" si="486"/>
        <v>0.2</v>
      </c>
      <c r="AM150" s="173">
        <f t="shared" si="487"/>
        <v>-0.01</v>
      </c>
      <c r="AN150" s="173">
        <f t="shared" si="488"/>
        <v>0.16</v>
      </c>
      <c r="AO150" s="174">
        <f t="shared" si="489"/>
        <v>0.01</v>
      </c>
      <c r="AP150" s="173">
        <f t="shared" si="490"/>
        <v>-0.01</v>
      </c>
      <c r="AQ150" s="173">
        <f t="shared" si="491"/>
        <v>0.16</v>
      </c>
      <c r="AR150" s="175">
        <f t="shared" si="492"/>
        <v>0.01</v>
      </c>
      <c r="AS150" s="521">
        <f t="shared" si="493"/>
        <v>0.5</v>
      </c>
      <c r="AT150" s="349">
        <f t="shared" si="410"/>
        <v>22</v>
      </c>
      <c r="AU150" s="159">
        <f t="shared" si="411"/>
        <v>4</v>
      </c>
      <c r="AV150" s="159">
        <f t="shared" si="412"/>
        <v>4</v>
      </c>
      <c r="AW150" s="159">
        <f t="shared" si="494"/>
        <v>0</v>
      </c>
      <c r="AX150" s="15">
        <f t="shared" si="413"/>
        <v>30</v>
      </c>
      <c r="AY150" s="607">
        <f>IF(E150="",0,MIN((1-(1-VLOOKUP(B150,MAIN!$AA$7:$AM$28,C150+1))*(1-VLOOKUP(B150,MAIN!$AA$33:$AM$54,C150+1))),1))</f>
        <v>3.0000000000000027E-2</v>
      </c>
      <c r="AZ150" s="337">
        <v>51216</v>
      </c>
      <c r="BA150" s="509">
        <v>9312</v>
      </c>
      <c r="BB150" s="509">
        <v>9312</v>
      </c>
      <c r="BC150" s="511">
        <v>34920</v>
      </c>
      <c r="BD150" s="153">
        <v>0.97000000722706314</v>
      </c>
      <c r="BE150" s="474">
        <v>0.97000000722706314</v>
      </c>
      <c r="BF150" s="474">
        <v>0.97000000722706314</v>
      </c>
      <c r="BG150" s="515">
        <v>0.97000000722706314</v>
      </c>
      <c r="BH150" s="262">
        <v>204864</v>
      </c>
      <c r="BI150" s="509">
        <v>37248</v>
      </c>
      <c r="BJ150" s="509">
        <v>37248</v>
      </c>
      <c r="BK150" s="511">
        <v>139680</v>
      </c>
      <c r="BL150" s="153">
        <v>0.97000000722706314</v>
      </c>
      <c r="BM150" s="474">
        <v>0.97000000722706314</v>
      </c>
      <c r="BN150" s="474">
        <v>0.97000000722706314</v>
      </c>
      <c r="BO150" s="474">
        <v>0.97000000722706314</v>
      </c>
      <c r="BP150" s="261">
        <f t="shared" si="495"/>
        <v>69840</v>
      </c>
      <c r="BQ150" s="578">
        <f t="shared" si="496"/>
        <v>104760</v>
      </c>
      <c r="BR150" s="259">
        <f t="shared" si="497"/>
        <v>279360</v>
      </c>
      <c r="BS150" s="578">
        <f t="shared" si="498"/>
        <v>419040</v>
      </c>
      <c r="BT150" s="216">
        <f t="shared" si="499"/>
        <v>11.129363449691992</v>
      </c>
      <c r="BU150" s="218">
        <f t="shared" si="414"/>
        <v>37.452921196509713</v>
      </c>
      <c r="BV150" s="216">
        <f t="shared" si="415"/>
        <v>37.452921196509713</v>
      </c>
      <c r="BW150" s="216">
        <f t="shared" si="416"/>
        <v>22.891391550115575</v>
      </c>
      <c r="BX150" s="216">
        <f t="shared" si="500"/>
        <v>22.891391550115575</v>
      </c>
      <c r="BY150" s="216">
        <f t="shared" si="417"/>
        <v>35.511383910323829</v>
      </c>
      <c r="BZ150" s="216">
        <f t="shared" si="418"/>
        <v>31.30471979025441</v>
      </c>
      <c r="CA150" s="264">
        <f t="shared" si="419"/>
        <v>37.452921196509713</v>
      </c>
      <c r="CB150" s="216">
        <f t="shared" si="420"/>
        <v>37.452921196509713</v>
      </c>
      <c r="CC150" s="216">
        <f t="shared" si="421"/>
        <v>22.891391550115575</v>
      </c>
      <c r="CD150" s="216">
        <f t="shared" si="501"/>
        <v>22.891391550115575</v>
      </c>
      <c r="CE150" s="216">
        <f t="shared" si="422"/>
        <v>35.511383910323829</v>
      </c>
      <c r="CF150" s="571">
        <f t="shared" si="423"/>
        <v>31.30471979025441</v>
      </c>
      <c r="CG150" s="573">
        <f t="shared" si="424"/>
        <v>0.125</v>
      </c>
      <c r="CH150" s="219">
        <f t="shared" si="425"/>
        <v>0.125</v>
      </c>
      <c r="CI150" s="219">
        <f t="shared" si="426"/>
        <v>0.11</v>
      </c>
      <c r="CJ150" s="219">
        <f t="shared" si="427"/>
        <v>0.12372286566809526</v>
      </c>
      <c r="CK150" s="219">
        <f t="shared" si="428"/>
        <v>0.12372286566809526</v>
      </c>
      <c r="CL150" s="219">
        <f t="shared" si="429"/>
        <v>0.11</v>
      </c>
      <c r="CM150" s="219">
        <f t="shared" si="430"/>
        <v>0.10987119056968829</v>
      </c>
      <c r="CN150" s="569">
        <f t="shared" si="431"/>
        <v>0.10987119056968829</v>
      </c>
      <c r="CO150" s="264">
        <f t="shared" si="343"/>
        <v>19.963698969687353</v>
      </c>
      <c r="CP150" s="216">
        <f t="shared" si="502"/>
        <v>19.963698969687353</v>
      </c>
      <c r="CQ150" s="216">
        <f t="shared" ca="1" si="361"/>
        <v>19.963698969687353</v>
      </c>
      <c r="CR150" s="216">
        <f t="shared" ca="1" si="362"/>
        <v>19.963698969687353</v>
      </c>
      <c r="CS150" s="1626">
        <f t="shared" ca="1" si="363"/>
        <v>19.963698969687353</v>
      </c>
      <c r="CT150" s="216">
        <f t="shared" si="503"/>
        <v>19.963698969687353</v>
      </c>
      <c r="CU150" s="575">
        <f t="shared" si="432"/>
        <v>0.157</v>
      </c>
      <c r="CV150" s="154">
        <f t="shared" si="433"/>
        <v>0.5</v>
      </c>
      <c r="CW150" s="216">
        <f>IF(OR($BQ150,$BS150),SpreadOptPowerMargin,0)*((1+Assumptions!$C$26)^($B150-YEAR(Assumptions!$C$17)))</f>
        <v>2.1089868858040779</v>
      </c>
      <c r="CX150" s="216">
        <f>IF(OR($BQ150,$BS150),SpreadOptPowerMargin,0)*((1+Assumptions!$C$26)^($B150-YEAR(Assumptions!$C$17)))</f>
        <v>2.1089868858040779</v>
      </c>
      <c r="CY150" s="216">
        <f>IF(OR($BQ150,$BS150),SpreadOptPowerMargin,0)*((1+Assumptions!$C$26)^($B150-YEAR(Assumptions!$C$17)))</f>
        <v>2.1089868858040779</v>
      </c>
      <c r="CZ150" s="216">
        <f>IF(OR($BQ150,$BS150),SpreadOptPowerMargin,0)*((1+Assumptions!$C$26)^($B150-YEAR(Assumptions!$C$17)))</f>
        <v>2.1089868858040779</v>
      </c>
      <c r="DA150" s="440">
        <f t="shared" si="434"/>
        <v>2.1089868858040779</v>
      </c>
      <c r="DB150" s="479">
        <f t="shared" si="435"/>
        <v>0.125</v>
      </c>
      <c r="DC150" s="479">
        <f t="shared" si="436"/>
        <v>0.125</v>
      </c>
      <c r="DD150" s="479">
        <f t="shared" si="437"/>
        <v>0.11</v>
      </c>
      <c r="DE150" s="479">
        <f t="shared" si="438"/>
        <v>0.11</v>
      </c>
      <c r="DF150" s="479">
        <f t="shared" si="439"/>
        <v>0.10987119056968829</v>
      </c>
      <c r="DG150" s="574">
        <f t="shared" si="440"/>
        <v>0.10987119056968829</v>
      </c>
      <c r="DH150" s="216">
        <f t="shared" si="441"/>
        <v>16.143681269422036</v>
      </c>
      <c r="DI150" s="216">
        <f t="shared" si="442"/>
        <v>16.143681269422036</v>
      </c>
      <c r="DJ150" s="216">
        <f t="shared" ca="1" si="364"/>
        <v>4.2529513840575213</v>
      </c>
      <c r="DK150" s="216">
        <f t="shared" ca="1" si="365"/>
        <v>4.2529513840575213</v>
      </c>
      <c r="DL150" s="216">
        <f t="shared" ca="1" si="366"/>
        <v>10.57138882511366</v>
      </c>
      <c r="DM150" s="216"/>
      <c r="DN150" s="216"/>
      <c r="DO150" s="216"/>
      <c r="DP150" s="216"/>
      <c r="DQ150" s="216"/>
      <c r="DR150" s="216"/>
      <c r="DS150" s="216"/>
      <c r="DT150" s="216"/>
      <c r="DU150" s="216"/>
      <c r="DV150" s="216"/>
      <c r="DW150" s="1371">
        <f t="shared" si="443"/>
        <v>4.2529513840575213</v>
      </c>
      <c r="DX150" s="216">
        <f t="shared" si="444"/>
        <v>4.2529513840575213</v>
      </c>
      <c r="DY150" s="440">
        <f t="shared" si="445"/>
        <v>11.123150873379242</v>
      </c>
      <c r="DZ150" s="180">
        <f t="shared" si="446"/>
        <v>826814.77989471902</v>
      </c>
      <c r="EA150" s="180">
        <f t="shared" si="447"/>
        <v>150329.959980858</v>
      </c>
      <c r="EB150" s="180">
        <f t="shared" ca="1" si="367"/>
        <v>39603.483288343639</v>
      </c>
      <c r="EC150" s="180">
        <f t="shared" ca="1" si="368"/>
        <v>148513.06233128865</v>
      </c>
      <c r="ED150" s="180">
        <f t="shared" ca="1" si="369"/>
        <v>1107458.6933189069</v>
      </c>
      <c r="EE150" s="581">
        <f t="shared" si="448"/>
        <v>787714.13322559232</v>
      </c>
      <c r="EF150" s="554">
        <f t="shared" si="449"/>
        <v>143220.75149556223</v>
      </c>
      <c r="EG150" s="554">
        <f t="shared" ca="1" si="370"/>
        <v>7623.787428340016</v>
      </c>
      <c r="EH150" s="554">
        <f t="shared" ca="1" si="371"/>
        <v>28589.20285627506</v>
      </c>
      <c r="EI150" s="561">
        <f t="shared" ca="1" si="450"/>
        <v>967147.87500576954</v>
      </c>
      <c r="EJ150" s="581">
        <f t="shared" si="504"/>
        <v>39100.646669126698</v>
      </c>
      <c r="EK150" s="554">
        <f t="shared" si="505"/>
        <v>7109.2084852957632</v>
      </c>
      <c r="EL150" s="554">
        <f t="shared" ca="1" si="372"/>
        <v>31979.695860003623</v>
      </c>
      <c r="EM150" s="554">
        <f t="shared" ca="1" si="373"/>
        <v>119923.85947501358</v>
      </c>
      <c r="EN150" s="561">
        <f t="shared" ca="1" si="374"/>
        <v>140310.8183131374</v>
      </c>
      <c r="EO150" s="180">
        <f t="shared" si="451"/>
        <v>3307259.1195788761</v>
      </c>
      <c r="EP150" s="180">
        <f t="shared" si="452"/>
        <v>601319.83992343198</v>
      </c>
      <c r="EQ150" s="180">
        <f t="shared" si="453"/>
        <v>158413.93315337456</v>
      </c>
      <c r="ER150" s="180">
        <f t="shared" si="454"/>
        <v>594052.24932515458</v>
      </c>
      <c r="ES150" s="180">
        <f t="shared" si="455"/>
        <v>4661045.1419808371</v>
      </c>
      <c r="ET150" s="1482">
        <f t="shared" ca="1" si="375"/>
        <v>3150856.5329023693</v>
      </c>
      <c r="EU150" s="180">
        <f t="shared" ca="1" si="376"/>
        <v>572883.00598224893</v>
      </c>
      <c r="EV150" s="180">
        <f t="shared" ca="1" si="377"/>
        <v>30495.149713360064</v>
      </c>
      <c r="EW150" s="180">
        <f t="shared" ca="1" si="378"/>
        <v>114356.81142510024</v>
      </c>
      <c r="EX150" s="555">
        <f t="shared" ca="1" si="351"/>
        <v>3868591.5000230786</v>
      </c>
      <c r="EY150" s="180">
        <f t="shared" ca="1" si="379"/>
        <v>156402.58667650679</v>
      </c>
      <c r="EZ150" s="180">
        <f t="shared" ca="1" si="380"/>
        <v>28436.833941183053</v>
      </c>
      <c r="FA150" s="180">
        <f t="shared" ca="1" si="381"/>
        <v>127918.78344001449</v>
      </c>
      <c r="FB150" s="180">
        <f t="shared" ca="1" si="382"/>
        <v>479695.43790005433</v>
      </c>
      <c r="FC150" s="180">
        <f t="shared" ca="1" si="383"/>
        <v>792453.64195775846</v>
      </c>
      <c r="FD150" s="262">
        <f>IF(AX150,IF(VLOOKUP(C150,MAIN!$L$17:$M$28,2)="Yes",VLOOKUP(CALC!B150,MAIN!$H$17:$I$20,2),0),0)</f>
        <v>0</v>
      </c>
      <c r="FE150" s="623">
        <f t="shared" si="456"/>
        <v>0</v>
      </c>
      <c r="FF150" s="535">
        <f t="shared" si="457"/>
        <v>0</v>
      </c>
      <c r="FG150" s="535">
        <f t="shared" si="458"/>
        <v>0</v>
      </c>
      <c r="FH150" s="624">
        <f t="shared" si="459"/>
        <v>0</v>
      </c>
      <c r="FI150" s="632">
        <f>IF(AX150,VLOOKUP(CALC!B150,MAIN!$H$17:$K$20,4),0)</f>
        <v>0</v>
      </c>
      <c r="FJ150" s="535">
        <f t="shared" si="460"/>
        <v>0</v>
      </c>
      <c r="FK150" s="648">
        <f t="shared" si="506"/>
        <v>0</v>
      </c>
      <c r="FL150" s="530">
        <f t="shared" ca="1" si="384"/>
        <v>0</v>
      </c>
      <c r="FM150" s="530">
        <f t="shared" ca="1" si="385"/>
        <v>0</v>
      </c>
      <c r="FN150" s="530">
        <f t="shared" ca="1" si="386"/>
        <v>0</v>
      </c>
      <c r="FO150" s="622">
        <f t="shared" ca="1" si="387"/>
        <v>0</v>
      </c>
      <c r="FP150" s="530">
        <f t="shared" ca="1" si="388"/>
        <v>0</v>
      </c>
      <c r="FQ150" s="530">
        <f t="shared" ca="1" si="389"/>
        <v>0</v>
      </c>
      <c r="FR150" s="530">
        <f t="shared" ca="1" si="390"/>
        <v>0</v>
      </c>
      <c r="FS150" s="625">
        <f t="shared" ca="1" si="391"/>
        <v>0</v>
      </c>
      <c r="FT150" s="640">
        <f ca="1">IF(AND(Assumptions!$H$71="Yes",A150&gt;=Assumptions!$H$72,A150&lt;=Assumptions!$H$73),0,IF(AND($A150&gt;=Assumptions!$C$17,$A150&lt;=Assumptions!$C$18),MAX(AZ150*(1+VLOOKUP($C150,WeatherCapacityAdjustment,2))-FL150,0),0))</f>
        <v>51216</v>
      </c>
      <c r="FU150" s="530">
        <f ca="1">IF(AND(Assumptions!$H$71="Yes",A150&gt;=Assumptions!$H$72,A150&lt;=Assumptions!$H$73),0,IF(AND($A150&gt;=Assumptions!$C$17,$A150&lt;=Assumptions!$C$18),MAX(BA150*(1+VLOOKUP($C150,WeatherCapacityAdjustment,2))-FM150,0),0))</f>
        <v>9312</v>
      </c>
      <c r="FV150" s="530">
        <f ca="1">IF(AND(Assumptions!$H$71="Yes",A150&gt;=Assumptions!$H$72,A150&lt;=Assumptions!$H$73),0,IF(AND($A150&gt;=Assumptions!$C$17,$A150&lt;=Assumptions!$C$18),MAX(BB150*(1+VLOOKUP($C150,WeatherCapacityAdjustment,2))-FN150,0),0))</f>
        <v>9312</v>
      </c>
      <c r="FW150" s="622">
        <f ca="1">IF(AND(Assumptions!$H$71="Yes",A150&gt;=Assumptions!$H$72,A150&lt;=Assumptions!$H$73),0,IF(AND($A150&gt;=Assumptions!$C$17,$A150&lt;=Assumptions!$C$18),MAX(BC150*(1+VLOOKUP($C150,WeatherCapacityAdjustment,3))-FO150,0),0))</f>
        <v>34920</v>
      </c>
      <c r="FX150" s="621">
        <f ca="1">IF(AND(Assumptions!$H$71="Yes",A150&gt;=Assumptions!$H$72,A150&lt;=Assumptions!$H$73),0,IF(ET150&gt;0,MAX(BH150*(1+VLOOKUP($C150,WeatherCapacityAdjustment,2))-FP150,0),0))</f>
        <v>204864</v>
      </c>
      <c r="FY150" s="530">
        <f ca="1">IF(AND(Assumptions!$H$71="Yes",A150&gt;=Assumptions!$H$72,A150&lt;=Assumptions!$H$73),0,IF(EU150&gt;0,MAX(BI150*(1+VLOOKUP($C150,WeatherCapacityAdjustment,3))-FQ150,0),0))</f>
        <v>37248</v>
      </c>
      <c r="FZ150" s="530">
        <f ca="1">IF(AND(Assumptions!$H$71="Yes",A150&gt;=Assumptions!$H$72,A150&lt;=Assumptions!$H$73),0,IF(EV150&gt;0,MAX(BJ150*(1+VLOOKUP($C150,WeatherCapacityAdjustment,2))-FR150,0),0))</f>
        <v>37248</v>
      </c>
      <c r="GA150" s="622">
        <f ca="1">IF(AND(Assumptions!$H$71="Yes",A150&gt;=Assumptions!$H$72,A150&lt;=Assumptions!$H$73),0,IF(EW150&gt;0,MAX(BK150*(1+VLOOKUP($C150,WeatherCapacityAdjustment,2))-FS150,0),0))</f>
        <v>139680</v>
      </c>
      <c r="GB150" s="530">
        <f t="shared" ca="1" si="461"/>
        <v>523800</v>
      </c>
      <c r="GC150" s="545">
        <f t="shared" ca="1" si="462"/>
        <v>31.304719790254413</v>
      </c>
      <c r="GD150" s="530">
        <f t="shared" ca="1" si="392"/>
        <v>16397412.226135261</v>
      </c>
      <c r="GE150" s="1485">
        <f t="shared" ca="1" si="393"/>
        <v>744994.45439999993</v>
      </c>
      <c r="GF150" s="1776">
        <f t="shared" ca="1" si="394"/>
        <v>2979977.8175999997</v>
      </c>
      <c r="GG150" s="545">
        <f t="shared" si="359"/>
        <v>2.8072653315906981</v>
      </c>
      <c r="GH150" s="622">
        <f t="shared" ca="1" si="360"/>
        <v>10456985.520322235</v>
      </c>
      <c r="GI150" s="621">
        <f t="shared" ca="1" si="507"/>
        <v>523800</v>
      </c>
      <c r="GJ150" s="638">
        <f t="shared" si="463"/>
        <v>2.1089868858040779</v>
      </c>
      <c r="GK150" s="625">
        <f t="shared" ca="1" si="513"/>
        <v>1104687.330784176</v>
      </c>
      <c r="GL150" s="640">
        <f t="shared" ca="1" si="395"/>
        <v>0</v>
      </c>
      <c r="GM150" s="530">
        <f t="shared" ca="1" si="396"/>
        <v>0</v>
      </c>
      <c r="GN150" s="530">
        <f t="shared" ca="1" si="397"/>
        <v>0</v>
      </c>
      <c r="GO150" s="622">
        <f t="shared" ca="1" si="398"/>
        <v>0</v>
      </c>
      <c r="GP150" s="530">
        <f t="shared" ca="1" si="464"/>
        <v>0</v>
      </c>
      <c r="GQ150" s="545">
        <f t="shared" ca="1" si="465"/>
        <v>0</v>
      </c>
      <c r="GR150" s="625">
        <f t="shared" ca="1" si="399"/>
        <v>0</v>
      </c>
      <c r="GS150" s="640">
        <f>IF($A150&gt;=BegDate,Assumptions!$C$56*24*($A151-$A150)*(1-VLOOKUP($B150,MAIN!$AA$7:$AM$28,$C150+1))*(1-VLOOKUP($B150,MAIN!$AA$33:$AM$54,$C150+1)),0)*80/168</f>
        <v>249428.57142857142</v>
      </c>
      <c r="GT150" s="1715">
        <f t="shared" si="508"/>
        <v>37.452920917463707</v>
      </c>
      <c r="GU150" s="1715">
        <f>IF($A150&gt;=BegDate,VLOOKUP($A150,GasTable,13)+Assumptions!$C$58,0)</f>
        <v>2.8072653315906981</v>
      </c>
      <c r="GV150" s="1715">
        <f>GU150*Assumptions!$C$57/1000</f>
        <v>20.352673654032561</v>
      </c>
      <c r="GW150" s="625">
        <f>IF(Assumptions!$C$60="Hourly",MAX(0,GS150*(GT150-GV150)),GS150*(GT150-GV150))</f>
        <v>4265290.2459929688</v>
      </c>
      <c r="GX150" s="640">
        <f>IF($A150&gt;=BegDate,Assumptions!$C$56*24*($A151-$A150)*(1-VLOOKUP($B150,MAIN!$AA$7:$AM$28,$C150+1))*(1-VLOOKUP($B150,MAIN!$AA$33:$AM$54,$C150+1)),0)*16/168</f>
        <v>49885.714285714283</v>
      </c>
      <c r="GY150" s="1715">
        <f t="shared" si="509"/>
        <v>37.452920917463707</v>
      </c>
      <c r="GZ150" s="1715">
        <f>IF($A150&gt;=BegDate,VLOOKUP($A150,GasTable,13)+Assumptions!$C$58,0)</f>
        <v>2.8072653315906981</v>
      </c>
      <c r="HA150" s="1715">
        <f>GZ150*Assumptions!$C$57/1000</f>
        <v>20.352673654032561</v>
      </c>
      <c r="HB150" s="625">
        <f>IF(Assumptions!$C$60="Hourly",MAX(0,GX150*(GY150-HA150)),GX150*(GY150-HA150))</f>
        <v>853058.04919859371</v>
      </c>
      <c r="HC150" s="640">
        <f>IF($A150&gt;=BegDate,Assumptions!$C$56*24*($A151-$A150)*(1-VLOOKUP($B150,MAIN!$AA$7:$AM$28,$C150+1))*(1-VLOOKUP($B150,MAIN!$AA$33:$AM$54,$C150+1)),0)*16/168</f>
        <v>49885.714285714283</v>
      </c>
      <c r="HD150" s="1715">
        <f t="shared" si="510"/>
        <v>22.891391379561419</v>
      </c>
      <c r="HE150" s="1715">
        <f>IF($A150&gt;=BegDate,VLOOKUP($A150,GasTable,13)+Assumptions!$C$58,0)</f>
        <v>2.8072653315906981</v>
      </c>
      <c r="HF150" s="1715">
        <f>HE150*Assumptions!$C$57/1000</f>
        <v>20.352673654032561</v>
      </c>
      <c r="HG150" s="625">
        <f>IF(Assumptions!$C$60="Hourly",MAX(0,HC150*(HD150-HF150)),HC150*(HD150-HF150))</f>
        <v>126645.74710781104</v>
      </c>
      <c r="HH150" s="640">
        <f>IF($A150&gt;=BegDate,Assumptions!$C$56*24*($A151-$A150)*(1-VLOOKUP($B150,MAIN!$AA$7:$AM$28,$C150+1))*(1-VLOOKUP($B150,MAIN!$AA$33:$AM$54,$C150+1)),0)*56/168</f>
        <v>174600</v>
      </c>
      <c r="HI150" s="1715">
        <f t="shared" si="511"/>
        <v>22.891391379561419</v>
      </c>
      <c r="HJ150" s="1715">
        <f>IF($A150&gt;=BegDate,VLOOKUP($A150,GasTable,13)+Assumptions!$C$58,0)</f>
        <v>2.8072653315906981</v>
      </c>
      <c r="HK150" s="1715">
        <f>HJ150*Assumptions!$C$57/1000</f>
        <v>20.352673654032561</v>
      </c>
      <c r="HL150" s="625">
        <f>IF(Assumptions!$C$60="Hourly",MAX(0,HH150*(HI150-HK150)),HH150*(HI150-HK150))</f>
        <v>443260.1148773387</v>
      </c>
      <c r="HM150" s="640">
        <f>IF(AND(Assumptions!$H$71="Yes",A150&gt;=Assumptions!$H$72,A150&lt;=Assumptions!$H$73),Assumptions!$H$74*Assumptions!$C$9*1000,0)</f>
        <v>0</v>
      </c>
      <c r="HN150" s="530"/>
      <c r="HO150" s="545"/>
      <c r="HP150" s="545"/>
      <c r="HQ150" s="545"/>
      <c r="HR150" s="545"/>
      <c r="HS150" s="545"/>
      <c r="HT150" s="545"/>
      <c r="HU150" s="545"/>
      <c r="HV150" s="545"/>
      <c r="HW150" s="545"/>
      <c r="HX150" s="545"/>
      <c r="HY150" s="545"/>
      <c r="HZ150" s="545"/>
      <c r="IA150" s="545"/>
      <c r="IB150" s="545"/>
      <c r="IC150" s="545"/>
      <c r="ID150" s="545"/>
      <c r="IE150" s="545"/>
      <c r="IF150" s="545"/>
      <c r="IG150" s="545"/>
      <c r="IH150" s="545"/>
      <c r="II150" s="1464"/>
      <c r="IJ150" s="1463"/>
      <c r="IK150" s="1463"/>
    </row>
    <row r="151" spans="1:245">
      <c r="A151" s="177">
        <f t="shared" si="466"/>
        <v>40725</v>
      </c>
      <c r="B151" s="349">
        <f t="shared" si="467"/>
        <v>2011</v>
      </c>
      <c r="C151" s="15">
        <f t="shared" si="407"/>
        <v>7</v>
      </c>
      <c r="D151" s="612">
        <f t="shared" si="468"/>
        <v>40728</v>
      </c>
      <c r="E151" s="609">
        <f t="shared" si="408"/>
        <v>40725</v>
      </c>
      <c r="F151" s="614">
        <f t="shared" si="409"/>
        <v>40755</v>
      </c>
      <c r="G151" s="1349">
        <v>0</v>
      </c>
      <c r="H151" s="152">
        <f t="shared" si="512"/>
        <v>1</v>
      </c>
      <c r="I151" s="154">
        <f>IF(Assumptions!$L$25=4,VLOOKUP($A151,'Henwood Reference'!$E$9:$R$320,10),(VLOOKUP($A151,PriceTable,2,0)+IF(BasisNumber&lt;&gt;1,VLOOKUP($A151,BasisTable,2,0),0)+I$1)/(1-I$2))</f>
        <v>69.709656262715328</v>
      </c>
      <c r="J151" s="154">
        <f>IF(Assumptions!$L$25=4,VLOOKUP($A151,'Henwood Reference'!$E$9:$R$320,10),(VLOOKUP($A151,PriceTable,3,0)+IF(BasisNumber&lt;&gt;1,VLOOKUP($A151,BasisTable,2,0),0)+J$1)/(1-J$2))</f>
        <v>69.709656262715328</v>
      </c>
      <c r="K151" s="154">
        <f>IF(Assumptions!$L$25=4,VLOOKUP($A151,'Henwood Reference'!$E$9:$R$320,10),(VLOOKUP($A151,PriceTable,4,0)+IF(BasisNumber&lt;&gt;1,VLOOKUP($A151,BasisTable,2,0),0)+K$1)/(1-K$2))</f>
        <v>69.709656262715328</v>
      </c>
      <c r="L151" s="474">
        <f>IF(Assumptions!$L$25=4,VLOOKUP($A151,'Henwood Reference'!$E$9:$R$320,10),(VLOOKUP($A151,PriceTableWeekend,2,0)+IF(BasisNumber&lt;&gt;1,VLOOKUP($A151,BasisTable,2,0),0)+L$1)/(1-L$2))</f>
        <v>69.709656262715328</v>
      </c>
      <c r="M151" s="154">
        <f>IF(Assumptions!$L$25=4,VLOOKUP($A151,'Henwood Reference'!$E$9:$R$320,10),(VLOOKUP($A151,PriceTableWeekend,3,0)+IF(BasisNumber&lt;&gt;1,VLOOKUP($A151,BasisTable,2,0),0)+M$1)/(1-M$2))</f>
        <v>69.709656262715328</v>
      </c>
      <c r="N151" s="156">
        <f>IF(Assumptions!$L$25=4,VLOOKUP($A151,'Henwood Reference'!$E$9:$R$320,10),(VLOOKUP($A151,PriceTableWeekend,4,0)+IF(BasisNumber&lt;&gt;1,VLOOKUP($A151,BasisTable,2,0),0)+N$1)/(1-N$2))</f>
        <v>69.709656262715328</v>
      </c>
      <c r="O151" s="154">
        <f>IF(Assumptions!$L$25=4,VLOOKUP($A151,'Henwood Reference'!$E$9:$R$320,11),(VLOOKUP($A151,PriceTableWeekend,6,0)+IF(BasisNumber&lt;&gt;1,VLOOKUP($A151,BasisTable,3,0),0)+O$1)/(1-O$2))</f>
        <v>28.500750234453054</v>
      </c>
      <c r="P151" s="154">
        <f>IF(Assumptions!$L$25=4,VLOOKUP($A151,'Henwood Reference'!$E$9:$R$320,11),(VLOOKUP($A151,PriceTableWeekend,7,0)+IF(BasisNumber&lt;&gt;1,VLOOKUP($A151,BasisTable,3,0),0)+P$1)/(1-P$2))</f>
        <v>28.500750234453054</v>
      </c>
      <c r="Q151" s="156">
        <f>IF(Assumptions!$L$25=4,VLOOKUP($A151,'Henwood Reference'!$E$9:$R$320,11),(VLOOKUP($A151,PriceTableWeekend,8,0)+IF(BasisNumber&lt;&gt;1,VLOOKUP($A151,BasisTable,3,0),0)+Q$1)/(1-Q$2))</f>
        <v>28.500750234453054</v>
      </c>
      <c r="R151" s="154">
        <f>IF(Assumptions!$L$25=4,VLOOKUP($A151,'Henwood Reference'!$E$9:$R$320,11),(VLOOKUP($A151,PriceTable,6,0)+IF(BasisNumber&lt;&gt;1,VLOOKUP($A151,BasisTable,3,0),0)+R$1)/(1-R$2))</f>
        <v>28.500750234453054</v>
      </c>
      <c r="S151" s="154">
        <f>IF(Assumptions!$L$25=4,VLOOKUP($A151,'Henwood Reference'!$E$9:$R$320,11),(VLOOKUP($A151,PriceTable,7,0)+IF(BasisNumber&lt;&gt;1,VLOOKUP($A151,BasisTable,3,0),0)+S$1)/(1-S$2))</f>
        <v>28.500750234453054</v>
      </c>
      <c r="T151" s="155">
        <f>IF(Assumptions!$L$25=4,VLOOKUP($A151,'Henwood Reference'!$E$9:$R$320,11),(VLOOKUP($A151,PriceTable,8,0)+IF(BasisNumber&lt;&gt;1,VLOOKUP($A151,BasisTable,3,0),0)+T$1)/(1-T$2))</f>
        <v>28.500750234453054</v>
      </c>
      <c r="U151" s="173">
        <f t="shared" si="469"/>
        <v>0.115</v>
      </c>
      <c r="V151" s="173">
        <f t="shared" si="470"/>
        <v>0.125</v>
      </c>
      <c r="W151" s="174">
        <f t="shared" si="471"/>
        <v>0.13500000000000001</v>
      </c>
      <c r="X151" s="173">
        <f t="shared" si="472"/>
        <v>0.115</v>
      </c>
      <c r="Y151" s="173">
        <f t="shared" si="473"/>
        <v>0.125</v>
      </c>
      <c r="Z151" s="174">
        <f t="shared" si="474"/>
        <v>0.13500000000000001</v>
      </c>
      <c r="AA151" s="173">
        <f t="shared" si="475"/>
        <v>0.09</v>
      </c>
      <c r="AB151" s="173">
        <f t="shared" si="476"/>
        <v>0.11</v>
      </c>
      <c r="AC151" s="174">
        <f t="shared" si="477"/>
        <v>0.13</v>
      </c>
      <c r="AD151" s="173">
        <f t="shared" si="478"/>
        <v>0.09</v>
      </c>
      <c r="AE151" s="173">
        <f t="shared" si="479"/>
        <v>0.11</v>
      </c>
      <c r="AF151" s="174">
        <f t="shared" si="480"/>
        <v>0.13</v>
      </c>
      <c r="AG151" s="173">
        <f t="shared" si="481"/>
        <v>-0.35</v>
      </c>
      <c r="AH151" s="173">
        <f t="shared" si="482"/>
        <v>3</v>
      </c>
      <c r="AI151" s="174">
        <f t="shared" si="483"/>
        <v>0.35</v>
      </c>
      <c r="AJ151" s="173">
        <f t="shared" si="484"/>
        <v>-0.35</v>
      </c>
      <c r="AK151" s="173">
        <f t="shared" si="485"/>
        <v>3</v>
      </c>
      <c r="AL151" s="174">
        <f t="shared" si="486"/>
        <v>0.35</v>
      </c>
      <c r="AM151" s="173">
        <f t="shared" si="487"/>
        <v>-0.01</v>
      </c>
      <c r="AN151" s="173">
        <f t="shared" si="488"/>
        <v>0.16</v>
      </c>
      <c r="AO151" s="174">
        <f t="shared" si="489"/>
        <v>0.01</v>
      </c>
      <c r="AP151" s="173">
        <f t="shared" si="490"/>
        <v>-0.01</v>
      </c>
      <c r="AQ151" s="173">
        <f t="shared" si="491"/>
        <v>0.16</v>
      </c>
      <c r="AR151" s="175">
        <f t="shared" si="492"/>
        <v>0.01</v>
      </c>
      <c r="AS151" s="521">
        <f t="shared" si="493"/>
        <v>0.5</v>
      </c>
      <c r="AT151" s="349">
        <f t="shared" si="410"/>
        <v>20</v>
      </c>
      <c r="AU151" s="159">
        <f t="shared" si="411"/>
        <v>5</v>
      </c>
      <c r="AV151" s="159">
        <f t="shared" si="412"/>
        <v>5</v>
      </c>
      <c r="AW151" s="159">
        <f t="shared" si="494"/>
        <v>1</v>
      </c>
      <c r="AX151" s="15">
        <f t="shared" si="413"/>
        <v>31</v>
      </c>
      <c r="AY151" s="607">
        <f>IF(E151="",0,MIN((1-(1-VLOOKUP(B151,MAIN!$AA$7:$AM$28,C151+1))*(1-VLOOKUP(B151,MAIN!$AA$33:$AM$54,C151+1))),1))</f>
        <v>3.0000000000000027E-2</v>
      </c>
      <c r="AZ151" s="337">
        <v>46560</v>
      </c>
      <c r="BA151" s="509">
        <v>11640</v>
      </c>
      <c r="BB151" s="509">
        <v>13968</v>
      </c>
      <c r="BC151" s="511">
        <v>36084</v>
      </c>
      <c r="BD151" s="153">
        <v>0.97000000361353156</v>
      </c>
      <c r="BE151" s="474">
        <v>0.97000000361353156</v>
      </c>
      <c r="BF151" s="474">
        <v>0.97000000361353156</v>
      </c>
      <c r="BG151" s="515">
        <v>0.96999998554587363</v>
      </c>
      <c r="BH151" s="262">
        <v>186240</v>
      </c>
      <c r="BI151" s="509">
        <v>46560</v>
      </c>
      <c r="BJ151" s="509">
        <v>55872</v>
      </c>
      <c r="BK151" s="511">
        <v>144336</v>
      </c>
      <c r="BL151" s="153">
        <v>0.97000000361353156</v>
      </c>
      <c r="BM151" s="474">
        <v>0.97000000361353156</v>
      </c>
      <c r="BN151" s="474">
        <v>0.97000000361353156</v>
      </c>
      <c r="BO151" s="474">
        <v>0.96999998554587363</v>
      </c>
      <c r="BP151" s="261">
        <f t="shared" si="495"/>
        <v>72168</v>
      </c>
      <c r="BQ151" s="578">
        <f t="shared" si="496"/>
        <v>108252</v>
      </c>
      <c r="BR151" s="259">
        <f t="shared" si="497"/>
        <v>288672</v>
      </c>
      <c r="BS151" s="578">
        <f t="shared" si="498"/>
        <v>433008</v>
      </c>
      <c r="BT151" s="216">
        <f t="shared" si="499"/>
        <v>11.211498973305956</v>
      </c>
      <c r="BU151" s="218">
        <f t="shared" si="414"/>
        <v>69.709656522404032</v>
      </c>
      <c r="BV151" s="216">
        <f t="shared" si="415"/>
        <v>69.709656522404032</v>
      </c>
      <c r="BW151" s="216">
        <f t="shared" si="416"/>
        <v>28.500750340626624</v>
      </c>
      <c r="BX151" s="216">
        <f t="shared" si="500"/>
        <v>28.50074980975878</v>
      </c>
      <c r="BY151" s="216">
        <f t="shared" si="417"/>
        <v>61.733739196898725</v>
      </c>
      <c r="BZ151" s="216">
        <f t="shared" si="418"/>
        <v>50.656076067852077</v>
      </c>
      <c r="CA151" s="264">
        <f t="shared" si="419"/>
        <v>69.709656522404032</v>
      </c>
      <c r="CB151" s="216">
        <f t="shared" si="420"/>
        <v>69.709656522404032</v>
      </c>
      <c r="CC151" s="216">
        <f t="shared" si="421"/>
        <v>28.500750340626624</v>
      </c>
      <c r="CD151" s="216">
        <f t="shared" si="501"/>
        <v>28.50074980975878</v>
      </c>
      <c r="CE151" s="216">
        <f t="shared" si="422"/>
        <v>61.733739196898725</v>
      </c>
      <c r="CF151" s="571">
        <f t="shared" si="423"/>
        <v>50.656076067852077</v>
      </c>
      <c r="CG151" s="573">
        <f t="shared" si="424"/>
        <v>0.125</v>
      </c>
      <c r="CH151" s="219">
        <f t="shared" si="425"/>
        <v>0.125</v>
      </c>
      <c r="CI151" s="219">
        <f t="shared" si="426"/>
        <v>0.11</v>
      </c>
      <c r="CJ151" s="219">
        <f t="shared" si="427"/>
        <v>0.12367229023061993</v>
      </c>
      <c r="CK151" s="219">
        <f t="shared" si="428"/>
        <v>0.12367229023061993</v>
      </c>
      <c r="CL151" s="219">
        <f t="shared" si="429"/>
        <v>0.11</v>
      </c>
      <c r="CM151" s="219">
        <f t="shared" si="430"/>
        <v>0.11259525469955582</v>
      </c>
      <c r="CN151" s="569">
        <f t="shared" si="431"/>
        <v>0.11259525469955582</v>
      </c>
      <c r="CO151" s="264">
        <f t="shared" si="343"/>
        <v>20.483764610057559</v>
      </c>
      <c r="CP151" s="216">
        <f t="shared" si="502"/>
        <v>20.483764610057559</v>
      </c>
      <c r="CQ151" s="216">
        <f t="shared" ca="1" si="361"/>
        <v>20.483764610057559</v>
      </c>
      <c r="CR151" s="216">
        <f t="shared" ca="1" si="362"/>
        <v>20.483764610057559</v>
      </c>
      <c r="CS151" s="1626">
        <f t="shared" ca="1" si="363"/>
        <v>20.483764610057559</v>
      </c>
      <c r="CT151" s="216">
        <f t="shared" si="503"/>
        <v>20.483764610057559</v>
      </c>
      <c r="CU151" s="575">
        <f t="shared" si="432"/>
        <v>0.157</v>
      </c>
      <c r="CV151" s="154">
        <f t="shared" si="433"/>
        <v>0.5</v>
      </c>
      <c r="CW151" s="216">
        <f>IF(OR($BQ151,$BS151),SpreadOptPowerMargin,0)*((1+Assumptions!$C$26)^($B151-YEAR(Assumptions!$C$17)))</f>
        <v>2.1089868858040779</v>
      </c>
      <c r="CX151" s="216">
        <f>IF(OR($BQ151,$BS151),SpreadOptPowerMargin,0)*((1+Assumptions!$C$26)^($B151-YEAR(Assumptions!$C$17)))</f>
        <v>2.1089868858040779</v>
      </c>
      <c r="CY151" s="216">
        <f>IF(OR($BQ151,$BS151),SpreadOptPowerMargin,0)*((1+Assumptions!$C$26)^($B151-YEAR(Assumptions!$C$17)))</f>
        <v>2.1089868858040779</v>
      </c>
      <c r="CZ151" s="216">
        <f>IF(OR($BQ151,$BS151),SpreadOptPowerMargin,0)*((1+Assumptions!$C$26)^($B151-YEAR(Assumptions!$C$17)))</f>
        <v>2.1089868858040779</v>
      </c>
      <c r="DA151" s="440">
        <f t="shared" si="434"/>
        <v>2.1089868858040779</v>
      </c>
      <c r="DB151" s="479">
        <f t="shared" si="435"/>
        <v>0.125</v>
      </c>
      <c r="DC151" s="479">
        <f t="shared" si="436"/>
        <v>0.125</v>
      </c>
      <c r="DD151" s="479">
        <f t="shared" si="437"/>
        <v>0.11</v>
      </c>
      <c r="DE151" s="479">
        <f t="shared" si="438"/>
        <v>0.11</v>
      </c>
      <c r="DF151" s="479">
        <f t="shared" si="439"/>
        <v>0.11259525469955582</v>
      </c>
      <c r="DG151" s="574">
        <f t="shared" si="440"/>
        <v>0.11259525469955582</v>
      </c>
      <c r="DH151" s="216">
        <f t="shared" si="441"/>
        <v>47.157770280494574</v>
      </c>
      <c r="DI151" s="216">
        <f t="shared" si="442"/>
        <v>47.157770280494574</v>
      </c>
      <c r="DJ151" s="216">
        <f t="shared" ca="1" si="364"/>
        <v>7.9524701642118831</v>
      </c>
      <c r="DK151" s="216">
        <f t="shared" ca="1" si="365"/>
        <v>7.9524697515939096</v>
      </c>
      <c r="DL151" s="216">
        <f t="shared" ca="1" si="366"/>
        <v>28.262096910185818</v>
      </c>
      <c r="DM151" s="216"/>
      <c r="DN151" s="216"/>
      <c r="DO151" s="216"/>
      <c r="DP151" s="216"/>
      <c r="DQ151" s="216"/>
      <c r="DR151" s="216"/>
      <c r="DS151" s="216"/>
      <c r="DT151" s="216"/>
      <c r="DU151" s="216"/>
      <c r="DV151" s="216"/>
      <c r="DW151" s="1371">
        <f t="shared" si="443"/>
        <v>7.9524701642118831</v>
      </c>
      <c r="DX151" s="216">
        <f t="shared" si="444"/>
        <v>7.9524697515939096</v>
      </c>
      <c r="DY151" s="440">
        <f t="shared" si="445"/>
        <v>29.030588368760029</v>
      </c>
      <c r="DZ151" s="180">
        <f t="shared" si="446"/>
        <v>2195665.7842598273</v>
      </c>
      <c r="EA151" s="180">
        <f t="shared" si="447"/>
        <v>548916.44606495684</v>
      </c>
      <c r="EB151" s="180">
        <f t="shared" ca="1" si="367"/>
        <v>111080.10325371158</v>
      </c>
      <c r="EC151" s="180">
        <f t="shared" ca="1" si="368"/>
        <v>286956.91851651465</v>
      </c>
      <c r="ED151" s="180">
        <f t="shared" ca="1" si="369"/>
        <v>3059428.514721435</v>
      </c>
      <c r="EE151" s="581">
        <f t="shared" si="448"/>
        <v>2193763.0980358142</v>
      </c>
      <c r="EF151" s="554">
        <f t="shared" si="449"/>
        <v>548440.77450895356</v>
      </c>
      <c r="EG151" s="554">
        <f t="shared" ca="1" si="370"/>
        <v>82522.927863677323</v>
      </c>
      <c r="EH151" s="554">
        <f t="shared" ca="1" si="371"/>
        <v>213184.21115866449</v>
      </c>
      <c r="EI151" s="561">
        <f t="shared" ca="1" si="450"/>
        <v>3037911.0115671088</v>
      </c>
      <c r="EJ151" s="581">
        <f t="shared" si="504"/>
        <v>1902.6862240131013</v>
      </c>
      <c r="EK151" s="554">
        <f t="shared" si="505"/>
        <v>475.67155600327533</v>
      </c>
      <c r="EL151" s="554">
        <f t="shared" ca="1" si="372"/>
        <v>28557.175390034259</v>
      </c>
      <c r="EM151" s="554">
        <f t="shared" ca="1" si="373"/>
        <v>73772.707357850159</v>
      </c>
      <c r="EN151" s="561">
        <f t="shared" ca="1" si="374"/>
        <v>21517.50315432623</v>
      </c>
      <c r="EO151" s="180">
        <f t="shared" si="451"/>
        <v>8782663.1370393094</v>
      </c>
      <c r="EP151" s="180">
        <f t="shared" si="452"/>
        <v>2195665.7842598273</v>
      </c>
      <c r="EQ151" s="180">
        <f t="shared" si="453"/>
        <v>444320.41301484633</v>
      </c>
      <c r="ER151" s="180">
        <f t="shared" si="454"/>
        <v>1147827.6740660586</v>
      </c>
      <c r="ES151" s="180">
        <f t="shared" si="455"/>
        <v>12570477.008380042</v>
      </c>
      <c r="ET151" s="1482">
        <f t="shared" ca="1" si="375"/>
        <v>8775052.392143257</v>
      </c>
      <c r="EU151" s="180">
        <f t="shared" ca="1" si="376"/>
        <v>2193763.0980358142</v>
      </c>
      <c r="EV151" s="180">
        <f t="shared" ca="1" si="377"/>
        <v>330091.71145470929</v>
      </c>
      <c r="EW151" s="180">
        <f t="shared" ca="1" si="378"/>
        <v>852736.84463465796</v>
      </c>
      <c r="EX151" s="555">
        <f t="shared" ca="1" si="351"/>
        <v>12151644.046268439</v>
      </c>
      <c r="EY151" s="180">
        <f t="shared" ca="1" si="379"/>
        <v>7610.7448960524052</v>
      </c>
      <c r="EZ151" s="180">
        <f t="shared" ca="1" si="380"/>
        <v>1902.6862240131013</v>
      </c>
      <c r="FA151" s="180">
        <f t="shared" ca="1" si="381"/>
        <v>114228.70156013704</v>
      </c>
      <c r="FB151" s="180">
        <f t="shared" ca="1" si="382"/>
        <v>295090.82943140063</v>
      </c>
      <c r="FC151" s="180">
        <f t="shared" ca="1" si="383"/>
        <v>418832.96211160347</v>
      </c>
      <c r="FD151" s="262">
        <f>IF(AX151,IF(VLOOKUP(C151,MAIN!$L$17:$M$28,2)="Yes",VLOOKUP(CALC!B151,MAIN!$H$17:$I$20,2),0),0)</f>
        <v>0</v>
      </c>
      <c r="FE151" s="623">
        <f t="shared" si="456"/>
        <v>0</v>
      </c>
      <c r="FF151" s="535">
        <f t="shared" si="457"/>
        <v>0</v>
      </c>
      <c r="FG151" s="535">
        <f t="shared" si="458"/>
        <v>0</v>
      </c>
      <c r="FH151" s="624">
        <f t="shared" si="459"/>
        <v>0</v>
      </c>
      <c r="FI151" s="632">
        <f>IF(AX151,VLOOKUP(CALC!B151,MAIN!$H$17:$K$20,4),0)</f>
        <v>0</v>
      </c>
      <c r="FJ151" s="535">
        <f t="shared" si="460"/>
        <v>0</v>
      </c>
      <c r="FK151" s="648">
        <f t="shared" si="506"/>
        <v>0</v>
      </c>
      <c r="FL151" s="530">
        <f t="shared" ca="1" si="384"/>
        <v>0</v>
      </c>
      <c r="FM151" s="530">
        <f t="shared" ca="1" si="385"/>
        <v>0</v>
      </c>
      <c r="FN151" s="530">
        <f t="shared" ca="1" si="386"/>
        <v>0</v>
      </c>
      <c r="FO151" s="622">
        <f t="shared" ca="1" si="387"/>
        <v>0</v>
      </c>
      <c r="FP151" s="530">
        <f t="shared" ca="1" si="388"/>
        <v>0</v>
      </c>
      <c r="FQ151" s="530">
        <f t="shared" ca="1" si="389"/>
        <v>0</v>
      </c>
      <c r="FR151" s="530">
        <f t="shared" ca="1" si="390"/>
        <v>0</v>
      </c>
      <c r="FS151" s="625">
        <f t="shared" ca="1" si="391"/>
        <v>0</v>
      </c>
      <c r="FT151" s="640">
        <f ca="1">IF(AND(Assumptions!$H$71="Yes",A151&gt;=Assumptions!$H$72,A151&lt;=Assumptions!$H$73),0,IF(AND($A151&gt;=Assumptions!$C$17,$A151&lt;=Assumptions!$C$18),MAX(AZ151*(1+VLOOKUP($C151,WeatherCapacityAdjustment,2))-FL151,0),0))</f>
        <v>46560</v>
      </c>
      <c r="FU151" s="530">
        <f ca="1">IF(AND(Assumptions!$H$71="Yes",A151&gt;=Assumptions!$H$72,A151&lt;=Assumptions!$H$73),0,IF(AND($A151&gt;=Assumptions!$C$17,$A151&lt;=Assumptions!$C$18),MAX(BA151*(1+VLOOKUP($C151,WeatherCapacityAdjustment,2))-FM151,0),0))</f>
        <v>11640</v>
      </c>
      <c r="FV151" s="530">
        <f ca="1">IF(AND(Assumptions!$H$71="Yes",A151&gt;=Assumptions!$H$72,A151&lt;=Assumptions!$H$73),0,IF(AND($A151&gt;=Assumptions!$C$17,$A151&lt;=Assumptions!$C$18),MAX(BB151*(1+VLOOKUP($C151,WeatherCapacityAdjustment,2))-FN151,0),0))</f>
        <v>13968</v>
      </c>
      <c r="FW151" s="622">
        <f ca="1">IF(AND(Assumptions!$H$71="Yes",A151&gt;=Assumptions!$H$72,A151&lt;=Assumptions!$H$73),0,IF(AND($A151&gt;=Assumptions!$C$17,$A151&lt;=Assumptions!$C$18),MAX(BC151*(1+VLOOKUP($C151,WeatherCapacityAdjustment,3))-FO151,0),0))</f>
        <v>36084</v>
      </c>
      <c r="FX151" s="621">
        <f ca="1">IF(AND(Assumptions!$H$71="Yes",A151&gt;=Assumptions!$H$72,A151&lt;=Assumptions!$H$73),0,IF(ET151&gt;0,MAX(BH151*(1+VLOOKUP($C151,WeatherCapacityAdjustment,2))-FP151,0),0))</f>
        <v>186240</v>
      </c>
      <c r="FY151" s="530">
        <f ca="1">IF(AND(Assumptions!$H$71="Yes",A151&gt;=Assumptions!$H$72,A151&lt;=Assumptions!$H$73),0,IF(EU151&gt;0,MAX(BI151*(1+VLOOKUP($C151,WeatherCapacityAdjustment,3))-FQ151,0),0))</f>
        <v>46560</v>
      </c>
      <c r="FZ151" s="530">
        <f ca="1">IF(AND(Assumptions!$H$71="Yes",A151&gt;=Assumptions!$H$72,A151&lt;=Assumptions!$H$73),0,IF(EV151&gt;0,MAX(BJ151*(1+VLOOKUP($C151,WeatherCapacityAdjustment,2))-FR151,0),0))</f>
        <v>55872</v>
      </c>
      <c r="GA151" s="622">
        <f ca="1">IF(AND(Assumptions!$H$71="Yes",A151&gt;=Assumptions!$H$72,A151&lt;=Assumptions!$H$73),0,IF(EW151&gt;0,MAX(BK151*(1+VLOOKUP($C151,WeatherCapacityAdjustment,2))-FS151,0),0))</f>
        <v>144336</v>
      </c>
      <c r="GB151" s="530">
        <f t="shared" ca="1" si="461"/>
        <v>541260</v>
      </c>
      <c r="GC151" s="545">
        <f t="shared" ca="1" si="462"/>
        <v>50.656076067852077</v>
      </c>
      <c r="GD151" s="530">
        <f t="shared" ca="1" si="392"/>
        <v>27418107.732485618</v>
      </c>
      <c r="GE151" s="1485">
        <f t="shared" ca="1" si="393"/>
        <v>770145.86375999998</v>
      </c>
      <c r="GF151" s="1776">
        <f t="shared" ca="1" si="394"/>
        <v>3080583.4550399999</v>
      </c>
      <c r="GG151" s="545">
        <f t="shared" si="359"/>
        <v>2.8792058633440383</v>
      </c>
      <c r="GH151" s="622">
        <f t="shared" ca="1" si="360"/>
        <v>11087042.432839755</v>
      </c>
      <c r="GI151" s="621">
        <f t="shared" ca="1" si="507"/>
        <v>541260</v>
      </c>
      <c r="GJ151" s="638">
        <f t="shared" si="463"/>
        <v>2.1089868858040779</v>
      </c>
      <c r="GK151" s="625">
        <f t="shared" ca="1" si="513"/>
        <v>1141510.2418103153</v>
      </c>
      <c r="GL151" s="640">
        <f t="shared" ca="1" si="395"/>
        <v>0</v>
      </c>
      <c r="GM151" s="530">
        <f t="shared" ca="1" si="396"/>
        <v>0</v>
      </c>
      <c r="GN151" s="530">
        <f t="shared" ca="1" si="397"/>
        <v>0</v>
      </c>
      <c r="GO151" s="622">
        <f t="shared" ca="1" si="398"/>
        <v>0</v>
      </c>
      <c r="GP151" s="530">
        <f t="shared" ca="1" si="464"/>
        <v>0</v>
      </c>
      <c r="GQ151" s="545">
        <f t="shared" ca="1" si="465"/>
        <v>0</v>
      </c>
      <c r="GR151" s="625">
        <f t="shared" ca="1" si="399"/>
        <v>0</v>
      </c>
      <c r="GS151" s="640">
        <f>IF($A151&gt;=BegDate,Assumptions!$C$56*24*($A152-$A151)*(1-VLOOKUP($B151,MAIN!$AA$7:$AM$28,$C151+1))*(1-VLOOKUP($B151,MAIN!$AA$33:$AM$54,$C151+1)),0)*80/168</f>
        <v>257742.85714285713</v>
      </c>
      <c r="GT151" s="1715">
        <f t="shared" si="508"/>
        <v>69.709656262715328</v>
      </c>
      <c r="GU151" s="1715">
        <f>IF($A151&gt;=BegDate,VLOOKUP($A151,GasTable,13)+Assumptions!$C$58,0)</f>
        <v>2.8792058633440383</v>
      </c>
      <c r="GV151" s="1715">
        <f>GU151*Assumptions!$C$57/1000</f>
        <v>20.874242509244279</v>
      </c>
      <c r="GW151" s="625">
        <f>IF(Assumptions!$C$60="Hourly",MAX(0,GS151*(GT151-GV151)),GS151*(GT151-GV151))</f>
        <v>12586979.070573207</v>
      </c>
      <c r="GX151" s="640">
        <f>IF($A151&gt;=BegDate,Assumptions!$C$56*24*($A152-$A151)*(1-VLOOKUP($B151,MAIN!$AA$7:$AM$28,$C151+1))*(1-VLOOKUP($B151,MAIN!$AA$33:$AM$54,$C151+1)),0)*16/168</f>
        <v>51548.571428571428</v>
      </c>
      <c r="GY151" s="1715">
        <f t="shared" si="509"/>
        <v>69.709656262715328</v>
      </c>
      <c r="GZ151" s="1715">
        <f>IF($A151&gt;=BegDate,VLOOKUP($A151,GasTable,13)+Assumptions!$C$58,0)</f>
        <v>2.8792058633440383</v>
      </c>
      <c r="HA151" s="1715">
        <f>GZ151*Assumptions!$C$57/1000</f>
        <v>20.874242509244279</v>
      </c>
      <c r="HB151" s="625">
        <f>IF(Assumptions!$C$60="Hourly",MAX(0,GX151*(GY151-HA151)),GX151*(GY151-HA151))</f>
        <v>2517395.8141146414</v>
      </c>
      <c r="HC151" s="640">
        <f>IF($A151&gt;=BegDate,Assumptions!$C$56*24*($A152-$A151)*(1-VLOOKUP($B151,MAIN!$AA$7:$AM$28,$C151+1))*(1-VLOOKUP($B151,MAIN!$AA$33:$AM$54,$C151+1)),0)*16/168</f>
        <v>51548.571428571428</v>
      </c>
      <c r="HD151" s="1715">
        <f t="shared" si="510"/>
        <v>28.500750234453054</v>
      </c>
      <c r="HE151" s="1715">
        <f>IF($A151&gt;=BegDate,VLOOKUP($A151,GasTable,13)+Assumptions!$C$58,0)</f>
        <v>2.8792058633440383</v>
      </c>
      <c r="HF151" s="1715">
        <f>HE151*Assumptions!$C$57/1000</f>
        <v>20.874242509244279</v>
      </c>
      <c r="HG151" s="625">
        <f>IF(Assumptions!$C$60="Hourly",MAX(0,HC151*(HD151-HF151)),HC151*(HD151-HF151))</f>
        <v>393135.5782234763</v>
      </c>
      <c r="HH151" s="640">
        <f>IF($A151&gt;=BegDate,Assumptions!$C$56*24*($A152-$A151)*(1-VLOOKUP($B151,MAIN!$AA$7:$AM$28,$C151+1))*(1-VLOOKUP($B151,MAIN!$AA$33:$AM$54,$C151+1)),0)*56/168</f>
        <v>180420</v>
      </c>
      <c r="HI151" s="1715">
        <f t="shared" si="511"/>
        <v>28.500750234453054</v>
      </c>
      <c r="HJ151" s="1715">
        <f>IF($A151&gt;=BegDate,VLOOKUP($A151,GasTable,13)+Assumptions!$C$58,0)</f>
        <v>2.8792058633440383</v>
      </c>
      <c r="HK151" s="1715">
        <f>HJ151*Assumptions!$C$57/1000</f>
        <v>20.874242509244279</v>
      </c>
      <c r="HL151" s="625">
        <f>IF(Assumptions!$C$60="Hourly",MAX(0,HH151*(HI151-HK151)),HH151*(HI151-HK151))</f>
        <v>1375974.5237821671</v>
      </c>
      <c r="HM151" s="640">
        <f>IF(AND(Assumptions!$H$71="Yes",A151&gt;=Assumptions!$H$72,A151&lt;=Assumptions!$H$73),Assumptions!$H$74*Assumptions!$C$9*1000,0)</f>
        <v>0</v>
      </c>
      <c r="HN151" s="530"/>
      <c r="HO151" s="545"/>
      <c r="HP151" s="545"/>
      <c r="HQ151" s="545"/>
      <c r="HR151" s="545"/>
      <c r="HS151" s="545"/>
      <c r="HT151" s="545"/>
      <c r="HU151" s="545"/>
      <c r="HV151" s="545"/>
      <c r="HW151" s="545"/>
      <c r="HX151" s="545"/>
      <c r="HY151" s="545"/>
      <c r="HZ151" s="545"/>
      <c r="IA151" s="545"/>
      <c r="IB151" s="545"/>
      <c r="IC151" s="545"/>
      <c r="ID151" s="545"/>
      <c r="IE151" s="545"/>
      <c r="IF151" s="545"/>
      <c r="IG151" s="545"/>
      <c r="IH151" s="545"/>
      <c r="II151" s="1464"/>
      <c r="IJ151" s="1463"/>
      <c r="IK151" s="1463"/>
    </row>
    <row r="152" spans="1:245">
      <c r="A152" s="177">
        <f t="shared" si="466"/>
        <v>40756</v>
      </c>
      <c r="B152" s="349">
        <f t="shared" si="467"/>
        <v>2011</v>
      </c>
      <c r="C152" s="15">
        <f t="shared" si="407"/>
        <v>8</v>
      </c>
      <c r="D152" s="612" t="str">
        <f t="shared" si="468"/>
        <v/>
      </c>
      <c r="E152" s="609">
        <f t="shared" si="408"/>
        <v>40756</v>
      </c>
      <c r="F152" s="614">
        <f t="shared" si="409"/>
        <v>40786</v>
      </c>
      <c r="G152" s="1349">
        <v>0</v>
      </c>
      <c r="H152" s="152">
        <f t="shared" si="512"/>
        <v>1</v>
      </c>
      <c r="I152" s="154">
        <f>IF(Assumptions!$L$25=4,VLOOKUP($A152,'Henwood Reference'!$E$9:$R$320,10),(VLOOKUP($A152,PriceTable,2,0)+IF(BasisNumber&lt;&gt;1,VLOOKUP($A152,BasisTable,2,0),0)+I$1)/(1-I$2))</f>
        <v>109.50832715039638</v>
      </c>
      <c r="J152" s="154">
        <f>IF(Assumptions!$L$25=4,VLOOKUP($A152,'Henwood Reference'!$E$9:$R$320,10),(VLOOKUP($A152,PriceTable,3,0)+IF(BasisNumber&lt;&gt;1,VLOOKUP($A152,BasisTable,2,0),0)+J$1)/(1-J$2))</f>
        <v>109.50832715039638</v>
      </c>
      <c r="K152" s="154">
        <f>IF(Assumptions!$L$25=4,VLOOKUP($A152,'Henwood Reference'!$E$9:$R$320,10),(VLOOKUP($A152,PriceTable,4,0)+IF(BasisNumber&lt;&gt;1,VLOOKUP($A152,BasisTable,2,0),0)+K$1)/(1-K$2))</f>
        <v>109.50832715039638</v>
      </c>
      <c r="L152" s="474">
        <f>IF(Assumptions!$L$25=4,VLOOKUP($A152,'Henwood Reference'!$E$9:$R$320,10),(VLOOKUP($A152,PriceTableWeekend,2,0)+IF(BasisNumber&lt;&gt;1,VLOOKUP($A152,BasisTable,2,0),0)+L$1)/(1-L$2))</f>
        <v>109.50832715039638</v>
      </c>
      <c r="M152" s="154">
        <f>IF(Assumptions!$L$25=4,VLOOKUP($A152,'Henwood Reference'!$E$9:$R$320,10),(VLOOKUP($A152,PriceTableWeekend,3,0)+IF(BasisNumber&lt;&gt;1,VLOOKUP($A152,BasisTable,2,0),0)+M$1)/(1-M$2))</f>
        <v>109.50832715039638</v>
      </c>
      <c r="N152" s="156">
        <f>IF(Assumptions!$L$25=4,VLOOKUP($A152,'Henwood Reference'!$E$9:$R$320,10),(VLOOKUP($A152,PriceTableWeekend,4,0)+IF(BasisNumber&lt;&gt;1,VLOOKUP($A152,BasisTable,2,0),0)+N$1)/(1-N$2))</f>
        <v>109.50832715039638</v>
      </c>
      <c r="O152" s="154">
        <f>IF(Assumptions!$L$25=4,VLOOKUP($A152,'Henwood Reference'!$E$9:$R$320,11),(VLOOKUP($A152,PriceTableWeekend,6,0)+IF(BasisNumber&lt;&gt;1,VLOOKUP($A152,BasisTable,3,0),0)+O$1)/(1-O$2))</f>
        <v>34.445944490042081</v>
      </c>
      <c r="P152" s="154">
        <f>IF(Assumptions!$L$25=4,VLOOKUP($A152,'Henwood Reference'!$E$9:$R$320,11),(VLOOKUP($A152,PriceTableWeekend,7,0)+IF(BasisNumber&lt;&gt;1,VLOOKUP($A152,BasisTable,3,0),0)+P$1)/(1-P$2))</f>
        <v>34.445944490042081</v>
      </c>
      <c r="Q152" s="156">
        <f>IF(Assumptions!$L$25=4,VLOOKUP($A152,'Henwood Reference'!$E$9:$R$320,11),(VLOOKUP($A152,PriceTableWeekend,8,0)+IF(BasisNumber&lt;&gt;1,VLOOKUP($A152,BasisTable,3,0),0)+Q$1)/(1-Q$2))</f>
        <v>34.445944490042081</v>
      </c>
      <c r="R152" s="154">
        <f>IF(Assumptions!$L$25=4,VLOOKUP($A152,'Henwood Reference'!$E$9:$R$320,11),(VLOOKUP($A152,PriceTable,6,0)+IF(BasisNumber&lt;&gt;1,VLOOKUP($A152,BasisTable,3,0),0)+R$1)/(1-R$2))</f>
        <v>34.445944490042081</v>
      </c>
      <c r="S152" s="154">
        <f>IF(Assumptions!$L$25=4,VLOOKUP($A152,'Henwood Reference'!$E$9:$R$320,11),(VLOOKUP($A152,PriceTable,7,0)+IF(BasisNumber&lt;&gt;1,VLOOKUP($A152,BasisTable,3,0),0)+S$1)/(1-S$2))</f>
        <v>34.445944490042081</v>
      </c>
      <c r="T152" s="155">
        <f>IF(Assumptions!$L$25=4,VLOOKUP($A152,'Henwood Reference'!$E$9:$R$320,11),(VLOOKUP($A152,PriceTable,8,0)+IF(BasisNumber&lt;&gt;1,VLOOKUP($A152,BasisTable,3,0),0)+T$1)/(1-T$2))</f>
        <v>34.445944490042081</v>
      </c>
      <c r="U152" s="173">
        <f t="shared" si="469"/>
        <v>0.115</v>
      </c>
      <c r="V152" s="173">
        <f t="shared" si="470"/>
        <v>0.125</v>
      </c>
      <c r="W152" s="174">
        <f t="shared" si="471"/>
        <v>0.13500000000000001</v>
      </c>
      <c r="X152" s="173">
        <f t="shared" si="472"/>
        <v>0.115</v>
      </c>
      <c r="Y152" s="173">
        <f t="shared" si="473"/>
        <v>0.125</v>
      </c>
      <c r="Z152" s="174">
        <f t="shared" si="474"/>
        <v>0.13500000000000001</v>
      </c>
      <c r="AA152" s="173">
        <f t="shared" si="475"/>
        <v>0.09</v>
      </c>
      <c r="AB152" s="173">
        <f t="shared" si="476"/>
        <v>0.11</v>
      </c>
      <c r="AC152" s="174">
        <f t="shared" si="477"/>
        <v>0.13</v>
      </c>
      <c r="AD152" s="173">
        <f t="shared" si="478"/>
        <v>0.09</v>
      </c>
      <c r="AE152" s="173">
        <f t="shared" si="479"/>
        <v>0.11</v>
      </c>
      <c r="AF152" s="174">
        <f t="shared" si="480"/>
        <v>0.13</v>
      </c>
      <c r="AG152" s="173">
        <f t="shared" si="481"/>
        <v>-0.35</v>
      </c>
      <c r="AH152" s="173">
        <f t="shared" si="482"/>
        <v>3</v>
      </c>
      <c r="AI152" s="174">
        <f t="shared" si="483"/>
        <v>0.35</v>
      </c>
      <c r="AJ152" s="173">
        <f t="shared" si="484"/>
        <v>-0.35</v>
      </c>
      <c r="AK152" s="173">
        <f t="shared" si="485"/>
        <v>3</v>
      </c>
      <c r="AL152" s="174">
        <f t="shared" si="486"/>
        <v>0.35</v>
      </c>
      <c r="AM152" s="173">
        <f t="shared" si="487"/>
        <v>-0.01</v>
      </c>
      <c r="AN152" s="173">
        <f t="shared" si="488"/>
        <v>0.16</v>
      </c>
      <c r="AO152" s="174">
        <f t="shared" si="489"/>
        <v>0.01</v>
      </c>
      <c r="AP152" s="173">
        <f t="shared" si="490"/>
        <v>-0.01</v>
      </c>
      <c r="AQ152" s="173">
        <f t="shared" si="491"/>
        <v>0.16</v>
      </c>
      <c r="AR152" s="175">
        <f t="shared" si="492"/>
        <v>0.01</v>
      </c>
      <c r="AS152" s="521">
        <f t="shared" si="493"/>
        <v>0.5</v>
      </c>
      <c r="AT152" s="349">
        <f t="shared" si="410"/>
        <v>23</v>
      </c>
      <c r="AU152" s="159">
        <f t="shared" si="411"/>
        <v>4</v>
      </c>
      <c r="AV152" s="159">
        <f t="shared" si="412"/>
        <v>4</v>
      </c>
      <c r="AW152" s="159">
        <f t="shared" si="494"/>
        <v>0</v>
      </c>
      <c r="AX152" s="15">
        <f t="shared" si="413"/>
        <v>31</v>
      </c>
      <c r="AY152" s="607">
        <f>IF(E152="",0,MIN((1-(1-VLOOKUP(B152,MAIN!$AA$7:$AM$28,C152+1))*(1-VLOOKUP(B152,MAIN!$AA$33:$AM$54,C152+1))),1))</f>
        <v>3.0000000000000027E-2</v>
      </c>
      <c r="AZ152" s="337">
        <v>53544</v>
      </c>
      <c r="BA152" s="509">
        <v>9312</v>
      </c>
      <c r="BB152" s="509">
        <v>9312</v>
      </c>
      <c r="BC152" s="511">
        <v>36084</v>
      </c>
      <c r="BD152" s="153">
        <v>0.96999998915940522</v>
      </c>
      <c r="BE152" s="474">
        <v>0.96999998915940522</v>
      </c>
      <c r="BF152" s="474">
        <v>0.96999998915940522</v>
      </c>
      <c r="BG152" s="515">
        <v>0.97000000722706314</v>
      </c>
      <c r="BH152" s="262">
        <v>214176</v>
      </c>
      <c r="BI152" s="509">
        <v>37248</v>
      </c>
      <c r="BJ152" s="509">
        <v>37248</v>
      </c>
      <c r="BK152" s="511">
        <v>144336</v>
      </c>
      <c r="BL152" s="153">
        <v>0.96999998915940522</v>
      </c>
      <c r="BM152" s="474">
        <v>0.96999998915940522</v>
      </c>
      <c r="BN152" s="474">
        <v>0.96999998915940522</v>
      </c>
      <c r="BO152" s="474">
        <v>0.97000000722706314</v>
      </c>
      <c r="BP152" s="261">
        <f t="shared" si="495"/>
        <v>72168</v>
      </c>
      <c r="BQ152" s="578">
        <f t="shared" si="496"/>
        <v>108252</v>
      </c>
      <c r="BR152" s="259">
        <f t="shared" si="497"/>
        <v>288672</v>
      </c>
      <c r="BS152" s="578">
        <f t="shared" si="498"/>
        <v>433008</v>
      </c>
      <c r="BT152" s="216">
        <f t="shared" si="499"/>
        <v>11.296372347707051</v>
      </c>
      <c r="BU152" s="218">
        <f t="shared" si="414"/>
        <v>109.50832592654547</v>
      </c>
      <c r="BV152" s="216">
        <f t="shared" si="415"/>
        <v>109.50832592654547</v>
      </c>
      <c r="BW152" s="216">
        <f t="shared" si="416"/>
        <v>34.445944105078652</v>
      </c>
      <c r="BX152" s="216">
        <f t="shared" si="500"/>
        <v>34.445944746684368</v>
      </c>
      <c r="BY152" s="216">
        <f t="shared" si="417"/>
        <v>99.822857304420708</v>
      </c>
      <c r="BZ152" s="216">
        <f t="shared" si="418"/>
        <v>78.030553118508593</v>
      </c>
      <c r="CA152" s="264">
        <f t="shared" si="419"/>
        <v>109.50832592654547</v>
      </c>
      <c r="CB152" s="216">
        <f t="shared" si="420"/>
        <v>109.50832592654547</v>
      </c>
      <c r="CC152" s="216">
        <f t="shared" si="421"/>
        <v>34.445944105078652</v>
      </c>
      <c r="CD152" s="216">
        <f t="shared" si="501"/>
        <v>34.445944746684368</v>
      </c>
      <c r="CE152" s="216">
        <f t="shared" si="422"/>
        <v>99.822857304420708</v>
      </c>
      <c r="CF152" s="571">
        <f t="shared" si="423"/>
        <v>78.030553118508593</v>
      </c>
      <c r="CG152" s="573">
        <f t="shared" si="424"/>
        <v>0.125</v>
      </c>
      <c r="CH152" s="219">
        <f t="shared" si="425"/>
        <v>0.125</v>
      </c>
      <c r="CI152" s="219">
        <f t="shared" si="426"/>
        <v>0.11</v>
      </c>
      <c r="CJ152" s="219">
        <f t="shared" si="427"/>
        <v>0.12433880296011911</v>
      </c>
      <c r="CK152" s="219">
        <f t="shared" si="428"/>
        <v>0.12433880296011911</v>
      </c>
      <c r="CL152" s="219">
        <f t="shared" si="429"/>
        <v>0.11</v>
      </c>
      <c r="CM152" s="219">
        <f t="shared" si="430"/>
        <v>0.11532886152945158</v>
      </c>
      <c r="CN152" s="569">
        <f t="shared" si="431"/>
        <v>0.11532886152945158</v>
      </c>
      <c r="CO152" s="264">
        <f t="shared" si="343"/>
        <v>21.229814399723054</v>
      </c>
      <c r="CP152" s="216">
        <f t="shared" si="502"/>
        <v>21.229814399723054</v>
      </c>
      <c r="CQ152" s="216">
        <f t="shared" ca="1" si="361"/>
        <v>21.229814399723054</v>
      </c>
      <c r="CR152" s="216">
        <f t="shared" ca="1" si="362"/>
        <v>21.229814399723054</v>
      </c>
      <c r="CS152" s="1626">
        <f t="shared" ca="1" si="363"/>
        <v>21.229814399723054</v>
      </c>
      <c r="CT152" s="216">
        <f t="shared" si="503"/>
        <v>21.229814399723054</v>
      </c>
      <c r="CU152" s="575">
        <f t="shared" si="432"/>
        <v>0.157</v>
      </c>
      <c r="CV152" s="154">
        <f t="shared" si="433"/>
        <v>0.5</v>
      </c>
      <c r="CW152" s="216">
        <f>IF(OR($BQ152,$BS152),SpreadOptPowerMargin,0)*((1+Assumptions!$C$26)^($B152-YEAR(Assumptions!$C$17)))</f>
        <v>2.1089868858040779</v>
      </c>
      <c r="CX152" s="216">
        <f>IF(OR($BQ152,$BS152),SpreadOptPowerMargin,0)*((1+Assumptions!$C$26)^($B152-YEAR(Assumptions!$C$17)))</f>
        <v>2.1089868858040779</v>
      </c>
      <c r="CY152" s="216">
        <f>IF(OR($BQ152,$BS152),SpreadOptPowerMargin,0)*((1+Assumptions!$C$26)^($B152-YEAR(Assumptions!$C$17)))</f>
        <v>2.1089868858040779</v>
      </c>
      <c r="CZ152" s="216">
        <f>IF(OR($BQ152,$BS152),SpreadOptPowerMargin,0)*((1+Assumptions!$C$26)^($B152-YEAR(Assumptions!$C$17)))</f>
        <v>2.1089868858040779</v>
      </c>
      <c r="DA152" s="440">
        <f t="shared" si="434"/>
        <v>2.1089868858040779</v>
      </c>
      <c r="DB152" s="479">
        <f t="shared" si="435"/>
        <v>0.125</v>
      </c>
      <c r="DC152" s="479">
        <f t="shared" si="436"/>
        <v>0.125</v>
      </c>
      <c r="DD152" s="479">
        <f t="shared" si="437"/>
        <v>0.11</v>
      </c>
      <c r="DE152" s="479">
        <f t="shared" si="438"/>
        <v>0.11</v>
      </c>
      <c r="DF152" s="479">
        <f t="shared" si="439"/>
        <v>0.11532886152945158</v>
      </c>
      <c r="DG152" s="574">
        <f t="shared" si="440"/>
        <v>0.11532886152945158</v>
      </c>
      <c r="DH152" s="216">
        <f t="shared" si="441"/>
        <v>86.172089653649834</v>
      </c>
      <c r="DI152" s="216">
        <f t="shared" si="442"/>
        <v>86.172089653649834</v>
      </c>
      <c r="DJ152" s="216">
        <f t="shared" ca="1" si="364"/>
        <v>12.371798304058622</v>
      </c>
      <c r="DK152" s="216">
        <f t="shared" ca="1" si="365"/>
        <v>12.371798860867409</v>
      </c>
      <c r="DL152" s="216">
        <f t="shared" ca="1" si="366"/>
        <v>54.713491835352293</v>
      </c>
      <c r="DM152" s="216"/>
      <c r="DN152" s="216"/>
      <c r="DO152" s="216"/>
      <c r="DP152" s="216"/>
      <c r="DQ152" s="216"/>
      <c r="DR152" s="216"/>
      <c r="DS152" s="216"/>
      <c r="DT152" s="216"/>
      <c r="DU152" s="216"/>
      <c r="DV152" s="216"/>
      <c r="DW152" s="1371">
        <f t="shared" si="443"/>
        <v>12.371798304058622</v>
      </c>
      <c r="DX152" s="216">
        <f t="shared" si="444"/>
        <v>12.371798860867409</v>
      </c>
      <c r="DY152" s="440">
        <f t="shared" si="445"/>
        <v>55.223580563617745</v>
      </c>
      <c r="DZ152" s="180">
        <f t="shared" si="446"/>
        <v>4613998.3684150269</v>
      </c>
      <c r="EA152" s="180">
        <f t="shared" si="447"/>
        <v>802434.49885478721</v>
      </c>
      <c r="EB152" s="180">
        <f t="shared" ca="1" si="367"/>
        <v>115206.18580739389</v>
      </c>
      <c r="EC152" s="180">
        <f t="shared" ca="1" si="368"/>
        <v>446423.9900955396</v>
      </c>
      <c r="ED152" s="180">
        <f t="shared" ca="1" si="369"/>
        <v>5922844.9181605568</v>
      </c>
      <c r="EE152" s="581">
        <f t="shared" si="448"/>
        <v>4613861.0273786858</v>
      </c>
      <c r="EF152" s="554">
        <f t="shared" si="449"/>
        <v>802410.61345716275</v>
      </c>
      <c r="EG152" s="554">
        <f t="shared" ca="1" si="370"/>
        <v>103429.71393566375</v>
      </c>
      <c r="EH152" s="554">
        <f t="shared" ca="1" si="371"/>
        <v>400790.16465239768</v>
      </c>
      <c r="EI152" s="561">
        <f t="shared" ca="1" si="450"/>
        <v>5920491.5194239086</v>
      </c>
      <c r="EJ152" s="581">
        <f t="shared" si="504"/>
        <v>137.34103634115309</v>
      </c>
      <c r="EK152" s="554">
        <f t="shared" si="505"/>
        <v>23.885397624457255</v>
      </c>
      <c r="EL152" s="554">
        <f t="shared" ca="1" si="372"/>
        <v>11776.471871730144</v>
      </c>
      <c r="EM152" s="554">
        <f t="shared" ca="1" si="373"/>
        <v>45633.825443141919</v>
      </c>
      <c r="EN152" s="561">
        <f t="shared" ca="1" si="374"/>
        <v>2353.3987366482615</v>
      </c>
      <c r="EO152" s="180">
        <f t="shared" si="451"/>
        <v>18455993.473660108</v>
      </c>
      <c r="EP152" s="180">
        <f t="shared" si="452"/>
        <v>3209737.9954191488</v>
      </c>
      <c r="EQ152" s="180">
        <f t="shared" si="453"/>
        <v>460824.74322957557</v>
      </c>
      <c r="ER152" s="180">
        <f t="shared" si="454"/>
        <v>1785695.9603821584</v>
      </c>
      <c r="ES152" s="180">
        <f t="shared" si="455"/>
        <v>23912252.172690991</v>
      </c>
      <c r="ET152" s="1482">
        <f t="shared" ca="1" si="375"/>
        <v>18455444.109514743</v>
      </c>
      <c r="EU152" s="180">
        <f t="shared" ca="1" si="376"/>
        <v>3209642.453828651</v>
      </c>
      <c r="EV152" s="180">
        <f t="shared" ca="1" si="377"/>
        <v>413718.855742655</v>
      </c>
      <c r="EW152" s="180">
        <f t="shared" ca="1" si="378"/>
        <v>1603160.6586095907</v>
      </c>
      <c r="EX152" s="555">
        <f t="shared" ca="1" si="351"/>
        <v>23681966.077695642</v>
      </c>
      <c r="EY152" s="180">
        <f t="shared" ca="1" si="379"/>
        <v>549.36414536461234</v>
      </c>
      <c r="EZ152" s="180">
        <f t="shared" ca="1" si="380"/>
        <v>95.54159049782902</v>
      </c>
      <c r="FA152" s="180">
        <f t="shared" ca="1" si="381"/>
        <v>47105.887486920576</v>
      </c>
      <c r="FB152" s="180">
        <f t="shared" ca="1" si="382"/>
        <v>182535.30177256768</v>
      </c>
      <c r="FC152" s="180">
        <f t="shared" ca="1" si="383"/>
        <v>230286.09499534965</v>
      </c>
      <c r="FD152" s="262">
        <f>IF(AX152,IF(VLOOKUP(C152,MAIN!$L$17:$M$28,2)="Yes",VLOOKUP(CALC!B152,MAIN!$H$17:$I$20,2),0),0)</f>
        <v>0</v>
      </c>
      <c r="FE152" s="623">
        <f t="shared" si="456"/>
        <v>0</v>
      </c>
      <c r="FF152" s="535">
        <f t="shared" si="457"/>
        <v>0</v>
      </c>
      <c r="FG152" s="535">
        <f t="shared" si="458"/>
        <v>0</v>
      </c>
      <c r="FH152" s="624">
        <f t="shared" si="459"/>
        <v>0</v>
      </c>
      <c r="FI152" s="632">
        <f>IF(AX152,VLOOKUP(CALC!B152,MAIN!$H$17:$K$20,4),0)</f>
        <v>0</v>
      </c>
      <c r="FJ152" s="535">
        <f t="shared" si="460"/>
        <v>0</v>
      </c>
      <c r="FK152" s="648">
        <f t="shared" si="506"/>
        <v>0</v>
      </c>
      <c r="FL152" s="530">
        <f t="shared" ca="1" si="384"/>
        <v>0</v>
      </c>
      <c r="FM152" s="530">
        <f t="shared" ca="1" si="385"/>
        <v>0</v>
      </c>
      <c r="FN152" s="530">
        <f t="shared" ca="1" si="386"/>
        <v>0</v>
      </c>
      <c r="FO152" s="622">
        <f t="shared" ca="1" si="387"/>
        <v>0</v>
      </c>
      <c r="FP152" s="530">
        <f t="shared" ca="1" si="388"/>
        <v>0</v>
      </c>
      <c r="FQ152" s="530">
        <f t="shared" ca="1" si="389"/>
        <v>0</v>
      </c>
      <c r="FR152" s="530">
        <f t="shared" ca="1" si="390"/>
        <v>0</v>
      </c>
      <c r="FS152" s="625">
        <f t="shared" ca="1" si="391"/>
        <v>0</v>
      </c>
      <c r="FT152" s="640">
        <f ca="1">IF(AND(Assumptions!$H$71="Yes",A152&gt;=Assumptions!$H$72,A152&lt;=Assumptions!$H$73),0,IF(AND($A152&gt;=Assumptions!$C$17,$A152&lt;=Assumptions!$C$18),MAX(AZ152*(1+VLOOKUP($C152,WeatherCapacityAdjustment,2))-FL152,0),0))</f>
        <v>53544</v>
      </c>
      <c r="FU152" s="530">
        <f ca="1">IF(AND(Assumptions!$H$71="Yes",A152&gt;=Assumptions!$H$72,A152&lt;=Assumptions!$H$73),0,IF(AND($A152&gt;=Assumptions!$C$17,$A152&lt;=Assumptions!$C$18),MAX(BA152*(1+VLOOKUP($C152,WeatherCapacityAdjustment,2))-FM152,0),0))</f>
        <v>9312</v>
      </c>
      <c r="FV152" s="530">
        <f ca="1">IF(AND(Assumptions!$H$71="Yes",A152&gt;=Assumptions!$H$72,A152&lt;=Assumptions!$H$73),0,IF(AND($A152&gt;=Assumptions!$C$17,$A152&lt;=Assumptions!$C$18),MAX(BB152*(1+VLOOKUP($C152,WeatherCapacityAdjustment,2))-FN152,0),0))</f>
        <v>9312</v>
      </c>
      <c r="FW152" s="622">
        <f ca="1">IF(AND(Assumptions!$H$71="Yes",A152&gt;=Assumptions!$H$72,A152&lt;=Assumptions!$H$73),0,IF(AND($A152&gt;=Assumptions!$C$17,$A152&lt;=Assumptions!$C$18),MAX(BC152*(1+VLOOKUP($C152,WeatherCapacityAdjustment,3))-FO152,0),0))</f>
        <v>36084</v>
      </c>
      <c r="FX152" s="621">
        <f ca="1">IF(AND(Assumptions!$H$71="Yes",A152&gt;=Assumptions!$H$72,A152&lt;=Assumptions!$H$73),0,IF(ET152&gt;0,MAX(BH152*(1+VLOOKUP($C152,WeatherCapacityAdjustment,2))-FP152,0),0))</f>
        <v>214176</v>
      </c>
      <c r="FY152" s="530">
        <f ca="1">IF(AND(Assumptions!$H$71="Yes",A152&gt;=Assumptions!$H$72,A152&lt;=Assumptions!$H$73),0,IF(EU152&gt;0,MAX(BI152*(1+VLOOKUP($C152,WeatherCapacityAdjustment,3))-FQ152,0),0))</f>
        <v>37248</v>
      </c>
      <c r="FZ152" s="530">
        <f ca="1">IF(AND(Assumptions!$H$71="Yes",A152&gt;=Assumptions!$H$72,A152&lt;=Assumptions!$H$73),0,IF(EV152&gt;0,MAX(BJ152*(1+VLOOKUP($C152,WeatherCapacityAdjustment,2))-FR152,0),0))</f>
        <v>37248</v>
      </c>
      <c r="GA152" s="622">
        <f ca="1">IF(AND(Assumptions!$H$71="Yes",A152&gt;=Assumptions!$H$72,A152&lt;=Assumptions!$H$73),0,IF(EW152&gt;0,MAX(BK152*(1+VLOOKUP($C152,WeatherCapacityAdjustment,2))-FS152,0),0))</f>
        <v>144336</v>
      </c>
      <c r="GB152" s="530">
        <f t="shared" ca="1" si="461"/>
        <v>541260</v>
      </c>
      <c r="GC152" s="545">
        <f t="shared" ca="1" si="462"/>
        <v>78.030553118508593</v>
      </c>
      <c r="GD152" s="530">
        <f t="shared" ca="1" si="392"/>
        <v>42234817.180923961</v>
      </c>
      <c r="GE152" s="1485">
        <f t="shared" ca="1" si="393"/>
        <v>770464.12464000005</v>
      </c>
      <c r="GF152" s="1776">
        <f t="shared" ca="1" si="394"/>
        <v>3081856.4985600002</v>
      </c>
      <c r="GG152" s="545">
        <f t="shared" si="359"/>
        <v>2.9828382593058982</v>
      </c>
      <c r="GH152" s="622">
        <f t="shared" ca="1" si="360"/>
        <v>11490849.341994101</v>
      </c>
      <c r="GI152" s="621">
        <f t="shared" ca="1" si="507"/>
        <v>541260</v>
      </c>
      <c r="GJ152" s="638">
        <f t="shared" si="463"/>
        <v>2.1089868858040779</v>
      </c>
      <c r="GK152" s="625">
        <f t="shared" ca="1" si="513"/>
        <v>1141510.2418103153</v>
      </c>
      <c r="GL152" s="640">
        <f t="shared" ca="1" si="395"/>
        <v>0</v>
      </c>
      <c r="GM152" s="530">
        <f t="shared" ca="1" si="396"/>
        <v>0</v>
      </c>
      <c r="GN152" s="530">
        <f t="shared" ca="1" si="397"/>
        <v>0</v>
      </c>
      <c r="GO152" s="622">
        <f t="shared" ca="1" si="398"/>
        <v>0</v>
      </c>
      <c r="GP152" s="530">
        <f t="shared" ca="1" si="464"/>
        <v>0</v>
      </c>
      <c r="GQ152" s="545">
        <f t="shared" ca="1" si="465"/>
        <v>0</v>
      </c>
      <c r="GR152" s="625">
        <f t="shared" ca="1" si="399"/>
        <v>0</v>
      </c>
      <c r="GS152" s="640">
        <f>IF($A152&gt;=BegDate,Assumptions!$C$56*24*($A153-$A152)*(1-VLOOKUP($B152,MAIN!$AA$7:$AM$28,$C152+1))*(1-VLOOKUP($B152,MAIN!$AA$33:$AM$54,$C152+1)),0)*80/168</f>
        <v>257742.85714285713</v>
      </c>
      <c r="GT152" s="1715">
        <f t="shared" si="508"/>
        <v>109.50832715039638</v>
      </c>
      <c r="GU152" s="1715">
        <f>IF($A152&gt;=BegDate,VLOOKUP($A152,GasTable,13)+Assumptions!$C$58,0)</f>
        <v>2.9828382593058982</v>
      </c>
      <c r="GV152" s="1715">
        <f>GU152*Assumptions!$C$57/1000</f>
        <v>21.625577379967762</v>
      </c>
      <c r="GW152" s="625">
        <f>IF(Assumptions!$C$60="Hourly",MAX(0,GS152*(GT152-GV152)),GS152*(GT152-GV152))</f>
        <v>22651151.019401044</v>
      </c>
      <c r="GX152" s="640">
        <f>IF($A152&gt;=BegDate,Assumptions!$C$56*24*($A153-$A152)*(1-VLOOKUP($B152,MAIN!$AA$7:$AM$28,$C152+1))*(1-VLOOKUP($B152,MAIN!$AA$33:$AM$54,$C152+1)),0)*16/168</f>
        <v>51548.571428571428</v>
      </c>
      <c r="GY152" s="1715">
        <f t="shared" si="509"/>
        <v>109.50832715039638</v>
      </c>
      <c r="GZ152" s="1715">
        <f>IF($A152&gt;=BegDate,VLOOKUP($A152,GasTable,13)+Assumptions!$C$58,0)</f>
        <v>2.9828382593058982</v>
      </c>
      <c r="HA152" s="1715">
        <f>GZ152*Assumptions!$C$57/1000</f>
        <v>21.625577379967762</v>
      </c>
      <c r="HB152" s="625">
        <f>IF(Assumptions!$C$60="Hourly",MAX(0,GX152*(GY152-HA152)),GX152*(GY152-HA152))</f>
        <v>4530230.2038802085</v>
      </c>
      <c r="HC152" s="640">
        <f>IF($A152&gt;=BegDate,Assumptions!$C$56*24*($A153-$A152)*(1-VLOOKUP($B152,MAIN!$AA$7:$AM$28,$C152+1))*(1-VLOOKUP($B152,MAIN!$AA$33:$AM$54,$C152+1)),0)*16/168</f>
        <v>51548.571428571428</v>
      </c>
      <c r="HD152" s="1715">
        <f t="shared" si="510"/>
        <v>34.445944490042081</v>
      </c>
      <c r="HE152" s="1715">
        <f>IF($A152&gt;=BegDate,VLOOKUP($A152,GasTable,13)+Assumptions!$C$58,0)</f>
        <v>2.9828382593058982</v>
      </c>
      <c r="HF152" s="1715">
        <f>HE152*Assumptions!$C$57/1000</f>
        <v>21.625577379967762</v>
      </c>
      <c r="HG152" s="625">
        <f>IF(Assumptions!$C$60="Hourly",MAX(0,HC152*(HD152-HF152)),HC152*(HD152-HF152))</f>
        <v>660871.60971417383</v>
      </c>
      <c r="HH152" s="640">
        <f>IF($A152&gt;=BegDate,Assumptions!$C$56*24*($A153-$A152)*(1-VLOOKUP($B152,MAIN!$AA$7:$AM$28,$C152+1))*(1-VLOOKUP($B152,MAIN!$AA$33:$AM$54,$C152+1)),0)*56/168</f>
        <v>180420</v>
      </c>
      <c r="HI152" s="1715">
        <f t="shared" si="511"/>
        <v>34.445944490042081</v>
      </c>
      <c r="HJ152" s="1715">
        <f>IF($A152&gt;=BegDate,VLOOKUP($A152,GasTable,13)+Assumptions!$C$58,0)</f>
        <v>2.9828382593058982</v>
      </c>
      <c r="HK152" s="1715">
        <f>HJ152*Assumptions!$C$57/1000</f>
        <v>21.625577379967762</v>
      </c>
      <c r="HL152" s="625">
        <f>IF(Assumptions!$C$60="Hourly",MAX(0,HH152*(HI152-HK152)),HH152*(HI152-HK152))</f>
        <v>2313050.6339996085</v>
      </c>
      <c r="HM152" s="640">
        <f>IF(AND(Assumptions!$H$71="Yes",A152&gt;=Assumptions!$H$72,A152&lt;=Assumptions!$H$73),Assumptions!$H$74*Assumptions!$C$9*1000,0)</f>
        <v>0</v>
      </c>
      <c r="HN152" s="530"/>
      <c r="HO152" s="545"/>
      <c r="HP152" s="545"/>
      <c r="HQ152" s="545"/>
      <c r="HR152" s="545"/>
      <c r="HS152" s="545"/>
      <c r="HT152" s="545"/>
      <c r="HU152" s="545"/>
      <c r="HV152" s="545"/>
      <c r="HW152" s="545"/>
      <c r="HX152" s="545"/>
      <c r="HY152" s="545"/>
      <c r="HZ152" s="545"/>
      <c r="IA152" s="545"/>
      <c r="IB152" s="545"/>
      <c r="IC152" s="545"/>
      <c r="ID152" s="545"/>
      <c r="IE152" s="545"/>
      <c r="IF152" s="545"/>
      <c r="IG152" s="545"/>
      <c r="IH152" s="545"/>
      <c r="II152" s="1464"/>
      <c r="IJ152" s="1463"/>
      <c r="IK152" s="1463"/>
    </row>
    <row r="153" spans="1:245">
      <c r="A153" s="177">
        <f t="shared" si="466"/>
        <v>40787</v>
      </c>
      <c r="B153" s="349">
        <f t="shared" si="467"/>
        <v>2011</v>
      </c>
      <c r="C153" s="15">
        <f t="shared" si="407"/>
        <v>9</v>
      </c>
      <c r="D153" s="612">
        <f t="shared" si="468"/>
        <v>40791</v>
      </c>
      <c r="E153" s="609">
        <f t="shared" si="408"/>
        <v>40787</v>
      </c>
      <c r="F153" s="614">
        <f t="shared" si="409"/>
        <v>40816</v>
      </c>
      <c r="G153" s="1349">
        <v>0</v>
      </c>
      <c r="H153" s="152">
        <f t="shared" si="512"/>
        <v>1</v>
      </c>
      <c r="I153" s="154">
        <f>IF(Assumptions!$L$25=4,VLOOKUP($A153,'Henwood Reference'!$E$9:$R$320,10),(VLOOKUP($A153,PriceTable,2,0)+IF(BasisNumber&lt;&gt;1,VLOOKUP($A153,BasisTable,2,0),0)+I$1)/(1-I$2))</f>
        <v>67.733810149245386</v>
      </c>
      <c r="J153" s="154">
        <f>IF(Assumptions!$L$25=4,VLOOKUP($A153,'Henwood Reference'!$E$9:$R$320,10),(VLOOKUP($A153,PriceTable,3,0)+IF(BasisNumber&lt;&gt;1,VLOOKUP($A153,BasisTable,2,0),0)+J$1)/(1-J$2))</f>
        <v>67.733810149245386</v>
      </c>
      <c r="K153" s="154">
        <f>IF(Assumptions!$L$25=4,VLOOKUP($A153,'Henwood Reference'!$E$9:$R$320,10),(VLOOKUP($A153,PriceTable,4,0)+IF(BasisNumber&lt;&gt;1,VLOOKUP($A153,BasisTable,2,0),0)+K$1)/(1-K$2))</f>
        <v>67.733810149245386</v>
      </c>
      <c r="L153" s="474">
        <f>IF(Assumptions!$L$25=4,VLOOKUP($A153,'Henwood Reference'!$E$9:$R$320,10),(VLOOKUP($A153,PriceTableWeekend,2,0)+IF(BasisNumber&lt;&gt;1,VLOOKUP($A153,BasisTable,2,0),0)+L$1)/(1-L$2))</f>
        <v>67.733810149245386</v>
      </c>
      <c r="M153" s="154">
        <f>IF(Assumptions!$L$25=4,VLOOKUP($A153,'Henwood Reference'!$E$9:$R$320,10),(VLOOKUP($A153,PriceTableWeekend,3,0)+IF(BasisNumber&lt;&gt;1,VLOOKUP($A153,BasisTable,2,0),0)+M$1)/(1-M$2))</f>
        <v>67.733810149245386</v>
      </c>
      <c r="N153" s="156">
        <f>IF(Assumptions!$L$25=4,VLOOKUP($A153,'Henwood Reference'!$E$9:$R$320,10),(VLOOKUP($A153,PriceTableWeekend,4,0)+IF(BasisNumber&lt;&gt;1,VLOOKUP($A153,BasisTable,2,0),0)+N$1)/(1-N$2))</f>
        <v>67.733810149245386</v>
      </c>
      <c r="O153" s="154">
        <f>IF(Assumptions!$L$25=4,VLOOKUP($A153,'Henwood Reference'!$E$9:$R$320,11),(VLOOKUP($A153,PriceTableWeekend,6,0)+IF(BasisNumber&lt;&gt;1,VLOOKUP($A153,BasisTable,3,0),0)+O$1)/(1-O$2))</f>
        <v>31.46110012530988</v>
      </c>
      <c r="P153" s="154">
        <f>IF(Assumptions!$L$25=4,VLOOKUP($A153,'Henwood Reference'!$E$9:$R$320,11),(VLOOKUP($A153,PriceTableWeekend,7,0)+IF(BasisNumber&lt;&gt;1,VLOOKUP($A153,BasisTable,3,0),0)+P$1)/(1-P$2))</f>
        <v>31.46110012530988</v>
      </c>
      <c r="Q153" s="156">
        <f>IF(Assumptions!$L$25=4,VLOOKUP($A153,'Henwood Reference'!$E$9:$R$320,11),(VLOOKUP($A153,PriceTableWeekend,8,0)+IF(BasisNumber&lt;&gt;1,VLOOKUP($A153,BasisTable,3,0),0)+Q$1)/(1-Q$2))</f>
        <v>31.46110012530988</v>
      </c>
      <c r="R153" s="154">
        <f>IF(Assumptions!$L$25=4,VLOOKUP($A153,'Henwood Reference'!$E$9:$R$320,11),(VLOOKUP($A153,PriceTable,6,0)+IF(BasisNumber&lt;&gt;1,VLOOKUP($A153,BasisTable,3,0),0)+R$1)/(1-R$2))</f>
        <v>31.46110012530988</v>
      </c>
      <c r="S153" s="154">
        <f>IF(Assumptions!$L$25=4,VLOOKUP($A153,'Henwood Reference'!$E$9:$R$320,11),(VLOOKUP($A153,PriceTable,7,0)+IF(BasisNumber&lt;&gt;1,VLOOKUP($A153,BasisTable,3,0),0)+S$1)/(1-S$2))</f>
        <v>31.46110012530988</v>
      </c>
      <c r="T153" s="155">
        <f>IF(Assumptions!$L$25=4,VLOOKUP($A153,'Henwood Reference'!$E$9:$R$320,11),(VLOOKUP($A153,PriceTable,8,0)+IF(BasisNumber&lt;&gt;1,VLOOKUP($A153,BasisTable,3,0),0)+T$1)/(1-T$2))</f>
        <v>31.46110012530988</v>
      </c>
      <c r="U153" s="173">
        <f t="shared" si="469"/>
        <v>0.115</v>
      </c>
      <c r="V153" s="173">
        <f t="shared" si="470"/>
        <v>0.125</v>
      </c>
      <c r="W153" s="174">
        <f t="shared" si="471"/>
        <v>0.13500000000000001</v>
      </c>
      <c r="X153" s="173">
        <f t="shared" si="472"/>
        <v>0.115</v>
      </c>
      <c r="Y153" s="173">
        <f t="shared" si="473"/>
        <v>0.125</v>
      </c>
      <c r="Z153" s="174">
        <f t="shared" si="474"/>
        <v>0.13500000000000001</v>
      </c>
      <c r="AA153" s="173">
        <f t="shared" si="475"/>
        <v>0.09</v>
      </c>
      <c r="AB153" s="173">
        <f t="shared" si="476"/>
        <v>0.11</v>
      </c>
      <c r="AC153" s="174">
        <f t="shared" si="477"/>
        <v>0.13</v>
      </c>
      <c r="AD153" s="173">
        <f t="shared" si="478"/>
        <v>0.09</v>
      </c>
      <c r="AE153" s="173">
        <f t="shared" si="479"/>
        <v>0.11</v>
      </c>
      <c r="AF153" s="174">
        <f t="shared" si="480"/>
        <v>0.13</v>
      </c>
      <c r="AG153" s="173">
        <f t="shared" si="481"/>
        <v>-0.35</v>
      </c>
      <c r="AH153" s="173">
        <f t="shared" si="482"/>
        <v>3</v>
      </c>
      <c r="AI153" s="174">
        <f t="shared" si="483"/>
        <v>0.2</v>
      </c>
      <c r="AJ153" s="173">
        <f t="shared" si="484"/>
        <v>-0.35</v>
      </c>
      <c r="AK153" s="173">
        <f t="shared" si="485"/>
        <v>3</v>
      </c>
      <c r="AL153" s="174">
        <f t="shared" si="486"/>
        <v>0.2</v>
      </c>
      <c r="AM153" s="173">
        <f t="shared" si="487"/>
        <v>-0.01</v>
      </c>
      <c r="AN153" s="173">
        <f t="shared" si="488"/>
        <v>0.16</v>
      </c>
      <c r="AO153" s="174">
        <f t="shared" si="489"/>
        <v>0.01</v>
      </c>
      <c r="AP153" s="173">
        <f t="shared" si="490"/>
        <v>-0.01</v>
      </c>
      <c r="AQ153" s="173">
        <f t="shared" si="491"/>
        <v>0.16</v>
      </c>
      <c r="AR153" s="175">
        <f t="shared" si="492"/>
        <v>0.01</v>
      </c>
      <c r="AS153" s="521">
        <f t="shared" si="493"/>
        <v>0.5</v>
      </c>
      <c r="AT153" s="349">
        <f t="shared" si="410"/>
        <v>21</v>
      </c>
      <c r="AU153" s="159">
        <f t="shared" si="411"/>
        <v>4</v>
      </c>
      <c r="AV153" s="159">
        <f t="shared" si="412"/>
        <v>4</v>
      </c>
      <c r="AW153" s="159">
        <f t="shared" si="494"/>
        <v>1</v>
      </c>
      <c r="AX153" s="15">
        <f t="shared" si="413"/>
        <v>30</v>
      </c>
      <c r="AY153" s="607">
        <f>IF(E153="",0,MIN((1-(1-VLOOKUP(B153,MAIN!$AA$7:$AM$28,C153+1))*(1-VLOOKUP(B153,MAIN!$AA$33:$AM$54,C153+1))),1))</f>
        <v>3.0000000000000027E-2</v>
      </c>
      <c r="AZ153" s="337">
        <v>48888</v>
      </c>
      <c r="BA153" s="509">
        <v>9312</v>
      </c>
      <c r="BB153" s="509">
        <v>11640</v>
      </c>
      <c r="BC153" s="511">
        <v>34920</v>
      </c>
      <c r="BD153" s="153">
        <v>0.9699999927729368</v>
      </c>
      <c r="BE153" s="474">
        <v>0.9699999927729368</v>
      </c>
      <c r="BF153" s="474">
        <v>0.9699999927729368</v>
      </c>
      <c r="BG153" s="515">
        <v>0.9699999927729368</v>
      </c>
      <c r="BH153" s="262">
        <v>195552</v>
      </c>
      <c r="BI153" s="509">
        <v>37248</v>
      </c>
      <c r="BJ153" s="509">
        <v>46560</v>
      </c>
      <c r="BK153" s="511">
        <v>139680</v>
      </c>
      <c r="BL153" s="153">
        <v>0.9699999927729368</v>
      </c>
      <c r="BM153" s="474">
        <v>0.9699999927729368</v>
      </c>
      <c r="BN153" s="474">
        <v>0.9699999927729368</v>
      </c>
      <c r="BO153" s="474">
        <v>0.9699999927729368</v>
      </c>
      <c r="BP153" s="261">
        <f t="shared" si="495"/>
        <v>69840</v>
      </c>
      <c r="BQ153" s="578">
        <f t="shared" si="496"/>
        <v>104760</v>
      </c>
      <c r="BR153" s="259">
        <f t="shared" si="497"/>
        <v>279360</v>
      </c>
      <c r="BS153" s="578">
        <f t="shared" si="498"/>
        <v>419040</v>
      </c>
      <c r="BT153" s="216">
        <f t="shared" si="499"/>
        <v>11.381245722108146</v>
      </c>
      <c r="BU153" s="218">
        <f t="shared" si="414"/>
        <v>67.733809644589172</v>
      </c>
      <c r="BV153" s="216">
        <f t="shared" si="415"/>
        <v>67.733809644589172</v>
      </c>
      <c r="BW153" s="216">
        <f t="shared" si="416"/>
        <v>31.461099890906418</v>
      </c>
      <c r="BX153" s="216">
        <f t="shared" si="500"/>
        <v>31.461099890906418</v>
      </c>
      <c r="BY153" s="216">
        <f t="shared" si="417"/>
        <v>61.688358018975379</v>
      </c>
      <c r="BZ153" s="216">
        <f t="shared" si="418"/>
        <v>51.612605309619063</v>
      </c>
      <c r="CA153" s="264">
        <f t="shared" si="419"/>
        <v>67.733809644589172</v>
      </c>
      <c r="CB153" s="216">
        <f t="shared" si="420"/>
        <v>67.733809644589172</v>
      </c>
      <c r="CC153" s="216">
        <f t="shared" si="421"/>
        <v>31.461099890906418</v>
      </c>
      <c r="CD153" s="216">
        <f t="shared" si="501"/>
        <v>31.461099890906418</v>
      </c>
      <c r="CE153" s="216">
        <f t="shared" si="422"/>
        <v>61.688358018975379</v>
      </c>
      <c r="CF153" s="571">
        <f t="shared" si="423"/>
        <v>51.612605309619063</v>
      </c>
      <c r="CG153" s="573">
        <f t="shared" si="424"/>
        <v>0.125</v>
      </c>
      <c r="CH153" s="219">
        <f t="shared" si="425"/>
        <v>0.125</v>
      </c>
      <c r="CI153" s="219">
        <f t="shared" si="426"/>
        <v>0.11</v>
      </c>
      <c r="CJ153" s="219">
        <f t="shared" si="427"/>
        <v>0.1237372561783094</v>
      </c>
      <c r="CK153" s="219">
        <f t="shared" si="428"/>
        <v>0.1237372561783094</v>
      </c>
      <c r="CL153" s="219">
        <f t="shared" si="429"/>
        <v>0.11</v>
      </c>
      <c r="CM153" s="219">
        <f t="shared" si="430"/>
        <v>0.11185545639316219</v>
      </c>
      <c r="CN153" s="569">
        <f t="shared" si="431"/>
        <v>0.11185545639316219</v>
      </c>
      <c r="CO153" s="264">
        <f t="shared" si="343"/>
        <v>22.120892308228395</v>
      </c>
      <c r="CP153" s="216">
        <f t="shared" si="502"/>
        <v>22.120892308228395</v>
      </c>
      <c r="CQ153" s="216">
        <f t="shared" ca="1" si="361"/>
        <v>22.120892308228395</v>
      </c>
      <c r="CR153" s="216">
        <f t="shared" ca="1" si="362"/>
        <v>22.120892308228395</v>
      </c>
      <c r="CS153" s="1626">
        <f t="shared" ca="1" si="363"/>
        <v>22.120892308228399</v>
      </c>
      <c r="CT153" s="216">
        <f t="shared" si="503"/>
        <v>22.120892308228395</v>
      </c>
      <c r="CU153" s="575">
        <f t="shared" si="432"/>
        <v>0.157</v>
      </c>
      <c r="CV153" s="154">
        <f t="shared" si="433"/>
        <v>0.5</v>
      </c>
      <c r="CW153" s="216">
        <f>IF(OR($BQ153,$BS153),SpreadOptPowerMargin,0)*((1+Assumptions!$C$26)^($B153-YEAR(Assumptions!$C$17)))</f>
        <v>2.1089868858040779</v>
      </c>
      <c r="CX153" s="216">
        <f>IF(OR($BQ153,$BS153),SpreadOptPowerMargin,0)*((1+Assumptions!$C$26)^($B153-YEAR(Assumptions!$C$17)))</f>
        <v>2.1089868858040779</v>
      </c>
      <c r="CY153" s="216">
        <f>IF(OR($BQ153,$BS153),SpreadOptPowerMargin,0)*((1+Assumptions!$C$26)^($B153-YEAR(Assumptions!$C$17)))</f>
        <v>2.1089868858040779</v>
      </c>
      <c r="CZ153" s="216">
        <f>IF(OR($BQ153,$BS153),SpreadOptPowerMargin,0)*((1+Assumptions!$C$26)^($B153-YEAR(Assumptions!$C$17)))</f>
        <v>2.1089868858040779</v>
      </c>
      <c r="DA153" s="440">
        <f t="shared" si="434"/>
        <v>2.1089868858040779</v>
      </c>
      <c r="DB153" s="479">
        <f t="shared" si="435"/>
        <v>0.125</v>
      </c>
      <c r="DC153" s="479">
        <f t="shared" si="436"/>
        <v>0.125</v>
      </c>
      <c r="DD153" s="479">
        <f t="shared" si="437"/>
        <v>0.11</v>
      </c>
      <c r="DE153" s="479">
        <f t="shared" si="438"/>
        <v>0.11</v>
      </c>
      <c r="DF153" s="479">
        <f t="shared" si="439"/>
        <v>0.11185545639316219</v>
      </c>
      <c r="DG153" s="574">
        <f t="shared" si="440"/>
        <v>0.11185545639316219</v>
      </c>
      <c r="DH153" s="216">
        <f t="shared" si="441"/>
        <v>43.588707140204662</v>
      </c>
      <c r="DI153" s="216">
        <f t="shared" si="442"/>
        <v>43.588707140204662</v>
      </c>
      <c r="DJ153" s="216">
        <f t="shared" ca="1" si="364"/>
        <v>9.28166944010826</v>
      </c>
      <c r="DK153" s="216">
        <f t="shared" ca="1" si="365"/>
        <v>9.28166944010826</v>
      </c>
      <c r="DL153" s="216">
        <f t="shared" ca="1" si="366"/>
        <v>27.672841087377591</v>
      </c>
      <c r="DM153" s="216"/>
      <c r="DN153" s="216"/>
      <c r="DO153" s="216"/>
      <c r="DP153" s="216"/>
      <c r="DQ153" s="216"/>
      <c r="DR153" s="216"/>
      <c r="DS153" s="216"/>
      <c r="DT153" s="216"/>
      <c r="DU153" s="216"/>
      <c r="DV153" s="216"/>
      <c r="DW153" s="1371">
        <f t="shared" si="443"/>
        <v>9.28166944010826</v>
      </c>
      <c r="DX153" s="216">
        <f t="shared" si="444"/>
        <v>9.28166944010826</v>
      </c>
      <c r="DY153" s="440">
        <f t="shared" si="445"/>
        <v>28.341134829050706</v>
      </c>
      <c r="DZ153" s="180">
        <f t="shared" si="446"/>
        <v>2130964.7146703256</v>
      </c>
      <c r="EA153" s="180">
        <f t="shared" si="447"/>
        <v>405898.0408895858</v>
      </c>
      <c r="EB153" s="180">
        <f t="shared" ca="1" si="367"/>
        <v>108038.63228286014</v>
      </c>
      <c r="EC153" s="180">
        <f t="shared" ca="1" si="368"/>
        <v>324115.89684858045</v>
      </c>
      <c r="ED153" s="180">
        <f t="shared" ca="1" si="369"/>
        <v>2899006.8323136764</v>
      </c>
      <c r="EE153" s="581">
        <f t="shared" si="448"/>
        <v>2126820.1518668155</v>
      </c>
      <c r="EF153" s="554">
        <f t="shared" si="449"/>
        <v>405108.60035558394</v>
      </c>
      <c r="EG153" s="554">
        <f t="shared" ca="1" si="370"/>
        <v>84171.4089116127</v>
      </c>
      <c r="EH153" s="554">
        <f t="shared" ca="1" si="371"/>
        <v>252514.22673483813</v>
      </c>
      <c r="EI153" s="561">
        <f t="shared" ca="1" si="450"/>
        <v>2868614.3878688505</v>
      </c>
      <c r="EJ153" s="581">
        <f t="shared" si="504"/>
        <v>4144.5628035101108</v>
      </c>
      <c r="EK153" s="554">
        <f t="shared" si="505"/>
        <v>789.44053400185658</v>
      </c>
      <c r="EL153" s="554">
        <f t="shared" ca="1" si="372"/>
        <v>23867.223371247441</v>
      </c>
      <c r="EM153" s="554">
        <f t="shared" ca="1" si="373"/>
        <v>71601.670113742322</v>
      </c>
      <c r="EN153" s="561">
        <f t="shared" ca="1" si="374"/>
        <v>30392.444444825873</v>
      </c>
      <c r="EO153" s="180">
        <f t="shared" si="451"/>
        <v>8523858.8586813025</v>
      </c>
      <c r="EP153" s="180">
        <f t="shared" si="452"/>
        <v>1623592.1635583432</v>
      </c>
      <c r="EQ153" s="180">
        <f t="shared" si="453"/>
        <v>432154.52913144056</v>
      </c>
      <c r="ER153" s="180">
        <f t="shared" si="454"/>
        <v>1296463.5873943218</v>
      </c>
      <c r="ES153" s="180">
        <f t="shared" si="455"/>
        <v>11876069.138765408</v>
      </c>
      <c r="ET153" s="1482">
        <f t="shared" ca="1" si="375"/>
        <v>8507280.6074672621</v>
      </c>
      <c r="EU153" s="180">
        <f t="shared" ca="1" si="376"/>
        <v>1620434.4014223358</v>
      </c>
      <c r="EV153" s="180">
        <f t="shared" ca="1" si="377"/>
        <v>336685.6356464508</v>
      </c>
      <c r="EW153" s="180">
        <f t="shared" ca="1" si="378"/>
        <v>1010056.9069393525</v>
      </c>
      <c r="EX153" s="555">
        <f t="shared" ca="1" si="351"/>
        <v>11474457.5514754</v>
      </c>
      <c r="EY153" s="180">
        <f t="shared" ca="1" si="379"/>
        <v>16578.251214040443</v>
      </c>
      <c r="EZ153" s="180">
        <f t="shared" ca="1" si="380"/>
        <v>3157.7621360074263</v>
      </c>
      <c r="FA153" s="180">
        <f t="shared" ca="1" si="381"/>
        <v>95468.893484989763</v>
      </c>
      <c r="FB153" s="180">
        <f t="shared" ca="1" si="382"/>
        <v>286406.68045496929</v>
      </c>
      <c r="FC153" s="180">
        <f t="shared" ca="1" si="383"/>
        <v>401611.58729000762</v>
      </c>
      <c r="FD153" s="262">
        <f>IF(AX153,IF(VLOOKUP(C153,MAIN!$L$17:$M$28,2)="Yes",VLOOKUP(CALC!B153,MAIN!$H$17:$I$20,2),0),0)</f>
        <v>0</v>
      </c>
      <c r="FE153" s="623">
        <f t="shared" si="456"/>
        <v>0</v>
      </c>
      <c r="FF153" s="535">
        <f t="shared" si="457"/>
        <v>0</v>
      </c>
      <c r="FG153" s="535">
        <f t="shared" si="458"/>
        <v>0</v>
      </c>
      <c r="FH153" s="624">
        <f t="shared" si="459"/>
        <v>0</v>
      </c>
      <c r="FI153" s="632">
        <f>IF(AX153,VLOOKUP(CALC!B153,MAIN!$H$17:$K$20,4),0)</f>
        <v>0</v>
      </c>
      <c r="FJ153" s="535">
        <f t="shared" si="460"/>
        <v>0</v>
      </c>
      <c r="FK153" s="648">
        <f t="shared" si="506"/>
        <v>0</v>
      </c>
      <c r="FL153" s="530">
        <f t="shared" ca="1" si="384"/>
        <v>0</v>
      </c>
      <c r="FM153" s="530">
        <f t="shared" ca="1" si="385"/>
        <v>0</v>
      </c>
      <c r="FN153" s="530">
        <f t="shared" ca="1" si="386"/>
        <v>0</v>
      </c>
      <c r="FO153" s="622">
        <f t="shared" ca="1" si="387"/>
        <v>0</v>
      </c>
      <c r="FP153" s="530">
        <f t="shared" ca="1" si="388"/>
        <v>0</v>
      </c>
      <c r="FQ153" s="530">
        <f t="shared" ca="1" si="389"/>
        <v>0</v>
      </c>
      <c r="FR153" s="530">
        <f t="shared" ca="1" si="390"/>
        <v>0</v>
      </c>
      <c r="FS153" s="625">
        <f t="shared" ca="1" si="391"/>
        <v>0</v>
      </c>
      <c r="FT153" s="640">
        <f ca="1">IF(AND(Assumptions!$H$71="Yes",A153&gt;=Assumptions!$H$72,A153&lt;=Assumptions!$H$73),0,IF(AND($A153&gt;=Assumptions!$C$17,$A153&lt;=Assumptions!$C$18),MAX(AZ153*(1+VLOOKUP($C153,WeatherCapacityAdjustment,2))-FL153,0),0))</f>
        <v>48888</v>
      </c>
      <c r="FU153" s="530">
        <f ca="1">IF(AND(Assumptions!$H$71="Yes",A153&gt;=Assumptions!$H$72,A153&lt;=Assumptions!$H$73),0,IF(AND($A153&gt;=Assumptions!$C$17,$A153&lt;=Assumptions!$C$18),MAX(BA153*(1+VLOOKUP($C153,WeatherCapacityAdjustment,2))-FM153,0),0))</f>
        <v>9312</v>
      </c>
      <c r="FV153" s="530">
        <f ca="1">IF(AND(Assumptions!$H$71="Yes",A153&gt;=Assumptions!$H$72,A153&lt;=Assumptions!$H$73),0,IF(AND($A153&gt;=Assumptions!$C$17,$A153&lt;=Assumptions!$C$18),MAX(BB153*(1+VLOOKUP($C153,WeatherCapacityAdjustment,2))-FN153,0),0))</f>
        <v>11640</v>
      </c>
      <c r="FW153" s="622">
        <f ca="1">IF(AND(Assumptions!$H$71="Yes",A153&gt;=Assumptions!$H$72,A153&lt;=Assumptions!$H$73),0,IF(AND($A153&gt;=Assumptions!$C$17,$A153&lt;=Assumptions!$C$18),MAX(BC153*(1+VLOOKUP($C153,WeatherCapacityAdjustment,3))-FO153,0),0))</f>
        <v>34920</v>
      </c>
      <c r="FX153" s="621">
        <f ca="1">IF(AND(Assumptions!$H$71="Yes",A153&gt;=Assumptions!$H$72,A153&lt;=Assumptions!$H$73),0,IF(ET153&gt;0,MAX(BH153*(1+VLOOKUP($C153,WeatherCapacityAdjustment,2))-FP153,0),0))</f>
        <v>195552</v>
      </c>
      <c r="FY153" s="530">
        <f ca="1">IF(AND(Assumptions!$H$71="Yes",A153&gt;=Assumptions!$H$72,A153&lt;=Assumptions!$H$73),0,IF(EU153&gt;0,MAX(BI153*(1+VLOOKUP($C153,WeatherCapacityAdjustment,3))-FQ153,0),0))</f>
        <v>37248</v>
      </c>
      <c r="FZ153" s="530">
        <f ca="1">IF(AND(Assumptions!$H$71="Yes",A153&gt;=Assumptions!$H$72,A153&lt;=Assumptions!$H$73),0,IF(EV153&gt;0,MAX(BJ153*(1+VLOOKUP($C153,WeatherCapacityAdjustment,2))-FR153,0),0))</f>
        <v>46560</v>
      </c>
      <c r="GA153" s="622">
        <f ca="1">IF(AND(Assumptions!$H$71="Yes",A153&gt;=Assumptions!$H$72,A153&lt;=Assumptions!$H$73),0,IF(EW153&gt;0,MAX(BK153*(1+VLOOKUP($C153,WeatherCapacityAdjustment,2))-FS153,0),0))</f>
        <v>139680</v>
      </c>
      <c r="GB153" s="530">
        <f t="shared" ca="1" si="461"/>
        <v>523800</v>
      </c>
      <c r="GC153" s="545">
        <f t="shared" ca="1" si="462"/>
        <v>51.612605309619063</v>
      </c>
      <c r="GD153" s="530">
        <f t="shared" ca="1" si="392"/>
        <v>27034682.661178462</v>
      </c>
      <c r="GE153" s="1485">
        <f t="shared" ca="1" si="393"/>
        <v>745918.43759999995</v>
      </c>
      <c r="GF153" s="1776">
        <f t="shared" ca="1" si="394"/>
        <v>2983673.7503999998</v>
      </c>
      <c r="GG153" s="545">
        <f t="shared" si="359"/>
        <v>3.1067534483612107</v>
      </c>
      <c r="GH153" s="622">
        <f t="shared" ca="1" si="360"/>
        <v>11586923.391050031</v>
      </c>
      <c r="GI153" s="621">
        <f t="shared" ca="1" si="507"/>
        <v>523800</v>
      </c>
      <c r="GJ153" s="638">
        <f t="shared" si="463"/>
        <v>2.1089868858040779</v>
      </c>
      <c r="GK153" s="625">
        <f t="shared" ca="1" si="513"/>
        <v>1104687.330784176</v>
      </c>
      <c r="GL153" s="640">
        <f t="shared" ca="1" si="395"/>
        <v>0</v>
      </c>
      <c r="GM153" s="530">
        <f t="shared" ca="1" si="396"/>
        <v>0</v>
      </c>
      <c r="GN153" s="530">
        <f t="shared" ca="1" si="397"/>
        <v>0</v>
      </c>
      <c r="GO153" s="622">
        <f t="shared" ca="1" si="398"/>
        <v>0</v>
      </c>
      <c r="GP153" s="530">
        <f t="shared" ca="1" si="464"/>
        <v>0</v>
      </c>
      <c r="GQ153" s="545">
        <f t="shared" ca="1" si="465"/>
        <v>0</v>
      </c>
      <c r="GR153" s="625">
        <f t="shared" ca="1" si="399"/>
        <v>0</v>
      </c>
      <c r="GS153" s="640">
        <f>IF($A153&gt;=BegDate,Assumptions!$C$56*24*($A154-$A153)*(1-VLOOKUP($B153,MAIN!$AA$7:$AM$28,$C153+1))*(1-VLOOKUP($B153,MAIN!$AA$33:$AM$54,$C153+1)),0)*80/168</f>
        <v>249428.57142857142</v>
      </c>
      <c r="GT153" s="1715">
        <f t="shared" si="508"/>
        <v>67.733810149245386</v>
      </c>
      <c r="GU153" s="1715">
        <f>IF($A153&gt;=BegDate,VLOOKUP($A153,GasTable,13)+Assumptions!$C$58,0)</f>
        <v>3.1067534483612107</v>
      </c>
      <c r="GV153" s="1715">
        <f>GU153*Assumptions!$C$57/1000</f>
        <v>22.523962500618779</v>
      </c>
      <c r="GW153" s="625">
        <f>IF(Assumptions!$C$60="Hourly",MAX(0,GS153*(GT153-GV153)),GS153*(GT153-GV153))</f>
        <v>11276627.713500293</v>
      </c>
      <c r="GX153" s="640">
        <f>IF($A153&gt;=BegDate,Assumptions!$C$56*24*($A154-$A153)*(1-VLOOKUP($B153,MAIN!$AA$7:$AM$28,$C153+1))*(1-VLOOKUP($B153,MAIN!$AA$33:$AM$54,$C153+1)),0)*16/168</f>
        <v>49885.714285714283</v>
      </c>
      <c r="GY153" s="1715">
        <f t="shared" si="509"/>
        <v>67.733810149245386</v>
      </c>
      <c r="GZ153" s="1715">
        <f>IF($A153&gt;=BegDate,VLOOKUP($A153,GasTable,13)+Assumptions!$C$58,0)</f>
        <v>3.1067534483612107</v>
      </c>
      <c r="HA153" s="1715">
        <f>GZ153*Assumptions!$C$57/1000</f>
        <v>22.523962500618779</v>
      </c>
      <c r="HB153" s="625">
        <f>IF(Assumptions!$C$60="Hourly",MAX(0,GX153*(GY153-HA153)),GX153*(GY153-HA153))</f>
        <v>2255325.5427000588</v>
      </c>
      <c r="HC153" s="640">
        <f>IF($A153&gt;=BegDate,Assumptions!$C$56*24*($A154-$A153)*(1-VLOOKUP($B153,MAIN!$AA$7:$AM$28,$C153+1))*(1-VLOOKUP($B153,MAIN!$AA$33:$AM$54,$C153+1)),0)*16/168</f>
        <v>49885.714285714283</v>
      </c>
      <c r="HD153" s="1715">
        <f t="shared" si="510"/>
        <v>31.46110012530988</v>
      </c>
      <c r="HE153" s="1715">
        <f>IF($A153&gt;=BegDate,VLOOKUP($A153,GasTable,13)+Assumptions!$C$58,0)</f>
        <v>3.1067534483612107</v>
      </c>
      <c r="HF153" s="1715">
        <f>HE153*Assumptions!$C$57/1000</f>
        <v>22.523962500618779</v>
      </c>
      <c r="HG153" s="625">
        <f>IF(Assumptions!$C$60="Hourly",MAX(0,HC153*(HD153-HF153)),HC153*(HD153-HF153))</f>
        <v>445835.49407744745</v>
      </c>
      <c r="HH153" s="640">
        <f>IF($A153&gt;=BegDate,Assumptions!$C$56*24*($A154-$A153)*(1-VLOOKUP($B153,MAIN!$AA$7:$AM$28,$C153+1))*(1-VLOOKUP($B153,MAIN!$AA$33:$AM$54,$C153+1)),0)*56/168</f>
        <v>174600</v>
      </c>
      <c r="HI153" s="1715">
        <f t="shared" si="511"/>
        <v>31.46110012530988</v>
      </c>
      <c r="HJ153" s="1715">
        <f>IF($A153&gt;=BegDate,VLOOKUP($A153,GasTable,13)+Assumptions!$C$58,0)</f>
        <v>3.1067534483612107</v>
      </c>
      <c r="HK153" s="1715">
        <f>HJ153*Assumptions!$C$57/1000</f>
        <v>22.523962500618779</v>
      </c>
      <c r="HL153" s="625">
        <f>IF(Assumptions!$C$60="Hourly",MAX(0,HH153*(HI153-HK153)),HH153*(HI153-HK153))</f>
        <v>1560424.2292710661</v>
      </c>
      <c r="HM153" s="640">
        <f>IF(AND(Assumptions!$H$71="Yes",A153&gt;=Assumptions!$H$72,A153&lt;=Assumptions!$H$73),Assumptions!$H$74*Assumptions!$C$9*1000,0)</f>
        <v>0</v>
      </c>
      <c r="HN153" s="530"/>
      <c r="HO153" s="545"/>
      <c r="HP153" s="545"/>
      <c r="HQ153" s="545"/>
      <c r="HR153" s="545"/>
      <c r="HS153" s="545"/>
      <c r="HT153" s="545"/>
      <c r="HU153" s="545"/>
      <c r="HV153" s="545"/>
      <c r="HW153" s="545"/>
      <c r="HX153" s="545"/>
      <c r="HY153" s="545"/>
      <c r="HZ153" s="545"/>
      <c r="IA153" s="545"/>
      <c r="IB153" s="545"/>
      <c r="IC153" s="545"/>
      <c r="ID153" s="545"/>
      <c r="IE153" s="545"/>
      <c r="IF153" s="545"/>
      <c r="IG153" s="545"/>
      <c r="IH153" s="545"/>
      <c r="II153" s="1464"/>
      <c r="IJ153" s="1463"/>
      <c r="IK153" s="1463"/>
    </row>
    <row r="154" spans="1:245">
      <c r="A154" s="177">
        <f t="shared" si="466"/>
        <v>40817</v>
      </c>
      <c r="B154" s="349">
        <f t="shared" si="467"/>
        <v>2011</v>
      </c>
      <c r="C154" s="15">
        <f t="shared" si="407"/>
        <v>10</v>
      </c>
      <c r="D154" s="612" t="str">
        <f t="shared" si="468"/>
        <v/>
      </c>
      <c r="E154" s="609">
        <f t="shared" si="408"/>
        <v>40817</v>
      </c>
      <c r="F154" s="614">
        <f t="shared" si="409"/>
        <v>40847</v>
      </c>
      <c r="G154" s="1349">
        <v>0</v>
      </c>
      <c r="H154" s="152">
        <f t="shared" si="512"/>
        <v>1</v>
      </c>
      <c r="I154" s="154">
        <f>IF(Assumptions!$L$25=4,VLOOKUP($A154,'Henwood Reference'!$E$9:$R$320,10),(VLOOKUP($A154,PriceTable,2,0)+IF(BasisNumber&lt;&gt;1,VLOOKUP($A154,BasisTable,2,0),0)+I$1)/(1-I$2))</f>
        <v>51.296899141991439</v>
      </c>
      <c r="J154" s="154">
        <f>IF(Assumptions!$L$25=4,VLOOKUP($A154,'Henwood Reference'!$E$9:$R$320,10),(VLOOKUP($A154,PriceTable,3,0)+IF(BasisNumber&lt;&gt;1,VLOOKUP($A154,BasisTable,2,0),0)+J$1)/(1-J$2))</f>
        <v>51.296899141991439</v>
      </c>
      <c r="K154" s="154">
        <f>IF(Assumptions!$L$25=4,VLOOKUP($A154,'Henwood Reference'!$E$9:$R$320,10),(VLOOKUP($A154,PriceTable,4,0)+IF(BasisNumber&lt;&gt;1,VLOOKUP($A154,BasisTable,2,0),0)+K$1)/(1-K$2))</f>
        <v>51.296899141991439</v>
      </c>
      <c r="L154" s="474">
        <f>IF(Assumptions!$L$25=4,VLOOKUP($A154,'Henwood Reference'!$E$9:$R$320,10),(VLOOKUP($A154,PriceTableWeekend,2,0)+IF(BasisNumber&lt;&gt;1,VLOOKUP($A154,BasisTable,2,0),0)+L$1)/(1-L$2))</f>
        <v>51.296899141991439</v>
      </c>
      <c r="M154" s="154">
        <f>IF(Assumptions!$L$25=4,VLOOKUP($A154,'Henwood Reference'!$E$9:$R$320,10),(VLOOKUP($A154,PriceTableWeekend,3,0)+IF(BasisNumber&lt;&gt;1,VLOOKUP($A154,BasisTable,2,0),0)+M$1)/(1-M$2))</f>
        <v>51.296899141991439</v>
      </c>
      <c r="N154" s="156">
        <f>IF(Assumptions!$L$25=4,VLOOKUP($A154,'Henwood Reference'!$E$9:$R$320,10),(VLOOKUP($A154,PriceTableWeekend,4,0)+IF(BasisNumber&lt;&gt;1,VLOOKUP($A154,BasisTable,2,0),0)+N$1)/(1-N$2))</f>
        <v>51.296899141991439</v>
      </c>
      <c r="O154" s="154">
        <f>IF(Assumptions!$L$25=4,VLOOKUP($A154,'Henwood Reference'!$E$9:$R$320,11),(VLOOKUP($A154,PriceTableWeekend,6,0)+IF(BasisNumber&lt;&gt;1,VLOOKUP($A154,BasisTable,3,0),0)+O$1)/(1-O$2))</f>
        <v>27.607385793871497</v>
      </c>
      <c r="P154" s="154">
        <f>IF(Assumptions!$L$25=4,VLOOKUP($A154,'Henwood Reference'!$E$9:$R$320,11),(VLOOKUP($A154,PriceTableWeekend,7,0)+IF(BasisNumber&lt;&gt;1,VLOOKUP($A154,BasisTable,3,0),0)+P$1)/(1-P$2))</f>
        <v>27.607385793871497</v>
      </c>
      <c r="Q154" s="156">
        <f>IF(Assumptions!$L$25=4,VLOOKUP($A154,'Henwood Reference'!$E$9:$R$320,11),(VLOOKUP($A154,PriceTableWeekend,8,0)+IF(BasisNumber&lt;&gt;1,VLOOKUP($A154,BasisTable,3,0),0)+Q$1)/(1-Q$2))</f>
        <v>27.607385793871497</v>
      </c>
      <c r="R154" s="154">
        <f>IF(Assumptions!$L$25=4,VLOOKUP($A154,'Henwood Reference'!$E$9:$R$320,11),(VLOOKUP($A154,PriceTable,6,0)+IF(BasisNumber&lt;&gt;1,VLOOKUP($A154,BasisTable,3,0),0)+R$1)/(1-R$2))</f>
        <v>27.607385793871497</v>
      </c>
      <c r="S154" s="154">
        <f>IF(Assumptions!$L$25=4,VLOOKUP($A154,'Henwood Reference'!$E$9:$R$320,11),(VLOOKUP($A154,PriceTable,7,0)+IF(BasisNumber&lt;&gt;1,VLOOKUP($A154,BasisTable,3,0),0)+S$1)/(1-S$2))</f>
        <v>27.607385793871497</v>
      </c>
      <c r="T154" s="155">
        <f>IF(Assumptions!$L$25=4,VLOOKUP($A154,'Henwood Reference'!$E$9:$R$320,11),(VLOOKUP($A154,PriceTable,8,0)+IF(BasisNumber&lt;&gt;1,VLOOKUP($A154,BasisTable,3,0),0)+T$1)/(1-T$2))</f>
        <v>27.607385793871497</v>
      </c>
      <c r="U154" s="173">
        <f t="shared" si="469"/>
        <v>0.115</v>
      </c>
      <c r="V154" s="173">
        <f t="shared" si="470"/>
        <v>0.125</v>
      </c>
      <c r="W154" s="174">
        <f t="shared" si="471"/>
        <v>0.13500000000000001</v>
      </c>
      <c r="X154" s="173">
        <f t="shared" si="472"/>
        <v>0.115</v>
      </c>
      <c r="Y154" s="173">
        <f t="shared" si="473"/>
        <v>0.125</v>
      </c>
      <c r="Z154" s="174">
        <f t="shared" si="474"/>
        <v>0.13500000000000001</v>
      </c>
      <c r="AA154" s="173">
        <f t="shared" si="475"/>
        <v>0.09</v>
      </c>
      <c r="AB154" s="173">
        <f t="shared" si="476"/>
        <v>0.11</v>
      </c>
      <c r="AC154" s="174">
        <f t="shared" si="477"/>
        <v>0.13</v>
      </c>
      <c r="AD154" s="173">
        <f t="shared" si="478"/>
        <v>0.09</v>
      </c>
      <c r="AE154" s="173">
        <f t="shared" si="479"/>
        <v>0.11</v>
      </c>
      <c r="AF154" s="174">
        <f t="shared" si="480"/>
        <v>0.13</v>
      </c>
      <c r="AG154" s="173">
        <f t="shared" si="481"/>
        <v>-0.1</v>
      </c>
      <c r="AH154" s="173">
        <f t="shared" si="482"/>
        <v>0.6</v>
      </c>
      <c r="AI154" s="174">
        <f t="shared" si="483"/>
        <v>0.1</v>
      </c>
      <c r="AJ154" s="173">
        <f t="shared" si="484"/>
        <v>-0.1</v>
      </c>
      <c r="AK154" s="173">
        <f t="shared" si="485"/>
        <v>0.6</v>
      </c>
      <c r="AL154" s="174">
        <f t="shared" si="486"/>
        <v>0.1</v>
      </c>
      <c r="AM154" s="173">
        <f t="shared" si="487"/>
        <v>-0.01</v>
      </c>
      <c r="AN154" s="173">
        <f t="shared" si="488"/>
        <v>0.16</v>
      </c>
      <c r="AO154" s="174">
        <f t="shared" si="489"/>
        <v>0.01</v>
      </c>
      <c r="AP154" s="173">
        <f t="shared" si="490"/>
        <v>-0.01</v>
      </c>
      <c r="AQ154" s="173">
        <f t="shared" si="491"/>
        <v>0.16</v>
      </c>
      <c r="AR154" s="175">
        <f t="shared" si="492"/>
        <v>0.01</v>
      </c>
      <c r="AS154" s="521">
        <f t="shared" si="493"/>
        <v>0.5</v>
      </c>
      <c r="AT154" s="349">
        <f t="shared" si="410"/>
        <v>21</v>
      </c>
      <c r="AU154" s="159">
        <f t="shared" si="411"/>
        <v>5</v>
      </c>
      <c r="AV154" s="159">
        <f t="shared" si="412"/>
        <v>5</v>
      </c>
      <c r="AW154" s="159">
        <f t="shared" si="494"/>
        <v>0</v>
      </c>
      <c r="AX154" s="15">
        <f t="shared" si="413"/>
        <v>31</v>
      </c>
      <c r="AY154" s="607">
        <f>IF(E154="",0,MIN((1-(1-VLOOKUP(B154,MAIN!$AA$7:$AM$28,C154+1))*(1-VLOOKUP(B154,MAIN!$AA$33:$AM$54,C154+1))),1))</f>
        <v>3.0000000000000027E-2</v>
      </c>
      <c r="AZ154" s="337">
        <v>48888</v>
      </c>
      <c r="BA154" s="509">
        <v>11640</v>
      </c>
      <c r="BB154" s="509">
        <v>11640</v>
      </c>
      <c r="BC154" s="511">
        <v>36084</v>
      </c>
      <c r="BD154" s="153">
        <v>0.97000001445412631</v>
      </c>
      <c r="BE154" s="474">
        <v>0.97000001445412631</v>
      </c>
      <c r="BF154" s="474">
        <v>0.97000001445412631</v>
      </c>
      <c r="BG154" s="515">
        <v>0.9699999927729368</v>
      </c>
      <c r="BH154" s="262">
        <v>195552</v>
      </c>
      <c r="BI154" s="509">
        <v>46560</v>
      </c>
      <c r="BJ154" s="509">
        <v>46560</v>
      </c>
      <c r="BK154" s="511">
        <v>144336</v>
      </c>
      <c r="BL154" s="153">
        <v>0.97000001445412631</v>
      </c>
      <c r="BM154" s="474">
        <v>0.97000001445412631</v>
      </c>
      <c r="BN154" s="474">
        <v>0.97000001445412631</v>
      </c>
      <c r="BO154" s="474">
        <v>0.9699999927729368</v>
      </c>
      <c r="BP154" s="261">
        <f t="shared" si="495"/>
        <v>72168</v>
      </c>
      <c r="BQ154" s="578">
        <f t="shared" si="496"/>
        <v>108252</v>
      </c>
      <c r="BR154" s="259">
        <f t="shared" si="497"/>
        <v>288672</v>
      </c>
      <c r="BS154" s="578">
        <f t="shared" si="498"/>
        <v>433008</v>
      </c>
      <c r="BT154" s="216">
        <f t="shared" si="499"/>
        <v>11.463381245722108</v>
      </c>
      <c r="BU154" s="218">
        <f t="shared" si="414"/>
        <v>51.296899906374804</v>
      </c>
      <c r="BV154" s="216">
        <f t="shared" si="415"/>
        <v>51.296899906374804</v>
      </c>
      <c r="BW154" s="216">
        <f t="shared" si="416"/>
        <v>27.607386205253604</v>
      </c>
      <c r="BX154" s="216">
        <f t="shared" si="500"/>
        <v>27.607385588180446</v>
      </c>
      <c r="BY154" s="216">
        <f t="shared" si="417"/>
        <v>47.476010599742359</v>
      </c>
      <c r="BZ154" s="216">
        <f t="shared" si="418"/>
        <v>40.853135595888382</v>
      </c>
      <c r="CA154" s="264">
        <f t="shared" si="419"/>
        <v>51.296899906374804</v>
      </c>
      <c r="CB154" s="216">
        <f t="shared" si="420"/>
        <v>51.296899906374804</v>
      </c>
      <c r="CC154" s="216">
        <f t="shared" si="421"/>
        <v>27.607386205253604</v>
      </c>
      <c r="CD154" s="216">
        <f t="shared" si="501"/>
        <v>27.607385588180446</v>
      </c>
      <c r="CE154" s="216">
        <f t="shared" si="422"/>
        <v>47.476010599742359</v>
      </c>
      <c r="CF154" s="571">
        <f t="shared" si="423"/>
        <v>40.853135595888382</v>
      </c>
      <c r="CG154" s="573">
        <f t="shared" si="424"/>
        <v>0.125</v>
      </c>
      <c r="CH154" s="219">
        <f t="shared" si="425"/>
        <v>0.125</v>
      </c>
      <c r="CI154" s="219">
        <f t="shared" si="426"/>
        <v>0.11</v>
      </c>
      <c r="CJ154" s="219">
        <f t="shared" si="427"/>
        <v>0.12360662057977903</v>
      </c>
      <c r="CK154" s="219">
        <f t="shared" si="428"/>
        <v>0.12360662057977903</v>
      </c>
      <c r="CL154" s="219">
        <f t="shared" si="429"/>
        <v>0.11</v>
      </c>
      <c r="CM154" s="219">
        <f t="shared" si="430"/>
        <v>0.11066888210135298</v>
      </c>
      <c r="CN154" s="569">
        <f t="shared" si="431"/>
        <v>0.11066888210135298</v>
      </c>
      <c r="CO154" s="264">
        <f t="shared" ref="CO154:CO217" si="514">IF(OR(BQ154,BS154),VLOOKUP(A154,GasTable,13)*HeatRatePeak*(1+VLOOKUP($B154,HeatRateDegradation,$C154+1))/1000,0)</f>
        <v>23.075908134441828</v>
      </c>
      <c r="CP154" s="216">
        <f t="shared" si="502"/>
        <v>23.075908134441828</v>
      </c>
      <c r="CQ154" s="216">
        <f t="shared" ca="1" si="361"/>
        <v>23.075908134441828</v>
      </c>
      <c r="CR154" s="216">
        <f t="shared" ca="1" si="362"/>
        <v>23.075908134441828</v>
      </c>
      <c r="CS154" s="1626">
        <f t="shared" ca="1" si="363"/>
        <v>23.075908134441828</v>
      </c>
      <c r="CT154" s="216">
        <f t="shared" si="503"/>
        <v>23.075908134441828</v>
      </c>
      <c r="CU154" s="575">
        <f t="shared" si="432"/>
        <v>0.157</v>
      </c>
      <c r="CV154" s="154">
        <f t="shared" si="433"/>
        <v>0.5</v>
      </c>
      <c r="CW154" s="216">
        <f>IF(OR($BQ154,$BS154),SpreadOptPowerMargin,0)*((1+Assumptions!$C$26)^($B154-YEAR(Assumptions!$C$17)))</f>
        <v>2.1089868858040779</v>
      </c>
      <c r="CX154" s="216">
        <f>IF(OR($BQ154,$BS154),SpreadOptPowerMargin,0)*((1+Assumptions!$C$26)^($B154-YEAR(Assumptions!$C$17)))</f>
        <v>2.1089868858040779</v>
      </c>
      <c r="CY154" s="216">
        <f>IF(OR($BQ154,$BS154),SpreadOptPowerMargin,0)*((1+Assumptions!$C$26)^($B154-YEAR(Assumptions!$C$17)))</f>
        <v>2.1089868858040779</v>
      </c>
      <c r="CZ154" s="216">
        <f>IF(OR($BQ154,$BS154),SpreadOptPowerMargin,0)*((1+Assumptions!$C$26)^($B154-YEAR(Assumptions!$C$17)))</f>
        <v>2.1089868858040779</v>
      </c>
      <c r="DA154" s="440">
        <f t="shared" si="434"/>
        <v>2.1089868858040779</v>
      </c>
      <c r="DB154" s="479">
        <f t="shared" si="435"/>
        <v>0.125</v>
      </c>
      <c r="DC154" s="479">
        <f t="shared" si="436"/>
        <v>0.125</v>
      </c>
      <c r="DD154" s="479">
        <f t="shared" si="437"/>
        <v>0.11</v>
      </c>
      <c r="DE154" s="479">
        <f t="shared" si="438"/>
        <v>0.11</v>
      </c>
      <c r="DF154" s="479">
        <f t="shared" si="439"/>
        <v>0.11066888210135298</v>
      </c>
      <c r="DG154" s="574">
        <f t="shared" si="440"/>
        <v>0.11066888210135298</v>
      </c>
      <c r="DH154" s="216">
        <f t="shared" si="441"/>
        <v>26.554169257930397</v>
      </c>
      <c r="DI154" s="216">
        <f t="shared" si="442"/>
        <v>26.554169257930397</v>
      </c>
      <c r="DJ154" s="216">
        <f t="shared" ca="1" si="364"/>
        <v>5.9217121188966111</v>
      </c>
      <c r="DK154" s="216">
        <f t="shared" ca="1" si="365"/>
        <v>5.9217117054602451</v>
      </c>
      <c r="DL154" s="216">
        <f t="shared" ca="1" si="366"/>
        <v>16.665564922600815</v>
      </c>
      <c r="DM154" s="216"/>
      <c r="DN154" s="216"/>
      <c r="DO154" s="216"/>
      <c r="DP154" s="216"/>
      <c r="DQ154" s="216"/>
      <c r="DR154" s="216"/>
      <c r="DS154" s="216"/>
      <c r="DT154" s="216"/>
      <c r="DU154" s="216"/>
      <c r="DV154" s="216"/>
      <c r="DW154" s="1371">
        <f t="shared" si="443"/>
        <v>5.9217121188966111</v>
      </c>
      <c r="DX154" s="216">
        <f t="shared" si="444"/>
        <v>5.9217117054602451</v>
      </c>
      <c r="DY154" s="440">
        <f t="shared" si="445"/>
        <v>17.458139628716282</v>
      </c>
      <c r="DZ154" s="180">
        <f t="shared" si="446"/>
        <v>1298180.2266817011</v>
      </c>
      <c r="EA154" s="180">
        <f t="shared" si="447"/>
        <v>309090.53016230982</v>
      </c>
      <c r="EB154" s="180">
        <f t="shared" ca="1" si="367"/>
        <v>68928.729063956547</v>
      </c>
      <c r="EC154" s="180">
        <f t="shared" ca="1" si="368"/>
        <v>213679.04517982749</v>
      </c>
      <c r="ED154" s="180">
        <f t="shared" ca="1" si="369"/>
        <v>1804080.7340013834</v>
      </c>
      <c r="EE154" s="581">
        <f t="shared" si="448"/>
        <v>1276563.6948730694</v>
      </c>
      <c r="EF154" s="554">
        <f t="shared" si="449"/>
        <v>303943.73687454034</v>
      </c>
      <c r="EG154" s="554">
        <f t="shared" ca="1" si="370"/>
        <v>28197.797393489593</v>
      </c>
      <c r="EH154" s="554">
        <f t="shared" ca="1" si="371"/>
        <v>87413.149653349887</v>
      </c>
      <c r="EI154" s="561">
        <f t="shared" ca="1" si="450"/>
        <v>1696118.3787944491</v>
      </c>
      <c r="EJ154" s="581">
        <f t="shared" si="504"/>
        <v>21616.531808631727</v>
      </c>
      <c r="EK154" s="554">
        <f t="shared" si="505"/>
        <v>5146.7932877694839</v>
      </c>
      <c r="EL154" s="554">
        <f t="shared" ca="1" si="372"/>
        <v>40730.931670466955</v>
      </c>
      <c r="EM154" s="554">
        <f t="shared" ca="1" si="373"/>
        <v>126265.8955264776</v>
      </c>
      <c r="EN154" s="561">
        <f t="shared" ca="1" si="374"/>
        <v>107962.35520693427</v>
      </c>
      <c r="EO154" s="180">
        <f t="shared" si="451"/>
        <v>5192720.9067268046</v>
      </c>
      <c r="EP154" s="180">
        <f t="shared" si="452"/>
        <v>1236362.1206492393</v>
      </c>
      <c r="EQ154" s="180">
        <f t="shared" si="453"/>
        <v>275714.91625582619</v>
      </c>
      <c r="ER154" s="180">
        <f t="shared" si="454"/>
        <v>854716.18071930995</v>
      </c>
      <c r="ES154" s="180">
        <f t="shared" si="455"/>
        <v>7559514.1243511802</v>
      </c>
      <c r="ET154" s="1482">
        <f t="shared" ca="1" si="375"/>
        <v>5106254.7794922777</v>
      </c>
      <c r="EU154" s="180">
        <f t="shared" ca="1" si="376"/>
        <v>1215774.9474981613</v>
      </c>
      <c r="EV154" s="180">
        <f t="shared" ca="1" si="377"/>
        <v>112791.18957395837</v>
      </c>
      <c r="EW154" s="180">
        <f t="shared" ca="1" si="378"/>
        <v>349652.59861339955</v>
      </c>
      <c r="EX154" s="555">
        <f t="shared" ca="1" si="351"/>
        <v>6784473.5151777975</v>
      </c>
      <c r="EY154" s="180">
        <f t="shared" ca="1" si="379"/>
        <v>86466.12723452691</v>
      </c>
      <c r="EZ154" s="180">
        <f t="shared" ca="1" si="380"/>
        <v>20587.173151077935</v>
      </c>
      <c r="FA154" s="180">
        <f t="shared" ca="1" si="381"/>
        <v>162923.72668186782</v>
      </c>
      <c r="FB154" s="180">
        <f t="shared" ca="1" si="382"/>
        <v>505063.58210591041</v>
      </c>
      <c r="FC154" s="180">
        <f t="shared" ca="1" si="383"/>
        <v>775040.60917338263</v>
      </c>
      <c r="FD154" s="262">
        <f>IF(AX154,IF(VLOOKUP(C154,MAIN!$L$17:$M$28,2)="Yes",VLOOKUP(CALC!B154,MAIN!$H$17:$I$20,2),0),0)</f>
        <v>0</v>
      </c>
      <c r="FE154" s="623">
        <f t="shared" si="456"/>
        <v>0</v>
      </c>
      <c r="FF154" s="535">
        <f t="shared" si="457"/>
        <v>0</v>
      </c>
      <c r="FG154" s="535">
        <f t="shared" si="458"/>
        <v>0</v>
      </c>
      <c r="FH154" s="624">
        <f t="shared" si="459"/>
        <v>0</v>
      </c>
      <c r="FI154" s="632">
        <f>IF(AX154,VLOOKUP(CALC!B154,MAIN!$H$17:$K$20,4),0)</f>
        <v>0</v>
      </c>
      <c r="FJ154" s="535">
        <f t="shared" si="460"/>
        <v>0</v>
      </c>
      <c r="FK154" s="648">
        <f t="shared" si="506"/>
        <v>0</v>
      </c>
      <c r="FL154" s="530">
        <f t="shared" ca="1" si="384"/>
        <v>0</v>
      </c>
      <c r="FM154" s="530">
        <f t="shared" ca="1" si="385"/>
        <v>0</v>
      </c>
      <c r="FN154" s="530">
        <f t="shared" ca="1" si="386"/>
        <v>0</v>
      </c>
      <c r="FO154" s="622">
        <f t="shared" ca="1" si="387"/>
        <v>0</v>
      </c>
      <c r="FP154" s="530">
        <f t="shared" ca="1" si="388"/>
        <v>0</v>
      </c>
      <c r="FQ154" s="530">
        <f t="shared" ca="1" si="389"/>
        <v>0</v>
      </c>
      <c r="FR154" s="530">
        <f t="shared" ca="1" si="390"/>
        <v>0</v>
      </c>
      <c r="FS154" s="625">
        <f t="shared" ca="1" si="391"/>
        <v>0</v>
      </c>
      <c r="FT154" s="640">
        <f ca="1">IF(AND(Assumptions!$H$71="Yes",A154&gt;=Assumptions!$H$72,A154&lt;=Assumptions!$H$73),0,IF(AND($A154&gt;=Assumptions!$C$17,$A154&lt;=Assumptions!$C$18),MAX(AZ154*(1+VLOOKUP($C154,WeatherCapacityAdjustment,2))-FL154,0),0))</f>
        <v>48888</v>
      </c>
      <c r="FU154" s="530">
        <f ca="1">IF(AND(Assumptions!$H$71="Yes",A154&gt;=Assumptions!$H$72,A154&lt;=Assumptions!$H$73),0,IF(AND($A154&gt;=Assumptions!$C$17,$A154&lt;=Assumptions!$C$18),MAX(BA154*(1+VLOOKUP($C154,WeatherCapacityAdjustment,2))-FM154,0),0))</f>
        <v>11640</v>
      </c>
      <c r="FV154" s="530">
        <f ca="1">IF(AND(Assumptions!$H$71="Yes",A154&gt;=Assumptions!$H$72,A154&lt;=Assumptions!$H$73),0,IF(AND($A154&gt;=Assumptions!$C$17,$A154&lt;=Assumptions!$C$18),MAX(BB154*(1+VLOOKUP($C154,WeatherCapacityAdjustment,2))-FN154,0),0))</f>
        <v>11640</v>
      </c>
      <c r="FW154" s="622">
        <f ca="1">IF(AND(Assumptions!$H$71="Yes",A154&gt;=Assumptions!$H$72,A154&lt;=Assumptions!$H$73),0,IF(AND($A154&gt;=Assumptions!$C$17,$A154&lt;=Assumptions!$C$18),MAX(BC154*(1+VLOOKUP($C154,WeatherCapacityAdjustment,3))-FO154,0),0))</f>
        <v>36084</v>
      </c>
      <c r="FX154" s="621">
        <f ca="1">IF(AND(Assumptions!$H$71="Yes",A154&gt;=Assumptions!$H$72,A154&lt;=Assumptions!$H$73),0,IF(ET154&gt;0,MAX(BH154*(1+VLOOKUP($C154,WeatherCapacityAdjustment,2))-FP154,0),0))</f>
        <v>195552</v>
      </c>
      <c r="FY154" s="530">
        <f ca="1">IF(AND(Assumptions!$H$71="Yes",A154&gt;=Assumptions!$H$72,A154&lt;=Assumptions!$H$73),0,IF(EU154&gt;0,MAX(BI154*(1+VLOOKUP($C154,WeatherCapacityAdjustment,3))-FQ154,0),0))</f>
        <v>46560</v>
      </c>
      <c r="FZ154" s="530">
        <f ca="1">IF(AND(Assumptions!$H$71="Yes",A154&gt;=Assumptions!$H$72,A154&lt;=Assumptions!$H$73),0,IF(EV154&gt;0,MAX(BJ154*(1+VLOOKUP($C154,WeatherCapacityAdjustment,2))-FR154,0),0))</f>
        <v>46560</v>
      </c>
      <c r="GA154" s="622">
        <f ca="1">IF(AND(Assumptions!$H$71="Yes",A154&gt;=Assumptions!$H$72,A154&lt;=Assumptions!$H$73),0,IF(EW154&gt;0,MAX(BK154*(1+VLOOKUP($C154,WeatherCapacityAdjustment,2))-FS154,0),0))</f>
        <v>144336</v>
      </c>
      <c r="GB154" s="530">
        <f t="shared" ca="1" si="461"/>
        <v>541260</v>
      </c>
      <c r="GC154" s="545">
        <f t="shared" ca="1" si="462"/>
        <v>40.853135595888389</v>
      </c>
      <c r="GD154" s="530">
        <f t="shared" ca="1" si="392"/>
        <v>22112168.172630545</v>
      </c>
      <c r="GE154" s="1485">
        <f t="shared" ca="1" si="393"/>
        <v>771100.64640000009</v>
      </c>
      <c r="GF154" s="1776">
        <f t="shared" ca="1" si="394"/>
        <v>3084402.5856000003</v>
      </c>
      <c r="GG154" s="545">
        <f t="shared" si="359"/>
        <v>3.2395423593949104</v>
      </c>
      <c r="GH154" s="622">
        <f t="shared" ca="1" si="360"/>
        <v>12490066.036847984</v>
      </c>
      <c r="GI154" s="621">
        <f t="shared" ca="1" si="507"/>
        <v>541260</v>
      </c>
      <c r="GJ154" s="638">
        <f t="shared" si="463"/>
        <v>2.1089868858040779</v>
      </c>
      <c r="GK154" s="625">
        <f t="shared" ca="1" si="513"/>
        <v>1141510.2418103153</v>
      </c>
      <c r="GL154" s="640">
        <f t="shared" ca="1" si="395"/>
        <v>0</v>
      </c>
      <c r="GM154" s="530">
        <f t="shared" ca="1" si="396"/>
        <v>0</v>
      </c>
      <c r="GN154" s="530">
        <f t="shared" ca="1" si="397"/>
        <v>0</v>
      </c>
      <c r="GO154" s="622">
        <f t="shared" ca="1" si="398"/>
        <v>0</v>
      </c>
      <c r="GP154" s="530">
        <f t="shared" ca="1" si="464"/>
        <v>0</v>
      </c>
      <c r="GQ154" s="545">
        <f t="shared" ca="1" si="465"/>
        <v>0</v>
      </c>
      <c r="GR154" s="625">
        <f t="shared" ca="1" si="399"/>
        <v>0</v>
      </c>
      <c r="GS154" s="640">
        <f>IF($A154&gt;=BegDate,Assumptions!$C$56*24*($A155-$A154)*(1-VLOOKUP($B154,MAIN!$AA$7:$AM$28,$C154+1))*(1-VLOOKUP($B154,MAIN!$AA$33:$AM$54,$C154+1)),0)*80/168</f>
        <v>257742.85714285713</v>
      </c>
      <c r="GT154" s="1715">
        <f t="shared" si="508"/>
        <v>51.296899141991439</v>
      </c>
      <c r="GU154" s="1715">
        <f>IF($A154&gt;=BegDate,VLOOKUP($A154,GasTable,13)+Assumptions!$C$58,0)</f>
        <v>3.2395423593949104</v>
      </c>
      <c r="GV154" s="1715">
        <f>GU154*Assumptions!$C$57/1000</f>
        <v>23.486682105613102</v>
      </c>
      <c r="GW154" s="625">
        <f>IF(Assumptions!$C$60="Hourly",MAX(0,GS154*(GT154-GV154)),GS154*(GT154-GV154))</f>
        <v>7167884.7967191134</v>
      </c>
      <c r="GX154" s="640">
        <f>IF($A154&gt;=BegDate,Assumptions!$C$56*24*($A155-$A154)*(1-VLOOKUP($B154,MAIN!$AA$7:$AM$28,$C154+1))*(1-VLOOKUP($B154,MAIN!$AA$33:$AM$54,$C154+1)),0)*16/168</f>
        <v>51548.571428571428</v>
      </c>
      <c r="GY154" s="1715">
        <f t="shared" si="509"/>
        <v>51.296899141991439</v>
      </c>
      <c r="GZ154" s="1715">
        <f>IF($A154&gt;=BegDate,VLOOKUP($A154,GasTable,13)+Assumptions!$C$58,0)</f>
        <v>3.2395423593949104</v>
      </c>
      <c r="HA154" s="1715">
        <f>GZ154*Assumptions!$C$57/1000</f>
        <v>23.486682105613102</v>
      </c>
      <c r="HB154" s="625">
        <f>IF(Assumptions!$C$60="Hourly",MAX(0,GX154*(GY154-HA154)),GX154*(GY154-HA154))</f>
        <v>1433576.9593438227</v>
      </c>
      <c r="HC154" s="640">
        <f>IF($A154&gt;=BegDate,Assumptions!$C$56*24*($A155-$A154)*(1-VLOOKUP($B154,MAIN!$AA$7:$AM$28,$C154+1))*(1-VLOOKUP($B154,MAIN!$AA$33:$AM$54,$C154+1)),0)*16/168</f>
        <v>51548.571428571428</v>
      </c>
      <c r="HD154" s="1715">
        <f t="shared" si="510"/>
        <v>27.607385793871497</v>
      </c>
      <c r="HE154" s="1715">
        <f>IF($A154&gt;=BegDate,VLOOKUP($A154,GasTable,13)+Assumptions!$C$58,0)</f>
        <v>3.2395423593949104</v>
      </c>
      <c r="HF154" s="1715">
        <f>HE154*Assumptions!$C$57/1000</f>
        <v>23.486682105613102</v>
      </c>
      <c r="HG154" s="625">
        <f>IF(Assumptions!$C$60="Hourly",MAX(0,HC154*(HD154-HF154)),HC154*(HD154-HF154))</f>
        <v>212416.38841016561</v>
      </c>
      <c r="HH154" s="640">
        <f>IF($A154&gt;=BegDate,Assumptions!$C$56*24*($A155-$A154)*(1-VLOOKUP($B154,MAIN!$AA$7:$AM$28,$C154+1))*(1-VLOOKUP($B154,MAIN!$AA$33:$AM$54,$C154+1)),0)*56/168</f>
        <v>180420</v>
      </c>
      <c r="HI154" s="1715">
        <f t="shared" si="511"/>
        <v>27.607385793871497</v>
      </c>
      <c r="HJ154" s="1715">
        <f>IF($A154&gt;=BegDate,VLOOKUP($A154,GasTable,13)+Assumptions!$C$58,0)</f>
        <v>3.2395423593949104</v>
      </c>
      <c r="HK154" s="1715">
        <f>HJ154*Assumptions!$C$57/1000</f>
        <v>23.486682105613102</v>
      </c>
      <c r="HL154" s="625">
        <f>IF(Assumptions!$C$60="Hourly",MAX(0,HH154*(HI154-HK154)),HH154*(HI154-HK154))</f>
        <v>743457.35943557962</v>
      </c>
      <c r="HM154" s="640">
        <f>IF(AND(Assumptions!$H$71="Yes",A154&gt;=Assumptions!$H$72,A154&lt;=Assumptions!$H$73),Assumptions!$H$74*Assumptions!$C$9*1000,0)</f>
        <v>0</v>
      </c>
      <c r="HN154" s="530"/>
      <c r="HO154" s="545"/>
      <c r="HP154" s="545"/>
      <c r="HQ154" s="545"/>
      <c r="HR154" s="545"/>
      <c r="HS154" s="545"/>
      <c r="HT154" s="545"/>
      <c r="HU154" s="545"/>
      <c r="HV154" s="545"/>
      <c r="HW154" s="545"/>
      <c r="HX154" s="545"/>
      <c r="HY154" s="545"/>
      <c r="HZ154" s="545"/>
      <c r="IA154" s="545"/>
      <c r="IB154" s="545"/>
      <c r="IC154" s="545"/>
      <c r="ID154" s="545"/>
      <c r="IE154" s="545"/>
      <c r="IF154" s="545"/>
      <c r="IG154" s="545"/>
      <c r="IH154" s="545"/>
      <c r="II154" s="1464"/>
      <c r="IJ154" s="1463"/>
      <c r="IK154" s="1463"/>
    </row>
    <row r="155" spans="1:245">
      <c r="A155" s="177">
        <f t="shared" si="466"/>
        <v>40848</v>
      </c>
      <c r="B155" s="349">
        <f t="shared" si="467"/>
        <v>2011</v>
      </c>
      <c r="C155" s="15">
        <f t="shared" si="407"/>
        <v>11</v>
      </c>
      <c r="D155" s="612">
        <f t="shared" si="468"/>
        <v>40871</v>
      </c>
      <c r="E155" s="609">
        <f t="shared" si="408"/>
        <v>40848</v>
      </c>
      <c r="F155" s="614">
        <f t="shared" si="409"/>
        <v>40877</v>
      </c>
      <c r="G155" s="1349">
        <v>0</v>
      </c>
      <c r="H155" s="152">
        <f t="shared" si="512"/>
        <v>1</v>
      </c>
      <c r="I155" s="154">
        <f>IF(Assumptions!$L$25=4,VLOOKUP($A155,'Henwood Reference'!$E$9:$R$320,10),(VLOOKUP($A155,PriceTable,2,0)+IF(BasisNumber&lt;&gt;1,VLOOKUP($A155,BasisTable,2,0),0)+I$1)/(1-I$2))</f>
        <v>54.985493365275019</v>
      </c>
      <c r="J155" s="154">
        <f>IF(Assumptions!$L$25=4,VLOOKUP($A155,'Henwood Reference'!$E$9:$R$320,10),(VLOOKUP($A155,PriceTable,3,0)+IF(BasisNumber&lt;&gt;1,VLOOKUP($A155,BasisTable,2,0),0)+J$1)/(1-J$2))</f>
        <v>54.985493365275019</v>
      </c>
      <c r="K155" s="154">
        <f>IF(Assumptions!$L$25=4,VLOOKUP($A155,'Henwood Reference'!$E$9:$R$320,10),(VLOOKUP($A155,PriceTable,4,0)+IF(BasisNumber&lt;&gt;1,VLOOKUP($A155,BasisTable,2,0),0)+K$1)/(1-K$2))</f>
        <v>54.985493365275019</v>
      </c>
      <c r="L155" s="474">
        <f>IF(Assumptions!$L$25=4,VLOOKUP($A155,'Henwood Reference'!$E$9:$R$320,10),(VLOOKUP($A155,PriceTableWeekend,2,0)+IF(BasisNumber&lt;&gt;1,VLOOKUP($A155,BasisTable,2,0),0)+L$1)/(1-L$2))</f>
        <v>54.985493365275019</v>
      </c>
      <c r="M155" s="154">
        <f>IF(Assumptions!$L$25=4,VLOOKUP($A155,'Henwood Reference'!$E$9:$R$320,10),(VLOOKUP($A155,PriceTableWeekend,3,0)+IF(BasisNumber&lt;&gt;1,VLOOKUP($A155,BasisTable,2,0),0)+M$1)/(1-M$2))</f>
        <v>54.985493365275019</v>
      </c>
      <c r="N155" s="156">
        <f>IF(Assumptions!$L$25=4,VLOOKUP($A155,'Henwood Reference'!$E$9:$R$320,10),(VLOOKUP($A155,PriceTableWeekend,4,0)+IF(BasisNumber&lt;&gt;1,VLOOKUP($A155,BasisTable,2,0),0)+N$1)/(1-N$2))</f>
        <v>54.985493365275019</v>
      </c>
      <c r="O155" s="154">
        <f>IF(Assumptions!$L$25=4,VLOOKUP($A155,'Henwood Reference'!$E$9:$R$320,11),(VLOOKUP($A155,PriceTableWeekend,6,0)+IF(BasisNumber&lt;&gt;1,VLOOKUP($A155,BasisTable,3,0),0)+O$1)/(1-O$2))</f>
        <v>29.377080447009604</v>
      </c>
      <c r="P155" s="154">
        <f>IF(Assumptions!$L$25=4,VLOOKUP($A155,'Henwood Reference'!$E$9:$R$320,11),(VLOOKUP($A155,PriceTableWeekend,7,0)+IF(BasisNumber&lt;&gt;1,VLOOKUP($A155,BasisTable,3,0),0)+P$1)/(1-P$2))</f>
        <v>29.377080447009604</v>
      </c>
      <c r="Q155" s="156">
        <f>IF(Assumptions!$L$25=4,VLOOKUP($A155,'Henwood Reference'!$E$9:$R$320,11),(VLOOKUP($A155,PriceTableWeekend,8,0)+IF(BasisNumber&lt;&gt;1,VLOOKUP($A155,BasisTable,3,0),0)+Q$1)/(1-Q$2))</f>
        <v>29.377080447009604</v>
      </c>
      <c r="R155" s="154">
        <f>IF(Assumptions!$L$25=4,VLOOKUP($A155,'Henwood Reference'!$E$9:$R$320,11),(VLOOKUP($A155,PriceTable,6,0)+IF(BasisNumber&lt;&gt;1,VLOOKUP($A155,BasisTable,3,0),0)+R$1)/(1-R$2))</f>
        <v>29.377080447009604</v>
      </c>
      <c r="S155" s="154">
        <f>IF(Assumptions!$L$25=4,VLOOKUP($A155,'Henwood Reference'!$E$9:$R$320,11),(VLOOKUP($A155,PriceTable,7,0)+IF(BasisNumber&lt;&gt;1,VLOOKUP($A155,BasisTable,3,0),0)+S$1)/(1-S$2))</f>
        <v>29.377080447009604</v>
      </c>
      <c r="T155" s="155">
        <f>IF(Assumptions!$L$25=4,VLOOKUP($A155,'Henwood Reference'!$E$9:$R$320,11),(VLOOKUP($A155,PriceTable,8,0)+IF(BasisNumber&lt;&gt;1,VLOOKUP($A155,BasisTable,3,0),0)+T$1)/(1-T$2))</f>
        <v>29.377080447009604</v>
      </c>
      <c r="U155" s="173">
        <f t="shared" si="469"/>
        <v>0.115</v>
      </c>
      <c r="V155" s="173">
        <f t="shared" si="470"/>
        <v>0.125</v>
      </c>
      <c r="W155" s="174">
        <f t="shared" si="471"/>
        <v>0.13500000000000001</v>
      </c>
      <c r="X155" s="173">
        <f t="shared" si="472"/>
        <v>0.115</v>
      </c>
      <c r="Y155" s="173">
        <f t="shared" si="473"/>
        <v>0.125</v>
      </c>
      <c r="Z155" s="174">
        <f t="shared" si="474"/>
        <v>0.13500000000000001</v>
      </c>
      <c r="AA155" s="173">
        <f t="shared" si="475"/>
        <v>0.09</v>
      </c>
      <c r="AB155" s="173">
        <f t="shared" si="476"/>
        <v>0.11</v>
      </c>
      <c r="AC155" s="174">
        <f t="shared" si="477"/>
        <v>0.13</v>
      </c>
      <c r="AD155" s="173">
        <f t="shared" si="478"/>
        <v>0.09</v>
      </c>
      <c r="AE155" s="173">
        <f t="shared" si="479"/>
        <v>0.11</v>
      </c>
      <c r="AF155" s="174">
        <f t="shared" si="480"/>
        <v>0.13</v>
      </c>
      <c r="AG155" s="173">
        <f t="shared" si="481"/>
        <v>-0.1</v>
      </c>
      <c r="AH155" s="173">
        <f t="shared" si="482"/>
        <v>0.6</v>
      </c>
      <c r="AI155" s="174">
        <f t="shared" si="483"/>
        <v>0.1</v>
      </c>
      <c r="AJ155" s="173">
        <f t="shared" si="484"/>
        <v>-0.1</v>
      </c>
      <c r="AK155" s="173">
        <f t="shared" si="485"/>
        <v>0.6</v>
      </c>
      <c r="AL155" s="174">
        <f t="shared" si="486"/>
        <v>0.1</v>
      </c>
      <c r="AM155" s="173">
        <f t="shared" si="487"/>
        <v>-0.01</v>
      </c>
      <c r="AN155" s="173">
        <f t="shared" si="488"/>
        <v>0.16</v>
      </c>
      <c r="AO155" s="174">
        <f t="shared" si="489"/>
        <v>0.01</v>
      </c>
      <c r="AP155" s="173">
        <f t="shared" si="490"/>
        <v>-0.01</v>
      </c>
      <c r="AQ155" s="173">
        <f t="shared" si="491"/>
        <v>0.16</v>
      </c>
      <c r="AR155" s="175">
        <f t="shared" si="492"/>
        <v>0.01</v>
      </c>
      <c r="AS155" s="521">
        <f t="shared" si="493"/>
        <v>0.5</v>
      </c>
      <c r="AT155" s="349">
        <f t="shared" si="410"/>
        <v>21</v>
      </c>
      <c r="AU155" s="159">
        <f t="shared" si="411"/>
        <v>4</v>
      </c>
      <c r="AV155" s="159">
        <f t="shared" si="412"/>
        <v>4</v>
      </c>
      <c r="AW155" s="159">
        <f t="shared" si="494"/>
        <v>1</v>
      </c>
      <c r="AX155" s="15">
        <f t="shared" si="413"/>
        <v>30</v>
      </c>
      <c r="AY155" s="607">
        <f>IF(E155="",0,MIN((1-(1-VLOOKUP(B155,MAIN!$AA$7:$AM$28,C155+1))*(1-VLOOKUP(B155,MAIN!$AA$33:$AM$54,C155+1))),1))</f>
        <v>3.0000000000000027E-2</v>
      </c>
      <c r="AZ155" s="337">
        <v>48888</v>
      </c>
      <c r="BA155" s="509">
        <v>9312</v>
      </c>
      <c r="BB155" s="509">
        <v>11640</v>
      </c>
      <c r="BC155" s="511">
        <v>34920</v>
      </c>
      <c r="BD155" s="153">
        <v>0.97</v>
      </c>
      <c r="BE155" s="474">
        <v>0.97</v>
      </c>
      <c r="BF155" s="474">
        <v>0.97</v>
      </c>
      <c r="BG155" s="515">
        <v>0.9699999927729368</v>
      </c>
      <c r="BH155" s="262">
        <v>195552</v>
      </c>
      <c r="BI155" s="509">
        <v>37248</v>
      </c>
      <c r="BJ155" s="509">
        <v>46560</v>
      </c>
      <c r="BK155" s="511">
        <v>139680</v>
      </c>
      <c r="BL155" s="153">
        <v>0.97</v>
      </c>
      <c r="BM155" s="474">
        <v>0.97</v>
      </c>
      <c r="BN155" s="474">
        <v>0.97</v>
      </c>
      <c r="BO155" s="474">
        <v>0.9699999927729368</v>
      </c>
      <c r="BP155" s="261">
        <f t="shared" si="495"/>
        <v>69840</v>
      </c>
      <c r="BQ155" s="578">
        <f t="shared" si="496"/>
        <v>104760</v>
      </c>
      <c r="BR155" s="259">
        <f t="shared" si="497"/>
        <v>279360</v>
      </c>
      <c r="BS155" s="578">
        <f t="shared" si="498"/>
        <v>419040</v>
      </c>
      <c r="BT155" s="216">
        <f t="shared" si="499"/>
        <v>11.548254620123203</v>
      </c>
      <c r="BU155" s="218">
        <f t="shared" si="414"/>
        <v>54.985493365275019</v>
      </c>
      <c r="BV155" s="216">
        <f t="shared" si="415"/>
        <v>54.985493365275019</v>
      </c>
      <c r="BW155" s="216">
        <f t="shared" si="416"/>
        <v>29.377080447009604</v>
      </c>
      <c r="BX155" s="216">
        <f t="shared" si="500"/>
        <v>29.377080228133298</v>
      </c>
      <c r="BY155" s="216">
        <f t="shared" si="417"/>
        <v>50.717424545564114</v>
      </c>
      <c r="BZ155" s="216">
        <f t="shared" si="418"/>
        <v>43.603976439753836</v>
      </c>
      <c r="CA155" s="264">
        <f t="shared" si="419"/>
        <v>54.985493365275019</v>
      </c>
      <c r="CB155" s="216">
        <f t="shared" si="420"/>
        <v>54.985493365275019</v>
      </c>
      <c r="CC155" s="216">
        <f t="shared" si="421"/>
        <v>29.377080447009604</v>
      </c>
      <c r="CD155" s="216">
        <f t="shared" si="501"/>
        <v>29.377080228133298</v>
      </c>
      <c r="CE155" s="216">
        <f t="shared" si="422"/>
        <v>50.717424545564114</v>
      </c>
      <c r="CF155" s="571">
        <f t="shared" si="423"/>
        <v>43.603976439753836</v>
      </c>
      <c r="CG155" s="573">
        <f t="shared" si="424"/>
        <v>0.125</v>
      </c>
      <c r="CH155" s="219">
        <f t="shared" si="425"/>
        <v>0.125</v>
      </c>
      <c r="CI155" s="219">
        <f t="shared" si="426"/>
        <v>0.11</v>
      </c>
      <c r="CJ155" s="219">
        <f t="shared" si="427"/>
        <v>0.12356585438820943</v>
      </c>
      <c r="CK155" s="219">
        <f t="shared" si="428"/>
        <v>0.12356585438820943</v>
      </c>
      <c r="CL155" s="219">
        <f t="shared" si="429"/>
        <v>0.11</v>
      </c>
      <c r="CM155" s="219">
        <f t="shared" si="430"/>
        <v>0.11067306666085343</v>
      </c>
      <c r="CN155" s="569">
        <f t="shared" si="431"/>
        <v>0.11067306666085343</v>
      </c>
      <c r="CO155" s="264">
        <f t="shared" si="514"/>
        <v>24.013637506555245</v>
      </c>
      <c r="CP155" s="216">
        <f t="shared" si="502"/>
        <v>24.013637506555245</v>
      </c>
      <c r="CQ155" s="216">
        <f t="shared" ca="1" si="361"/>
        <v>24.013637506555245</v>
      </c>
      <c r="CR155" s="216">
        <f t="shared" ca="1" si="362"/>
        <v>24.013637506555245</v>
      </c>
      <c r="CS155" s="1626">
        <f t="shared" ca="1" si="363"/>
        <v>24.013637506555245</v>
      </c>
      <c r="CT155" s="216">
        <f t="shared" si="503"/>
        <v>24.013637506555245</v>
      </c>
      <c r="CU155" s="575">
        <f t="shared" si="432"/>
        <v>0.157</v>
      </c>
      <c r="CV155" s="154">
        <f t="shared" si="433"/>
        <v>0.5</v>
      </c>
      <c r="CW155" s="216">
        <f>IF(OR($BQ155,$BS155),SpreadOptPowerMargin,0)*((1+Assumptions!$C$26)^($B155-YEAR(Assumptions!$C$17)))</f>
        <v>2.1089868858040779</v>
      </c>
      <c r="CX155" s="216">
        <f>IF(OR($BQ155,$BS155),SpreadOptPowerMargin,0)*((1+Assumptions!$C$26)^($B155-YEAR(Assumptions!$C$17)))</f>
        <v>2.1089868858040779</v>
      </c>
      <c r="CY155" s="216">
        <f>IF(OR($BQ155,$BS155),SpreadOptPowerMargin,0)*((1+Assumptions!$C$26)^($B155-YEAR(Assumptions!$C$17)))</f>
        <v>2.1089868858040779</v>
      </c>
      <c r="CZ155" s="216">
        <f>IF(OR($BQ155,$BS155),SpreadOptPowerMargin,0)*((1+Assumptions!$C$26)^($B155-YEAR(Assumptions!$C$17)))</f>
        <v>2.1089868858040779</v>
      </c>
      <c r="DA155" s="440">
        <f t="shared" si="434"/>
        <v>2.1089868858040779</v>
      </c>
      <c r="DB155" s="479">
        <f t="shared" si="435"/>
        <v>0.125</v>
      </c>
      <c r="DC155" s="479">
        <f t="shared" si="436"/>
        <v>0.125</v>
      </c>
      <c r="DD155" s="479">
        <f t="shared" si="437"/>
        <v>0.11</v>
      </c>
      <c r="DE155" s="479">
        <f t="shared" si="438"/>
        <v>0.11</v>
      </c>
      <c r="DF155" s="479">
        <f t="shared" si="439"/>
        <v>0.11067306666085343</v>
      </c>
      <c r="DG155" s="574">
        <f t="shared" si="440"/>
        <v>0.11067306666085343</v>
      </c>
      <c r="DH155" s="216">
        <f t="shared" si="441"/>
        <v>29.269036970101272</v>
      </c>
      <c r="DI155" s="216">
        <f t="shared" si="442"/>
        <v>29.269036970101272</v>
      </c>
      <c r="DJ155" s="216">
        <f t="shared" ca="1" si="364"/>
        <v>6.6749854965660163</v>
      </c>
      <c r="DK155" s="216">
        <f t="shared" ca="1" si="365"/>
        <v>6.674985345442586</v>
      </c>
      <c r="DL155" s="216">
        <f t="shared" ca="1" si="366"/>
        <v>18.424298857614392</v>
      </c>
      <c r="DM155" s="216"/>
      <c r="DN155" s="216"/>
      <c r="DO155" s="216"/>
      <c r="DP155" s="216"/>
      <c r="DQ155" s="216"/>
      <c r="DR155" s="216"/>
      <c r="DS155" s="216"/>
      <c r="DT155" s="216"/>
      <c r="DU155" s="216"/>
      <c r="DV155" s="216"/>
      <c r="DW155" s="1371">
        <f t="shared" si="443"/>
        <v>6.6749854965660163</v>
      </c>
      <c r="DX155" s="216">
        <f t="shared" si="444"/>
        <v>6.674985345442586</v>
      </c>
      <c r="DY155" s="440">
        <f t="shared" si="445"/>
        <v>19.227236264822238</v>
      </c>
      <c r="DZ155" s="180">
        <f t="shared" si="446"/>
        <v>1430904.679394311</v>
      </c>
      <c r="EA155" s="180">
        <f t="shared" si="447"/>
        <v>272553.27226558304</v>
      </c>
      <c r="EB155" s="180">
        <f t="shared" ca="1" si="367"/>
        <v>77696.831180028428</v>
      </c>
      <c r="EC155" s="180">
        <f t="shared" ca="1" si="368"/>
        <v>233090.4882628551</v>
      </c>
      <c r="ED155" s="180">
        <f t="shared" ca="1" si="369"/>
        <v>1930129.5483236837</v>
      </c>
      <c r="EE155" s="581">
        <f t="shared" si="448"/>
        <v>1411047.9383479026</v>
      </c>
      <c r="EF155" s="554">
        <f t="shared" si="449"/>
        <v>268771.03587579093</v>
      </c>
      <c r="EG155" s="554">
        <f t="shared" ca="1" si="370"/>
        <v>37881.868476129261</v>
      </c>
      <c r="EH155" s="554">
        <f t="shared" ca="1" si="371"/>
        <v>113645.59778522719</v>
      </c>
      <c r="EI155" s="561">
        <f t="shared" ca="1" si="450"/>
        <v>1831346.440485049</v>
      </c>
      <c r="EJ155" s="581">
        <f t="shared" si="504"/>
        <v>19856.741046408424</v>
      </c>
      <c r="EK155" s="554">
        <f t="shared" si="505"/>
        <v>3782.2363897921168</v>
      </c>
      <c r="EL155" s="554">
        <f t="shared" ca="1" si="372"/>
        <v>39814.962703899168</v>
      </c>
      <c r="EM155" s="554">
        <f t="shared" ca="1" si="373"/>
        <v>119444.89047762791</v>
      </c>
      <c r="EN155" s="561">
        <f t="shared" ca="1" si="374"/>
        <v>98783.107838634634</v>
      </c>
      <c r="EO155" s="180">
        <f t="shared" si="451"/>
        <v>5723618.7175772442</v>
      </c>
      <c r="EP155" s="180">
        <f t="shared" si="452"/>
        <v>1090213.0890623322</v>
      </c>
      <c r="EQ155" s="180">
        <f t="shared" si="453"/>
        <v>310787.32472011371</v>
      </c>
      <c r="ER155" s="180">
        <f t="shared" si="454"/>
        <v>932361.95305142039</v>
      </c>
      <c r="ES155" s="180">
        <f t="shared" si="455"/>
        <v>8056981.0844111107</v>
      </c>
      <c r="ET155" s="1482">
        <f t="shared" ca="1" si="375"/>
        <v>5644191.7533916105</v>
      </c>
      <c r="EU155" s="180">
        <f t="shared" ca="1" si="376"/>
        <v>1075084.1435031637</v>
      </c>
      <c r="EV155" s="180">
        <f t="shared" ca="1" si="377"/>
        <v>151527.47390451704</v>
      </c>
      <c r="EW155" s="180">
        <f t="shared" ca="1" si="378"/>
        <v>454582.39114090876</v>
      </c>
      <c r="EX155" s="555">
        <f t="shared" ca="1" si="351"/>
        <v>7325385.7619402008</v>
      </c>
      <c r="EY155" s="180">
        <f t="shared" ca="1" si="379"/>
        <v>79426.964185633697</v>
      </c>
      <c r="EZ155" s="180">
        <f t="shared" ca="1" si="380"/>
        <v>15128.945559168467</v>
      </c>
      <c r="FA155" s="180">
        <f t="shared" ca="1" si="381"/>
        <v>159259.85081559667</v>
      </c>
      <c r="FB155" s="180">
        <f t="shared" ca="1" si="382"/>
        <v>477779.56191051163</v>
      </c>
      <c r="FC155" s="180">
        <f t="shared" ca="1" si="383"/>
        <v>731595.32247090992</v>
      </c>
      <c r="FD155" s="262">
        <f>IF(AX155,IF(VLOOKUP(C155,MAIN!$L$17:$M$28,2)="Yes",VLOOKUP(CALC!B155,MAIN!$H$17:$I$20,2),0),0)</f>
        <v>0</v>
      </c>
      <c r="FE155" s="623">
        <f t="shared" si="456"/>
        <v>0</v>
      </c>
      <c r="FF155" s="535">
        <f t="shared" si="457"/>
        <v>0</v>
      </c>
      <c r="FG155" s="535">
        <f t="shared" si="458"/>
        <v>0</v>
      </c>
      <c r="FH155" s="624">
        <f t="shared" si="459"/>
        <v>0</v>
      </c>
      <c r="FI155" s="632">
        <f>IF(AX155,VLOOKUP(CALC!B155,MAIN!$H$17:$K$20,4),0)</f>
        <v>0</v>
      </c>
      <c r="FJ155" s="535">
        <f t="shared" si="460"/>
        <v>0</v>
      </c>
      <c r="FK155" s="648">
        <f t="shared" si="506"/>
        <v>0</v>
      </c>
      <c r="FL155" s="530">
        <f t="shared" ca="1" si="384"/>
        <v>0</v>
      </c>
      <c r="FM155" s="530">
        <f t="shared" ca="1" si="385"/>
        <v>0</v>
      </c>
      <c r="FN155" s="530">
        <f t="shared" ca="1" si="386"/>
        <v>0</v>
      </c>
      <c r="FO155" s="622">
        <f t="shared" ca="1" si="387"/>
        <v>0</v>
      </c>
      <c r="FP155" s="530">
        <f t="shared" ca="1" si="388"/>
        <v>0</v>
      </c>
      <c r="FQ155" s="530">
        <f t="shared" ca="1" si="389"/>
        <v>0</v>
      </c>
      <c r="FR155" s="530">
        <f t="shared" ca="1" si="390"/>
        <v>0</v>
      </c>
      <c r="FS155" s="625">
        <f t="shared" ca="1" si="391"/>
        <v>0</v>
      </c>
      <c r="FT155" s="640">
        <f ca="1">IF(AND(Assumptions!$H$71="Yes",A155&gt;=Assumptions!$H$72,A155&lt;=Assumptions!$H$73),0,IF(AND($A155&gt;=Assumptions!$C$17,$A155&lt;=Assumptions!$C$18),MAX(AZ155*(1+VLOOKUP($C155,WeatherCapacityAdjustment,2))-FL155,0),0))</f>
        <v>48888</v>
      </c>
      <c r="FU155" s="530">
        <f ca="1">IF(AND(Assumptions!$H$71="Yes",A155&gt;=Assumptions!$H$72,A155&lt;=Assumptions!$H$73),0,IF(AND($A155&gt;=Assumptions!$C$17,$A155&lt;=Assumptions!$C$18),MAX(BA155*(1+VLOOKUP($C155,WeatherCapacityAdjustment,2))-FM155,0),0))</f>
        <v>9312</v>
      </c>
      <c r="FV155" s="530">
        <f ca="1">IF(AND(Assumptions!$H$71="Yes",A155&gt;=Assumptions!$H$72,A155&lt;=Assumptions!$H$73),0,IF(AND($A155&gt;=Assumptions!$C$17,$A155&lt;=Assumptions!$C$18),MAX(BB155*(1+VLOOKUP($C155,WeatherCapacityAdjustment,2))-FN155,0),0))</f>
        <v>11640</v>
      </c>
      <c r="FW155" s="622">
        <f ca="1">IF(AND(Assumptions!$H$71="Yes",A155&gt;=Assumptions!$H$72,A155&lt;=Assumptions!$H$73),0,IF(AND($A155&gt;=Assumptions!$C$17,$A155&lt;=Assumptions!$C$18),MAX(BC155*(1+VLOOKUP($C155,WeatherCapacityAdjustment,3))-FO155,0),0))</f>
        <v>34920</v>
      </c>
      <c r="FX155" s="621">
        <f ca="1">IF(AND(Assumptions!$H$71="Yes",A155&gt;=Assumptions!$H$72,A155&lt;=Assumptions!$H$73),0,IF(ET155&gt;0,MAX(BH155*(1+VLOOKUP($C155,WeatherCapacityAdjustment,2))-FP155,0),0))</f>
        <v>195552</v>
      </c>
      <c r="FY155" s="530">
        <f ca="1">IF(AND(Assumptions!$H$71="Yes",A155&gt;=Assumptions!$H$72,A155&lt;=Assumptions!$H$73),0,IF(EU155&gt;0,MAX(BI155*(1+VLOOKUP($C155,WeatherCapacityAdjustment,3))-FQ155,0),0))</f>
        <v>37248</v>
      </c>
      <c r="FZ155" s="530">
        <f ca="1">IF(AND(Assumptions!$H$71="Yes",A155&gt;=Assumptions!$H$72,A155&lt;=Assumptions!$H$73),0,IF(EV155&gt;0,MAX(BJ155*(1+VLOOKUP($C155,WeatherCapacityAdjustment,2))-FR155,0),0))</f>
        <v>46560</v>
      </c>
      <c r="GA155" s="622">
        <f ca="1">IF(AND(Assumptions!$H$71="Yes",A155&gt;=Assumptions!$H$72,A155&lt;=Assumptions!$H$73),0,IF(EW155&gt;0,MAX(BK155*(1+VLOOKUP($C155,WeatherCapacityAdjustment,2))-FS155,0),0))</f>
        <v>139680</v>
      </c>
      <c r="GB155" s="530">
        <f t="shared" ca="1" si="461"/>
        <v>523800</v>
      </c>
      <c r="GC155" s="545">
        <f t="shared" ca="1" si="462"/>
        <v>43.603976439753836</v>
      </c>
      <c r="GD155" s="530">
        <f t="shared" ca="1" si="392"/>
        <v>22839762.85914306</v>
      </c>
      <c r="GE155" s="1485">
        <f t="shared" ca="1" si="393"/>
        <v>746534.4264</v>
      </c>
      <c r="GF155" s="1776">
        <f t="shared" ca="1" si="394"/>
        <v>2986137.7056</v>
      </c>
      <c r="GG155" s="545">
        <f t="shared" si="359"/>
        <v>3.3697959212919262</v>
      </c>
      <c r="GH155" s="622">
        <f t="shared" ca="1" si="360"/>
        <v>12578343.325933639</v>
      </c>
      <c r="GI155" s="621">
        <f t="shared" ca="1" si="507"/>
        <v>523800</v>
      </c>
      <c r="GJ155" s="638">
        <f t="shared" si="463"/>
        <v>2.1089868858040779</v>
      </c>
      <c r="GK155" s="625">
        <f t="shared" ca="1" si="513"/>
        <v>1104687.330784176</v>
      </c>
      <c r="GL155" s="640">
        <f t="shared" ca="1" si="395"/>
        <v>0</v>
      </c>
      <c r="GM155" s="530">
        <f t="shared" ca="1" si="396"/>
        <v>0</v>
      </c>
      <c r="GN155" s="530">
        <f t="shared" ca="1" si="397"/>
        <v>0</v>
      </c>
      <c r="GO155" s="622">
        <f t="shared" ca="1" si="398"/>
        <v>0</v>
      </c>
      <c r="GP155" s="530">
        <f t="shared" ca="1" si="464"/>
        <v>0</v>
      </c>
      <c r="GQ155" s="545">
        <f t="shared" ca="1" si="465"/>
        <v>0</v>
      </c>
      <c r="GR155" s="625">
        <f t="shared" ca="1" si="399"/>
        <v>0</v>
      </c>
      <c r="GS155" s="640">
        <f>IF($A155&gt;=BegDate,Assumptions!$C$56*24*($A156-$A155)*(1-VLOOKUP($B155,MAIN!$AA$7:$AM$28,$C155+1))*(1-VLOOKUP($B155,MAIN!$AA$33:$AM$54,$C155+1)),0)*80/168</f>
        <v>249428.57142857142</v>
      </c>
      <c r="GT155" s="1715">
        <f t="shared" si="508"/>
        <v>54.985493365275019</v>
      </c>
      <c r="GU155" s="1715">
        <f>IF($A155&gt;=BegDate,VLOOKUP($A155,GasTable,13)+Assumptions!$C$58,0)</f>
        <v>3.3697959212919262</v>
      </c>
      <c r="GV155" s="1715">
        <f>GU155*Assumptions!$C$57/1000</f>
        <v>24.431020429366466</v>
      </c>
      <c r="GW155" s="625">
        <f>IF(Assumptions!$C$60="Hourly",MAX(0,GS155*(GT155-GV155)),GS155*(GT155-GV155))</f>
        <v>7621158.5351566188</v>
      </c>
      <c r="GX155" s="640">
        <f>IF($A155&gt;=BegDate,Assumptions!$C$56*24*($A156-$A155)*(1-VLOOKUP($B155,MAIN!$AA$7:$AM$28,$C155+1))*(1-VLOOKUP($B155,MAIN!$AA$33:$AM$54,$C155+1)),0)*16/168</f>
        <v>49885.714285714283</v>
      </c>
      <c r="GY155" s="1715">
        <f t="shared" si="509"/>
        <v>54.985493365275019</v>
      </c>
      <c r="GZ155" s="1715">
        <f>IF($A155&gt;=BegDate,VLOOKUP($A155,GasTable,13)+Assumptions!$C$58,0)</f>
        <v>3.3697959212919262</v>
      </c>
      <c r="HA155" s="1715">
        <f>GZ155*Assumptions!$C$57/1000</f>
        <v>24.431020429366466</v>
      </c>
      <c r="HB155" s="625">
        <f>IF(Assumptions!$C$60="Hourly",MAX(0,GX155*(GY155-HA155)),GX155*(GY155-HA155))</f>
        <v>1524231.7070313238</v>
      </c>
      <c r="HC155" s="640">
        <f>IF($A155&gt;=BegDate,Assumptions!$C$56*24*($A156-$A155)*(1-VLOOKUP($B155,MAIN!$AA$7:$AM$28,$C155+1))*(1-VLOOKUP($B155,MAIN!$AA$33:$AM$54,$C155+1)),0)*16/168</f>
        <v>49885.714285714283</v>
      </c>
      <c r="HD155" s="1715">
        <f t="shared" si="510"/>
        <v>29.377080447009604</v>
      </c>
      <c r="HE155" s="1715">
        <f>IF($A155&gt;=BegDate,VLOOKUP($A155,GasTable,13)+Assumptions!$C$58,0)</f>
        <v>3.3697959212919262</v>
      </c>
      <c r="HF155" s="1715">
        <f>HE155*Assumptions!$C$57/1000</f>
        <v>24.431020429366466</v>
      </c>
      <c r="HG155" s="625">
        <f>IF(Assumptions!$C$60="Hourly",MAX(0,HC155*(HD155-HF155)),HC155*(HD155-HF155))</f>
        <v>246737.73688014052</v>
      </c>
      <c r="HH155" s="640">
        <f>IF($A155&gt;=BegDate,Assumptions!$C$56*24*($A156-$A155)*(1-VLOOKUP($B155,MAIN!$AA$7:$AM$28,$C155+1))*(1-VLOOKUP($B155,MAIN!$AA$33:$AM$54,$C155+1)),0)*56/168</f>
        <v>174600</v>
      </c>
      <c r="HI155" s="1715">
        <f t="shared" si="511"/>
        <v>29.377080447009604</v>
      </c>
      <c r="HJ155" s="1715">
        <f>IF($A155&gt;=BegDate,VLOOKUP($A155,GasTable,13)+Assumptions!$C$58,0)</f>
        <v>3.3697959212919262</v>
      </c>
      <c r="HK155" s="1715">
        <f>HJ155*Assumptions!$C$57/1000</f>
        <v>24.431020429366466</v>
      </c>
      <c r="HL155" s="625">
        <f>IF(Assumptions!$C$60="Hourly",MAX(0,HH155*(HI155-HK155)),HH155*(HI155-HK155))</f>
        <v>863582.07908049179</v>
      </c>
      <c r="HM155" s="640">
        <f>IF(AND(Assumptions!$H$71="Yes",A155&gt;=Assumptions!$H$72,A155&lt;=Assumptions!$H$73),Assumptions!$H$74*Assumptions!$C$9*1000,0)</f>
        <v>0</v>
      </c>
      <c r="HN155" s="530"/>
      <c r="HO155" s="545"/>
      <c r="HP155" s="545"/>
      <c r="HQ155" s="545"/>
      <c r="HR155" s="545"/>
      <c r="HS155" s="545"/>
      <c r="HT155" s="545"/>
      <c r="HU155" s="545"/>
      <c r="HV155" s="545"/>
      <c r="HW155" s="545"/>
      <c r="HX155" s="545"/>
      <c r="HY155" s="545"/>
      <c r="HZ155" s="545"/>
      <c r="IA155" s="545"/>
      <c r="IB155" s="545"/>
      <c r="IC155" s="545"/>
      <c r="ID155" s="545"/>
      <c r="IE155" s="545"/>
      <c r="IF155" s="545"/>
      <c r="IG155" s="545"/>
      <c r="IH155" s="545"/>
      <c r="II155" s="1464"/>
      <c r="IJ155" s="1463"/>
      <c r="IK155" s="1463"/>
    </row>
    <row r="156" spans="1:245">
      <c r="A156" s="177">
        <f t="shared" si="466"/>
        <v>40878</v>
      </c>
      <c r="B156" s="349">
        <f t="shared" si="467"/>
        <v>2011</v>
      </c>
      <c r="C156" s="15">
        <f t="shared" si="407"/>
        <v>12</v>
      </c>
      <c r="D156" s="612">
        <f t="shared" si="468"/>
        <v>40903</v>
      </c>
      <c r="E156" s="609">
        <f t="shared" si="408"/>
        <v>40878</v>
      </c>
      <c r="F156" s="614">
        <f t="shared" si="409"/>
        <v>40908</v>
      </c>
      <c r="G156" s="1349">
        <v>0</v>
      </c>
      <c r="H156" s="152">
        <f t="shared" si="512"/>
        <v>1</v>
      </c>
      <c r="I156" s="154">
        <f>IF(Assumptions!$L$25=4,VLOOKUP($A156,'Henwood Reference'!$E$9:$R$320,10),(VLOOKUP($A156,PriceTable,2,0)+IF(BasisNumber&lt;&gt;1,VLOOKUP($A156,BasisTable,2,0),0)+I$1)/(1-I$2))</f>
        <v>52.748787321903883</v>
      </c>
      <c r="J156" s="154">
        <f>IF(Assumptions!$L$25=4,VLOOKUP($A156,'Henwood Reference'!$E$9:$R$320,10),(VLOOKUP($A156,PriceTable,3,0)+IF(BasisNumber&lt;&gt;1,VLOOKUP($A156,BasisTable,2,0),0)+J$1)/(1-J$2))</f>
        <v>52.748787321903883</v>
      </c>
      <c r="K156" s="154">
        <f>IF(Assumptions!$L$25=4,VLOOKUP($A156,'Henwood Reference'!$E$9:$R$320,10),(VLOOKUP($A156,PriceTable,4,0)+IF(BasisNumber&lt;&gt;1,VLOOKUP($A156,BasisTable,2,0),0)+K$1)/(1-K$2))</f>
        <v>52.748787321903883</v>
      </c>
      <c r="L156" s="474">
        <f>IF(Assumptions!$L$25=4,VLOOKUP($A156,'Henwood Reference'!$E$9:$R$320,10),(VLOOKUP($A156,PriceTableWeekend,2,0)+IF(BasisNumber&lt;&gt;1,VLOOKUP($A156,BasisTable,2,0),0)+L$1)/(1-L$2))</f>
        <v>52.748787321903883</v>
      </c>
      <c r="M156" s="154">
        <f>IF(Assumptions!$L$25=4,VLOOKUP($A156,'Henwood Reference'!$E$9:$R$320,10),(VLOOKUP($A156,PriceTableWeekend,3,0)+IF(BasisNumber&lt;&gt;1,VLOOKUP($A156,BasisTable,2,0),0)+M$1)/(1-M$2))</f>
        <v>52.748787321903883</v>
      </c>
      <c r="N156" s="156">
        <f>IF(Assumptions!$L$25=4,VLOOKUP($A156,'Henwood Reference'!$E$9:$R$320,10),(VLOOKUP($A156,PriceTableWeekend,4,0)+IF(BasisNumber&lt;&gt;1,VLOOKUP($A156,BasisTable,2,0),0)+N$1)/(1-N$2))</f>
        <v>52.748787321903883</v>
      </c>
      <c r="O156" s="154">
        <f>IF(Assumptions!$L$25=4,VLOOKUP($A156,'Henwood Reference'!$E$9:$R$320,11),(VLOOKUP($A156,PriceTableWeekend,6,0)+IF(BasisNumber&lt;&gt;1,VLOOKUP($A156,BasisTable,3,0),0)+O$1)/(1-O$2))</f>
        <v>31.736880546911813</v>
      </c>
      <c r="P156" s="154">
        <f>IF(Assumptions!$L$25=4,VLOOKUP($A156,'Henwood Reference'!$E$9:$R$320,11),(VLOOKUP($A156,PriceTableWeekend,7,0)+IF(BasisNumber&lt;&gt;1,VLOOKUP($A156,BasisTable,3,0),0)+P$1)/(1-P$2))</f>
        <v>31.736880546911813</v>
      </c>
      <c r="Q156" s="156">
        <f>IF(Assumptions!$L$25=4,VLOOKUP($A156,'Henwood Reference'!$E$9:$R$320,11),(VLOOKUP($A156,PriceTableWeekend,8,0)+IF(BasisNumber&lt;&gt;1,VLOOKUP($A156,BasisTable,3,0),0)+Q$1)/(1-Q$2))</f>
        <v>31.736880546911813</v>
      </c>
      <c r="R156" s="154">
        <f>IF(Assumptions!$L$25=4,VLOOKUP($A156,'Henwood Reference'!$E$9:$R$320,11),(VLOOKUP($A156,PriceTable,6,0)+IF(BasisNumber&lt;&gt;1,VLOOKUP($A156,BasisTable,3,0),0)+R$1)/(1-R$2))</f>
        <v>31.736880546911813</v>
      </c>
      <c r="S156" s="154">
        <f>IF(Assumptions!$L$25=4,VLOOKUP($A156,'Henwood Reference'!$E$9:$R$320,11),(VLOOKUP($A156,PriceTable,7,0)+IF(BasisNumber&lt;&gt;1,VLOOKUP($A156,BasisTable,3,0),0)+S$1)/(1-S$2))</f>
        <v>31.736880546911813</v>
      </c>
      <c r="T156" s="155">
        <f>IF(Assumptions!$L$25=4,VLOOKUP($A156,'Henwood Reference'!$E$9:$R$320,11),(VLOOKUP($A156,PriceTable,8,0)+IF(BasisNumber&lt;&gt;1,VLOOKUP($A156,BasisTable,3,0),0)+T$1)/(1-T$2))</f>
        <v>31.736880546911813</v>
      </c>
      <c r="U156" s="173">
        <f t="shared" si="469"/>
        <v>0.115</v>
      </c>
      <c r="V156" s="173">
        <f t="shared" si="470"/>
        <v>0.125</v>
      </c>
      <c r="W156" s="174">
        <f t="shared" si="471"/>
        <v>0.13500000000000001</v>
      </c>
      <c r="X156" s="173">
        <f t="shared" si="472"/>
        <v>0.115</v>
      </c>
      <c r="Y156" s="173">
        <f t="shared" si="473"/>
        <v>0.125</v>
      </c>
      <c r="Z156" s="174">
        <f t="shared" si="474"/>
        <v>0.13500000000000001</v>
      </c>
      <c r="AA156" s="173">
        <f t="shared" si="475"/>
        <v>0.09</v>
      </c>
      <c r="AB156" s="173">
        <f t="shared" si="476"/>
        <v>0.11</v>
      </c>
      <c r="AC156" s="174">
        <f t="shared" si="477"/>
        <v>0.13</v>
      </c>
      <c r="AD156" s="173">
        <f t="shared" si="478"/>
        <v>0.09</v>
      </c>
      <c r="AE156" s="173">
        <f t="shared" si="479"/>
        <v>0.11</v>
      </c>
      <c r="AF156" s="174">
        <f t="shared" si="480"/>
        <v>0.13</v>
      </c>
      <c r="AG156" s="173">
        <f t="shared" si="481"/>
        <v>-0.25</v>
      </c>
      <c r="AH156" s="173">
        <f t="shared" si="482"/>
        <v>0.6</v>
      </c>
      <c r="AI156" s="174">
        <f t="shared" si="483"/>
        <v>0.25</v>
      </c>
      <c r="AJ156" s="173">
        <f t="shared" si="484"/>
        <v>-0.25</v>
      </c>
      <c r="AK156" s="173">
        <f t="shared" si="485"/>
        <v>0.6</v>
      </c>
      <c r="AL156" s="174">
        <f t="shared" si="486"/>
        <v>0.25</v>
      </c>
      <c r="AM156" s="173">
        <f t="shared" si="487"/>
        <v>-0.01</v>
      </c>
      <c r="AN156" s="173">
        <f t="shared" si="488"/>
        <v>0.16</v>
      </c>
      <c r="AO156" s="174">
        <f t="shared" si="489"/>
        <v>0.01</v>
      </c>
      <c r="AP156" s="173">
        <f t="shared" si="490"/>
        <v>-0.01</v>
      </c>
      <c r="AQ156" s="173">
        <f t="shared" si="491"/>
        <v>0.16</v>
      </c>
      <c r="AR156" s="175">
        <f t="shared" si="492"/>
        <v>0.01</v>
      </c>
      <c r="AS156" s="521">
        <f t="shared" si="493"/>
        <v>0.5</v>
      </c>
      <c r="AT156" s="349">
        <f t="shared" si="410"/>
        <v>21</v>
      </c>
      <c r="AU156" s="159">
        <f t="shared" si="411"/>
        <v>5</v>
      </c>
      <c r="AV156" s="159">
        <f t="shared" si="412"/>
        <v>4</v>
      </c>
      <c r="AW156" s="159">
        <f t="shared" si="494"/>
        <v>1</v>
      </c>
      <c r="AX156" s="15">
        <f t="shared" si="413"/>
        <v>31</v>
      </c>
      <c r="AY156" s="607">
        <f>IF(E156="",0,MIN((1-(1-VLOOKUP(B156,MAIN!$AA$7:$AM$28,C156+1))*(1-VLOOKUP(B156,MAIN!$AA$33:$AM$54,C156+1))),1))</f>
        <v>3.0000000000000027E-2</v>
      </c>
      <c r="AZ156" s="337">
        <v>48888</v>
      </c>
      <c r="BA156" s="509">
        <v>11640</v>
      </c>
      <c r="BB156" s="509">
        <v>11640</v>
      </c>
      <c r="BC156" s="511">
        <v>36084</v>
      </c>
      <c r="BD156" s="153">
        <v>0.97</v>
      </c>
      <c r="BE156" s="474">
        <v>0.97</v>
      </c>
      <c r="BF156" s="474">
        <v>0.97</v>
      </c>
      <c r="BG156" s="515">
        <v>0.97</v>
      </c>
      <c r="BH156" s="262">
        <v>195552</v>
      </c>
      <c r="BI156" s="509">
        <v>46560</v>
      </c>
      <c r="BJ156" s="509">
        <v>46560</v>
      </c>
      <c r="BK156" s="511">
        <v>144336</v>
      </c>
      <c r="BL156" s="153">
        <v>0.97</v>
      </c>
      <c r="BM156" s="474">
        <v>0.97</v>
      </c>
      <c r="BN156" s="474">
        <v>0.97</v>
      </c>
      <c r="BO156" s="474">
        <v>0.97</v>
      </c>
      <c r="BP156" s="261">
        <f t="shared" si="495"/>
        <v>72168</v>
      </c>
      <c r="BQ156" s="578">
        <f t="shared" si="496"/>
        <v>108252</v>
      </c>
      <c r="BR156" s="259">
        <f t="shared" si="497"/>
        <v>288672</v>
      </c>
      <c r="BS156" s="578">
        <f t="shared" si="498"/>
        <v>433008</v>
      </c>
      <c r="BT156" s="216">
        <f t="shared" si="499"/>
        <v>11.630390143737166</v>
      </c>
      <c r="BU156" s="218">
        <f t="shared" si="414"/>
        <v>52.748787321903883</v>
      </c>
      <c r="BV156" s="216">
        <f t="shared" si="415"/>
        <v>52.748787321903883</v>
      </c>
      <c r="BW156" s="216">
        <f t="shared" si="416"/>
        <v>31.736880546911816</v>
      </c>
      <c r="BX156" s="216">
        <f t="shared" si="500"/>
        <v>31.736880546911816</v>
      </c>
      <c r="BY156" s="216">
        <f t="shared" si="417"/>
        <v>49.359770100130973</v>
      </c>
      <c r="BZ156" s="216">
        <f t="shared" si="418"/>
        <v>43.485473582391258</v>
      </c>
      <c r="CA156" s="264">
        <f t="shared" si="419"/>
        <v>52.748787321903883</v>
      </c>
      <c r="CB156" s="216">
        <f t="shared" si="420"/>
        <v>52.748787321903883</v>
      </c>
      <c r="CC156" s="216">
        <f t="shared" si="421"/>
        <v>31.736880546911816</v>
      </c>
      <c r="CD156" s="216">
        <f t="shared" si="501"/>
        <v>31.736880546911816</v>
      </c>
      <c r="CE156" s="216">
        <f t="shared" si="422"/>
        <v>49.359770100130973</v>
      </c>
      <c r="CF156" s="571">
        <f t="shared" si="423"/>
        <v>43.485473582391258</v>
      </c>
      <c r="CG156" s="573">
        <f t="shared" si="424"/>
        <v>0.125</v>
      </c>
      <c r="CH156" s="219">
        <f t="shared" si="425"/>
        <v>0.125</v>
      </c>
      <c r="CI156" s="219">
        <f t="shared" si="426"/>
        <v>0.11</v>
      </c>
      <c r="CJ156" s="219">
        <f t="shared" si="427"/>
        <v>0.12345936651809435</v>
      </c>
      <c r="CK156" s="219">
        <f t="shared" si="428"/>
        <v>0.12345936651809435</v>
      </c>
      <c r="CL156" s="219">
        <f t="shared" si="429"/>
        <v>0.11</v>
      </c>
      <c r="CM156" s="219">
        <f t="shared" si="430"/>
        <v>0.10971219196272777</v>
      </c>
      <c r="CN156" s="569">
        <f t="shared" si="431"/>
        <v>0.10971219196272777</v>
      </c>
      <c r="CO156" s="264">
        <f t="shared" si="514"/>
        <v>25.004685421144224</v>
      </c>
      <c r="CP156" s="216">
        <f t="shared" si="502"/>
        <v>25.004685421144224</v>
      </c>
      <c r="CQ156" s="216">
        <f t="shared" ca="1" si="361"/>
        <v>25.004685421144224</v>
      </c>
      <c r="CR156" s="216">
        <f t="shared" ca="1" si="362"/>
        <v>25.004685421144224</v>
      </c>
      <c r="CS156" s="1626">
        <f t="shared" ca="1" si="363"/>
        <v>25.004685421144227</v>
      </c>
      <c r="CT156" s="216">
        <f t="shared" si="503"/>
        <v>25.004685421144224</v>
      </c>
      <c r="CU156" s="575">
        <f t="shared" si="432"/>
        <v>0.157</v>
      </c>
      <c r="CV156" s="154">
        <f t="shared" si="433"/>
        <v>0.5</v>
      </c>
      <c r="CW156" s="216">
        <f>IF(OR($BQ156,$BS156),SpreadOptPowerMargin,0)*((1+Assumptions!$C$26)^($B156-YEAR(Assumptions!$C$17)))</f>
        <v>2.1089868858040779</v>
      </c>
      <c r="CX156" s="216">
        <f>IF(OR($BQ156,$BS156),SpreadOptPowerMargin,0)*((1+Assumptions!$C$26)^($B156-YEAR(Assumptions!$C$17)))</f>
        <v>2.1089868858040779</v>
      </c>
      <c r="CY156" s="216">
        <f>IF(OR($BQ156,$BS156),SpreadOptPowerMargin,0)*((1+Assumptions!$C$26)^($B156-YEAR(Assumptions!$C$17)))</f>
        <v>2.1089868858040779</v>
      </c>
      <c r="CZ156" s="216">
        <f>IF(OR($BQ156,$BS156),SpreadOptPowerMargin,0)*((1+Assumptions!$C$26)^($B156-YEAR(Assumptions!$C$17)))</f>
        <v>2.1089868858040779</v>
      </c>
      <c r="DA156" s="440">
        <f t="shared" si="434"/>
        <v>2.1089868858040779</v>
      </c>
      <c r="DB156" s="479">
        <f t="shared" si="435"/>
        <v>0.125</v>
      </c>
      <c r="DC156" s="479">
        <f t="shared" si="436"/>
        <v>0.125</v>
      </c>
      <c r="DD156" s="479">
        <f t="shared" si="437"/>
        <v>0.11</v>
      </c>
      <c r="DE156" s="479">
        <f t="shared" si="438"/>
        <v>0.11</v>
      </c>
      <c r="DF156" s="479">
        <f t="shared" si="439"/>
        <v>0.10971219196272777</v>
      </c>
      <c r="DG156" s="574">
        <f t="shared" si="440"/>
        <v>0.10971219196272777</v>
      </c>
      <c r="DH156" s="216">
        <f t="shared" si="441"/>
        <v>26.242450861857264</v>
      </c>
      <c r="DI156" s="216">
        <f t="shared" si="442"/>
        <v>26.242450861857264</v>
      </c>
      <c r="DJ156" s="216">
        <f t="shared" ca="1" si="364"/>
        <v>7.8356446929220125</v>
      </c>
      <c r="DK156" s="216">
        <f t="shared" ca="1" si="365"/>
        <v>7.8356446929220125</v>
      </c>
      <c r="DL156" s="216">
        <f t="shared" ca="1" si="366"/>
        <v>17.525834441170499</v>
      </c>
      <c r="DM156" s="216"/>
      <c r="DN156" s="216"/>
      <c r="DO156" s="216"/>
      <c r="DP156" s="216"/>
      <c r="DQ156" s="216"/>
      <c r="DR156" s="216"/>
      <c r="DS156" s="216"/>
      <c r="DT156" s="216"/>
      <c r="DU156" s="216"/>
      <c r="DV156" s="216"/>
      <c r="DW156" s="1371">
        <f t="shared" si="443"/>
        <v>7.8356446929220125</v>
      </c>
      <c r="DX156" s="216">
        <f t="shared" si="444"/>
        <v>7.8356446929220125</v>
      </c>
      <c r="DY156" s="440">
        <f t="shared" si="445"/>
        <v>18.12762233576753</v>
      </c>
      <c r="DZ156" s="180">
        <f t="shared" si="446"/>
        <v>1282940.9377344779</v>
      </c>
      <c r="EA156" s="180">
        <f t="shared" si="447"/>
        <v>305462.12803201855</v>
      </c>
      <c r="EB156" s="180">
        <f t="shared" ca="1" si="367"/>
        <v>91206.904225612219</v>
      </c>
      <c r="EC156" s="180">
        <f t="shared" ca="1" si="368"/>
        <v>282741.4030993979</v>
      </c>
      <c r="ED156" s="180">
        <f t="shared" ca="1" si="369"/>
        <v>1897206.6299255888</v>
      </c>
      <c r="EE156" s="581">
        <f t="shared" si="448"/>
        <v>1253249.5028511484</v>
      </c>
      <c r="EF156" s="554">
        <f t="shared" si="449"/>
        <v>298392.73877408297</v>
      </c>
      <c r="EG156" s="554">
        <f t="shared" ca="1" si="370"/>
        <v>53814.1439131753</v>
      </c>
      <c r="EH156" s="554">
        <f t="shared" ca="1" si="371"/>
        <v>166823.84613084345</v>
      </c>
      <c r="EI156" s="561">
        <f t="shared" ca="1" si="450"/>
        <v>1772280.2316692504</v>
      </c>
      <c r="EJ156" s="581">
        <f t="shared" si="504"/>
        <v>29691.434883329552</v>
      </c>
      <c r="EK156" s="554">
        <f t="shared" si="505"/>
        <v>7069.3892579355743</v>
      </c>
      <c r="EL156" s="554">
        <f t="shared" ca="1" si="372"/>
        <v>37392.76031243692</v>
      </c>
      <c r="EM156" s="554">
        <f t="shared" ca="1" si="373"/>
        <v>115917.55696855445</v>
      </c>
      <c r="EN156" s="561">
        <f t="shared" ca="1" si="374"/>
        <v>124926.39825633843</v>
      </c>
      <c r="EO156" s="180">
        <f t="shared" si="451"/>
        <v>5131763.7509379117</v>
      </c>
      <c r="EP156" s="180">
        <f t="shared" si="452"/>
        <v>1221848.5121280742</v>
      </c>
      <c r="EQ156" s="180">
        <f t="shared" si="453"/>
        <v>364827.61690244888</v>
      </c>
      <c r="ER156" s="180">
        <f t="shared" si="454"/>
        <v>1130965.6123975916</v>
      </c>
      <c r="ES156" s="180">
        <f t="shared" si="455"/>
        <v>7849405.4923660262</v>
      </c>
      <c r="ET156" s="1482">
        <f t="shared" ca="1" si="375"/>
        <v>5012998.0114045935</v>
      </c>
      <c r="EU156" s="180">
        <f t="shared" ca="1" si="376"/>
        <v>1193570.9550963319</v>
      </c>
      <c r="EV156" s="180">
        <f t="shared" ca="1" si="377"/>
        <v>215256.5756527012</v>
      </c>
      <c r="EW156" s="180">
        <f t="shared" ca="1" si="378"/>
        <v>667295.3845233738</v>
      </c>
      <c r="EX156" s="555">
        <f t="shared" ca="1" si="351"/>
        <v>7089120.9266769998</v>
      </c>
      <c r="EY156" s="180">
        <f t="shared" ca="1" si="379"/>
        <v>118765.73953331821</v>
      </c>
      <c r="EZ156" s="180">
        <f t="shared" ca="1" si="380"/>
        <v>28277.557031742297</v>
      </c>
      <c r="FA156" s="180">
        <f t="shared" ca="1" si="381"/>
        <v>149571.04124974768</v>
      </c>
      <c r="FB156" s="180">
        <f t="shared" ca="1" si="382"/>
        <v>463670.22787421779</v>
      </c>
      <c r="FC156" s="180">
        <f t="shared" ca="1" si="383"/>
        <v>760284.56568902638</v>
      </c>
      <c r="FD156" s="262">
        <f>IF(AX156,IF(VLOOKUP(C156,MAIN!$L$17:$M$28,2)="Yes",VLOOKUP(CALC!B156,MAIN!$H$17:$I$20,2),0),0)</f>
        <v>0</v>
      </c>
      <c r="FE156" s="623">
        <f t="shared" si="456"/>
        <v>0</v>
      </c>
      <c r="FF156" s="535">
        <f t="shared" si="457"/>
        <v>0</v>
      </c>
      <c r="FG156" s="535">
        <f t="shared" si="458"/>
        <v>0</v>
      </c>
      <c r="FH156" s="624">
        <f t="shared" si="459"/>
        <v>0</v>
      </c>
      <c r="FI156" s="632">
        <f>IF(AX156,VLOOKUP(CALC!B156,MAIN!$H$17:$K$20,4),0)</f>
        <v>0</v>
      </c>
      <c r="FJ156" s="535">
        <f t="shared" si="460"/>
        <v>0</v>
      </c>
      <c r="FK156" s="648">
        <f t="shared" si="506"/>
        <v>0</v>
      </c>
      <c r="FL156" s="530">
        <f t="shared" ca="1" si="384"/>
        <v>0</v>
      </c>
      <c r="FM156" s="530">
        <f t="shared" ca="1" si="385"/>
        <v>0</v>
      </c>
      <c r="FN156" s="530">
        <f t="shared" ca="1" si="386"/>
        <v>0</v>
      </c>
      <c r="FO156" s="622">
        <f t="shared" ca="1" si="387"/>
        <v>0</v>
      </c>
      <c r="FP156" s="530">
        <f t="shared" ca="1" si="388"/>
        <v>0</v>
      </c>
      <c r="FQ156" s="530">
        <f t="shared" ca="1" si="389"/>
        <v>0</v>
      </c>
      <c r="FR156" s="530">
        <f t="shared" ca="1" si="390"/>
        <v>0</v>
      </c>
      <c r="FS156" s="625">
        <f t="shared" ca="1" si="391"/>
        <v>0</v>
      </c>
      <c r="FT156" s="640">
        <f ca="1">IF(AND(Assumptions!$H$71="Yes",A156&gt;=Assumptions!$H$72,A156&lt;=Assumptions!$H$73),0,IF(AND($A156&gt;=Assumptions!$C$17,$A156&lt;=Assumptions!$C$18),MAX(AZ156*(1+VLOOKUP($C156,WeatherCapacityAdjustment,2))-FL156,0),0))</f>
        <v>48888</v>
      </c>
      <c r="FU156" s="530">
        <f ca="1">IF(AND(Assumptions!$H$71="Yes",A156&gt;=Assumptions!$H$72,A156&lt;=Assumptions!$H$73),0,IF(AND($A156&gt;=Assumptions!$C$17,$A156&lt;=Assumptions!$C$18),MAX(BA156*(1+VLOOKUP($C156,WeatherCapacityAdjustment,2))-FM156,0),0))</f>
        <v>11640</v>
      </c>
      <c r="FV156" s="530">
        <f ca="1">IF(AND(Assumptions!$H$71="Yes",A156&gt;=Assumptions!$H$72,A156&lt;=Assumptions!$H$73),0,IF(AND($A156&gt;=Assumptions!$C$17,$A156&lt;=Assumptions!$C$18),MAX(BB156*(1+VLOOKUP($C156,WeatherCapacityAdjustment,2))-FN156,0),0))</f>
        <v>11640</v>
      </c>
      <c r="FW156" s="622">
        <f ca="1">IF(AND(Assumptions!$H$71="Yes",A156&gt;=Assumptions!$H$72,A156&lt;=Assumptions!$H$73),0,IF(AND($A156&gt;=Assumptions!$C$17,$A156&lt;=Assumptions!$C$18),MAX(BC156*(1+VLOOKUP($C156,WeatherCapacityAdjustment,3))-FO156,0),0))</f>
        <v>36084</v>
      </c>
      <c r="FX156" s="621">
        <f ca="1">IF(AND(Assumptions!$H$71="Yes",A156&gt;=Assumptions!$H$72,A156&lt;=Assumptions!$H$73),0,IF(ET156&gt;0,MAX(BH156*(1+VLOOKUP($C156,WeatherCapacityAdjustment,2))-FP156,0),0))</f>
        <v>195552</v>
      </c>
      <c r="FY156" s="530">
        <f ca="1">IF(AND(Assumptions!$H$71="Yes",A156&gt;=Assumptions!$H$72,A156&lt;=Assumptions!$H$73),0,IF(EU156&gt;0,MAX(BI156*(1+VLOOKUP($C156,WeatherCapacityAdjustment,3))-FQ156,0),0))</f>
        <v>46560</v>
      </c>
      <c r="FZ156" s="530">
        <f ca="1">IF(AND(Assumptions!$H$71="Yes",A156&gt;=Assumptions!$H$72,A156&lt;=Assumptions!$H$73),0,IF(EV156&gt;0,MAX(BJ156*(1+VLOOKUP($C156,WeatherCapacityAdjustment,2))-FR156,0),0))</f>
        <v>46560</v>
      </c>
      <c r="GA156" s="622">
        <f ca="1">IF(AND(Assumptions!$H$71="Yes",A156&gt;=Assumptions!$H$72,A156&lt;=Assumptions!$H$73),0,IF(EW156&gt;0,MAX(BK156*(1+VLOOKUP($C156,WeatherCapacityAdjustment,2))-FS156,0),0))</f>
        <v>144336</v>
      </c>
      <c r="GB156" s="530">
        <f t="shared" ca="1" si="461"/>
        <v>541260</v>
      </c>
      <c r="GC156" s="545">
        <f t="shared" ca="1" si="462"/>
        <v>43.485473582391258</v>
      </c>
      <c r="GD156" s="530">
        <f t="shared" ca="1" si="392"/>
        <v>23536947.431205086</v>
      </c>
      <c r="GE156" s="1485">
        <f t="shared" ca="1" si="393"/>
        <v>771737.16816</v>
      </c>
      <c r="GF156" s="1776">
        <f t="shared" ca="1" si="394"/>
        <v>3086948.67264</v>
      </c>
      <c r="GG156" s="545">
        <f t="shared" si="359"/>
        <v>3.5074210727252639</v>
      </c>
      <c r="GH156" s="622">
        <f t="shared" ca="1" si="360"/>
        <v>13534036.031048523</v>
      </c>
      <c r="GI156" s="621">
        <f t="shared" ca="1" si="507"/>
        <v>541260</v>
      </c>
      <c r="GJ156" s="638">
        <f t="shared" si="463"/>
        <v>2.1089868858040779</v>
      </c>
      <c r="GK156" s="625">
        <f t="shared" ca="1" si="513"/>
        <v>1141510.2418103153</v>
      </c>
      <c r="GL156" s="640">
        <f t="shared" ca="1" si="395"/>
        <v>0</v>
      </c>
      <c r="GM156" s="530">
        <f t="shared" ca="1" si="396"/>
        <v>0</v>
      </c>
      <c r="GN156" s="530">
        <f t="shared" ca="1" si="397"/>
        <v>0</v>
      </c>
      <c r="GO156" s="622">
        <f t="shared" ca="1" si="398"/>
        <v>0</v>
      </c>
      <c r="GP156" s="530">
        <f t="shared" ca="1" si="464"/>
        <v>0</v>
      </c>
      <c r="GQ156" s="545">
        <f t="shared" ca="1" si="465"/>
        <v>0</v>
      </c>
      <c r="GR156" s="625">
        <f t="shared" ca="1" si="399"/>
        <v>0</v>
      </c>
      <c r="GS156" s="640">
        <f>IF($A156&gt;=BegDate,Assumptions!$C$56*24*($A157-$A156)*(1-VLOOKUP($B156,MAIN!$AA$7:$AM$28,$C156+1))*(1-VLOOKUP($B156,MAIN!$AA$33:$AM$54,$C156+1)),0)*80/168</f>
        <v>257742.85714285713</v>
      </c>
      <c r="GT156" s="1715">
        <f t="shared" si="508"/>
        <v>52.748787321903883</v>
      </c>
      <c r="GU156" s="1715">
        <f>IF($A156&gt;=BegDate,VLOOKUP($A156,GasTable,13)+Assumptions!$C$58,0)</f>
        <v>3.5074210727252639</v>
      </c>
      <c r="GV156" s="1715">
        <f>GU156*Assumptions!$C$57/1000</f>
        <v>25.428802777258163</v>
      </c>
      <c r="GW156" s="625">
        <f>IF(Assumptions!$C$60="Hourly",MAX(0,GS156*(GT156-GV156)),GS156*(GT156-GV156))</f>
        <v>7041530.8736356869</v>
      </c>
      <c r="GX156" s="640">
        <f>IF($A156&gt;=BegDate,Assumptions!$C$56*24*($A157-$A156)*(1-VLOOKUP($B156,MAIN!$AA$7:$AM$28,$C156+1))*(1-VLOOKUP($B156,MAIN!$AA$33:$AM$54,$C156+1)),0)*16/168</f>
        <v>51548.571428571428</v>
      </c>
      <c r="GY156" s="1715">
        <f t="shared" si="509"/>
        <v>52.748787321903883</v>
      </c>
      <c r="GZ156" s="1715">
        <f>IF($A156&gt;=BegDate,VLOOKUP($A156,GasTable,13)+Assumptions!$C$58,0)</f>
        <v>3.5074210727252639</v>
      </c>
      <c r="HA156" s="1715">
        <f>GZ156*Assumptions!$C$57/1000</f>
        <v>25.428802777258163</v>
      </c>
      <c r="HB156" s="625">
        <f>IF(Assumptions!$C$60="Hourly",MAX(0,GX156*(GY156-HA156)),GX156*(GY156-HA156))</f>
        <v>1408306.1747271374</v>
      </c>
      <c r="HC156" s="640">
        <f>IF($A156&gt;=BegDate,Assumptions!$C$56*24*($A157-$A156)*(1-VLOOKUP($B156,MAIN!$AA$7:$AM$28,$C156+1))*(1-VLOOKUP($B156,MAIN!$AA$33:$AM$54,$C156+1)),0)*16/168</f>
        <v>51548.571428571428</v>
      </c>
      <c r="HD156" s="1715">
        <f t="shared" si="510"/>
        <v>31.736880546911813</v>
      </c>
      <c r="HE156" s="1715">
        <f>IF($A156&gt;=BegDate,VLOOKUP($A156,GasTable,13)+Assumptions!$C$58,0)</f>
        <v>3.5074210727252639</v>
      </c>
      <c r="HF156" s="1715">
        <f>HE156*Assumptions!$C$57/1000</f>
        <v>25.428802777258163</v>
      </c>
      <c r="HG156" s="625">
        <f>IF(Assumptions!$C$60="Hourly",MAX(0,HC156*(HD156-HF156)),HC156*(HD156-HF156))</f>
        <v>325172.39748597471</v>
      </c>
      <c r="HH156" s="640">
        <f>IF($A156&gt;=BegDate,Assumptions!$C$56*24*($A157-$A156)*(1-VLOOKUP($B156,MAIN!$AA$7:$AM$28,$C156+1))*(1-VLOOKUP($B156,MAIN!$AA$33:$AM$54,$C156+1)),0)*56/168</f>
        <v>180420</v>
      </c>
      <c r="HI156" s="1715">
        <f t="shared" si="511"/>
        <v>31.736880546911813</v>
      </c>
      <c r="HJ156" s="1715">
        <f>IF($A156&gt;=BegDate,VLOOKUP($A156,GasTable,13)+Assumptions!$C$58,0)</f>
        <v>3.5074210727252639</v>
      </c>
      <c r="HK156" s="1715">
        <f>HJ156*Assumptions!$C$57/1000</f>
        <v>25.428802777258163</v>
      </c>
      <c r="HL156" s="625">
        <f>IF(Assumptions!$C$60="Hourly",MAX(0,HH156*(HI156-HK156)),HH156*(HI156-HK156))</f>
        <v>1138103.3912009115</v>
      </c>
      <c r="HM156" s="640">
        <f>IF(AND(Assumptions!$H$71="Yes",A156&gt;=Assumptions!$H$72,A156&lt;=Assumptions!$H$73),Assumptions!$H$74*Assumptions!$C$9*1000,0)</f>
        <v>0</v>
      </c>
      <c r="HN156" s="530"/>
      <c r="HO156" s="545"/>
      <c r="HP156" s="545"/>
      <c r="HQ156" s="545"/>
      <c r="HR156" s="545"/>
      <c r="HS156" s="545"/>
      <c r="HT156" s="545"/>
      <c r="HU156" s="545"/>
      <c r="HV156" s="545"/>
      <c r="HW156" s="545"/>
      <c r="HX156" s="545"/>
      <c r="HY156" s="545"/>
      <c r="HZ156" s="545"/>
      <c r="IA156" s="545"/>
      <c r="IB156" s="545"/>
      <c r="IC156" s="545"/>
      <c r="ID156" s="545"/>
      <c r="IE156" s="545"/>
      <c r="IF156" s="545"/>
      <c r="IG156" s="545"/>
      <c r="IH156" s="545"/>
      <c r="II156" s="1464"/>
      <c r="IJ156" s="1463"/>
      <c r="IK156" s="1463"/>
    </row>
    <row r="157" spans="1:245">
      <c r="A157" s="177">
        <f t="shared" si="466"/>
        <v>40909</v>
      </c>
      <c r="B157" s="349">
        <f t="shared" si="467"/>
        <v>2012</v>
      </c>
      <c r="C157" s="15">
        <f t="shared" si="407"/>
        <v>1</v>
      </c>
      <c r="D157" s="612">
        <f t="shared" si="468"/>
        <v>40910</v>
      </c>
      <c r="E157" s="609">
        <f t="shared" si="408"/>
        <v>40909</v>
      </c>
      <c r="F157" s="614">
        <f t="shared" si="409"/>
        <v>40939</v>
      </c>
      <c r="G157" s="1349">
        <v>0</v>
      </c>
      <c r="H157" s="152">
        <f t="shared" si="512"/>
        <v>1</v>
      </c>
      <c r="I157" s="154">
        <f>IF(Assumptions!$L$25=4,VLOOKUP($A157,'Henwood Reference'!$E$9:$R$320,10),(VLOOKUP($A157,PriceTable,2,0)+IF(BasisNumber&lt;&gt;1,VLOOKUP($A157,BasisTable,2,0),0)+I$1)/(1-I$2))</f>
        <v>53.97624395240247</v>
      </c>
      <c r="J157" s="154">
        <f>IF(Assumptions!$L$25=4,VLOOKUP($A157,'Henwood Reference'!$E$9:$R$320,10),(VLOOKUP($A157,PriceTable,3,0)+IF(BasisNumber&lt;&gt;1,VLOOKUP($A157,BasisTable,2,0),0)+J$1)/(1-J$2))</f>
        <v>53.97624395240247</v>
      </c>
      <c r="K157" s="154">
        <f>IF(Assumptions!$L$25=4,VLOOKUP($A157,'Henwood Reference'!$E$9:$R$320,10),(VLOOKUP($A157,PriceTable,4,0)+IF(BasisNumber&lt;&gt;1,VLOOKUP($A157,BasisTable,2,0),0)+K$1)/(1-K$2))</f>
        <v>53.97624395240247</v>
      </c>
      <c r="L157" s="474">
        <f>IF(Assumptions!$L$25=4,VLOOKUP($A157,'Henwood Reference'!$E$9:$R$320,10),(VLOOKUP($A157,PriceTableWeekend,2,0)+IF(BasisNumber&lt;&gt;1,VLOOKUP($A157,BasisTable,2,0),0)+L$1)/(1-L$2))</f>
        <v>53.97624395240247</v>
      </c>
      <c r="M157" s="154">
        <f>IF(Assumptions!$L$25=4,VLOOKUP($A157,'Henwood Reference'!$E$9:$R$320,10),(VLOOKUP($A157,PriceTableWeekend,3,0)+IF(BasisNumber&lt;&gt;1,VLOOKUP($A157,BasisTable,2,0),0)+M$1)/(1-M$2))</f>
        <v>53.97624395240247</v>
      </c>
      <c r="N157" s="156">
        <f>IF(Assumptions!$L$25=4,VLOOKUP($A157,'Henwood Reference'!$E$9:$R$320,10),(VLOOKUP($A157,PriceTableWeekend,4,0)+IF(BasisNumber&lt;&gt;1,VLOOKUP($A157,BasisTable,2,0),0)+N$1)/(1-N$2))</f>
        <v>53.97624395240247</v>
      </c>
      <c r="O157" s="154">
        <f>IF(Assumptions!$L$25=4,VLOOKUP($A157,'Henwood Reference'!$E$9:$R$320,11),(VLOOKUP($A157,PriceTableWeekend,6,0)+IF(BasisNumber&lt;&gt;1,VLOOKUP($A157,BasisTable,3,0),0)+O$1)/(1-O$2))</f>
        <v>32.136232480779249</v>
      </c>
      <c r="P157" s="154">
        <f>IF(Assumptions!$L$25=4,VLOOKUP($A157,'Henwood Reference'!$E$9:$R$320,11),(VLOOKUP($A157,PriceTableWeekend,7,0)+IF(BasisNumber&lt;&gt;1,VLOOKUP($A157,BasisTable,3,0),0)+P$1)/(1-P$2))</f>
        <v>32.136232480779249</v>
      </c>
      <c r="Q157" s="156">
        <f>IF(Assumptions!$L$25=4,VLOOKUP($A157,'Henwood Reference'!$E$9:$R$320,11),(VLOOKUP($A157,PriceTableWeekend,8,0)+IF(BasisNumber&lt;&gt;1,VLOOKUP($A157,BasisTable,3,0),0)+Q$1)/(1-Q$2))</f>
        <v>32.136232480779249</v>
      </c>
      <c r="R157" s="154">
        <f>IF(Assumptions!$L$25=4,VLOOKUP($A157,'Henwood Reference'!$E$9:$R$320,11),(VLOOKUP($A157,PriceTable,6,0)+IF(BasisNumber&lt;&gt;1,VLOOKUP($A157,BasisTable,3,0),0)+R$1)/(1-R$2))</f>
        <v>32.136232480779249</v>
      </c>
      <c r="S157" s="154">
        <f>IF(Assumptions!$L$25=4,VLOOKUP($A157,'Henwood Reference'!$E$9:$R$320,11),(VLOOKUP($A157,PriceTable,7,0)+IF(BasisNumber&lt;&gt;1,VLOOKUP($A157,BasisTable,3,0),0)+S$1)/(1-S$2))</f>
        <v>32.136232480779249</v>
      </c>
      <c r="T157" s="155">
        <f>IF(Assumptions!$L$25=4,VLOOKUP($A157,'Henwood Reference'!$E$9:$R$320,11),(VLOOKUP($A157,PriceTable,8,0)+IF(BasisNumber&lt;&gt;1,VLOOKUP($A157,BasisTable,3,0),0)+T$1)/(1-T$2))</f>
        <v>32.136232480779249</v>
      </c>
      <c r="U157" s="173">
        <f t="shared" si="469"/>
        <v>0.11</v>
      </c>
      <c r="V157" s="173">
        <f t="shared" si="470"/>
        <v>0.12</v>
      </c>
      <c r="W157" s="174">
        <f t="shared" si="471"/>
        <v>0.13</v>
      </c>
      <c r="X157" s="173">
        <f t="shared" si="472"/>
        <v>0.11</v>
      </c>
      <c r="Y157" s="173">
        <f t="shared" si="473"/>
        <v>0.12</v>
      </c>
      <c r="Z157" s="174">
        <f t="shared" si="474"/>
        <v>0.13</v>
      </c>
      <c r="AA157" s="173">
        <f t="shared" si="475"/>
        <v>0.09</v>
      </c>
      <c r="AB157" s="173">
        <f t="shared" si="476"/>
        <v>0.11</v>
      </c>
      <c r="AC157" s="174">
        <f t="shared" si="477"/>
        <v>0.13</v>
      </c>
      <c r="AD157" s="173">
        <f t="shared" si="478"/>
        <v>0.09</v>
      </c>
      <c r="AE157" s="173">
        <f t="shared" si="479"/>
        <v>0.11</v>
      </c>
      <c r="AF157" s="174">
        <f t="shared" si="480"/>
        <v>0.13</v>
      </c>
      <c r="AG157" s="173">
        <f t="shared" si="481"/>
        <v>-0.25</v>
      </c>
      <c r="AH157" s="173">
        <f t="shared" si="482"/>
        <v>0.65</v>
      </c>
      <c r="AI157" s="174">
        <f t="shared" si="483"/>
        <v>0.25</v>
      </c>
      <c r="AJ157" s="173">
        <f t="shared" si="484"/>
        <v>-0.25</v>
      </c>
      <c r="AK157" s="173">
        <f t="shared" si="485"/>
        <v>0.65</v>
      </c>
      <c r="AL157" s="174">
        <f t="shared" si="486"/>
        <v>0.25</v>
      </c>
      <c r="AM157" s="173">
        <f t="shared" si="487"/>
        <v>-0.01</v>
      </c>
      <c r="AN157" s="173">
        <f t="shared" si="488"/>
        <v>0.16</v>
      </c>
      <c r="AO157" s="174">
        <f t="shared" si="489"/>
        <v>0.01</v>
      </c>
      <c r="AP157" s="173">
        <f t="shared" si="490"/>
        <v>-0.01</v>
      </c>
      <c r="AQ157" s="173">
        <f t="shared" si="491"/>
        <v>0.16</v>
      </c>
      <c r="AR157" s="175">
        <f t="shared" si="492"/>
        <v>0.01</v>
      </c>
      <c r="AS157" s="521">
        <f t="shared" si="493"/>
        <v>0.5</v>
      </c>
      <c r="AT157" s="349">
        <f t="shared" si="410"/>
        <v>21</v>
      </c>
      <c r="AU157" s="159">
        <f t="shared" si="411"/>
        <v>4</v>
      </c>
      <c r="AV157" s="159">
        <f t="shared" si="412"/>
        <v>5</v>
      </c>
      <c r="AW157" s="159">
        <f t="shared" si="494"/>
        <v>1</v>
      </c>
      <c r="AX157" s="15">
        <f t="shared" si="413"/>
        <v>31</v>
      </c>
      <c r="AY157" s="607">
        <f>IF(E157="",0,MIN((1-(1-VLOOKUP(B157,MAIN!$AA$7:$AM$28,C157+1))*(1-VLOOKUP(B157,MAIN!$AA$33:$AM$54,C157+1))),1))</f>
        <v>3.0000000000000027E-2</v>
      </c>
      <c r="AZ157" s="337">
        <v>48888</v>
      </c>
      <c r="BA157" s="509">
        <v>9312</v>
      </c>
      <c r="BB157" s="509">
        <v>13968</v>
      </c>
      <c r="BC157" s="511">
        <v>36084</v>
      </c>
      <c r="BD157" s="153">
        <v>0.96999999638646839</v>
      </c>
      <c r="BE157" s="474">
        <v>0.96999999638646839</v>
      </c>
      <c r="BF157" s="474">
        <v>0.96999999638646839</v>
      </c>
      <c r="BG157" s="515">
        <v>0.9699999927729368</v>
      </c>
      <c r="BH157" s="262">
        <v>195552</v>
      </c>
      <c r="BI157" s="509">
        <v>37248</v>
      </c>
      <c r="BJ157" s="509">
        <v>55872</v>
      </c>
      <c r="BK157" s="511">
        <v>144336</v>
      </c>
      <c r="BL157" s="153">
        <v>0.96999999638646839</v>
      </c>
      <c r="BM157" s="474">
        <v>0.96999999638646839</v>
      </c>
      <c r="BN157" s="474">
        <v>0.96999999638646839</v>
      </c>
      <c r="BO157" s="474">
        <v>0.9699999927729368</v>
      </c>
      <c r="BP157" s="261">
        <f t="shared" si="495"/>
        <v>72168</v>
      </c>
      <c r="BQ157" s="578">
        <f t="shared" si="496"/>
        <v>108252</v>
      </c>
      <c r="BR157" s="259">
        <f t="shared" si="497"/>
        <v>288672</v>
      </c>
      <c r="BS157" s="578">
        <f t="shared" si="498"/>
        <v>433008</v>
      </c>
      <c r="BT157" s="216">
        <f t="shared" si="499"/>
        <v>11.715263518138261</v>
      </c>
      <c r="BU157" s="218">
        <f t="shared" si="414"/>
        <v>53.976243751325292</v>
      </c>
      <c r="BV157" s="216">
        <f t="shared" si="415"/>
        <v>53.976243751325292</v>
      </c>
      <c r="BW157" s="216">
        <f t="shared" si="416"/>
        <v>32.136232361062454</v>
      </c>
      <c r="BX157" s="216">
        <f t="shared" si="500"/>
        <v>32.13623224134566</v>
      </c>
      <c r="BY157" s="216">
        <f t="shared" si="417"/>
        <v>49.74914477256474</v>
      </c>
      <c r="BZ157" s="216">
        <f t="shared" si="418"/>
        <v>43.878173928825049</v>
      </c>
      <c r="CA157" s="264">
        <f t="shared" si="419"/>
        <v>53.976243751325292</v>
      </c>
      <c r="CB157" s="216">
        <f t="shared" si="420"/>
        <v>53.976243751325292</v>
      </c>
      <c r="CC157" s="216">
        <f t="shared" si="421"/>
        <v>32.136232361062454</v>
      </c>
      <c r="CD157" s="216">
        <f t="shared" si="501"/>
        <v>32.13623224134566</v>
      </c>
      <c r="CE157" s="216">
        <f t="shared" si="422"/>
        <v>49.74914477256474</v>
      </c>
      <c r="CF157" s="571">
        <f t="shared" si="423"/>
        <v>43.878173928825049</v>
      </c>
      <c r="CG157" s="573">
        <f t="shared" si="424"/>
        <v>0.12</v>
      </c>
      <c r="CH157" s="219">
        <f t="shared" si="425"/>
        <v>0.12</v>
      </c>
      <c r="CI157" s="219">
        <f t="shared" si="426"/>
        <v>0.11</v>
      </c>
      <c r="CJ157" s="219">
        <f t="shared" si="427"/>
        <v>0.11875733071560862</v>
      </c>
      <c r="CK157" s="219">
        <f t="shared" si="428"/>
        <v>0.11875733071560862</v>
      </c>
      <c r="CL157" s="219">
        <f t="shared" si="429"/>
        <v>0.11</v>
      </c>
      <c r="CM157" s="219">
        <f t="shared" si="430"/>
        <v>0.10613456035804698</v>
      </c>
      <c r="CN157" s="569">
        <f t="shared" si="431"/>
        <v>0.10613456035804698</v>
      </c>
      <c r="CO157" s="264">
        <f t="shared" si="514"/>
        <v>24.277155048358932</v>
      </c>
      <c r="CP157" s="216">
        <f t="shared" si="502"/>
        <v>24.277155048358932</v>
      </c>
      <c r="CQ157" s="216">
        <f t="shared" ca="1" si="361"/>
        <v>24.277155048358932</v>
      </c>
      <c r="CR157" s="216">
        <f t="shared" ca="1" si="362"/>
        <v>24.277155048358932</v>
      </c>
      <c r="CS157" s="1626">
        <f t="shared" ca="1" si="363"/>
        <v>24.277155048358932</v>
      </c>
      <c r="CT157" s="216">
        <f t="shared" si="503"/>
        <v>24.277155048358932</v>
      </c>
      <c r="CU157" s="575">
        <f t="shared" si="432"/>
        <v>0.157</v>
      </c>
      <c r="CV157" s="154">
        <f t="shared" si="433"/>
        <v>0.5</v>
      </c>
      <c r="CW157" s="216">
        <f>IF(OR($BQ157,$BS157),SpreadOptPowerMargin,0)*((1+Assumptions!$C$26)^($B157-YEAR(Assumptions!$C$17)))</f>
        <v>2.1511666235201594</v>
      </c>
      <c r="CX157" s="216">
        <f>IF(OR($BQ157,$BS157),SpreadOptPowerMargin,0)*((1+Assumptions!$C$26)^($B157-YEAR(Assumptions!$C$17)))</f>
        <v>2.1511666235201594</v>
      </c>
      <c r="CY157" s="216">
        <f>IF(OR($BQ157,$BS157),SpreadOptPowerMargin,0)*((1+Assumptions!$C$26)^($B157-YEAR(Assumptions!$C$17)))</f>
        <v>2.1511666235201594</v>
      </c>
      <c r="CZ157" s="216">
        <f>IF(OR($BQ157,$BS157),SpreadOptPowerMargin,0)*((1+Assumptions!$C$26)^($B157-YEAR(Assumptions!$C$17)))</f>
        <v>2.1511666235201594</v>
      </c>
      <c r="DA157" s="440">
        <f t="shared" si="434"/>
        <v>2.1511666235201594</v>
      </c>
      <c r="DB157" s="479">
        <f t="shared" si="435"/>
        <v>0.12</v>
      </c>
      <c r="DC157" s="479">
        <f t="shared" si="436"/>
        <v>0.12</v>
      </c>
      <c r="DD157" s="479">
        <f t="shared" si="437"/>
        <v>0.11</v>
      </c>
      <c r="DE157" s="479">
        <f t="shared" si="438"/>
        <v>0.11</v>
      </c>
      <c r="DF157" s="479">
        <f t="shared" si="439"/>
        <v>0.10613456035804698</v>
      </c>
      <c r="DG157" s="574">
        <f t="shared" si="440"/>
        <v>0.10613456035804698</v>
      </c>
      <c r="DH157" s="216">
        <f t="shared" si="441"/>
        <v>28.005447198178548</v>
      </c>
      <c r="DI157" s="216">
        <f t="shared" si="442"/>
        <v>28.005447198178548</v>
      </c>
      <c r="DJ157" s="216">
        <f t="shared" ca="1" si="364"/>
        <v>8.5246035801418145</v>
      </c>
      <c r="DK157" s="216">
        <f t="shared" ca="1" si="365"/>
        <v>8.5246034904915362</v>
      </c>
      <c r="DL157" s="216">
        <f t="shared" ca="1" si="366"/>
        <v>18.417468383744083</v>
      </c>
      <c r="DM157" s="216"/>
      <c r="DN157" s="216"/>
      <c r="DO157" s="216"/>
      <c r="DP157" s="216"/>
      <c r="DQ157" s="216"/>
      <c r="DR157" s="216"/>
      <c r="DS157" s="216"/>
      <c r="DT157" s="216"/>
      <c r="DU157" s="216"/>
      <c r="DV157" s="216"/>
      <c r="DW157" s="1371">
        <f t="shared" si="443"/>
        <v>8.5246035801418145</v>
      </c>
      <c r="DX157" s="216">
        <f t="shared" si="444"/>
        <v>8.5246034904915362</v>
      </c>
      <c r="DY157" s="440">
        <f t="shared" si="445"/>
        <v>18.998175387912546</v>
      </c>
      <c r="DZ157" s="180">
        <f t="shared" si="446"/>
        <v>1369130.3026245527</v>
      </c>
      <c r="EA157" s="180">
        <f t="shared" si="447"/>
        <v>260786.72430943864</v>
      </c>
      <c r="EB157" s="180">
        <f t="shared" ca="1" si="367"/>
        <v>119071.66280742087</v>
      </c>
      <c r="EC157" s="180">
        <f t="shared" ca="1" si="368"/>
        <v>307601.79235089658</v>
      </c>
      <c r="ED157" s="180">
        <f t="shared" ca="1" si="369"/>
        <v>1993727.7874770644</v>
      </c>
      <c r="EE157" s="581">
        <f t="shared" si="448"/>
        <v>1346762.8146199659</v>
      </c>
      <c r="EF157" s="554">
        <f t="shared" si="449"/>
        <v>256526.25040380305</v>
      </c>
      <c r="EG157" s="554">
        <f t="shared" ca="1" si="370"/>
        <v>79728.096506513233</v>
      </c>
      <c r="EH157" s="554">
        <f t="shared" ca="1" si="371"/>
        <v>205964.24498863172</v>
      </c>
      <c r="EI157" s="561">
        <f t="shared" ca="1" si="450"/>
        <v>1888981.406518914</v>
      </c>
      <c r="EJ157" s="581">
        <f t="shared" si="504"/>
        <v>22367.488004586892</v>
      </c>
      <c r="EK157" s="554">
        <f t="shared" si="505"/>
        <v>4260.4739056355902</v>
      </c>
      <c r="EL157" s="554">
        <f t="shared" ca="1" si="372"/>
        <v>39343.566300907638</v>
      </c>
      <c r="EM157" s="554">
        <f t="shared" ca="1" si="373"/>
        <v>101637.54736226486</v>
      </c>
      <c r="EN157" s="561">
        <f t="shared" ca="1" si="374"/>
        <v>104746.38095815037</v>
      </c>
      <c r="EO157" s="180">
        <f t="shared" si="451"/>
        <v>5476521.210498211</v>
      </c>
      <c r="EP157" s="180">
        <f t="shared" si="452"/>
        <v>1043146.8972377545</v>
      </c>
      <c r="EQ157" s="180">
        <f t="shared" si="453"/>
        <v>476286.65122968348</v>
      </c>
      <c r="ER157" s="180">
        <f t="shared" si="454"/>
        <v>1230407.1694035863</v>
      </c>
      <c r="ES157" s="180">
        <f t="shared" si="455"/>
        <v>8226361.9283692362</v>
      </c>
      <c r="ET157" s="1482">
        <f t="shared" ca="1" si="375"/>
        <v>5387051.2584798634</v>
      </c>
      <c r="EU157" s="180">
        <f t="shared" ca="1" si="376"/>
        <v>1026105.0016152122</v>
      </c>
      <c r="EV157" s="180">
        <f t="shared" ca="1" si="377"/>
        <v>318912.38602605293</v>
      </c>
      <c r="EW157" s="180">
        <f t="shared" ca="1" si="378"/>
        <v>823856.97995452688</v>
      </c>
      <c r="EX157" s="555">
        <f t="shared" ca="1" si="351"/>
        <v>7555925.6260756552</v>
      </c>
      <c r="EY157" s="180">
        <f t="shared" ca="1" si="379"/>
        <v>89469.952018347569</v>
      </c>
      <c r="EZ157" s="180">
        <f t="shared" ca="1" si="380"/>
        <v>17041.895622542361</v>
      </c>
      <c r="FA157" s="180">
        <f t="shared" ca="1" si="381"/>
        <v>157374.26520363055</v>
      </c>
      <c r="FB157" s="180">
        <f t="shared" ca="1" si="382"/>
        <v>406550.18944905943</v>
      </c>
      <c r="FC157" s="180">
        <f t="shared" ca="1" si="383"/>
        <v>670436.30229358096</v>
      </c>
      <c r="FD157" s="262">
        <f>IF(AX157,IF(VLOOKUP(C157,MAIN!$L$17:$M$28,2)="Yes",VLOOKUP(CALC!B157,MAIN!$H$17:$I$20,2),0),0)</f>
        <v>0</v>
      </c>
      <c r="FE157" s="623">
        <f t="shared" si="456"/>
        <v>0</v>
      </c>
      <c r="FF157" s="535">
        <f t="shared" si="457"/>
        <v>0</v>
      </c>
      <c r="FG157" s="535">
        <f t="shared" si="458"/>
        <v>0</v>
      </c>
      <c r="FH157" s="624">
        <f t="shared" si="459"/>
        <v>0</v>
      </c>
      <c r="FI157" s="632">
        <f>IF(AX157,VLOOKUP(CALC!B157,MAIN!$H$17:$K$20,4),0)</f>
        <v>0</v>
      </c>
      <c r="FJ157" s="535">
        <f t="shared" si="460"/>
        <v>0</v>
      </c>
      <c r="FK157" s="648">
        <f t="shared" si="506"/>
        <v>0</v>
      </c>
      <c r="FL157" s="530">
        <f t="shared" ca="1" si="384"/>
        <v>0</v>
      </c>
      <c r="FM157" s="530">
        <f t="shared" ca="1" si="385"/>
        <v>0</v>
      </c>
      <c r="FN157" s="530">
        <f t="shared" ca="1" si="386"/>
        <v>0</v>
      </c>
      <c r="FO157" s="622">
        <f t="shared" ca="1" si="387"/>
        <v>0</v>
      </c>
      <c r="FP157" s="530">
        <f t="shared" ca="1" si="388"/>
        <v>0</v>
      </c>
      <c r="FQ157" s="530">
        <f t="shared" ca="1" si="389"/>
        <v>0</v>
      </c>
      <c r="FR157" s="530">
        <f t="shared" ca="1" si="390"/>
        <v>0</v>
      </c>
      <c r="FS157" s="625">
        <f t="shared" ca="1" si="391"/>
        <v>0</v>
      </c>
      <c r="FT157" s="640">
        <f ca="1">IF(AND(Assumptions!$H$71="Yes",A157&gt;=Assumptions!$H$72,A157&lt;=Assumptions!$H$73),0,IF(AND($A157&gt;=Assumptions!$C$17,$A157&lt;=Assumptions!$C$18),MAX(AZ157*(1+VLOOKUP($C157,WeatherCapacityAdjustment,2))-FL157,0),0))</f>
        <v>48888</v>
      </c>
      <c r="FU157" s="530">
        <f ca="1">IF(AND(Assumptions!$H$71="Yes",A157&gt;=Assumptions!$H$72,A157&lt;=Assumptions!$H$73),0,IF(AND($A157&gt;=Assumptions!$C$17,$A157&lt;=Assumptions!$C$18),MAX(BA157*(1+VLOOKUP($C157,WeatherCapacityAdjustment,2))-FM157,0),0))</f>
        <v>9312</v>
      </c>
      <c r="FV157" s="530">
        <f ca="1">IF(AND(Assumptions!$H$71="Yes",A157&gt;=Assumptions!$H$72,A157&lt;=Assumptions!$H$73),0,IF(AND($A157&gt;=Assumptions!$C$17,$A157&lt;=Assumptions!$C$18),MAX(BB157*(1+VLOOKUP($C157,WeatherCapacityAdjustment,2))-FN157,0),0))</f>
        <v>13968</v>
      </c>
      <c r="FW157" s="622">
        <f ca="1">IF(AND(Assumptions!$H$71="Yes",A157&gt;=Assumptions!$H$72,A157&lt;=Assumptions!$H$73),0,IF(AND($A157&gt;=Assumptions!$C$17,$A157&lt;=Assumptions!$C$18),MAX(BC157*(1+VLOOKUP($C157,WeatherCapacityAdjustment,3))-FO157,0),0))</f>
        <v>36084</v>
      </c>
      <c r="FX157" s="621">
        <f ca="1">IF(AND(Assumptions!$H$71="Yes",A157&gt;=Assumptions!$H$72,A157&lt;=Assumptions!$H$73),0,IF(ET157&gt;0,MAX(BH157*(1+VLOOKUP($C157,WeatherCapacityAdjustment,2))-FP157,0),0))</f>
        <v>195552</v>
      </c>
      <c r="FY157" s="530">
        <f ca="1">IF(AND(Assumptions!$H$71="Yes",A157&gt;=Assumptions!$H$72,A157&lt;=Assumptions!$H$73),0,IF(EU157&gt;0,MAX(BI157*(1+VLOOKUP($C157,WeatherCapacityAdjustment,3))-FQ157,0),0))</f>
        <v>37248</v>
      </c>
      <c r="FZ157" s="530">
        <f ca="1">IF(AND(Assumptions!$H$71="Yes",A157&gt;=Assumptions!$H$72,A157&lt;=Assumptions!$H$73),0,IF(EV157&gt;0,MAX(BJ157*(1+VLOOKUP($C157,WeatherCapacityAdjustment,2))-FR157,0),0))</f>
        <v>55872</v>
      </c>
      <c r="GA157" s="622">
        <f ca="1">IF(AND(Assumptions!$H$71="Yes",A157&gt;=Assumptions!$H$72,A157&lt;=Assumptions!$H$73),0,IF(EW157&gt;0,MAX(BK157*(1+VLOOKUP($C157,WeatherCapacityAdjustment,2))-FS157,0),0))</f>
        <v>144336</v>
      </c>
      <c r="GB157" s="530">
        <f t="shared" ca="1" si="461"/>
        <v>541260</v>
      </c>
      <c r="GC157" s="545">
        <f t="shared" ca="1" si="462"/>
        <v>43.878173928825049</v>
      </c>
      <c r="GD157" s="530">
        <f t="shared" ca="1" si="392"/>
        <v>23749500.420715846</v>
      </c>
      <c r="GE157" s="1485">
        <f t="shared" ca="1" si="393"/>
        <v>772055.42904000008</v>
      </c>
      <c r="GF157" s="1776">
        <f t="shared" ca="1" si="394"/>
        <v>3088221.7161600003</v>
      </c>
      <c r="GG157" s="545">
        <f t="shared" si="359"/>
        <v>3.4039662042954069</v>
      </c>
      <c r="GH157" s="622">
        <f t="shared" ca="1" si="360"/>
        <v>13140252.941474754</v>
      </c>
      <c r="GI157" s="621">
        <f t="shared" ca="1" si="507"/>
        <v>541260</v>
      </c>
      <c r="GJ157" s="638">
        <f t="shared" si="463"/>
        <v>2.1511666235201594</v>
      </c>
      <c r="GK157" s="625">
        <f t="shared" ca="1" si="513"/>
        <v>1164340.4466465216</v>
      </c>
      <c r="GL157" s="640">
        <f t="shared" ca="1" si="395"/>
        <v>0</v>
      </c>
      <c r="GM157" s="530">
        <f t="shared" ca="1" si="396"/>
        <v>0</v>
      </c>
      <c r="GN157" s="530">
        <f t="shared" ca="1" si="397"/>
        <v>0</v>
      </c>
      <c r="GO157" s="622">
        <f t="shared" ca="1" si="398"/>
        <v>0</v>
      </c>
      <c r="GP157" s="530">
        <f t="shared" ca="1" si="464"/>
        <v>0</v>
      </c>
      <c r="GQ157" s="545">
        <f t="shared" ca="1" si="465"/>
        <v>0</v>
      </c>
      <c r="GR157" s="625">
        <f t="shared" ca="1" si="399"/>
        <v>0</v>
      </c>
      <c r="GS157" s="640">
        <f>IF($A157&gt;=BegDate,Assumptions!$C$56*24*($A158-$A157)*(1-VLOOKUP($B157,MAIN!$AA$7:$AM$28,$C157+1))*(1-VLOOKUP($B157,MAIN!$AA$33:$AM$54,$C157+1)),0)*80/168</f>
        <v>257742.85714285713</v>
      </c>
      <c r="GT157" s="1715">
        <f t="shared" si="508"/>
        <v>53.97624395240247</v>
      </c>
      <c r="GU157" s="1715">
        <f>IF($A157&gt;=BegDate,VLOOKUP($A157,GasTable,13)+Assumptions!$C$58,0)</f>
        <v>3.4039662042954069</v>
      </c>
      <c r="GV157" s="1715">
        <f>GU157*Assumptions!$C$57/1000</f>
        <v>24.678754981141701</v>
      </c>
      <c r="GW157" s="625">
        <f>IF(Assumptions!$C$60="Hourly",MAX(0,GS157*(GT157-GV157)),GS157*(GT157-GV157))</f>
        <v>7551218.5145640969</v>
      </c>
      <c r="GX157" s="640">
        <f>IF($A157&gt;=BegDate,Assumptions!$C$56*24*($A158-$A157)*(1-VLOOKUP($B157,MAIN!$AA$7:$AM$28,$C157+1))*(1-VLOOKUP($B157,MAIN!$AA$33:$AM$54,$C157+1)),0)*16/168</f>
        <v>51548.571428571428</v>
      </c>
      <c r="GY157" s="1715">
        <f t="shared" si="509"/>
        <v>53.97624395240247</v>
      </c>
      <c r="GZ157" s="1715">
        <f>IF($A157&gt;=BegDate,VLOOKUP($A157,GasTable,13)+Assumptions!$C$58,0)</f>
        <v>3.4039662042954069</v>
      </c>
      <c r="HA157" s="1715">
        <f>GZ157*Assumptions!$C$57/1000</f>
        <v>24.678754981141701</v>
      </c>
      <c r="HB157" s="625">
        <f>IF(Assumptions!$C$60="Hourly",MAX(0,GX157*(GY157-HA157)),GX157*(GY157-HA157))</f>
        <v>1510243.7029128193</v>
      </c>
      <c r="HC157" s="640">
        <f>IF($A157&gt;=BegDate,Assumptions!$C$56*24*($A158-$A157)*(1-VLOOKUP($B157,MAIN!$AA$7:$AM$28,$C157+1))*(1-VLOOKUP($B157,MAIN!$AA$33:$AM$54,$C157+1)),0)*16/168</f>
        <v>51548.571428571428</v>
      </c>
      <c r="HD157" s="1715">
        <f t="shared" si="510"/>
        <v>32.136232480779249</v>
      </c>
      <c r="HE157" s="1715">
        <f>IF($A157&gt;=BegDate,VLOOKUP($A157,GasTable,13)+Assumptions!$C$58,0)</f>
        <v>3.4039662042954069</v>
      </c>
      <c r="HF157" s="1715">
        <f>HE157*Assumptions!$C$57/1000</f>
        <v>24.678754981141701</v>
      </c>
      <c r="HG157" s="625">
        <f>IF(Assumptions!$C$60="Hourly",MAX(0,HC157*(HD157-HF157)),HC157*(HD157-HF157))</f>
        <v>384422.31156703038</v>
      </c>
      <c r="HH157" s="640">
        <f>IF($A157&gt;=BegDate,Assumptions!$C$56*24*($A158-$A157)*(1-VLOOKUP($B157,MAIN!$AA$7:$AM$28,$C157+1))*(1-VLOOKUP($B157,MAIN!$AA$33:$AM$54,$C157+1)),0)*56/168</f>
        <v>180420</v>
      </c>
      <c r="HI157" s="1715">
        <f t="shared" si="511"/>
        <v>32.136232480779249</v>
      </c>
      <c r="HJ157" s="1715">
        <f>IF($A157&gt;=BegDate,VLOOKUP($A157,GasTable,13)+Assumptions!$C$58,0)</f>
        <v>3.4039662042954069</v>
      </c>
      <c r="HK157" s="1715">
        <f>HJ157*Assumptions!$C$57/1000</f>
        <v>24.678754981141701</v>
      </c>
      <c r="HL157" s="625">
        <f>IF(Assumptions!$C$60="Hourly",MAX(0,HH157*(HI157-HK157)),HH157*(HI157-HK157))</f>
        <v>1345478.0904846063</v>
      </c>
      <c r="HM157" s="640">
        <f>IF(AND(Assumptions!$H$71="Yes",A157&gt;=Assumptions!$H$72,A157&lt;=Assumptions!$H$73),Assumptions!$H$74*Assumptions!$C$9*1000,0)</f>
        <v>0</v>
      </c>
      <c r="HN157" s="530"/>
      <c r="HO157" s="545"/>
      <c r="HP157" s="545"/>
      <c r="HQ157" s="545"/>
      <c r="HR157" s="545"/>
      <c r="HS157" s="545"/>
      <c r="HT157" s="545"/>
      <c r="HU157" s="545"/>
      <c r="HV157" s="545"/>
      <c r="HW157" s="545"/>
      <c r="HX157" s="545"/>
      <c r="HY157" s="545"/>
      <c r="HZ157" s="545"/>
      <c r="IA157" s="545"/>
      <c r="IB157" s="545"/>
      <c r="IC157" s="545"/>
      <c r="ID157" s="545"/>
      <c r="IE157" s="545"/>
      <c r="IF157" s="545"/>
      <c r="IG157" s="545"/>
      <c r="IH157" s="545"/>
      <c r="II157" s="1464"/>
      <c r="IJ157" s="1463"/>
      <c r="IK157" s="1463"/>
    </row>
    <row r="158" spans="1:245">
      <c r="A158" s="177">
        <f t="shared" si="466"/>
        <v>40940</v>
      </c>
      <c r="B158" s="349">
        <f t="shared" si="467"/>
        <v>2012</v>
      </c>
      <c r="C158" s="15">
        <f t="shared" si="407"/>
        <v>2</v>
      </c>
      <c r="D158" s="612" t="str">
        <f t="shared" si="468"/>
        <v/>
      </c>
      <c r="E158" s="609">
        <f t="shared" si="408"/>
        <v>40940</v>
      </c>
      <c r="F158" s="614">
        <f t="shared" si="409"/>
        <v>40968</v>
      </c>
      <c r="G158" s="1349">
        <v>0</v>
      </c>
      <c r="H158" s="152">
        <f t="shared" si="512"/>
        <v>1</v>
      </c>
      <c r="I158" s="154">
        <f>IF(Assumptions!$L$25=4,VLOOKUP($A158,'Henwood Reference'!$E$9:$R$320,10),(VLOOKUP($A158,PriceTable,2,0)+IF(BasisNumber&lt;&gt;1,VLOOKUP($A158,BasisTable,2,0),0)+I$1)/(1-I$2))</f>
        <v>43.370318297014279</v>
      </c>
      <c r="J158" s="154">
        <f>IF(Assumptions!$L$25=4,VLOOKUP($A158,'Henwood Reference'!$E$9:$R$320,10),(VLOOKUP($A158,PriceTable,3,0)+IF(BasisNumber&lt;&gt;1,VLOOKUP($A158,BasisTable,2,0),0)+J$1)/(1-J$2))</f>
        <v>43.370318297014279</v>
      </c>
      <c r="K158" s="154">
        <f>IF(Assumptions!$L$25=4,VLOOKUP($A158,'Henwood Reference'!$E$9:$R$320,10),(VLOOKUP($A158,PriceTable,4,0)+IF(BasisNumber&lt;&gt;1,VLOOKUP($A158,BasisTable,2,0),0)+K$1)/(1-K$2))</f>
        <v>43.370318297014279</v>
      </c>
      <c r="L158" s="474">
        <f>IF(Assumptions!$L$25=4,VLOOKUP($A158,'Henwood Reference'!$E$9:$R$320,10),(VLOOKUP($A158,PriceTableWeekend,2,0)+IF(BasisNumber&lt;&gt;1,VLOOKUP($A158,BasisTable,2,0),0)+L$1)/(1-L$2))</f>
        <v>43.370318297014279</v>
      </c>
      <c r="M158" s="154">
        <f>IF(Assumptions!$L$25=4,VLOOKUP($A158,'Henwood Reference'!$E$9:$R$320,10),(VLOOKUP($A158,PriceTableWeekend,3,0)+IF(BasisNumber&lt;&gt;1,VLOOKUP($A158,BasisTable,2,0),0)+M$1)/(1-M$2))</f>
        <v>43.370318297014279</v>
      </c>
      <c r="N158" s="156">
        <f>IF(Assumptions!$L$25=4,VLOOKUP($A158,'Henwood Reference'!$E$9:$R$320,10),(VLOOKUP($A158,PriceTableWeekend,4,0)+IF(BasisNumber&lt;&gt;1,VLOOKUP($A158,BasisTable,2,0),0)+N$1)/(1-N$2))</f>
        <v>43.370318297014279</v>
      </c>
      <c r="O158" s="154">
        <f>IF(Assumptions!$L$25=4,VLOOKUP($A158,'Henwood Reference'!$E$9:$R$320,11),(VLOOKUP($A158,PriceTableWeekend,6,0)+IF(BasisNumber&lt;&gt;1,VLOOKUP($A158,BasisTable,3,0),0)+O$1)/(1-O$2))</f>
        <v>27.470370918583644</v>
      </c>
      <c r="P158" s="154">
        <f>IF(Assumptions!$L$25=4,VLOOKUP($A158,'Henwood Reference'!$E$9:$R$320,11),(VLOOKUP($A158,PriceTableWeekend,7,0)+IF(BasisNumber&lt;&gt;1,VLOOKUP($A158,BasisTable,3,0),0)+P$1)/(1-P$2))</f>
        <v>27.470370918583644</v>
      </c>
      <c r="Q158" s="156">
        <f>IF(Assumptions!$L$25=4,VLOOKUP($A158,'Henwood Reference'!$E$9:$R$320,11),(VLOOKUP($A158,PriceTableWeekend,8,0)+IF(BasisNumber&lt;&gt;1,VLOOKUP($A158,BasisTable,3,0),0)+Q$1)/(1-Q$2))</f>
        <v>27.470370918583644</v>
      </c>
      <c r="R158" s="154">
        <f>IF(Assumptions!$L$25=4,VLOOKUP($A158,'Henwood Reference'!$E$9:$R$320,11),(VLOOKUP($A158,PriceTable,6,0)+IF(BasisNumber&lt;&gt;1,VLOOKUP($A158,BasisTable,3,0),0)+R$1)/(1-R$2))</f>
        <v>27.470370918583644</v>
      </c>
      <c r="S158" s="154">
        <f>IF(Assumptions!$L$25=4,VLOOKUP($A158,'Henwood Reference'!$E$9:$R$320,11),(VLOOKUP($A158,PriceTable,7,0)+IF(BasisNumber&lt;&gt;1,VLOOKUP($A158,BasisTable,3,0),0)+S$1)/(1-S$2))</f>
        <v>27.470370918583644</v>
      </c>
      <c r="T158" s="155">
        <f>IF(Assumptions!$L$25=4,VLOOKUP($A158,'Henwood Reference'!$E$9:$R$320,11),(VLOOKUP($A158,PriceTable,8,0)+IF(BasisNumber&lt;&gt;1,VLOOKUP($A158,BasisTable,3,0),0)+T$1)/(1-T$2))</f>
        <v>27.470370918583644</v>
      </c>
      <c r="U158" s="173">
        <f t="shared" si="469"/>
        <v>0.11</v>
      </c>
      <c r="V158" s="173">
        <f t="shared" si="470"/>
        <v>0.12</v>
      </c>
      <c r="W158" s="174">
        <f t="shared" si="471"/>
        <v>0.13</v>
      </c>
      <c r="X158" s="173">
        <f t="shared" si="472"/>
        <v>0.11</v>
      </c>
      <c r="Y158" s="173">
        <f t="shared" si="473"/>
        <v>0.12</v>
      </c>
      <c r="Z158" s="174">
        <f t="shared" si="474"/>
        <v>0.13</v>
      </c>
      <c r="AA158" s="173">
        <f t="shared" si="475"/>
        <v>0.09</v>
      </c>
      <c r="AB158" s="173">
        <f t="shared" si="476"/>
        <v>0.11</v>
      </c>
      <c r="AC158" s="174">
        <f t="shared" si="477"/>
        <v>0.13</v>
      </c>
      <c r="AD158" s="173">
        <f t="shared" si="478"/>
        <v>0.09</v>
      </c>
      <c r="AE158" s="173">
        <f t="shared" si="479"/>
        <v>0.11</v>
      </c>
      <c r="AF158" s="174">
        <f t="shared" si="480"/>
        <v>0.13</v>
      </c>
      <c r="AG158" s="173">
        <f t="shared" si="481"/>
        <v>-0.25</v>
      </c>
      <c r="AH158" s="173">
        <f t="shared" si="482"/>
        <v>0.65</v>
      </c>
      <c r="AI158" s="174">
        <f t="shared" si="483"/>
        <v>0.25</v>
      </c>
      <c r="AJ158" s="173">
        <f t="shared" si="484"/>
        <v>-0.25</v>
      </c>
      <c r="AK158" s="173">
        <f t="shared" si="485"/>
        <v>0.65</v>
      </c>
      <c r="AL158" s="174">
        <f t="shared" si="486"/>
        <v>0.25</v>
      </c>
      <c r="AM158" s="173">
        <f t="shared" si="487"/>
        <v>-0.01</v>
      </c>
      <c r="AN158" s="173">
        <f t="shared" si="488"/>
        <v>0.16</v>
      </c>
      <c r="AO158" s="174">
        <f t="shared" si="489"/>
        <v>0.01</v>
      </c>
      <c r="AP158" s="173">
        <f t="shared" si="490"/>
        <v>-0.01</v>
      </c>
      <c r="AQ158" s="173">
        <f t="shared" si="491"/>
        <v>0.16</v>
      </c>
      <c r="AR158" s="175">
        <f t="shared" si="492"/>
        <v>0.01</v>
      </c>
      <c r="AS158" s="521">
        <f t="shared" si="493"/>
        <v>0.5</v>
      </c>
      <c r="AT158" s="349">
        <f t="shared" si="410"/>
        <v>21</v>
      </c>
      <c r="AU158" s="159">
        <f t="shared" si="411"/>
        <v>4</v>
      </c>
      <c r="AV158" s="159">
        <f t="shared" si="412"/>
        <v>4</v>
      </c>
      <c r="AW158" s="159">
        <f t="shared" si="494"/>
        <v>0</v>
      </c>
      <c r="AX158" s="15">
        <f t="shared" si="413"/>
        <v>29</v>
      </c>
      <c r="AY158" s="607">
        <f>IF(E158="",0,MIN((1-(1-VLOOKUP(B158,MAIN!$AA$7:$AM$28,C158+1))*(1-VLOOKUP(B158,MAIN!$AA$33:$AM$54,C158+1))),1))</f>
        <v>3.0000000000000027E-2</v>
      </c>
      <c r="AZ158" s="337">
        <v>48888</v>
      </c>
      <c r="BA158" s="509">
        <v>9312</v>
      </c>
      <c r="BB158" s="509">
        <v>9312</v>
      </c>
      <c r="BC158" s="511">
        <v>33756</v>
      </c>
      <c r="BD158" s="153">
        <v>0.97</v>
      </c>
      <c r="BE158" s="474">
        <v>0.97</v>
      </c>
      <c r="BF158" s="474">
        <v>0.97</v>
      </c>
      <c r="BG158" s="515">
        <v>0.9699999927729368</v>
      </c>
      <c r="BH158" s="262">
        <v>195552</v>
      </c>
      <c r="BI158" s="509">
        <v>37248</v>
      </c>
      <c r="BJ158" s="509">
        <v>37248</v>
      </c>
      <c r="BK158" s="511">
        <v>135024</v>
      </c>
      <c r="BL158" s="153">
        <v>0.97</v>
      </c>
      <c r="BM158" s="474">
        <v>0.97</v>
      </c>
      <c r="BN158" s="474">
        <v>0.97</v>
      </c>
      <c r="BO158" s="474">
        <v>0.9699999927729368</v>
      </c>
      <c r="BP158" s="261">
        <f t="shared" si="495"/>
        <v>67512</v>
      </c>
      <c r="BQ158" s="578">
        <f t="shared" si="496"/>
        <v>101268</v>
      </c>
      <c r="BR158" s="259">
        <f t="shared" si="497"/>
        <v>270048</v>
      </c>
      <c r="BS158" s="578">
        <f t="shared" si="498"/>
        <v>405072</v>
      </c>
      <c r="BT158" s="216">
        <f t="shared" si="499"/>
        <v>11.800136892539356</v>
      </c>
      <c r="BU158" s="218">
        <f t="shared" si="414"/>
        <v>43.370318297014279</v>
      </c>
      <c r="BV158" s="216">
        <f t="shared" si="415"/>
        <v>43.370318297014279</v>
      </c>
      <c r="BW158" s="216">
        <f t="shared" si="416"/>
        <v>27.470370918583644</v>
      </c>
      <c r="BX158" s="216">
        <f t="shared" si="500"/>
        <v>27.470370713913432</v>
      </c>
      <c r="BY158" s="216">
        <f t="shared" si="417"/>
        <v>41.177222106885914</v>
      </c>
      <c r="BZ158" s="216">
        <f t="shared" si="418"/>
        <v>36.608271642561753</v>
      </c>
      <c r="CA158" s="264">
        <f t="shared" si="419"/>
        <v>43.370318297014279</v>
      </c>
      <c r="CB158" s="216">
        <f t="shared" si="420"/>
        <v>43.370318297014279</v>
      </c>
      <c r="CC158" s="216">
        <f t="shared" si="421"/>
        <v>27.470370918583644</v>
      </c>
      <c r="CD158" s="216">
        <f t="shared" si="501"/>
        <v>27.470370713913432</v>
      </c>
      <c r="CE158" s="216">
        <f t="shared" si="422"/>
        <v>41.177222106885914</v>
      </c>
      <c r="CF158" s="571">
        <f t="shared" si="423"/>
        <v>36.608271642561753</v>
      </c>
      <c r="CG158" s="573">
        <f t="shared" si="424"/>
        <v>0.12</v>
      </c>
      <c r="CH158" s="219">
        <f t="shared" si="425"/>
        <v>0.12</v>
      </c>
      <c r="CI158" s="219">
        <f t="shared" si="426"/>
        <v>0.11</v>
      </c>
      <c r="CJ158" s="219">
        <f t="shared" si="427"/>
        <v>0.11908567681873566</v>
      </c>
      <c r="CK158" s="219">
        <f t="shared" si="428"/>
        <v>0.11908567681873566</v>
      </c>
      <c r="CL158" s="219">
        <f t="shared" si="429"/>
        <v>0.11</v>
      </c>
      <c r="CM158" s="219">
        <f t="shared" si="430"/>
        <v>0.10613869562725857</v>
      </c>
      <c r="CN158" s="569">
        <f t="shared" si="431"/>
        <v>0.10613869562725857</v>
      </c>
      <c r="CO158" s="264">
        <f t="shared" si="514"/>
        <v>22.394371808136185</v>
      </c>
      <c r="CP158" s="216">
        <f t="shared" si="502"/>
        <v>22.394371808136185</v>
      </c>
      <c r="CQ158" s="216">
        <f t="shared" ca="1" si="361"/>
        <v>22.394371808136185</v>
      </c>
      <c r="CR158" s="216">
        <f t="shared" ca="1" si="362"/>
        <v>22.394371808136185</v>
      </c>
      <c r="CS158" s="1626">
        <f t="shared" ca="1" si="363"/>
        <v>22.394371808136182</v>
      </c>
      <c r="CT158" s="216">
        <f t="shared" si="503"/>
        <v>22.394371808136185</v>
      </c>
      <c r="CU158" s="575">
        <f t="shared" si="432"/>
        <v>0.156</v>
      </c>
      <c r="CV158" s="154">
        <f t="shared" si="433"/>
        <v>0.5</v>
      </c>
      <c r="CW158" s="216">
        <f>IF(OR($BQ158,$BS158),SpreadOptPowerMargin,0)*((1+Assumptions!$C$26)^($B158-YEAR(Assumptions!$C$17)))</f>
        <v>2.1511666235201594</v>
      </c>
      <c r="CX158" s="216">
        <f>IF(OR($BQ158,$BS158),SpreadOptPowerMargin,0)*((1+Assumptions!$C$26)^($B158-YEAR(Assumptions!$C$17)))</f>
        <v>2.1511666235201594</v>
      </c>
      <c r="CY158" s="216">
        <f>IF(OR($BQ158,$BS158),SpreadOptPowerMargin,0)*((1+Assumptions!$C$26)^($B158-YEAR(Assumptions!$C$17)))</f>
        <v>2.1511666235201594</v>
      </c>
      <c r="CZ158" s="216">
        <f>IF(OR($BQ158,$BS158),SpreadOptPowerMargin,0)*((1+Assumptions!$C$26)^($B158-YEAR(Assumptions!$C$17)))</f>
        <v>2.1511666235201594</v>
      </c>
      <c r="DA158" s="440">
        <f t="shared" si="434"/>
        <v>2.1511666235201594</v>
      </c>
      <c r="DB158" s="479">
        <f t="shared" si="435"/>
        <v>0.12</v>
      </c>
      <c r="DC158" s="479">
        <f t="shared" si="436"/>
        <v>0.12</v>
      </c>
      <c r="DD158" s="479">
        <f t="shared" si="437"/>
        <v>0.11</v>
      </c>
      <c r="DE158" s="479">
        <f t="shared" si="438"/>
        <v>0.11</v>
      </c>
      <c r="DF158" s="479">
        <f t="shared" si="439"/>
        <v>0.10613869562725857</v>
      </c>
      <c r="DG158" s="574">
        <f t="shared" si="440"/>
        <v>0.10613869562725857</v>
      </c>
      <c r="DH158" s="216">
        <f t="shared" si="441"/>
        <v>19.590430987343442</v>
      </c>
      <c r="DI158" s="216">
        <f t="shared" si="442"/>
        <v>19.590430987343442</v>
      </c>
      <c r="DJ158" s="216">
        <f t="shared" ca="1" si="364"/>
        <v>6.1822490163848496</v>
      </c>
      <c r="DK158" s="216">
        <f t="shared" ca="1" si="365"/>
        <v>6.182248875808674</v>
      </c>
      <c r="DL158" s="216">
        <f t="shared" ca="1" si="366"/>
        <v>13.380901495547448</v>
      </c>
      <c r="DM158" s="216"/>
      <c r="DN158" s="216"/>
      <c r="DO158" s="216"/>
      <c r="DP158" s="216"/>
      <c r="DQ158" s="216"/>
      <c r="DR158" s="216"/>
      <c r="DS158" s="216"/>
      <c r="DT158" s="216"/>
      <c r="DU158" s="216"/>
      <c r="DV158" s="216"/>
      <c r="DW158" s="1371">
        <f t="shared" si="443"/>
        <v>6.1822490163848496</v>
      </c>
      <c r="DX158" s="216">
        <f t="shared" si="444"/>
        <v>6.182248875808674</v>
      </c>
      <c r="DY158" s="440">
        <f t="shared" si="445"/>
        <v>13.88810067697359</v>
      </c>
      <c r="DZ158" s="180">
        <f t="shared" si="446"/>
        <v>957736.99010924622</v>
      </c>
      <c r="EA158" s="180">
        <f t="shared" si="447"/>
        <v>182426.09335414213</v>
      </c>
      <c r="EB158" s="180">
        <f t="shared" ca="1" si="367"/>
        <v>57569.102840575717</v>
      </c>
      <c r="EC158" s="180">
        <f t="shared" ca="1" si="368"/>
        <v>208687.99305179759</v>
      </c>
      <c r="ED158" s="180">
        <f t="shared" ca="1" si="369"/>
        <v>1355057.132651099</v>
      </c>
      <c r="EE158" s="581">
        <f t="shared" si="448"/>
        <v>920305.83805761882</v>
      </c>
      <c r="EF158" s="554">
        <f t="shared" si="449"/>
        <v>175296.3501062131</v>
      </c>
      <c r="EG158" s="554">
        <f t="shared" ca="1" si="370"/>
        <v>27236.040118267025</v>
      </c>
      <c r="EH158" s="554">
        <f t="shared" ca="1" si="371"/>
        <v>98730.638519870306</v>
      </c>
      <c r="EI158" s="561">
        <f t="shared" ca="1" si="450"/>
        <v>1221568.8668019695</v>
      </c>
      <c r="EJ158" s="581">
        <f t="shared" si="504"/>
        <v>37431.152051627403</v>
      </c>
      <c r="EK158" s="554">
        <f t="shared" si="505"/>
        <v>7129.7432479290292</v>
      </c>
      <c r="EL158" s="554">
        <f t="shared" ca="1" si="372"/>
        <v>30333.062722308692</v>
      </c>
      <c r="EM158" s="554">
        <f t="shared" ca="1" si="373"/>
        <v>109957.35453192728</v>
      </c>
      <c r="EN158" s="561">
        <f t="shared" ca="1" si="374"/>
        <v>133488.26584912953</v>
      </c>
      <c r="EO158" s="180">
        <f t="shared" si="451"/>
        <v>3830947.9604369849</v>
      </c>
      <c r="EP158" s="180">
        <f t="shared" si="452"/>
        <v>729704.3734165685</v>
      </c>
      <c r="EQ158" s="180">
        <f t="shared" si="453"/>
        <v>230276.41136230287</v>
      </c>
      <c r="ER158" s="180">
        <f t="shared" si="454"/>
        <v>834751.97220719035</v>
      </c>
      <c r="ES158" s="180">
        <f t="shared" si="455"/>
        <v>5625680.717423046</v>
      </c>
      <c r="ET158" s="1482">
        <f t="shared" ca="1" si="375"/>
        <v>3681223.3522304753</v>
      </c>
      <c r="EU158" s="180">
        <f t="shared" ca="1" si="376"/>
        <v>701185.40042485239</v>
      </c>
      <c r="EV158" s="180">
        <f t="shared" ca="1" si="377"/>
        <v>108944.1604730681</v>
      </c>
      <c r="EW158" s="180">
        <f t="shared" ca="1" si="378"/>
        <v>394922.55407948123</v>
      </c>
      <c r="EX158" s="555">
        <f t="shared" ca="1" si="351"/>
        <v>4886275.467207877</v>
      </c>
      <c r="EY158" s="180">
        <f t="shared" ca="1" si="379"/>
        <v>149724.60820650961</v>
      </c>
      <c r="EZ158" s="180">
        <f t="shared" ca="1" si="380"/>
        <v>28518.972991716117</v>
      </c>
      <c r="FA158" s="180">
        <f t="shared" ca="1" si="381"/>
        <v>121332.25088923477</v>
      </c>
      <c r="FB158" s="180">
        <f t="shared" ca="1" si="382"/>
        <v>439829.41812770913</v>
      </c>
      <c r="FC158" s="180">
        <f t="shared" ca="1" si="383"/>
        <v>739405.25021516904</v>
      </c>
      <c r="FD158" s="262">
        <f>IF(AX158,IF(VLOOKUP(C158,MAIN!$L$17:$M$28,2)="Yes",VLOOKUP(CALC!B158,MAIN!$H$17:$I$20,2),0),0)</f>
        <v>0</v>
      </c>
      <c r="FE158" s="623">
        <f t="shared" si="456"/>
        <v>0</v>
      </c>
      <c r="FF158" s="535">
        <f t="shared" si="457"/>
        <v>0</v>
      </c>
      <c r="FG158" s="535">
        <f t="shared" si="458"/>
        <v>0</v>
      </c>
      <c r="FH158" s="624">
        <f t="shared" si="459"/>
        <v>0</v>
      </c>
      <c r="FI158" s="632">
        <f>IF(AX158,VLOOKUP(CALC!B158,MAIN!$H$17:$K$20,4),0)</f>
        <v>0</v>
      </c>
      <c r="FJ158" s="535">
        <f t="shared" si="460"/>
        <v>0</v>
      </c>
      <c r="FK158" s="648">
        <f t="shared" si="506"/>
        <v>0</v>
      </c>
      <c r="FL158" s="530">
        <f t="shared" ca="1" si="384"/>
        <v>0</v>
      </c>
      <c r="FM158" s="530">
        <f t="shared" ca="1" si="385"/>
        <v>0</v>
      </c>
      <c r="FN158" s="530">
        <f t="shared" ca="1" si="386"/>
        <v>0</v>
      </c>
      <c r="FO158" s="622">
        <f t="shared" ca="1" si="387"/>
        <v>0</v>
      </c>
      <c r="FP158" s="530">
        <f t="shared" ca="1" si="388"/>
        <v>0</v>
      </c>
      <c r="FQ158" s="530">
        <f t="shared" ca="1" si="389"/>
        <v>0</v>
      </c>
      <c r="FR158" s="530">
        <f t="shared" ca="1" si="390"/>
        <v>0</v>
      </c>
      <c r="FS158" s="625">
        <f t="shared" ca="1" si="391"/>
        <v>0</v>
      </c>
      <c r="FT158" s="640">
        <f ca="1">IF(AND(Assumptions!$H$71="Yes",A158&gt;=Assumptions!$H$72,A158&lt;=Assumptions!$H$73),0,IF(AND($A158&gt;=Assumptions!$C$17,$A158&lt;=Assumptions!$C$18),MAX(AZ158*(1+VLOOKUP($C158,WeatherCapacityAdjustment,2))-FL158,0),0))</f>
        <v>48888</v>
      </c>
      <c r="FU158" s="530">
        <f ca="1">IF(AND(Assumptions!$H$71="Yes",A158&gt;=Assumptions!$H$72,A158&lt;=Assumptions!$H$73),0,IF(AND($A158&gt;=Assumptions!$C$17,$A158&lt;=Assumptions!$C$18),MAX(BA158*(1+VLOOKUP($C158,WeatherCapacityAdjustment,2))-FM158,0),0))</f>
        <v>9312</v>
      </c>
      <c r="FV158" s="530">
        <f ca="1">IF(AND(Assumptions!$H$71="Yes",A158&gt;=Assumptions!$H$72,A158&lt;=Assumptions!$H$73),0,IF(AND($A158&gt;=Assumptions!$C$17,$A158&lt;=Assumptions!$C$18),MAX(BB158*(1+VLOOKUP($C158,WeatherCapacityAdjustment,2))-FN158,0),0))</f>
        <v>9312</v>
      </c>
      <c r="FW158" s="622">
        <f ca="1">IF(AND(Assumptions!$H$71="Yes",A158&gt;=Assumptions!$H$72,A158&lt;=Assumptions!$H$73),0,IF(AND($A158&gt;=Assumptions!$C$17,$A158&lt;=Assumptions!$C$18),MAX(BC158*(1+VLOOKUP($C158,WeatherCapacityAdjustment,3))-FO158,0),0))</f>
        <v>33756</v>
      </c>
      <c r="FX158" s="621">
        <f ca="1">IF(AND(Assumptions!$H$71="Yes",A158&gt;=Assumptions!$H$72,A158&lt;=Assumptions!$H$73),0,IF(ET158&gt;0,MAX(BH158*(1+VLOOKUP($C158,WeatherCapacityAdjustment,2))-FP158,0),0))</f>
        <v>195552</v>
      </c>
      <c r="FY158" s="530">
        <f ca="1">IF(AND(Assumptions!$H$71="Yes",A158&gt;=Assumptions!$H$72,A158&lt;=Assumptions!$H$73),0,IF(EU158&gt;0,MAX(BI158*(1+VLOOKUP($C158,WeatherCapacityAdjustment,3))-FQ158,0),0))</f>
        <v>37248</v>
      </c>
      <c r="FZ158" s="530">
        <f ca="1">IF(AND(Assumptions!$H$71="Yes",A158&gt;=Assumptions!$H$72,A158&lt;=Assumptions!$H$73),0,IF(EV158&gt;0,MAX(BJ158*(1+VLOOKUP($C158,WeatherCapacityAdjustment,2))-FR158,0),0))</f>
        <v>37248</v>
      </c>
      <c r="GA158" s="622">
        <f ca="1">IF(AND(Assumptions!$H$71="Yes",A158&gt;=Assumptions!$H$72,A158&lt;=Assumptions!$H$73),0,IF(EW158&gt;0,MAX(BK158*(1+VLOOKUP($C158,WeatherCapacityAdjustment,2))-FS158,0),0))</f>
        <v>135024</v>
      </c>
      <c r="GB158" s="530">
        <f t="shared" ca="1" si="461"/>
        <v>506340</v>
      </c>
      <c r="GC158" s="545">
        <f t="shared" ca="1" si="462"/>
        <v>36.608271642561753</v>
      </c>
      <c r="GD158" s="530">
        <f t="shared" ca="1" si="392"/>
        <v>18536232.263494719</v>
      </c>
      <c r="GE158" s="1485">
        <f t="shared" ca="1" si="393"/>
        <v>722543.12927999999</v>
      </c>
      <c r="GF158" s="1776">
        <f t="shared" ca="1" si="394"/>
        <v>2890172.51712</v>
      </c>
      <c r="GG158" s="545">
        <f t="shared" si="359"/>
        <v>3.1386821801574478</v>
      </c>
      <c r="GH158" s="622">
        <f t="shared" ca="1" si="360"/>
        <v>11339166.221331675</v>
      </c>
      <c r="GI158" s="621">
        <f t="shared" ca="1" si="507"/>
        <v>506340</v>
      </c>
      <c r="GJ158" s="638">
        <f t="shared" si="463"/>
        <v>2.1511666235201594</v>
      </c>
      <c r="GK158" s="625">
        <f t="shared" ca="1" si="513"/>
        <v>1089221.7081531975</v>
      </c>
      <c r="GL158" s="640">
        <f t="shared" ca="1" si="395"/>
        <v>0</v>
      </c>
      <c r="GM158" s="530">
        <f t="shared" ca="1" si="396"/>
        <v>0</v>
      </c>
      <c r="GN158" s="530">
        <f t="shared" ca="1" si="397"/>
        <v>0</v>
      </c>
      <c r="GO158" s="622">
        <f t="shared" ca="1" si="398"/>
        <v>0</v>
      </c>
      <c r="GP158" s="530">
        <f t="shared" ca="1" si="464"/>
        <v>0</v>
      </c>
      <c r="GQ158" s="545">
        <f t="shared" ca="1" si="465"/>
        <v>0</v>
      </c>
      <c r="GR158" s="625">
        <f t="shared" ca="1" si="399"/>
        <v>0</v>
      </c>
      <c r="GS158" s="640">
        <f>IF($A158&gt;=BegDate,Assumptions!$C$56*24*($A159-$A158)*(1-VLOOKUP($B158,MAIN!$AA$7:$AM$28,$C158+1))*(1-VLOOKUP($B158,MAIN!$AA$33:$AM$54,$C158+1)),0)*80/168</f>
        <v>241114.28571428571</v>
      </c>
      <c r="GT158" s="1715">
        <f t="shared" si="508"/>
        <v>43.370318297014279</v>
      </c>
      <c r="GU158" s="1715">
        <f>IF($A158&gt;=BegDate,VLOOKUP($A158,GasTable,13)+Assumptions!$C$58,0)</f>
        <v>3.1386821801574478</v>
      </c>
      <c r="GV158" s="1715">
        <f>GU158*Assumptions!$C$57/1000</f>
        <v>22.755445806141495</v>
      </c>
      <c r="GW158" s="625">
        <f>IF(Assumptions!$C$60="Hourly",MAX(0,GS158*(GT158-GV158)),GS158*(GT158-GV158))</f>
        <v>4970540.2557278695</v>
      </c>
      <c r="GX158" s="640">
        <f>IF($A158&gt;=BegDate,Assumptions!$C$56*24*($A159-$A158)*(1-VLOOKUP($B158,MAIN!$AA$7:$AM$28,$C158+1))*(1-VLOOKUP($B158,MAIN!$AA$33:$AM$54,$C158+1)),0)*16/168</f>
        <v>48222.857142857145</v>
      </c>
      <c r="GY158" s="1715">
        <f t="shared" si="509"/>
        <v>43.370318297014279</v>
      </c>
      <c r="GZ158" s="1715">
        <f>IF($A158&gt;=BegDate,VLOOKUP($A158,GasTable,13)+Assumptions!$C$58,0)</f>
        <v>3.1386821801574478</v>
      </c>
      <c r="HA158" s="1715">
        <f>GZ158*Assumptions!$C$57/1000</f>
        <v>22.755445806141495</v>
      </c>
      <c r="HB158" s="625">
        <f>IF(Assumptions!$C$60="Hourly",MAX(0,GX158*(GY158-HA158)),GX158*(GY158-HA158))</f>
        <v>994108.05114557396</v>
      </c>
      <c r="HC158" s="640">
        <f>IF($A158&gt;=BegDate,Assumptions!$C$56*24*($A159-$A158)*(1-VLOOKUP($B158,MAIN!$AA$7:$AM$28,$C158+1))*(1-VLOOKUP($B158,MAIN!$AA$33:$AM$54,$C158+1)),0)*16/168</f>
        <v>48222.857142857145</v>
      </c>
      <c r="HD158" s="1715">
        <f t="shared" si="510"/>
        <v>27.470370918583644</v>
      </c>
      <c r="HE158" s="1715">
        <f>IF($A158&gt;=BegDate,VLOOKUP($A158,GasTable,13)+Assumptions!$C$58,0)</f>
        <v>3.1386821801574478</v>
      </c>
      <c r="HF158" s="1715">
        <f>HE158*Assumptions!$C$57/1000</f>
        <v>22.755445806141495</v>
      </c>
      <c r="HG158" s="625">
        <f>IF(Assumptions!$C$60="Hourly",MAX(0,HC158*(HD158-HF158)),HC158*(HD158-HF158))</f>
        <v>227367.1601365674</v>
      </c>
      <c r="HH158" s="640">
        <f>IF($A158&gt;=BegDate,Assumptions!$C$56*24*($A159-$A158)*(1-VLOOKUP($B158,MAIN!$AA$7:$AM$28,$C158+1))*(1-VLOOKUP($B158,MAIN!$AA$33:$AM$54,$C158+1)),0)*56/168</f>
        <v>168780</v>
      </c>
      <c r="HI158" s="1715">
        <f t="shared" si="511"/>
        <v>27.470370918583644</v>
      </c>
      <c r="HJ158" s="1715">
        <f>IF($A158&gt;=BegDate,VLOOKUP($A158,GasTable,13)+Assumptions!$C$58,0)</f>
        <v>3.1386821801574478</v>
      </c>
      <c r="HK158" s="1715">
        <f>HJ158*Assumptions!$C$57/1000</f>
        <v>22.755445806141495</v>
      </c>
      <c r="HL158" s="625">
        <f>IF(Assumptions!$C$60="Hourly",MAX(0,HH158*(HI158-HK158)),HH158*(HI158-HK158))</f>
        <v>795785.06047798588</v>
      </c>
      <c r="HM158" s="640">
        <f>IF(AND(Assumptions!$H$71="Yes",A158&gt;=Assumptions!$H$72,A158&lt;=Assumptions!$H$73),Assumptions!$H$74*Assumptions!$C$9*1000,0)</f>
        <v>0</v>
      </c>
      <c r="HN158" s="530"/>
      <c r="HO158" s="545"/>
      <c r="HP158" s="545"/>
      <c r="HQ158" s="545"/>
      <c r="HR158" s="545"/>
      <c r="HS158" s="545"/>
      <c r="HT158" s="545"/>
      <c r="HU158" s="545"/>
      <c r="HV158" s="545"/>
      <c r="HW158" s="545"/>
      <c r="HX158" s="545"/>
      <c r="HY158" s="545"/>
      <c r="HZ158" s="545"/>
      <c r="IA158" s="545"/>
      <c r="IB158" s="545"/>
      <c r="IC158" s="545"/>
      <c r="ID158" s="545"/>
      <c r="IE158" s="545"/>
      <c r="IF158" s="545"/>
      <c r="IG158" s="545"/>
      <c r="IH158" s="545"/>
      <c r="II158" s="1464"/>
      <c r="IJ158" s="1463"/>
      <c r="IK158" s="1463"/>
    </row>
    <row r="159" spans="1:245">
      <c r="A159" s="177">
        <f t="shared" si="466"/>
        <v>40969</v>
      </c>
      <c r="B159" s="349">
        <f t="shared" si="467"/>
        <v>2012</v>
      </c>
      <c r="C159" s="15">
        <f t="shared" si="407"/>
        <v>3</v>
      </c>
      <c r="D159" s="612" t="str">
        <f t="shared" si="468"/>
        <v/>
      </c>
      <c r="E159" s="609">
        <f t="shared" si="408"/>
        <v>40969</v>
      </c>
      <c r="F159" s="614">
        <f t="shared" si="409"/>
        <v>40999</v>
      </c>
      <c r="G159" s="1349">
        <v>0</v>
      </c>
      <c r="H159" s="152">
        <f t="shared" si="512"/>
        <v>1</v>
      </c>
      <c r="I159" s="154">
        <f>IF(Assumptions!$L$25=4,VLOOKUP($A159,'Henwood Reference'!$E$9:$R$320,10),(VLOOKUP($A159,PriceTable,2,0)+IF(BasisNumber&lt;&gt;1,VLOOKUP($A159,BasisTable,2,0),0)+I$1)/(1-I$2))</f>
        <v>41.884826683043165</v>
      </c>
      <c r="J159" s="154">
        <f>IF(Assumptions!$L$25=4,VLOOKUP($A159,'Henwood Reference'!$E$9:$R$320,10),(VLOOKUP($A159,PriceTable,3,0)+IF(BasisNumber&lt;&gt;1,VLOOKUP($A159,BasisTable,2,0),0)+J$1)/(1-J$2))</f>
        <v>41.884826683043165</v>
      </c>
      <c r="K159" s="154">
        <f>IF(Assumptions!$L$25=4,VLOOKUP($A159,'Henwood Reference'!$E$9:$R$320,10),(VLOOKUP($A159,PriceTable,4,0)+IF(BasisNumber&lt;&gt;1,VLOOKUP($A159,BasisTable,2,0),0)+K$1)/(1-K$2))</f>
        <v>41.884826683043165</v>
      </c>
      <c r="L159" s="474">
        <f>IF(Assumptions!$L$25=4,VLOOKUP($A159,'Henwood Reference'!$E$9:$R$320,10),(VLOOKUP($A159,PriceTableWeekend,2,0)+IF(BasisNumber&lt;&gt;1,VLOOKUP($A159,BasisTable,2,0),0)+L$1)/(1-L$2))</f>
        <v>41.884826683043165</v>
      </c>
      <c r="M159" s="154">
        <f>IF(Assumptions!$L$25=4,VLOOKUP($A159,'Henwood Reference'!$E$9:$R$320,10),(VLOOKUP($A159,PriceTableWeekend,3,0)+IF(BasisNumber&lt;&gt;1,VLOOKUP($A159,BasisTable,2,0),0)+M$1)/(1-M$2))</f>
        <v>41.884826683043165</v>
      </c>
      <c r="N159" s="156">
        <f>IF(Assumptions!$L$25=4,VLOOKUP($A159,'Henwood Reference'!$E$9:$R$320,10),(VLOOKUP($A159,PriceTableWeekend,4,0)+IF(BasisNumber&lt;&gt;1,VLOOKUP($A159,BasisTable,2,0),0)+N$1)/(1-N$2))</f>
        <v>41.884826683043165</v>
      </c>
      <c r="O159" s="154">
        <f>IF(Assumptions!$L$25=4,VLOOKUP($A159,'Henwood Reference'!$E$9:$R$320,11),(VLOOKUP($A159,PriceTableWeekend,6,0)+IF(BasisNumber&lt;&gt;1,VLOOKUP($A159,BasisTable,3,0),0)+O$1)/(1-O$2))</f>
        <v>25.734147901827519</v>
      </c>
      <c r="P159" s="154">
        <f>IF(Assumptions!$L$25=4,VLOOKUP($A159,'Henwood Reference'!$E$9:$R$320,11),(VLOOKUP($A159,PriceTableWeekend,7,0)+IF(BasisNumber&lt;&gt;1,VLOOKUP($A159,BasisTable,3,0),0)+P$1)/(1-P$2))</f>
        <v>25.734147901827519</v>
      </c>
      <c r="Q159" s="156">
        <f>IF(Assumptions!$L$25=4,VLOOKUP($A159,'Henwood Reference'!$E$9:$R$320,11),(VLOOKUP($A159,PriceTableWeekend,8,0)+IF(BasisNumber&lt;&gt;1,VLOOKUP($A159,BasisTable,3,0),0)+Q$1)/(1-Q$2))</f>
        <v>25.734147901827519</v>
      </c>
      <c r="R159" s="154">
        <f>IF(Assumptions!$L$25=4,VLOOKUP($A159,'Henwood Reference'!$E$9:$R$320,11),(VLOOKUP($A159,PriceTable,6,0)+IF(BasisNumber&lt;&gt;1,VLOOKUP($A159,BasisTable,3,0),0)+R$1)/(1-R$2))</f>
        <v>25.734147901827519</v>
      </c>
      <c r="S159" s="154">
        <f>IF(Assumptions!$L$25=4,VLOOKUP($A159,'Henwood Reference'!$E$9:$R$320,11),(VLOOKUP($A159,PriceTable,7,0)+IF(BasisNumber&lt;&gt;1,VLOOKUP($A159,BasisTable,3,0),0)+S$1)/(1-S$2))</f>
        <v>25.734147901827519</v>
      </c>
      <c r="T159" s="155">
        <f>IF(Assumptions!$L$25=4,VLOOKUP($A159,'Henwood Reference'!$E$9:$R$320,11),(VLOOKUP($A159,PriceTable,8,0)+IF(BasisNumber&lt;&gt;1,VLOOKUP($A159,BasisTable,3,0),0)+T$1)/(1-T$2))</f>
        <v>25.734147901827519</v>
      </c>
      <c r="U159" s="173">
        <f t="shared" si="469"/>
        <v>0.11</v>
      </c>
      <c r="V159" s="173">
        <f t="shared" si="470"/>
        <v>0.12</v>
      </c>
      <c r="W159" s="174">
        <f t="shared" si="471"/>
        <v>0.13</v>
      </c>
      <c r="X159" s="173">
        <f t="shared" si="472"/>
        <v>0.11</v>
      </c>
      <c r="Y159" s="173">
        <f t="shared" si="473"/>
        <v>0.12</v>
      </c>
      <c r="Z159" s="174">
        <f t="shared" si="474"/>
        <v>0.13</v>
      </c>
      <c r="AA159" s="173">
        <f t="shared" si="475"/>
        <v>0.09</v>
      </c>
      <c r="AB159" s="173">
        <f t="shared" si="476"/>
        <v>0.11</v>
      </c>
      <c r="AC159" s="174">
        <f t="shared" si="477"/>
        <v>0.13</v>
      </c>
      <c r="AD159" s="173">
        <f t="shared" si="478"/>
        <v>0.09</v>
      </c>
      <c r="AE159" s="173">
        <f t="shared" si="479"/>
        <v>0.11</v>
      </c>
      <c r="AF159" s="174">
        <f t="shared" si="480"/>
        <v>0.13</v>
      </c>
      <c r="AG159" s="173">
        <f t="shared" si="481"/>
        <v>-0.1</v>
      </c>
      <c r="AH159" s="173">
        <f t="shared" si="482"/>
        <v>0.65</v>
      </c>
      <c r="AI159" s="174">
        <f t="shared" si="483"/>
        <v>0.1</v>
      </c>
      <c r="AJ159" s="173">
        <f t="shared" si="484"/>
        <v>-0.1</v>
      </c>
      <c r="AK159" s="173">
        <f t="shared" si="485"/>
        <v>0.65</v>
      </c>
      <c r="AL159" s="174">
        <f t="shared" si="486"/>
        <v>0.1</v>
      </c>
      <c r="AM159" s="173">
        <f t="shared" si="487"/>
        <v>-0.01</v>
      </c>
      <c r="AN159" s="173">
        <f t="shared" si="488"/>
        <v>0.16</v>
      </c>
      <c r="AO159" s="174">
        <f t="shared" si="489"/>
        <v>0.01</v>
      </c>
      <c r="AP159" s="173">
        <f t="shared" si="490"/>
        <v>-0.01</v>
      </c>
      <c r="AQ159" s="173">
        <f t="shared" si="491"/>
        <v>0.16</v>
      </c>
      <c r="AR159" s="175">
        <f t="shared" si="492"/>
        <v>0.01</v>
      </c>
      <c r="AS159" s="521">
        <f t="shared" si="493"/>
        <v>0.5</v>
      </c>
      <c r="AT159" s="349">
        <f t="shared" si="410"/>
        <v>22</v>
      </c>
      <c r="AU159" s="159">
        <f t="shared" si="411"/>
        <v>5</v>
      </c>
      <c r="AV159" s="159">
        <f t="shared" si="412"/>
        <v>4</v>
      </c>
      <c r="AW159" s="159">
        <f t="shared" si="494"/>
        <v>0</v>
      </c>
      <c r="AX159" s="15">
        <f t="shared" si="413"/>
        <v>31</v>
      </c>
      <c r="AY159" s="607">
        <f>IF(E159="",0,MIN((1-(1-VLOOKUP(B159,MAIN!$AA$7:$AM$28,C159+1))*(1-VLOOKUP(B159,MAIN!$AA$33:$AM$54,C159+1))),1))</f>
        <v>3.0000000000000027E-2</v>
      </c>
      <c r="AZ159" s="337">
        <v>51216</v>
      </c>
      <c r="BA159" s="509">
        <v>11640</v>
      </c>
      <c r="BB159" s="509">
        <v>9312</v>
      </c>
      <c r="BC159" s="511">
        <v>36084</v>
      </c>
      <c r="BD159" s="153">
        <v>0.96999999638646839</v>
      </c>
      <c r="BE159" s="474">
        <v>0.96999999638646839</v>
      </c>
      <c r="BF159" s="474">
        <v>0.96999999638646839</v>
      </c>
      <c r="BG159" s="515">
        <v>0.97000000722706314</v>
      </c>
      <c r="BH159" s="262">
        <v>204864</v>
      </c>
      <c r="BI159" s="509">
        <v>46560</v>
      </c>
      <c r="BJ159" s="509">
        <v>37248</v>
      </c>
      <c r="BK159" s="511">
        <v>144336</v>
      </c>
      <c r="BL159" s="153">
        <v>0.96999999638646839</v>
      </c>
      <c r="BM159" s="474">
        <v>0.96999999638646839</v>
      </c>
      <c r="BN159" s="474">
        <v>0.96999999638646839</v>
      </c>
      <c r="BO159" s="474">
        <v>0.97000000722706314</v>
      </c>
      <c r="BP159" s="261">
        <f t="shared" si="495"/>
        <v>72168</v>
      </c>
      <c r="BQ159" s="578">
        <f t="shared" si="496"/>
        <v>108252</v>
      </c>
      <c r="BR159" s="259">
        <f t="shared" si="497"/>
        <v>288672</v>
      </c>
      <c r="BS159" s="578">
        <f t="shared" si="498"/>
        <v>433008</v>
      </c>
      <c r="BT159" s="216">
        <f t="shared" si="499"/>
        <v>11.879534565366187</v>
      </c>
      <c r="BU159" s="218">
        <f t="shared" si="414"/>
        <v>41.884826527010027</v>
      </c>
      <c r="BV159" s="216">
        <f t="shared" si="415"/>
        <v>41.884826527010027</v>
      </c>
      <c r="BW159" s="216">
        <f t="shared" si="416"/>
        <v>25.734147805960347</v>
      </c>
      <c r="BX159" s="216">
        <f t="shared" si="500"/>
        <v>25.734148093561863</v>
      </c>
      <c r="BY159" s="216">
        <f t="shared" si="417"/>
        <v>39.800867982358461</v>
      </c>
      <c r="BZ159" s="216">
        <f t="shared" si="418"/>
        <v>35.111961352759593</v>
      </c>
      <c r="CA159" s="264">
        <f t="shared" si="419"/>
        <v>41.884826527010027</v>
      </c>
      <c r="CB159" s="216">
        <f t="shared" si="420"/>
        <v>41.884826527010027</v>
      </c>
      <c r="CC159" s="216">
        <f t="shared" si="421"/>
        <v>25.734147805960347</v>
      </c>
      <c r="CD159" s="216">
        <f t="shared" si="501"/>
        <v>25.734148093561863</v>
      </c>
      <c r="CE159" s="216">
        <f t="shared" si="422"/>
        <v>39.800867982358461</v>
      </c>
      <c r="CF159" s="571">
        <f t="shared" si="423"/>
        <v>35.111961352759593</v>
      </c>
      <c r="CG159" s="573">
        <f t="shared" si="424"/>
        <v>0.12</v>
      </c>
      <c r="CH159" s="219">
        <f t="shared" si="425"/>
        <v>0.12</v>
      </c>
      <c r="CI159" s="219">
        <f t="shared" si="426"/>
        <v>0.11</v>
      </c>
      <c r="CJ159" s="219">
        <f t="shared" si="427"/>
        <v>0.11917110598299971</v>
      </c>
      <c r="CK159" s="219">
        <f t="shared" si="428"/>
        <v>0.11917110598299971</v>
      </c>
      <c r="CL159" s="219">
        <f t="shared" si="429"/>
        <v>0.11</v>
      </c>
      <c r="CM159" s="219">
        <f t="shared" si="430"/>
        <v>0.10644336773254645</v>
      </c>
      <c r="CN159" s="569">
        <f t="shared" si="431"/>
        <v>0.10644336773254645</v>
      </c>
      <c r="CO159" s="264">
        <f t="shared" si="514"/>
        <v>21.168737222320146</v>
      </c>
      <c r="CP159" s="216">
        <f t="shared" si="502"/>
        <v>21.168737222320146</v>
      </c>
      <c r="CQ159" s="216">
        <f t="shared" ca="1" si="361"/>
        <v>21.168737222320146</v>
      </c>
      <c r="CR159" s="216">
        <f t="shared" ca="1" si="362"/>
        <v>21.168737222320146</v>
      </c>
      <c r="CS159" s="1626">
        <f t="shared" ca="1" si="363"/>
        <v>21.168737222320146</v>
      </c>
      <c r="CT159" s="216">
        <f t="shared" si="503"/>
        <v>21.168737222320146</v>
      </c>
      <c r="CU159" s="575">
        <f t="shared" si="432"/>
        <v>0.156</v>
      </c>
      <c r="CV159" s="154">
        <f t="shared" si="433"/>
        <v>0.5</v>
      </c>
      <c r="CW159" s="216">
        <f>IF(OR($BQ159,$BS159),SpreadOptPowerMargin,0)*((1+Assumptions!$C$26)^($B159-YEAR(Assumptions!$C$17)))</f>
        <v>2.1511666235201594</v>
      </c>
      <c r="CX159" s="216">
        <f>IF(OR($BQ159,$BS159),SpreadOptPowerMargin,0)*((1+Assumptions!$C$26)^($B159-YEAR(Assumptions!$C$17)))</f>
        <v>2.1511666235201594</v>
      </c>
      <c r="CY159" s="216">
        <f>IF(OR($BQ159,$BS159),SpreadOptPowerMargin,0)*((1+Assumptions!$C$26)^($B159-YEAR(Assumptions!$C$17)))</f>
        <v>2.1511666235201594</v>
      </c>
      <c r="CZ159" s="216">
        <f>IF(OR($BQ159,$BS159),SpreadOptPowerMargin,0)*((1+Assumptions!$C$26)^($B159-YEAR(Assumptions!$C$17)))</f>
        <v>2.1511666235201594</v>
      </c>
      <c r="DA159" s="440">
        <f t="shared" si="434"/>
        <v>2.1511666235201594</v>
      </c>
      <c r="DB159" s="479">
        <f t="shared" si="435"/>
        <v>0.12</v>
      </c>
      <c r="DC159" s="479">
        <f t="shared" si="436"/>
        <v>0.12</v>
      </c>
      <c r="DD159" s="479">
        <f t="shared" si="437"/>
        <v>0.11</v>
      </c>
      <c r="DE159" s="479">
        <f t="shared" si="438"/>
        <v>0.11</v>
      </c>
      <c r="DF159" s="479">
        <f t="shared" si="439"/>
        <v>0.10644336773254645</v>
      </c>
      <c r="DG159" s="574">
        <f t="shared" si="440"/>
        <v>0.10644336773254645</v>
      </c>
      <c r="DH159" s="216">
        <f t="shared" si="441"/>
        <v>19.247451076865591</v>
      </c>
      <c r="DI159" s="216">
        <f t="shared" si="442"/>
        <v>19.247451076865591</v>
      </c>
      <c r="DJ159" s="216">
        <f t="shared" ca="1" si="364"/>
        <v>5.623840406803148</v>
      </c>
      <c r="DK159" s="216">
        <f t="shared" ca="1" si="365"/>
        <v>5.6238406011517128</v>
      </c>
      <c r="DL159" s="216">
        <f t="shared" ca="1" si="366"/>
        <v>13.0041331213124</v>
      </c>
      <c r="DM159" s="216"/>
      <c r="DN159" s="216"/>
      <c r="DO159" s="216"/>
      <c r="DP159" s="216"/>
      <c r="DQ159" s="216"/>
      <c r="DR159" s="216"/>
      <c r="DS159" s="216"/>
      <c r="DT159" s="216"/>
      <c r="DU159" s="216"/>
      <c r="DV159" s="216"/>
      <c r="DW159" s="1371">
        <f t="shared" si="443"/>
        <v>5.623840406803148</v>
      </c>
      <c r="DX159" s="216">
        <f t="shared" si="444"/>
        <v>5.6238406011517128</v>
      </c>
      <c r="DY159" s="440">
        <f t="shared" si="445"/>
        <v>13.53432408646097</v>
      </c>
      <c r="DZ159" s="180">
        <f t="shared" si="446"/>
        <v>985777.45435274811</v>
      </c>
      <c r="EA159" s="180">
        <f t="shared" si="447"/>
        <v>224040.33053471547</v>
      </c>
      <c r="EB159" s="180">
        <f t="shared" ca="1" si="367"/>
        <v>52369.201868150914</v>
      </c>
      <c r="EC159" s="180">
        <f t="shared" ca="1" si="368"/>
        <v>202930.6642519584</v>
      </c>
      <c r="ED159" s="180">
        <f t="shared" ca="1" si="369"/>
        <v>1407723.4186483098</v>
      </c>
      <c r="EE159" s="581">
        <f t="shared" si="448"/>
        <v>950821.0800387885</v>
      </c>
      <c r="EF159" s="554">
        <f t="shared" si="449"/>
        <v>216095.70000881556</v>
      </c>
      <c r="EG159" s="554">
        <f t="shared" ca="1" si="370"/>
        <v>22481.439756637839</v>
      </c>
      <c r="EH159" s="554">
        <f t="shared" ca="1" si="371"/>
        <v>87115.589434784735</v>
      </c>
      <c r="EI159" s="561">
        <f t="shared" ca="1" si="450"/>
        <v>1276513.8092390269</v>
      </c>
      <c r="EJ159" s="581">
        <f t="shared" si="504"/>
        <v>34956.374313959619</v>
      </c>
      <c r="EK159" s="554">
        <f t="shared" si="505"/>
        <v>7944.6305258999055</v>
      </c>
      <c r="EL159" s="554">
        <f t="shared" ca="1" si="372"/>
        <v>29887.762111513075</v>
      </c>
      <c r="EM159" s="554">
        <f t="shared" ca="1" si="373"/>
        <v>115815.07481717366</v>
      </c>
      <c r="EN159" s="561">
        <f t="shared" ca="1" si="374"/>
        <v>131209.60940928292</v>
      </c>
      <c r="EO159" s="180">
        <f t="shared" si="451"/>
        <v>3943109.8174109925</v>
      </c>
      <c r="EP159" s="180">
        <f t="shared" si="452"/>
        <v>896161.32213886187</v>
      </c>
      <c r="EQ159" s="180">
        <f t="shared" si="453"/>
        <v>209476.80747260366</v>
      </c>
      <c r="ER159" s="180">
        <f t="shared" si="454"/>
        <v>811722.65700783359</v>
      </c>
      <c r="ES159" s="180">
        <f t="shared" si="455"/>
        <v>5860470.6040302915</v>
      </c>
      <c r="ET159" s="1482">
        <f t="shared" ca="1" si="375"/>
        <v>3803284.320155154</v>
      </c>
      <c r="EU159" s="180">
        <f t="shared" ca="1" si="376"/>
        <v>864382.80003526225</v>
      </c>
      <c r="EV159" s="180">
        <f t="shared" ca="1" si="377"/>
        <v>89925.759026551357</v>
      </c>
      <c r="EW159" s="180">
        <f t="shared" ca="1" si="378"/>
        <v>348462.35773913894</v>
      </c>
      <c r="EX159" s="555">
        <f t="shared" ca="1" si="351"/>
        <v>5106055.2369561074</v>
      </c>
      <c r="EY159" s="180">
        <f t="shared" ca="1" si="379"/>
        <v>139825.49725583848</v>
      </c>
      <c r="EZ159" s="180">
        <f t="shared" ca="1" si="380"/>
        <v>31778.522103599622</v>
      </c>
      <c r="FA159" s="180">
        <f t="shared" ca="1" si="381"/>
        <v>119551.0484460523</v>
      </c>
      <c r="FB159" s="180">
        <f t="shared" ca="1" si="382"/>
        <v>463260.29926869465</v>
      </c>
      <c r="FC159" s="180">
        <f t="shared" ca="1" si="383"/>
        <v>754415.36707418412</v>
      </c>
      <c r="FD159" s="262">
        <f>IF(AX159,IF(VLOOKUP(C159,MAIN!$L$17:$M$28,2)="Yes",VLOOKUP(CALC!B159,MAIN!$H$17:$I$20,2),0),0)</f>
        <v>0</v>
      </c>
      <c r="FE159" s="623">
        <f t="shared" si="456"/>
        <v>0</v>
      </c>
      <c r="FF159" s="535">
        <f t="shared" si="457"/>
        <v>0</v>
      </c>
      <c r="FG159" s="535">
        <f t="shared" si="458"/>
        <v>0</v>
      </c>
      <c r="FH159" s="624">
        <f t="shared" si="459"/>
        <v>0</v>
      </c>
      <c r="FI159" s="632">
        <f>IF(AX159,VLOOKUP(CALC!B159,MAIN!$H$17:$K$20,4),0)</f>
        <v>0</v>
      </c>
      <c r="FJ159" s="535">
        <f t="shared" si="460"/>
        <v>0</v>
      </c>
      <c r="FK159" s="648">
        <f t="shared" si="506"/>
        <v>0</v>
      </c>
      <c r="FL159" s="530">
        <f t="shared" ca="1" si="384"/>
        <v>0</v>
      </c>
      <c r="FM159" s="530">
        <f t="shared" ca="1" si="385"/>
        <v>0</v>
      </c>
      <c r="FN159" s="530">
        <f t="shared" ca="1" si="386"/>
        <v>0</v>
      </c>
      <c r="FO159" s="622">
        <f t="shared" ca="1" si="387"/>
        <v>0</v>
      </c>
      <c r="FP159" s="530">
        <f t="shared" ca="1" si="388"/>
        <v>0</v>
      </c>
      <c r="FQ159" s="530">
        <f t="shared" ca="1" si="389"/>
        <v>0</v>
      </c>
      <c r="FR159" s="530">
        <f t="shared" ca="1" si="390"/>
        <v>0</v>
      </c>
      <c r="FS159" s="625">
        <f t="shared" ca="1" si="391"/>
        <v>0</v>
      </c>
      <c r="FT159" s="640">
        <f ca="1">IF(AND(Assumptions!$H$71="Yes",A159&gt;=Assumptions!$H$72,A159&lt;=Assumptions!$H$73),0,IF(AND($A159&gt;=Assumptions!$C$17,$A159&lt;=Assumptions!$C$18),MAX(AZ159*(1+VLOOKUP($C159,WeatherCapacityAdjustment,2))-FL159,0),0))</f>
        <v>51216</v>
      </c>
      <c r="FU159" s="530">
        <f ca="1">IF(AND(Assumptions!$H$71="Yes",A159&gt;=Assumptions!$H$72,A159&lt;=Assumptions!$H$73),0,IF(AND($A159&gt;=Assumptions!$C$17,$A159&lt;=Assumptions!$C$18),MAX(BA159*(1+VLOOKUP($C159,WeatherCapacityAdjustment,2))-FM159,0),0))</f>
        <v>11640</v>
      </c>
      <c r="FV159" s="530">
        <f ca="1">IF(AND(Assumptions!$H$71="Yes",A159&gt;=Assumptions!$H$72,A159&lt;=Assumptions!$H$73),0,IF(AND($A159&gt;=Assumptions!$C$17,$A159&lt;=Assumptions!$C$18),MAX(BB159*(1+VLOOKUP($C159,WeatherCapacityAdjustment,2))-FN159,0),0))</f>
        <v>9312</v>
      </c>
      <c r="FW159" s="622">
        <f ca="1">IF(AND(Assumptions!$H$71="Yes",A159&gt;=Assumptions!$H$72,A159&lt;=Assumptions!$H$73),0,IF(AND($A159&gt;=Assumptions!$C$17,$A159&lt;=Assumptions!$C$18),MAX(BC159*(1+VLOOKUP($C159,WeatherCapacityAdjustment,3))-FO159,0),0))</f>
        <v>36084</v>
      </c>
      <c r="FX159" s="621">
        <f ca="1">IF(AND(Assumptions!$H$71="Yes",A159&gt;=Assumptions!$H$72,A159&lt;=Assumptions!$H$73),0,IF(ET159&gt;0,MAX(BH159*(1+VLOOKUP($C159,WeatherCapacityAdjustment,2))-FP159,0),0))</f>
        <v>204864</v>
      </c>
      <c r="FY159" s="530">
        <f ca="1">IF(AND(Assumptions!$H$71="Yes",A159&gt;=Assumptions!$H$72,A159&lt;=Assumptions!$H$73),0,IF(EU159&gt;0,MAX(BI159*(1+VLOOKUP($C159,WeatherCapacityAdjustment,3))-FQ159,0),0))</f>
        <v>46560</v>
      </c>
      <c r="FZ159" s="530">
        <f ca="1">IF(AND(Assumptions!$H$71="Yes",A159&gt;=Assumptions!$H$72,A159&lt;=Assumptions!$H$73),0,IF(EV159&gt;0,MAX(BJ159*(1+VLOOKUP($C159,WeatherCapacityAdjustment,2))-FR159,0),0))</f>
        <v>37248</v>
      </c>
      <c r="GA159" s="622">
        <f ca="1">IF(AND(Assumptions!$H$71="Yes",A159&gt;=Assumptions!$H$72,A159&lt;=Assumptions!$H$73),0,IF(EW159&gt;0,MAX(BK159*(1+VLOOKUP($C159,WeatherCapacityAdjustment,2))-FS159,0),0))</f>
        <v>144336</v>
      </c>
      <c r="GB159" s="530">
        <f t="shared" ca="1" si="461"/>
        <v>541260</v>
      </c>
      <c r="GC159" s="545">
        <f t="shared" ca="1" si="462"/>
        <v>35.111961352759593</v>
      </c>
      <c r="GD159" s="530">
        <f t="shared" ca="1" si="392"/>
        <v>19004700.201794658</v>
      </c>
      <c r="GE159" s="1485">
        <f t="shared" ca="1" si="393"/>
        <v>772691.95079999999</v>
      </c>
      <c r="GF159" s="1776">
        <f t="shared" ca="1" si="394"/>
        <v>3090767.8032</v>
      </c>
      <c r="GG159" s="545">
        <f t="shared" si="359"/>
        <v>2.965681394012265</v>
      </c>
      <c r="GH159" s="622">
        <f t="shared" ca="1" si="360"/>
        <v>11457790.708953002</v>
      </c>
      <c r="GI159" s="621">
        <f t="shared" ca="1" si="507"/>
        <v>541260</v>
      </c>
      <c r="GJ159" s="638">
        <f t="shared" si="463"/>
        <v>2.1511666235201594</v>
      </c>
      <c r="GK159" s="625">
        <f t="shared" ca="1" si="513"/>
        <v>1164340.4466465216</v>
      </c>
      <c r="GL159" s="640">
        <f t="shared" ca="1" si="395"/>
        <v>0</v>
      </c>
      <c r="GM159" s="530">
        <f t="shared" ca="1" si="396"/>
        <v>0</v>
      </c>
      <c r="GN159" s="530">
        <f t="shared" ca="1" si="397"/>
        <v>0</v>
      </c>
      <c r="GO159" s="622">
        <f t="shared" ca="1" si="398"/>
        <v>0</v>
      </c>
      <c r="GP159" s="530">
        <f t="shared" ca="1" si="464"/>
        <v>0</v>
      </c>
      <c r="GQ159" s="545">
        <f t="shared" ca="1" si="465"/>
        <v>0</v>
      </c>
      <c r="GR159" s="625">
        <f t="shared" ca="1" si="399"/>
        <v>0</v>
      </c>
      <c r="GS159" s="640">
        <f>IF($A159&gt;=BegDate,Assumptions!$C$56*24*($A160-$A159)*(1-VLOOKUP($B159,MAIN!$AA$7:$AM$28,$C159+1))*(1-VLOOKUP($B159,MAIN!$AA$33:$AM$54,$C159+1)),0)*80/168</f>
        <v>257742.85714285713</v>
      </c>
      <c r="GT159" s="1715">
        <f t="shared" si="508"/>
        <v>41.884826683043165</v>
      </c>
      <c r="GU159" s="1715">
        <f>IF($A159&gt;=BegDate,VLOOKUP($A159,GasTable,13)+Assumptions!$C$58,0)</f>
        <v>2.965681394012265</v>
      </c>
      <c r="GV159" s="1715">
        <f>GU159*Assumptions!$C$57/1000</f>
        <v>21.501190106588922</v>
      </c>
      <c r="GW159" s="625">
        <f>IF(Assumptions!$C$60="Hourly",MAX(0,GS159*(GT159-GV159)),GS159*(GT159-GV159))</f>
        <v>5253736.7301769638</v>
      </c>
      <c r="GX159" s="640">
        <f>IF($A159&gt;=BegDate,Assumptions!$C$56*24*($A160-$A159)*(1-VLOOKUP($B159,MAIN!$AA$7:$AM$28,$C159+1))*(1-VLOOKUP($B159,MAIN!$AA$33:$AM$54,$C159+1)),0)*16/168</f>
        <v>51548.571428571428</v>
      </c>
      <c r="GY159" s="1715">
        <f t="shared" si="509"/>
        <v>41.884826683043165</v>
      </c>
      <c r="GZ159" s="1715">
        <f>IF($A159&gt;=BegDate,VLOOKUP($A159,GasTable,13)+Assumptions!$C$58,0)</f>
        <v>2.965681394012265</v>
      </c>
      <c r="HA159" s="1715">
        <f>GZ159*Assumptions!$C$57/1000</f>
        <v>21.501190106588922</v>
      </c>
      <c r="HB159" s="625">
        <f>IF(Assumptions!$C$60="Hourly",MAX(0,GX159*(GY159-HA159)),GX159*(GY159-HA159))</f>
        <v>1050747.3460353927</v>
      </c>
      <c r="HC159" s="640">
        <f>IF($A159&gt;=BegDate,Assumptions!$C$56*24*($A160-$A159)*(1-VLOOKUP($B159,MAIN!$AA$7:$AM$28,$C159+1))*(1-VLOOKUP($B159,MAIN!$AA$33:$AM$54,$C159+1)),0)*16/168</f>
        <v>51548.571428571428</v>
      </c>
      <c r="HD159" s="1715">
        <f t="shared" si="510"/>
        <v>25.734147901827519</v>
      </c>
      <c r="HE159" s="1715">
        <f>IF($A159&gt;=BegDate,VLOOKUP($A159,GasTable,13)+Assumptions!$C$58,0)</f>
        <v>2.965681394012265</v>
      </c>
      <c r="HF159" s="1715">
        <f>HE159*Assumptions!$C$57/1000</f>
        <v>21.501190106588922</v>
      </c>
      <c r="HG159" s="625">
        <f>IF(Assumptions!$C$60="Hourly",MAX(0,HC159*(HD159-HF159)),HC159*(HD159-HF159))</f>
        <v>218202.92726198508</v>
      </c>
      <c r="HH159" s="640">
        <f>IF($A159&gt;=BegDate,Assumptions!$C$56*24*($A160-$A159)*(1-VLOOKUP($B159,MAIN!$AA$7:$AM$28,$C159+1))*(1-VLOOKUP($B159,MAIN!$AA$33:$AM$54,$C159+1)),0)*56/168</f>
        <v>180420</v>
      </c>
      <c r="HI159" s="1715">
        <f t="shared" si="511"/>
        <v>25.734147901827519</v>
      </c>
      <c r="HJ159" s="1715">
        <f>IF($A159&gt;=BegDate,VLOOKUP($A159,GasTable,13)+Assumptions!$C$58,0)</f>
        <v>2.965681394012265</v>
      </c>
      <c r="HK159" s="1715">
        <f>HJ159*Assumptions!$C$57/1000</f>
        <v>21.501190106588922</v>
      </c>
      <c r="HL159" s="625">
        <f>IF(Assumptions!$C$60="Hourly",MAX(0,HH159*(HI159-HK159)),HH159*(HI159-HK159))</f>
        <v>763710.24541694776</v>
      </c>
      <c r="HM159" s="640">
        <f>IF(AND(Assumptions!$H$71="Yes",A159&gt;=Assumptions!$H$72,A159&lt;=Assumptions!$H$73),Assumptions!$H$74*Assumptions!$C$9*1000,0)</f>
        <v>0</v>
      </c>
      <c r="HN159" s="530"/>
      <c r="HO159" s="545"/>
      <c r="HP159" s="545"/>
      <c r="HQ159" s="545"/>
      <c r="HR159" s="545"/>
      <c r="HS159" s="545"/>
      <c r="HT159" s="545"/>
      <c r="HU159" s="545"/>
      <c r="HV159" s="545"/>
      <c r="HW159" s="545"/>
      <c r="HX159" s="545"/>
      <c r="HY159" s="545"/>
      <c r="HZ159" s="545"/>
      <c r="IA159" s="545"/>
      <c r="IB159" s="545"/>
      <c r="IC159" s="545"/>
      <c r="ID159" s="545"/>
      <c r="IE159" s="545"/>
      <c r="IF159" s="545"/>
      <c r="IG159" s="545"/>
      <c r="IH159" s="545"/>
      <c r="II159" s="1464"/>
      <c r="IJ159" s="1463"/>
      <c r="IK159" s="1463"/>
    </row>
    <row r="160" spans="1:245">
      <c r="A160" s="177">
        <f t="shared" si="466"/>
        <v>41000</v>
      </c>
      <c r="B160" s="349">
        <f t="shared" si="467"/>
        <v>2012</v>
      </c>
      <c r="C160" s="15">
        <f t="shared" si="407"/>
        <v>4</v>
      </c>
      <c r="D160" s="612" t="str">
        <f t="shared" si="468"/>
        <v/>
      </c>
      <c r="E160" s="609">
        <f t="shared" si="408"/>
        <v>41000</v>
      </c>
      <c r="F160" s="614">
        <f t="shared" si="409"/>
        <v>41029</v>
      </c>
      <c r="G160" s="1349">
        <v>0</v>
      </c>
      <c r="H160" s="152">
        <f t="shared" si="512"/>
        <v>1</v>
      </c>
      <c r="I160" s="154">
        <f>IF(Assumptions!$L$25=4,VLOOKUP($A160,'Henwood Reference'!$E$9:$R$320,10),(VLOOKUP($A160,PriceTable,2,0)+IF(BasisNumber&lt;&gt;1,VLOOKUP($A160,BasisTable,2,0),0)+I$1)/(1-I$2))</f>
        <v>38.329564460345978</v>
      </c>
      <c r="J160" s="154">
        <f>IF(Assumptions!$L$25=4,VLOOKUP($A160,'Henwood Reference'!$E$9:$R$320,10),(VLOOKUP($A160,PriceTable,3,0)+IF(BasisNumber&lt;&gt;1,VLOOKUP($A160,BasisTable,2,0),0)+J$1)/(1-J$2))</f>
        <v>38.329564460345978</v>
      </c>
      <c r="K160" s="154">
        <f>IF(Assumptions!$L$25=4,VLOOKUP($A160,'Henwood Reference'!$E$9:$R$320,10),(VLOOKUP($A160,PriceTable,4,0)+IF(BasisNumber&lt;&gt;1,VLOOKUP($A160,BasisTable,2,0),0)+K$1)/(1-K$2))</f>
        <v>38.329564460345978</v>
      </c>
      <c r="L160" s="474">
        <f>IF(Assumptions!$L$25=4,VLOOKUP($A160,'Henwood Reference'!$E$9:$R$320,10),(VLOOKUP($A160,PriceTableWeekend,2,0)+IF(BasisNumber&lt;&gt;1,VLOOKUP($A160,BasisTable,2,0),0)+L$1)/(1-L$2))</f>
        <v>38.329564460345978</v>
      </c>
      <c r="M160" s="154">
        <f>IF(Assumptions!$L$25=4,VLOOKUP($A160,'Henwood Reference'!$E$9:$R$320,10),(VLOOKUP($A160,PriceTableWeekend,3,0)+IF(BasisNumber&lt;&gt;1,VLOOKUP($A160,BasisTable,2,0),0)+M$1)/(1-M$2))</f>
        <v>38.329564460345978</v>
      </c>
      <c r="N160" s="156">
        <f>IF(Assumptions!$L$25=4,VLOOKUP($A160,'Henwood Reference'!$E$9:$R$320,10),(VLOOKUP($A160,PriceTableWeekend,4,0)+IF(BasisNumber&lt;&gt;1,VLOOKUP($A160,BasisTable,2,0),0)+N$1)/(1-N$2))</f>
        <v>38.329564460345978</v>
      </c>
      <c r="O160" s="154">
        <f>IF(Assumptions!$L$25=4,VLOOKUP($A160,'Henwood Reference'!$E$9:$R$320,11),(VLOOKUP($A160,PriceTableWeekend,6,0)+IF(BasisNumber&lt;&gt;1,VLOOKUP($A160,BasisTable,3,0),0)+O$1)/(1-O$2))</f>
        <v>25.462744157791136</v>
      </c>
      <c r="P160" s="154">
        <f>IF(Assumptions!$L$25=4,VLOOKUP($A160,'Henwood Reference'!$E$9:$R$320,11),(VLOOKUP($A160,PriceTableWeekend,7,0)+IF(BasisNumber&lt;&gt;1,VLOOKUP($A160,BasisTable,3,0),0)+P$1)/(1-P$2))</f>
        <v>25.462744157791136</v>
      </c>
      <c r="Q160" s="156">
        <f>IF(Assumptions!$L$25=4,VLOOKUP($A160,'Henwood Reference'!$E$9:$R$320,11),(VLOOKUP($A160,PriceTableWeekend,8,0)+IF(BasisNumber&lt;&gt;1,VLOOKUP($A160,BasisTable,3,0),0)+Q$1)/(1-Q$2))</f>
        <v>25.462744157791136</v>
      </c>
      <c r="R160" s="154">
        <f>IF(Assumptions!$L$25=4,VLOOKUP($A160,'Henwood Reference'!$E$9:$R$320,11),(VLOOKUP($A160,PriceTable,6,0)+IF(BasisNumber&lt;&gt;1,VLOOKUP($A160,BasisTable,3,0),0)+R$1)/(1-R$2))</f>
        <v>25.462744157791136</v>
      </c>
      <c r="S160" s="154">
        <f>IF(Assumptions!$L$25=4,VLOOKUP($A160,'Henwood Reference'!$E$9:$R$320,11),(VLOOKUP($A160,PriceTable,7,0)+IF(BasisNumber&lt;&gt;1,VLOOKUP($A160,BasisTable,3,0),0)+S$1)/(1-S$2))</f>
        <v>25.462744157791136</v>
      </c>
      <c r="T160" s="155">
        <f>IF(Assumptions!$L$25=4,VLOOKUP($A160,'Henwood Reference'!$E$9:$R$320,11),(VLOOKUP($A160,PriceTable,8,0)+IF(BasisNumber&lt;&gt;1,VLOOKUP($A160,BasisTable,3,0),0)+T$1)/(1-T$2))</f>
        <v>25.462744157791136</v>
      </c>
      <c r="U160" s="173">
        <f t="shared" si="469"/>
        <v>0.11</v>
      </c>
      <c r="V160" s="173">
        <f t="shared" si="470"/>
        <v>0.12</v>
      </c>
      <c r="W160" s="174">
        <f t="shared" si="471"/>
        <v>0.13</v>
      </c>
      <c r="X160" s="173">
        <f t="shared" si="472"/>
        <v>0.11</v>
      </c>
      <c r="Y160" s="173">
        <f t="shared" si="473"/>
        <v>0.12</v>
      </c>
      <c r="Z160" s="174">
        <f t="shared" si="474"/>
        <v>0.13</v>
      </c>
      <c r="AA160" s="173">
        <f t="shared" si="475"/>
        <v>0.09</v>
      </c>
      <c r="AB160" s="173">
        <f t="shared" si="476"/>
        <v>0.11</v>
      </c>
      <c r="AC160" s="174">
        <f t="shared" si="477"/>
        <v>0.13</v>
      </c>
      <c r="AD160" s="173">
        <f t="shared" si="478"/>
        <v>0.09</v>
      </c>
      <c r="AE160" s="173">
        <f t="shared" si="479"/>
        <v>0.11</v>
      </c>
      <c r="AF160" s="174">
        <f t="shared" si="480"/>
        <v>0.13</v>
      </c>
      <c r="AG160" s="173">
        <f t="shared" si="481"/>
        <v>-0.1</v>
      </c>
      <c r="AH160" s="173">
        <f t="shared" si="482"/>
        <v>0.65</v>
      </c>
      <c r="AI160" s="174">
        <f t="shared" si="483"/>
        <v>0.1</v>
      </c>
      <c r="AJ160" s="173">
        <f t="shared" si="484"/>
        <v>-0.1</v>
      </c>
      <c r="AK160" s="173">
        <f t="shared" si="485"/>
        <v>0.65</v>
      </c>
      <c r="AL160" s="174">
        <f t="shared" si="486"/>
        <v>0.1</v>
      </c>
      <c r="AM160" s="173">
        <f t="shared" si="487"/>
        <v>-0.01</v>
      </c>
      <c r="AN160" s="173">
        <f t="shared" si="488"/>
        <v>0.16</v>
      </c>
      <c r="AO160" s="174">
        <f t="shared" si="489"/>
        <v>0.01</v>
      </c>
      <c r="AP160" s="173">
        <f t="shared" si="490"/>
        <v>-0.01</v>
      </c>
      <c r="AQ160" s="173">
        <f t="shared" si="491"/>
        <v>0.16</v>
      </c>
      <c r="AR160" s="175">
        <f t="shared" si="492"/>
        <v>0.01</v>
      </c>
      <c r="AS160" s="521">
        <f t="shared" si="493"/>
        <v>0.5</v>
      </c>
      <c r="AT160" s="349">
        <f t="shared" si="410"/>
        <v>21</v>
      </c>
      <c r="AU160" s="159">
        <f t="shared" si="411"/>
        <v>4</v>
      </c>
      <c r="AV160" s="159">
        <f t="shared" si="412"/>
        <v>5</v>
      </c>
      <c r="AW160" s="159">
        <f t="shared" si="494"/>
        <v>0</v>
      </c>
      <c r="AX160" s="15">
        <f t="shared" si="413"/>
        <v>30</v>
      </c>
      <c r="AY160" s="607">
        <f>IF(E160="",0,MIN((1-(1-VLOOKUP(B160,MAIN!$AA$7:$AM$28,C160+1))*(1-VLOOKUP(B160,MAIN!$AA$33:$AM$54,C160+1))),1))</f>
        <v>0.22399999999999998</v>
      </c>
      <c r="AZ160" s="337">
        <v>39110.400000000001</v>
      </c>
      <c r="BA160" s="509">
        <v>7449.6</v>
      </c>
      <c r="BB160" s="509">
        <v>9312</v>
      </c>
      <c r="BC160" s="511">
        <v>27936</v>
      </c>
      <c r="BD160" s="153">
        <v>0.77600000000000002</v>
      </c>
      <c r="BE160" s="474">
        <v>0.77600000000000002</v>
      </c>
      <c r="BF160" s="474">
        <v>0.77600000000000002</v>
      </c>
      <c r="BG160" s="515">
        <v>0.77600000578165051</v>
      </c>
      <c r="BH160" s="262">
        <v>156441.60000000001</v>
      </c>
      <c r="BI160" s="509">
        <v>29798.400000000001</v>
      </c>
      <c r="BJ160" s="509">
        <v>37248</v>
      </c>
      <c r="BK160" s="511">
        <v>111744</v>
      </c>
      <c r="BL160" s="153">
        <v>0.77600000000000002</v>
      </c>
      <c r="BM160" s="474">
        <v>0.77600000000000002</v>
      </c>
      <c r="BN160" s="474">
        <v>0.77600000000000002</v>
      </c>
      <c r="BO160" s="474">
        <v>0.77600000578165051</v>
      </c>
      <c r="BP160" s="261">
        <f t="shared" si="495"/>
        <v>55872</v>
      </c>
      <c r="BQ160" s="578">
        <f t="shared" si="496"/>
        <v>83808</v>
      </c>
      <c r="BR160" s="259">
        <f t="shared" si="497"/>
        <v>223488</v>
      </c>
      <c r="BS160" s="578">
        <f t="shared" si="498"/>
        <v>335232</v>
      </c>
      <c r="BT160" s="216">
        <f t="shared" si="499"/>
        <v>11.964407939767282</v>
      </c>
      <c r="BU160" s="218">
        <f t="shared" si="414"/>
        <v>38.329564460345978</v>
      </c>
      <c r="BV160" s="216">
        <f t="shared" si="415"/>
        <v>38.329564460345978</v>
      </c>
      <c r="BW160" s="216">
        <f t="shared" si="416"/>
        <v>25.462744157791136</v>
      </c>
      <c r="BX160" s="216">
        <f t="shared" si="500"/>
        <v>25.46274434750336</v>
      </c>
      <c r="BY160" s="216">
        <f t="shared" si="417"/>
        <v>36.185094409920175</v>
      </c>
      <c r="BZ160" s="216">
        <f t="shared" si="418"/>
        <v>32.610977722447899</v>
      </c>
      <c r="CA160" s="264">
        <f t="shared" si="419"/>
        <v>38.329564460345978</v>
      </c>
      <c r="CB160" s="216">
        <f t="shared" si="420"/>
        <v>38.329564460345978</v>
      </c>
      <c r="CC160" s="216">
        <f t="shared" si="421"/>
        <v>25.462744157791136</v>
      </c>
      <c r="CD160" s="216">
        <f t="shared" si="501"/>
        <v>25.46274434750336</v>
      </c>
      <c r="CE160" s="216">
        <f t="shared" si="422"/>
        <v>36.185094409920175</v>
      </c>
      <c r="CF160" s="571">
        <f t="shared" si="423"/>
        <v>32.610977722447899</v>
      </c>
      <c r="CG160" s="573">
        <f t="shared" si="424"/>
        <v>0.12</v>
      </c>
      <c r="CH160" s="219">
        <f t="shared" si="425"/>
        <v>0.12</v>
      </c>
      <c r="CI160" s="219">
        <f t="shared" si="426"/>
        <v>0.11</v>
      </c>
      <c r="CJ160" s="219">
        <f t="shared" si="427"/>
        <v>0.11883453498095049</v>
      </c>
      <c r="CK160" s="219">
        <f t="shared" si="428"/>
        <v>0.11883453498095049</v>
      </c>
      <c r="CL160" s="219">
        <f t="shared" si="429"/>
        <v>0.11</v>
      </c>
      <c r="CM160" s="219">
        <f t="shared" si="430"/>
        <v>0.10555344142168736</v>
      </c>
      <c r="CN160" s="569">
        <f t="shared" si="431"/>
        <v>0.10555344142168736</v>
      </c>
      <c r="CO160" s="264">
        <f t="shared" si="514"/>
        <v>20.398662003829585</v>
      </c>
      <c r="CP160" s="216">
        <f t="shared" si="502"/>
        <v>20.398662003829585</v>
      </c>
      <c r="CQ160" s="216">
        <f t="shared" ca="1" si="361"/>
        <v>20.398662003829585</v>
      </c>
      <c r="CR160" s="216">
        <f t="shared" ca="1" si="362"/>
        <v>20.398662003829585</v>
      </c>
      <c r="CS160" s="1626">
        <f t="shared" ca="1" si="363"/>
        <v>20.398662003829589</v>
      </c>
      <c r="CT160" s="216">
        <f t="shared" si="503"/>
        <v>20.398662003829585</v>
      </c>
      <c r="CU160" s="575">
        <f t="shared" si="432"/>
        <v>0.156</v>
      </c>
      <c r="CV160" s="154">
        <f t="shared" si="433"/>
        <v>0.5</v>
      </c>
      <c r="CW160" s="216">
        <f>IF(OR($BQ160,$BS160),SpreadOptPowerMargin,0)*((1+Assumptions!$C$26)^($B160-YEAR(Assumptions!$C$17)))</f>
        <v>2.1511666235201594</v>
      </c>
      <c r="CX160" s="216">
        <f>IF(OR($BQ160,$BS160),SpreadOptPowerMargin,0)*((1+Assumptions!$C$26)^($B160-YEAR(Assumptions!$C$17)))</f>
        <v>2.1511666235201594</v>
      </c>
      <c r="CY160" s="216">
        <f>IF(OR($BQ160,$BS160),SpreadOptPowerMargin,0)*((1+Assumptions!$C$26)^($B160-YEAR(Assumptions!$C$17)))</f>
        <v>2.1511666235201594</v>
      </c>
      <c r="CZ160" s="216">
        <f>IF(OR($BQ160,$BS160),SpreadOptPowerMargin,0)*((1+Assumptions!$C$26)^($B160-YEAR(Assumptions!$C$17)))</f>
        <v>2.1511666235201594</v>
      </c>
      <c r="DA160" s="440">
        <f t="shared" si="434"/>
        <v>2.1511666235201594</v>
      </c>
      <c r="DB160" s="479">
        <f t="shared" si="435"/>
        <v>0.12</v>
      </c>
      <c r="DC160" s="479">
        <f t="shared" si="436"/>
        <v>0.12</v>
      </c>
      <c r="DD160" s="479">
        <f t="shared" si="437"/>
        <v>0.11</v>
      </c>
      <c r="DE160" s="479">
        <f t="shared" si="438"/>
        <v>0.11</v>
      </c>
      <c r="DF160" s="479">
        <f t="shared" si="439"/>
        <v>0.10555344142168736</v>
      </c>
      <c r="DG160" s="574">
        <f t="shared" si="440"/>
        <v>0.10555344142168736</v>
      </c>
      <c r="DH160" s="216">
        <f t="shared" si="441"/>
        <v>16.603308347929765</v>
      </c>
      <c r="DI160" s="216">
        <f t="shared" si="442"/>
        <v>16.603308347929765</v>
      </c>
      <c r="DJ160" s="216">
        <f t="shared" ca="1" si="364"/>
        <v>5.8385474291425288</v>
      </c>
      <c r="DK160" s="216">
        <f t="shared" ca="1" si="365"/>
        <v>5.8385475608382178</v>
      </c>
      <c r="DL160" s="216">
        <f t="shared" ca="1" si="366"/>
        <v>11.410556519785322</v>
      </c>
      <c r="DM160" s="216"/>
      <c r="DN160" s="216"/>
      <c r="DO160" s="216"/>
      <c r="DP160" s="216"/>
      <c r="DQ160" s="216"/>
      <c r="DR160" s="216"/>
      <c r="DS160" s="216"/>
      <c r="DT160" s="216"/>
      <c r="DU160" s="216"/>
      <c r="DV160" s="216"/>
      <c r="DW160" s="1371">
        <f t="shared" si="443"/>
        <v>5.8385474291425288</v>
      </c>
      <c r="DX160" s="216">
        <f t="shared" si="444"/>
        <v>5.8385475608382178</v>
      </c>
      <c r="DY160" s="440">
        <f t="shared" si="445"/>
        <v>11.818970205700667</v>
      </c>
      <c r="DZ160" s="180">
        <f t="shared" si="446"/>
        <v>649362.03081087233</v>
      </c>
      <c r="EA160" s="180">
        <f t="shared" si="447"/>
        <v>123688.00586873759</v>
      </c>
      <c r="EB160" s="180">
        <f t="shared" ca="1" si="367"/>
        <v>54368.553660175225</v>
      </c>
      <c r="EC160" s="180">
        <f t="shared" ca="1" si="368"/>
        <v>163105.66465957646</v>
      </c>
      <c r="ED160" s="180">
        <f t="shared" ca="1" si="369"/>
        <v>956295.92081016826</v>
      </c>
      <c r="EE160" s="581">
        <f t="shared" si="448"/>
        <v>617151.78032281599</v>
      </c>
      <c r="EF160" s="554">
        <f t="shared" si="449"/>
        <v>117552.72006148876</v>
      </c>
      <c r="EG160" s="554">
        <f t="shared" ca="1" si="370"/>
        <v>27125.069419470245</v>
      </c>
      <c r="EH160" s="554">
        <f t="shared" ca="1" si="371"/>
        <v>81375.213558211428</v>
      </c>
      <c r="EI160" s="561">
        <f t="shared" ca="1" si="450"/>
        <v>843204.78336198593</v>
      </c>
      <c r="EJ160" s="581">
        <f t="shared" si="504"/>
        <v>32210.250488056336</v>
      </c>
      <c r="EK160" s="554">
        <f t="shared" si="505"/>
        <v>6135.2858072488307</v>
      </c>
      <c r="EL160" s="554">
        <f t="shared" ca="1" si="372"/>
        <v>27243.48424070498</v>
      </c>
      <c r="EM160" s="554">
        <f t="shared" ca="1" si="373"/>
        <v>81730.451101365034</v>
      </c>
      <c r="EN160" s="561">
        <f t="shared" ca="1" si="374"/>
        <v>113091.13744818233</v>
      </c>
      <c r="EO160" s="180">
        <f t="shared" si="451"/>
        <v>2597448.1232434893</v>
      </c>
      <c r="EP160" s="180">
        <f t="shared" si="452"/>
        <v>494752.02347495034</v>
      </c>
      <c r="EQ160" s="180">
        <f t="shared" si="453"/>
        <v>217474.2146407009</v>
      </c>
      <c r="ER160" s="180">
        <f t="shared" si="454"/>
        <v>652422.65863830585</v>
      </c>
      <c r="ES160" s="180">
        <f t="shared" si="455"/>
        <v>3962097.0199974463</v>
      </c>
      <c r="ET160" s="1482">
        <f t="shared" ca="1" si="375"/>
        <v>2468607.121291264</v>
      </c>
      <c r="EU160" s="180">
        <f t="shared" ca="1" si="376"/>
        <v>470210.88024595502</v>
      </c>
      <c r="EV160" s="180">
        <f t="shared" ca="1" si="377"/>
        <v>108500.27767788098</v>
      </c>
      <c r="EW160" s="180">
        <f t="shared" ca="1" si="378"/>
        <v>325500.85423284571</v>
      </c>
      <c r="EX160" s="555">
        <f t="shared" ca="1" si="351"/>
        <v>3372819.133447946</v>
      </c>
      <c r="EY160" s="180">
        <f t="shared" ca="1" si="379"/>
        <v>128841.00195222534</v>
      </c>
      <c r="EZ160" s="180">
        <f t="shared" ca="1" si="380"/>
        <v>24541.143228995323</v>
      </c>
      <c r="FA160" s="180">
        <f t="shared" ca="1" si="381"/>
        <v>108973.93696281992</v>
      </c>
      <c r="FB160" s="180">
        <f t="shared" ca="1" si="382"/>
        <v>326921.80440546013</v>
      </c>
      <c r="FC160" s="180">
        <f t="shared" ca="1" si="383"/>
        <v>589277.88654950028</v>
      </c>
      <c r="FD160" s="262">
        <f>IF(AX160,IF(VLOOKUP(C160,MAIN!$L$17:$M$28,2)="Yes",VLOOKUP(CALC!B160,MAIN!$H$17:$I$20,2),0),0)</f>
        <v>0</v>
      </c>
      <c r="FE160" s="623">
        <f t="shared" si="456"/>
        <v>0</v>
      </c>
      <c r="FF160" s="535">
        <f t="shared" si="457"/>
        <v>0</v>
      </c>
      <c r="FG160" s="535">
        <f t="shared" si="458"/>
        <v>0</v>
      </c>
      <c r="FH160" s="624">
        <f t="shared" si="459"/>
        <v>0</v>
      </c>
      <c r="FI160" s="632">
        <f>IF(AX160,VLOOKUP(CALC!B160,MAIN!$H$17:$K$20,4),0)</f>
        <v>0</v>
      </c>
      <c r="FJ160" s="535">
        <f t="shared" si="460"/>
        <v>0</v>
      </c>
      <c r="FK160" s="648">
        <f t="shared" si="506"/>
        <v>0</v>
      </c>
      <c r="FL160" s="530">
        <f t="shared" ca="1" si="384"/>
        <v>0</v>
      </c>
      <c r="FM160" s="530">
        <f t="shared" ca="1" si="385"/>
        <v>0</v>
      </c>
      <c r="FN160" s="530">
        <f t="shared" ca="1" si="386"/>
        <v>0</v>
      </c>
      <c r="FO160" s="622">
        <f t="shared" ca="1" si="387"/>
        <v>0</v>
      </c>
      <c r="FP160" s="530">
        <f t="shared" ca="1" si="388"/>
        <v>0</v>
      </c>
      <c r="FQ160" s="530">
        <f t="shared" ca="1" si="389"/>
        <v>0</v>
      </c>
      <c r="FR160" s="530">
        <f t="shared" ca="1" si="390"/>
        <v>0</v>
      </c>
      <c r="FS160" s="625">
        <f t="shared" ca="1" si="391"/>
        <v>0</v>
      </c>
      <c r="FT160" s="640">
        <f ca="1">IF(AND(Assumptions!$H$71="Yes",A160&gt;=Assumptions!$H$72,A160&lt;=Assumptions!$H$73),0,IF(AND($A160&gt;=Assumptions!$C$17,$A160&lt;=Assumptions!$C$18),MAX(AZ160*(1+VLOOKUP($C160,WeatherCapacityAdjustment,2))-FL160,0),0))</f>
        <v>39110.400000000001</v>
      </c>
      <c r="FU160" s="530">
        <f ca="1">IF(AND(Assumptions!$H$71="Yes",A160&gt;=Assumptions!$H$72,A160&lt;=Assumptions!$H$73),0,IF(AND($A160&gt;=Assumptions!$C$17,$A160&lt;=Assumptions!$C$18),MAX(BA160*(1+VLOOKUP($C160,WeatherCapacityAdjustment,2))-FM160,0),0))</f>
        <v>7449.6</v>
      </c>
      <c r="FV160" s="530">
        <f ca="1">IF(AND(Assumptions!$H$71="Yes",A160&gt;=Assumptions!$H$72,A160&lt;=Assumptions!$H$73),0,IF(AND($A160&gt;=Assumptions!$C$17,$A160&lt;=Assumptions!$C$18),MAX(BB160*(1+VLOOKUP($C160,WeatherCapacityAdjustment,2))-FN160,0),0))</f>
        <v>9312</v>
      </c>
      <c r="FW160" s="622">
        <f ca="1">IF(AND(Assumptions!$H$71="Yes",A160&gt;=Assumptions!$H$72,A160&lt;=Assumptions!$H$73),0,IF(AND($A160&gt;=Assumptions!$C$17,$A160&lt;=Assumptions!$C$18),MAX(BC160*(1+VLOOKUP($C160,WeatherCapacityAdjustment,3))-FO160,0),0))</f>
        <v>27936</v>
      </c>
      <c r="FX160" s="621">
        <f ca="1">IF(AND(Assumptions!$H$71="Yes",A160&gt;=Assumptions!$H$72,A160&lt;=Assumptions!$H$73),0,IF(ET160&gt;0,MAX(BH160*(1+VLOOKUP($C160,WeatherCapacityAdjustment,2))-FP160,0),0))</f>
        <v>156441.60000000001</v>
      </c>
      <c r="FY160" s="530">
        <f ca="1">IF(AND(Assumptions!$H$71="Yes",A160&gt;=Assumptions!$H$72,A160&lt;=Assumptions!$H$73),0,IF(EU160&gt;0,MAX(BI160*(1+VLOOKUP($C160,WeatherCapacityAdjustment,3))-FQ160,0),0))</f>
        <v>29798.400000000001</v>
      </c>
      <c r="FZ160" s="530">
        <f ca="1">IF(AND(Assumptions!$H$71="Yes",A160&gt;=Assumptions!$H$72,A160&lt;=Assumptions!$H$73),0,IF(EV160&gt;0,MAX(BJ160*(1+VLOOKUP($C160,WeatherCapacityAdjustment,2))-FR160,0),0))</f>
        <v>37248</v>
      </c>
      <c r="GA160" s="622">
        <f ca="1">IF(AND(Assumptions!$H$71="Yes",A160&gt;=Assumptions!$H$72,A160&lt;=Assumptions!$H$73),0,IF(EW160&gt;0,MAX(BK160*(1+VLOOKUP($C160,WeatherCapacityAdjustment,2))-FS160,0),0))</f>
        <v>111744</v>
      </c>
      <c r="GB160" s="530">
        <f t="shared" ca="1" si="461"/>
        <v>419040</v>
      </c>
      <c r="GC160" s="545">
        <f t="shared" ca="1" si="462"/>
        <v>32.610977722447899</v>
      </c>
      <c r="GD160" s="530">
        <f t="shared" ca="1" si="392"/>
        <v>13665304.104814569</v>
      </c>
      <c r="GE160" s="1485">
        <f t="shared" ca="1" si="393"/>
        <v>595279.8432</v>
      </c>
      <c r="GF160" s="1776">
        <f t="shared" ca="1" si="394"/>
        <v>2381119.3728</v>
      </c>
      <c r="GG160" s="545">
        <f t="shared" si="359"/>
        <v>2.8718779658772595</v>
      </c>
      <c r="GH160" s="622">
        <f t="shared" ca="1" si="360"/>
        <v>8547855.3260847498</v>
      </c>
      <c r="GI160" s="621">
        <f t="shared" ca="1" si="507"/>
        <v>419040</v>
      </c>
      <c r="GJ160" s="638">
        <f t="shared" si="463"/>
        <v>2.1511666235201594</v>
      </c>
      <c r="GK160" s="625">
        <f t="shared" ca="1" si="513"/>
        <v>901424.8619198876</v>
      </c>
      <c r="GL160" s="640">
        <f t="shared" ca="1" si="395"/>
        <v>0</v>
      </c>
      <c r="GM160" s="530">
        <f t="shared" ca="1" si="396"/>
        <v>0</v>
      </c>
      <c r="GN160" s="530">
        <f t="shared" ca="1" si="397"/>
        <v>0</v>
      </c>
      <c r="GO160" s="622">
        <f t="shared" ca="1" si="398"/>
        <v>0</v>
      </c>
      <c r="GP160" s="530">
        <f t="shared" ca="1" si="464"/>
        <v>0</v>
      </c>
      <c r="GQ160" s="545">
        <f t="shared" ca="1" si="465"/>
        <v>0</v>
      </c>
      <c r="GR160" s="625">
        <f t="shared" ca="1" si="399"/>
        <v>0</v>
      </c>
      <c r="GS160" s="640">
        <f>IF($A160&gt;=BegDate,Assumptions!$C$56*24*($A161-$A160)*(1-VLOOKUP($B160,MAIN!$AA$7:$AM$28,$C160+1))*(1-VLOOKUP($B160,MAIN!$AA$33:$AM$54,$C160+1)),0)*80/168</f>
        <v>199542.85714285713</v>
      </c>
      <c r="GT160" s="1715">
        <f t="shared" si="508"/>
        <v>38.329564460345978</v>
      </c>
      <c r="GU160" s="1715">
        <f>IF($A160&gt;=BegDate,VLOOKUP($A160,GasTable,13)+Assumptions!$C$58,0)</f>
        <v>2.8718779658772595</v>
      </c>
      <c r="GV160" s="1715">
        <f>GU160*Assumptions!$C$57/1000</f>
        <v>20.821115252610131</v>
      </c>
      <c r="GW160" s="625">
        <f>IF(Assumptions!$C$60="Hourly",MAX(0,GS160*(GT160-GV160)),GS160*(GT160-GV160))</f>
        <v>3493685.9790522042</v>
      </c>
      <c r="GX160" s="640">
        <f>IF($A160&gt;=BegDate,Assumptions!$C$56*24*($A161-$A160)*(1-VLOOKUP($B160,MAIN!$AA$7:$AM$28,$C160+1))*(1-VLOOKUP($B160,MAIN!$AA$33:$AM$54,$C160+1)),0)*16/168</f>
        <v>39908.571428571428</v>
      </c>
      <c r="GY160" s="1715">
        <f t="shared" si="509"/>
        <v>38.329564460345978</v>
      </c>
      <c r="GZ160" s="1715">
        <f>IF($A160&gt;=BegDate,VLOOKUP($A160,GasTable,13)+Assumptions!$C$58,0)</f>
        <v>2.8718779658772595</v>
      </c>
      <c r="HA160" s="1715">
        <f>GZ160*Assumptions!$C$57/1000</f>
        <v>20.821115252610131</v>
      </c>
      <c r="HB160" s="625">
        <f>IF(Assumptions!$C$60="Hourly",MAX(0,GX160*(GY160-HA160)),GX160*(GY160-HA160))</f>
        <v>698737.19581044081</v>
      </c>
      <c r="HC160" s="640">
        <f>IF($A160&gt;=BegDate,Assumptions!$C$56*24*($A161-$A160)*(1-VLOOKUP($B160,MAIN!$AA$7:$AM$28,$C160+1))*(1-VLOOKUP($B160,MAIN!$AA$33:$AM$54,$C160+1)),0)*16/168</f>
        <v>39908.571428571428</v>
      </c>
      <c r="HD160" s="1715">
        <f t="shared" si="510"/>
        <v>25.462744157791136</v>
      </c>
      <c r="HE160" s="1715">
        <f>IF($A160&gt;=BegDate,VLOOKUP($A160,GasTable,13)+Assumptions!$C$58,0)</f>
        <v>2.8718779658772595</v>
      </c>
      <c r="HF160" s="1715">
        <f>HE160*Assumptions!$C$57/1000</f>
        <v>20.821115252610131</v>
      </c>
      <c r="HG160" s="625">
        <f>IF(Assumptions!$C$60="Hourly",MAX(0,HC160*(HD160-HF160)),HC160*(HD160-HF160))</f>
        <v>185240.77870733791</v>
      </c>
      <c r="HH160" s="640">
        <f>IF($A160&gt;=BegDate,Assumptions!$C$56*24*($A161-$A160)*(1-VLOOKUP($B160,MAIN!$AA$7:$AM$28,$C160+1))*(1-VLOOKUP($B160,MAIN!$AA$33:$AM$54,$C160+1)),0)*56/168</f>
        <v>139680</v>
      </c>
      <c r="HI160" s="1715">
        <f t="shared" si="511"/>
        <v>25.462744157791136</v>
      </c>
      <c r="HJ160" s="1715">
        <f>IF($A160&gt;=BegDate,VLOOKUP($A160,GasTable,13)+Assumptions!$C$58,0)</f>
        <v>2.8718779658772595</v>
      </c>
      <c r="HK160" s="1715">
        <f>HJ160*Assumptions!$C$57/1000</f>
        <v>20.821115252610131</v>
      </c>
      <c r="HL160" s="625">
        <f>IF(Assumptions!$C$60="Hourly",MAX(0,HH160*(HI160-HK160)),HH160*(HI160-HK160))</f>
        <v>648342.72547568276</v>
      </c>
      <c r="HM160" s="640">
        <f>IF(AND(Assumptions!$H$71="Yes",A160&gt;=Assumptions!$H$72,A160&lt;=Assumptions!$H$73),Assumptions!$H$74*Assumptions!$C$9*1000,0)</f>
        <v>0</v>
      </c>
      <c r="HN160" s="530"/>
      <c r="HO160" s="545"/>
      <c r="HP160" s="545"/>
      <c r="HQ160" s="545"/>
      <c r="HR160" s="545"/>
      <c r="HS160" s="545"/>
      <c r="HT160" s="545"/>
      <c r="HU160" s="545"/>
      <c r="HV160" s="545"/>
      <c r="HW160" s="545"/>
      <c r="HX160" s="545"/>
      <c r="HY160" s="545"/>
      <c r="HZ160" s="545"/>
      <c r="IA160" s="545"/>
      <c r="IB160" s="545"/>
      <c r="IC160" s="545"/>
      <c r="ID160" s="545"/>
      <c r="IE160" s="545"/>
      <c r="IF160" s="545"/>
      <c r="IG160" s="545"/>
      <c r="IH160" s="545"/>
      <c r="II160" s="1464"/>
      <c r="IJ160" s="1463"/>
      <c r="IK160" s="1463"/>
    </row>
    <row r="161" spans="1:245">
      <c r="A161" s="177">
        <f t="shared" si="466"/>
        <v>41030</v>
      </c>
      <c r="B161" s="349">
        <f t="shared" si="467"/>
        <v>2012</v>
      </c>
      <c r="C161" s="15">
        <f t="shared" ref="C161:C176" si="515">MONTH(A161)</f>
        <v>5</v>
      </c>
      <c r="D161" s="612">
        <f t="shared" si="468"/>
        <v>41057</v>
      </c>
      <c r="E161" s="609">
        <f t="shared" ref="E161:E176" si="516">IF(OR(BegDate&gt;=A162,EndDate&lt;A161,AND(VolumeMonthlyOverFlag,INDEX(VolumeMonthlyOver,C161)=0),NOT(INDEX(MonthKnockOutTable,C161))),"",MAX(A161,BegDate))</f>
        <v>41030</v>
      </c>
      <c r="F161" s="614">
        <f t="shared" ref="F161:F176" si="517">IF(E161="","",MIN(A162-1,EndDate))</f>
        <v>41060</v>
      </c>
      <c r="G161" s="1349">
        <v>0</v>
      </c>
      <c r="H161" s="152">
        <f t="shared" si="512"/>
        <v>1</v>
      </c>
      <c r="I161" s="154">
        <f>IF(Assumptions!$L$25=4,VLOOKUP($A161,'Henwood Reference'!$E$9:$R$320,10),(VLOOKUP($A161,PriceTable,2,0)+IF(BasisNumber&lt;&gt;1,VLOOKUP($A161,BasisTable,2,0),0)+I$1)/(1-I$2))</f>
        <v>44.383897139228658</v>
      </c>
      <c r="J161" s="154">
        <f>IF(Assumptions!$L$25=4,VLOOKUP($A161,'Henwood Reference'!$E$9:$R$320,10),(VLOOKUP($A161,PriceTable,3,0)+IF(BasisNumber&lt;&gt;1,VLOOKUP($A161,BasisTable,2,0),0)+J$1)/(1-J$2))</f>
        <v>44.383897139228658</v>
      </c>
      <c r="K161" s="154">
        <f>IF(Assumptions!$L$25=4,VLOOKUP($A161,'Henwood Reference'!$E$9:$R$320,10),(VLOOKUP($A161,PriceTable,4,0)+IF(BasisNumber&lt;&gt;1,VLOOKUP($A161,BasisTable,2,0),0)+K$1)/(1-K$2))</f>
        <v>44.383897139228658</v>
      </c>
      <c r="L161" s="474">
        <f>IF(Assumptions!$L$25=4,VLOOKUP($A161,'Henwood Reference'!$E$9:$R$320,10),(VLOOKUP($A161,PriceTableWeekend,2,0)+IF(BasisNumber&lt;&gt;1,VLOOKUP($A161,BasisTable,2,0),0)+L$1)/(1-L$2))</f>
        <v>44.383897139228658</v>
      </c>
      <c r="M161" s="154">
        <f>IF(Assumptions!$L$25=4,VLOOKUP($A161,'Henwood Reference'!$E$9:$R$320,10),(VLOOKUP($A161,PriceTableWeekend,3,0)+IF(BasisNumber&lt;&gt;1,VLOOKUP($A161,BasisTable,2,0),0)+M$1)/(1-M$2))</f>
        <v>44.383897139228658</v>
      </c>
      <c r="N161" s="156">
        <f>IF(Assumptions!$L$25=4,VLOOKUP($A161,'Henwood Reference'!$E$9:$R$320,10),(VLOOKUP($A161,PriceTableWeekend,4,0)+IF(BasisNumber&lt;&gt;1,VLOOKUP($A161,BasisTable,2,0),0)+N$1)/(1-N$2))</f>
        <v>44.383897139228658</v>
      </c>
      <c r="O161" s="154">
        <f>IF(Assumptions!$L$25=4,VLOOKUP($A161,'Henwood Reference'!$E$9:$R$320,11),(VLOOKUP($A161,PriceTableWeekend,6,0)+IF(BasisNumber&lt;&gt;1,VLOOKUP($A161,BasisTable,3,0),0)+O$1)/(1-O$2))</f>
        <v>25.238392184333023</v>
      </c>
      <c r="P161" s="154">
        <f>IF(Assumptions!$L$25=4,VLOOKUP($A161,'Henwood Reference'!$E$9:$R$320,11),(VLOOKUP($A161,PriceTableWeekend,7,0)+IF(BasisNumber&lt;&gt;1,VLOOKUP($A161,BasisTable,3,0),0)+P$1)/(1-P$2))</f>
        <v>25.238392184333023</v>
      </c>
      <c r="Q161" s="156">
        <f>IF(Assumptions!$L$25=4,VLOOKUP($A161,'Henwood Reference'!$E$9:$R$320,11),(VLOOKUP($A161,PriceTableWeekend,8,0)+IF(BasisNumber&lt;&gt;1,VLOOKUP($A161,BasisTable,3,0),0)+Q$1)/(1-Q$2))</f>
        <v>25.238392184333023</v>
      </c>
      <c r="R161" s="154">
        <f>IF(Assumptions!$L$25=4,VLOOKUP($A161,'Henwood Reference'!$E$9:$R$320,11),(VLOOKUP($A161,PriceTable,6,0)+IF(BasisNumber&lt;&gt;1,VLOOKUP($A161,BasisTable,3,0),0)+R$1)/(1-R$2))</f>
        <v>25.238392184333023</v>
      </c>
      <c r="S161" s="154">
        <f>IF(Assumptions!$L$25=4,VLOOKUP($A161,'Henwood Reference'!$E$9:$R$320,11),(VLOOKUP($A161,PriceTable,7,0)+IF(BasisNumber&lt;&gt;1,VLOOKUP($A161,BasisTable,3,0),0)+S$1)/(1-S$2))</f>
        <v>25.238392184333023</v>
      </c>
      <c r="T161" s="155">
        <f>IF(Assumptions!$L$25=4,VLOOKUP($A161,'Henwood Reference'!$E$9:$R$320,11),(VLOOKUP($A161,PriceTable,8,0)+IF(BasisNumber&lt;&gt;1,VLOOKUP($A161,BasisTable,3,0),0)+T$1)/(1-T$2))</f>
        <v>25.238392184333023</v>
      </c>
      <c r="U161" s="173">
        <f t="shared" si="469"/>
        <v>0.11</v>
      </c>
      <c r="V161" s="173">
        <f t="shared" si="470"/>
        <v>0.12</v>
      </c>
      <c r="W161" s="174">
        <f t="shared" si="471"/>
        <v>0.13</v>
      </c>
      <c r="X161" s="173">
        <f t="shared" si="472"/>
        <v>0.11</v>
      </c>
      <c r="Y161" s="173">
        <f t="shared" si="473"/>
        <v>0.12</v>
      </c>
      <c r="Z161" s="174">
        <f t="shared" si="474"/>
        <v>0.13</v>
      </c>
      <c r="AA161" s="173">
        <f t="shared" si="475"/>
        <v>0.09</v>
      </c>
      <c r="AB161" s="173">
        <f t="shared" si="476"/>
        <v>0.11</v>
      </c>
      <c r="AC161" s="174">
        <f t="shared" si="477"/>
        <v>0.13</v>
      </c>
      <c r="AD161" s="173">
        <f t="shared" si="478"/>
        <v>0.09</v>
      </c>
      <c r="AE161" s="173">
        <f t="shared" si="479"/>
        <v>0.11</v>
      </c>
      <c r="AF161" s="174">
        <f t="shared" si="480"/>
        <v>0.13</v>
      </c>
      <c r="AG161" s="173">
        <f t="shared" si="481"/>
        <v>-0.1</v>
      </c>
      <c r="AH161" s="173">
        <f t="shared" si="482"/>
        <v>0.65</v>
      </c>
      <c r="AI161" s="174">
        <f t="shared" si="483"/>
        <v>0.1</v>
      </c>
      <c r="AJ161" s="173">
        <f t="shared" si="484"/>
        <v>-0.1</v>
      </c>
      <c r="AK161" s="173">
        <f t="shared" si="485"/>
        <v>0.65</v>
      </c>
      <c r="AL161" s="174">
        <f t="shared" si="486"/>
        <v>0.1</v>
      </c>
      <c r="AM161" s="173">
        <f t="shared" si="487"/>
        <v>-0.01</v>
      </c>
      <c r="AN161" s="173">
        <f t="shared" si="488"/>
        <v>0.16</v>
      </c>
      <c r="AO161" s="174">
        <f t="shared" si="489"/>
        <v>0.01</v>
      </c>
      <c r="AP161" s="173">
        <f t="shared" si="490"/>
        <v>-0.01</v>
      </c>
      <c r="AQ161" s="173">
        <f t="shared" si="491"/>
        <v>0.16</v>
      </c>
      <c r="AR161" s="175">
        <f t="shared" si="492"/>
        <v>0.01</v>
      </c>
      <c r="AS161" s="521">
        <f t="shared" si="493"/>
        <v>0.5</v>
      </c>
      <c r="AT161" s="349">
        <f t="shared" ref="AT161:AT176" si="518">AX161-SUM(AU161:AW161)</f>
        <v>22</v>
      </c>
      <c r="AU161" s="159">
        <f t="shared" si="411"/>
        <v>4</v>
      </c>
      <c r="AV161" s="159">
        <f t="shared" si="412"/>
        <v>4</v>
      </c>
      <c r="AW161" s="159">
        <f t="shared" si="494"/>
        <v>1</v>
      </c>
      <c r="AX161" s="15">
        <f t="shared" ref="AX161:AX176" si="519">IF(E161="",0,F161-E161+1)</f>
        <v>31</v>
      </c>
      <c r="AY161" s="607">
        <f>IF(E161="",0,MIN((1-(1-VLOOKUP(B161,MAIN!$AA$7:$AM$28,C161+1))*(1-VLOOKUP(B161,MAIN!$AA$33:$AM$54,C161+1))),1))</f>
        <v>3.0000000000000027E-2</v>
      </c>
      <c r="AZ161" s="337">
        <v>51216</v>
      </c>
      <c r="BA161" s="509">
        <v>9312</v>
      </c>
      <c r="BB161" s="509">
        <v>11640</v>
      </c>
      <c r="BC161" s="511">
        <v>36084</v>
      </c>
      <c r="BD161" s="153">
        <v>0.97</v>
      </c>
      <c r="BE161" s="474">
        <v>0.97</v>
      </c>
      <c r="BF161" s="474">
        <v>0.97</v>
      </c>
      <c r="BG161" s="515">
        <v>0.97</v>
      </c>
      <c r="BH161" s="262">
        <v>204864</v>
      </c>
      <c r="BI161" s="509">
        <v>37248</v>
      </c>
      <c r="BJ161" s="509">
        <v>46560</v>
      </c>
      <c r="BK161" s="511">
        <v>144336</v>
      </c>
      <c r="BL161" s="153">
        <v>0.97</v>
      </c>
      <c r="BM161" s="474">
        <v>0.97</v>
      </c>
      <c r="BN161" s="474">
        <v>0.97</v>
      </c>
      <c r="BO161" s="474">
        <v>0.97</v>
      </c>
      <c r="BP161" s="261">
        <f t="shared" si="495"/>
        <v>72168</v>
      </c>
      <c r="BQ161" s="578">
        <f t="shared" si="496"/>
        <v>108252</v>
      </c>
      <c r="BR161" s="259">
        <f t="shared" si="497"/>
        <v>288672</v>
      </c>
      <c r="BS161" s="578">
        <f t="shared" si="498"/>
        <v>433008</v>
      </c>
      <c r="BT161" s="216">
        <f t="shared" si="499"/>
        <v>12.046543463381246</v>
      </c>
      <c r="BU161" s="218">
        <f t="shared" si="414"/>
        <v>44.383897139228658</v>
      </c>
      <c r="BV161" s="216">
        <f t="shared" si="415"/>
        <v>44.383897139228658</v>
      </c>
      <c r="BW161" s="216">
        <f t="shared" si="416"/>
        <v>25.238392184333023</v>
      </c>
      <c r="BX161" s="216">
        <f t="shared" si="500"/>
        <v>25.238392184333023</v>
      </c>
      <c r="BY161" s="216">
        <f t="shared" si="417"/>
        <v>41.2959124690842</v>
      </c>
      <c r="BZ161" s="216">
        <f t="shared" si="418"/>
        <v>35.943405707500474</v>
      </c>
      <c r="CA161" s="264">
        <f t="shared" si="419"/>
        <v>44.383897139228658</v>
      </c>
      <c r="CB161" s="216">
        <f t="shared" si="420"/>
        <v>44.383897139228658</v>
      </c>
      <c r="CC161" s="216">
        <f t="shared" si="421"/>
        <v>25.238392184333023</v>
      </c>
      <c r="CD161" s="216">
        <f t="shared" si="501"/>
        <v>25.238392184333023</v>
      </c>
      <c r="CE161" s="216">
        <f t="shared" si="422"/>
        <v>41.2959124690842</v>
      </c>
      <c r="CF161" s="571">
        <f t="shared" si="423"/>
        <v>35.943405707500474</v>
      </c>
      <c r="CG161" s="573">
        <f t="shared" si="424"/>
        <v>0.12</v>
      </c>
      <c r="CH161" s="219">
        <f t="shared" si="425"/>
        <v>0.12</v>
      </c>
      <c r="CI161" s="219">
        <f t="shared" si="426"/>
        <v>0.11</v>
      </c>
      <c r="CJ161" s="219">
        <f t="shared" si="427"/>
        <v>0.11902060660336834</v>
      </c>
      <c r="CK161" s="219">
        <f t="shared" si="428"/>
        <v>0.11902060660336834</v>
      </c>
      <c r="CL161" s="219">
        <f t="shared" si="429"/>
        <v>0.11</v>
      </c>
      <c r="CM161" s="219">
        <f t="shared" si="430"/>
        <v>0.10676176420839027</v>
      </c>
      <c r="CN161" s="569">
        <f t="shared" si="431"/>
        <v>0.10676176420839027</v>
      </c>
      <c r="CO161" s="264">
        <f t="shared" si="514"/>
        <v>20.220286209844815</v>
      </c>
      <c r="CP161" s="216">
        <f t="shared" si="502"/>
        <v>20.220286209844815</v>
      </c>
      <c r="CQ161" s="216">
        <f t="shared" ca="1" si="361"/>
        <v>20.220286209844815</v>
      </c>
      <c r="CR161" s="216">
        <f t="shared" ca="1" si="362"/>
        <v>20.220286209844815</v>
      </c>
      <c r="CS161" s="1626">
        <f t="shared" ca="1" si="363"/>
        <v>20.220286209844819</v>
      </c>
      <c r="CT161" s="216">
        <f t="shared" si="503"/>
        <v>20.220286209844815</v>
      </c>
      <c r="CU161" s="575">
        <f t="shared" si="432"/>
        <v>0.156</v>
      </c>
      <c r="CV161" s="154">
        <f t="shared" si="433"/>
        <v>0.5</v>
      </c>
      <c r="CW161" s="216">
        <f>IF(OR($BQ161,$BS161),SpreadOptPowerMargin,0)*((1+Assumptions!$C$26)^($B161-YEAR(Assumptions!$C$17)))</f>
        <v>2.1511666235201594</v>
      </c>
      <c r="CX161" s="216">
        <f>IF(OR($BQ161,$BS161),SpreadOptPowerMargin,0)*((1+Assumptions!$C$26)^($B161-YEAR(Assumptions!$C$17)))</f>
        <v>2.1511666235201594</v>
      </c>
      <c r="CY161" s="216">
        <f>IF(OR($BQ161,$BS161),SpreadOptPowerMargin,0)*((1+Assumptions!$C$26)^($B161-YEAR(Assumptions!$C$17)))</f>
        <v>2.1511666235201594</v>
      </c>
      <c r="CZ161" s="216">
        <f>IF(OR($BQ161,$BS161),SpreadOptPowerMargin,0)*((1+Assumptions!$C$26)^($B161-YEAR(Assumptions!$C$17)))</f>
        <v>2.1511666235201594</v>
      </c>
      <c r="DA161" s="440">
        <f t="shared" si="434"/>
        <v>2.1511666235201594</v>
      </c>
      <c r="DB161" s="479">
        <f t="shared" si="435"/>
        <v>0.12</v>
      </c>
      <c r="DC161" s="479">
        <f t="shared" si="436"/>
        <v>0.12</v>
      </c>
      <c r="DD161" s="479">
        <f t="shared" si="437"/>
        <v>0.11</v>
      </c>
      <c r="DE161" s="479">
        <f t="shared" si="438"/>
        <v>0.11</v>
      </c>
      <c r="DF161" s="479">
        <f t="shared" si="439"/>
        <v>0.10676176420839027</v>
      </c>
      <c r="DG161" s="574">
        <f t="shared" si="440"/>
        <v>0.10676176420839027</v>
      </c>
      <c r="DH161" s="216">
        <f t="shared" si="441"/>
        <v>22.453025559513389</v>
      </c>
      <c r="DI161" s="216">
        <f t="shared" si="442"/>
        <v>22.453025559513389</v>
      </c>
      <c r="DJ161" s="216">
        <f t="shared" ca="1" si="364"/>
        <v>5.7876174723446203</v>
      </c>
      <c r="DK161" s="216">
        <f t="shared" ca="1" si="365"/>
        <v>5.7876174723446203</v>
      </c>
      <c r="DL161" s="216">
        <f t="shared" ca="1" si="366"/>
        <v>14.499257173120448</v>
      </c>
      <c r="DM161" s="216"/>
      <c r="DN161" s="216"/>
      <c r="DO161" s="216"/>
      <c r="DP161" s="216"/>
      <c r="DQ161" s="216"/>
      <c r="DR161" s="216"/>
      <c r="DS161" s="216"/>
      <c r="DT161" s="216"/>
      <c r="DU161" s="216"/>
      <c r="DV161" s="216"/>
      <c r="DW161" s="1371">
        <f t="shared" si="443"/>
        <v>5.7876174723446203</v>
      </c>
      <c r="DX161" s="216">
        <f t="shared" si="444"/>
        <v>5.7876174723446203</v>
      </c>
      <c r="DY161" s="440">
        <f t="shared" si="445"/>
        <v>15.105910166245438</v>
      </c>
      <c r="DZ161" s="180">
        <f t="shared" si="446"/>
        <v>1149954.1570560378</v>
      </c>
      <c r="EA161" s="180">
        <f t="shared" si="447"/>
        <v>209082.57401018866</v>
      </c>
      <c r="EB161" s="180">
        <f t="shared" ca="1" si="367"/>
        <v>67367.867378091381</v>
      </c>
      <c r="EC161" s="180">
        <f t="shared" ca="1" si="368"/>
        <v>208840.38887208328</v>
      </c>
      <c r="ED161" s="180">
        <f t="shared" ca="1" si="369"/>
        <v>1569573.5875046346</v>
      </c>
      <c r="EE161" s="581">
        <f t="shared" si="448"/>
        <v>1127389.3475691145</v>
      </c>
      <c r="EF161" s="554">
        <f t="shared" si="449"/>
        <v>204979.88137620263</v>
      </c>
      <c r="EG161" s="554">
        <f t="shared" ca="1" si="370"/>
        <v>33371.174045268097</v>
      </c>
      <c r="EH161" s="554">
        <f t="shared" ca="1" si="371"/>
        <v>103450.6395403311</v>
      </c>
      <c r="EI161" s="561">
        <f t="shared" ca="1" si="450"/>
        <v>1469191.0425309159</v>
      </c>
      <c r="EJ161" s="581">
        <f t="shared" si="504"/>
        <v>22564.809486923274</v>
      </c>
      <c r="EK161" s="554">
        <f t="shared" si="505"/>
        <v>4102.6926339860365</v>
      </c>
      <c r="EL161" s="554">
        <f t="shared" ca="1" si="372"/>
        <v>33996.693332823284</v>
      </c>
      <c r="EM161" s="554">
        <f t="shared" ca="1" si="373"/>
        <v>105389.74933175217</v>
      </c>
      <c r="EN161" s="561">
        <f t="shared" ca="1" si="374"/>
        <v>100382.5449737187</v>
      </c>
      <c r="EO161" s="180">
        <f t="shared" si="451"/>
        <v>4599816.6282241512</v>
      </c>
      <c r="EP161" s="180">
        <f t="shared" si="452"/>
        <v>836330.29604075465</v>
      </c>
      <c r="EQ161" s="180">
        <f t="shared" si="453"/>
        <v>269471.46951236553</v>
      </c>
      <c r="ER161" s="180">
        <f t="shared" si="454"/>
        <v>835361.55548833311</v>
      </c>
      <c r="ES161" s="180">
        <f t="shared" si="455"/>
        <v>6540979.9492656048</v>
      </c>
      <c r="ET161" s="1482">
        <f t="shared" ca="1" si="375"/>
        <v>4509557.3902764581</v>
      </c>
      <c r="EU161" s="180">
        <f t="shared" ca="1" si="376"/>
        <v>819919.5255048105</v>
      </c>
      <c r="EV161" s="180">
        <f t="shared" ca="1" si="377"/>
        <v>133484.69618107239</v>
      </c>
      <c r="EW161" s="180">
        <f t="shared" ca="1" si="378"/>
        <v>413802.55816132441</v>
      </c>
      <c r="EX161" s="555">
        <f t="shared" ca="1" si="351"/>
        <v>5876764.1701236656</v>
      </c>
      <c r="EY161" s="180">
        <f t="shared" ca="1" si="379"/>
        <v>90259.237947693095</v>
      </c>
      <c r="EZ161" s="180">
        <f t="shared" ca="1" si="380"/>
        <v>16410.770535944146</v>
      </c>
      <c r="FA161" s="180">
        <f t="shared" ca="1" si="381"/>
        <v>135986.77333129314</v>
      </c>
      <c r="FB161" s="180">
        <f t="shared" ca="1" si="382"/>
        <v>421558.99732700869</v>
      </c>
      <c r="FC161" s="180">
        <f t="shared" ca="1" si="383"/>
        <v>664215.77914193925</v>
      </c>
      <c r="FD161" s="262">
        <f>IF(AX161,IF(VLOOKUP(C161,MAIN!$L$17:$M$28,2)="Yes",VLOOKUP(CALC!B161,MAIN!$H$17:$I$20,2),0),0)</f>
        <v>0</v>
      </c>
      <c r="FE161" s="623">
        <f t="shared" si="456"/>
        <v>0</v>
      </c>
      <c r="FF161" s="535">
        <f t="shared" si="457"/>
        <v>0</v>
      </c>
      <c r="FG161" s="535">
        <f t="shared" si="458"/>
        <v>0</v>
      </c>
      <c r="FH161" s="624">
        <f t="shared" si="459"/>
        <v>0</v>
      </c>
      <c r="FI161" s="632">
        <f>IF(AX161,VLOOKUP(CALC!B161,MAIN!$H$17:$K$20,4),0)</f>
        <v>0</v>
      </c>
      <c r="FJ161" s="535">
        <f t="shared" si="460"/>
        <v>0</v>
      </c>
      <c r="FK161" s="648">
        <f t="shared" si="506"/>
        <v>0</v>
      </c>
      <c r="FL161" s="530">
        <f t="shared" ca="1" si="384"/>
        <v>0</v>
      </c>
      <c r="FM161" s="530">
        <f t="shared" ca="1" si="385"/>
        <v>0</v>
      </c>
      <c r="FN161" s="530">
        <f t="shared" ca="1" si="386"/>
        <v>0</v>
      </c>
      <c r="FO161" s="622">
        <f t="shared" ca="1" si="387"/>
        <v>0</v>
      </c>
      <c r="FP161" s="530">
        <f t="shared" ca="1" si="388"/>
        <v>0</v>
      </c>
      <c r="FQ161" s="530">
        <f t="shared" ca="1" si="389"/>
        <v>0</v>
      </c>
      <c r="FR161" s="530">
        <f t="shared" ca="1" si="390"/>
        <v>0</v>
      </c>
      <c r="FS161" s="625">
        <f t="shared" ca="1" si="391"/>
        <v>0</v>
      </c>
      <c r="FT161" s="640">
        <f ca="1">IF(AND(Assumptions!$H$71="Yes",A161&gt;=Assumptions!$H$72,A161&lt;=Assumptions!$H$73),0,IF(AND($A161&gt;=Assumptions!$C$17,$A161&lt;=Assumptions!$C$18),MAX(AZ161*(1+VLOOKUP($C161,WeatherCapacityAdjustment,2))-FL161,0),0))</f>
        <v>51216</v>
      </c>
      <c r="FU161" s="530">
        <f ca="1">IF(AND(Assumptions!$H$71="Yes",A161&gt;=Assumptions!$H$72,A161&lt;=Assumptions!$H$73),0,IF(AND($A161&gt;=Assumptions!$C$17,$A161&lt;=Assumptions!$C$18),MAX(BA161*(1+VLOOKUP($C161,WeatherCapacityAdjustment,2))-FM161,0),0))</f>
        <v>9312</v>
      </c>
      <c r="FV161" s="530">
        <f ca="1">IF(AND(Assumptions!$H$71="Yes",A161&gt;=Assumptions!$H$72,A161&lt;=Assumptions!$H$73),0,IF(AND($A161&gt;=Assumptions!$C$17,$A161&lt;=Assumptions!$C$18),MAX(BB161*(1+VLOOKUP($C161,WeatherCapacityAdjustment,2))-FN161,0),0))</f>
        <v>11640</v>
      </c>
      <c r="FW161" s="622">
        <f ca="1">IF(AND(Assumptions!$H$71="Yes",A161&gt;=Assumptions!$H$72,A161&lt;=Assumptions!$H$73),0,IF(AND($A161&gt;=Assumptions!$C$17,$A161&lt;=Assumptions!$C$18),MAX(BC161*(1+VLOOKUP($C161,WeatherCapacityAdjustment,3))-FO161,0),0))</f>
        <v>36084</v>
      </c>
      <c r="FX161" s="621">
        <f ca="1">IF(AND(Assumptions!$H$71="Yes",A161&gt;=Assumptions!$H$72,A161&lt;=Assumptions!$H$73),0,IF(ET161&gt;0,MAX(BH161*(1+VLOOKUP($C161,WeatherCapacityAdjustment,2))-FP161,0),0))</f>
        <v>204864</v>
      </c>
      <c r="FY161" s="530">
        <f ca="1">IF(AND(Assumptions!$H$71="Yes",A161&gt;=Assumptions!$H$72,A161&lt;=Assumptions!$H$73),0,IF(EU161&gt;0,MAX(BI161*(1+VLOOKUP($C161,WeatherCapacityAdjustment,3))-FQ161,0),0))</f>
        <v>37248</v>
      </c>
      <c r="FZ161" s="530">
        <f ca="1">IF(AND(Assumptions!$H$71="Yes",A161&gt;=Assumptions!$H$72,A161&lt;=Assumptions!$H$73),0,IF(EV161&gt;0,MAX(BJ161*(1+VLOOKUP($C161,WeatherCapacityAdjustment,2))-FR161,0),0))</f>
        <v>46560</v>
      </c>
      <c r="GA161" s="622">
        <f ca="1">IF(AND(Assumptions!$H$71="Yes",A161&gt;=Assumptions!$H$72,A161&lt;=Assumptions!$H$73),0,IF(EW161&gt;0,MAX(BK161*(1+VLOOKUP($C161,WeatherCapacityAdjustment,2))-FS161,0),0))</f>
        <v>144336</v>
      </c>
      <c r="GB161" s="530">
        <f t="shared" ca="1" si="461"/>
        <v>541260</v>
      </c>
      <c r="GC161" s="545">
        <f t="shared" ca="1" si="462"/>
        <v>35.943405707500474</v>
      </c>
      <c r="GD161" s="530">
        <f t="shared" ca="1" si="392"/>
        <v>19454727.773241706</v>
      </c>
      <c r="GE161" s="1485">
        <f t="shared" ca="1" si="393"/>
        <v>769221.39168</v>
      </c>
      <c r="GF161" s="1776">
        <f t="shared" ca="1" si="394"/>
        <v>3076885.56672</v>
      </c>
      <c r="GG161" s="545">
        <f t="shared" si="359"/>
        <v>2.8455870396525698</v>
      </c>
      <c r="GH161" s="622">
        <f t="shared" ca="1" si="360"/>
        <v>10944432.113940604</v>
      </c>
      <c r="GI161" s="621">
        <f t="shared" ca="1" si="507"/>
        <v>541260</v>
      </c>
      <c r="GJ161" s="638">
        <f t="shared" si="463"/>
        <v>2.1511666235201594</v>
      </c>
      <c r="GK161" s="625">
        <f t="shared" ca="1" si="513"/>
        <v>1164340.4466465216</v>
      </c>
      <c r="GL161" s="640">
        <f t="shared" ca="1" si="395"/>
        <v>0</v>
      </c>
      <c r="GM161" s="530">
        <f t="shared" ca="1" si="396"/>
        <v>0</v>
      </c>
      <c r="GN161" s="530">
        <f t="shared" ca="1" si="397"/>
        <v>0</v>
      </c>
      <c r="GO161" s="622">
        <f t="shared" ca="1" si="398"/>
        <v>0</v>
      </c>
      <c r="GP161" s="530">
        <f t="shared" ca="1" si="464"/>
        <v>0</v>
      </c>
      <c r="GQ161" s="545">
        <f t="shared" ca="1" si="465"/>
        <v>0</v>
      </c>
      <c r="GR161" s="625">
        <f t="shared" ca="1" si="399"/>
        <v>0</v>
      </c>
      <c r="GS161" s="640">
        <f>IF($A161&gt;=BegDate,Assumptions!$C$56*24*($A162-$A161)*(1-VLOOKUP($B161,MAIN!$AA$7:$AM$28,$C161+1))*(1-VLOOKUP($B161,MAIN!$AA$33:$AM$54,$C161+1)),0)*80/168</f>
        <v>257742.85714285713</v>
      </c>
      <c r="GT161" s="1715">
        <f t="shared" si="508"/>
        <v>44.383897139228658</v>
      </c>
      <c r="GU161" s="1715">
        <f>IF($A161&gt;=BegDate,VLOOKUP($A161,GasTable,13)+Assumptions!$C$58,0)</f>
        <v>2.8455870396525698</v>
      </c>
      <c r="GV161" s="1715">
        <f>GU161*Assumptions!$C$57/1000</f>
        <v>20.63050603748113</v>
      </c>
      <c r="GW161" s="625">
        <f>IF(Assumptions!$C$60="Hourly",MAX(0,GS161*(GT161-GV161)),GS161*(GT161-GV161))</f>
        <v>6122266.8893961273</v>
      </c>
      <c r="GX161" s="640">
        <f>IF($A161&gt;=BegDate,Assumptions!$C$56*24*($A162-$A161)*(1-VLOOKUP($B161,MAIN!$AA$7:$AM$28,$C161+1))*(1-VLOOKUP($B161,MAIN!$AA$33:$AM$54,$C161+1)),0)*16/168</f>
        <v>51548.571428571428</v>
      </c>
      <c r="GY161" s="1715">
        <f t="shared" si="509"/>
        <v>44.383897139228658</v>
      </c>
      <c r="GZ161" s="1715">
        <f>IF($A161&gt;=BegDate,VLOOKUP($A161,GasTable,13)+Assumptions!$C$58,0)</f>
        <v>2.8455870396525698</v>
      </c>
      <c r="HA161" s="1715">
        <f>GZ161*Assumptions!$C$57/1000</f>
        <v>20.63050603748113</v>
      </c>
      <c r="HB161" s="625">
        <f>IF(Assumptions!$C$60="Hourly",MAX(0,GX161*(GY161-HA161)),GX161*(GY161-HA161))</f>
        <v>1224453.3778792254</v>
      </c>
      <c r="HC161" s="640">
        <f>IF($A161&gt;=BegDate,Assumptions!$C$56*24*($A162-$A161)*(1-VLOOKUP($B161,MAIN!$AA$7:$AM$28,$C161+1))*(1-VLOOKUP($B161,MAIN!$AA$33:$AM$54,$C161+1)),0)*16/168</f>
        <v>51548.571428571428</v>
      </c>
      <c r="HD161" s="1715">
        <f t="shared" si="510"/>
        <v>25.238392184333023</v>
      </c>
      <c r="HE161" s="1715">
        <f>IF($A161&gt;=BegDate,VLOOKUP($A161,GasTable,13)+Assumptions!$C$58,0)</f>
        <v>2.8455870396525698</v>
      </c>
      <c r="HF161" s="1715">
        <f>HE161*Assumptions!$C$57/1000</f>
        <v>20.63050603748113</v>
      </c>
      <c r="HG161" s="625">
        <f>IF(Assumptions!$C$60="Hourly",MAX(0,HC161*(HD161-HF161)),HC161*(HD161-HF161))</f>
        <v>237529.94817571959</v>
      </c>
      <c r="HH161" s="640">
        <f>IF($A161&gt;=BegDate,Assumptions!$C$56*24*($A162-$A161)*(1-VLOOKUP($B161,MAIN!$AA$7:$AM$28,$C161+1))*(1-VLOOKUP($B161,MAIN!$AA$33:$AM$54,$C161+1)),0)*56/168</f>
        <v>180420</v>
      </c>
      <c r="HI161" s="1715">
        <f t="shared" si="511"/>
        <v>25.238392184333023</v>
      </c>
      <c r="HJ161" s="1715">
        <f>IF($A161&gt;=BegDate,VLOOKUP($A161,GasTable,13)+Assumptions!$C$58,0)</f>
        <v>2.8455870396525698</v>
      </c>
      <c r="HK161" s="1715">
        <f>HJ161*Assumptions!$C$57/1000</f>
        <v>20.63050603748113</v>
      </c>
      <c r="HL161" s="625">
        <f>IF(Assumptions!$C$60="Hourly",MAX(0,HH161*(HI161-HK161)),HH161*(HI161-HK161))</f>
        <v>831354.81861501851</v>
      </c>
      <c r="HM161" s="640">
        <f>IF(AND(Assumptions!$H$71="Yes",A161&gt;=Assumptions!$H$72,A161&lt;=Assumptions!$H$73),Assumptions!$H$74*Assumptions!$C$9*1000,0)</f>
        <v>0</v>
      </c>
      <c r="HN161" s="530"/>
      <c r="HO161" s="545"/>
      <c r="HP161" s="545"/>
      <c r="HQ161" s="545"/>
      <c r="HR161" s="545"/>
      <c r="HS161" s="545"/>
      <c r="HT161" s="545"/>
      <c r="HU161" s="545"/>
      <c r="HV161" s="545"/>
      <c r="HW161" s="545"/>
      <c r="HX161" s="545"/>
      <c r="HY161" s="545"/>
      <c r="HZ161" s="545"/>
      <c r="IA161" s="545"/>
      <c r="IB161" s="545"/>
      <c r="IC161" s="545"/>
      <c r="ID161" s="545"/>
      <c r="IE161" s="545"/>
      <c r="IF161" s="545"/>
      <c r="IG161" s="545"/>
      <c r="IH161" s="545"/>
      <c r="II161" s="1464"/>
      <c r="IJ161" s="1463"/>
      <c r="IK161" s="1463"/>
    </row>
    <row r="162" spans="1:245">
      <c r="A162" s="177">
        <f t="shared" si="466"/>
        <v>41061</v>
      </c>
      <c r="B162" s="349">
        <f t="shared" si="467"/>
        <v>2012</v>
      </c>
      <c r="C162" s="15">
        <f t="shared" si="515"/>
        <v>6</v>
      </c>
      <c r="D162" s="612" t="str">
        <f t="shared" si="468"/>
        <v/>
      </c>
      <c r="E162" s="609">
        <f t="shared" si="516"/>
        <v>41061</v>
      </c>
      <c r="F162" s="614">
        <f t="shared" si="517"/>
        <v>41090</v>
      </c>
      <c r="G162" s="1349">
        <v>0</v>
      </c>
      <c r="H162" s="152">
        <f t="shared" si="512"/>
        <v>1</v>
      </c>
      <c r="I162" s="154">
        <f>IF(Assumptions!$L$25=4,VLOOKUP($A162,'Henwood Reference'!$E$9:$R$320,10),(VLOOKUP($A162,PriceTable,2,0)+IF(BasisNumber&lt;&gt;1,VLOOKUP($A162,BasisTable,2,0),0)+I$1)/(1-I$2))</f>
        <v>41.188815586187239</v>
      </c>
      <c r="J162" s="154">
        <f>IF(Assumptions!$L$25=4,VLOOKUP($A162,'Henwood Reference'!$E$9:$R$320,10),(VLOOKUP($A162,PriceTable,3,0)+IF(BasisNumber&lt;&gt;1,VLOOKUP($A162,BasisTable,2,0),0)+J$1)/(1-J$2))</f>
        <v>41.188815586187239</v>
      </c>
      <c r="K162" s="154">
        <f>IF(Assumptions!$L$25=4,VLOOKUP($A162,'Henwood Reference'!$E$9:$R$320,10),(VLOOKUP($A162,PriceTable,4,0)+IF(BasisNumber&lt;&gt;1,VLOOKUP($A162,BasisTable,2,0),0)+K$1)/(1-K$2))</f>
        <v>41.188815586187239</v>
      </c>
      <c r="L162" s="474">
        <f>IF(Assumptions!$L$25=4,VLOOKUP($A162,'Henwood Reference'!$E$9:$R$320,10),(VLOOKUP($A162,PriceTableWeekend,2,0)+IF(BasisNumber&lt;&gt;1,VLOOKUP($A162,BasisTable,2,0),0)+L$1)/(1-L$2))</f>
        <v>41.188815586187239</v>
      </c>
      <c r="M162" s="154">
        <f>IF(Assumptions!$L$25=4,VLOOKUP($A162,'Henwood Reference'!$E$9:$R$320,10),(VLOOKUP($A162,PriceTableWeekend,3,0)+IF(BasisNumber&lt;&gt;1,VLOOKUP($A162,BasisTable,2,0),0)+M$1)/(1-M$2))</f>
        <v>41.188815586187239</v>
      </c>
      <c r="N162" s="156">
        <f>IF(Assumptions!$L$25=4,VLOOKUP($A162,'Henwood Reference'!$E$9:$R$320,10),(VLOOKUP($A162,PriceTableWeekend,4,0)+IF(BasisNumber&lt;&gt;1,VLOOKUP($A162,BasisTable,2,0),0)+N$1)/(1-N$2))</f>
        <v>41.188815586187239</v>
      </c>
      <c r="O162" s="154">
        <f>IF(Assumptions!$L$25=4,VLOOKUP($A162,'Henwood Reference'!$E$9:$R$320,11),(VLOOKUP($A162,PriceTableWeekend,6,0)+IF(BasisNumber&lt;&gt;1,VLOOKUP($A162,BasisTable,3,0),0)+O$1)/(1-O$2))</f>
        <v>23.71333142637156</v>
      </c>
      <c r="P162" s="154">
        <f>IF(Assumptions!$L$25=4,VLOOKUP($A162,'Henwood Reference'!$E$9:$R$320,11),(VLOOKUP($A162,PriceTableWeekend,7,0)+IF(BasisNumber&lt;&gt;1,VLOOKUP($A162,BasisTable,3,0),0)+P$1)/(1-P$2))</f>
        <v>23.71333142637156</v>
      </c>
      <c r="Q162" s="156">
        <f>IF(Assumptions!$L$25=4,VLOOKUP($A162,'Henwood Reference'!$E$9:$R$320,11),(VLOOKUP($A162,PriceTableWeekend,8,0)+IF(BasisNumber&lt;&gt;1,VLOOKUP($A162,BasisTable,3,0),0)+Q$1)/(1-Q$2))</f>
        <v>23.71333142637156</v>
      </c>
      <c r="R162" s="154">
        <f>IF(Assumptions!$L$25=4,VLOOKUP($A162,'Henwood Reference'!$E$9:$R$320,11),(VLOOKUP($A162,PriceTable,6,0)+IF(BasisNumber&lt;&gt;1,VLOOKUP($A162,BasisTable,3,0),0)+R$1)/(1-R$2))</f>
        <v>23.71333142637156</v>
      </c>
      <c r="S162" s="154">
        <f>IF(Assumptions!$L$25=4,VLOOKUP($A162,'Henwood Reference'!$E$9:$R$320,11),(VLOOKUP($A162,PriceTable,7,0)+IF(BasisNumber&lt;&gt;1,VLOOKUP($A162,BasisTable,3,0),0)+S$1)/(1-S$2))</f>
        <v>23.71333142637156</v>
      </c>
      <c r="T162" s="155">
        <f>IF(Assumptions!$L$25=4,VLOOKUP($A162,'Henwood Reference'!$E$9:$R$320,11),(VLOOKUP($A162,PriceTable,8,0)+IF(BasisNumber&lt;&gt;1,VLOOKUP($A162,BasisTable,3,0),0)+T$1)/(1-T$2))</f>
        <v>23.71333142637156</v>
      </c>
      <c r="U162" s="173">
        <f t="shared" si="469"/>
        <v>0.11</v>
      </c>
      <c r="V162" s="173">
        <f t="shared" si="470"/>
        <v>0.12</v>
      </c>
      <c r="W162" s="174">
        <f t="shared" si="471"/>
        <v>0.13</v>
      </c>
      <c r="X162" s="173">
        <f t="shared" si="472"/>
        <v>0.11</v>
      </c>
      <c r="Y162" s="173">
        <f t="shared" si="473"/>
        <v>0.12</v>
      </c>
      <c r="Z162" s="174">
        <f t="shared" si="474"/>
        <v>0.13</v>
      </c>
      <c r="AA162" s="173">
        <f t="shared" si="475"/>
        <v>0.09</v>
      </c>
      <c r="AB162" s="173">
        <f t="shared" si="476"/>
        <v>0.11</v>
      </c>
      <c r="AC162" s="174">
        <f t="shared" si="477"/>
        <v>0.13</v>
      </c>
      <c r="AD162" s="173">
        <f t="shared" si="478"/>
        <v>0.09</v>
      </c>
      <c r="AE162" s="173">
        <f t="shared" si="479"/>
        <v>0.11</v>
      </c>
      <c r="AF162" s="174">
        <f t="shared" si="480"/>
        <v>0.13</v>
      </c>
      <c r="AG162" s="173">
        <f t="shared" si="481"/>
        <v>-0.35</v>
      </c>
      <c r="AH162" s="173">
        <f t="shared" si="482"/>
        <v>0.65</v>
      </c>
      <c r="AI162" s="174">
        <f t="shared" si="483"/>
        <v>0.2</v>
      </c>
      <c r="AJ162" s="173">
        <f t="shared" si="484"/>
        <v>-0.35</v>
      </c>
      <c r="AK162" s="173">
        <f t="shared" si="485"/>
        <v>0.65</v>
      </c>
      <c r="AL162" s="174">
        <f t="shared" si="486"/>
        <v>0.2</v>
      </c>
      <c r="AM162" s="173">
        <f t="shared" si="487"/>
        <v>-0.01</v>
      </c>
      <c r="AN162" s="173">
        <f t="shared" si="488"/>
        <v>0.16</v>
      </c>
      <c r="AO162" s="174">
        <f t="shared" si="489"/>
        <v>0.01</v>
      </c>
      <c r="AP162" s="173">
        <f t="shared" si="490"/>
        <v>-0.01</v>
      </c>
      <c r="AQ162" s="173">
        <f t="shared" si="491"/>
        <v>0.16</v>
      </c>
      <c r="AR162" s="175">
        <f t="shared" si="492"/>
        <v>0.01</v>
      </c>
      <c r="AS162" s="521">
        <f t="shared" ref="AS162:AS177" si="520">IF(CorrPeakOffPeakOverFlag,INDEX(CorrPeakOffPeakOver,C162),CorrPeakOffPeak)</f>
        <v>0.5</v>
      </c>
      <c r="AT162" s="349">
        <f t="shared" si="518"/>
        <v>21</v>
      </c>
      <c r="AU162" s="159">
        <f t="shared" si="411"/>
        <v>5</v>
      </c>
      <c r="AV162" s="159">
        <f t="shared" si="412"/>
        <v>4</v>
      </c>
      <c r="AW162" s="159">
        <f t="shared" ref="AW162:AW177" si="521">IF(OR(E162="",D162="",D162&lt;BegDate,D162&gt;EndDate),0,1)</f>
        <v>0</v>
      </c>
      <c r="AX162" s="15">
        <f t="shared" si="519"/>
        <v>30</v>
      </c>
      <c r="AY162" s="607">
        <f>IF(E162="",0,MIN((1-(1-VLOOKUP(B162,MAIN!$AA$7:$AM$28,C162+1))*(1-VLOOKUP(B162,MAIN!$AA$33:$AM$54,C162+1))),1))</f>
        <v>3.0000000000000027E-2</v>
      </c>
      <c r="AZ162" s="337">
        <v>48888</v>
      </c>
      <c r="BA162" s="509">
        <v>11640</v>
      </c>
      <c r="BB162" s="509">
        <v>9312</v>
      </c>
      <c r="BC162" s="511">
        <v>34920</v>
      </c>
      <c r="BD162" s="153">
        <v>0.97000000722706314</v>
      </c>
      <c r="BE162" s="474">
        <v>0.97000000722706314</v>
      </c>
      <c r="BF162" s="474">
        <v>0.97000000722706314</v>
      </c>
      <c r="BG162" s="515">
        <v>0.97000000722706314</v>
      </c>
      <c r="BH162" s="262">
        <v>195552</v>
      </c>
      <c r="BI162" s="509">
        <v>46560</v>
      </c>
      <c r="BJ162" s="509">
        <v>37248</v>
      </c>
      <c r="BK162" s="511">
        <v>139680</v>
      </c>
      <c r="BL162" s="153">
        <v>0.97000000722706314</v>
      </c>
      <c r="BM162" s="474">
        <v>0.97000000722706314</v>
      </c>
      <c r="BN162" s="474">
        <v>0.97000000722706314</v>
      </c>
      <c r="BO162" s="474">
        <v>0.97000000722706314</v>
      </c>
      <c r="BP162" s="261">
        <f t="shared" si="495"/>
        <v>69840</v>
      </c>
      <c r="BQ162" s="578">
        <f t="shared" si="496"/>
        <v>104760</v>
      </c>
      <c r="BR162" s="259">
        <f t="shared" si="497"/>
        <v>279360</v>
      </c>
      <c r="BS162" s="578">
        <f t="shared" si="498"/>
        <v>419040</v>
      </c>
      <c r="BT162" s="216">
        <f t="shared" si="499"/>
        <v>12.131416837782341</v>
      </c>
      <c r="BU162" s="218">
        <f t="shared" si="414"/>
        <v>41.188815893067826</v>
      </c>
      <c r="BV162" s="216">
        <f t="shared" si="415"/>
        <v>41.188815893067826</v>
      </c>
      <c r="BW162" s="216">
        <f t="shared" si="416"/>
        <v>23.713331603049649</v>
      </c>
      <c r="BX162" s="216">
        <f t="shared" si="500"/>
        <v>23.713331603049649</v>
      </c>
      <c r="BY162" s="216">
        <f t="shared" si="417"/>
        <v>38.858751321065405</v>
      </c>
      <c r="BZ162" s="216">
        <f t="shared" si="418"/>
        <v>33.810278081726821</v>
      </c>
      <c r="CA162" s="264">
        <f t="shared" si="419"/>
        <v>41.188815893067826</v>
      </c>
      <c r="CB162" s="216">
        <f t="shared" si="420"/>
        <v>41.188815893067826</v>
      </c>
      <c r="CC162" s="216">
        <f t="shared" si="421"/>
        <v>23.713331603049649</v>
      </c>
      <c r="CD162" s="216">
        <f t="shared" si="501"/>
        <v>23.713331603049649</v>
      </c>
      <c r="CE162" s="216">
        <f t="shared" si="422"/>
        <v>38.858751321065405</v>
      </c>
      <c r="CF162" s="571">
        <f t="shared" si="423"/>
        <v>33.810278081726821</v>
      </c>
      <c r="CG162" s="573">
        <f t="shared" si="424"/>
        <v>0.12</v>
      </c>
      <c r="CH162" s="219">
        <f t="shared" si="425"/>
        <v>0.12</v>
      </c>
      <c r="CI162" s="219">
        <f t="shared" si="426"/>
        <v>0.11</v>
      </c>
      <c r="CJ162" s="219">
        <f t="shared" si="427"/>
        <v>0.11919172464887792</v>
      </c>
      <c r="CK162" s="219">
        <f t="shared" si="428"/>
        <v>0.11919172464887792</v>
      </c>
      <c r="CL162" s="219">
        <f t="shared" si="429"/>
        <v>0.11</v>
      </c>
      <c r="CM162" s="219">
        <f t="shared" si="430"/>
        <v>0.10690631015537612</v>
      </c>
      <c r="CN162" s="569">
        <f t="shared" si="431"/>
        <v>0.10690631015537612</v>
      </c>
      <c r="CO162" s="264">
        <f t="shared" si="514"/>
        <v>20.438622277198277</v>
      </c>
      <c r="CP162" s="216">
        <f t="shared" si="502"/>
        <v>20.438622277198277</v>
      </c>
      <c r="CQ162" s="216">
        <f t="shared" ca="1" si="361"/>
        <v>20.438622277198277</v>
      </c>
      <c r="CR162" s="216">
        <f t="shared" ca="1" si="362"/>
        <v>20.438622277198277</v>
      </c>
      <c r="CS162" s="1626">
        <f t="shared" ca="1" si="363"/>
        <v>20.438622277198277</v>
      </c>
      <c r="CT162" s="216">
        <f t="shared" si="503"/>
        <v>20.438622277198277</v>
      </c>
      <c r="CU162" s="575">
        <f t="shared" si="432"/>
        <v>0.156</v>
      </c>
      <c r="CV162" s="154">
        <f t="shared" si="433"/>
        <v>0.5</v>
      </c>
      <c r="CW162" s="216">
        <f>IF(OR($BQ162,$BS162),SpreadOptPowerMargin,0)*((1+Assumptions!$C$26)^($B162-YEAR(Assumptions!$C$17)))</f>
        <v>2.1511666235201594</v>
      </c>
      <c r="CX162" s="216">
        <f>IF(OR($BQ162,$BS162),SpreadOptPowerMargin,0)*((1+Assumptions!$C$26)^($B162-YEAR(Assumptions!$C$17)))</f>
        <v>2.1511666235201594</v>
      </c>
      <c r="CY162" s="216">
        <f>IF(OR($BQ162,$BS162),SpreadOptPowerMargin,0)*((1+Assumptions!$C$26)^($B162-YEAR(Assumptions!$C$17)))</f>
        <v>2.1511666235201594</v>
      </c>
      <c r="CZ162" s="216">
        <f>IF(OR($BQ162,$BS162),SpreadOptPowerMargin,0)*((1+Assumptions!$C$26)^($B162-YEAR(Assumptions!$C$17)))</f>
        <v>2.1511666235201594</v>
      </c>
      <c r="DA162" s="440">
        <f t="shared" si="434"/>
        <v>2.1511666235201599</v>
      </c>
      <c r="DB162" s="479">
        <f t="shared" si="435"/>
        <v>0.12</v>
      </c>
      <c r="DC162" s="479">
        <f t="shared" si="436"/>
        <v>0.12</v>
      </c>
      <c r="DD162" s="479">
        <f t="shared" si="437"/>
        <v>0.11</v>
      </c>
      <c r="DE162" s="479">
        <f t="shared" si="438"/>
        <v>0.11</v>
      </c>
      <c r="DF162" s="479">
        <f t="shared" si="439"/>
        <v>0.10690631015537612</v>
      </c>
      <c r="DG162" s="574">
        <f t="shared" si="440"/>
        <v>0.10690631015537612</v>
      </c>
      <c r="DH162" s="216">
        <f t="shared" si="441"/>
        <v>19.241475142971101</v>
      </c>
      <c r="DI162" s="216">
        <f t="shared" si="442"/>
        <v>19.241475142971101</v>
      </c>
      <c r="DJ162" s="216">
        <f t="shared" ca="1" si="364"/>
        <v>4.683490589793716</v>
      </c>
      <c r="DK162" s="216">
        <f t="shared" ca="1" si="365"/>
        <v>4.683490589793716</v>
      </c>
      <c r="DL162" s="216">
        <f t="shared" ca="1" si="366"/>
        <v>12.449353201387169</v>
      </c>
      <c r="DM162" s="216"/>
      <c r="DN162" s="216"/>
      <c r="DO162" s="216"/>
      <c r="DP162" s="216"/>
      <c r="DQ162" s="216"/>
      <c r="DR162" s="216"/>
      <c r="DS162" s="216"/>
      <c r="DT162" s="216"/>
      <c r="DU162" s="216"/>
      <c r="DV162" s="216"/>
      <c r="DW162" s="1371">
        <f t="shared" si="443"/>
        <v>4.683490589793716</v>
      </c>
      <c r="DX162" s="216">
        <f t="shared" si="444"/>
        <v>4.683490589793716</v>
      </c>
      <c r="DY162" s="440">
        <f t="shared" si="445"/>
        <v>13.094770553851761</v>
      </c>
      <c r="DZ162" s="180">
        <f t="shared" si="446"/>
        <v>940677.23678957124</v>
      </c>
      <c r="EA162" s="180">
        <f t="shared" si="447"/>
        <v>223970.77066418363</v>
      </c>
      <c r="EB162" s="180">
        <f t="shared" ca="1" si="367"/>
        <v>43612.664372159081</v>
      </c>
      <c r="EC162" s="180">
        <f t="shared" ca="1" si="368"/>
        <v>163547.49139559656</v>
      </c>
      <c r="ED162" s="180">
        <f t="shared" ca="1" si="369"/>
        <v>1304194.2413773197</v>
      </c>
      <c r="EE162" s="581">
        <f t="shared" si="448"/>
        <v>909269.23160197702</v>
      </c>
      <c r="EF162" s="554">
        <f t="shared" si="449"/>
        <v>216492.67419094691</v>
      </c>
      <c r="EG162" s="554">
        <f t="shared" ca="1" si="370"/>
        <v>10462.429644108266</v>
      </c>
      <c r="EH162" s="554">
        <f t="shared" ca="1" si="371"/>
        <v>39234.111165406001</v>
      </c>
      <c r="EI162" s="561">
        <f t="shared" ca="1" si="450"/>
        <v>1175458.4466024381</v>
      </c>
      <c r="EJ162" s="581">
        <f t="shared" si="504"/>
        <v>31408.005187594215</v>
      </c>
      <c r="EK162" s="554">
        <f t="shared" si="505"/>
        <v>7478.0964732367138</v>
      </c>
      <c r="EL162" s="554">
        <f t="shared" ca="1" si="372"/>
        <v>33150.234728050811</v>
      </c>
      <c r="EM162" s="554">
        <f t="shared" ca="1" si="373"/>
        <v>124313.38023019055</v>
      </c>
      <c r="EN162" s="561">
        <f t="shared" ca="1" si="374"/>
        <v>128735.79477488156</v>
      </c>
      <c r="EO162" s="180">
        <f t="shared" si="451"/>
        <v>3762708.947158285</v>
      </c>
      <c r="EP162" s="180">
        <f t="shared" si="452"/>
        <v>895883.08265673451</v>
      </c>
      <c r="EQ162" s="180">
        <f t="shared" si="453"/>
        <v>174450.65748863632</v>
      </c>
      <c r="ER162" s="180">
        <f t="shared" si="454"/>
        <v>654189.96558238624</v>
      </c>
      <c r="ES162" s="180">
        <f t="shared" si="455"/>
        <v>5487232.6528860424</v>
      </c>
      <c r="ET162" s="1482">
        <f t="shared" ca="1" si="375"/>
        <v>3637076.9264079081</v>
      </c>
      <c r="EU162" s="180">
        <f t="shared" ca="1" si="376"/>
        <v>865970.69676378765</v>
      </c>
      <c r="EV162" s="180">
        <f t="shared" ca="1" si="377"/>
        <v>41849.718576433064</v>
      </c>
      <c r="EW162" s="180">
        <f t="shared" ca="1" si="378"/>
        <v>156936.444661624</v>
      </c>
      <c r="EX162" s="555">
        <f t="shared" ca="1" si="351"/>
        <v>4701833.7864097524</v>
      </c>
      <c r="EY162" s="180">
        <f t="shared" ca="1" si="379"/>
        <v>125632.02075037686</v>
      </c>
      <c r="EZ162" s="180">
        <f t="shared" ca="1" si="380"/>
        <v>29912.385892946855</v>
      </c>
      <c r="FA162" s="180">
        <f t="shared" ca="1" si="381"/>
        <v>132600.93891220324</v>
      </c>
      <c r="FB162" s="180">
        <f t="shared" ca="1" si="382"/>
        <v>497253.52092076221</v>
      </c>
      <c r="FC162" s="180">
        <f t="shared" ca="1" si="383"/>
        <v>785398.86647628993</v>
      </c>
      <c r="FD162" s="262">
        <f>IF(AX162,IF(VLOOKUP(C162,MAIN!$L$17:$M$28,2)="Yes",VLOOKUP(CALC!B162,MAIN!$H$17:$I$20,2),0),0)</f>
        <v>0</v>
      </c>
      <c r="FE162" s="623">
        <f t="shared" si="456"/>
        <v>0</v>
      </c>
      <c r="FF162" s="535">
        <f t="shared" si="457"/>
        <v>0</v>
      </c>
      <c r="FG162" s="535">
        <f t="shared" si="458"/>
        <v>0</v>
      </c>
      <c r="FH162" s="624">
        <f t="shared" si="459"/>
        <v>0</v>
      </c>
      <c r="FI162" s="632">
        <f>IF(AX162,VLOOKUP(CALC!B162,MAIN!$H$17:$K$20,4),0)</f>
        <v>0</v>
      </c>
      <c r="FJ162" s="535">
        <f t="shared" si="460"/>
        <v>0</v>
      </c>
      <c r="FK162" s="648">
        <f t="shared" si="506"/>
        <v>0</v>
      </c>
      <c r="FL162" s="530">
        <f t="shared" ca="1" si="384"/>
        <v>0</v>
      </c>
      <c r="FM162" s="530">
        <f t="shared" ca="1" si="385"/>
        <v>0</v>
      </c>
      <c r="FN162" s="530">
        <f t="shared" ca="1" si="386"/>
        <v>0</v>
      </c>
      <c r="FO162" s="622">
        <f t="shared" ca="1" si="387"/>
        <v>0</v>
      </c>
      <c r="FP162" s="530">
        <f t="shared" ca="1" si="388"/>
        <v>0</v>
      </c>
      <c r="FQ162" s="530">
        <f t="shared" ca="1" si="389"/>
        <v>0</v>
      </c>
      <c r="FR162" s="530">
        <f t="shared" ca="1" si="390"/>
        <v>0</v>
      </c>
      <c r="FS162" s="625">
        <f t="shared" ca="1" si="391"/>
        <v>0</v>
      </c>
      <c r="FT162" s="640">
        <f ca="1">IF(AND(Assumptions!$H$71="Yes",A162&gt;=Assumptions!$H$72,A162&lt;=Assumptions!$H$73),0,IF(AND($A162&gt;=Assumptions!$C$17,$A162&lt;=Assumptions!$C$18),MAX(AZ162*(1+VLOOKUP($C162,WeatherCapacityAdjustment,2))-FL162,0),0))</f>
        <v>48888</v>
      </c>
      <c r="FU162" s="530">
        <f ca="1">IF(AND(Assumptions!$H$71="Yes",A162&gt;=Assumptions!$H$72,A162&lt;=Assumptions!$H$73),0,IF(AND($A162&gt;=Assumptions!$C$17,$A162&lt;=Assumptions!$C$18),MAX(BA162*(1+VLOOKUP($C162,WeatherCapacityAdjustment,2))-FM162,0),0))</f>
        <v>11640</v>
      </c>
      <c r="FV162" s="530">
        <f ca="1">IF(AND(Assumptions!$H$71="Yes",A162&gt;=Assumptions!$H$72,A162&lt;=Assumptions!$H$73),0,IF(AND($A162&gt;=Assumptions!$C$17,$A162&lt;=Assumptions!$C$18),MAX(BB162*(1+VLOOKUP($C162,WeatherCapacityAdjustment,2))-FN162,0),0))</f>
        <v>9312</v>
      </c>
      <c r="FW162" s="622">
        <f ca="1">IF(AND(Assumptions!$H$71="Yes",A162&gt;=Assumptions!$H$72,A162&lt;=Assumptions!$H$73),0,IF(AND($A162&gt;=Assumptions!$C$17,$A162&lt;=Assumptions!$C$18),MAX(BC162*(1+VLOOKUP($C162,WeatherCapacityAdjustment,3))-FO162,0),0))</f>
        <v>34920</v>
      </c>
      <c r="FX162" s="621">
        <f ca="1">IF(AND(Assumptions!$H$71="Yes",A162&gt;=Assumptions!$H$72,A162&lt;=Assumptions!$H$73),0,IF(ET162&gt;0,MAX(BH162*(1+VLOOKUP($C162,WeatherCapacityAdjustment,2))-FP162,0),0))</f>
        <v>195552</v>
      </c>
      <c r="FY162" s="530">
        <f ca="1">IF(AND(Assumptions!$H$71="Yes",A162&gt;=Assumptions!$H$72,A162&lt;=Assumptions!$H$73),0,IF(EU162&gt;0,MAX(BI162*(1+VLOOKUP($C162,WeatherCapacityAdjustment,3))-FQ162,0),0))</f>
        <v>46560</v>
      </c>
      <c r="FZ162" s="530">
        <f ca="1">IF(AND(Assumptions!$H$71="Yes",A162&gt;=Assumptions!$H$72,A162&lt;=Assumptions!$H$73),0,IF(EV162&gt;0,MAX(BJ162*(1+VLOOKUP($C162,WeatherCapacityAdjustment,2))-FR162,0),0))</f>
        <v>37248</v>
      </c>
      <c r="GA162" s="622">
        <f ca="1">IF(AND(Assumptions!$H$71="Yes",A162&gt;=Assumptions!$H$72,A162&lt;=Assumptions!$H$73),0,IF(EW162&gt;0,MAX(BK162*(1+VLOOKUP($C162,WeatherCapacityAdjustment,2))-FS162,0),0))</f>
        <v>139680</v>
      </c>
      <c r="GB162" s="530">
        <f t="shared" ca="1" si="461"/>
        <v>523800</v>
      </c>
      <c r="GC162" s="545">
        <f t="shared" ca="1" si="462"/>
        <v>33.810278081726814</v>
      </c>
      <c r="GD162" s="530">
        <f t="shared" ca="1" si="392"/>
        <v>17709823.65920851</v>
      </c>
      <c r="GE162" s="1485">
        <f t="shared" ca="1" si="393"/>
        <v>744715.79280000005</v>
      </c>
      <c r="GF162" s="1776">
        <f t="shared" ca="1" si="394"/>
        <v>2978863.1712000002</v>
      </c>
      <c r="GG162" s="545">
        <f t="shared" si="359"/>
        <v>2.8751237592383325</v>
      </c>
      <c r="GH162" s="622">
        <f t="shared" ca="1" si="360"/>
        <v>10705750.348796455</v>
      </c>
      <c r="GI162" s="621">
        <f t="shared" ca="1" si="507"/>
        <v>523800</v>
      </c>
      <c r="GJ162" s="638">
        <f t="shared" si="463"/>
        <v>2.1511666235201599</v>
      </c>
      <c r="GK162" s="625">
        <f t="shared" ca="1" si="513"/>
        <v>1126781.0773998597</v>
      </c>
      <c r="GL162" s="640">
        <f t="shared" ca="1" si="395"/>
        <v>0</v>
      </c>
      <c r="GM162" s="530">
        <f t="shared" ca="1" si="396"/>
        <v>0</v>
      </c>
      <c r="GN162" s="530">
        <f t="shared" ca="1" si="397"/>
        <v>0</v>
      </c>
      <c r="GO162" s="622">
        <f t="shared" ca="1" si="398"/>
        <v>0</v>
      </c>
      <c r="GP162" s="530">
        <f t="shared" ca="1" si="464"/>
        <v>0</v>
      </c>
      <c r="GQ162" s="545">
        <f t="shared" ca="1" si="465"/>
        <v>0</v>
      </c>
      <c r="GR162" s="625">
        <f t="shared" ca="1" si="399"/>
        <v>0</v>
      </c>
      <c r="GS162" s="640">
        <f>IF($A162&gt;=BegDate,Assumptions!$C$56*24*($A163-$A162)*(1-VLOOKUP($B162,MAIN!$AA$7:$AM$28,$C162+1))*(1-VLOOKUP($B162,MAIN!$AA$33:$AM$54,$C162+1)),0)*80/168</f>
        <v>249428.57142857142</v>
      </c>
      <c r="GT162" s="1715">
        <f t="shared" si="508"/>
        <v>41.188815586187239</v>
      </c>
      <c r="GU162" s="1715">
        <f>IF($A162&gt;=BegDate,VLOOKUP($A162,GasTable,13)+Assumptions!$C$58,0)</f>
        <v>2.8751237592383325</v>
      </c>
      <c r="GV162" s="1715">
        <f>GU162*Assumptions!$C$57/1000</f>
        <v>20.844647254477909</v>
      </c>
      <c r="GW162" s="625">
        <f>IF(Assumptions!$C$60="Hourly",MAX(0,GS162*(GT162-GV162)),GS162*(GT162-GV162))</f>
        <v>5074416.8438806413</v>
      </c>
      <c r="GX162" s="640">
        <f>IF($A162&gt;=BegDate,Assumptions!$C$56*24*($A163-$A162)*(1-VLOOKUP($B162,MAIN!$AA$7:$AM$28,$C162+1))*(1-VLOOKUP($B162,MAIN!$AA$33:$AM$54,$C162+1)),0)*16/168</f>
        <v>49885.714285714283</v>
      </c>
      <c r="GY162" s="1715">
        <f t="shared" si="509"/>
        <v>41.188815586187239</v>
      </c>
      <c r="GZ162" s="1715">
        <f>IF($A162&gt;=BegDate,VLOOKUP($A162,GasTable,13)+Assumptions!$C$58,0)</f>
        <v>2.8751237592383325</v>
      </c>
      <c r="HA162" s="1715">
        <f>GZ162*Assumptions!$C$57/1000</f>
        <v>20.844647254477909</v>
      </c>
      <c r="HB162" s="625">
        <f>IF(Assumptions!$C$60="Hourly",MAX(0,GX162*(GY162-HA162)),GX162*(GY162-HA162))</f>
        <v>1014883.3687761283</v>
      </c>
      <c r="HC162" s="640">
        <f>IF($A162&gt;=BegDate,Assumptions!$C$56*24*($A163-$A162)*(1-VLOOKUP($B162,MAIN!$AA$7:$AM$28,$C162+1))*(1-VLOOKUP($B162,MAIN!$AA$33:$AM$54,$C162+1)),0)*16/168</f>
        <v>49885.714285714283</v>
      </c>
      <c r="HD162" s="1715">
        <f t="shared" si="510"/>
        <v>23.71333142637156</v>
      </c>
      <c r="HE162" s="1715">
        <f>IF($A162&gt;=BegDate,VLOOKUP($A162,GasTable,13)+Assumptions!$C$58,0)</f>
        <v>2.8751237592383325</v>
      </c>
      <c r="HF162" s="1715">
        <f>HE162*Assumptions!$C$57/1000</f>
        <v>20.844647254477909</v>
      </c>
      <c r="HG162" s="625">
        <f>IF(Assumptions!$C$60="Hourly",MAX(0,HC162*(HD162-HF162)),HC162*(HD162-HF162))</f>
        <v>143106.35897503755</v>
      </c>
      <c r="HH162" s="640">
        <f>IF($A162&gt;=BegDate,Assumptions!$C$56*24*($A163-$A162)*(1-VLOOKUP($B162,MAIN!$AA$7:$AM$28,$C162+1))*(1-VLOOKUP($B162,MAIN!$AA$33:$AM$54,$C162+1)),0)*56/168</f>
        <v>174600</v>
      </c>
      <c r="HI162" s="1715">
        <f t="shared" si="511"/>
        <v>23.71333142637156</v>
      </c>
      <c r="HJ162" s="1715">
        <f>IF($A162&gt;=BegDate,VLOOKUP($A162,GasTable,13)+Assumptions!$C$58,0)</f>
        <v>2.8751237592383325</v>
      </c>
      <c r="HK162" s="1715">
        <f>HJ162*Assumptions!$C$57/1000</f>
        <v>20.844647254477909</v>
      </c>
      <c r="HL162" s="625">
        <f>IF(Assumptions!$C$60="Hourly",MAX(0,HH162*(HI162-HK162)),HH162*(HI162-HK162))</f>
        <v>500872.25641263154</v>
      </c>
      <c r="HM162" s="640">
        <f>IF(AND(Assumptions!$H$71="Yes",A162&gt;=Assumptions!$H$72,A162&lt;=Assumptions!$H$73),Assumptions!$H$74*Assumptions!$C$9*1000,0)</f>
        <v>0</v>
      </c>
      <c r="HN162" s="530"/>
      <c r="HO162" s="545"/>
      <c r="HP162" s="545"/>
      <c r="HQ162" s="545"/>
      <c r="HR162" s="545"/>
      <c r="HS162" s="545"/>
      <c r="HT162" s="545"/>
      <c r="HU162" s="545"/>
      <c r="HV162" s="545"/>
      <c r="HW162" s="545"/>
      <c r="HX162" s="545"/>
      <c r="HY162" s="545"/>
      <c r="HZ162" s="545"/>
      <c r="IA162" s="545"/>
      <c r="IB162" s="545"/>
      <c r="IC162" s="545"/>
      <c r="ID162" s="545"/>
      <c r="IE162" s="545"/>
      <c r="IF162" s="545"/>
      <c r="IG162" s="545"/>
      <c r="IH162" s="545"/>
      <c r="II162" s="1464"/>
      <c r="IJ162" s="1463"/>
      <c r="IK162" s="1463"/>
    </row>
    <row r="163" spans="1:245">
      <c r="A163" s="177">
        <f t="shared" si="466"/>
        <v>41091</v>
      </c>
      <c r="B163" s="349">
        <f t="shared" si="467"/>
        <v>2012</v>
      </c>
      <c r="C163" s="15">
        <f t="shared" si="515"/>
        <v>7</v>
      </c>
      <c r="D163" s="612">
        <f t="shared" si="468"/>
        <v>41094</v>
      </c>
      <c r="E163" s="609">
        <f t="shared" si="516"/>
        <v>41091</v>
      </c>
      <c r="F163" s="614">
        <f t="shared" si="517"/>
        <v>41121</v>
      </c>
      <c r="G163" s="1349">
        <v>0</v>
      </c>
      <c r="H163" s="152">
        <f t="shared" si="512"/>
        <v>1</v>
      </c>
      <c r="I163" s="154">
        <f>IF(Assumptions!$L$25=4,VLOOKUP($A163,'Henwood Reference'!$E$9:$R$320,10),(VLOOKUP($A163,PriceTable,2,0)+IF(BasisNumber&lt;&gt;1,VLOOKUP($A163,BasisTable,2,0),0)+I$1)/(1-I$2))</f>
        <v>64.314951061676339</v>
      </c>
      <c r="J163" s="154">
        <f>IF(Assumptions!$L$25=4,VLOOKUP($A163,'Henwood Reference'!$E$9:$R$320,10),(VLOOKUP($A163,PriceTable,3,0)+IF(BasisNumber&lt;&gt;1,VLOOKUP($A163,BasisTable,2,0),0)+J$1)/(1-J$2))</f>
        <v>64.314951061676339</v>
      </c>
      <c r="K163" s="154">
        <f>IF(Assumptions!$L$25=4,VLOOKUP($A163,'Henwood Reference'!$E$9:$R$320,10),(VLOOKUP($A163,PriceTable,4,0)+IF(BasisNumber&lt;&gt;1,VLOOKUP($A163,BasisTable,2,0),0)+K$1)/(1-K$2))</f>
        <v>64.314951061676339</v>
      </c>
      <c r="L163" s="474">
        <f>IF(Assumptions!$L$25=4,VLOOKUP($A163,'Henwood Reference'!$E$9:$R$320,10),(VLOOKUP($A163,PriceTableWeekend,2,0)+IF(BasisNumber&lt;&gt;1,VLOOKUP($A163,BasisTable,2,0),0)+L$1)/(1-L$2))</f>
        <v>64.314951061676339</v>
      </c>
      <c r="M163" s="154">
        <f>IF(Assumptions!$L$25=4,VLOOKUP($A163,'Henwood Reference'!$E$9:$R$320,10),(VLOOKUP($A163,PriceTableWeekend,3,0)+IF(BasisNumber&lt;&gt;1,VLOOKUP($A163,BasisTable,2,0),0)+M$1)/(1-M$2))</f>
        <v>64.314951061676339</v>
      </c>
      <c r="N163" s="156">
        <f>IF(Assumptions!$L$25=4,VLOOKUP($A163,'Henwood Reference'!$E$9:$R$320,10),(VLOOKUP($A163,PriceTableWeekend,4,0)+IF(BasisNumber&lt;&gt;1,VLOOKUP($A163,BasisTable,2,0),0)+N$1)/(1-N$2))</f>
        <v>64.314951061676339</v>
      </c>
      <c r="O163" s="154">
        <f>IF(Assumptions!$L$25=4,VLOOKUP($A163,'Henwood Reference'!$E$9:$R$320,11),(VLOOKUP($A163,PriceTableWeekend,6,0)+IF(BasisNumber&lt;&gt;1,VLOOKUP($A163,BasisTable,3,0),0)+O$1)/(1-O$2))</f>
        <v>29.942554648724414</v>
      </c>
      <c r="P163" s="154">
        <f>IF(Assumptions!$L$25=4,VLOOKUP($A163,'Henwood Reference'!$E$9:$R$320,11),(VLOOKUP($A163,PriceTableWeekend,7,0)+IF(BasisNumber&lt;&gt;1,VLOOKUP($A163,BasisTable,3,0),0)+P$1)/(1-P$2))</f>
        <v>29.942554648724414</v>
      </c>
      <c r="Q163" s="156">
        <f>IF(Assumptions!$L$25=4,VLOOKUP($A163,'Henwood Reference'!$E$9:$R$320,11),(VLOOKUP($A163,PriceTableWeekend,8,0)+IF(BasisNumber&lt;&gt;1,VLOOKUP($A163,BasisTable,3,0),0)+Q$1)/(1-Q$2))</f>
        <v>29.942554648724414</v>
      </c>
      <c r="R163" s="154">
        <f>IF(Assumptions!$L$25=4,VLOOKUP($A163,'Henwood Reference'!$E$9:$R$320,11),(VLOOKUP($A163,PriceTable,6,0)+IF(BasisNumber&lt;&gt;1,VLOOKUP($A163,BasisTable,3,0),0)+R$1)/(1-R$2))</f>
        <v>29.942554648724414</v>
      </c>
      <c r="S163" s="154">
        <f>IF(Assumptions!$L$25=4,VLOOKUP($A163,'Henwood Reference'!$E$9:$R$320,11),(VLOOKUP($A163,PriceTable,7,0)+IF(BasisNumber&lt;&gt;1,VLOOKUP($A163,BasisTable,3,0),0)+S$1)/(1-S$2))</f>
        <v>29.942554648724414</v>
      </c>
      <c r="T163" s="155">
        <f>IF(Assumptions!$L$25=4,VLOOKUP($A163,'Henwood Reference'!$E$9:$R$320,11),(VLOOKUP($A163,PriceTable,8,0)+IF(BasisNumber&lt;&gt;1,VLOOKUP($A163,BasisTable,3,0),0)+T$1)/(1-T$2))</f>
        <v>29.942554648724414</v>
      </c>
      <c r="U163" s="173">
        <f t="shared" si="469"/>
        <v>0.11</v>
      </c>
      <c r="V163" s="173">
        <f t="shared" si="470"/>
        <v>0.12</v>
      </c>
      <c r="W163" s="174">
        <f t="shared" si="471"/>
        <v>0.13</v>
      </c>
      <c r="X163" s="173">
        <f t="shared" si="472"/>
        <v>0.11</v>
      </c>
      <c r="Y163" s="173">
        <f t="shared" si="473"/>
        <v>0.12</v>
      </c>
      <c r="Z163" s="174">
        <f t="shared" si="474"/>
        <v>0.13</v>
      </c>
      <c r="AA163" s="173">
        <f t="shared" si="475"/>
        <v>0.09</v>
      </c>
      <c r="AB163" s="173">
        <f t="shared" si="476"/>
        <v>0.11</v>
      </c>
      <c r="AC163" s="174">
        <f t="shared" si="477"/>
        <v>0.13</v>
      </c>
      <c r="AD163" s="173">
        <f t="shared" si="478"/>
        <v>0.09</v>
      </c>
      <c r="AE163" s="173">
        <f t="shared" si="479"/>
        <v>0.11</v>
      </c>
      <c r="AF163" s="174">
        <f t="shared" si="480"/>
        <v>0.13</v>
      </c>
      <c r="AG163" s="173">
        <f t="shared" si="481"/>
        <v>-0.35</v>
      </c>
      <c r="AH163" s="173">
        <f t="shared" si="482"/>
        <v>3</v>
      </c>
      <c r="AI163" s="174">
        <f t="shared" si="483"/>
        <v>0.35</v>
      </c>
      <c r="AJ163" s="173">
        <f t="shared" si="484"/>
        <v>-0.35</v>
      </c>
      <c r="AK163" s="173">
        <f t="shared" si="485"/>
        <v>3</v>
      </c>
      <c r="AL163" s="174">
        <f t="shared" si="486"/>
        <v>0.35</v>
      </c>
      <c r="AM163" s="173">
        <f t="shared" si="487"/>
        <v>-0.01</v>
      </c>
      <c r="AN163" s="173">
        <f t="shared" si="488"/>
        <v>0.16</v>
      </c>
      <c r="AO163" s="174">
        <f t="shared" si="489"/>
        <v>0.01</v>
      </c>
      <c r="AP163" s="173">
        <f t="shared" si="490"/>
        <v>-0.01</v>
      </c>
      <c r="AQ163" s="173">
        <f t="shared" si="491"/>
        <v>0.16</v>
      </c>
      <c r="AR163" s="175">
        <f t="shared" si="492"/>
        <v>0.01</v>
      </c>
      <c r="AS163" s="521">
        <f t="shared" si="520"/>
        <v>0.5</v>
      </c>
      <c r="AT163" s="349">
        <f t="shared" si="518"/>
        <v>21</v>
      </c>
      <c r="AU163" s="159">
        <f t="shared" si="411"/>
        <v>4</v>
      </c>
      <c r="AV163" s="159">
        <f t="shared" si="412"/>
        <v>5</v>
      </c>
      <c r="AW163" s="159">
        <f t="shared" si="521"/>
        <v>1</v>
      </c>
      <c r="AX163" s="15">
        <f t="shared" si="519"/>
        <v>31</v>
      </c>
      <c r="AY163" s="607">
        <f>IF(E163="",0,MIN((1-(1-VLOOKUP(B163,MAIN!$AA$7:$AM$28,C163+1))*(1-VLOOKUP(B163,MAIN!$AA$33:$AM$54,C163+1))),1))</f>
        <v>3.0000000000000027E-2</v>
      </c>
      <c r="AZ163" s="337">
        <v>48888</v>
      </c>
      <c r="BA163" s="509">
        <v>9312</v>
      </c>
      <c r="BB163" s="509">
        <v>13968</v>
      </c>
      <c r="BC163" s="511">
        <v>36084</v>
      </c>
      <c r="BD163" s="153">
        <v>0.97000000361353156</v>
      </c>
      <c r="BE163" s="474">
        <v>0.97000000361353156</v>
      </c>
      <c r="BF163" s="474">
        <v>0.97000000361353156</v>
      </c>
      <c r="BG163" s="515">
        <v>0.96999998554587363</v>
      </c>
      <c r="BH163" s="262">
        <v>195552</v>
      </c>
      <c r="BI163" s="509">
        <v>37248</v>
      </c>
      <c r="BJ163" s="509">
        <v>55872</v>
      </c>
      <c r="BK163" s="511">
        <v>144336</v>
      </c>
      <c r="BL163" s="153">
        <v>0.97000000361353156</v>
      </c>
      <c r="BM163" s="474">
        <v>0.97000000361353156</v>
      </c>
      <c r="BN163" s="474">
        <v>0.97000000361353156</v>
      </c>
      <c r="BO163" s="474">
        <v>0.96999998554587363</v>
      </c>
      <c r="BP163" s="261">
        <f t="shared" si="495"/>
        <v>72168</v>
      </c>
      <c r="BQ163" s="578">
        <f t="shared" si="496"/>
        <v>108252</v>
      </c>
      <c r="BR163" s="259">
        <f t="shared" si="497"/>
        <v>288672</v>
      </c>
      <c r="BS163" s="578">
        <f t="shared" si="498"/>
        <v>433008</v>
      </c>
      <c r="BT163" s="216">
        <f t="shared" si="499"/>
        <v>12.213552361396303</v>
      </c>
      <c r="BU163" s="218">
        <f t="shared" si="414"/>
        <v>64.314951301268195</v>
      </c>
      <c r="BV163" s="216">
        <f t="shared" si="415"/>
        <v>64.314951301268195</v>
      </c>
      <c r="BW163" s="216">
        <f t="shared" si="416"/>
        <v>29.942554760269122</v>
      </c>
      <c r="BX163" s="216">
        <f t="shared" si="500"/>
        <v>29.942554202545583</v>
      </c>
      <c r="BY163" s="216">
        <f t="shared" si="417"/>
        <v>57.662229390107079</v>
      </c>
      <c r="BZ163" s="216">
        <f t="shared" si="418"/>
        <v>48.422337660919908</v>
      </c>
      <c r="CA163" s="264">
        <f t="shared" si="419"/>
        <v>64.314951301268195</v>
      </c>
      <c r="CB163" s="216">
        <f t="shared" si="420"/>
        <v>64.314951301268195</v>
      </c>
      <c r="CC163" s="216">
        <f t="shared" si="421"/>
        <v>29.942554760269122</v>
      </c>
      <c r="CD163" s="216">
        <f t="shared" si="501"/>
        <v>29.942554202545583</v>
      </c>
      <c r="CE163" s="216">
        <f t="shared" si="422"/>
        <v>57.662229390107079</v>
      </c>
      <c r="CF163" s="571">
        <f t="shared" si="423"/>
        <v>48.422337660919908</v>
      </c>
      <c r="CG163" s="573">
        <f t="shared" si="424"/>
        <v>0.12</v>
      </c>
      <c r="CH163" s="219">
        <f t="shared" si="425"/>
        <v>0.12</v>
      </c>
      <c r="CI163" s="219">
        <f t="shared" si="426"/>
        <v>0.11</v>
      </c>
      <c r="CJ163" s="219">
        <f t="shared" si="427"/>
        <v>0.11900149821377183</v>
      </c>
      <c r="CK163" s="219">
        <f t="shared" si="428"/>
        <v>0.11900149821377183</v>
      </c>
      <c r="CL163" s="219">
        <f t="shared" si="429"/>
        <v>0.11</v>
      </c>
      <c r="CM163" s="219">
        <f t="shared" si="430"/>
        <v>0.10796663039219778</v>
      </c>
      <c r="CN163" s="569">
        <f t="shared" si="431"/>
        <v>0.10796663039219778</v>
      </c>
      <c r="CO163" s="264">
        <f t="shared" si="514"/>
        <v>20.971063180903496</v>
      </c>
      <c r="CP163" s="216">
        <f t="shared" si="502"/>
        <v>20.971063180903496</v>
      </c>
      <c r="CQ163" s="216">
        <f t="shared" ca="1" si="361"/>
        <v>20.971063180903496</v>
      </c>
      <c r="CR163" s="216">
        <f t="shared" ca="1" si="362"/>
        <v>20.971063180903496</v>
      </c>
      <c r="CS163" s="1626">
        <f t="shared" ca="1" si="363"/>
        <v>20.971063180903496</v>
      </c>
      <c r="CT163" s="216">
        <f t="shared" si="503"/>
        <v>20.971063180903496</v>
      </c>
      <c r="CU163" s="575">
        <f t="shared" si="432"/>
        <v>0.156</v>
      </c>
      <c r="CV163" s="154">
        <f t="shared" si="433"/>
        <v>0.5</v>
      </c>
      <c r="CW163" s="216">
        <f>IF(OR($BQ163,$BS163),SpreadOptPowerMargin,0)*((1+Assumptions!$C$26)^($B163-YEAR(Assumptions!$C$17)))</f>
        <v>2.1511666235201594</v>
      </c>
      <c r="CX163" s="216">
        <f>IF(OR($BQ163,$BS163),SpreadOptPowerMargin,0)*((1+Assumptions!$C$26)^($B163-YEAR(Assumptions!$C$17)))</f>
        <v>2.1511666235201594</v>
      </c>
      <c r="CY163" s="216">
        <f>IF(OR($BQ163,$BS163),SpreadOptPowerMargin,0)*((1+Assumptions!$C$26)^($B163-YEAR(Assumptions!$C$17)))</f>
        <v>2.1511666235201594</v>
      </c>
      <c r="CZ163" s="216">
        <f>IF(OR($BQ163,$BS163),SpreadOptPowerMargin,0)*((1+Assumptions!$C$26)^($B163-YEAR(Assumptions!$C$17)))</f>
        <v>2.1511666235201594</v>
      </c>
      <c r="DA163" s="440">
        <f t="shared" si="434"/>
        <v>2.1511666235201594</v>
      </c>
      <c r="DB163" s="479">
        <f t="shared" si="435"/>
        <v>0.12</v>
      </c>
      <c r="DC163" s="479">
        <f t="shared" si="436"/>
        <v>0.12</v>
      </c>
      <c r="DD163" s="479">
        <f t="shared" si="437"/>
        <v>0.11</v>
      </c>
      <c r="DE163" s="479">
        <f t="shared" si="438"/>
        <v>0.11</v>
      </c>
      <c r="DF163" s="479">
        <f t="shared" si="439"/>
        <v>0.10796663039219778</v>
      </c>
      <c r="DG163" s="574">
        <f t="shared" si="440"/>
        <v>0.10796663039219778</v>
      </c>
      <c r="DH163" s="216">
        <f t="shared" si="441"/>
        <v>41.285380466105686</v>
      </c>
      <c r="DI163" s="216">
        <f t="shared" si="442"/>
        <v>41.285380466105686</v>
      </c>
      <c r="DJ163" s="216">
        <f t="shared" ca="1" si="364"/>
        <v>8.8933827698576184</v>
      </c>
      <c r="DK163" s="216">
        <f t="shared" ca="1" si="365"/>
        <v>8.8933823287983955</v>
      </c>
      <c r="DL163" s="216">
        <f t="shared" ca="1" si="366"/>
        <v>25.629069257443152</v>
      </c>
      <c r="DM163" s="216"/>
      <c r="DN163" s="216"/>
      <c r="DO163" s="216"/>
      <c r="DP163" s="216"/>
      <c r="DQ163" s="216"/>
      <c r="DR163" s="216"/>
      <c r="DS163" s="216"/>
      <c r="DT163" s="216"/>
      <c r="DU163" s="216"/>
      <c r="DV163" s="216"/>
      <c r="DW163" s="1371">
        <f t="shared" si="443"/>
        <v>8.8933827698576184</v>
      </c>
      <c r="DX163" s="216">
        <f t="shared" si="444"/>
        <v>8.8933823287983955</v>
      </c>
      <c r="DY163" s="440">
        <f t="shared" si="445"/>
        <v>26.308435147702426</v>
      </c>
      <c r="DZ163" s="180">
        <f t="shared" si="446"/>
        <v>2018359.6802269747</v>
      </c>
      <c r="EA163" s="180">
        <f t="shared" si="447"/>
        <v>384449.46290037612</v>
      </c>
      <c r="EB163" s="180">
        <f t="shared" ca="1" si="367"/>
        <v>124222.77052937122</v>
      </c>
      <c r="EC163" s="180">
        <f t="shared" ca="1" si="368"/>
        <v>320908.8079523613</v>
      </c>
      <c r="ED163" s="180">
        <f t="shared" ca="1" si="369"/>
        <v>2774398.0052567362</v>
      </c>
      <c r="EE163" s="581">
        <f t="shared" si="448"/>
        <v>2013829.768537736</v>
      </c>
      <c r="EF163" s="554">
        <f t="shared" si="449"/>
        <v>383586.62257861637</v>
      </c>
      <c r="EG163" s="554">
        <f t="shared" ca="1" si="370"/>
        <v>95266.298983249493</v>
      </c>
      <c r="EH163" s="554">
        <f t="shared" ca="1" si="371"/>
        <v>246104.58558183169</v>
      </c>
      <c r="EI163" s="561">
        <f t="shared" ca="1" si="450"/>
        <v>2738787.2756814323</v>
      </c>
      <c r="EJ163" s="581">
        <f t="shared" si="504"/>
        <v>4529.9116892386228</v>
      </c>
      <c r="EK163" s="554">
        <f t="shared" si="505"/>
        <v>862.84032175975153</v>
      </c>
      <c r="EL163" s="554">
        <f t="shared" ca="1" si="372"/>
        <v>28956.471546121727</v>
      </c>
      <c r="EM163" s="554">
        <f t="shared" ca="1" si="373"/>
        <v>74804.222370529606</v>
      </c>
      <c r="EN163" s="561">
        <f t="shared" ca="1" si="374"/>
        <v>35610.729575303849</v>
      </c>
      <c r="EO163" s="180">
        <f t="shared" si="451"/>
        <v>8073438.7209078986</v>
      </c>
      <c r="EP163" s="180">
        <f t="shared" si="452"/>
        <v>1537797.8516015045</v>
      </c>
      <c r="EQ163" s="180">
        <f t="shared" si="453"/>
        <v>496891.08211748488</v>
      </c>
      <c r="ER163" s="180">
        <f t="shared" si="454"/>
        <v>1283635.2318094452</v>
      </c>
      <c r="ES163" s="180">
        <f t="shared" si="455"/>
        <v>11391762.886436332</v>
      </c>
      <c r="ET163" s="1482">
        <f t="shared" ca="1" si="375"/>
        <v>8055319.0741509441</v>
      </c>
      <c r="EU163" s="180">
        <f t="shared" ca="1" si="376"/>
        <v>1534346.4903144655</v>
      </c>
      <c r="EV163" s="180">
        <f t="shared" ca="1" si="377"/>
        <v>381065.19593299797</v>
      </c>
      <c r="EW163" s="180">
        <f t="shared" ca="1" si="378"/>
        <v>984418.34232732677</v>
      </c>
      <c r="EX163" s="555">
        <f t="shared" ca="1" si="351"/>
        <v>10955149.102725733</v>
      </c>
      <c r="EY163" s="180">
        <f t="shared" ca="1" si="379"/>
        <v>18119.646756954491</v>
      </c>
      <c r="EZ163" s="180">
        <f t="shared" ca="1" si="380"/>
        <v>3451.3612870390061</v>
      </c>
      <c r="FA163" s="180">
        <f t="shared" ca="1" si="381"/>
        <v>115825.88618448691</v>
      </c>
      <c r="FB163" s="180">
        <f t="shared" ca="1" si="382"/>
        <v>299216.88948211842</v>
      </c>
      <c r="FC163" s="180">
        <f t="shared" ca="1" si="383"/>
        <v>436613.78371059895</v>
      </c>
      <c r="FD163" s="262">
        <f>IF(AX163,IF(VLOOKUP(C163,MAIN!$L$17:$M$28,2)="Yes",VLOOKUP(CALC!B163,MAIN!$H$17:$I$20,2),0),0)</f>
        <v>0</v>
      </c>
      <c r="FE163" s="623">
        <f t="shared" si="456"/>
        <v>0</v>
      </c>
      <c r="FF163" s="535">
        <f t="shared" si="457"/>
        <v>0</v>
      </c>
      <c r="FG163" s="535">
        <f t="shared" si="458"/>
        <v>0</v>
      </c>
      <c r="FH163" s="624">
        <f t="shared" si="459"/>
        <v>0</v>
      </c>
      <c r="FI163" s="632">
        <f>IF(AX163,VLOOKUP(CALC!B163,MAIN!$H$17:$K$20,4),0)</f>
        <v>0</v>
      </c>
      <c r="FJ163" s="535">
        <f t="shared" si="460"/>
        <v>0</v>
      </c>
      <c r="FK163" s="648">
        <f t="shared" si="506"/>
        <v>0</v>
      </c>
      <c r="FL163" s="530">
        <f t="shared" ca="1" si="384"/>
        <v>0</v>
      </c>
      <c r="FM163" s="530">
        <f t="shared" ca="1" si="385"/>
        <v>0</v>
      </c>
      <c r="FN163" s="530">
        <f t="shared" ca="1" si="386"/>
        <v>0</v>
      </c>
      <c r="FO163" s="622">
        <f t="shared" ca="1" si="387"/>
        <v>0</v>
      </c>
      <c r="FP163" s="530">
        <f t="shared" ca="1" si="388"/>
        <v>0</v>
      </c>
      <c r="FQ163" s="530">
        <f t="shared" ca="1" si="389"/>
        <v>0</v>
      </c>
      <c r="FR163" s="530">
        <f t="shared" ca="1" si="390"/>
        <v>0</v>
      </c>
      <c r="FS163" s="625">
        <f t="shared" ca="1" si="391"/>
        <v>0</v>
      </c>
      <c r="FT163" s="640">
        <f ca="1">IF(AND(Assumptions!$H$71="Yes",A163&gt;=Assumptions!$H$72,A163&lt;=Assumptions!$H$73),0,IF(AND($A163&gt;=Assumptions!$C$17,$A163&lt;=Assumptions!$C$18),MAX(AZ163*(1+VLOOKUP($C163,WeatherCapacityAdjustment,2))-FL163,0),0))</f>
        <v>48888</v>
      </c>
      <c r="FU163" s="530">
        <f ca="1">IF(AND(Assumptions!$H$71="Yes",A163&gt;=Assumptions!$H$72,A163&lt;=Assumptions!$H$73),0,IF(AND($A163&gt;=Assumptions!$C$17,$A163&lt;=Assumptions!$C$18),MAX(BA163*(1+VLOOKUP($C163,WeatherCapacityAdjustment,2))-FM163,0),0))</f>
        <v>9312</v>
      </c>
      <c r="FV163" s="530">
        <f ca="1">IF(AND(Assumptions!$H$71="Yes",A163&gt;=Assumptions!$H$72,A163&lt;=Assumptions!$H$73),0,IF(AND($A163&gt;=Assumptions!$C$17,$A163&lt;=Assumptions!$C$18),MAX(BB163*(1+VLOOKUP($C163,WeatherCapacityAdjustment,2))-FN163,0),0))</f>
        <v>13968</v>
      </c>
      <c r="FW163" s="622">
        <f ca="1">IF(AND(Assumptions!$H$71="Yes",A163&gt;=Assumptions!$H$72,A163&lt;=Assumptions!$H$73),0,IF(AND($A163&gt;=Assumptions!$C$17,$A163&lt;=Assumptions!$C$18),MAX(BC163*(1+VLOOKUP($C163,WeatherCapacityAdjustment,3))-FO163,0),0))</f>
        <v>36084</v>
      </c>
      <c r="FX163" s="621">
        <f ca="1">IF(AND(Assumptions!$H$71="Yes",A163&gt;=Assumptions!$H$72,A163&lt;=Assumptions!$H$73),0,IF(ET163&gt;0,MAX(BH163*(1+VLOOKUP($C163,WeatherCapacityAdjustment,2))-FP163,0),0))</f>
        <v>195552</v>
      </c>
      <c r="FY163" s="530">
        <f ca="1">IF(AND(Assumptions!$H$71="Yes",A163&gt;=Assumptions!$H$72,A163&lt;=Assumptions!$H$73),0,IF(EU163&gt;0,MAX(BI163*(1+VLOOKUP($C163,WeatherCapacityAdjustment,3))-FQ163,0),0))</f>
        <v>37248</v>
      </c>
      <c r="FZ163" s="530">
        <f ca="1">IF(AND(Assumptions!$H$71="Yes",A163&gt;=Assumptions!$H$72,A163&lt;=Assumptions!$H$73),0,IF(EV163&gt;0,MAX(BJ163*(1+VLOOKUP($C163,WeatherCapacityAdjustment,2))-FR163,0),0))</f>
        <v>55872</v>
      </c>
      <c r="GA163" s="622">
        <f ca="1">IF(AND(Assumptions!$H$71="Yes",A163&gt;=Assumptions!$H$72,A163&lt;=Assumptions!$H$73),0,IF(EW163&gt;0,MAX(BK163*(1+VLOOKUP($C163,WeatherCapacityAdjustment,2))-FS163,0),0))</f>
        <v>144336</v>
      </c>
      <c r="GB163" s="530">
        <f t="shared" ca="1" si="461"/>
        <v>541260</v>
      </c>
      <c r="GC163" s="545">
        <f t="shared" ca="1" si="462"/>
        <v>48.422337660919908</v>
      </c>
      <c r="GD163" s="530">
        <f t="shared" ca="1" si="392"/>
        <v>26209074.482349511</v>
      </c>
      <c r="GE163" s="1485">
        <f t="shared" ca="1" si="393"/>
        <v>769857.91344000003</v>
      </c>
      <c r="GF163" s="1776">
        <f t="shared" ca="1" si="394"/>
        <v>3079431.6537600001</v>
      </c>
      <c r="GG163" s="545">
        <f t="shared" si="359"/>
        <v>2.9488032685346859</v>
      </c>
      <c r="GH163" s="622">
        <f t="shared" ca="1" si="360"/>
        <v>11350797.657295827</v>
      </c>
      <c r="GI163" s="621">
        <f t="shared" ca="1" si="507"/>
        <v>541260</v>
      </c>
      <c r="GJ163" s="638">
        <f t="shared" si="463"/>
        <v>2.1511666235201594</v>
      </c>
      <c r="GK163" s="625">
        <f t="shared" ca="1" si="513"/>
        <v>1164340.4466465216</v>
      </c>
      <c r="GL163" s="640">
        <f t="shared" ca="1" si="395"/>
        <v>0</v>
      </c>
      <c r="GM163" s="530">
        <f t="shared" ca="1" si="396"/>
        <v>0</v>
      </c>
      <c r="GN163" s="530">
        <f t="shared" ca="1" si="397"/>
        <v>0</v>
      </c>
      <c r="GO163" s="622">
        <f t="shared" ca="1" si="398"/>
        <v>0</v>
      </c>
      <c r="GP163" s="530">
        <f t="shared" ca="1" si="464"/>
        <v>0</v>
      </c>
      <c r="GQ163" s="545">
        <f t="shared" ca="1" si="465"/>
        <v>0</v>
      </c>
      <c r="GR163" s="625">
        <f t="shared" ca="1" si="399"/>
        <v>0</v>
      </c>
      <c r="GS163" s="640">
        <f>IF($A163&gt;=BegDate,Assumptions!$C$56*24*($A164-$A163)*(1-VLOOKUP($B163,MAIN!$AA$7:$AM$28,$C163+1))*(1-VLOOKUP($B163,MAIN!$AA$33:$AM$54,$C163+1)),0)*80/168</f>
        <v>257742.85714285713</v>
      </c>
      <c r="GT163" s="1715">
        <f t="shared" si="508"/>
        <v>64.314951061676339</v>
      </c>
      <c r="GU163" s="1715">
        <f>IF($A163&gt;=BegDate,VLOOKUP($A163,GasTable,13)+Assumptions!$C$58,0)</f>
        <v>2.9488032685346859</v>
      </c>
      <c r="GV163" s="1715">
        <f>GU163*Assumptions!$C$57/1000</f>
        <v>21.378823696876474</v>
      </c>
      <c r="GW163" s="625">
        <f>IF(Assumptions!$C$60="Hourly",MAX(0,GS163*(GT163-GV163)),GS163*(GT163-GV163))</f>
        <v>11066480.14165313</v>
      </c>
      <c r="GX163" s="640">
        <f>IF($A163&gt;=BegDate,Assumptions!$C$56*24*($A164-$A163)*(1-VLOOKUP($B163,MAIN!$AA$7:$AM$28,$C163+1))*(1-VLOOKUP($B163,MAIN!$AA$33:$AM$54,$C163+1)),0)*16/168</f>
        <v>51548.571428571428</v>
      </c>
      <c r="GY163" s="1715">
        <f t="shared" si="509"/>
        <v>64.314951061676339</v>
      </c>
      <c r="GZ163" s="1715">
        <f>IF($A163&gt;=BegDate,VLOOKUP($A163,GasTable,13)+Assumptions!$C$58,0)</f>
        <v>2.9488032685346859</v>
      </c>
      <c r="HA163" s="1715">
        <f>GZ163*Assumptions!$C$57/1000</f>
        <v>21.378823696876474</v>
      </c>
      <c r="HB163" s="625">
        <f>IF(Assumptions!$C$60="Hourly",MAX(0,GX163*(GY163-HA163)),GX163*(GY163-HA163))</f>
        <v>2213296.028330626</v>
      </c>
      <c r="HC163" s="640">
        <f>IF($A163&gt;=BegDate,Assumptions!$C$56*24*($A164-$A163)*(1-VLOOKUP($B163,MAIN!$AA$7:$AM$28,$C163+1))*(1-VLOOKUP($B163,MAIN!$AA$33:$AM$54,$C163+1)),0)*16/168</f>
        <v>51548.571428571428</v>
      </c>
      <c r="HD163" s="1715">
        <f t="shared" si="510"/>
        <v>29.942554648724414</v>
      </c>
      <c r="HE163" s="1715">
        <f>IF($A163&gt;=BegDate,VLOOKUP($A163,GasTable,13)+Assumptions!$C$58,0)</f>
        <v>2.9488032685346859</v>
      </c>
      <c r="HF163" s="1715">
        <f>HE163*Assumptions!$C$57/1000</f>
        <v>21.378823696876474</v>
      </c>
      <c r="HG163" s="625">
        <f>IF(Assumptions!$C$60="Hourly",MAX(0,HC163*(HD163-HF163)),HC163*(HD163-HF163))</f>
        <v>441448.09666640154</v>
      </c>
      <c r="HH163" s="640">
        <f>IF($A163&gt;=BegDate,Assumptions!$C$56*24*($A164-$A163)*(1-VLOOKUP($B163,MAIN!$AA$7:$AM$28,$C163+1))*(1-VLOOKUP($B163,MAIN!$AA$33:$AM$54,$C163+1)),0)*56/168</f>
        <v>180420</v>
      </c>
      <c r="HI163" s="1715">
        <f t="shared" si="511"/>
        <v>29.942554648724414</v>
      </c>
      <c r="HJ163" s="1715">
        <f>IF($A163&gt;=BegDate,VLOOKUP($A163,GasTable,13)+Assumptions!$C$58,0)</f>
        <v>2.9488032685346859</v>
      </c>
      <c r="HK163" s="1715">
        <f>HJ163*Assumptions!$C$57/1000</f>
        <v>21.378823696876474</v>
      </c>
      <c r="HL163" s="625">
        <f>IF(Assumptions!$C$60="Hourly",MAX(0,HH163*(HI163-HK163)),HH163*(HI163-HK163))</f>
        <v>1545068.3383324055</v>
      </c>
      <c r="HM163" s="640">
        <f>IF(AND(Assumptions!$H$71="Yes",A163&gt;=Assumptions!$H$72,A163&lt;=Assumptions!$H$73),Assumptions!$H$74*Assumptions!$C$9*1000,0)</f>
        <v>0</v>
      </c>
      <c r="HN163" s="530"/>
      <c r="HO163" s="545"/>
      <c r="HP163" s="545"/>
      <c r="HQ163" s="545"/>
      <c r="HR163" s="545"/>
      <c r="HS163" s="545"/>
      <c r="HT163" s="545"/>
      <c r="HU163" s="545"/>
      <c r="HV163" s="545"/>
      <c r="HW163" s="545"/>
      <c r="HX163" s="545"/>
      <c r="HY163" s="545"/>
      <c r="HZ163" s="545"/>
      <c r="IA163" s="545"/>
      <c r="IB163" s="545"/>
      <c r="IC163" s="545"/>
      <c r="ID163" s="545"/>
      <c r="IE163" s="545"/>
      <c r="IF163" s="545"/>
      <c r="IG163" s="545"/>
      <c r="IH163" s="545"/>
      <c r="II163" s="1464"/>
      <c r="IJ163" s="1463"/>
      <c r="IK163" s="1463"/>
    </row>
    <row r="164" spans="1:245">
      <c r="A164" s="177">
        <f t="shared" si="466"/>
        <v>41122</v>
      </c>
      <c r="B164" s="349">
        <f t="shared" si="467"/>
        <v>2012</v>
      </c>
      <c r="C164" s="15">
        <f t="shared" si="515"/>
        <v>8</v>
      </c>
      <c r="D164" s="612" t="str">
        <f t="shared" si="468"/>
        <v/>
      </c>
      <c r="E164" s="609">
        <f t="shared" si="516"/>
        <v>41122</v>
      </c>
      <c r="F164" s="614">
        <f t="shared" si="517"/>
        <v>41152</v>
      </c>
      <c r="G164" s="1349">
        <v>0</v>
      </c>
      <c r="H164" s="152">
        <f t="shared" si="512"/>
        <v>1</v>
      </c>
      <c r="I164" s="154">
        <f>IF(Assumptions!$L$25=4,VLOOKUP($A164,'Henwood Reference'!$E$9:$R$320,10),(VLOOKUP($A164,PriceTable,2,0)+IF(BasisNumber&lt;&gt;1,VLOOKUP($A164,BasisTable,2,0),0)+I$1)/(1-I$2))</f>
        <v>113.44004332569763</v>
      </c>
      <c r="J164" s="154">
        <f>IF(Assumptions!$L$25=4,VLOOKUP($A164,'Henwood Reference'!$E$9:$R$320,10),(VLOOKUP($A164,PriceTable,3,0)+IF(BasisNumber&lt;&gt;1,VLOOKUP($A164,BasisTable,2,0),0)+J$1)/(1-J$2))</f>
        <v>113.44004332569763</v>
      </c>
      <c r="K164" s="154">
        <f>IF(Assumptions!$L$25=4,VLOOKUP($A164,'Henwood Reference'!$E$9:$R$320,10),(VLOOKUP($A164,PriceTable,4,0)+IF(BasisNumber&lt;&gt;1,VLOOKUP($A164,BasisTable,2,0),0)+K$1)/(1-K$2))</f>
        <v>113.44004332569763</v>
      </c>
      <c r="L164" s="474">
        <f>IF(Assumptions!$L$25=4,VLOOKUP($A164,'Henwood Reference'!$E$9:$R$320,10),(VLOOKUP($A164,PriceTableWeekend,2,0)+IF(BasisNumber&lt;&gt;1,VLOOKUP($A164,BasisTable,2,0),0)+L$1)/(1-L$2))</f>
        <v>113.44004332569763</v>
      </c>
      <c r="M164" s="154">
        <f>IF(Assumptions!$L$25=4,VLOOKUP($A164,'Henwood Reference'!$E$9:$R$320,10),(VLOOKUP($A164,PriceTableWeekend,3,0)+IF(BasisNumber&lt;&gt;1,VLOOKUP($A164,BasisTable,2,0),0)+M$1)/(1-M$2))</f>
        <v>113.44004332569763</v>
      </c>
      <c r="N164" s="156">
        <f>IF(Assumptions!$L$25=4,VLOOKUP($A164,'Henwood Reference'!$E$9:$R$320,10),(VLOOKUP($A164,PriceTableWeekend,4,0)+IF(BasisNumber&lt;&gt;1,VLOOKUP($A164,BasisTable,2,0),0)+N$1)/(1-N$2))</f>
        <v>113.44004332569763</v>
      </c>
      <c r="O164" s="154">
        <f>IF(Assumptions!$L$25=4,VLOOKUP($A164,'Henwood Reference'!$E$9:$R$320,11),(VLOOKUP($A164,PriceTableWeekend,6,0)+IF(BasisNumber&lt;&gt;1,VLOOKUP($A164,BasisTable,3,0),0)+O$1)/(1-O$2))</f>
        <v>35.266887350656887</v>
      </c>
      <c r="P164" s="154">
        <f>IF(Assumptions!$L$25=4,VLOOKUP($A164,'Henwood Reference'!$E$9:$R$320,11),(VLOOKUP($A164,PriceTableWeekend,7,0)+IF(BasisNumber&lt;&gt;1,VLOOKUP($A164,BasisTable,3,0),0)+P$1)/(1-P$2))</f>
        <v>35.266887350656887</v>
      </c>
      <c r="Q164" s="156">
        <f>IF(Assumptions!$L$25=4,VLOOKUP($A164,'Henwood Reference'!$E$9:$R$320,11),(VLOOKUP($A164,PriceTableWeekend,8,0)+IF(BasisNumber&lt;&gt;1,VLOOKUP($A164,BasisTable,3,0),0)+Q$1)/(1-Q$2))</f>
        <v>35.266887350656887</v>
      </c>
      <c r="R164" s="154">
        <f>IF(Assumptions!$L$25=4,VLOOKUP($A164,'Henwood Reference'!$E$9:$R$320,11),(VLOOKUP($A164,PriceTable,6,0)+IF(BasisNumber&lt;&gt;1,VLOOKUP($A164,BasisTable,3,0),0)+R$1)/(1-R$2))</f>
        <v>35.266887350656887</v>
      </c>
      <c r="S164" s="154">
        <f>IF(Assumptions!$L$25=4,VLOOKUP($A164,'Henwood Reference'!$E$9:$R$320,11),(VLOOKUP($A164,PriceTable,7,0)+IF(BasisNumber&lt;&gt;1,VLOOKUP($A164,BasisTable,3,0),0)+S$1)/(1-S$2))</f>
        <v>35.266887350656887</v>
      </c>
      <c r="T164" s="155">
        <f>IF(Assumptions!$L$25=4,VLOOKUP($A164,'Henwood Reference'!$E$9:$R$320,11),(VLOOKUP($A164,PriceTable,8,0)+IF(BasisNumber&lt;&gt;1,VLOOKUP($A164,BasisTable,3,0),0)+T$1)/(1-T$2))</f>
        <v>35.266887350656887</v>
      </c>
      <c r="U164" s="173">
        <f t="shared" si="469"/>
        <v>0.11</v>
      </c>
      <c r="V164" s="173">
        <f t="shared" si="470"/>
        <v>0.12</v>
      </c>
      <c r="W164" s="174">
        <f t="shared" si="471"/>
        <v>0.13</v>
      </c>
      <c r="X164" s="173">
        <f t="shared" si="472"/>
        <v>0.11</v>
      </c>
      <c r="Y164" s="173">
        <f t="shared" si="473"/>
        <v>0.12</v>
      </c>
      <c r="Z164" s="174">
        <f t="shared" si="474"/>
        <v>0.13</v>
      </c>
      <c r="AA164" s="173">
        <f t="shared" si="475"/>
        <v>0.09</v>
      </c>
      <c r="AB164" s="173">
        <f t="shared" si="476"/>
        <v>0.11</v>
      </c>
      <c r="AC164" s="174">
        <f t="shared" si="477"/>
        <v>0.13</v>
      </c>
      <c r="AD164" s="173">
        <f t="shared" si="478"/>
        <v>0.09</v>
      </c>
      <c r="AE164" s="173">
        <f t="shared" si="479"/>
        <v>0.11</v>
      </c>
      <c r="AF164" s="174">
        <f t="shared" si="480"/>
        <v>0.13</v>
      </c>
      <c r="AG164" s="173">
        <f t="shared" si="481"/>
        <v>-0.35</v>
      </c>
      <c r="AH164" s="173">
        <f t="shared" si="482"/>
        <v>3</v>
      </c>
      <c r="AI164" s="174">
        <f t="shared" si="483"/>
        <v>0.35</v>
      </c>
      <c r="AJ164" s="173">
        <f t="shared" si="484"/>
        <v>-0.35</v>
      </c>
      <c r="AK164" s="173">
        <f t="shared" si="485"/>
        <v>3</v>
      </c>
      <c r="AL164" s="174">
        <f t="shared" si="486"/>
        <v>0.35</v>
      </c>
      <c r="AM164" s="173">
        <f t="shared" si="487"/>
        <v>-0.01</v>
      </c>
      <c r="AN164" s="173">
        <f t="shared" si="488"/>
        <v>0.16</v>
      </c>
      <c r="AO164" s="174">
        <f t="shared" si="489"/>
        <v>0.01</v>
      </c>
      <c r="AP164" s="173">
        <f t="shared" si="490"/>
        <v>-0.01</v>
      </c>
      <c r="AQ164" s="173">
        <f t="shared" si="491"/>
        <v>0.16</v>
      </c>
      <c r="AR164" s="175">
        <f t="shared" si="492"/>
        <v>0.01</v>
      </c>
      <c r="AS164" s="521">
        <f t="shared" si="520"/>
        <v>0.5</v>
      </c>
      <c r="AT164" s="349">
        <f t="shared" si="518"/>
        <v>23</v>
      </c>
      <c r="AU164" s="159">
        <f t="shared" si="411"/>
        <v>4</v>
      </c>
      <c r="AV164" s="159">
        <f t="shared" si="412"/>
        <v>4</v>
      </c>
      <c r="AW164" s="159">
        <f t="shared" si="521"/>
        <v>0</v>
      </c>
      <c r="AX164" s="15">
        <f t="shared" si="519"/>
        <v>31</v>
      </c>
      <c r="AY164" s="607">
        <f>IF(E164="",0,MIN((1-(1-VLOOKUP(B164,MAIN!$AA$7:$AM$28,C164+1))*(1-VLOOKUP(B164,MAIN!$AA$33:$AM$54,C164+1))),1))</f>
        <v>3.0000000000000027E-2</v>
      </c>
      <c r="AZ164" s="337">
        <v>53544</v>
      </c>
      <c r="BA164" s="509">
        <v>9312</v>
      </c>
      <c r="BB164" s="509">
        <v>9312</v>
      </c>
      <c r="BC164" s="511">
        <v>36084</v>
      </c>
      <c r="BD164" s="153">
        <v>0.96999998915940522</v>
      </c>
      <c r="BE164" s="474">
        <v>0.96999998915940522</v>
      </c>
      <c r="BF164" s="474">
        <v>0.96999998915940522</v>
      </c>
      <c r="BG164" s="515">
        <v>0.97000000722706314</v>
      </c>
      <c r="BH164" s="262">
        <v>214176</v>
      </c>
      <c r="BI164" s="509">
        <v>37248</v>
      </c>
      <c r="BJ164" s="509">
        <v>37248</v>
      </c>
      <c r="BK164" s="511">
        <v>144336</v>
      </c>
      <c r="BL164" s="153">
        <v>0.96999998915940522</v>
      </c>
      <c r="BM164" s="474">
        <v>0.96999998915940522</v>
      </c>
      <c r="BN164" s="474">
        <v>0.96999998915940522</v>
      </c>
      <c r="BO164" s="474">
        <v>0.97000000722706314</v>
      </c>
      <c r="BP164" s="261">
        <f t="shared" si="495"/>
        <v>72168</v>
      </c>
      <c r="BQ164" s="578">
        <f t="shared" si="496"/>
        <v>108252</v>
      </c>
      <c r="BR164" s="259">
        <f t="shared" si="497"/>
        <v>288672</v>
      </c>
      <c r="BS164" s="578">
        <f t="shared" si="498"/>
        <v>433008</v>
      </c>
      <c r="BT164" s="216">
        <f t="shared" si="499"/>
        <v>12.2984257357974</v>
      </c>
      <c r="BU164" s="218">
        <f t="shared" si="414"/>
        <v>113.44004205790635</v>
      </c>
      <c r="BV164" s="216">
        <f t="shared" si="415"/>
        <v>113.44004205790635</v>
      </c>
      <c r="BW164" s="216">
        <f t="shared" si="416"/>
        <v>35.266886956518711</v>
      </c>
      <c r="BX164" s="216">
        <f t="shared" si="500"/>
        <v>35.266887613415676</v>
      </c>
      <c r="BY164" s="216">
        <f t="shared" si="417"/>
        <v>103.35318333514667</v>
      </c>
      <c r="BZ164" s="216">
        <f t="shared" si="418"/>
        <v>80.657751427902994</v>
      </c>
      <c r="CA164" s="264">
        <f t="shared" si="419"/>
        <v>113.44004205790635</v>
      </c>
      <c r="CB164" s="216">
        <f t="shared" si="420"/>
        <v>113.44004205790635</v>
      </c>
      <c r="CC164" s="216">
        <f t="shared" si="421"/>
        <v>35.266886956518711</v>
      </c>
      <c r="CD164" s="216">
        <f t="shared" si="501"/>
        <v>35.266887613415676</v>
      </c>
      <c r="CE164" s="216">
        <f t="shared" si="422"/>
        <v>103.35318333514667</v>
      </c>
      <c r="CF164" s="571">
        <f t="shared" si="423"/>
        <v>80.657751427902994</v>
      </c>
      <c r="CG164" s="573">
        <f t="shared" si="424"/>
        <v>0.12</v>
      </c>
      <c r="CH164" s="219">
        <f t="shared" si="425"/>
        <v>0.12</v>
      </c>
      <c r="CI164" s="219">
        <f t="shared" si="426"/>
        <v>0.11</v>
      </c>
      <c r="CJ164" s="219">
        <f t="shared" si="427"/>
        <v>0.1195627884906737</v>
      </c>
      <c r="CK164" s="219">
        <f t="shared" si="428"/>
        <v>0.1195627884906737</v>
      </c>
      <c r="CL164" s="219">
        <f t="shared" si="429"/>
        <v>0.11</v>
      </c>
      <c r="CM164" s="219">
        <f t="shared" si="430"/>
        <v>0.11132574717049012</v>
      </c>
      <c r="CN164" s="569">
        <f t="shared" si="431"/>
        <v>0.11132574717049012</v>
      </c>
      <c r="CO164" s="264">
        <f t="shared" si="514"/>
        <v>21.734864482066296</v>
      </c>
      <c r="CP164" s="216">
        <f t="shared" si="502"/>
        <v>21.734864482066296</v>
      </c>
      <c r="CQ164" s="216">
        <f t="shared" ca="1" si="361"/>
        <v>21.734864482066296</v>
      </c>
      <c r="CR164" s="216">
        <f t="shared" ca="1" si="362"/>
        <v>21.734864482066296</v>
      </c>
      <c r="CS164" s="1626">
        <f t="shared" ca="1" si="363"/>
        <v>21.734864482066296</v>
      </c>
      <c r="CT164" s="216">
        <f t="shared" si="503"/>
        <v>21.734864482066296</v>
      </c>
      <c r="CU164" s="575">
        <f t="shared" si="432"/>
        <v>0.156</v>
      </c>
      <c r="CV164" s="154">
        <f t="shared" si="433"/>
        <v>0.5</v>
      </c>
      <c r="CW164" s="216">
        <f>IF(OR($BQ164,$BS164),SpreadOptPowerMargin,0)*((1+Assumptions!$C$26)^($B164-YEAR(Assumptions!$C$17)))</f>
        <v>2.1511666235201594</v>
      </c>
      <c r="CX164" s="216">
        <f>IF(OR($BQ164,$BS164),SpreadOptPowerMargin,0)*((1+Assumptions!$C$26)^($B164-YEAR(Assumptions!$C$17)))</f>
        <v>2.1511666235201594</v>
      </c>
      <c r="CY164" s="216">
        <f>IF(OR($BQ164,$BS164),SpreadOptPowerMargin,0)*((1+Assumptions!$C$26)^($B164-YEAR(Assumptions!$C$17)))</f>
        <v>2.1511666235201594</v>
      </c>
      <c r="CZ164" s="216">
        <f>IF(OR($BQ164,$BS164),SpreadOptPowerMargin,0)*((1+Assumptions!$C$26)^($B164-YEAR(Assumptions!$C$17)))</f>
        <v>2.1511666235201594</v>
      </c>
      <c r="DA164" s="440">
        <f t="shared" si="434"/>
        <v>2.1511666235201594</v>
      </c>
      <c r="DB164" s="479">
        <f t="shared" si="435"/>
        <v>0.12</v>
      </c>
      <c r="DC164" s="479">
        <f t="shared" si="436"/>
        <v>0.12</v>
      </c>
      <c r="DD164" s="479">
        <f t="shared" si="437"/>
        <v>0.11</v>
      </c>
      <c r="DE164" s="479">
        <f t="shared" si="438"/>
        <v>0.11</v>
      </c>
      <c r="DF164" s="479">
        <f t="shared" si="439"/>
        <v>0.11132574717049012</v>
      </c>
      <c r="DG164" s="574">
        <f t="shared" si="440"/>
        <v>0.11132574717049012</v>
      </c>
      <c r="DH164" s="216">
        <f t="shared" si="441"/>
        <v>89.557420737646169</v>
      </c>
      <c r="DI164" s="216">
        <f t="shared" si="442"/>
        <v>89.557420737646169</v>
      </c>
      <c r="DJ164" s="216">
        <f t="shared" ca="1" si="364"/>
        <v>12.804107424093139</v>
      </c>
      <c r="DK164" s="216">
        <f t="shared" ca="1" si="365"/>
        <v>12.8041079908523</v>
      </c>
      <c r="DL164" s="216">
        <f t="shared" ca="1" si="366"/>
        <v>56.799342137461529</v>
      </c>
      <c r="DM164" s="216"/>
      <c r="DN164" s="216"/>
      <c r="DO164" s="216"/>
      <c r="DP164" s="216"/>
      <c r="DQ164" s="216"/>
      <c r="DR164" s="216"/>
      <c r="DS164" s="216"/>
      <c r="DT164" s="216"/>
      <c r="DU164" s="216"/>
      <c r="DV164" s="216"/>
      <c r="DW164" s="1371">
        <f t="shared" si="443"/>
        <v>12.804107424093139</v>
      </c>
      <c r="DX164" s="216">
        <f t="shared" si="444"/>
        <v>12.8041079908523</v>
      </c>
      <c r="DY164" s="440">
        <f t="shared" si="445"/>
        <v>57.370547601527527</v>
      </c>
      <c r="DZ164" s="180">
        <f t="shared" si="446"/>
        <v>4795262.5359765263</v>
      </c>
      <c r="EA164" s="180">
        <f t="shared" si="447"/>
        <v>833958.70190896117</v>
      </c>
      <c r="EB164" s="180">
        <f t="shared" ca="1" si="367"/>
        <v>119231.84833315531</v>
      </c>
      <c r="EC164" s="180">
        <f t="shared" ca="1" si="368"/>
        <v>462023.43274191441</v>
      </c>
      <c r="ED164" s="180">
        <f t="shared" ca="1" si="369"/>
        <v>6148642.3850644855</v>
      </c>
      <c r="EE164" s="581">
        <f t="shared" si="448"/>
        <v>4795079.9624310164</v>
      </c>
      <c r="EF164" s="554">
        <f t="shared" si="449"/>
        <v>833926.94998800289</v>
      </c>
      <c r="EG164" s="554">
        <f t="shared" ca="1" si="370"/>
        <v>105978.52968388118</v>
      </c>
      <c r="EH164" s="554">
        <f t="shared" ca="1" si="371"/>
        <v>410666.82622850966</v>
      </c>
      <c r="EI164" s="561">
        <f t="shared" ca="1" si="450"/>
        <v>6145652.2683314104</v>
      </c>
      <c r="EJ164" s="581">
        <f t="shared" si="504"/>
        <v>182.57354550994933</v>
      </c>
      <c r="EK164" s="554">
        <f t="shared" si="505"/>
        <v>31.751920958282426</v>
      </c>
      <c r="EL164" s="554">
        <f t="shared" ca="1" si="372"/>
        <v>13253.318649274137</v>
      </c>
      <c r="EM164" s="554">
        <f t="shared" ca="1" si="373"/>
        <v>51356.606513404753</v>
      </c>
      <c r="EN164" s="561">
        <f t="shared" ca="1" si="374"/>
        <v>2990.1167330751196</v>
      </c>
      <c r="EO164" s="180">
        <f t="shared" si="451"/>
        <v>19181050.143906105</v>
      </c>
      <c r="EP164" s="180">
        <f t="shared" si="452"/>
        <v>3335834.8076358447</v>
      </c>
      <c r="EQ164" s="180">
        <f t="shared" si="453"/>
        <v>476927.39333262126</v>
      </c>
      <c r="ER164" s="180">
        <f t="shared" si="454"/>
        <v>1848093.7309676576</v>
      </c>
      <c r="ES164" s="180">
        <f t="shared" si="455"/>
        <v>24841906.075842232</v>
      </c>
      <c r="ET164" s="1482">
        <f t="shared" ca="1" si="375"/>
        <v>19180319.849724066</v>
      </c>
      <c r="EU164" s="180">
        <f t="shared" ca="1" si="376"/>
        <v>3335707.7999520116</v>
      </c>
      <c r="EV164" s="180">
        <f t="shared" ca="1" si="377"/>
        <v>423914.11873552471</v>
      </c>
      <c r="EW164" s="180">
        <f t="shared" ca="1" si="378"/>
        <v>1642667.3049140386</v>
      </c>
      <c r="EX164" s="555">
        <f t="shared" ca="1" si="351"/>
        <v>24582609.073325641</v>
      </c>
      <c r="EY164" s="180">
        <f t="shared" ca="1" si="379"/>
        <v>730.29418203979731</v>
      </c>
      <c r="EZ164" s="180">
        <f t="shared" ca="1" si="380"/>
        <v>127.0076838331297</v>
      </c>
      <c r="FA164" s="180">
        <f t="shared" ca="1" si="381"/>
        <v>53013.274597096548</v>
      </c>
      <c r="FB164" s="180">
        <f t="shared" ca="1" si="382"/>
        <v>205426.42605361901</v>
      </c>
      <c r="FC164" s="180">
        <f t="shared" ca="1" si="383"/>
        <v>259297.00251659006</v>
      </c>
      <c r="FD164" s="262">
        <f>IF(AX164,IF(VLOOKUP(C164,MAIN!$L$17:$M$28,2)="Yes",VLOOKUP(CALC!B164,MAIN!$H$17:$I$20,2),0),0)</f>
        <v>0</v>
      </c>
      <c r="FE164" s="623">
        <f t="shared" si="456"/>
        <v>0</v>
      </c>
      <c r="FF164" s="535">
        <f t="shared" si="457"/>
        <v>0</v>
      </c>
      <c r="FG164" s="535">
        <f t="shared" si="458"/>
        <v>0</v>
      </c>
      <c r="FH164" s="624">
        <f t="shared" si="459"/>
        <v>0</v>
      </c>
      <c r="FI164" s="632">
        <f>IF(AX164,VLOOKUP(CALC!B164,MAIN!$H$17:$K$20,4),0)</f>
        <v>0</v>
      </c>
      <c r="FJ164" s="535">
        <f t="shared" si="460"/>
        <v>0</v>
      </c>
      <c r="FK164" s="648">
        <f t="shared" si="506"/>
        <v>0</v>
      </c>
      <c r="FL164" s="530">
        <f t="shared" ca="1" si="384"/>
        <v>0</v>
      </c>
      <c r="FM164" s="530">
        <f t="shared" ca="1" si="385"/>
        <v>0</v>
      </c>
      <c r="FN164" s="530">
        <f t="shared" ca="1" si="386"/>
        <v>0</v>
      </c>
      <c r="FO164" s="622">
        <f t="shared" ca="1" si="387"/>
        <v>0</v>
      </c>
      <c r="FP164" s="530">
        <f t="shared" ca="1" si="388"/>
        <v>0</v>
      </c>
      <c r="FQ164" s="530">
        <f t="shared" ca="1" si="389"/>
        <v>0</v>
      </c>
      <c r="FR164" s="530">
        <f t="shared" ca="1" si="390"/>
        <v>0</v>
      </c>
      <c r="FS164" s="625">
        <f t="shared" ca="1" si="391"/>
        <v>0</v>
      </c>
      <c r="FT164" s="640">
        <f ca="1">IF(AND(Assumptions!$H$71="Yes",A164&gt;=Assumptions!$H$72,A164&lt;=Assumptions!$H$73),0,IF(AND($A164&gt;=Assumptions!$C$17,$A164&lt;=Assumptions!$C$18),MAX(AZ164*(1+VLOOKUP($C164,WeatherCapacityAdjustment,2))-FL164,0),0))</f>
        <v>53544</v>
      </c>
      <c r="FU164" s="530">
        <f ca="1">IF(AND(Assumptions!$H$71="Yes",A164&gt;=Assumptions!$H$72,A164&lt;=Assumptions!$H$73),0,IF(AND($A164&gt;=Assumptions!$C$17,$A164&lt;=Assumptions!$C$18),MAX(BA164*(1+VLOOKUP($C164,WeatherCapacityAdjustment,2))-FM164,0),0))</f>
        <v>9312</v>
      </c>
      <c r="FV164" s="530">
        <f ca="1">IF(AND(Assumptions!$H$71="Yes",A164&gt;=Assumptions!$H$72,A164&lt;=Assumptions!$H$73),0,IF(AND($A164&gt;=Assumptions!$C$17,$A164&lt;=Assumptions!$C$18),MAX(BB164*(1+VLOOKUP($C164,WeatherCapacityAdjustment,2))-FN164,0),0))</f>
        <v>9312</v>
      </c>
      <c r="FW164" s="622">
        <f ca="1">IF(AND(Assumptions!$H$71="Yes",A164&gt;=Assumptions!$H$72,A164&lt;=Assumptions!$H$73),0,IF(AND($A164&gt;=Assumptions!$C$17,$A164&lt;=Assumptions!$C$18),MAX(BC164*(1+VLOOKUP($C164,WeatherCapacityAdjustment,3))-FO164,0),0))</f>
        <v>36084</v>
      </c>
      <c r="FX164" s="621">
        <f ca="1">IF(AND(Assumptions!$H$71="Yes",A164&gt;=Assumptions!$H$72,A164&lt;=Assumptions!$H$73),0,IF(ET164&gt;0,MAX(BH164*(1+VLOOKUP($C164,WeatherCapacityAdjustment,2))-FP164,0),0))</f>
        <v>214176</v>
      </c>
      <c r="FY164" s="530">
        <f ca="1">IF(AND(Assumptions!$H$71="Yes",A164&gt;=Assumptions!$H$72,A164&lt;=Assumptions!$H$73),0,IF(EU164&gt;0,MAX(BI164*(1+VLOOKUP($C164,WeatherCapacityAdjustment,3))-FQ164,0),0))</f>
        <v>37248</v>
      </c>
      <c r="FZ164" s="530">
        <f ca="1">IF(AND(Assumptions!$H$71="Yes",A164&gt;=Assumptions!$H$72,A164&lt;=Assumptions!$H$73),0,IF(EV164&gt;0,MAX(BJ164*(1+VLOOKUP($C164,WeatherCapacityAdjustment,2))-FR164,0),0))</f>
        <v>37248</v>
      </c>
      <c r="GA164" s="622">
        <f ca="1">IF(AND(Assumptions!$H$71="Yes",A164&gt;=Assumptions!$H$72,A164&lt;=Assumptions!$H$73),0,IF(EW164&gt;0,MAX(BK164*(1+VLOOKUP($C164,WeatherCapacityAdjustment,2))-FS164,0),0))</f>
        <v>144336</v>
      </c>
      <c r="GB164" s="530">
        <f t="shared" ca="1" si="461"/>
        <v>541260</v>
      </c>
      <c r="GC164" s="545">
        <f t="shared" ca="1" si="462"/>
        <v>80.657751427903008</v>
      </c>
      <c r="GD164" s="530">
        <f t="shared" ca="1" si="392"/>
        <v>43656814.537866779</v>
      </c>
      <c r="GE164" s="1485">
        <f t="shared" ca="1" si="393"/>
        <v>770176.17431999999</v>
      </c>
      <c r="GF164" s="1776">
        <f t="shared" ca="1" si="394"/>
        <v>3080704.69728</v>
      </c>
      <c r="GG164" s="545">
        <f t="shared" si="359"/>
        <v>3.0549407114417688</v>
      </c>
      <c r="GH164" s="622">
        <f t="shared" ca="1" si="360"/>
        <v>11764212.749563204</v>
      </c>
      <c r="GI164" s="621">
        <f t="shared" ca="1" si="507"/>
        <v>541260</v>
      </c>
      <c r="GJ164" s="638">
        <f t="shared" si="463"/>
        <v>2.1511666235201594</v>
      </c>
      <c r="GK164" s="625">
        <f t="shared" ca="1" si="513"/>
        <v>1164340.4466465216</v>
      </c>
      <c r="GL164" s="640">
        <f t="shared" ca="1" si="395"/>
        <v>0</v>
      </c>
      <c r="GM164" s="530">
        <f t="shared" ca="1" si="396"/>
        <v>0</v>
      </c>
      <c r="GN164" s="530">
        <f t="shared" ca="1" si="397"/>
        <v>0</v>
      </c>
      <c r="GO164" s="622">
        <f t="shared" ca="1" si="398"/>
        <v>0</v>
      </c>
      <c r="GP164" s="530">
        <f t="shared" ca="1" si="464"/>
        <v>0</v>
      </c>
      <c r="GQ164" s="545">
        <f t="shared" ca="1" si="465"/>
        <v>0</v>
      </c>
      <c r="GR164" s="625">
        <f t="shared" ca="1" si="399"/>
        <v>0</v>
      </c>
      <c r="GS164" s="640">
        <f>IF($A164&gt;=BegDate,Assumptions!$C$56*24*($A165-$A164)*(1-VLOOKUP($B164,MAIN!$AA$7:$AM$28,$C164+1))*(1-VLOOKUP($B164,MAIN!$AA$33:$AM$54,$C164+1)),0)*80/168</f>
        <v>257742.85714285713</v>
      </c>
      <c r="GT164" s="1715">
        <f t="shared" si="508"/>
        <v>113.44004332569763</v>
      </c>
      <c r="GU164" s="1715">
        <f>IF($A164&gt;=BegDate,VLOOKUP($A164,GasTable,13)+Assumptions!$C$58,0)</f>
        <v>3.0549407114417688</v>
      </c>
      <c r="GV164" s="1715">
        <f>GU164*Assumptions!$C$57/1000</f>
        <v>22.148320157952824</v>
      </c>
      <c r="GW164" s="625">
        <f>IF(Assumptions!$C$60="Hourly",MAX(0,GS164*(GT164-GV164)),GS164*(GT164-GV164))</f>
        <v>23529789.562749311</v>
      </c>
      <c r="GX164" s="640">
        <f>IF($A164&gt;=BegDate,Assumptions!$C$56*24*($A165-$A164)*(1-VLOOKUP($B164,MAIN!$AA$7:$AM$28,$C164+1))*(1-VLOOKUP($B164,MAIN!$AA$33:$AM$54,$C164+1)),0)*16/168</f>
        <v>51548.571428571428</v>
      </c>
      <c r="GY164" s="1715">
        <f t="shared" si="509"/>
        <v>113.44004332569763</v>
      </c>
      <c r="GZ164" s="1715">
        <f>IF($A164&gt;=BegDate,VLOOKUP($A164,GasTable,13)+Assumptions!$C$58,0)</f>
        <v>3.0549407114417688</v>
      </c>
      <c r="HA164" s="1715">
        <f>GZ164*Assumptions!$C$57/1000</f>
        <v>22.148320157952824</v>
      </c>
      <c r="HB164" s="625">
        <f>IF(Assumptions!$C$60="Hourly",MAX(0,GX164*(GY164-HA164)),GX164*(GY164-HA164))</f>
        <v>4705957.9125498617</v>
      </c>
      <c r="HC164" s="640">
        <f>IF($A164&gt;=BegDate,Assumptions!$C$56*24*($A165-$A164)*(1-VLOOKUP($B164,MAIN!$AA$7:$AM$28,$C164+1))*(1-VLOOKUP($B164,MAIN!$AA$33:$AM$54,$C164+1)),0)*16/168</f>
        <v>51548.571428571428</v>
      </c>
      <c r="HD164" s="1715">
        <f t="shared" si="510"/>
        <v>35.266887350656887</v>
      </c>
      <c r="HE164" s="1715">
        <f>IF($A164&gt;=BegDate,VLOOKUP($A164,GasTable,13)+Assumptions!$C$58,0)</f>
        <v>3.0549407114417688</v>
      </c>
      <c r="HF164" s="1715">
        <f>HE164*Assumptions!$C$57/1000</f>
        <v>22.148320157952824</v>
      </c>
      <c r="HG164" s="625">
        <f>IF(Assumptions!$C$60="Hourly",MAX(0,HC164*(HD164-HF164)),HC164*(HD164-HF164))</f>
        <v>676243.39797361917</v>
      </c>
      <c r="HH164" s="640">
        <f>IF($A164&gt;=BegDate,Assumptions!$C$56*24*($A165-$A164)*(1-VLOOKUP($B164,MAIN!$AA$7:$AM$28,$C164+1))*(1-VLOOKUP($B164,MAIN!$AA$33:$AM$54,$C164+1)),0)*56/168</f>
        <v>180420</v>
      </c>
      <c r="HI164" s="1715">
        <f t="shared" si="511"/>
        <v>35.266887350656887</v>
      </c>
      <c r="HJ164" s="1715">
        <f>IF($A164&gt;=BegDate,VLOOKUP($A164,GasTable,13)+Assumptions!$C$58,0)</f>
        <v>3.0549407114417688</v>
      </c>
      <c r="HK164" s="1715">
        <f>HJ164*Assumptions!$C$57/1000</f>
        <v>22.148320157952824</v>
      </c>
      <c r="HL164" s="625">
        <f>IF(Assumptions!$C$60="Hourly",MAX(0,HH164*(HI164-HK164)),HH164*(HI164-HK164))</f>
        <v>2366851.892907667</v>
      </c>
      <c r="HM164" s="640">
        <f>IF(AND(Assumptions!$H$71="Yes",A164&gt;=Assumptions!$H$72,A164&lt;=Assumptions!$H$73),Assumptions!$H$74*Assumptions!$C$9*1000,0)</f>
        <v>0</v>
      </c>
      <c r="HN164" s="530"/>
      <c r="HO164" s="545"/>
      <c r="HP164" s="545"/>
      <c r="HQ164" s="545"/>
      <c r="HR164" s="545"/>
      <c r="HS164" s="545"/>
      <c r="HT164" s="545"/>
      <c r="HU164" s="545"/>
      <c r="HV164" s="545"/>
      <c r="HW164" s="545"/>
      <c r="HX164" s="545"/>
      <c r="HY164" s="545"/>
      <c r="HZ164" s="545"/>
      <c r="IA164" s="545"/>
      <c r="IB164" s="545"/>
      <c r="IC164" s="545"/>
      <c r="ID164" s="545"/>
      <c r="IE164" s="545"/>
      <c r="IF164" s="545"/>
      <c r="IG164" s="545"/>
      <c r="IH164" s="545"/>
      <c r="II164" s="1464"/>
      <c r="IJ164" s="1463"/>
      <c r="IK164" s="1463"/>
    </row>
    <row r="165" spans="1:245">
      <c r="A165" s="177">
        <f t="shared" si="466"/>
        <v>41153</v>
      </c>
      <c r="B165" s="349">
        <f t="shared" si="467"/>
        <v>2012</v>
      </c>
      <c r="C165" s="15">
        <f t="shared" si="515"/>
        <v>9</v>
      </c>
      <c r="D165" s="612">
        <f t="shared" si="468"/>
        <v>41155</v>
      </c>
      <c r="E165" s="609">
        <f t="shared" si="516"/>
        <v>41153</v>
      </c>
      <c r="F165" s="614">
        <f t="shared" si="517"/>
        <v>41182</v>
      </c>
      <c r="G165" s="1349">
        <v>0</v>
      </c>
      <c r="H165" s="152">
        <f t="shared" si="512"/>
        <v>1</v>
      </c>
      <c r="I165" s="154">
        <f>IF(Assumptions!$L$25=4,VLOOKUP($A165,'Henwood Reference'!$E$9:$R$320,10),(VLOOKUP($A165,PriceTable,2,0)+IF(BasisNumber&lt;&gt;1,VLOOKUP($A165,BasisTable,2,0),0)+I$1)/(1-I$2))</f>
        <v>70.66148665002622</v>
      </c>
      <c r="J165" s="154">
        <f>IF(Assumptions!$L$25=4,VLOOKUP($A165,'Henwood Reference'!$E$9:$R$320,10),(VLOOKUP($A165,PriceTable,3,0)+IF(BasisNumber&lt;&gt;1,VLOOKUP($A165,BasisTable,2,0),0)+J$1)/(1-J$2))</f>
        <v>70.66148665002622</v>
      </c>
      <c r="K165" s="154">
        <f>IF(Assumptions!$L$25=4,VLOOKUP($A165,'Henwood Reference'!$E$9:$R$320,10),(VLOOKUP($A165,PriceTable,4,0)+IF(BasisNumber&lt;&gt;1,VLOOKUP($A165,BasisTable,2,0),0)+K$1)/(1-K$2))</f>
        <v>70.66148665002622</v>
      </c>
      <c r="L165" s="474">
        <f>IF(Assumptions!$L$25=4,VLOOKUP($A165,'Henwood Reference'!$E$9:$R$320,10),(VLOOKUP($A165,PriceTableWeekend,2,0)+IF(BasisNumber&lt;&gt;1,VLOOKUP($A165,BasisTable,2,0),0)+L$1)/(1-L$2))</f>
        <v>70.66148665002622</v>
      </c>
      <c r="M165" s="154">
        <f>IF(Assumptions!$L$25=4,VLOOKUP($A165,'Henwood Reference'!$E$9:$R$320,10),(VLOOKUP($A165,PriceTableWeekend,3,0)+IF(BasisNumber&lt;&gt;1,VLOOKUP($A165,BasisTable,2,0),0)+M$1)/(1-M$2))</f>
        <v>70.66148665002622</v>
      </c>
      <c r="N165" s="156">
        <f>IF(Assumptions!$L$25=4,VLOOKUP($A165,'Henwood Reference'!$E$9:$R$320,10),(VLOOKUP($A165,PriceTableWeekend,4,0)+IF(BasisNumber&lt;&gt;1,VLOOKUP($A165,BasisTable,2,0),0)+N$1)/(1-N$2))</f>
        <v>70.66148665002622</v>
      </c>
      <c r="O165" s="154">
        <f>IF(Assumptions!$L$25=4,VLOOKUP($A165,'Henwood Reference'!$E$9:$R$320,11),(VLOOKUP($A165,PriceTableWeekend,6,0)+IF(BasisNumber&lt;&gt;1,VLOOKUP($A165,BasisTable,3,0),0)+O$1)/(1-O$2))</f>
        <v>32.967691801294457</v>
      </c>
      <c r="P165" s="154">
        <f>IF(Assumptions!$L$25=4,VLOOKUP($A165,'Henwood Reference'!$E$9:$R$320,11),(VLOOKUP($A165,PriceTableWeekend,7,0)+IF(BasisNumber&lt;&gt;1,VLOOKUP($A165,BasisTable,3,0),0)+P$1)/(1-P$2))</f>
        <v>32.967691801294457</v>
      </c>
      <c r="Q165" s="156">
        <f>IF(Assumptions!$L$25=4,VLOOKUP($A165,'Henwood Reference'!$E$9:$R$320,11),(VLOOKUP($A165,PriceTableWeekend,8,0)+IF(BasisNumber&lt;&gt;1,VLOOKUP($A165,BasisTable,3,0),0)+Q$1)/(1-Q$2))</f>
        <v>32.967691801294457</v>
      </c>
      <c r="R165" s="154">
        <f>IF(Assumptions!$L$25=4,VLOOKUP($A165,'Henwood Reference'!$E$9:$R$320,11),(VLOOKUP($A165,PriceTable,6,0)+IF(BasisNumber&lt;&gt;1,VLOOKUP($A165,BasisTable,3,0),0)+R$1)/(1-R$2))</f>
        <v>32.967691801294457</v>
      </c>
      <c r="S165" s="154">
        <f>IF(Assumptions!$L$25=4,VLOOKUP($A165,'Henwood Reference'!$E$9:$R$320,11),(VLOOKUP($A165,PriceTable,7,0)+IF(BasisNumber&lt;&gt;1,VLOOKUP($A165,BasisTable,3,0),0)+S$1)/(1-S$2))</f>
        <v>32.967691801294457</v>
      </c>
      <c r="T165" s="155">
        <f>IF(Assumptions!$L$25=4,VLOOKUP($A165,'Henwood Reference'!$E$9:$R$320,11),(VLOOKUP($A165,PriceTable,8,0)+IF(BasisNumber&lt;&gt;1,VLOOKUP($A165,BasisTable,3,0),0)+T$1)/(1-T$2))</f>
        <v>32.967691801294457</v>
      </c>
      <c r="U165" s="173">
        <f t="shared" si="469"/>
        <v>0.11</v>
      </c>
      <c r="V165" s="173">
        <f t="shared" si="470"/>
        <v>0.12</v>
      </c>
      <c r="W165" s="174">
        <f t="shared" si="471"/>
        <v>0.13</v>
      </c>
      <c r="X165" s="173">
        <f t="shared" si="472"/>
        <v>0.11</v>
      </c>
      <c r="Y165" s="173">
        <f t="shared" si="473"/>
        <v>0.12</v>
      </c>
      <c r="Z165" s="174">
        <f t="shared" si="474"/>
        <v>0.13</v>
      </c>
      <c r="AA165" s="173">
        <f t="shared" si="475"/>
        <v>0.09</v>
      </c>
      <c r="AB165" s="173">
        <f t="shared" si="476"/>
        <v>0.11</v>
      </c>
      <c r="AC165" s="174">
        <f t="shared" si="477"/>
        <v>0.13</v>
      </c>
      <c r="AD165" s="173">
        <f t="shared" si="478"/>
        <v>0.09</v>
      </c>
      <c r="AE165" s="173">
        <f t="shared" si="479"/>
        <v>0.11</v>
      </c>
      <c r="AF165" s="174">
        <f t="shared" si="480"/>
        <v>0.13</v>
      </c>
      <c r="AG165" s="173">
        <f t="shared" si="481"/>
        <v>-0.35</v>
      </c>
      <c r="AH165" s="173">
        <f t="shared" si="482"/>
        <v>3</v>
      </c>
      <c r="AI165" s="174">
        <f t="shared" si="483"/>
        <v>0.2</v>
      </c>
      <c r="AJ165" s="173">
        <f t="shared" si="484"/>
        <v>-0.35</v>
      </c>
      <c r="AK165" s="173">
        <f t="shared" si="485"/>
        <v>3</v>
      </c>
      <c r="AL165" s="174">
        <f t="shared" si="486"/>
        <v>0.2</v>
      </c>
      <c r="AM165" s="173">
        <f t="shared" si="487"/>
        <v>-0.01</v>
      </c>
      <c r="AN165" s="173">
        <f t="shared" si="488"/>
        <v>0.16</v>
      </c>
      <c r="AO165" s="174">
        <f t="shared" si="489"/>
        <v>0.01</v>
      </c>
      <c r="AP165" s="173">
        <f t="shared" si="490"/>
        <v>-0.01</v>
      </c>
      <c r="AQ165" s="173">
        <f t="shared" si="491"/>
        <v>0.16</v>
      </c>
      <c r="AR165" s="175">
        <f t="shared" si="492"/>
        <v>0.01</v>
      </c>
      <c r="AS165" s="521">
        <f t="shared" si="520"/>
        <v>0.5</v>
      </c>
      <c r="AT165" s="349">
        <f t="shared" si="518"/>
        <v>19</v>
      </c>
      <c r="AU165" s="159">
        <f t="shared" si="411"/>
        <v>5</v>
      </c>
      <c r="AV165" s="159">
        <f t="shared" si="412"/>
        <v>5</v>
      </c>
      <c r="AW165" s="159">
        <f t="shared" si="521"/>
        <v>1</v>
      </c>
      <c r="AX165" s="15">
        <f t="shared" si="519"/>
        <v>30</v>
      </c>
      <c r="AY165" s="607">
        <f>IF(E165="",0,MIN((1-(1-VLOOKUP(B165,MAIN!$AA$7:$AM$28,C165+1))*(1-VLOOKUP(B165,MAIN!$AA$33:$AM$54,C165+1))),1))</f>
        <v>3.0000000000000027E-2</v>
      </c>
      <c r="AZ165" s="337">
        <v>44232</v>
      </c>
      <c r="BA165" s="509">
        <v>11640</v>
      </c>
      <c r="BB165" s="509">
        <v>13968</v>
      </c>
      <c r="BC165" s="511">
        <v>34920</v>
      </c>
      <c r="BD165" s="153">
        <v>0.9699999927729368</v>
      </c>
      <c r="BE165" s="474">
        <v>0.9699999927729368</v>
      </c>
      <c r="BF165" s="474">
        <v>0.9699999927729368</v>
      </c>
      <c r="BG165" s="515">
        <v>0.9699999927729368</v>
      </c>
      <c r="BH165" s="262">
        <v>176928</v>
      </c>
      <c r="BI165" s="509">
        <v>46560</v>
      </c>
      <c r="BJ165" s="509">
        <v>55872</v>
      </c>
      <c r="BK165" s="511">
        <v>139680</v>
      </c>
      <c r="BL165" s="153">
        <v>0.9699999927729368</v>
      </c>
      <c r="BM165" s="474">
        <v>0.9699999927729368</v>
      </c>
      <c r="BN165" s="474">
        <v>0.9699999927729368</v>
      </c>
      <c r="BO165" s="474">
        <v>0.9699999927729368</v>
      </c>
      <c r="BP165" s="261">
        <f t="shared" si="495"/>
        <v>69840</v>
      </c>
      <c r="BQ165" s="578">
        <f t="shared" si="496"/>
        <v>104760</v>
      </c>
      <c r="BR165" s="259">
        <f t="shared" si="497"/>
        <v>279360</v>
      </c>
      <c r="BS165" s="578">
        <f t="shared" si="498"/>
        <v>419040</v>
      </c>
      <c r="BT165" s="216">
        <f t="shared" si="499"/>
        <v>12.383299110198495</v>
      </c>
      <c r="BU165" s="218">
        <f t="shared" si="414"/>
        <v>70.661486123557111</v>
      </c>
      <c r="BV165" s="216">
        <f t="shared" si="415"/>
        <v>70.661486123557111</v>
      </c>
      <c r="BW165" s="216">
        <f t="shared" si="416"/>
        <v>32.967691555666015</v>
      </c>
      <c r="BX165" s="216">
        <f t="shared" si="500"/>
        <v>32.967691555666015</v>
      </c>
      <c r="BY165" s="216">
        <f t="shared" si="417"/>
        <v>63.122727209978891</v>
      </c>
      <c r="BZ165" s="216">
        <f t="shared" si="418"/>
        <v>53.071048658541265</v>
      </c>
      <c r="CA165" s="264">
        <f t="shared" si="419"/>
        <v>70.661486123557111</v>
      </c>
      <c r="CB165" s="216">
        <f t="shared" si="420"/>
        <v>70.661486123557111</v>
      </c>
      <c r="CC165" s="216">
        <f t="shared" si="421"/>
        <v>32.967691555666015</v>
      </c>
      <c r="CD165" s="216">
        <f t="shared" si="501"/>
        <v>32.967691555666015</v>
      </c>
      <c r="CE165" s="216">
        <f t="shared" si="422"/>
        <v>63.122727209978891</v>
      </c>
      <c r="CF165" s="571">
        <f t="shared" si="423"/>
        <v>53.071048658541265</v>
      </c>
      <c r="CG165" s="573">
        <f t="shared" si="424"/>
        <v>0.12</v>
      </c>
      <c r="CH165" s="219">
        <f t="shared" si="425"/>
        <v>0.12</v>
      </c>
      <c r="CI165" s="219">
        <f t="shared" si="426"/>
        <v>0.11</v>
      </c>
      <c r="CJ165" s="219">
        <f t="shared" si="427"/>
        <v>0.11896230743939795</v>
      </c>
      <c r="CK165" s="219">
        <f t="shared" si="428"/>
        <v>0.11896230743939795</v>
      </c>
      <c r="CL165" s="219">
        <f t="shared" si="429"/>
        <v>0.11</v>
      </c>
      <c r="CM165" s="219">
        <f t="shared" si="430"/>
        <v>0.10789800091368772</v>
      </c>
      <c r="CN165" s="569">
        <f t="shared" si="431"/>
        <v>0.10789800091368772</v>
      </c>
      <c r="CO165" s="264">
        <f t="shared" si="514"/>
        <v>22.647144327884721</v>
      </c>
      <c r="CP165" s="216">
        <f t="shared" si="502"/>
        <v>22.647144327884721</v>
      </c>
      <c r="CQ165" s="216">
        <f t="shared" ca="1" si="361"/>
        <v>22.647144327884721</v>
      </c>
      <c r="CR165" s="216">
        <f t="shared" ca="1" si="362"/>
        <v>22.647144327884721</v>
      </c>
      <c r="CS165" s="1626">
        <f t="shared" ca="1" si="363"/>
        <v>22.647144327884721</v>
      </c>
      <c r="CT165" s="216">
        <f t="shared" si="503"/>
        <v>22.647144327884721</v>
      </c>
      <c r="CU165" s="575">
        <f t="shared" si="432"/>
        <v>0.156</v>
      </c>
      <c r="CV165" s="154">
        <f t="shared" si="433"/>
        <v>0.5</v>
      </c>
      <c r="CW165" s="216">
        <f>IF(OR($BQ165,$BS165),SpreadOptPowerMargin,0)*((1+Assumptions!$C$26)^($B165-YEAR(Assumptions!$C$17)))</f>
        <v>2.1511666235201594</v>
      </c>
      <c r="CX165" s="216">
        <f>IF(OR($BQ165,$BS165),SpreadOptPowerMargin,0)*((1+Assumptions!$C$26)^($B165-YEAR(Assumptions!$C$17)))</f>
        <v>2.1511666235201594</v>
      </c>
      <c r="CY165" s="216">
        <f>IF(OR($BQ165,$BS165),SpreadOptPowerMargin,0)*((1+Assumptions!$C$26)^($B165-YEAR(Assumptions!$C$17)))</f>
        <v>2.1511666235201594</v>
      </c>
      <c r="CZ165" s="216">
        <f>IF(OR($BQ165,$BS165),SpreadOptPowerMargin,0)*((1+Assumptions!$C$26)^($B165-YEAR(Assumptions!$C$17)))</f>
        <v>2.1511666235201594</v>
      </c>
      <c r="DA165" s="440">
        <f t="shared" si="434"/>
        <v>2.1511666235201594</v>
      </c>
      <c r="DB165" s="479">
        <f t="shared" si="435"/>
        <v>0.12</v>
      </c>
      <c r="DC165" s="479">
        <f t="shared" si="436"/>
        <v>0.12</v>
      </c>
      <c r="DD165" s="479">
        <f t="shared" si="437"/>
        <v>0.11</v>
      </c>
      <c r="DE165" s="479">
        <f t="shared" si="438"/>
        <v>0.11</v>
      </c>
      <c r="DF165" s="479">
        <f t="shared" si="439"/>
        <v>0.10789800091368772</v>
      </c>
      <c r="DG165" s="574">
        <f t="shared" si="440"/>
        <v>0.10789800091368772</v>
      </c>
      <c r="DH165" s="216">
        <f t="shared" si="441"/>
        <v>45.957133610413806</v>
      </c>
      <c r="DI165" s="216">
        <f t="shared" si="442"/>
        <v>45.957133610413806</v>
      </c>
      <c r="DJ165" s="216">
        <f t="shared" ca="1" si="364"/>
        <v>10.269259655808087</v>
      </c>
      <c r="DK165" s="216">
        <f t="shared" ca="1" si="365"/>
        <v>10.269259655808087</v>
      </c>
      <c r="DL165" s="216">
        <f t="shared" ca="1" si="366"/>
        <v>28.609287984185528</v>
      </c>
      <c r="DM165" s="216"/>
      <c r="DN165" s="216"/>
      <c r="DO165" s="216"/>
      <c r="DP165" s="216"/>
      <c r="DQ165" s="216"/>
      <c r="DR165" s="216"/>
      <c r="DS165" s="216"/>
      <c r="DT165" s="216"/>
      <c r="DU165" s="216"/>
      <c r="DV165" s="216"/>
      <c r="DW165" s="1371">
        <f t="shared" si="443"/>
        <v>10.269259655808087</v>
      </c>
      <c r="DX165" s="216">
        <f t="shared" si="444"/>
        <v>10.269259655808087</v>
      </c>
      <c r="DY165" s="440">
        <f t="shared" si="445"/>
        <v>29.302792431597801</v>
      </c>
      <c r="DZ165" s="180">
        <f t="shared" si="446"/>
        <v>2032775.9338558235</v>
      </c>
      <c r="EA165" s="180">
        <f t="shared" si="447"/>
        <v>534941.03522521665</v>
      </c>
      <c r="EB165" s="180">
        <f t="shared" ca="1" si="367"/>
        <v>143441.01887232735</v>
      </c>
      <c r="EC165" s="180">
        <f t="shared" ca="1" si="368"/>
        <v>358602.54718081839</v>
      </c>
      <c r="ED165" s="180">
        <f t="shared" ca="1" si="369"/>
        <v>2997109.0092232758</v>
      </c>
      <c r="EE165" s="581">
        <f t="shared" si="448"/>
        <v>2028619.9642146376</v>
      </c>
      <c r="EF165" s="554">
        <f t="shared" si="449"/>
        <v>533847.35900385201</v>
      </c>
      <c r="EG165" s="554">
        <f t="shared" ca="1" si="370"/>
        <v>114109.90828031955</v>
      </c>
      <c r="EH165" s="554">
        <f t="shared" ca="1" si="371"/>
        <v>285274.77070079884</v>
      </c>
      <c r="EI165" s="561">
        <f t="shared" ca="1" si="450"/>
        <v>2961852.0021996079</v>
      </c>
      <c r="EJ165" s="581">
        <f t="shared" si="504"/>
        <v>4155.9696411858313</v>
      </c>
      <c r="EK165" s="554">
        <f t="shared" si="505"/>
        <v>1093.6762213646434</v>
      </c>
      <c r="EL165" s="554">
        <f t="shared" ca="1" si="372"/>
        <v>29331.110592007797</v>
      </c>
      <c r="EM165" s="554">
        <f t="shared" ca="1" si="373"/>
        <v>73327.776480019558</v>
      </c>
      <c r="EN165" s="561">
        <f t="shared" ca="1" si="374"/>
        <v>35257.007023667917</v>
      </c>
      <c r="EO165" s="180">
        <f t="shared" si="451"/>
        <v>8131103.7354232939</v>
      </c>
      <c r="EP165" s="180">
        <f t="shared" si="452"/>
        <v>2139764.1409008666</v>
      </c>
      <c r="EQ165" s="180">
        <f t="shared" si="453"/>
        <v>573764.07548930938</v>
      </c>
      <c r="ER165" s="180">
        <f t="shared" si="454"/>
        <v>1434410.1887232736</v>
      </c>
      <c r="ES165" s="180">
        <f t="shared" si="455"/>
        <v>12279042.140536742</v>
      </c>
      <c r="ET165" s="1482">
        <f t="shared" ca="1" si="375"/>
        <v>8114479.8568585506</v>
      </c>
      <c r="EU165" s="180">
        <f t="shared" ca="1" si="376"/>
        <v>2135389.436015408</v>
      </c>
      <c r="EV165" s="180">
        <f t="shared" ca="1" si="377"/>
        <v>456439.6331212782</v>
      </c>
      <c r="EW165" s="180">
        <f t="shared" ca="1" si="378"/>
        <v>1141099.0828031953</v>
      </c>
      <c r="EX165" s="555">
        <f t="shared" ca="1" si="351"/>
        <v>11847408.008798432</v>
      </c>
      <c r="EY165" s="180">
        <f t="shared" ca="1" si="379"/>
        <v>16623.878564743325</v>
      </c>
      <c r="EZ165" s="180">
        <f t="shared" ca="1" si="380"/>
        <v>4374.7048854585737</v>
      </c>
      <c r="FA165" s="180">
        <f t="shared" ca="1" si="381"/>
        <v>117324.44236803119</v>
      </c>
      <c r="FB165" s="180">
        <f t="shared" ca="1" si="382"/>
        <v>293311.10592007823</v>
      </c>
      <c r="FC165" s="180">
        <f t="shared" ca="1" si="383"/>
        <v>431634.13173831068</v>
      </c>
      <c r="FD165" s="262">
        <f>IF(AX165,IF(VLOOKUP(C165,MAIN!$L$17:$M$28,2)="Yes",VLOOKUP(CALC!B165,MAIN!$H$17:$I$20,2),0),0)</f>
        <v>0</v>
      </c>
      <c r="FE165" s="623">
        <f t="shared" si="456"/>
        <v>0</v>
      </c>
      <c r="FF165" s="535">
        <f t="shared" si="457"/>
        <v>0</v>
      </c>
      <c r="FG165" s="535">
        <f t="shared" si="458"/>
        <v>0</v>
      </c>
      <c r="FH165" s="624">
        <f t="shared" si="459"/>
        <v>0</v>
      </c>
      <c r="FI165" s="632">
        <f>IF(AX165,VLOOKUP(CALC!B165,MAIN!$H$17:$K$20,4),0)</f>
        <v>0</v>
      </c>
      <c r="FJ165" s="535">
        <f t="shared" si="460"/>
        <v>0</v>
      </c>
      <c r="FK165" s="648">
        <f t="shared" si="506"/>
        <v>0</v>
      </c>
      <c r="FL165" s="530">
        <f t="shared" ca="1" si="384"/>
        <v>0</v>
      </c>
      <c r="FM165" s="530">
        <f t="shared" ca="1" si="385"/>
        <v>0</v>
      </c>
      <c r="FN165" s="530">
        <f t="shared" ca="1" si="386"/>
        <v>0</v>
      </c>
      <c r="FO165" s="622">
        <f t="shared" ca="1" si="387"/>
        <v>0</v>
      </c>
      <c r="FP165" s="530">
        <f t="shared" ca="1" si="388"/>
        <v>0</v>
      </c>
      <c r="FQ165" s="530">
        <f t="shared" ca="1" si="389"/>
        <v>0</v>
      </c>
      <c r="FR165" s="530">
        <f t="shared" ca="1" si="390"/>
        <v>0</v>
      </c>
      <c r="FS165" s="625">
        <f t="shared" ca="1" si="391"/>
        <v>0</v>
      </c>
      <c r="FT165" s="640">
        <f ca="1">IF(AND(Assumptions!$H$71="Yes",A165&gt;=Assumptions!$H$72,A165&lt;=Assumptions!$H$73),0,IF(AND($A165&gt;=Assumptions!$C$17,$A165&lt;=Assumptions!$C$18),MAX(AZ165*(1+VLOOKUP($C165,WeatherCapacityAdjustment,2))-FL165,0),0))</f>
        <v>44232</v>
      </c>
      <c r="FU165" s="530">
        <f ca="1">IF(AND(Assumptions!$H$71="Yes",A165&gt;=Assumptions!$H$72,A165&lt;=Assumptions!$H$73),0,IF(AND($A165&gt;=Assumptions!$C$17,$A165&lt;=Assumptions!$C$18),MAX(BA165*(1+VLOOKUP($C165,WeatherCapacityAdjustment,2))-FM165,0),0))</f>
        <v>11640</v>
      </c>
      <c r="FV165" s="530">
        <f ca="1">IF(AND(Assumptions!$H$71="Yes",A165&gt;=Assumptions!$H$72,A165&lt;=Assumptions!$H$73),0,IF(AND($A165&gt;=Assumptions!$C$17,$A165&lt;=Assumptions!$C$18),MAX(BB165*(1+VLOOKUP($C165,WeatherCapacityAdjustment,2))-FN165,0),0))</f>
        <v>13968</v>
      </c>
      <c r="FW165" s="622">
        <f ca="1">IF(AND(Assumptions!$H$71="Yes",A165&gt;=Assumptions!$H$72,A165&lt;=Assumptions!$H$73),0,IF(AND($A165&gt;=Assumptions!$C$17,$A165&lt;=Assumptions!$C$18),MAX(BC165*(1+VLOOKUP($C165,WeatherCapacityAdjustment,3))-FO165,0),0))</f>
        <v>34920</v>
      </c>
      <c r="FX165" s="621">
        <f ca="1">IF(AND(Assumptions!$H$71="Yes",A165&gt;=Assumptions!$H$72,A165&lt;=Assumptions!$H$73),0,IF(ET165&gt;0,MAX(BH165*(1+VLOOKUP($C165,WeatherCapacityAdjustment,2))-FP165,0),0))</f>
        <v>176928</v>
      </c>
      <c r="FY165" s="530">
        <f ca="1">IF(AND(Assumptions!$H$71="Yes",A165&gt;=Assumptions!$H$72,A165&lt;=Assumptions!$H$73),0,IF(EU165&gt;0,MAX(BI165*(1+VLOOKUP($C165,WeatherCapacityAdjustment,3))-FQ165,0),0))</f>
        <v>46560</v>
      </c>
      <c r="FZ165" s="530">
        <f ca="1">IF(AND(Assumptions!$H$71="Yes",A165&gt;=Assumptions!$H$72,A165&lt;=Assumptions!$H$73),0,IF(EV165&gt;0,MAX(BJ165*(1+VLOOKUP($C165,WeatherCapacityAdjustment,2))-FR165,0),0))</f>
        <v>55872</v>
      </c>
      <c r="GA165" s="622">
        <f ca="1">IF(AND(Assumptions!$H$71="Yes",A165&gt;=Assumptions!$H$72,A165&lt;=Assumptions!$H$73),0,IF(EW165&gt;0,MAX(BK165*(1+VLOOKUP($C165,WeatherCapacityAdjustment,2))-FS165,0),0))</f>
        <v>139680</v>
      </c>
      <c r="GB165" s="530">
        <f t="shared" ca="1" si="461"/>
        <v>523800</v>
      </c>
      <c r="GC165" s="545">
        <f t="shared" ca="1" si="462"/>
        <v>53.071048658541265</v>
      </c>
      <c r="GD165" s="530">
        <f t="shared" ca="1" si="392"/>
        <v>27798615.287343916</v>
      </c>
      <c r="GE165" s="1485">
        <f t="shared" ca="1" si="393"/>
        <v>745639.77599999995</v>
      </c>
      <c r="GF165" s="1776">
        <f t="shared" ca="1" si="394"/>
        <v>2982559.1039999998</v>
      </c>
      <c r="GG165" s="545">
        <f t="shared" si="359"/>
        <v>3.1818512318597172</v>
      </c>
      <c r="GH165" s="622">
        <f t="shared" ca="1" si="360"/>
        <v>11862574.198946018</v>
      </c>
      <c r="GI165" s="621">
        <f t="shared" ca="1" si="507"/>
        <v>523800</v>
      </c>
      <c r="GJ165" s="638">
        <f t="shared" si="463"/>
        <v>2.1511666235201594</v>
      </c>
      <c r="GK165" s="625">
        <f t="shared" ca="1" si="513"/>
        <v>1126781.0773998594</v>
      </c>
      <c r="GL165" s="640">
        <f t="shared" ca="1" si="395"/>
        <v>0</v>
      </c>
      <c r="GM165" s="530">
        <f t="shared" ca="1" si="396"/>
        <v>0</v>
      </c>
      <c r="GN165" s="530">
        <f t="shared" ca="1" si="397"/>
        <v>0</v>
      </c>
      <c r="GO165" s="622">
        <f t="shared" ca="1" si="398"/>
        <v>0</v>
      </c>
      <c r="GP165" s="530">
        <f t="shared" ca="1" si="464"/>
        <v>0</v>
      </c>
      <c r="GQ165" s="545">
        <f t="shared" ca="1" si="465"/>
        <v>0</v>
      </c>
      <c r="GR165" s="625">
        <f t="shared" ca="1" si="399"/>
        <v>0</v>
      </c>
      <c r="GS165" s="640">
        <f>IF($A165&gt;=BegDate,Assumptions!$C$56*24*($A166-$A165)*(1-VLOOKUP($B165,MAIN!$AA$7:$AM$28,$C165+1))*(1-VLOOKUP($B165,MAIN!$AA$33:$AM$54,$C165+1)),0)*80/168</f>
        <v>249428.57142857142</v>
      </c>
      <c r="GT165" s="1715">
        <f t="shared" si="508"/>
        <v>70.66148665002622</v>
      </c>
      <c r="GU165" s="1715">
        <f>IF($A165&gt;=BegDate,VLOOKUP($A165,GasTable,13)+Assumptions!$C$58,0)</f>
        <v>3.1818512318597172</v>
      </c>
      <c r="GV165" s="1715">
        <f>GU165*Assumptions!$C$57/1000</f>
        <v>23.068421430982951</v>
      </c>
      <c r="GW165" s="625">
        <f>IF(Assumptions!$C$60="Hourly",MAX(0,GS165*(GT165-GV165)),GS165*(GT165-GV165))</f>
        <v>11871070.267492792</v>
      </c>
      <c r="GX165" s="640">
        <f>IF($A165&gt;=BegDate,Assumptions!$C$56*24*($A166-$A165)*(1-VLOOKUP($B165,MAIN!$AA$7:$AM$28,$C165+1))*(1-VLOOKUP($B165,MAIN!$AA$33:$AM$54,$C165+1)),0)*16/168</f>
        <v>49885.714285714283</v>
      </c>
      <c r="GY165" s="1715">
        <f t="shared" si="509"/>
        <v>70.66148665002622</v>
      </c>
      <c r="GZ165" s="1715">
        <f>IF($A165&gt;=BegDate,VLOOKUP($A165,GasTable,13)+Assumptions!$C$58,0)</f>
        <v>3.1818512318597172</v>
      </c>
      <c r="HA165" s="1715">
        <f>GZ165*Assumptions!$C$57/1000</f>
        <v>23.068421430982951</v>
      </c>
      <c r="HB165" s="625">
        <f>IF(Assumptions!$C$60="Hourly",MAX(0,GX165*(GY165-HA165)),GX165*(GY165-HA165))</f>
        <v>2374214.0534985582</v>
      </c>
      <c r="HC165" s="640">
        <f>IF($A165&gt;=BegDate,Assumptions!$C$56*24*($A166-$A165)*(1-VLOOKUP($B165,MAIN!$AA$7:$AM$28,$C165+1))*(1-VLOOKUP($B165,MAIN!$AA$33:$AM$54,$C165+1)),0)*16/168</f>
        <v>49885.714285714283</v>
      </c>
      <c r="HD165" s="1715">
        <f t="shared" si="510"/>
        <v>32.967691801294457</v>
      </c>
      <c r="HE165" s="1715">
        <f>IF($A165&gt;=BegDate,VLOOKUP($A165,GasTable,13)+Assumptions!$C$58,0)</f>
        <v>3.1818512318597172</v>
      </c>
      <c r="HF165" s="1715">
        <f>HE165*Assumptions!$C$57/1000</f>
        <v>23.068421430982951</v>
      </c>
      <c r="HG165" s="625">
        <f>IF(Assumptions!$C$60="Hourly",MAX(0,HC165*(HD165-HF165)),HC165*(HD165-HF165))</f>
        <v>493832.17333039676</v>
      </c>
      <c r="HH165" s="640">
        <f>IF($A165&gt;=BegDate,Assumptions!$C$56*24*($A166-$A165)*(1-VLOOKUP($B165,MAIN!$AA$7:$AM$28,$C165+1))*(1-VLOOKUP($B165,MAIN!$AA$33:$AM$54,$C165+1)),0)*56/168</f>
        <v>174600</v>
      </c>
      <c r="HI165" s="1715">
        <f t="shared" si="511"/>
        <v>32.967691801294457</v>
      </c>
      <c r="HJ165" s="1715">
        <f>IF($A165&gt;=BegDate,VLOOKUP($A165,GasTable,13)+Assumptions!$C$58,0)</f>
        <v>3.1818512318597172</v>
      </c>
      <c r="HK165" s="1715">
        <f>HJ165*Assumptions!$C$57/1000</f>
        <v>23.068421430982951</v>
      </c>
      <c r="HL165" s="625">
        <f>IF(Assumptions!$C$60="Hourly",MAX(0,HH165*(HI165-HK165)),HH165*(HI165-HK165))</f>
        <v>1728412.6066563888</v>
      </c>
      <c r="HM165" s="640">
        <f>IF(AND(Assumptions!$H$71="Yes",A165&gt;=Assumptions!$H$72,A165&lt;=Assumptions!$H$73),Assumptions!$H$74*Assumptions!$C$9*1000,0)</f>
        <v>0</v>
      </c>
      <c r="HN165" s="530"/>
      <c r="HO165" s="545"/>
      <c r="HP165" s="545"/>
      <c r="HQ165" s="545"/>
      <c r="HR165" s="545"/>
      <c r="HS165" s="545"/>
      <c r="HT165" s="545"/>
      <c r="HU165" s="545"/>
      <c r="HV165" s="545"/>
      <c r="HW165" s="545"/>
      <c r="HX165" s="545"/>
      <c r="HY165" s="545"/>
      <c r="HZ165" s="545"/>
      <c r="IA165" s="545"/>
      <c r="IB165" s="545"/>
      <c r="IC165" s="545"/>
      <c r="ID165" s="545"/>
      <c r="IE165" s="545"/>
      <c r="IF165" s="545"/>
      <c r="IG165" s="545"/>
      <c r="IH165" s="545"/>
      <c r="II165" s="1464"/>
      <c r="IJ165" s="1463"/>
      <c r="IK165" s="1463"/>
    </row>
    <row r="166" spans="1:245">
      <c r="A166" s="177">
        <f t="shared" si="466"/>
        <v>41183</v>
      </c>
      <c r="B166" s="349">
        <f t="shared" si="467"/>
        <v>2012</v>
      </c>
      <c r="C166" s="15">
        <f t="shared" si="515"/>
        <v>10</v>
      </c>
      <c r="D166" s="612" t="str">
        <f t="shared" si="468"/>
        <v/>
      </c>
      <c r="E166" s="609">
        <f t="shared" si="516"/>
        <v>41183</v>
      </c>
      <c r="F166" s="614">
        <f t="shared" si="517"/>
        <v>41213</v>
      </c>
      <c r="G166" s="1349">
        <v>0</v>
      </c>
      <c r="H166" s="152">
        <f t="shared" si="512"/>
        <v>1</v>
      </c>
      <c r="I166" s="154">
        <f>IF(Assumptions!$L$25=4,VLOOKUP($A166,'Henwood Reference'!$E$9:$R$320,10),(VLOOKUP($A166,PriceTable,2,0)+IF(BasisNumber&lt;&gt;1,VLOOKUP($A166,BasisTable,2,0),0)+I$1)/(1-I$2))</f>
        <v>50.637343779857659</v>
      </c>
      <c r="J166" s="154">
        <f>IF(Assumptions!$L$25=4,VLOOKUP($A166,'Henwood Reference'!$E$9:$R$320,10),(VLOOKUP($A166,PriceTable,3,0)+IF(BasisNumber&lt;&gt;1,VLOOKUP($A166,BasisTable,2,0),0)+J$1)/(1-J$2))</f>
        <v>50.637343779857659</v>
      </c>
      <c r="K166" s="154">
        <f>IF(Assumptions!$L$25=4,VLOOKUP($A166,'Henwood Reference'!$E$9:$R$320,10),(VLOOKUP($A166,PriceTable,4,0)+IF(BasisNumber&lt;&gt;1,VLOOKUP($A166,BasisTable,2,0),0)+K$1)/(1-K$2))</f>
        <v>50.637343779857659</v>
      </c>
      <c r="L166" s="474">
        <f>IF(Assumptions!$L$25=4,VLOOKUP($A166,'Henwood Reference'!$E$9:$R$320,10),(VLOOKUP($A166,PriceTableWeekend,2,0)+IF(BasisNumber&lt;&gt;1,VLOOKUP($A166,BasisTable,2,0),0)+L$1)/(1-L$2))</f>
        <v>50.637343779857659</v>
      </c>
      <c r="M166" s="154">
        <f>IF(Assumptions!$L$25=4,VLOOKUP($A166,'Henwood Reference'!$E$9:$R$320,10),(VLOOKUP($A166,PriceTableWeekend,3,0)+IF(BasisNumber&lt;&gt;1,VLOOKUP($A166,BasisTable,2,0),0)+M$1)/(1-M$2))</f>
        <v>50.637343779857659</v>
      </c>
      <c r="N166" s="156">
        <f>IF(Assumptions!$L$25=4,VLOOKUP($A166,'Henwood Reference'!$E$9:$R$320,10),(VLOOKUP($A166,PriceTableWeekend,4,0)+IF(BasisNumber&lt;&gt;1,VLOOKUP($A166,BasisTable,2,0),0)+N$1)/(1-N$2))</f>
        <v>50.637343779857659</v>
      </c>
      <c r="O166" s="154">
        <f>IF(Assumptions!$L$25=4,VLOOKUP($A166,'Henwood Reference'!$E$9:$R$320,11),(VLOOKUP($A166,PriceTableWeekend,6,0)+IF(BasisNumber&lt;&gt;1,VLOOKUP($A166,BasisTable,3,0),0)+O$1)/(1-O$2))</f>
        <v>28.880021673239909</v>
      </c>
      <c r="P166" s="154">
        <f>IF(Assumptions!$L$25=4,VLOOKUP($A166,'Henwood Reference'!$E$9:$R$320,11),(VLOOKUP($A166,PriceTableWeekend,7,0)+IF(BasisNumber&lt;&gt;1,VLOOKUP($A166,BasisTable,3,0),0)+P$1)/(1-P$2))</f>
        <v>28.880021673239909</v>
      </c>
      <c r="Q166" s="156">
        <f>IF(Assumptions!$L$25=4,VLOOKUP($A166,'Henwood Reference'!$E$9:$R$320,11),(VLOOKUP($A166,PriceTableWeekend,8,0)+IF(BasisNumber&lt;&gt;1,VLOOKUP($A166,BasisTable,3,0),0)+Q$1)/(1-Q$2))</f>
        <v>28.880021673239909</v>
      </c>
      <c r="R166" s="154">
        <f>IF(Assumptions!$L$25=4,VLOOKUP($A166,'Henwood Reference'!$E$9:$R$320,11),(VLOOKUP($A166,PriceTable,6,0)+IF(BasisNumber&lt;&gt;1,VLOOKUP($A166,BasisTable,3,0),0)+R$1)/(1-R$2))</f>
        <v>28.880021673239909</v>
      </c>
      <c r="S166" s="154">
        <f>IF(Assumptions!$L$25=4,VLOOKUP($A166,'Henwood Reference'!$E$9:$R$320,11),(VLOOKUP($A166,PriceTable,7,0)+IF(BasisNumber&lt;&gt;1,VLOOKUP($A166,BasisTable,3,0),0)+S$1)/(1-S$2))</f>
        <v>28.880021673239909</v>
      </c>
      <c r="T166" s="155">
        <f>IF(Assumptions!$L$25=4,VLOOKUP($A166,'Henwood Reference'!$E$9:$R$320,11),(VLOOKUP($A166,PriceTable,8,0)+IF(BasisNumber&lt;&gt;1,VLOOKUP($A166,BasisTable,3,0),0)+T$1)/(1-T$2))</f>
        <v>28.880021673239909</v>
      </c>
      <c r="U166" s="173">
        <f t="shared" si="469"/>
        <v>0.11</v>
      </c>
      <c r="V166" s="173">
        <f t="shared" si="470"/>
        <v>0.12</v>
      </c>
      <c r="W166" s="174">
        <f t="shared" si="471"/>
        <v>0.13</v>
      </c>
      <c r="X166" s="173">
        <f t="shared" si="472"/>
        <v>0.11</v>
      </c>
      <c r="Y166" s="173">
        <f t="shared" si="473"/>
        <v>0.12</v>
      </c>
      <c r="Z166" s="174">
        <f t="shared" si="474"/>
        <v>0.13</v>
      </c>
      <c r="AA166" s="173">
        <f t="shared" si="475"/>
        <v>0.09</v>
      </c>
      <c r="AB166" s="173">
        <f t="shared" si="476"/>
        <v>0.11</v>
      </c>
      <c r="AC166" s="174">
        <f t="shared" si="477"/>
        <v>0.13</v>
      </c>
      <c r="AD166" s="173">
        <f t="shared" si="478"/>
        <v>0.09</v>
      </c>
      <c r="AE166" s="173">
        <f t="shared" si="479"/>
        <v>0.11</v>
      </c>
      <c r="AF166" s="174">
        <f t="shared" si="480"/>
        <v>0.13</v>
      </c>
      <c r="AG166" s="173">
        <f t="shared" si="481"/>
        <v>-0.1</v>
      </c>
      <c r="AH166" s="173">
        <f t="shared" si="482"/>
        <v>0.6</v>
      </c>
      <c r="AI166" s="174">
        <f t="shared" si="483"/>
        <v>0.1</v>
      </c>
      <c r="AJ166" s="173">
        <f t="shared" si="484"/>
        <v>-0.1</v>
      </c>
      <c r="AK166" s="173">
        <f t="shared" si="485"/>
        <v>0.6</v>
      </c>
      <c r="AL166" s="174">
        <f t="shared" si="486"/>
        <v>0.1</v>
      </c>
      <c r="AM166" s="173">
        <f t="shared" si="487"/>
        <v>-0.01</v>
      </c>
      <c r="AN166" s="173">
        <f t="shared" si="488"/>
        <v>0.16</v>
      </c>
      <c r="AO166" s="174">
        <f t="shared" si="489"/>
        <v>0.01</v>
      </c>
      <c r="AP166" s="173">
        <f t="shared" si="490"/>
        <v>-0.01</v>
      </c>
      <c r="AQ166" s="173">
        <f t="shared" si="491"/>
        <v>0.16</v>
      </c>
      <c r="AR166" s="175">
        <f t="shared" si="492"/>
        <v>0.01</v>
      </c>
      <c r="AS166" s="521">
        <f t="shared" si="520"/>
        <v>0.5</v>
      </c>
      <c r="AT166" s="349">
        <f t="shared" si="518"/>
        <v>23</v>
      </c>
      <c r="AU166" s="159">
        <f t="shared" si="411"/>
        <v>4</v>
      </c>
      <c r="AV166" s="159">
        <f t="shared" si="412"/>
        <v>4</v>
      </c>
      <c r="AW166" s="159">
        <f t="shared" si="521"/>
        <v>0</v>
      </c>
      <c r="AX166" s="15">
        <f t="shared" si="519"/>
        <v>31</v>
      </c>
      <c r="AY166" s="607">
        <f>IF(E166="",0,MIN((1-(1-VLOOKUP(B166,MAIN!$AA$7:$AM$28,C166+1))*(1-VLOOKUP(B166,MAIN!$AA$33:$AM$54,C166+1))),1))</f>
        <v>3.0000000000000027E-2</v>
      </c>
      <c r="AZ166" s="337">
        <v>53544</v>
      </c>
      <c r="BA166" s="509">
        <v>9312</v>
      </c>
      <c r="BB166" s="509">
        <v>9312</v>
      </c>
      <c r="BC166" s="511">
        <v>36084</v>
      </c>
      <c r="BD166" s="153">
        <v>0.97000001445412631</v>
      </c>
      <c r="BE166" s="474">
        <v>0.97000001445412631</v>
      </c>
      <c r="BF166" s="474">
        <v>0.97000001445412631</v>
      </c>
      <c r="BG166" s="515">
        <v>0.9699999927729368</v>
      </c>
      <c r="BH166" s="262">
        <v>214176</v>
      </c>
      <c r="BI166" s="509">
        <v>37248</v>
      </c>
      <c r="BJ166" s="509">
        <v>37248</v>
      </c>
      <c r="BK166" s="511">
        <v>144336</v>
      </c>
      <c r="BL166" s="153">
        <v>0.97000001445412631</v>
      </c>
      <c r="BM166" s="474">
        <v>0.97000001445412631</v>
      </c>
      <c r="BN166" s="474">
        <v>0.97000001445412631</v>
      </c>
      <c r="BO166" s="474">
        <v>0.9699999927729368</v>
      </c>
      <c r="BP166" s="261">
        <f t="shared" si="495"/>
        <v>72168</v>
      </c>
      <c r="BQ166" s="578">
        <f t="shared" si="496"/>
        <v>108252</v>
      </c>
      <c r="BR166" s="259">
        <f t="shared" si="497"/>
        <v>288672</v>
      </c>
      <c r="BS166" s="578">
        <f t="shared" si="498"/>
        <v>433008</v>
      </c>
      <c r="BT166" s="216">
        <f t="shared" si="499"/>
        <v>12.465434633812457</v>
      </c>
      <c r="BU166" s="218">
        <f t="shared" si="414"/>
        <v>50.637344534412875</v>
      </c>
      <c r="BV166" s="216">
        <f t="shared" si="415"/>
        <v>50.637344534412875</v>
      </c>
      <c r="BW166" s="216">
        <f t="shared" si="416"/>
        <v>28.880022103585766</v>
      </c>
      <c r="BX166" s="216">
        <f t="shared" si="500"/>
        <v>28.880021458066981</v>
      </c>
      <c r="BY166" s="216">
        <f t="shared" si="417"/>
        <v>47.829948091725505</v>
      </c>
      <c r="BZ166" s="216">
        <f t="shared" si="418"/>
        <v>41.513305880505996</v>
      </c>
      <c r="CA166" s="264">
        <f t="shared" si="419"/>
        <v>50.637344534412875</v>
      </c>
      <c r="CB166" s="216">
        <f t="shared" si="420"/>
        <v>50.637344534412875</v>
      </c>
      <c r="CC166" s="216">
        <f t="shared" si="421"/>
        <v>28.880022103585766</v>
      </c>
      <c r="CD166" s="216">
        <f t="shared" si="501"/>
        <v>28.880021458066981</v>
      </c>
      <c r="CE166" s="216">
        <f t="shared" si="422"/>
        <v>47.829948091725505</v>
      </c>
      <c r="CF166" s="571">
        <f t="shared" si="423"/>
        <v>41.513305880505996</v>
      </c>
      <c r="CG166" s="573">
        <f t="shared" si="424"/>
        <v>0.12</v>
      </c>
      <c r="CH166" s="219">
        <f t="shared" si="425"/>
        <v>0.12</v>
      </c>
      <c r="CI166" s="219">
        <f t="shared" si="426"/>
        <v>0.11</v>
      </c>
      <c r="CJ166" s="219">
        <f t="shared" si="427"/>
        <v>0.11922621279764532</v>
      </c>
      <c r="CK166" s="219">
        <f t="shared" si="428"/>
        <v>0.11922621279764532</v>
      </c>
      <c r="CL166" s="219">
        <f t="shared" si="429"/>
        <v>0.11</v>
      </c>
      <c r="CM166" s="219">
        <f t="shared" si="430"/>
        <v>0.10702313262245922</v>
      </c>
      <c r="CN166" s="569">
        <f t="shared" si="431"/>
        <v>0.10702313262245922</v>
      </c>
      <c r="CO166" s="264">
        <f t="shared" si="514"/>
        <v>23.624883451649119</v>
      </c>
      <c r="CP166" s="216">
        <f t="shared" si="502"/>
        <v>23.624883451649119</v>
      </c>
      <c r="CQ166" s="216">
        <f t="shared" ca="1" si="361"/>
        <v>23.624883451649119</v>
      </c>
      <c r="CR166" s="216">
        <f t="shared" ca="1" si="362"/>
        <v>23.624883451649119</v>
      </c>
      <c r="CS166" s="1626">
        <f t="shared" ca="1" si="363"/>
        <v>23.624883451649115</v>
      </c>
      <c r="CT166" s="216">
        <f t="shared" si="503"/>
        <v>23.624883451649119</v>
      </c>
      <c r="CU166" s="575">
        <f t="shared" si="432"/>
        <v>0.156</v>
      </c>
      <c r="CV166" s="154">
        <f t="shared" si="433"/>
        <v>0.5</v>
      </c>
      <c r="CW166" s="216">
        <f>IF(OR($BQ166,$BS166),SpreadOptPowerMargin,0)*((1+Assumptions!$C$26)^($B166-YEAR(Assumptions!$C$17)))</f>
        <v>2.1511666235201594</v>
      </c>
      <c r="CX166" s="216">
        <f>IF(OR($BQ166,$BS166),SpreadOptPowerMargin,0)*((1+Assumptions!$C$26)^($B166-YEAR(Assumptions!$C$17)))</f>
        <v>2.1511666235201594</v>
      </c>
      <c r="CY166" s="216">
        <f>IF(OR($BQ166,$BS166),SpreadOptPowerMargin,0)*((1+Assumptions!$C$26)^($B166-YEAR(Assumptions!$C$17)))</f>
        <v>2.1511666235201594</v>
      </c>
      <c r="CZ166" s="216">
        <f>IF(OR($BQ166,$BS166),SpreadOptPowerMargin,0)*((1+Assumptions!$C$26)^($B166-YEAR(Assumptions!$C$17)))</f>
        <v>2.1511666235201594</v>
      </c>
      <c r="DA166" s="440">
        <f t="shared" si="434"/>
        <v>2.1511666235201594</v>
      </c>
      <c r="DB166" s="479">
        <f t="shared" si="435"/>
        <v>0.12</v>
      </c>
      <c r="DC166" s="479">
        <f t="shared" si="436"/>
        <v>0.12</v>
      </c>
      <c r="DD166" s="479">
        <f t="shared" si="437"/>
        <v>0.11</v>
      </c>
      <c r="DE166" s="479">
        <f t="shared" si="438"/>
        <v>0.11</v>
      </c>
      <c r="DF166" s="479">
        <f t="shared" si="439"/>
        <v>0.10702313262245922</v>
      </c>
      <c r="DG166" s="574">
        <f t="shared" si="440"/>
        <v>0.10702313262245922</v>
      </c>
      <c r="DH166" s="216">
        <f t="shared" si="441"/>
        <v>25.448756197646322</v>
      </c>
      <c r="DI166" s="216">
        <f t="shared" si="442"/>
        <v>25.448756197646322</v>
      </c>
      <c r="DJ166" s="216">
        <f t="shared" ca="1" si="364"/>
        <v>6.6569922179318617</v>
      </c>
      <c r="DK166" s="216">
        <f t="shared" ca="1" si="365"/>
        <v>6.6569917741974898</v>
      </c>
      <c r="DL166" s="216">
        <f t="shared" ca="1" si="366"/>
        <v>16.884866338598314</v>
      </c>
      <c r="DM166" s="216"/>
      <c r="DN166" s="216"/>
      <c r="DO166" s="216"/>
      <c r="DP166" s="216"/>
      <c r="DQ166" s="216"/>
      <c r="DR166" s="216"/>
      <c r="DS166" s="216"/>
      <c r="DT166" s="216"/>
      <c r="DU166" s="216"/>
      <c r="DV166" s="216"/>
      <c r="DW166" s="1371">
        <f t="shared" si="443"/>
        <v>6.6569922179318617</v>
      </c>
      <c r="DX166" s="216">
        <f t="shared" si="444"/>
        <v>6.6569917741974898</v>
      </c>
      <c r="DY166" s="440">
        <f t="shared" si="445"/>
        <v>17.568338896951381</v>
      </c>
      <c r="DZ166" s="180">
        <f t="shared" si="446"/>
        <v>1362628.2018467747</v>
      </c>
      <c r="EA166" s="180">
        <f t="shared" si="447"/>
        <v>236978.81771248256</v>
      </c>
      <c r="EB166" s="180">
        <f t="shared" ca="1" si="367"/>
        <v>61989.911533381499</v>
      </c>
      <c r="EC166" s="180">
        <f t="shared" ca="1" si="368"/>
        <v>240210.89118014221</v>
      </c>
      <c r="ED166" s="180">
        <f t="shared" ca="1" si="369"/>
        <v>1827820.5508859446</v>
      </c>
      <c r="EE166" s="581">
        <f t="shared" si="448"/>
        <v>1331173.1505257392</v>
      </c>
      <c r="EF166" s="554">
        <f t="shared" si="449"/>
        <v>231508.37400447638</v>
      </c>
      <c r="EG166" s="554">
        <f t="shared" ca="1" si="370"/>
        <v>28904.187528614348</v>
      </c>
      <c r="EH166" s="554">
        <f t="shared" ca="1" si="371"/>
        <v>112003.70338048076</v>
      </c>
      <c r="EI166" s="561">
        <f t="shared" ca="1" si="450"/>
        <v>1703589.4154393109</v>
      </c>
      <c r="EJ166" s="581">
        <f t="shared" si="504"/>
        <v>31455.051321035484</v>
      </c>
      <c r="EK166" s="554">
        <f t="shared" si="505"/>
        <v>5470.4437080061762</v>
      </c>
      <c r="EL166" s="554">
        <f t="shared" ca="1" si="372"/>
        <v>33085.724004767151</v>
      </c>
      <c r="EM166" s="554">
        <f t="shared" ca="1" si="373"/>
        <v>128207.18779966145</v>
      </c>
      <c r="EN166" s="561">
        <f t="shared" ca="1" si="374"/>
        <v>124231.13544663368</v>
      </c>
      <c r="EO166" s="180">
        <f t="shared" si="451"/>
        <v>5450512.8073870987</v>
      </c>
      <c r="EP166" s="180">
        <f t="shared" si="452"/>
        <v>947915.27084993024</v>
      </c>
      <c r="EQ166" s="180">
        <f t="shared" si="453"/>
        <v>247959.646133526</v>
      </c>
      <c r="ER166" s="180">
        <f t="shared" si="454"/>
        <v>960843.56472056883</v>
      </c>
      <c r="ES166" s="180">
        <f t="shared" si="455"/>
        <v>7607231.2890911242</v>
      </c>
      <c r="ET166" s="1482">
        <f t="shared" ca="1" si="375"/>
        <v>5324692.6021029567</v>
      </c>
      <c r="EU166" s="180">
        <f t="shared" ca="1" si="376"/>
        <v>926033.49601790553</v>
      </c>
      <c r="EV166" s="180">
        <f t="shared" ca="1" si="377"/>
        <v>115616.75011445739</v>
      </c>
      <c r="EW166" s="180">
        <f t="shared" ca="1" si="378"/>
        <v>448014.81352192303</v>
      </c>
      <c r="EX166" s="555">
        <f t="shared" ca="1" si="351"/>
        <v>6814357.6617572438</v>
      </c>
      <c r="EY166" s="180">
        <f t="shared" ca="1" si="379"/>
        <v>125820.20528414194</v>
      </c>
      <c r="EZ166" s="180">
        <f t="shared" ca="1" si="380"/>
        <v>21881.774832024705</v>
      </c>
      <c r="FA166" s="180">
        <f t="shared" ca="1" si="381"/>
        <v>132342.8960190686</v>
      </c>
      <c r="FB166" s="180">
        <f t="shared" ca="1" si="382"/>
        <v>512828.7511986458</v>
      </c>
      <c r="FC166" s="180">
        <f t="shared" ca="1" si="383"/>
        <v>792873.6273338804</v>
      </c>
      <c r="FD166" s="262">
        <f>IF(AX166,IF(VLOOKUP(C166,MAIN!$L$17:$M$28,2)="Yes",VLOOKUP(CALC!B166,MAIN!$H$17:$I$20,2),0),0)</f>
        <v>0</v>
      </c>
      <c r="FE166" s="623">
        <f t="shared" si="456"/>
        <v>0</v>
      </c>
      <c r="FF166" s="535">
        <f t="shared" si="457"/>
        <v>0</v>
      </c>
      <c r="FG166" s="535">
        <f t="shared" si="458"/>
        <v>0</v>
      </c>
      <c r="FH166" s="624">
        <f t="shared" si="459"/>
        <v>0</v>
      </c>
      <c r="FI166" s="632">
        <f>IF(AX166,VLOOKUP(CALC!B166,MAIN!$H$17:$K$20,4),0)</f>
        <v>0</v>
      </c>
      <c r="FJ166" s="535">
        <f t="shared" si="460"/>
        <v>0</v>
      </c>
      <c r="FK166" s="648">
        <f t="shared" si="506"/>
        <v>0</v>
      </c>
      <c r="FL166" s="530">
        <f t="shared" ca="1" si="384"/>
        <v>0</v>
      </c>
      <c r="FM166" s="530">
        <f t="shared" ca="1" si="385"/>
        <v>0</v>
      </c>
      <c r="FN166" s="530">
        <f t="shared" ca="1" si="386"/>
        <v>0</v>
      </c>
      <c r="FO166" s="622">
        <f t="shared" ca="1" si="387"/>
        <v>0</v>
      </c>
      <c r="FP166" s="530">
        <f t="shared" ca="1" si="388"/>
        <v>0</v>
      </c>
      <c r="FQ166" s="530">
        <f t="shared" ca="1" si="389"/>
        <v>0</v>
      </c>
      <c r="FR166" s="530">
        <f t="shared" ca="1" si="390"/>
        <v>0</v>
      </c>
      <c r="FS166" s="625">
        <f t="shared" ca="1" si="391"/>
        <v>0</v>
      </c>
      <c r="FT166" s="640">
        <f ca="1">IF(AND(Assumptions!$H$71="Yes",A166&gt;=Assumptions!$H$72,A166&lt;=Assumptions!$H$73),0,IF(AND($A166&gt;=Assumptions!$C$17,$A166&lt;=Assumptions!$C$18),MAX(AZ166*(1+VLOOKUP($C166,WeatherCapacityAdjustment,2))-FL166,0),0))</f>
        <v>53544</v>
      </c>
      <c r="FU166" s="530">
        <f ca="1">IF(AND(Assumptions!$H$71="Yes",A166&gt;=Assumptions!$H$72,A166&lt;=Assumptions!$H$73),0,IF(AND($A166&gt;=Assumptions!$C$17,$A166&lt;=Assumptions!$C$18),MAX(BA166*(1+VLOOKUP($C166,WeatherCapacityAdjustment,2))-FM166,0),0))</f>
        <v>9312</v>
      </c>
      <c r="FV166" s="530">
        <f ca="1">IF(AND(Assumptions!$H$71="Yes",A166&gt;=Assumptions!$H$72,A166&lt;=Assumptions!$H$73),0,IF(AND($A166&gt;=Assumptions!$C$17,$A166&lt;=Assumptions!$C$18),MAX(BB166*(1+VLOOKUP($C166,WeatherCapacityAdjustment,2))-FN166,0),0))</f>
        <v>9312</v>
      </c>
      <c r="FW166" s="622">
        <f ca="1">IF(AND(Assumptions!$H$71="Yes",A166&gt;=Assumptions!$H$72,A166&lt;=Assumptions!$H$73),0,IF(AND($A166&gt;=Assumptions!$C$17,$A166&lt;=Assumptions!$C$18),MAX(BC166*(1+VLOOKUP($C166,WeatherCapacityAdjustment,3))-FO166,0),0))</f>
        <v>36084</v>
      </c>
      <c r="FX166" s="621">
        <f ca="1">IF(AND(Assumptions!$H$71="Yes",A166&gt;=Assumptions!$H$72,A166&lt;=Assumptions!$H$73),0,IF(ET166&gt;0,MAX(BH166*(1+VLOOKUP($C166,WeatherCapacityAdjustment,2))-FP166,0),0))</f>
        <v>214176</v>
      </c>
      <c r="FY166" s="530">
        <f ca="1">IF(AND(Assumptions!$H$71="Yes",A166&gt;=Assumptions!$H$72,A166&lt;=Assumptions!$H$73),0,IF(EU166&gt;0,MAX(BI166*(1+VLOOKUP($C166,WeatherCapacityAdjustment,3))-FQ166,0),0))</f>
        <v>37248</v>
      </c>
      <c r="FZ166" s="530">
        <f ca="1">IF(AND(Assumptions!$H$71="Yes",A166&gt;=Assumptions!$H$72,A166&lt;=Assumptions!$H$73),0,IF(EV166&gt;0,MAX(BJ166*(1+VLOOKUP($C166,WeatherCapacityAdjustment,2))-FR166,0),0))</f>
        <v>37248</v>
      </c>
      <c r="GA166" s="622">
        <f ca="1">IF(AND(Assumptions!$H$71="Yes",A166&gt;=Assumptions!$H$72,A166&lt;=Assumptions!$H$73),0,IF(EW166&gt;0,MAX(BK166*(1+VLOOKUP($C166,WeatherCapacityAdjustment,2))-FS166,0),0))</f>
        <v>144336</v>
      </c>
      <c r="GB166" s="530">
        <f t="shared" ca="1" si="461"/>
        <v>541260</v>
      </c>
      <c r="GC166" s="545">
        <f t="shared" ca="1" si="462"/>
        <v>41.513305880505996</v>
      </c>
      <c r="GD166" s="530">
        <f t="shared" ca="1" si="392"/>
        <v>22469491.940882675</v>
      </c>
      <c r="GE166" s="1485">
        <f t="shared" ca="1" si="393"/>
        <v>770812.69608000002</v>
      </c>
      <c r="GF166" s="1776">
        <f t="shared" ca="1" si="394"/>
        <v>3083250.7843200001</v>
      </c>
      <c r="GG166" s="545">
        <f t="shared" si="359"/>
        <v>3.31784997368867</v>
      </c>
      <c r="GH166" s="622">
        <f t="shared" ca="1" si="360"/>
        <v>12787204.417039605</v>
      </c>
      <c r="GI166" s="621">
        <f t="shared" ca="1" si="507"/>
        <v>541260</v>
      </c>
      <c r="GJ166" s="638">
        <f t="shared" si="463"/>
        <v>2.1511666235201594</v>
      </c>
      <c r="GK166" s="625">
        <f t="shared" ca="1" si="513"/>
        <v>1164340.4466465216</v>
      </c>
      <c r="GL166" s="640">
        <f t="shared" ca="1" si="395"/>
        <v>0</v>
      </c>
      <c r="GM166" s="530">
        <f t="shared" ca="1" si="396"/>
        <v>0</v>
      </c>
      <c r="GN166" s="530">
        <f t="shared" ca="1" si="397"/>
        <v>0</v>
      </c>
      <c r="GO166" s="622">
        <f t="shared" ca="1" si="398"/>
        <v>0</v>
      </c>
      <c r="GP166" s="530">
        <f t="shared" ca="1" si="464"/>
        <v>0</v>
      </c>
      <c r="GQ166" s="545">
        <f t="shared" ca="1" si="465"/>
        <v>0</v>
      </c>
      <c r="GR166" s="625">
        <f t="shared" ca="1" si="399"/>
        <v>0</v>
      </c>
      <c r="GS166" s="640">
        <f>IF($A166&gt;=BegDate,Assumptions!$C$56*24*($A167-$A166)*(1-VLOOKUP($B166,MAIN!$AA$7:$AM$28,$C166+1))*(1-VLOOKUP($B166,MAIN!$AA$33:$AM$54,$C166+1)),0)*80/168</f>
        <v>257742.85714285713</v>
      </c>
      <c r="GT166" s="1715">
        <f t="shared" si="508"/>
        <v>50.637343779857659</v>
      </c>
      <c r="GU166" s="1715">
        <f>IF($A166&gt;=BegDate,VLOOKUP($A166,GasTable,13)+Assumptions!$C$58,0)</f>
        <v>3.31784997368867</v>
      </c>
      <c r="GV166" s="1715">
        <f>GU166*Assumptions!$C$57/1000</f>
        <v>24.054412309242856</v>
      </c>
      <c r="GW166" s="625">
        <f>IF(Assumptions!$C$60="Hourly",MAX(0,GS166*(GT166-GV166)),GS166*(GT166-GV166))</f>
        <v>6851560.7084690323</v>
      </c>
      <c r="GX166" s="640">
        <f>IF($A166&gt;=BegDate,Assumptions!$C$56*24*($A167-$A166)*(1-VLOOKUP($B166,MAIN!$AA$7:$AM$28,$C166+1))*(1-VLOOKUP($B166,MAIN!$AA$33:$AM$54,$C166+1)),0)*16/168</f>
        <v>51548.571428571428</v>
      </c>
      <c r="GY166" s="1715">
        <f t="shared" si="509"/>
        <v>50.637343779857659</v>
      </c>
      <c r="GZ166" s="1715">
        <f>IF($A166&gt;=BegDate,VLOOKUP($A166,GasTable,13)+Assumptions!$C$58,0)</f>
        <v>3.31784997368867</v>
      </c>
      <c r="HA166" s="1715">
        <f>GZ166*Assumptions!$C$57/1000</f>
        <v>24.054412309242856</v>
      </c>
      <c r="HB166" s="625">
        <f>IF(Assumptions!$C$60="Hourly",MAX(0,GX166*(GY166-HA166)),GX166*(GY166-HA166))</f>
        <v>1370312.1416938065</v>
      </c>
      <c r="HC166" s="640">
        <f>IF($A166&gt;=BegDate,Assumptions!$C$56*24*($A167-$A166)*(1-VLOOKUP($B166,MAIN!$AA$7:$AM$28,$C166+1))*(1-VLOOKUP($B166,MAIN!$AA$33:$AM$54,$C166+1)),0)*16/168</f>
        <v>51548.571428571428</v>
      </c>
      <c r="HD166" s="1715">
        <f t="shared" si="510"/>
        <v>28.880021673239909</v>
      </c>
      <c r="HE166" s="1715">
        <f>IF($A166&gt;=BegDate,VLOOKUP($A166,GasTable,13)+Assumptions!$C$58,0)</f>
        <v>3.31784997368867</v>
      </c>
      <c r="HF166" s="1715">
        <f>HE166*Assumptions!$C$57/1000</f>
        <v>24.054412309242856</v>
      </c>
      <c r="HG166" s="625">
        <f>IF(Assumptions!$C$60="Hourly",MAX(0,HC166*(HD166-HF166)),HC166*(HD166-HF166))</f>
        <v>248753.26898638523</v>
      </c>
      <c r="HH166" s="640">
        <f>IF($A166&gt;=BegDate,Assumptions!$C$56*24*($A167-$A166)*(1-VLOOKUP($B166,MAIN!$AA$7:$AM$28,$C166+1))*(1-VLOOKUP($B166,MAIN!$AA$33:$AM$54,$C166+1)),0)*56/168</f>
        <v>180420</v>
      </c>
      <c r="HI166" s="1715">
        <f t="shared" si="511"/>
        <v>28.880021673239909</v>
      </c>
      <c r="HJ166" s="1715">
        <f>IF($A166&gt;=BegDate,VLOOKUP($A166,GasTable,13)+Assumptions!$C$58,0)</f>
        <v>3.31784997368867</v>
      </c>
      <c r="HK166" s="1715">
        <f>HJ166*Assumptions!$C$57/1000</f>
        <v>24.054412309242856</v>
      </c>
      <c r="HL166" s="625">
        <f>IF(Assumptions!$C$60="Hourly",MAX(0,HH166*(HI166-HK166)),HH166*(HI166-HK166))</f>
        <v>870636.44145234826</v>
      </c>
      <c r="HM166" s="640">
        <f>IF(AND(Assumptions!$H$71="Yes",A166&gt;=Assumptions!$H$72,A166&lt;=Assumptions!$H$73),Assumptions!$H$74*Assumptions!$C$9*1000,0)</f>
        <v>0</v>
      </c>
      <c r="HN166" s="530"/>
      <c r="HO166" s="545"/>
      <c r="HP166" s="545"/>
      <c r="HQ166" s="545"/>
      <c r="HR166" s="545"/>
      <c r="HS166" s="545"/>
      <c r="HT166" s="545"/>
      <c r="HU166" s="545"/>
      <c r="HV166" s="545"/>
      <c r="HW166" s="545"/>
      <c r="HX166" s="545"/>
      <c r="HY166" s="545"/>
      <c r="HZ166" s="545"/>
      <c r="IA166" s="545"/>
      <c r="IB166" s="545"/>
      <c r="IC166" s="545"/>
      <c r="ID166" s="545"/>
      <c r="IE166" s="545"/>
      <c r="IF166" s="545"/>
      <c r="IG166" s="545"/>
      <c r="IH166" s="545"/>
      <c r="II166" s="1464"/>
      <c r="IJ166" s="1463"/>
      <c r="IK166" s="1463"/>
    </row>
    <row r="167" spans="1:245">
      <c r="A167" s="177">
        <f t="shared" si="466"/>
        <v>41214</v>
      </c>
      <c r="B167" s="349">
        <f t="shared" si="467"/>
        <v>2012</v>
      </c>
      <c r="C167" s="15">
        <f t="shared" si="515"/>
        <v>11</v>
      </c>
      <c r="D167" s="612">
        <f t="shared" si="468"/>
        <v>41235</v>
      </c>
      <c r="E167" s="609">
        <f t="shared" si="516"/>
        <v>41214</v>
      </c>
      <c r="F167" s="614">
        <f t="shared" si="517"/>
        <v>41243</v>
      </c>
      <c r="G167" s="1349">
        <v>0</v>
      </c>
      <c r="H167" s="152">
        <f t="shared" si="512"/>
        <v>1</v>
      </c>
      <c r="I167" s="154">
        <f>IF(Assumptions!$L$25=4,VLOOKUP($A167,'Henwood Reference'!$E$9:$R$320,10),(VLOOKUP($A167,PriceTable,2,0)+IF(BasisNumber&lt;&gt;1,VLOOKUP($A167,BasisTable,2,0),0)+I$1)/(1-I$2))</f>
        <v>55.311956210435746</v>
      </c>
      <c r="J167" s="154">
        <f>IF(Assumptions!$L$25=4,VLOOKUP($A167,'Henwood Reference'!$E$9:$R$320,10),(VLOOKUP($A167,PriceTable,3,0)+IF(BasisNumber&lt;&gt;1,VLOOKUP($A167,BasisTable,2,0),0)+J$1)/(1-J$2))</f>
        <v>55.311956210435746</v>
      </c>
      <c r="K167" s="154">
        <f>IF(Assumptions!$L$25=4,VLOOKUP($A167,'Henwood Reference'!$E$9:$R$320,10),(VLOOKUP($A167,PriceTable,4,0)+IF(BasisNumber&lt;&gt;1,VLOOKUP($A167,BasisTable,2,0),0)+K$1)/(1-K$2))</f>
        <v>55.311956210435746</v>
      </c>
      <c r="L167" s="474">
        <f>IF(Assumptions!$L$25=4,VLOOKUP($A167,'Henwood Reference'!$E$9:$R$320,10),(VLOOKUP($A167,PriceTableWeekend,2,0)+IF(BasisNumber&lt;&gt;1,VLOOKUP($A167,BasisTable,2,0),0)+L$1)/(1-L$2))</f>
        <v>55.311956210435746</v>
      </c>
      <c r="M167" s="154">
        <f>IF(Assumptions!$L$25=4,VLOOKUP($A167,'Henwood Reference'!$E$9:$R$320,10),(VLOOKUP($A167,PriceTableWeekend,3,0)+IF(BasisNumber&lt;&gt;1,VLOOKUP($A167,BasisTable,2,0),0)+M$1)/(1-M$2))</f>
        <v>55.311956210435746</v>
      </c>
      <c r="N167" s="156">
        <f>IF(Assumptions!$L$25=4,VLOOKUP($A167,'Henwood Reference'!$E$9:$R$320,10),(VLOOKUP($A167,PriceTableWeekend,4,0)+IF(BasisNumber&lt;&gt;1,VLOOKUP($A167,BasisTable,2,0),0)+N$1)/(1-N$2))</f>
        <v>55.311956210435746</v>
      </c>
      <c r="O167" s="154">
        <f>IF(Assumptions!$L$25=4,VLOOKUP($A167,'Henwood Reference'!$E$9:$R$320,11),(VLOOKUP($A167,PriceTableWeekend,6,0)+IF(BasisNumber&lt;&gt;1,VLOOKUP($A167,BasisTable,3,0),0)+O$1)/(1-O$2))</f>
        <v>31.039076504303189</v>
      </c>
      <c r="P167" s="154">
        <f>IF(Assumptions!$L$25=4,VLOOKUP($A167,'Henwood Reference'!$E$9:$R$320,11),(VLOOKUP($A167,PriceTableWeekend,7,0)+IF(BasisNumber&lt;&gt;1,VLOOKUP($A167,BasisTable,3,0),0)+P$1)/(1-P$2))</f>
        <v>31.039076504303189</v>
      </c>
      <c r="Q167" s="156">
        <f>IF(Assumptions!$L$25=4,VLOOKUP($A167,'Henwood Reference'!$E$9:$R$320,11),(VLOOKUP($A167,PriceTableWeekend,8,0)+IF(BasisNumber&lt;&gt;1,VLOOKUP($A167,BasisTable,3,0),0)+Q$1)/(1-Q$2))</f>
        <v>31.039076504303189</v>
      </c>
      <c r="R167" s="154">
        <f>IF(Assumptions!$L$25=4,VLOOKUP($A167,'Henwood Reference'!$E$9:$R$320,11),(VLOOKUP($A167,PriceTable,6,0)+IF(BasisNumber&lt;&gt;1,VLOOKUP($A167,BasisTable,3,0),0)+R$1)/(1-R$2))</f>
        <v>31.039076504303189</v>
      </c>
      <c r="S167" s="154">
        <f>IF(Assumptions!$L$25=4,VLOOKUP($A167,'Henwood Reference'!$E$9:$R$320,11),(VLOOKUP($A167,PriceTable,7,0)+IF(BasisNumber&lt;&gt;1,VLOOKUP($A167,BasisTable,3,0),0)+S$1)/(1-S$2))</f>
        <v>31.039076504303189</v>
      </c>
      <c r="T167" s="155">
        <f>IF(Assumptions!$L$25=4,VLOOKUP($A167,'Henwood Reference'!$E$9:$R$320,11),(VLOOKUP($A167,PriceTable,8,0)+IF(BasisNumber&lt;&gt;1,VLOOKUP($A167,BasisTable,3,0),0)+T$1)/(1-T$2))</f>
        <v>31.039076504303189</v>
      </c>
      <c r="U167" s="173">
        <f t="shared" si="469"/>
        <v>0.11</v>
      </c>
      <c r="V167" s="173">
        <f t="shared" si="470"/>
        <v>0.12</v>
      </c>
      <c r="W167" s="174">
        <f t="shared" si="471"/>
        <v>0.13</v>
      </c>
      <c r="X167" s="173">
        <f t="shared" si="472"/>
        <v>0.11</v>
      </c>
      <c r="Y167" s="173">
        <f t="shared" si="473"/>
        <v>0.12</v>
      </c>
      <c r="Z167" s="174">
        <f t="shared" si="474"/>
        <v>0.13</v>
      </c>
      <c r="AA167" s="173">
        <f t="shared" si="475"/>
        <v>0.09</v>
      </c>
      <c r="AB167" s="173">
        <f t="shared" si="476"/>
        <v>0.11</v>
      </c>
      <c r="AC167" s="174">
        <f t="shared" si="477"/>
        <v>0.13</v>
      </c>
      <c r="AD167" s="173">
        <f t="shared" si="478"/>
        <v>0.09</v>
      </c>
      <c r="AE167" s="173">
        <f t="shared" si="479"/>
        <v>0.11</v>
      </c>
      <c r="AF167" s="174">
        <f t="shared" si="480"/>
        <v>0.13</v>
      </c>
      <c r="AG167" s="173">
        <f t="shared" si="481"/>
        <v>-0.1</v>
      </c>
      <c r="AH167" s="173">
        <f t="shared" si="482"/>
        <v>0.6</v>
      </c>
      <c r="AI167" s="174">
        <f t="shared" si="483"/>
        <v>0.1</v>
      </c>
      <c r="AJ167" s="173">
        <f t="shared" si="484"/>
        <v>-0.1</v>
      </c>
      <c r="AK167" s="173">
        <f t="shared" si="485"/>
        <v>0.6</v>
      </c>
      <c r="AL167" s="174">
        <f t="shared" si="486"/>
        <v>0.1</v>
      </c>
      <c r="AM167" s="173">
        <f t="shared" si="487"/>
        <v>-0.01</v>
      </c>
      <c r="AN167" s="173">
        <f t="shared" si="488"/>
        <v>0.16</v>
      </c>
      <c r="AO167" s="174">
        <f t="shared" si="489"/>
        <v>0.01</v>
      </c>
      <c r="AP167" s="173">
        <f t="shared" si="490"/>
        <v>-0.01</v>
      </c>
      <c r="AQ167" s="173">
        <f t="shared" si="491"/>
        <v>0.16</v>
      </c>
      <c r="AR167" s="175">
        <f t="shared" si="492"/>
        <v>0.01</v>
      </c>
      <c r="AS167" s="521">
        <f t="shared" si="520"/>
        <v>0.5</v>
      </c>
      <c r="AT167" s="349">
        <f t="shared" si="518"/>
        <v>21</v>
      </c>
      <c r="AU167" s="159">
        <f t="shared" si="411"/>
        <v>4</v>
      </c>
      <c r="AV167" s="159">
        <f t="shared" si="412"/>
        <v>4</v>
      </c>
      <c r="AW167" s="159">
        <f t="shared" si="521"/>
        <v>1</v>
      </c>
      <c r="AX167" s="15">
        <f t="shared" si="519"/>
        <v>30</v>
      </c>
      <c r="AY167" s="607">
        <f>IF(E167="",0,MIN((1-(1-VLOOKUP(B167,MAIN!$AA$7:$AM$28,C167+1))*(1-VLOOKUP(B167,MAIN!$AA$33:$AM$54,C167+1))),1))</f>
        <v>3.0000000000000027E-2</v>
      </c>
      <c r="AZ167" s="337">
        <v>48888</v>
      </c>
      <c r="BA167" s="509">
        <v>9312</v>
      </c>
      <c r="BB167" s="509">
        <v>11640</v>
      </c>
      <c r="BC167" s="511">
        <v>34920</v>
      </c>
      <c r="BD167" s="153">
        <v>0.97</v>
      </c>
      <c r="BE167" s="474">
        <v>0.97</v>
      </c>
      <c r="BF167" s="474">
        <v>0.97</v>
      </c>
      <c r="BG167" s="515">
        <v>0.9699999927729368</v>
      </c>
      <c r="BH167" s="262">
        <v>195552</v>
      </c>
      <c r="BI167" s="509">
        <v>37248</v>
      </c>
      <c r="BJ167" s="509">
        <v>46560</v>
      </c>
      <c r="BK167" s="511">
        <v>139680</v>
      </c>
      <c r="BL167" s="153">
        <v>0.97</v>
      </c>
      <c r="BM167" s="474">
        <v>0.97</v>
      </c>
      <c r="BN167" s="474">
        <v>0.97</v>
      </c>
      <c r="BO167" s="474">
        <v>0.9699999927729368</v>
      </c>
      <c r="BP167" s="261">
        <f t="shared" si="495"/>
        <v>69840</v>
      </c>
      <c r="BQ167" s="578">
        <f t="shared" si="496"/>
        <v>104760</v>
      </c>
      <c r="BR167" s="259">
        <f t="shared" si="497"/>
        <v>279360</v>
      </c>
      <c r="BS167" s="578">
        <f t="shared" si="498"/>
        <v>419040</v>
      </c>
      <c r="BT167" s="216">
        <f t="shared" si="499"/>
        <v>12.550308008213552</v>
      </c>
      <c r="BU167" s="218">
        <f t="shared" si="414"/>
        <v>55.311956210435746</v>
      </c>
      <c r="BV167" s="216">
        <f t="shared" si="415"/>
        <v>55.311956210435746</v>
      </c>
      <c r="BW167" s="216">
        <f t="shared" si="416"/>
        <v>31.039076504303189</v>
      </c>
      <c r="BX167" s="216">
        <f t="shared" si="500"/>
        <v>31.039076273044046</v>
      </c>
      <c r="BY167" s="216">
        <f t="shared" si="417"/>
        <v>51.266476259413658</v>
      </c>
      <c r="BZ167" s="216">
        <f t="shared" si="418"/>
        <v>44.524009597290451</v>
      </c>
      <c r="CA167" s="264">
        <f t="shared" si="419"/>
        <v>55.311956210435746</v>
      </c>
      <c r="CB167" s="216">
        <f t="shared" si="420"/>
        <v>55.311956210435746</v>
      </c>
      <c r="CC167" s="216">
        <f t="shared" si="421"/>
        <v>31.039076504303189</v>
      </c>
      <c r="CD167" s="216">
        <f t="shared" si="501"/>
        <v>31.039076273044046</v>
      </c>
      <c r="CE167" s="216">
        <f t="shared" si="422"/>
        <v>51.266476259413658</v>
      </c>
      <c r="CF167" s="571">
        <f t="shared" si="423"/>
        <v>44.524009597290451</v>
      </c>
      <c r="CG167" s="573">
        <f t="shared" si="424"/>
        <v>0.12</v>
      </c>
      <c r="CH167" s="219">
        <f t="shared" si="425"/>
        <v>0.12</v>
      </c>
      <c r="CI167" s="219">
        <f t="shared" si="426"/>
        <v>0.11</v>
      </c>
      <c r="CJ167" s="219">
        <f t="shared" si="427"/>
        <v>0.11899767370953405</v>
      </c>
      <c r="CK167" s="219">
        <f t="shared" si="428"/>
        <v>0.11899767370953405</v>
      </c>
      <c r="CL167" s="219">
        <f t="shared" si="429"/>
        <v>0.11</v>
      </c>
      <c r="CM167" s="219">
        <f t="shared" si="430"/>
        <v>0.10683008934997386</v>
      </c>
      <c r="CN167" s="569">
        <f t="shared" si="431"/>
        <v>0.10683008934997386</v>
      </c>
      <c r="CO167" s="264">
        <f t="shared" si="514"/>
        <v>24.584925172742082</v>
      </c>
      <c r="CP167" s="216">
        <f t="shared" si="502"/>
        <v>24.584925172742082</v>
      </c>
      <c r="CQ167" s="216">
        <f t="shared" ca="1" si="361"/>
        <v>24.584925172742082</v>
      </c>
      <c r="CR167" s="216">
        <f t="shared" ca="1" si="362"/>
        <v>24.584925172742082</v>
      </c>
      <c r="CS167" s="1626">
        <f t="shared" ca="1" si="363"/>
        <v>24.584925172742079</v>
      </c>
      <c r="CT167" s="216">
        <f t="shared" si="503"/>
        <v>24.584925172742082</v>
      </c>
      <c r="CU167" s="575">
        <f t="shared" si="432"/>
        <v>0.156</v>
      </c>
      <c r="CV167" s="154">
        <f t="shared" si="433"/>
        <v>0.5</v>
      </c>
      <c r="CW167" s="216">
        <f>IF(OR($BQ167,$BS167),SpreadOptPowerMargin,0)*((1+Assumptions!$C$26)^($B167-YEAR(Assumptions!$C$17)))</f>
        <v>2.1511666235201594</v>
      </c>
      <c r="CX167" s="216">
        <f>IF(OR($BQ167,$BS167),SpreadOptPowerMargin,0)*((1+Assumptions!$C$26)^($B167-YEAR(Assumptions!$C$17)))</f>
        <v>2.1511666235201594</v>
      </c>
      <c r="CY167" s="216">
        <f>IF(OR($BQ167,$BS167),SpreadOptPowerMargin,0)*((1+Assumptions!$C$26)^($B167-YEAR(Assumptions!$C$17)))</f>
        <v>2.1511666235201594</v>
      </c>
      <c r="CZ167" s="216">
        <f>IF(OR($BQ167,$BS167),SpreadOptPowerMargin,0)*((1+Assumptions!$C$26)^($B167-YEAR(Assumptions!$C$17)))</f>
        <v>2.1511666235201594</v>
      </c>
      <c r="DA167" s="440">
        <f t="shared" si="434"/>
        <v>2.1511666235201599</v>
      </c>
      <c r="DB167" s="479">
        <f t="shared" si="435"/>
        <v>0.12</v>
      </c>
      <c r="DC167" s="479">
        <f t="shared" si="436"/>
        <v>0.12</v>
      </c>
      <c r="DD167" s="479">
        <f t="shared" si="437"/>
        <v>0.11</v>
      </c>
      <c r="DE167" s="479">
        <f t="shared" si="438"/>
        <v>0.11</v>
      </c>
      <c r="DF167" s="479">
        <f t="shared" si="439"/>
        <v>0.10683008934997386</v>
      </c>
      <c r="DG167" s="574">
        <f t="shared" si="440"/>
        <v>0.10683008934997386</v>
      </c>
      <c r="DH167" s="216">
        <f t="shared" si="441"/>
        <v>29.077747705827267</v>
      </c>
      <c r="DI167" s="216">
        <f t="shared" si="442"/>
        <v>29.077747705827267</v>
      </c>
      <c r="DJ167" s="216">
        <f t="shared" ca="1" si="364"/>
        <v>7.6924586711957303</v>
      </c>
      <c r="DK167" s="216">
        <f t="shared" ca="1" si="365"/>
        <v>7.6924585060915964</v>
      </c>
      <c r="DL167" s="216">
        <f t="shared" ca="1" si="366"/>
        <v>18.85698994284709</v>
      </c>
      <c r="DM167" s="216"/>
      <c r="DN167" s="216"/>
      <c r="DO167" s="216"/>
      <c r="DP167" s="216"/>
      <c r="DQ167" s="216"/>
      <c r="DR167" s="216"/>
      <c r="DS167" s="216"/>
      <c r="DT167" s="216"/>
      <c r="DU167" s="216"/>
      <c r="DV167" s="216"/>
      <c r="DW167" s="1371">
        <f t="shared" si="443"/>
        <v>7.6924586711957303</v>
      </c>
      <c r="DX167" s="216">
        <f t="shared" si="444"/>
        <v>7.6924585060915964</v>
      </c>
      <c r="DY167" s="440">
        <f t="shared" si="445"/>
        <v>19.573174746511874</v>
      </c>
      <c r="DZ167" s="180">
        <f t="shared" si="446"/>
        <v>1421552.9298424835</v>
      </c>
      <c r="EA167" s="180">
        <f t="shared" si="447"/>
        <v>270771.9866366635</v>
      </c>
      <c r="EB167" s="180">
        <f t="shared" ca="1" si="367"/>
        <v>89540.2189327183</v>
      </c>
      <c r="EC167" s="180">
        <f t="shared" ca="1" si="368"/>
        <v>268620.65103271854</v>
      </c>
      <c r="ED167" s="180">
        <f t="shared" ca="1" si="369"/>
        <v>1975458.2664126612</v>
      </c>
      <c r="EE167" s="581">
        <f t="shared" si="448"/>
        <v>1397016.8594801144</v>
      </c>
      <c r="EF167" s="554">
        <f t="shared" si="449"/>
        <v>266098.4494247837</v>
      </c>
      <c r="EG167" s="554">
        <f t="shared" ca="1" si="370"/>
        <v>50086.742001596642</v>
      </c>
      <c r="EH167" s="554">
        <f t="shared" ca="1" si="371"/>
        <v>150260.21792922064</v>
      </c>
      <c r="EI167" s="561">
        <f t="shared" ca="1" si="450"/>
        <v>1863462.2688357157</v>
      </c>
      <c r="EJ167" s="581">
        <f t="shared" si="504"/>
        <v>24536.070362369064</v>
      </c>
      <c r="EK167" s="554">
        <f t="shared" si="505"/>
        <v>4673.5372118797968</v>
      </c>
      <c r="EL167" s="554">
        <f t="shared" ca="1" si="372"/>
        <v>39453.476931121659</v>
      </c>
      <c r="EM167" s="554">
        <f t="shared" ca="1" si="373"/>
        <v>118360.4331034979</v>
      </c>
      <c r="EN167" s="561">
        <f t="shared" ca="1" si="374"/>
        <v>111995.99757694546</v>
      </c>
      <c r="EO167" s="180">
        <f t="shared" si="451"/>
        <v>5686211.7193699339</v>
      </c>
      <c r="EP167" s="180">
        <f t="shared" si="452"/>
        <v>1083087.946546654</v>
      </c>
      <c r="EQ167" s="180">
        <f t="shared" si="453"/>
        <v>358160.8757308732</v>
      </c>
      <c r="ER167" s="180">
        <f t="shared" si="454"/>
        <v>1074482.6041308742</v>
      </c>
      <c r="ES167" s="180">
        <f t="shared" si="455"/>
        <v>8201943.1457783356</v>
      </c>
      <c r="ET167" s="1482">
        <f t="shared" ca="1" si="375"/>
        <v>5588067.4379204577</v>
      </c>
      <c r="EU167" s="180">
        <f t="shared" ca="1" si="376"/>
        <v>1064393.7976991348</v>
      </c>
      <c r="EV167" s="180">
        <f t="shared" ca="1" si="377"/>
        <v>200346.96800638657</v>
      </c>
      <c r="EW167" s="180">
        <f t="shared" ca="1" si="378"/>
        <v>601040.87171688257</v>
      </c>
      <c r="EX167" s="555">
        <f t="shared" ca="1" si="351"/>
        <v>7453849.0753428619</v>
      </c>
      <c r="EY167" s="180">
        <f t="shared" ca="1" si="379"/>
        <v>98144.281449476257</v>
      </c>
      <c r="EZ167" s="180">
        <f t="shared" ca="1" si="380"/>
        <v>18694.148847519187</v>
      </c>
      <c r="FA167" s="180">
        <f t="shared" ca="1" si="381"/>
        <v>157813.90772448663</v>
      </c>
      <c r="FB167" s="180">
        <f t="shared" ca="1" si="382"/>
        <v>473441.73241399159</v>
      </c>
      <c r="FC167" s="180">
        <f t="shared" ca="1" si="383"/>
        <v>748094.0704354737</v>
      </c>
      <c r="FD167" s="262">
        <f>IF(AX167,IF(VLOOKUP(C167,MAIN!$L$17:$M$28,2)="Yes",VLOOKUP(CALC!B167,MAIN!$H$17:$I$20,2),0),0)</f>
        <v>0</v>
      </c>
      <c r="FE167" s="623">
        <f t="shared" si="456"/>
        <v>0</v>
      </c>
      <c r="FF167" s="535">
        <f t="shared" si="457"/>
        <v>0</v>
      </c>
      <c r="FG167" s="535">
        <f t="shared" si="458"/>
        <v>0</v>
      </c>
      <c r="FH167" s="624">
        <f t="shared" si="459"/>
        <v>0</v>
      </c>
      <c r="FI167" s="632">
        <f>IF(AX167,VLOOKUP(CALC!B167,MAIN!$H$17:$K$20,4),0)</f>
        <v>0</v>
      </c>
      <c r="FJ167" s="535">
        <f t="shared" si="460"/>
        <v>0</v>
      </c>
      <c r="FK167" s="648">
        <f t="shared" si="506"/>
        <v>0</v>
      </c>
      <c r="FL167" s="530">
        <f t="shared" ca="1" si="384"/>
        <v>0</v>
      </c>
      <c r="FM167" s="530">
        <f t="shared" ca="1" si="385"/>
        <v>0</v>
      </c>
      <c r="FN167" s="530">
        <f t="shared" ca="1" si="386"/>
        <v>0</v>
      </c>
      <c r="FO167" s="622">
        <f t="shared" ca="1" si="387"/>
        <v>0</v>
      </c>
      <c r="FP167" s="530">
        <f t="shared" ca="1" si="388"/>
        <v>0</v>
      </c>
      <c r="FQ167" s="530">
        <f t="shared" ca="1" si="389"/>
        <v>0</v>
      </c>
      <c r="FR167" s="530">
        <f t="shared" ca="1" si="390"/>
        <v>0</v>
      </c>
      <c r="FS167" s="625">
        <f t="shared" ca="1" si="391"/>
        <v>0</v>
      </c>
      <c r="FT167" s="640">
        <f ca="1">IF(AND(Assumptions!$H$71="Yes",A167&gt;=Assumptions!$H$72,A167&lt;=Assumptions!$H$73),0,IF(AND($A167&gt;=Assumptions!$C$17,$A167&lt;=Assumptions!$C$18),MAX(AZ167*(1+VLOOKUP($C167,WeatherCapacityAdjustment,2))-FL167,0),0))</f>
        <v>48888</v>
      </c>
      <c r="FU167" s="530">
        <f ca="1">IF(AND(Assumptions!$H$71="Yes",A167&gt;=Assumptions!$H$72,A167&lt;=Assumptions!$H$73),0,IF(AND($A167&gt;=Assumptions!$C$17,$A167&lt;=Assumptions!$C$18),MAX(BA167*(1+VLOOKUP($C167,WeatherCapacityAdjustment,2))-FM167,0),0))</f>
        <v>9312</v>
      </c>
      <c r="FV167" s="530">
        <f ca="1">IF(AND(Assumptions!$H$71="Yes",A167&gt;=Assumptions!$H$72,A167&lt;=Assumptions!$H$73),0,IF(AND($A167&gt;=Assumptions!$C$17,$A167&lt;=Assumptions!$C$18),MAX(BB167*(1+VLOOKUP($C167,WeatherCapacityAdjustment,2))-FN167,0),0))</f>
        <v>11640</v>
      </c>
      <c r="FW167" s="622">
        <f ca="1">IF(AND(Assumptions!$H$71="Yes",A167&gt;=Assumptions!$H$72,A167&lt;=Assumptions!$H$73),0,IF(AND($A167&gt;=Assumptions!$C$17,$A167&lt;=Assumptions!$C$18),MAX(BC167*(1+VLOOKUP($C167,WeatherCapacityAdjustment,3))-FO167,0),0))</f>
        <v>34920</v>
      </c>
      <c r="FX167" s="621">
        <f ca="1">IF(AND(Assumptions!$H$71="Yes",A167&gt;=Assumptions!$H$72,A167&lt;=Assumptions!$H$73),0,IF(ET167&gt;0,MAX(BH167*(1+VLOOKUP($C167,WeatherCapacityAdjustment,2))-FP167,0),0))</f>
        <v>195552</v>
      </c>
      <c r="FY167" s="530">
        <f ca="1">IF(AND(Assumptions!$H$71="Yes",A167&gt;=Assumptions!$H$72,A167&lt;=Assumptions!$H$73),0,IF(EU167&gt;0,MAX(BI167*(1+VLOOKUP($C167,WeatherCapacityAdjustment,3))-FQ167,0),0))</f>
        <v>37248</v>
      </c>
      <c r="FZ167" s="530">
        <f ca="1">IF(AND(Assumptions!$H$71="Yes",A167&gt;=Assumptions!$H$72,A167&lt;=Assumptions!$H$73),0,IF(EV167&gt;0,MAX(BJ167*(1+VLOOKUP($C167,WeatherCapacityAdjustment,2))-FR167,0),0))</f>
        <v>46560</v>
      </c>
      <c r="GA167" s="622">
        <f ca="1">IF(AND(Assumptions!$H$71="Yes",A167&gt;=Assumptions!$H$72,A167&lt;=Assumptions!$H$73),0,IF(EW167&gt;0,MAX(BK167*(1+VLOOKUP($C167,WeatherCapacityAdjustment,2))-FS167,0),0))</f>
        <v>139680</v>
      </c>
      <c r="GB167" s="530">
        <f t="shared" ca="1" si="461"/>
        <v>523800</v>
      </c>
      <c r="GC167" s="545">
        <f t="shared" ca="1" si="462"/>
        <v>44.524009597290451</v>
      </c>
      <c r="GD167" s="530">
        <f t="shared" ca="1" si="392"/>
        <v>23321676.227060739</v>
      </c>
      <c r="GE167" s="1485">
        <f t="shared" ca="1" si="393"/>
        <v>746255.76480000012</v>
      </c>
      <c r="GF167" s="1776">
        <f t="shared" ca="1" si="394"/>
        <v>2985023.0592000005</v>
      </c>
      <c r="GG167" s="545">
        <f t="shared" si="359"/>
        <v>3.451252080828763</v>
      </c>
      <c r="GH167" s="622">
        <f t="shared" ca="1" si="360"/>
        <v>12877583.805482302</v>
      </c>
      <c r="GI167" s="621">
        <f t="shared" ca="1" si="507"/>
        <v>523800</v>
      </c>
      <c r="GJ167" s="638">
        <f t="shared" si="463"/>
        <v>2.1511666235201599</v>
      </c>
      <c r="GK167" s="625">
        <f t="shared" ca="1" si="513"/>
        <v>1126781.0773998597</v>
      </c>
      <c r="GL167" s="640">
        <f t="shared" ca="1" si="395"/>
        <v>0</v>
      </c>
      <c r="GM167" s="530">
        <f t="shared" ca="1" si="396"/>
        <v>0</v>
      </c>
      <c r="GN167" s="530">
        <f t="shared" ca="1" si="397"/>
        <v>0</v>
      </c>
      <c r="GO167" s="622">
        <f t="shared" ca="1" si="398"/>
        <v>0</v>
      </c>
      <c r="GP167" s="530">
        <f t="shared" ca="1" si="464"/>
        <v>0</v>
      </c>
      <c r="GQ167" s="545">
        <f t="shared" ca="1" si="465"/>
        <v>0</v>
      </c>
      <c r="GR167" s="625">
        <f t="shared" ca="1" si="399"/>
        <v>0</v>
      </c>
      <c r="GS167" s="640">
        <f>IF($A167&gt;=BegDate,Assumptions!$C$56*24*($A168-$A167)*(1-VLOOKUP($B167,MAIN!$AA$7:$AM$28,$C167+1))*(1-VLOOKUP($B167,MAIN!$AA$33:$AM$54,$C167+1)),0)*80/168</f>
        <v>249428.57142857142</v>
      </c>
      <c r="GT167" s="1715">
        <f t="shared" si="508"/>
        <v>55.311956210435746</v>
      </c>
      <c r="GU167" s="1715">
        <f>IF($A167&gt;=BegDate,VLOOKUP($A167,GasTable,13)+Assumptions!$C$58,0)</f>
        <v>3.451252080828763</v>
      </c>
      <c r="GV167" s="1715">
        <f>GU167*Assumptions!$C$57/1000</f>
        <v>25.021577586008529</v>
      </c>
      <c r="GW167" s="625">
        <f>IF(Assumptions!$C$60="Hourly",MAX(0,GS167*(GT167-GV167)),GS167*(GT167-GV167))</f>
        <v>7555285.8683214169</v>
      </c>
      <c r="GX167" s="640">
        <f>IF($A167&gt;=BegDate,Assumptions!$C$56*24*($A168-$A167)*(1-VLOOKUP($B167,MAIN!$AA$7:$AM$28,$C167+1))*(1-VLOOKUP($B167,MAIN!$AA$33:$AM$54,$C167+1)),0)*16/168</f>
        <v>49885.714285714283</v>
      </c>
      <c r="GY167" s="1715">
        <f t="shared" si="509"/>
        <v>55.311956210435746</v>
      </c>
      <c r="GZ167" s="1715">
        <f>IF($A167&gt;=BegDate,VLOOKUP($A167,GasTable,13)+Assumptions!$C$58,0)</f>
        <v>3.451252080828763</v>
      </c>
      <c r="HA167" s="1715">
        <f>GZ167*Assumptions!$C$57/1000</f>
        <v>25.021577586008529</v>
      </c>
      <c r="HB167" s="625">
        <f>IF(Assumptions!$C$60="Hourly",MAX(0,GX167*(GY167-HA167)),GX167*(GY167-HA167))</f>
        <v>1511057.1736642832</v>
      </c>
      <c r="HC167" s="640">
        <f>IF($A167&gt;=BegDate,Assumptions!$C$56*24*($A168-$A167)*(1-VLOOKUP($B167,MAIN!$AA$7:$AM$28,$C167+1))*(1-VLOOKUP($B167,MAIN!$AA$33:$AM$54,$C167+1)),0)*16/168</f>
        <v>49885.714285714283</v>
      </c>
      <c r="HD167" s="1715">
        <f t="shared" si="510"/>
        <v>31.039076504303189</v>
      </c>
      <c r="HE167" s="1715">
        <f>IF($A167&gt;=BegDate,VLOOKUP($A167,GasTable,13)+Assumptions!$C$58,0)</f>
        <v>3.451252080828763</v>
      </c>
      <c r="HF167" s="1715">
        <f>HE167*Assumptions!$C$57/1000</f>
        <v>25.021577586008529</v>
      </c>
      <c r="HG167" s="625">
        <f>IF(Assumptions!$C$60="Hourly",MAX(0,HC167*(HD167-HF167)),HC167*(HD167-HF167))</f>
        <v>300187.23175264214</v>
      </c>
      <c r="HH167" s="640">
        <f>IF($A167&gt;=BegDate,Assumptions!$C$56*24*($A168-$A167)*(1-VLOOKUP($B167,MAIN!$AA$7:$AM$28,$C167+1))*(1-VLOOKUP($B167,MAIN!$AA$33:$AM$54,$C167+1)),0)*56/168</f>
        <v>174600</v>
      </c>
      <c r="HI167" s="1715">
        <f t="shared" si="511"/>
        <v>31.039076504303189</v>
      </c>
      <c r="HJ167" s="1715">
        <f>IF($A167&gt;=BegDate,VLOOKUP($A167,GasTable,13)+Assumptions!$C$58,0)</f>
        <v>3.451252080828763</v>
      </c>
      <c r="HK167" s="1715">
        <f>HJ167*Assumptions!$C$57/1000</f>
        <v>25.021577586008529</v>
      </c>
      <c r="HL167" s="625">
        <f>IF(Assumptions!$C$60="Hourly",MAX(0,HH167*(HI167-HK167)),HH167*(HI167-HK167))</f>
        <v>1050655.3111342476</v>
      </c>
      <c r="HM167" s="640">
        <f>IF(AND(Assumptions!$H$71="Yes",A167&gt;=Assumptions!$H$72,A167&lt;=Assumptions!$H$73),Assumptions!$H$74*Assumptions!$C$9*1000,0)</f>
        <v>0</v>
      </c>
      <c r="HN167" s="530"/>
      <c r="HO167" s="545"/>
      <c r="HP167" s="545"/>
      <c r="HQ167" s="545"/>
      <c r="HR167" s="545"/>
      <c r="HS167" s="545"/>
      <c r="HT167" s="545"/>
      <c r="HU167" s="545"/>
      <c r="HV167" s="545"/>
      <c r="HW167" s="545"/>
      <c r="HX167" s="545"/>
      <c r="HY167" s="545"/>
      <c r="HZ167" s="545"/>
      <c r="IA167" s="545"/>
      <c r="IB167" s="545"/>
      <c r="IC167" s="545"/>
      <c r="ID167" s="545"/>
      <c r="IE167" s="545"/>
      <c r="IF167" s="545"/>
      <c r="IG167" s="545"/>
      <c r="IH167" s="545"/>
      <c r="II167" s="1464"/>
      <c r="IJ167" s="1463"/>
      <c r="IK167" s="1463"/>
    </row>
    <row r="168" spans="1:245">
      <c r="A168" s="177">
        <f t="shared" si="466"/>
        <v>41244</v>
      </c>
      <c r="B168" s="349">
        <f t="shared" si="467"/>
        <v>2012</v>
      </c>
      <c r="C168" s="15">
        <f t="shared" si="515"/>
        <v>12</v>
      </c>
      <c r="D168" s="612">
        <f t="shared" si="468"/>
        <v>41268</v>
      </c>
      <c r="E168" s="609">
        <f t="shared" si="516"/>
        <v>41244</v>
      </c>
      <c r="F168" s="614">
        <f t="shared" si="517"/>
        <v>41274</v>
      </c>
      <c r="G168" s="1349">
        <v>0</v>
      </c>
      <c r="H168" s="152">
        <f t="shared" si="512"/>
        <v>1</v>
      </c>
      <c r="I168" s="154">
        <f>IF(Assumptions!$L$25=4,VLOOKUP($A168,'Henwood Reference'!$E$9:$R$320,10),(VLOOKUP($A168,PriceTable,2,0)+IF(BasisNumber&lt;&gt;1,VLOOKUP($A168,BasisTable,2,0),0)+I$1)/(1-I$2))</f>
        <v>52.103938591089779</v>
      </c>
      <c r="J168" s="154">
        <f>IF(Assumptions!$L$25=4,VLOOKUP($A168,'Henwood Reference'!$E$9:$R$320,10),(VLOOKUP($A168,PriceTable,3,0)+IF(BasisNumber&lt;&gt;1,VLOOKUP($A168,BasisTable,2,0),0)+J$1)/(1-J$2))</f>
        <v>52.103938591089779</v>
      </c>
      <c r="K168" s="154">
        <f>IF(Assumptions!$L$25=4,VLOOKUP($A168,'Henwood Reference'!$E$9:$R$320,10),(VLOOKUP($A168,PriceTable,4,0)+IF(BasisNumber&lt;&gt;1,VLOOKUP($A168,BasisTable,2,0),0)+K$1)/(1-K$2))</f>
        <v>52.103938591089779</v>
      </c>
      <c r="L168" s="474">
        <f>IF(Assumptions!$L$25=4,VLOOKUP($A168,'Henwood Reference'!$E$9:$R$320,10),(VLOOKUP($A168,PriceTableWeekend,2,0)+IF(BasisNumber&lt;&gt;1,VLOOKUP($A168,BasisTable,2,0),0)+L$1)/(1-L$2))</f>
        <v>52.103938591089779</v>
      </c>
      <c r="M168" s="154">
        <f>IF(Assumptions!$L$25=4,VLOOKUP($A168,'Henwood Reference'!$E$9:$R$320,10),(VLOOKUP($A168,PriceTableWeekend,3,0)+IF(BasisNumber&lt;&gt;1,VLOOKUP($A168,BasisTable,2,0),0)+M$1)/(1-M$2))</f>
        <v>52.103938591089779</v>
      </c>
      <c r="N168" s="156">
        <f>IF(Assumptions!$L$25=4,VLOOKUP($A168,'Henwood Reference'!$E$9:$R$320,10),(VLOOKUP($A168,PriceTableWeekend,4,0)+IF(BasisNumber&lt;&gt;1,VLOOKUP($A168,BasisTable,2,0),0)+N$1)/(1-N$2))</f>
        <v>52.103938591089779</v>
      </c>
      <c r="O168" s="154">
        <f>IF(Assumptions!$L$25=4,VLOOKUP($A168,'Henwood Reference'!$E$9:$R$320,11),(VLOOKUP($A168,PriceTableWeekend,6,0)+IF(BasisNumber&lt;&gt;1,VLOOKUP($A168,BasisTable,3,0),0)+O$1)/(1-O$2))</f>
        <v>32.625393340942026</v>
      </c>
      <c r="P168" s="154">
        <f>IF(Assumptions!$L$25=4,VLOOKUP($A168,'Henwood Reference'!$E$9:$R$320,11),(VLOOKUP($A168,PriceTableWeekend,7,0)+IF(BasisNumber&lt;&gt;1,VLOOKUP($A168,BasisTable,3,0),0)+P$1)/(1-P$2))</f>
        <v>32.625393340942026</v>
      </c>
      <c r="Q168" s="156">
        <f>IF(Assumptions!$L$25=4,VLOOKUP($A168,'Henwood Reference'!$E$9:$R$320,11),(VLOOKUP($A168,PriceTableWeekend,8,0)+IF(BasisNumber&lt;&gt;1,VLOOKUP($A168,BasisTable,3,0),0)+Q$1)/(1-Q$2))</f>
        <v>32.625393340942026</v>
      </c>
      <c r="R168" s="154">
        <f>IF(Assumptions!$L$25=4,VLOOKUP($A168,'Henwood Reference'!$E$9:$R$320,11),(VLOOKUP($A168,PriceTable,6,0)+IF(BasisNumber&lt;&gt;1,VLOOKUP($A168,BasisTable,3,0),0)+R$1)/(1-R$2))</f>
        <v>32.625393340942026</v>
      </c>
      <c r="S168" s="154">
        <f>IF(Assumptions!$L$25=4,VLOOKUP($A168,'Henwood Reference'!$E$9:$R$320,11),(VLOOKUP($A168,PriceTable,7,0)+IF(BasisNumber&lt;&gt;1,VLOOKUP($A168,BasisTable,3,0),0)+S$1)/(1-S$2))</f>
        <v>32.625393340942026</v>
      </c>
      <c r="T168" s="155">
        <f>IF(Assumptions!$L$25=4,VLOOKUP($A168,'Henwood Reference'!$E$9:$R$320,11),(VLOOKUP($A168,PriceTable,8,0)+IF(BasisNumber&lt;&gt;1,VLOOKUP($A168,BasisTable,3,0),0)+T$1)/(1-T$2))</f>
        <v>32.625393340942026</v>
      </c>
      <c r="U168" s="173">
        <f t="shared" si="469"/>
        <v>0.11</v>
      </c>
      <c r="V168" s="173">
        <f t="shared" si="470"/>
        <v>0.12</v>
      </c>
      <c r="W168" s="174">
        <f t="shared" si="471"/>
        <v>0.13</v>
      </c>
      <c r="X168" s="173">
        <f t="shared" si="472"/>
        <v>0.11</v>
      </c>
      <c r="Y168" s="173">
        <f t="shared" si="473"/>
        <v>0.12</v>
      </c>
      <c r="Z168" s="174">
        <f t="shared" si="474"/>
        <v>0.13</v>
      </c>
      <c r="AA168" s="173">
        <f t="shared" si="475"/>
        <v>0.09</v>
      </c>
      <c r="AB168" s="173">
        <f t="shared" si="476"/>
        <v>0.11</v>
      </c>
      <c r="AC168" s="174">
        <f t="shared" si="477"/>
        <v>0.13</v>
      </c>
      <c r="AD168" s="173">
        <f t="shared" si="478"/>
        <v>0.09</v>
      </c>
      <c r="AE168" s="173">
        <f t="shared" si="479"/>
        <v>0.11</v>
      </c>
      <c r="AF168" s="174">
        <f t="shared" si="480"/>
        <v>0.13</v>
      </c>
      <c r="AG168" s="173">
        <f t="shared" si="481"/>
        <v>-0.25</v>
      </c>
      <c r="AH168" s="173">
        <f t="shared" si="482"/>
        <v>0.6</v>
      </c>
      <c r="AI168" s="174">
        <f t="shared" si="483"/>
        <v>0.25</v>
      </c>
      <c r="AJ168" s="173">
        <f t="shared" si="484"/>
        <v>-0.25</v>
      </c>
      <c r="AK168" s="173">
        <f t="shared" si="485"/>
        <v>0.6</v>
      </c>
      <c r="AL168" s="174">
        <f t="shared" si="486"/>
        <v>0.25</v>
      </c>
      <c r="AM168" s="173">
        <f t="shared" si="487"/>
        <v>-0.01</v>
      </c>
      <c r="AN168" s="173">
        <f t="shared" si="488"/>
        <v>0.16</v>
      </c>
      <c r="AO168" s="174">
        <f t="shared" si="489"/>
        <v>0.01</v>
      </c>
      <c r="AP168" s="173">
        <f t="shared" si="490"/>
        <v>-0.01</v>
      </c>
      <c r="AQ168" s="173">
        <f t="shared" si="491"/>
        <v>0.16</v>
      </c>
      <c r="AR168" s="175">
        <f t="shared" si="492"/>
        <v>0.01</v>
      </c>
      <c r="AS168" s="521">
        <f t="shared" si="520"/>
        <v>0.5</v>
      </c>
      <c r="AT168" s="349">
        <f t="shared" si="518"/>
        <v>20</v>
      </c>
      <c r="AU168" s="159">
        <f t="shared" si="411"/>
        <v>5</v>
      </c>
      <c r="AV168" s="159">
        <f t="shared" si="412"/>
        <v>5</v>
      </c>
      <c r="AW168" s="159">
        <f t="shared" si="521"/>
        <v>1</v>
      </c>
      <c r="AX168" s="15">
        <f t="shared" si="519"/>
        <v>31</v>
      </c>
      <c r="AY168" s="607">
        <f>IF(E168="",0,MIN((1-(1-VLOOKUP(B168,MAIN!$AA$7:$AM$28,C168+1))*(1-VLOOKUP(B168,MAIN!$AA$33:$AM$54,C168+1))),1))</f>
        <v>3.0000000000000027E-2</v>
      </c>
      <c r="AZ168" s="337">
        <v>46560</v>
      </c>
      <c r="BA168" s="509">
        <v>11640</v>
      </c>
      <c r="BB168" s="509">
        <v>13968</v>
      </c>
      <c r="BC168" s="511">
        <v>36084</v>
      </c>
      <c r="BD168" s="153">
        <v>0.97</v>
      </c>
      <c r="BE168" s="474">
        <v>0.97</v>
      </c>
      <c r="BF168" s="474">
        <v>0.97</v>
      </c>
      <c r="BG168" s="515">
        <v>0.97</v>
      </c>
      <c r="BH168" s="262">
        <v>186240</v>
      </c>
      <c r="BI168" s="509">
        <v>46560</v>
      </c>
      <c r="BJ168" s="509">
        <v>55872</v>
      </c>
      <c r="BK168" s="511">
        <v>144336</v>
      </c>
      <c r="BL168" s="153">
        <v>0.97</v>
      </c>
      <c r="BM168" s="474">
        <v>0.97</v>
      </c>
      <c r="BN168" s="474">
        <v>0.97</v>
      </c>
      <c r="BO168" s="474">
        <v>0.97</v>
      </c>
      <c r="BP168" s="261">
        <f t="shared" si="495"/>
        <v>72168</v>
      </c>
      <c r="BQ168" s="578">
        <f t="shared" si="496"/>
        <v>108252</v>
      </c>
      <c r="BR168" s="259">
        <f t="shared" si="497"/>
        <v>288672</v>
      </c>
      <c r="BS168" s="578">
        <f t="shared" si="498"/>
        <v>433008</v>
      </c>
      <c r="BT168" s="216">
        <f t="shared" si="499"/>
        <v>12.632443531827516</v>
      </c>
      <c r="BU168" s="218">
        <f t="shared" si="414"/>
        <v>52.103938591089779</v>
      </c>
      <c r="BV168" s="216">
        <f t="shared" si="415"/>
        <v>52.103938591089779</v>
      </c>
      <c r="BW168" s="216">
        <f t="shared" si="416"/>
        <v>32.625393340942026</v>
      </c>
      <c r="BX168" s="216">
        <f t="shared" si="500"/>
        <v>32.625393340942026</v>
      </c>
      <c r="BY168" s="216">
        <f t="shared" si="417"/>
        <v>48.333897574932159</v>
      </c>
      <c r="BZ168" s="216">
        <f t="shared" si="418"/>
        <v>43.09772949693545</v>
      </c>
      <c r="CA168" s="264">
        <f t="shared" si="419"/>
        <v>52.103938591089779</v>
      </c>
      <c r="CB168" s="216">
        <f t="shared" si="420"/>
        <v>52.103938591089779</v>
      </c>
      <c r="CC168" s="216">
        <f t="shared" si="421"/>
        <v>32.625393340942026</v>
      </c>
      <c r="CD168" s="216">
        <f t="shared" si="501"/>
        <v>32.625393340942026</v>
      </c>
      <c r="CE168" s="216">
        <f t="shared" si="422"/>
        <v>48.333897574932159</v>
      </c>
      <c r="CF168" s="571">
        <f t="shared" si="423"/>
        <v>43.09772949693545</v>
      </c>
      <c r="CG168" s="573">
        <f t="shared" si="424"/>
        <v>0.12</v>
      </c>
      <c r="CH168" s="219">
        <f t="shared" si="425"/>
        <v>0.12</v>
      </c>
      <c r="CI168" s="219">
        <f t="shared" si="426"/>
        <v>0.11</v>
      </c>
      <c r="CJ168" s="219">
        <f t="shared" si="427"/>
        <v>0.11870203557517747</v>
      </c>
      <c r="CK168" s="219">
        <f t="shared" si="428"/>
        <v>0.11870203557517747</v>
      </c>
      <c r="CL168" s="219">
        <f t="shared" si="429"/>
        <v>0.11</v>
      </c>
      <c r="CM168" s="219">
        <f t="shared" si="430"/>
        <v>0.10578970590039898</v>
      </c>
      <c r="CN168" s="569">
        <f t="shared" si="431"/>
        <v>0.10578970590039898</v>
      </c>
      <c r="CO168" s="264">
        <f t="shared" si="514"/>
        <v>25.599554192690356</v>
      </c>
      <c r="CP168" s="216">
        <f t="shared" si="502"/>
        <v>25.599554192690356</v>
      </c>
      <c r="CQ168" s="216">
        <f t="shared" ca="1" si="361"/>
        <v>25.599554192690356</v>
      </c>
      <c r="CR168" s="216">
        <f t="shared" ca="1" si="362"/>
        <v>25.599554192690356</v>
      </c>
      <c r="CS168" s="1626">
        <f t="shared" ca="1" si="363"/>
        <v>25.599554192690356</v>
      </c>
      <c r="CT168" s="216">
        <f t="shared" si="503"/>
        <v>25.599554192690356</v>
      </c>
      <c r="CU168" s="575">
        <f t="shared" si="432"/>
        <v>0.156</v>
      </c>
      <c r="CV168" s="154">
        <f t="shared" si="433"/>
        <v>0.5</v>
      </c>
      <c r="CW168" s="216">
        <f>IF(OR($BQ168,$BS168),SpreadOptPowerMargin,0)*((1+Assumptions!$C$26)^($B168-YEAR(Assumptions!$C$17)))</f>
        <v>2.1511666235201594</v>
      </c>
      <c r="CX168" s="216">
        <f>IF(OR($BQ168,$BS168),SpreadOptPowerMargin,0)*((1+Assumptions!$C$26)^($B168-YEAR(Assumptions!$C$17)))</f>
        <v>2.1511666235201594</v>
      </c>
      <c r="CY168" s="216">
        <f>IF(OR($BQ168,$BS168),SpreadOptPowerMargin,0)*((1+Assumptions!$C$26)^($B168-YEAR(Assumptions!$C$17)))</f>
        <v>2.1511666235201594</v>
      </c>
      <c r="CZ168" s="216">
        <f>IF(OR($BQ168,$BS168),SpreadOptPowerMargin,0)*((1+Assumptions!$C$26)^($B168-YEAR(Assumptions!$C$17)))</f>
        <v>2.1511666235201594</v>
      </c>
      <c r="DA168" s="440">
        <f t="shared" si="434"/>
        <v>2.151166623520159</v>
      </c>
      <c r="DB168" s="479">
        <f t="shared" si="435"/>
        <v>0.12</v>
      </c>
      <c r="DC168" s="479">
        <f t="shared" si="436"/>
        <v>0.12</v>
      </c>
      <c r="DD168" s="479">
        <f t="shared" si="437"/>
        <v>0.11</v>
      </c>
      <c r="DE168" s="479">
        <f t="shared" si="438"/>
        <v>0.11</v>
      </c>
      <c r="DF168" s="479">
        <f t="shared" si="439"/>
        <v>0.10578970590039898</v>
      </c>
      <c r="DG168" s="574">
        <f t="shared" si="440"/>
        <v>0.10578970590039898</v>
      </c>
      <c r="DH168" s="216">
        <f t="shared" si="441"/>
        <v>25.143035244593257</v>
      </c>
      <c r="DI168" s="216">
        <f t="shared" si="442"/>
        <v>25.143035244593257</v>
      </c>
      <c r="DJ168" s="216">
        <f t="shared" ca="1" si="364"/>
        <v>8.3061390563114994</v>
      </c>
      <c r="DK168" s="216">
        <f t="shared" ca="1" si="365"/>
        <v>8.3061390563114994</v>
      </c>
      <c r="DL168" s="216">
        <f t="shared" ca="1" si="366"/>
        <v>16.788791669617463</v>
      </c>
      <c r="DM168" s="216"/>
      <c r="DN168" s="216"/>
      <c r="DO168" s="216"/>
      <c r="DP168" s="216"/>
      <c r="DQ168" s="216"/>
      <c r="DR168" s="216"/>
      <c r="DS168" s="216"/>
      <c r="DT168" s="216"/>
      <c r="DU168" s="216"/>
      <c r="DV168" s="216"/>
      <c r="DW168" s="1371">
        <f t="shared" si="443"/>
        <v>8.3061390563114994</v>
      </c>
      <c r="DX168" s="216">
        <f t="shared" si="444"/>
        <v>8.3061390563114994</v>
      </c>
      <c r="DY168" s="440">
        <f t="shared" si="445"/>
        <v>17.358233781194162</v>
      </c>
      <c r="DZ168" s="180">
        <f t="shared" si="446"/>
        <v>1170659.720988262</v>
      </c>
      <c r="EA168" s="180">
        <f t="shared" si="447"/>
        <v>292664.93024706549</v>
      </c>
      <c r="EB168" s="180">
        <f t="shared" ca="1" si="367"/>
        <v>116020.15033855902</v>
      </c>
      <c r="EC168" s="180">
        <f t="shared" ca="1" si="368"/>
        <v>299718.72170794412</v>
      </c>
      <c r="ED168" s="180">
        <f t="shared" ca="1" si="369"/>
        <v>1817420.2758194297</v>
      </c>
      <c r="EE168" s="581">
        <f t="shared" si="448"/>
        <v>1133885.8195983786</v>
      </c>
      <c r="EF168" s="554">
        <f t="shared" si="449"/>
        <v>283471.45489959465</v>
      </c>
      <c r="EG168" s="554">
        <f t="shared" ca="1" si="370"/>
        <v>68089.425825449754</v>
      </c>
      <c r="EH168" s="554">
        <f t="shared" ca="1" si="371"/>
        <v>175897.68338241187</v>
      </c>
      <c r="EI168" s="561">
        <f t="shared" ca="1" si="450"/>
        <v>1661344.3837058358</v>
      </c>
      <c r="EJ168" s="581">
        <f t="shared" si="504"/>
        <v>36773.901389883365</v>
      </c>
      <c r="EK168" s="554">
        <f t="shared" si="505"/>
        <v>9193.4753474708414</v>
      </c>
      <c r="EL168" s="554">
        <f t="shared" ca="1" si="372"/>
        <v>47930.724513109264</v>
      </c>
      <c r="EM168" s="554">
        <f t="shared" ca="1" si="373"/>
        <v>123821.03832553225</v>
      </c>
      <c r="EN168" s="561">
        <f t="shared" ca="1" si="374"/>
        <v>156075.89211359387</v>
      </c>
      <c r="EO168" s="180">
        <f t="shared" si="451"/>
        <v>4682638.8839530479</v>
      </c>
      <c r="EP168" s="180">
        <f t="shared" si="452"/>
        <v>1170659.720988262</v>
      </c>
      <c r="EQ168" s="180">
        <f t="shared" si="453"/>
        <v>464080.60135423607</v>
      </c>
      <c r="ER168" s="180">
        <f t="shared" si="454"/>
        <v>1198874.8868317765</v>
      </c>
      <c r="ES168" s="180">
        <f t="shared" si="455"/>
        <v>7516254.0931273215</v>
      </c>
      <c r="ET168" s="1482">
        <f t="shared" ca="1" si="375"/>
        <v>4535543.2783935145</v>
      </c>
      <c r="EU168" s="180">
        <f t="shared" ca="1" si="376"/>
        <v>1133885.8195983786</v>
      </c>
      <c r="EV168" s="180">
        <f t="shared" ca="1" si="377"/>
        <v>272357.70330179902</v>
      </c>
      <c r="EW168" s="180">
        <f t="shared" ca="1" si="378"/>
        <v>703590.73352964746</v>
      </c>
      <c r="EX168" s="555">
        <f t="shared" ca="1" si="351"/>
        <v>6645377.5348233394</v>
      </c>
      <c r="EY168" s="180">
        <f t="shared" ca="1" si="379"/>
        <v>147095.60555953346</v>
      </c>
      <c r="EZ168" s="180">
        <f t="shared" ca="1" si="380"/>
        <v>36773.901389883365</v>
      </c>
      <c r="FA168" s="180">
        <f t="shared" ca="1" si="381"/>
        <v>191722.89805243706</v>
      </c>
      <c r="FB168" s="180">
        <f t="shared" ca="1" si="382"/>
        <v>495284.15330212901</v>
      </c>
      <c r="FC168" s="180">
        <f t="shared" ca="1" si="383"/>
        <v>870876.55830398202</v>
      </c>
      <c r="FD168" s="262">
        <f>IF(AX168,IF(VLOOKUP(C168,MAIN!$L$17:$M$28,2)="Yes",VLOOKUP(CALC!B168,MAIN!$H$17:$I$20,2),0),0)</f>
        <v>0</v>
      </c>
      <c r="FE168" s="623">
        <f t="shared" si="456"/>
        <v>0</v>
      </c>
      <c r="FF168" s="535">
        <f t="shared" si="457"/>
        <v>0</v>
      </c>
      <c r="FG168" s="535">
        <f t="shared" si="458"/>
        <v>0</v>
      </c>
      <c r="FH168" s="624">
        <f t="shared" si="459"/>
        <v>0</v>
      </c>
      <c r="FI168" s="632">
        <f>IF(AX168,VLOOKUP(CALC!B168,MAIN!$H$17:$K$20,4),0)</f>
        <v>0</v>
      </c>
      <c r="FJ168" s="535">
        <f t="shared" si="460"/>
        <v>0</v>
      </c>
      <c r="FK168" s="648">
        <f t="shared" si="506"/>
        <v>0</v>
      </c>
      <c r="FL168" s="530">
        <f t="shared" ca="1" si="384"/>
        <v>0</v>
      </c>
      <c r="FM168" s="530">
        <f t="shared" ca="1" si="385"/>
        <v>0</v>
      </c>
      <c r="FN168" s="530">
        <f t="shared" ca="1" si="386"/>
        <v>0</v>
      </c>
      <c r="FO168" s="622">
        <f t="shared" ca="1" si="387"/>
        <v>0</v>
      </c>
      <c r="FP168" s="530">
        <f t="shared" ca="1" si="388"/>
        <v>0</v>
      </c>
      <c r="FQ168" s="530">
        <f t="shared" ca="1" si="389"/>
        <v>0</v>
      </c>
      <c r="FR168" s="530">
        <f t="shared" ca="1" si="390"/>
        <v>0</v>
      </c>
      <c r="FS168" s="625">
        <f t="shared" ca="1" si="391"/>
        <v>0</v>
      </c>
      <c r="FT168" s="640">
        <f ca="1">IF(AND(Assumptions!$H$71="Yes",A168&gt;=Assumptions!$H$72,A168&lt;=Assumptions!$H$73),0,IF(AND($A168&gt;=Assumptions!$C$17,$A168&lt;=Assumptions!$C$18),MAX(AZ168*(1+VLOOKUP($C168,WeatherCapacityAdjustment,2))-FL168,0),0))</f>
        <v>46560</v>
      </c>
      <c r="FU168" s="530">
        <f ca="1">IF(AND(Assumptions!$H$71="Yes",A168&gt;=Assumptions!$H$72,A168&lt;=Assumptions!$H$73),0,IF(AND($A168&gt;=Assumptions!$C$17,$A168&lt;=Assumptions!$C$18),MAX(BA168*(1+VLOOKUP($C168,WeatherCapacityAdjustment,2))-FM168,0),0))</f>
        <v>11640</v>
      </c>
      <c r="FV168" s="530">
        <f ca="1">IF(AND(Assumptions!$H$71="Yes",A168&gt;=Assumptions!$H$72,A168&lt;=Assumptions!$H$73),0,IF(AND($A168&gt;=Assumptions!$C$17,$A168&lt;=Assumptions!$C$18),MAX(BB168*(1+VLOOKUP($C168,WeatherCapacityAdjustment,2))-FN168,0),0))</f>
        <v>13968</v>
      </c>
      <c r="FW168" s="622">
        <f ca="1">IF(AND(Assumptions!$H$71="Yes",A168&gt;=Assumptions!$H$72,A168&lt;=Assumptions!$H$73),0,IF(AND($A168&gt;=Assumptions!$C$17,$A168&lt;=Assumptions!$C$18),MAX(BC168*(1+VLOOKUP($C168,WeatherCapacityAdjustment,3))-FO168,0),0))</f>
        <v>36084</v>
      </c>
      <c r="FX168" s="621">
        <f ca="1">IF(AND(Assumptions!$H$71="Yes",A168&gt;=Assumptions!$H$72,A168&lt;=Assumptions!$H$73),0,IF(ET168&gt;0,MAX(BH168*(1+VLOOKUP($C168,WeatherCapacityAdjustment,2))-FP168,0),0))</f>
        <v>186240</v>
      </c>
      <c r="FY168" s="530">
        <f ca="1">IF(AND(Assumptions!$H$71="Yes",A168&gt;=Assumptions!$H$72,A168&lt;=Assumptions!$H$73),0,IF(EU168&gt;0,MAX(BI168*(1+VLOOKUP($C168,WeatherCapacityAdjustment,3))-FQ168,0),0))</f>
        <v>46560</v>
      </c>
      <c r="FZ168" s="530">
        <f ca="1">IF(AND(Assumptions!$H$71="Yes",A168&gt;=Assumptions!$H$72,A168&lt;=Assumptions!$H$73),0,IF(EV168&gt;0,MAX(BJ168*(1+VLOOKUP($C168,WeatherCapacityAdjustment,2))-FR168,0),0))</f>
        <v>55872</v>
      </c>
      <c r="GA168" s="622">
        <f ca="1">IF(AND(Assumptions!$H$71="Yes",A168&gt;=Assumptions!$H$72,A168&lt;=Assumptions!$H$73),0,IF(EW168&gt;0,MAX(BK168*(1+VLOOKUP($C168,WeatherCapacityAdjustment,2))-FS168,0),0))</f>
        <v>144336</v>
      </c>
      <c r="GB168" s="530">
        <f t="shared" ca="1" si="461"/>
        <v>541260</v>
      </c>
      <c r="GC168" s="545">
        <f t="shared" ca="1" si="462"/>
        <v>43.09772949693545</v>
      </c>
      <c r="GD168" s="530">
        <f t="shared" ca="1" si="392"/>
        <v>23327077.067511283</v>
      </c>
      <c r="GE168" s="1485">
        <f t="shared" ca="1" si="393"/>
        <v>771449.21783999994</v>
      </c>
      <c r="GF168" s="1776">
        <f t="shared" ca="1" si="394"/>
        <v>3085796.8713599998</v>
      </c>
      <c r="GG168" s="545">
        <f t="shared" si="359"/>
        <v>3.5922039667449233</v>
      </c>
      <c r="GH168" s="622">
        <f t="shared" ca="1" si="360"/>
        <v>13856014.702335581</v>
      </c>
      <c r="GI168" s="621">
        <f t="shared" ca="1" si="507"/>
        <v>541260</v>
      </c>
      <c r="GJ168" s="638">
        <f t="shared" si="463"/>
        <v>2.151166623520159</v>
      </c>
      <c r="GK168" s="625">
        <f t="shared" ca="1" si="513"/>
        <v>1164340.4466465213</v>
      </c>
      <c r="GL168" s="640">
        <f t="shared" ca="1" si="395"/>
        <v>0</v>
      </c>
      <c r="GM168" s="530">
        <f t="shared" ca="1" si="396"/>
        <v>0</v>
      </c>
      <c r="GN168" s="530">
        <f t="shared" ca="1" si="397"/>
        <v>0</v>
      </c>
      <c r="GO168" s="622">
        <f t="shared" ca="1" si="398"/>
        <v>0</v>
      </c>
      <c r="GP168" s="530">
        <f t="shared" ca="1" si="464"/>
        <v>0</v>
      </c>
      <c r="GQ168" s="545">
        <f t="shared" ca="1" si="465"/>
        <v>0</v>
      </c>
      <c r="GR168" s="625">
        <f t="shared" ca="1" si="399"/>
        <v>0</v>
      </c>
      <c r="GS168" s="640">
        <f>IF($A168&gt;=BegDate,Assumptions!$C$56*24*($A169-$A168)*(1-VLOOKUP($B168,MAIN!$AA$7:$AM$28,$C168+1))*(1-VLOOKUP($B168,MAIN!$AA$33:$AM$54,$C168+1)),0)*80/168</f>
        <v>257742.85714285713</v>
      </c>
      <c r="GT168" s="1715">
        <f t="shared" si="508"/>
        <v>52.103938591089779</v>
      </c>
      <c r="GU168" s="1715">
        <f>IF($A168&gt;=BegDate,VLOOKUP($A168,GasTable,13)+Assumptions!$C$58,0)</f>
        <v>3.5922039667449233</v>
      </c>
      <c r="GV168" s="1715">
        <f>GU168*Assumptions!$C$57/1000</f>
        <v>26.04347875890069</v>
      </c>
      <c r="GW168" s="625">
        <f>IF(Assumptions!$C$60="Hourly",MAX(0,GS168*(GT168-GV168)),GS168*(GT168-GV168))</f>
        <v>6716897.3756050784</v>
      </c>
      <c r="GX168" s="640">
        <f>IF($A168&gt;=BegDate,Assumptions!$C$56*24*($A169-$A168)*(1-VLOOKUP($B168,MAIN!$AA$7:$AM$28,$C168+1))*(1-VLOOKUP($B168,MAIN!$AA$33:$AM$54,$C168+1)),0)*16/168</f>
        <v>51548.571428571428</v>
      </c>
      <c r="GY168" s="1715">
        <f t="shared" si="509"/>
        <v>52.103938591089779</v>
      </c>
      <c r="GZ168" s="1715">
        <f>IF($A168&gt;=BegDate,VLOOKUP($A168,GasTable,13)+Assumptions!$C$58,0)</f>
        <v>3.5922039667449233</v>
      </c>
      <c r="HA168" s="1715">
        <f>GZ168*Assumptions!$C$57/1000</f>
        <v>26.04347875890069</v>
      </c>
      <c r="HB168" s="625">
        <f>IF(Assumptions!$C$60="Hourly",MAX(0,GX168*(GY168-HA168)),GX168*(GY168-HA168))</f>
        <v>1343379.4751210159</v>
      </c>
      <c r="HC168" s="640">
        <f>IF($A168&gt;=BegDate,Assumptions!$C$56*24*($A169-$A168)*(1-VLOOKUP($B168,MAIN!$AA$7:$AM$28,$C168+1))*(1-VLOOKUP($B168,MAIN!$AA$33:$AM$54,$C168+1)),0)*16/168</f>
        <v>51548.571428571428</v>
      </c>
      <c r="HD168" s="1715">
        <f t="shared" si="510"/>
        <v>32.625393340942026</v>
      </c>
      <c r="HE168" s="1715">
        <f>IF($A168&gt;=BegDate,VLOOKUP($A168,GasTable,13)+Assumptions!$C$58,0)</f>
        <v>3.5922039667449233</v>
      </c>
      <c r="HF168" s="1715">
        <f>HE168*Assumptions!$C$57/1000</f>
        <v>26.04347875890069</v>
      </c>
      <c r="HG168" s="625">
        <f>IF(Assumptions!$C$60="Hourly",MAX(0,HC168*(HD168-HF168)),HC168*(HD168-HF168))</f>
        <v>339288.29396911361</v>
      </c>
      <c r="HH168" s="640">
        <f>IF($A168&gt;=BegDate,Assumptions!$C$56*24*($A169-$A168)*(1-VLOOKUP($B168,MAIN!$AA$7:$AM$28,$C168+1))*(1-VLOOKUP($B168,MAIN!$AA$33:$AM$54,$C168+1)),0)*56/168</f>
        <v>180420</v>
      </c>
      <c r="HI168" s="1715">
        <f t="shared" si="511"/>
        <v>32.625393340942026</v>
      </c>
      <c r="HJ168" s="1715">
        <f>IF($A168&gt;=BegDate,VLOOKUP($A168,GasTable,13)+Assumptions!$C$58,0)</f>
        <v>3.5922039667449233</v>
      </c>
      <c r="HK168" s="1715">
        <f>HJ168*Assumptions!$C$57/1000</f>
        <v>26.04347875890069</v>
      </c>
      <c r="HL168" s="625">
        <f>IF(Assumptions!$C$60="Hourly",MAX(0,HH168*(HI168-HK168)),HH168*(HI168-HK168))</f>
        <v>1187509.0288918978</v>
      </c>
      <c r="HM168" s="640">
        <f>IF(AND(Assumptions!$H$71="Yes",A168&gt;=Assumptions!$H$72,A168&lt;=Assumptions!$H$73),Assumptions!$H$74*Assumptions!$C$9*1000,0)</f>
        <v>0</v>
      </c>
      <c r="HN168" s="530"/>
      <c r="HO168" s="545"/>
      <c r="HP168" s="545"/>
      <c r="HQ168" s="545"/>
      <c r="HR168" s="545"/>
      <c r="HS168" s="545"/>
      <c r="HT168" s="545"/>
      <c r="HU168" s="545"/>
      <c r="HV168" s="545"/>
      <c r="HW168" s="545"/>
      <c r="HX168" s="545"/>
      <c r="HY168" s="545"/>
      <c r="HZ168" s="545"/>
      <c r="IA168" s="545"/>
      <c r="IB168" s="545"/>
      <c r="IC168" s="545"/>
      <c r="ID168" s="545"/>
      <c r="IE168" s="545"/>
      <c r="IF168" s="545"/>
      <c r="IG168" s="545"/>
      <c r="IH168" s="545"/>
      <c r="II168" s="1464"/>
      <c r="IJ168" s="1463"/>
      <c r="IK168" s="1463"/>
    </row>
    <row r="169" spans="1:245">
      <c r="A169" s="177">
        <f t="shared" si="466"/>
        <v>41275</v>
      </c>
      <c r="B169" s="349">
        <f t="shared" si="467"/>
        <v>2013</v>
      </c>
      <c r="C169" s="15">
        <f t="shared" si="515"/>
        <v>1</v>
      </c>
      <c r="D169" s="612">
        <f t="shared" si="468"/>
        <v>41275</v>
      </c>
      <c r="E169" s="609">
        <f t="shared" si="516"/>
        <v>41275</v>
      </c>
      <c r="F169" s="614">
        <f t="shared" si="517"/>
        <v>41305</v>
      </c>
      <c r="G169" s="1349">
        <v>0</v>
      </c>
      <c r="H169" s="152">
        <f t="shared" si="512"/>
        <v>1</v>
      </c>
      <c r="I169" s="154">
        <f>IF(Assumptions!$L$25=4,VLOOKUP($A169,'Henwood Reference'!$E$9:$R$320,10),(VLOOKUP($A169,PriceTable,2,0)+IF(BasisNumber&lt;&gt;1,VLOOKUP($A169,BasisTable,2,0),0)+I$1)/(1-I$2))</f>
        <v>53.30681266707699</v>
      </c>
      <c r="J169" s="154">
        <f>IF(Assumptions!$L$25=4,VLOOKUP($A169,'Henwood Reference'!$E$9:$R$320,10),(VLOOKUP($A169,PriceTable,3,0)+IF(BasisNumber&lt;&gt;1,VLOOKUP($A169,BasisTable,2,0),0)+J$1)/(1-J$2))</f>
        <v>53.30681266707699</v>
      </c>
      <c r="K169" s="154">
        <f>IF(Assumptions!$L$25=4,VLOOKUP($A169,'Henwood Reference'!$E$9:$R$320,10),(VLOOKUP($A169,PriceTable,4,0)+IF(BasisNumber&lt;&gt;1,VLOOKUP($A169,BasisTable,2,0),0)+K$1)/(1-K$2))</f>
        <v>53.30681266707699</v>
      </c>
      <c r="L169" s="474">
        <f>IF(Assumptions!$L$25=4,VLOOKUP($A169,'Henwood Reference'!$E$9:$R$320,10),(VLOOKUP($A169,PriceTableWeekend,2,0)+IF(BasisNumber&lt;&gt;1,VLOOKUP($A169,BasisTable,2,0),0)+L$1)/(1-L$2))</f>
        <v>53.30681266707699</v>
      </c>
      <c r="M169" s="154">
        <f>IF(Assumptions!$L$25=4,VLOOKUP($A169,'Henwood Reference'!$E$9:$R$320,10),(VLOOKUP($A169,PriceTableWeekend,3,0)+IF(BasisNumber&lt;&gt;1,VLOOKUP($A169,BasisTable,2,0),0)+M$1)/(1-M$2))</f>
        <v>53.30681266707699</v>
      </c>
      <c r="N169" s="156">
        <f>IF(Assumptions!$L$25=4,VLOOKUP($A169,'Henwood Reference'!$E$9:$R$320,10),(VLOOKUP($A169,PriceTableWeekend,4,0)+IF(BasisNumber&lt;&gt;1,VLOOKUP($A169,BasisTable,2,0),0)+N$1)/(1-N$2))</f>
        <v>53.30681266707699</v>
      </c>
      <c r="O169" s="154">
        <f>IF(Assumptions!$L$25=4,VLOOKUP($A169,'Henwood Reference'!$E$9:$R$320,11),(VLOOKUP($A169,PriceTableWeekend,6,0)+IF(BasisNumber&lt;&gt;1,VLOOKUP($A169,BasisTable,3,0),0)+O$1)/(1-O$2))</f>
        <v>32.386735600041241</v>
      </c>
      <c r="P169" s="154">
        <f>IF(Assumptions!$L$25=4,VLOOKUP($A169,'Henwood Reference'!$E$9:$R$320,11),(VLOOKUP($A169,PriceTableWeekend,7,0)+IF(BasisNumber&lt;&gt;1,VLOOKUP($A169,BasisTable,3,0),0)+P$1)/(1-P$2))</f>
        <v>32.386735600041241</v>
      </c>
      <c r="Q169" s="156">
        <f>IF(Assumptions!$L$25=4,VLOOKUP($A169,'Henwood Reference'!$E$9:$R$320,11),(VLOOKUP($A169,PriceTableWeekend,8,0)+IF(BasisNumber&lt;&gt;1,VLOOKUP($A169,BasisTable,3,0),0)+Q$1)/(1-Q$2))</f>
        <v>32.386735600041241</v>
      </c>
      <c r="R169" s="154">
        <f>IF(Assumptions!$L$25=4,VLOOKUP($A169,'Henwood Reference'!$E$9:$R$320,11),(VLOOKUP($A169,PriceTable,6,0)+IF(BasisNumber&lt;&gt;1,VLOOKUP($A169,BasisTable,3,0),0)+R$1)/(1-R$2))</f>
        <v>32.386735600041241</v>
      </c>
      <c r="S169" s="154">
        <f>IF(Assumptions!$L$25=4,VLOOKUP($A169,'Henwood Reference'!$E$9:$R$320,11),(VLOOKUP($A169,PriceTable,7,0)+IF(BasisNumber&lt;&gt;1,VLOOKUP($A169,BasisTable,3,0),0)+S$1)/(1-S$2))</f>
        <v>32.386735600041241</v>
      </c>
      <c r="T169" s="155">
        <f>IF(Assumptions!$L$25=4,VLOOKUP($A169,'Henwood Reference'!$E$9:$R$320,11),(VLOOKUP($A169,PriceTable,8,0)+IF(BasisNumber&lt;&gt;1,VLOOKUP($A169,BasisTable,3,0),0)+T$1)/(1-T$2))</f>
        <v>32.386735600041241</v>
      </c>
      <c r="U169" s="173">
        <f t="shared" si="469"/>
        <v>0.105</v>
      </c>
      <c r="V169" s="173">
        <f t="shared" si="470"/>
        <v>0.115</v>
      </c>
      <c r="W169" s="174">
        <f t="shared" si="471"/>
        <v>0.125</v>
      </c>
      <c r="X169" s="173">
        <f t="shared" si="472"/>
        <v>0.105</v>
      </c>
      <c r="Y169" s="173">
        <f t="shared" si="473"/>
        <v>0.115</v>
      </c>
      <c r="Z169" s="174">
        <f t="shared" si="474"/>
        <v>0.125</v>
      </c>
      <c r="AA169" s="173">
        <f t="shared" si="475"/>
        <v>0.09</v>
      </c>
      <c r="AB169" s="173">
        <f t="shared" si="476"/>
        <v>0.11</v>
      </c>
      <c r="AC169" s="174">
        <f t="shared" si="477"/>
        <v>0.13</v>
      </c>
      <c r="AD169" s="173">
        <f t="shared" si="478"/>
        <v>0.09</v>
      </c>
      <c r="AE169" s="173">
        <f t="shared" si="479"/>
        <v>0.11</v>
      </c>
      <c r="AF169" s="174">
        <f t="shared" si="480"/>
        <v>0.13</v>
      </c>
      <c r="AG169" s="173">
        <f t="shared" si="481"/>
        <v>-0.25</v>
      </c>
      <c r="AH169" s="173">
        <f t="shared" si="482"/>
        <v>0.65</v>
      </c>
      <c r="AI169" s="174">
        <f t="shared" si="483"/>
        <v>0.25</v>
      </c>
      <c r="AJ169" s="173">
        <f t="shared" si="484"/>
        <v>-0.25</v>
      </c>
      <c r="AK169" s="173">
        <f t="shared" si="485"/>
        <v>0.65</v>
      </c>
      <c r="AL169" s="174">
        <f t="shared" si="486"/>
        <v>0.25</v>
      </c>
      <c r="AM169" s="173">
        <f t="shared" si="487"/>
        <v>-0.01</v>
      </c>
      <c r="AN169" s="173">
        <f t="shared" si="488"/>
        <v>0.16</v>
      </c>
      <c r="AO169" s="174">
        <f t="shared" si="489"/>
        <v>0.01</v>
      </c>
      <c r="AP169" s="173">
        <f t="shared" si="490"/>
        <v>-0.01</v>
      </c>
      <c r="AQ169" s="173">
        <f t="shared" si="491"/>
        <v>0.16</v>
      </c>
      <c r="AR169" s="175">
        <f t="shared" si="492"/>
        <v>0.01</v>
      </c>
      <c r="AS169" s="521">
        <f t="shared" si="520"/>
        <v>0.5</v>
      </c>
      <c r="AT169" s="349">
        <f t="shared" si="518"/>
        <v>22</v>
      </c>
      <c r="AU169" s="159">
        <f t="shared" si="411"/>
        <v>4</v>
      </c>
      <c r="AV169" s="159">
        <f t="shared" si="412"/>
        <v>4</v>
      </c>
      <c r="AW169" s="159">
        <f t="shared" si="521"/>
        <v>1</v>
      </c>
      <c r="AX169" s="15">
        <f t="shared" si="519"/>
        <v>31</v>
      </c>
      <c r="AY169" s="607">
        <f>IF(E169="",0,MIN((1-(1-VLOOKUP(B169,MAIN!$AA$7:$AM$28,C169+1))*(1-VLOOKUP(B169,MAIN!$AA$33:$AM$54,C169+1))),1))</f>
        <v>3.0000000000000027E-2</v>
      </c>
      <c r="AZ169" s="337">
        <v>51216</v>
      </c>
      <c r="BA169" s="509">
        <v>9312</v>
      </c>
      <c r="BB169" s="509">
        <v>11640</v>
      </c>
      <c r="BC169" s="511">
        <v>36084</v>
      </c>
      <c r="BD169" s="153">
        <v>0.96999999638646839</v>
      </c>
      <c r="BE169" s="474">
        <v>0.96999999638646839</v>
      </c>
      <c r="BF169" s="474">
        <v>0.96999999638646839</v>
      </c>
      <c r="BG169" s="515">
        <v>0.9699999927729368</v>
      </c>
      <c r="BH169" s="262">
        <v>204864</v>
      </c>
      <c r="BI169" s="509">
        <v>37248</v>
      </c>
      <c r="BJ169" s="509">
        <v>46560</v>
      </c>
      <c r="BK169" s="511">
        <v>144336</v>
      </c>
      <c r="BL169" s="153">
        <v>0.96999999638646839</v>
      </c>
      <c r="BM169" s="474">
        <v>0.96999999638646839</v>
      </c>
      <c r="BN169" s="474">
        <v>0.96999999638646839</v>
      </c>
      <c r="BO169" s="474">
        <v>0.9699999927729368</v>
      </c>
      <c r="BP169" s="261">
        <f t="shared" si="495"/>
        <v>72168</v>
      </c>
      <c r="BQ169" s="578">
        <f t="shared" si="496"/>
        <v>108252</v>
      </c>
      <c r="BR169" s="259">
        <f t="shared" si="497"/>
        <v>288672</v>
      </c>
      <c r="BS169" s="578">
        <f t="shared" si="498"/>
        <v>433008</v>
      </c>
      <c r="BT169" s="216">
        <f t="shared" si="499"/>
        <v>12.717316906228611</v>
      </c>
      <c r="BU169" s="218">
        <f t="shared" si="414"/>
        <v>53.306812468493639</v>
      </c>
      <c r="BV169" s="216">
        <f t="shared" si="415"/>
        <v>53.306812468493639</v>
      </c>
      <c r="BW169" s="216">
        <f t="shared" si="416"/>
        <v>32.386735479391248</v>
      </c>
      <c r="BX169" s="216">
        <f t="shared" si="500"/>
        <v>32.386735358741255</v>
      </c>
      <c r="BY169" s="216">
        <f t="shared" si="417"/>
        <v>49.93260650250938</v>
      </c>
      <c r="BZ169" s="216">
        <f t="shared" si="418"/>
        <v>44.083982787920007</v>
      </c>
      <c r="CA169" s="264">
        <f t="shared" si="419"/>
        <v>53.306812468493639</v>
      </c>
      <c r="CB169" s="216">
        <f t="shared" si="420"/>
        <v>53.306812468493639</v>
      </c>
      <c r="CC169" s="216">
        <f t="shared" si="421"/>
        <v>32.386735479391248</v>
      </c>
      <c r="CD169" s="216">
        <f t="shared" si="501"/>
        <v>32.386735358741255</v>
      </c>
      <c r="CE169" s="216">
        <f t="shared" si="422"/>
        <v>49.93260650250938</v>
      </c>
      <c r="CF169" s="571">
        <f t="shared" si="423"/>
        <v>44.083982787920007</v>
      </c>
      <c r="CG169" s="573">
        <f t="shared" si="424"/>
        <v>0.115</v>
      </c>
      <c r="CH169" s="219">
        <f t="shared" si="425"/>
        <v>0.115</v>
      </c>
      <c r="CI169" s="219">
        <f t="shared" si="426"/>
        <v>0.11</v>
      </c>
      <c r="CJ169" s="219">
        <f t="shared" si="427"/>
        <v>0.11447862979636013</v>
      </c>
      <c r="CK169" s="219">
        <f t="shared" si="428"/>
        <v>0.11447862979636013</v>
      </c>
      <c r="CL169" s="219">
        <f t="shared" si="429"/>
        <v>0.11</v>
      </c>
      <c r="CM169" s="219">
        <f t="shared" si="430"/>
        <v>0.10292467688582135</v>
      </c>
      <c r="CN169" s="569">
        <f t="shared" si="431"/>
        <v>0.10292467688582135</v>
      </c>
      <c r="CO169" s="264">
        <f t="shared" si="514"/>
        <v>24.951932009093692</v>
      </c>
      <c r="CP169" s="216">
        <f t="shared" si="502"/>
        <v>24.951932009093692</v>
      </c>
      <c r="CQ169" s="216">
        <f t="shared" ca="1" si="361"/>
        <v>24.951932009093692</v>
      </c>
      <c r="CR169" s="216">
        <f t="shared" ca="1" si="362"/>
        <v>24.951932009093692</v>
      </c>
      <c r="CS169" s="1626">
        <f t="shared" ca="1" si="363"/>
        <v>24.951932009093696</v>
      </c>
      <c r="CT169" s="216">
        <f t="shared" si="503"/>
        <v>24.951932009093692</v>
      </c>
      <c r="CU169" s="575">
        <f t="shared" si="432"/>
        <v>0.156</v>
      </c>
      <c r="CV169" s="154">
        <f t="shared" si="433"/>
        <v>0.5</v>
      </c>
      <c r="CW169" s="216">
        <f>IF(OR($BQ169,$BS169),SpreadOptPowerMargin,0)*((1+Assumptions!$C$26)^($B169-YEAR(Assumptions!$C$17)))</f>
        <v>2.1941899559905629</v>
      </c>
      <c r="CX169" s="216">
        <f>IF(OR($BQ169,$BS169),SpreadOptPowerMargin,0)*((1+Assumptions!$C$26)^($B169-YEAR(Assumptions!$C$17)))</f>
        <v>2.1941899559905629</v>
      </c>
      <c r="CY169" s="216">
        <f>IF(OR($BQ169,$BS169),SpreadOptPowerMargin,0)*((1+Assumptions!$C$26)^($B169-YEAR(Assumptions!$C$17)))</f>
        <v>2.1941899559905629</v>
      </c>
      <c r="CZ169" s="216">
        <f>IF(OR($BQ169,$BS169),SpreadOptPowerMargin,0)*((1+Assumptions!$C$26)^($B169-YEAR(Assumptions!$C$17)))</f>
        <v>2.1941899559905629</v>
      </c>
      <c r="DA169" s="440">
        <f t="shared" si="434"/>
        <v>2.1941899559905633</v>
      </c>
      <c r="DB169" s="479">
        <f t="shared" si="435"/>
        <v>0.115</v>
      </c>
      <c r="DC169" s="479">
        <f t="shared" si="436"/>
        <v>0.115</v>
      </c>
      <c r="DD169" s="479">
        <f t="shared" si="437"/>
        <v>0.11</v>
      </c>
      <c r="DE169" s="479">
        <f t="shared" si="438"/>
        <v>0.11</v>
      </c>
      <c r="DF169" s="479">
        <f t="shared" si="439"/>
        <v>0.10292467688582135</v>
      </c>
      <c r="DG169" s="574">
        <f t="shared" si="440"/>
        <v>0.10292467688582135</v>
      </c>
      <c r="DH169" s="216">
        <f t="shared" si="441"/>
        <v>26.779767443979615</v>
      </c>
      <c r="DI169" s="216">
        <f t="shared" si="442"/>
        <v>26.779767443979615</v>
      </c>
      <c r="DJ169" s="216">
        <f t="shared" ca="1" si="364"/>
        <v>8.4726930510866527</v>
      </c>
      <c r="DK169" s="216">
        <f t="shared" ca="1" si="365"/>
        <v>8.4726929626077343</v>
      </c>
      <c r="DL169" s="216">
        <f t="shared" ca="1" si="366"/>
        <v>18.126153313801144</v>
      </c>
      <c r="DM169" s="216"/>
      <c r="DN169" s="216"/>
      <c r="DO169" s="216"/>
      <c r="DP169" s="216"/>
      <c r="DQ169" s="216"/>
      <c r="DR169" s="216"/>
      <c r="DS169" s="216"/>
      <c r="DT169" s="216"/>
      <c r="DU169" s="216"/>
      <c r="DV169" s="216"/>
      <c r="DW169" s="1371">
        <f t="shared" si="443"/>
        <v>8.4726930510866527</v>
      </c>
      <c r="DX169" s="216">
        <f t="shared" si="444"/>
        <v>8.4726929626077343</v>
      </c>
      <c r="DY169" s="440">
        <f t="shared" si="445"/>
        <v>18.708906660630607</v>
      </c>
      <c r="DZ169" s="180">
        <f t="shared" si="446"/>
        <v>1371552.5694108601</v>
      </c>
      <c r="EA169" s="180">
        <f t="shared" si="447"/>
        <v>249373.19443833819</v>
      </c>
      <c r="EB169" s="180">
        <f t="shared" ca="1" si="367"/>
        <v>98622.147114648644</v>
      </c>
      <c r="EC169" s="180">
        <f t="shared" ca="1" si="368"/>
        <v>305728.65286273748</v>
      </c>
      <c r="ED169" s="180">
        <f t="shared" ca="1" si="369"/>
        <v>1962192.3485256014</v>
      </c>
      <c r="EE169" s="581">
        <f t="shared" si="448"/>
        <v>1339845.924822615</v>
      </c>
      <c r="EF169" s="554">
        <f t="shared" si="449"/>
        <v>243608.34996774819</v>
      </c>
      <c r="EG169" s="554">
        <f t="shared" ca="1" si="370"/>
        <v>61000.741306533404</v>
      </c>
      <c r="EH169" s="554">
        <f t="shared" ca="1" si="371"/>
        <v>189102.29369671919</v>
      </c>
      <c r="EI169" s="561">
        <f t="shared" ca="1" si="450"/>
        <v>1833557.3097936155</v>
      </c>
      <c r="EJ169" s="581">
        <f t="shared" si="504"/>
        <v>31706.644588245079</v>
      </c>
      <c r="EK169" s="554">
        <f t="shared" si="505"/>
        <v>5764.8444705900038</v>
      </c>
      <c r="EL169" s="554">
        <f t="shared" ca="1" si="372"/>
        <v>37621.40580811524</v>
      </c>
      <c r="EM169" s="554">
        <f t="shared" ca="1" si="373"/>
        <v>116626.35916601829</v>
      </c>
      <c r="EN169" s="561">
        <f t="shared" ca="1" si="374"/>
        <v>128635.03873198596</v>
      </c>
      <c r="EO169" s="180">
        <f t="shared" si="451"/>
        <v>5486210.2776434403</v>
      </c>
      <c r="EP169" s="180">
        <f t="shared" si="452"/>
        <v>997492.77775335277</v>
      </c>
      <c r="EQ169" s="180">
        <f t="shared" si="453"/>
        <v>394488.58845859458</v>
      </c>
      <c r="ER169" s="180">
        <f t="shared" si="454"/>
        <v>1222914.6114509499</v>
      </c>
      <c r="ES169" s="180">
        <f t="shared" si="455"/>
        <v>8101106.255306338</v>
      </c>
      <c r="ET169" s="1482">
        <f t="shared" ca="1" si="375"/>
        <v>5359383.69929046</v>
      </c>
      <c r="EU169" s="180">
        <f t="shared" ca="1" si="376"/>
        <v>974433.39987099275</v>
      </c>
      <c r="EV169" s="180">
        <f t="shared" ca="1" si="377"/>
        <v>244002.96522613362</v>
      </c>
      <c r="EW169" s="180">
        <f t="shared" ca="1" si="378"/>
        <v>756409.17478687677</v>
      </c>
      <c r="EX169" s="555">
        <f t="shared" ca="1" si="351"/>
        <v>7334229.2391744629</v>
      </c>
      <c r="EY169" s="180">
        <f t="shared" ca="1" si="379"/>
        <v>126826.57835298032</v>
      </c>
      <c r="EZ169" s="180">
        <f t="shared" ca="1" si="380"/>
        <v>23059.377882360015</v>
      </c>
      <c r="FA169" s="180">
        <f t="shared" ca="1" si="381"/>
        <v>150485.62323246096</v>
      </c>
      <c r="FB169" s="180">
        <f t="shared" ca="1" si="382"/>
        <v>466505.43666407315</v>
      </c>
      <c r="FC169" s="180">
        <f t="shared" ca="1" si="383"/>
        <v>766877.01613187511</v>
      </c>
      <c r="FD169" s="262">
        <f>IF(AX169,IF(VLOOKUP(C169,MAIN!$L$17:$M$28,2)="Yes",VLOOKUP(CALC!B169,MAIN!$H$17:$I$20,2),0),0)</f>
        <v>0</v>
      </c>
      <c r="FE169" s="623">
        <f t="shared" si="456"/>
        <v>0</v>
      </c>
      <c r="FF169" s="535">
        <f t="shared" si="457"/>
        <v>0</v>
      </c>
      <c r="FG169" s="535">
        <f t="shared" si="458"/>
        <v>0</v>
      </c>
      <c r="FH169" s="624">
        <f t="shared" si="459"/>
        <v>0</v>
      </c>
      <c r="FI169" s="632">
        <f>IF(AX169,VLOOKUP(CALC!B169,MAIN!$H$17:$K$20,4),0)</f>
        <v>0</v>
      </c>
      <c r="FJ169" s="535">
        <f t="shared" si="460"/>
        <v>0</v>
      </c>
      <c r="FK169" s="648">
        <f t="shared" si="506"/>
        <v>0</v>
      </c>
      <c r="FL169" s="530">
        <f t="shared" ca="1" si="384"/>
        <v>0</v>
      </c>
      <c r="FM169" s="530">
        <f t="shared" ca="1" si="385"/>
        <v>0</v>
      </c>
      <c r="FN169" s="530">
        <f t="shared" ca="1" si="386"/>
        <v>0</v>
      </c>
      <c r="FO169" s="622">
        <f t="shared" ca="1" si="387"/>
        <v>0</v>
      </c>
      <c r="FP169" s="530">
        <f t="shared" ca="1" si="388"/>
        <v>0</v>
      </c>
      <c r="FQ169" s="530">
        <f t="shared" ca="1" si="389"/>
        <v>0</v>
      </c>
      <c r="FR169" s="530">
        <f t="shared" ca="1" si="390"/>
        <v>0</v>
      </c>
      <c r="FS169" s="625">
        <f t="shared" ca="1" si="391"/>
        <v>0</v>
      </c>
      <c r="FT169" s="640">
        <f ca="1">IF(AND(Assumptions!$H$71="Yes",A169&gt;=Assumptions!$H$72,A169&lt;=Assumptions!$H$73),0,IF(AND($A169&gt;=Assumptions!$C$17,$A169&lt;=Assumptions!$C$18),MAX(AZ169*(1+VLOOKUP($C169,WeatherCapacityAdjustment,2))-FL169,0),0))</f>
        <v>51216</v>
      </c>
      <c r="FU169" s="530">
        <f ca="1">IF(AND(Assumptions!$H$71="Yes",A169&gt;=Assumptions!$H$72,A169&lt;=Assumptions!$H$73),0,IF(AND($A169&gt;=Assumptions!$C$17,$A169&lt;=Assumptions!$C$18),MAX(BA169*(1+VLOOKUP($C169,WeatherCapacityAdjustment,2))-FM169,0),0))</f>
        <v>9312</v>
      </c>
      <c r="FV169" s="530">
        <f ca="1">IF(AND(Assumptions!$H$71="Yes",A169&gt;=Assumptions!$H$72,A169&lt;=Assumptions!$H$73),0,IF(AND($A169&gt;=Assumptions!$C$17,$A169&lt;=Assumptions!$C$18),MAX(BB169*(1+VLOOKUP($C169,WeatherCapacityAdjustment,2))-FN169,0),0))</f>
        <v>11640</v>
      </c>
      <c r="FW169" s="622">
        <f ca="1">IF(AND(Assumptions!$H$71="Yes",A169&gt;=Assumptions!$H$72,A169&lt;=Assumptions!$H$73),0,IF(AND($A169&gt;=Assumptions!$C$17,$A169&lt;=Assumptions!$C$18),MAX(BC169*(1+VLOOKUP($C169,WeatherCapacityAdjustment,3))-FO169,0),0))</f>
        <v>36084</v>
      </c>
      <c r="FX169" s="621">
        <f ca="1">IF(AND(Assumptions!$H$71="Yes",A169&gt;=Assumptions!$H$72,A169&lt;=Assumptions!$H$73),0,IF(ET169&gt;0,MAX(BH169*(1+VLOOKUP($C169,WeatherCapacityAdjustment,2))-FP169,0),0))</f>
        <v>204864</v>
      </c>
      <c r="FY169" s="530">
        <f ca="1">IF(AND(Assumptions!$H$71="Yes",A169&gt;=Assumptions!$H$72,A169&lt;=Assumptions!$H$73),0,IF(EU169&gt;0,MAX(BI169*(1+VLOOKUP($C169,WeatherCapacityAdjustment,3))-FQ169,0),0))</f>
        <v>37248</v>
      </c>
      <c r="FZ169" s="530">
        <f ca="1">IF(AND(Assumptions!$H$71="Yes",A169&gt;=Assumptions!$H$72,A169&lt;=Assumptions!$H$73),0,IF(EV169&gt;0,MAX(BJ169*(1+VLOOKUP($C169,WeatherCapacityAdjustment,2))-FR169,0),0))</f>
        <v>46560</v>
      </c>
      <c r="GA169" s="622">
        <f ca="1">IF(AND(Assumptions!$H$71="Yes",A169&gt;=Assumptions!$H$72,A169&lt;=Assumptions!$H$73),0,IF(EW169&gt;0,MAX(BK169*(1+VLOOKUP($C169,WeatherCapacityAdjustment,2))-FS169,0),0))</f>
        <v>144336</v>
      </c>
      <c r="GB169" s="530">
        <f t="shared" ca="1" si="461"/>
        <v>541260</v>
      </c>
      <c r="GC169" s="545">
        <f t="shared" ca="1" si="462"/>
        <v>44.08398278792</v>
      </c>
      <c r="GD169" s="530">
        <f t="shared" ca="1" si="392"/>
        <v>23860896.523789585</v>
      </c>
      <c r="GE169" s="1485">
        <f t="shared" ca="1" si="393"/>
        <v>771767.47872000001</v>
      </c>
      <c r="GF169" s="1776">
        <f t="shared" ca="1" si="394"/>
        <v>3087069.9148800001</v>
      </c>
      <c r="GG169" s="545">
        <f t="shared" si="359"/>
        <v>3.4998838618184092</v>
      </c>
      <c r="GH169" s="622">
        <f t="shared" ca="1" si="360"/>
        <v>13505482.719242053</v>
      </c>
      <c r="GI169" s="621">
        <f t="shared" ca="1" si="507"/>
        <v>541260</v>
      </c>
      <c r="GJ169" s="638">
        <f t="shared" si="463"/>
        <v>2.1941899559905633</v>
      </c>
      <c r="GK169" s="625">
        <f t="shared" ca="1" si="513"/>
        <v>1187627.2555794523</v>
      </c>
      <c r="GL169" s="640">
        <f t="shared" ca="1" si="395"/>
        <v>0</v>
      </c>
      <c r="GM169" s="530">
        <f t="shared" ca="1" si="396"/>
        <v>0</v>
      </c>
      <c r="GN169" s="530">
        <f t="shared" ca="1" si="397"/>
        <v>0</v>
      </c>
      <c r="GO169" s="622">
        <f t="shared" ca="1" si="398"/>
        <v>0</v>
      </c>
      <c r="GP169" s="530">
        <f t="shared" ca="1" si="464"/>
        <v>0</v>
      </c>
      <c r="GQ169" s="545">
        <f t="shared" ca="1" si="465"/>
        <v>0</v>
      </c>
      <c r="GR169" s="625">
        <f t="shared" ca="1" si="399"/>
        <v>0</v>
      </c>
      <c r="GS169" s="640">
        <f>IF($A169&gt;=BegDate,Assumptions!$C$56*24*($A170-$A169)*(1-VLOOKUP($B169,MAIN!$AA$7:$AM$28,$C169+1))*(1-VLOOKUP($B169,MAIN!$AA$33:$AM$54,$C169+1)),0)*80/168</f>
        <v>257742.85714285713</v>
      </c>
      <c r="GT169" s="1715">
        <f t="shared" si="508"/>
        <v>53.30681266707699</v>
      </c>
      <c r="GU169" s="1715">
        <f>IF($A169&gt;=BegDate,VLOOKUP($A169,GasTable,13)+Assumptions!$C$58,0)</f>
        <v>3.4998838618184092</v>
      </c>
      <c r="GV169" s="1715">
        <f>GU169*Assumptions!$C$57/1000</f>
        <v>25.374157998183467</v>
      </c>
      <c r="GW169" s="625">
        <f>IF(Assumptions!$C$60="Hourly",MAX(0,GS169*(GT169-GV169)),GS169*(GT169-GV169))</f>
        <v>7199442.2219453845</v>
      </c>
      <c r="GX169" s="640">
        <f>IF($A169&gt;=BegDate,Assumptions!$C$56*24*($A170-$A169)*(1-VLOOKUP($B169,MAIN!$AA$7:$AM$28,$C169+1))*(1-VLOOKUP($B169,MAIN!$AA$33:$AM$54,$C169+1)),0)*16/168</f>
        <v>51548.571428571428</v>
      </c>
      <c r="GY169" s="1715">
        <f t="shared" si="509"/>
        <v>53.30681266707699</v>
      </c>
      <c r="GZ169" s="1715">
        <f>IF($A169&gt;=BegDate,VLOOKUP($A169,GasTable,13)+Assumptions!$C$58,0)</f>
        <v>3.4998838618184092</v>
      </c>
      <c r="HA169" s="1715">
        <f>GZ169*Assumptions!$C$57/1000</f>
        <v>25.374157998183467</v>
      </c>
      <c r="HB169" s="625">
        <f>IF(Assumptions!$C$60="Hourly",MAX(0,GX169*(GY169-HA169)),GX169*(GY169-HA169))</f>
        <v>1439888.4443890769</v>
      </c>
      <c r="HC169" s="640">
        <f>IF($A169&gt;=BegDate,Assumptions!$C$56*24*($A170-$A169)*(1-VLOOKUP($B169,MAIN!$AA$7:$AM$28,$C169+1))*(1-VLOOKUP($B169,MAIN!$AA$33:$AM$54,$C169+1)),0)*16/168</f>
        <v>51548.571428571428</v>
      </c>
      <c r="HD169" s="1715">
        <f t="shared" si="510"/>
        <v>32.386735600041241</v>
      </c>
      <c r="HE169" s="1715">
        <f>IF($A169&gt;=BegDate,VLOOKUP($A169,GasTable,13)+Assumptions!$C$58,0)</f>
        <v>3.4998838618184092</v>
      </c>
      <c r="HF169" s="1715">
        <f>HE169*Assumptions!$C$57/1000</f>
        <v>25.374157998183467</v>
      </c>
      <c r="HG169" s="625">
        <f>IF(Assumptions!$C$60="Hourly",MAX(0,HC169*(HD169-HF169)),HC169*(HD169-HF169))</f>
        <v>361488.35740776564</v>
      </c>
      <c r="HH169" s="640">
        <f>IF($A169&gt;=BegDate,Assumptions!$C$56*24*($A170-$A169)*(1-VLOOKUP($B169,MAIN!$AA$7:$AM$28,$C169+1))*(1-VLOOKUP($B169,MAIN!$AA$33:$AM$54,$C169+1)),0)*56/168</f>
        <v>180420</v>
      </c>
      <c r="HI169" s="1715">
        <f t="shared" si="511"/>
        <v>32.386735600041241</v>
      </c>
      <c r="HJ169" s="1715">
        <f>IF($A169&gt;=BegDate,VLOOKUP($A169,GasTable,13)+Assumptions!$C$58,0)</f>
        <v>3.4998838618184092</v>
      </c>
      <c r="HK169" s="1715">
        <f>HJ169*Assumptions!$C$57/1000</f>
        <v>25.374157998183467</v>
      </c>
      <c r="HL169" s="625">
        <f>IF(Assumptions!$C$60="Hourly",MAX(0,HH169*(HI169-HK169)),HH169*(HI169-HK169))</f>
        <v>1265209.2509271796</v>
      </c>
      <c r="HM169" s="640">
        <f>IF(AND(Assumptions!$H$71="Yes",A169&gt;=Assumptions!$H$72,A169&lt;=Assumptions!$H$73),Assumptions!$H$74*Assumptions!$C$9*1000,0)</f>
        <v>0</v>
      </c>
      <c r="HN169" s="530"/>
      <c r="HO169" s="545"/>
      <c r="HP169" s="545"/>
      <c r="HQ169" s="545"/>
      <c r="HR169" s="545"/>
      <c r="HS169" s="545"/>
      <c r="HT169" s="545"/>
      <c r="HU169" s="545"/>
      <c r="HV169" s="545"/>
      <c r="HW169" s="545"/>
      <c r="HX169" s="545"/>
      <c r="HY169" s="545"/>
      <c r="HZ169" s="545"/>
      <c r="IA169" s="545"/>
      <c r="IB169" s="545"/>
      <c r="IC169" s="545"/>
      <c r="ID169" s="545"/>
      <c r="IE169" s="545"/>
      <c r="IF169" s="545"/>
      <c r="IG169" s="545"/>
      <c r="IH169" s="545"/>
      <c r="II169" s="1464"/>
      <c r="IJ169" s="1463"/>
      <c r="IK169" s="1463"/>
    </row>
    <row r="170" spans="1:245">
      <c r="A170" s="177">
        <f t="shared" si="466"/>
        <v>41306</v>
      </c>
      <c r="B170" s="349">
        <f t="shared" si="467"/>
        <v>2013</v>
      </c>
      <c r="C170" s="15">
        <f t="shared" si="515"/>
        <v>2</v>
      </c>
      <c r="D170" s="612" t="str">
        <f t="shared" si="468"/>
        <v/>
      </c>
      <c r="E170" s="609">
        <f t="shared" si="516"/>
        <v>41306</v>
      </c>
      <c r="F170" s="614">
        <f t="shared" si="517"/>
        <v>41333</v>
      </c>
      <c r="G170" s="1349">
        <v>0</v>
      </c>
      <c r="H170" s="152">
        <f t="shared" si="512"/>
        <v>1</v>
      </c>
      <c r="I170" s="154">
        <f>IF(Assumptions!$L$25=4,VLOOKUP($A170,'Henwood Reference'!$E$9:$R$320,10),(VLOOKUP($A170,PriceTable,2,0)+IF(BasisNumber&lt;&gt;1,VLOOKUP($A170,BasisTable,2,0),0)+I$1)/(1-I$2))</f>
        <v>50.733829079104382</v>
      </c>
      <c r="J170" s="154">
        <f>IF(Assumptions!$L$25=4,VLOOKUP($A170,'Henwood Reference'!$E$9:$R$320,10),(VLOOKUP($A170,PriceTable,3,0)+IF(BasisNumber&lt;&gt;1,VLOOKUP($A170,BasisTable,2,0),0)+J$1)/(1-J$2))</f>
        <v>50.733829079104382</v>
      </c>
      <c r="K170" s="154">
        <f>IF(Assumptions!$L$25=4,VLOOKUP($A170,'Henwood Reference'!$E$9:$R$320,10),(VLOOKUP($A170,PriceTable,4,0)+IF(BasisNumber&lt;&gt;1,VLOOKUP($A170,BasisTable,2,0),0)+K$1)/(1-K$2))</f>
        <v>50.733829079104382</v>
      </c>
      <c r="L170" s="474">
        <f>IF(Assumptions!$L$25=4,VLOOKUP($A170,'Henwood Reference'!$E$9:$R$320,10),(VLOOKUP($A170,PriceTableWeekend,2,0)+IF(BasisNumber&lt;&gt;1,VLOOKUP($A170,BasisTable,2,0),0)+L$1)/(1-L$2))</f>
        <v>50.733829079104382</v>
      </c>
      <c r="M170" s="154">
        <f>IF(Assumptions!$L$25=4,VLOOKUP($A170,'Henwood Reference'!$E$9:$R$320,10),(VLOOKUP($A170,PriceTableWeekend,3,0)+IF(BasisNumber&lt;&gt;1,VLOOKUP($A170,BasisTable,2,0),0)+M$1)/(1-M$2))</f>
        <v>50.733829079104382</v>
      </c>
      <c r="N170" s="156">
        <f>IF(Assumptions!$L$25=4,VLOOKUP($A170,'Henwood Reference'!$E$9:$R$320,10),(VLOOKUP($A170,PriceTableWeekend,4,0)+IF(BasisNumber&lt;&gt;1,VLOOKUP($A170,BasisTable,2,0),0)+N$1)/(1-N$2))</f>
        <v>50.733829079104382</v>
      </c>
      <c r="O170" s="154">
        <f>IF(Assumptions!$L$25=4,VLOOKUP($A170,'Henwood Reference'!$E$9:$R$320,11),(VLOOKUP($A170,PriceTableWeekend,6,0)+IF(BasisNumber&lt;&gt;1,VLOOKUP($A170,BasisTable,3,0),0)+O$1)/(1-O$2))</f>
        <v>28.888823271294175</v>
      </c>
      <c r="P170" s="154">
        <f>IF(Assumptions!$L$25=4,VLOOKUP($A170,'Henwood Reference'!$E$9:$R$320,11),(VLOOKUP($A170,PriceTableWeekend,7,0)+IF(BasisNumber&lt;&gt;1,VLOOKUP($A170,BasisTable,3,0),0)+P$1)/(1-P$2))</f>
        <v>28.888823271294175</v>
      </c>
      <c r="Q170" s="156">
        <f>IF(Assumptions!$L$25=4,VLOOKUP($A170,'Henwood Reference'!$E$9:$R$320,11),(VLOOKUP($A170,PriceTableWeekend,8,0)+IF(BasisNumber&lt;&gt;1,VLOOKUP($A170,BasisTable,3,0),0)+Q$1)/(1-Q$2))</f>
        <v>28.888823271294175</v>
      </c>
      <c r="R170" s="154">
        <f>IF(Assumptions!$L$25=4,VLOOKUP($A170,'Henwood Reference'!$E$9:$R$320,11),(VLOOKUP($A170,PriceTable,6,0)+IF(BasisNumber&lt;&gt;1,VLOOKUP($A170,BasisTable,3,0),0)+R$1)/(1-R$2))</f>
        <v>28.888823271294175</v>
      </c>
      <c r="S170" s="154">
        <f>IF(Assumptions!$L$25=4,VLOOKUP($A170,'Henwood Reference'!$E$9:$R$320,11),(VLOOKUP($A170,PriceTable,7,0)+IF(BasisNumber&lt;&gt;1,VLOOKUP($A170,BasisTable,3,0),0)+S$1)/(1-S$2))</f>
        <v>28.888823271294175</v>
      </c>
      <c r="T170" s="155">
        <f>IF(Assumptions!$L$25=4,VLOOKUP($A170,'Henwood Reference'!$E$9:$R$320,11),(VLOOKUP($A170,PriceTable,8,0)+IF(BasisNumber&lt;&gt;1,VLOOKUP($A170,BasisTable,3,0),0)+T$1)/(1-T$2))</f>
        <v>28.888823271294175</v>
      </c>
      <c r="U170" s="173">
        <f t="shared" si="469"/>
        <v>0.105</v>
      </c>
      <c r="V170" s="173">
        <f t="shared" si="470"/>
        <v>0.115</v>
      </c>
      <c r="W170" s="174">
        <f t="shared" si="471"/>
        <v>0.125</v>
      </c>
      <c r="X170" s="173">
        <f t="shared" si="472"/>
        <v>0.105</v>
      </c>
      <c r="Y170" s="173">
        <f t="shared" si="473"/>
        <v>0.115</v>
      </c>
      <c r="Z170" s="174">
        <f t="shared" si="474"/>
        <v>0.125</v>
      </c>
      <c r="AA170" s="173">
        <f t="shared" si="475"/>
        <v>0.09</v>
      </c>
      <c r="AB170" s="173">
        <f t="shared" si="476"/>
        <v>0.11</v>
      </c>
      <c r="AC170" s="174">
        <f t="shared" si="477"/>
        <v>0.13</v>
      </c>
      <c r="AD170" s="173">
        <f t="shared" si="478"/>
        <v>0.09</v>
      </c>
      <c r="AE170" s="173">
        <f t="shared" si="479"/>
        <v>0.11</v>
      </c>
      <c r="AF170" s="174">
        <f t="shared" si="480"/>
        <v>0.13</v>
      </c>
      <c r="AG170" s="173">
        <f t="shared" si="481"/>
        <v>-0.25</v>
      </c>
      <c r="AH170" s="173">
        <f t="shared" si="482"/>
        <v>0.65</v>
      </c>
      <c r="AI170" s="174">
        <f t="shared" si="483"/>
        <v>0.25</v>
      </c>
      <c r="AJ170" s="173">
        <f t="shared" si="484"/>
        <v>-0.25</v>
      </c>
      <c r="AK170" s="173">
        <f t="shared" si="485"/>
        <v>0.65</v>
      </c>
      <c r="AL170" s="174">
        <f t="shared" si="486"/>
        <v>0.25</v>
      </c>
      <c r="AM170" s="173">
        <f t="shared" si="487"/>
        <v>-0.01</v>
      </c>
      <c r="AN170" s="173">
        <f t="shared" si="488"/>
        <v>0.16</v>
      </c>
      <c r="AO170" s="174">
        <f t="shared" si="489"/>
        <v>0.01</v>
      </c>
      <c r="AP170" s="173">
        <f t="shared" si="490"/>
        <v>-0.01</v>
      </c>
      <c r="AQ170" s="173">
        <f t="shared" si="491"/>
        <v>0.16</v>
      </c>
      <c r="AR170" s="175">
        <f t="shared" si="492"/>
        <v>0.01</v>
      </c>
      <c r="AS170" s="521">
        <f t="shared" si="520"/>
        <v>0.5</v>
      </c>
      <c r="AT170" s="349">
        <f t="shared" si="518"/>
        <v>20</v>
      </c>
      <c r="AU170" s="159">
        <f t="shared" si="411"/>
        <v>4</v>
      </c>
      <c r="AV170" s="159">
        <f t="shared" si="412"/>
        <v>4</v>
      </c>
      <c r="AW170" s="159">
        <f t="shared" si="521"/>
        <v>0</v>
      </c>
      <c r="AX170" s="15">
        <f t="shared" si="519"/>
        <v>28</v>
      </c>
      <c r="AY170" s="607">
        <f>IF(E170="",0,MIN((1-(1-VLOOKUP(B170,MAIN!$AA$7:$AM$28,C170+1))*(1-VLOOKUP(B170,MAIN!$AA$33:$AM$54,C170+1))),1))</f>
        <v>3.0000000000000027E-2</v>
      </c>
      <c r="AZ170" s="337">
        <v>46560</v>
      </c>
      <c r="BA170" s="509">
        <v>9312</v>
      </c>
      <c r="BB170" s="509">
        <v>9312</v>
      </c>
      <c r="BC170" s="511">
        <v>32592</v>
      </c>
      <c r="BD170" s="153">
        <v>0.97</v>
      </c>
      <c r="BE170" s="474">
        <v>0.97</v>
      </c>
      <c r="BF170" s="474">
        <v>0.97</v>
      </c>
      <c r="BG170" s="515">
        <v>0.9699999927729368</v>
      </c>
      <c r="BH170" s="262">
        <v>186240</v>
      </c>
      <c r="BI170" s="509">
        <v>37248</v>
      </c>
      <c r="BJ170" s="509">
        <v>37248</v>
      </c>
      <c r="BK170" s="511">
        <v>130368</v>
      </c>
      <c r="BL170" s="153">
        <v>0.97</v>
      </c>
      <c r="BM170" s="474">
        <v>0.97</v>
      </c>
      <c r="BN170" s="474">
        <v>0.97</v>
      </c>
      <c r="BO170" s="474">
        <v>0.9699999927729368</v>
      </c>
      <c r="BP170" s="261">
        <f t="shared" si="495"/>
        <v>65184</v>
      </c>
      <c r="BQ170" s="578">
        <f t="shared" si="496"/>
        <v>97776</v>
      </c>
      <c r="BR170" s="259">
        <f t="shared" si="497"/>
        <v>260736</v>
      </c>
      <c r="BS170" s="578">
        <f t="shared" si="498"/>
        <v>391104</v>
      </c>
      <c r="BT170" s="216">
        <f t="shared" si="499"/>
        <v>12.802190280629706</v>
      </c>
      <c r="BU170" s="218">
        <f t="shared" si="414"/>
        <v>50.733829079104382</v>
      </c>
      <c r="BV170" s="216">
        <f t="shared" si="415"/>
        <v>50.733829079104382</v>
      </c>
      <c r="BW170" s="216">
        <f t="shared" si="416"/>
        <v>28.888823271294175</v>
      </c>
      <c r="BX170" s="216">
        <f t="shared" si="500"/>
        <v>28.888823056055671</v>
      </c>
      <c r="BY170" s="216">
        <f t="shared" si="417"/>
        <v>47.613113963702929</v>
      </c>
      <c r="BZ170" s="216">
        <f t="shared" si="418"/>
        <v>41.371683661153845</v>
      </c>
      <c r="CA170" s="264">
        <f t="shared" si="419"/>
        <v>50.733829079104382</v>
      </c>
      <c r="CB170" s="216">
        <f t="shared" si="420"/>
        <v>50.733829079104382</v>
      </c>
      <c r="CC170" s="216">
        <f t="shared" si="421"/>
        <v>28.888823271294175</v>
      </c>
      <c r="CD170" s="216">
        <f t="shared" si="501"/>
        <v>28.888823056055671</v>
      </c>
      <c r="CE170" s="216">
        <f t="shared" si="422"/>
        <v>47.613113963702929</v>
      </c>
      <c r="CF170" s="571">
        <f t="shared" si="423"/>
        <v>41.371683661153845</v>
      </c>
      <c r="CG170" s="573">
        <f t="shared" si="424"/>
        <v>0.115</v>
      </c>
      <c r="CH170" s="219">
        <f t="shared" si="425"/>
        <v>0.115</v>
      </c>
      <c r="CI170" s="219">
        <f t="shared" si="426"/>
        <v>0.11</v>
      </c>
      <c r="CJ170" s="219">
        <f t="shared" si="427"/>
        <v>0.11456806223653739</v>
      </c>
      <c r="CK170" s="219">
        <f t="shared" si="428"/>
        <v>0.11456806223653739</v>
      </c>
      <c r="CL170" s="219">
        <f t="shared" si="429"/>
        <v>0.11</v>
      </c>
      <c r="CM170" s="219">
        <f t="shared" si="430"/>
        <v>0.10343728347775522</v>
      </c>
      <c r="CN170" s="569">
        <f t="shared" si="431"/>
        <v>0.10343728347775522</v>
      </c>
      <c r="CO170" s="264">
        <f t="shared" si="514"/>
        <v>23.016820856364124</v>
      </c>
      <c r="CP170" s="216">
        <f t="shared" si="502"/>
        <v>23.016820856364124</v>
      </c>
      <c r="CQ170" s="216">
        <f t="shared" ca="1" si="361"/>
        <v>23.016820856364124</v>
      </c>
      <c r="CR170" s="216">
        <f t="shared" ca="1" si="362"/>
        <v>23.016820856364124</v>
      </c>
      <c r="CS170" s="1626">
        <f t="shared" ca="1" si="363"/>
        <v>23.016820856364127</v>
      </c>
      <c r="CT170" s="216">
        <f t="shared" si="503"/>
        <v>23.016820856364124</v>
      </c>
      <c r="CU170" s="575">
        <f t="shared" si="432"/>
        <v>0.155</v>
      </c>
      <c r="CV170" s="154">
        <f t="shared" si="433"/>
        <v>0.5</v>
      </c>
      <c r="CW170" s="216">
        <f>IF(OR($BQ170,$BS170),SpreadOptPowerMargin,0)*((1+Assumptions!$C$26)^($B170-YEAR(Assumptions!$C$17)))</f>
        <v>2.1941899559905629</v>
      </c>
      <c r="CX170" s="216">
        <f>IF(OR($BQ170,$BS170),SpreadOptPowerMargin,0)*((1+Assumptions!$C$26)^($B170-YEAR(Assumptions!$C$17)))</f>
        <v>2.1941899559905629</v>
      </c>
      <c r="CY170" s="216">
        <f>IF(OR($BQ170,$BS170),SpreadOptPowerMargin,0)*((1+Assumptions!$C$26)^($B170-YEAR(Assumptions!$C$17)))</f>
        <v>2.1941899559905629</v>
      </c>
      <c r="CZ170" s="216">
        <f>IF(OR($BQ170,$BS170),SpreadOptPowerMargin,0)*((1+Assumptions!$C$26)^($B170-YEAR(Assumptions!$C$17)))</f>
        <v>2.1941899559905629</v>
      </c>
      <c r="DA170" s="440">
        <f t="shared" si="434"/>
        <v>2.1941899559905629</v>
      </c>
      <c r="DB170" s="479">
        <f t="shared" si="435"/>
        <v>0.115</v>
      </c>
      <c r="DC170" s="479">
        <f t="shared" si="436"/>
        <v>0.115</v>
      </c>
      <c r="DD170" s="479">
        <f t="shared" si="437"/>
        <v>0.11</v>
      </c>
      <c r="DE170" s="479">
        <f t="shared" si="438"/>
        <v>0.11</v>
      </c>
      <c r="DF170" s="479">
        <f t="shared" si="439"/>
        <v>0.10343728347775522</v>
      </c>
      <c r="DG170" s="574">
        <f t="shared" si="440"/>
        <v>0.10343728347775522</v>
      </c>
      <c r="DH170" s="216">
        <f t="shared" si="441"/>
        <v>26.03046205614876</v>
      </c>
      <c r="DI170" s="216">
        <f t="shared" si="442"/>
        <v>26.03046205614876</v>
      </c>
      <c r="DJ170" s="216">
        <f t="shared" ca="1" si="364"/>
        <v>6.9840305912732008</v>
      </c>
      <c r="DK170" s="216">
        <f t="shared" ca="1" si="365"/>
        <v>6.9840304396419199</v>
      </c>
      <c r="DL170" s="216">
        <f t="shared" ca="1" si="366"/>
        <v>17.204626601505758</v>
      </c>
      <c r="DM170" s="216"/>
      <c r="DN170" s="216"/>
      <c r="DO170" s="216"/>
      <c r="DP170" s="216"/>
      <c r="DQ170" s="216"/>
      <c r="DR170" s="216"/>
      <c r="DS170" s="216"/>
      <c r="DT170" s="216"/>
      <c r="DU170" s="216"/>
      <c r="DV170" s="216"/>
      <c r="DW170" s="1371">
        <f t="shared" si="443"/>
        <v>6.9840305912732008</v>
      </c>
      <c r="DX170" s="216">
        <f t="shared" si="444"/>
        <v>6.9840304396419199</v>
      </c>
      <c r="DY170" s="440">
        <f t="shared" si="445"/>
        <v>17.867705663515473</v>
      </c>
      <c r="DZ170" s="180">
        <f t="shared" si="446"/>
        <v>1211978.3133342862</v>
      </c>
      <c r="EA170" s="180">
        <f t="shared" si="447"/>
        <v>242395.66266685724</v>
      </c>
      <c r="EB170" s="180">
        <f t="shared" ca="1" si="367"/>
        <v>65035.292865936048</v>
      </c>
      <c r="EC170" s="180">
        <f t="shared" ca="1" si="368"/>
        <v>227623.52008880946</v>
      </c>
      <c r="ED170" s="180">
        <f t="shared" ca="1" si="369"/>
        <v>1682199.5705888271</v>
      </c>
      <c r="EE170" s="581">
        <f t="shared" si="448"/>
        <v>1188342.4184998658</v>
      </c>
      <c r="EF170" s="554">
        <f t="shared" si="449"/>
        <v>237668.48369997315</v>
      </c>
      <c r="EG170" s="554">
        <f t="shared" ca="1" si="370"/>
        <v>34247.789617644514</v>
      </c>
      <c r="EH170" s="554">
        <f t="shared" ca="1" si="371"/>
        <v>119867.25664670247</v>
      </c>
      <c r="EI170" s="561">
        <f t="shared" ca="1" si="450"/>
        <v>1580125.9484641862</v>
      </c>
      <c r="EJ170" s="581">
        <f t="shared" si="504"/>
        <v>23635.894834420411</v>
      </c>
      <c r="EK170" s="554">
        <f t="shared" si="505"/>
        <v>4727.1789668840938</v>
      </c>
      <c r="EL170" s="554">
        <f t="shared" ca="1" si="372"/>
        <v>30787.503248291534</v>
      </c>
      <c r="EM170" s="554">
        <f t="shared" ca="1" si="373"/>
        <v>107756.26344210698</v>
      </c>
      <c r="EN170" s="561">
        <f t="shared" ca="1" si="374"/>
        <v>102073.62212464097</v>
      </c>
      <c r="EO170" s="180">
        <f t="shared" si="451"/>
        <v>4847913.2533371449</v>
      </c>
      <c r="EP170" s="180">
        <f t="shared" si="452"/>
        <v>969582.65066742897</v>
      </c>
      <c r="EQ170" s="180">
        <f t="shared" si="453"/>
        <v>260141.17146374419</v>
      </c>
      <c r="ER170" s="180">
        <f t="shared" si="454"/>
        <v>910494.08035523782</v>
      </c>
      <c r="ES170" s="180">
        <f t="shared" si="455"/>
        <v>6988131.1558235558</v>
      </c>
      <c r="ET170" s="1482">
        <f t="shared" ca="1" si="375"/>
        <v>4753369.6739994632</v>
      </c>
      <c r="EU170" s="180">
        <f t="shared" ca="1" si="376"/>
        <v>950673.9347998926</v>
      </c>
      <c r="EV170" s="180">
        <f t="shared" ca="1" si="377"/>
        <v>136991.15847057806</v>
      </c>
      <c r="EW170" s="180">
        <f t="shared" ca="1" si="378"/>
        <v>479469.02658680989</v>
      </c>
      <c r="EX170" s="555">
        <f t="shared" ref="EX170:EX233" ca="1" si="522">IF(EI170,SUM(ET170:EW170),0)</f>
        <v>6320503.7938567447</v>
      </c>
      <c r="EY170" s="180">
        <f t="shared" ca="1" si="379"/>
        <v>94543.579337681644</v>
      </c>
      <c r="EZ170" s="180">
        <f t="shared" ca="1" si="380"/>
        <v>18908.715867536375</v>
      </c>
      <c r="FA170" s="180">
        <f t="shared" ca="1" si="381"/>
        <v>123150.01299316614</v>
      </c>
      <c r="FB170" s="180">
        <f t="shared" ca="1" si="382"/>
        <v>431025.05376842793</v>
      </c>
      <c r="FC170" s="180">
        <f t="shared" ca="1" si="383"/>
        <v>667627.36196681112</v>
      </c>
      <c r="FD170" s="262">
        <f>IF(AX170,IF(VLOOKUP(C170,MAIN!$L$17:$M$28,2)="Yes",VLOOKUP(CALC!B170,MAIN!$H$17:$I$20,2),0),0)</f>
        <v>0</v>
      </c>
      <c r="FE170" s="623">
        <f t="shared" si="456"/>
        <v>0</v>
      </c>
      <c r="FF170" s="535">
        <f t="shared" si="457"/>
        <v>0</v>
      </c>
      <c r="FG170" s="535">
        <f t="shared" si="458"/>
        <v>0</v>
      </c>
      <c r="FH170" s="624">
        <f t="shared" si="459"/>
        <v>0</v>
      </c>
      <c r="FI170" s="632">
        <f>IF(AX170,VLOOKUP(CALC!B170,MAIN!$H$17:$K$20,4),0)</f>
        <v>0</v>
      </c>
      <c r="FJ170" s="535">
        <f t="shared" si="460"/>
        <v>0</v>
      </c>
      <c r="FK170" s="648">
        <f t="shared" si="506"/>
        <v>0</v>
      </c>
      <c r="FL170" s="530">
        <f t="shared" ca="1" si="384"/>
        <v>0</v>
      </c>
      <c r="FM170" s="530">
        <f t="shared" ca="1" si="385"/>
        <v>0</v>
      </c>
      <c r="FN170" s="530">
        <f t="shared" ca="1" si="386"/>
        <v>0</v>
      </c>
      <c r="FO170" s="622">
        <f t="shared" ca="1" si="387"/>
        <v>0</v>
      </c>
      <c r="FP170" s="530">
        <f t="shared" ca="1" si="388"/>
        <v>0</v>
      </c>
      <c r="FQ170" s="530">
        <f t="shared" ca="1" si="389"/>
        <v>0</v>
      </c>
      <c r="FR170" s="530">
        <f t="shared" ca="1" si="390"/>
        <v>0</v>
      </c>
      <c r="FS170" s="625">
        <f t="shared" ca="1" si="391"/>
        <v>0</v>
      </c>
      <c r="FT170" s="640">
        <f ca="1">IF(AND(Assumptions!$H$71="Yes",A170&gt;=Assumptions!$H$72,A170&lt;=Assumptions!$H$73),0,IF(AND($A170&gt;=Assumptions!$C$17,$A170&lt;=Assumptions!$C$18),MAX(AZ170*(1+VLOOKUP($C170,WeatherCapacityAdjustment,2))-FL170,0),0))</f>
        <v>46560</v>
      </c>
      <c r="FU170" s="530">
        <f ca="1">IF(AND(Assumptions!$H$71="Yes",A170&gt;=Assumptions!$H$72,A170&lt;=Assumptions!$H$73),0,IF(AND($A170&gt;=Assumptions!$C$17,$A170&lt;=Assumptions!$C$18),MAX(BA170*(1+VLOOKUP($C170,WeatherCapacityAdjustment,2))-FM170,0),0))</f>
        <v>9312</v>
      </c>
      <c r="FV170" s="530">
        <f ca="1">IF(AND(Assumptions!$H$71="Yes",A170&gt;=Assumptions!$H$72,A170&lt;=Assumptions!$H$73),0,IF(AND($A170&gt;=Assumptions!$C$17,$A170&lt;=Assumptions!$C$18),MAX(BB170*(1+VLOOKUP($C170,WeatherCapacityAdjustment,2))-FN170,0),0))</f>
        <v>9312</v>
      </c>
      <c r="FW170" s="622">
        <f ca="1">IF(AND(Assumptions!$H$71="Yes",A170&gt;=Assumptions!$H$72,A170&lt;=Assumptions!$H$73),0,IF(AND($A170&gt;=Assumptions!$C$17,$A170&lt;=Assumptions!$C$18),MAX(BC170*(1+VLOOKUP($C170,WeatherCapacityAdjustment,3))-FO170,0),0))</f>
        <v>32592</v>
      </c>
      <c r="FX170" s="621">
        <f ca="1">IF(AND(Assumptions!$H$71="Yes",A170&gt;=Assumptions!$H$72,A170&lt;=Assumptions!$H$73),0,IF(ET170&gt;0,MAX(BH170*(1+VLOOKUP($C170,WeatherCapacityAdjustment,2))-FP170,0),0))</f>
        <v>186240</v>
      </c>
      <c r="FY170" s="530">
        <f ca="1">IF(AND(Assumptions!$H$71="Yes",A170&gt;=Assumptions!$H$72,A170&lt;=Assumptions!$H$73),0,IF(EU170&gt;0,MAX(BI170*(1+VLOOKUP($C170,WeatherCapacityAdjustment,3))-FQ170,0),0))</f>
        <v>37248</v>
      </c>
      <c r="FZ170" s="530">
        <f ca="1">IF(AND(Assumptions!$H$71="Yes",A170&gt;=Assumptions!$H$72,A170&lt;=Assumptions!$H$73),0,IF(EV170&gt;0,MAX(BJ170*(1+VLOOKUP($C170,WeatherCapacityAdjustment,2))-FR170,0),0))</f>
        <v>37248</v>
      </c>
      <c r="GA170" s="622">
        <f ca="1">IF(AND(Assumptions!$H$71="Yes",A170&gt;=Assumptions!$H$72,A170&lt;=Assumptions!$H$73),0,IF(EW170&gt;0,MAX(BK170*(1+VLOOKUP($C170,WeatherCapacityAdjustment,2))-FS170,0),0))</f>
        <v>130368</v>
      </c>
      <c r="GB170" s="530">
        <f t="shared" ca="1" si="461"/>
        <v>488880</v>
      </c>
      <c r="GC170" s="545">
        <f t="shared" ca="1" si="462"/>
        <v>41.371683661153845</v>
      </c>
      <c r="GD170" s="530">
        <f t="shared" ca="1" si="392"/>
        <v>20225788.708264895</v>
      </c>
      <c r="GE170" s="1485">
        <f t="shared" ca="1" si="393"/>
        <v>697367.76479999989</v>
      </c>
      <c r="GF170" s="1776">
        <f t="shared" ca="1" si="394"/>
        <v>2789471.0591999996</v>
      </c>
      <c r="GG170" s="545">
        <f t="shared" si="359"/>
        <v>3.2271246100646529</v>
      </c>
      <c r="GH170" s="622">
        <f t="shared" ca="1" si="360"/>
        <v>11252463.380259292</v>
      </c>
      <c r="GI170" s="621">
        <f t="shared" ca="1" si="507"/>
        <v>488880</v>
      </c>
      <c r="GJ170" s="638">
        <f t="shared" si="463"/>
        <v>2.1941899559905629</v>
      </c>
      <c r="GK170" s="625">
        <f t="shared" ca="1" si="513"/>
        <v>1072695.5856846664</v>
      </c>
      <c r="GL170" s="640">
        <f t="shared" ca="1" si="395"/>
        <v>0</v>
      </c>
      <c r="GM170" s="530">
        <f t="shared" ca="1" si="396"/>
        <v>0</v>
      </c>
      <c r="GN170" s="530">
        <f t="shared" ca="1" si="397"/>
        <v>0</v>
      </c>
      <c r="GO170" s="622">
        <f t="shared" ca="1" si="398"/>
        <v>0</v>
      </c>
      <c r="GP170" s="530">
        <f t="shared" ca="1" si="464"/>
        <v>0</v>
      </c>
      <c r="GQ170" s="545">
        <f t="shared" ca="1" si="465"/>
        <v>0</v>
      </c>
      <c r="GR170" s="625">
        <f t="shared" ca="1" si="399"/>
        <v>0</v>
      </c>
      <c r="GS170" s="640">
        <f>IF($A170&gt;=BegDate,Assumptions!$C$56*24*($A171-$A170)*(1-VLOOKUP($B170,MAIN!$AA$7:$AM$28,$C170+1))*(1-VLOOKUP($B170,MAIN!$AA$33:$AM$54,$C170+1)),0)*80/168</f>
        <v>232800</v>
      </c>
      <c r="GT170" s="1715">
        <f t="shared" si="508"/>
        <v>50.733829079104382</v>
      </c>
      <c r="GU170" s="1715">
        <f>IF($A170&gt;=BegDate,VLOOKUP($A170,GasTable,13)+Assumptions!$C$58,0)</f>
        <v>3.2271246100646529</v>
      </c>
      <c r="GV170" s="1715">
        <f>GU170*Assumptions!$C$57/1000</f>
        <v>23.396653422968736</v>
      </c>
      <c r="GW170" s="625">
        <f>IF(Assumptions!$C$60="Hourly",MAX(0,GS170*(GT170-GV170)),GS170*(GT170-GV170))</f>
        <v>6364094.4927483778</v>
      </c>
      <c r="GX170" s="640">
        <f>IF($A170&gt;=BegDate,Assumptions!$C$56*24*($A171-$A170)*(1-VLOOKUP($B170,MAIN!$AA$7:$AM$28,$C170+1))*(1-VLOOKUP($B170,MAIN!$AA$33:$AM$54,$C170+1)),0)*16/168</f>
        <v>46560</v>
      </c>
      <c r="GY170" s="1715">
        <f t="shared" si="509"/>
        <v>50.733829079104382</v>
      </c>
      <c r="GZ170" s="1715">
        <f>IF($A170&gt;=BegDate,VLOOKUP($A170,GasTable,13)+Assumptions!$C$58,0)</f>
        <v>3.2271246100646529</v>
      </c>
      <c r="HA170" s="1715">
        <f>GZ170*Assumptions!$C$57/1000</f>
        <v>23.396653422968736</v>
      </c>
      <c r="HB170" s="625">
        <f>IF(Assumptions!$C$60="Hourly",MAX(0,GX170*(GY170-HA170)),GX170*(GY170-HA170))</f>
        <v>1272818.8985496757</v>
      </c>
      <c r="HC170" s="640">
        <f>IF($A170&gt;=BegDate,Assumptions!$C$56*24*($A171-$A170)*(1-VLOOKUP($B170,MAIN!$AA$7:$AM$28,$C170+1))*(1-VLOOKUP($B170,MAIN!$AA$33:$AM$54,$C170+1)),0)*16/168</f>
        <v>46560</v>
      </c>
      <c r="HD170" s="1715">
        <f t="shared" si="510"/>
        <v>28.888823271294175</v>
      </c>
      <c r="HE170" s="1715">
        <f>IF($A170&gt;=BegDate,VLOOKUP($A170,GasTable,13)+Assumptions!$C$58,0)</f>
        <v>3.2271246100646529</v>
      </c>
      <c r="HF170" s="1715">
        <f>HE170*Assumptions!$C$57/1000</f>
        <v>23.396653422968736</v>
      </c>
      <c r="HG170" s="625">
        <f>IF(Assumptions!$C$60="Hourly",MAX(0,HC170*(HD170-HF170)),HC170*(HD170-HF170))</f>
        <v>255715.42813803244</v>
      </c>
      <c r="HH170" s="640">
        <f>IF($A170&gt;=BegDate,Assumptions!$C$56*24*($A171-$A170)*(1-VLOOKUP($B170,MAIN!$AA$7:$AM$28,$C170+1))*(1-VLOOKUP($B170,MAIN!$AA$33:$AM$54,$C170+1)),0)*56/168</f>
        <v>162960</v>
      </c>
      <c r="HI170" s="1715">
        <f t="shared" si="511"/>
        <v>28.888823271294175</v>
      </c>
      <c r="HJ170" s="1715">
        <f>IF($A170&gt;=BegDate,VLOOKUP($A170,GasTable,13)+Assumptions!$C$58,0)</f>
        <v>3.2271246100646529</v>
      </c>
      <c r="HK170" s="1715">
        <f>HJ170*Assumptions!$C$57/1000</f>
        <v>23.396653422968736</v>
      </c>
      <c r="HL170" s="625">
        <f>IF(Assumptions!$C$60="Hourly",MAX(0,HH170*(HI170-HK170)),HH170*(HI170-HK170))</f>
        <v>895003.99848311348</v>
      </c>
      <c r="HM170" s="640">
        <f>IF(AND(Assumptions!$H$71="Yes",A170&gt;=Assumptions!$H$72,A170&lt;=Assumptions!$H$73),Assumptions!$H$74*Assumptions!$C$9*1000,0)</f>
        <v>0</v>
      </c>
      <c r="HN170" s="530"/>
      <c r="HO170" s="545"/>
      <c r="HP170" s="545"/>
      <c r="HQ170" s="545"/>
      <c r="HR170" s="545"/>
      <c r="HS170" s="545"/>
      <c r="HT170" s="545"/>
      <c r="HU170" s="545"/>
      <c r="HV170" s="545"/>
      <c r="HW170" s="545"/>
      <c r="HX170" s="545"/>
      <c r="HY170" s="545"/>
      <c r="HZ170" s="545"/>
      <c r="IA170" s="545"/>
      <c r="IB170" s="545"/>
      <c r="IC170" s="545"/>
      <c r="ID170" s="545"/>
      <c r="IE170" s="545"/>
      <c r="IF170" s="545"/>
      <c r="IG170" s="545"/>
      <c r="IH170" s="545"/>
      <c r="II170" s="1464"/>
      <c r="IJ170" s="1463"/>
      <c r="IK170" s="1463"/>
    </row>
    <row r="171" spans="1:245">
      <c r="A171" s="177">
        <f t="shared" si="466"/>
        <v>41334</v>
      </c>
      <c r="B171" s="349">
        <f t="shared" si="467"/>
        <v>2013</v>
      </c>
      <c r="C171" s="15">
        <f t="shared" si="515"/>
        <v>3</v>
      </c>
      <c r="D171" s="612" t="str">
        <f t="shared" si="468"/>
        <v/>
      </c>
      <c r="E171" s="609">
        <f t="shared" si="516"/>
        <v>41334</v>
      </c>
      <c r="F171" s="614">
        <f t="shared" si="517"/>
        <v>41364</v>
      </c>
      <c r="G171" s="1349">
        <v>0</v>
      </c>
      <c r="H171" s="152">
        <f t="shared" si="512"/>
        <v>1</v>
      </c>
      <c r="I171" s="154">
        <f>IF(Assumptions!$L$25=4,VLOOKUP($A171,'Henwood Reference'!$E$9:$R$320,10),(VLOOKUP($A171,PriceTable,2,0)+IF(BasisNumber&lt;&gt;1,VLOOKUP($A171,BasisTable,2,0),0)+I$1)/(1-I$2))</f>
        <v>42.41968990451479</v>
      </c>
      <c r="J171" s="154">
        <f>IF(Assumptions!$L$25=4,VLOOKUP($A171,'Henwood Reference'!$E$9:$R$320,10),(VLOOKUP($A171,PriceTable,3,0)+IF(BasisNumber&lt;&gt;1,VLOOKUP($A171,BasisTable,2,0),0)+J$1)/(1-J$2))</f>
        <v>42.41968990451479</v>
      </c>
      <c r="K171" s="154">
        <f>IF(Assumptions!$L$25=4,VLOOKUP($A171,'Henwood Reference'!$E$9:$R$320,10),(VLOOKUP($A171,PriceTable,4,0)+IF(BasisNumber&lt;&gt;1,VLOOKUP($A171,BasisTable,2,0),0)+K$1)/(1-K$2))</f>
        <v>42.41968990451479</v>
      </c>
      <c r="L171" s="474">
        <f>IF(Assumptions!$L$25=4,VLOOKUP($A171,'Henwood Reference'!$E$9:$R$320,10),(VLOOKUP($A171,PriceTableWeekend,2,0)+IF(BasisNumber&lt;&gt;1,VLOOKUP($A171,BasisTable,2,0),0)+L$1)/(1-L$2))</f>
        <v>42.41968990451479</v>
      </c>
      <c r="M171" s="154">
        <f>IF(Assumptions!$L$25=4,VLOOKUP($A171,'Henwood Reference'!$E$9:$R$320,10),(VLOOKUP($A171,PriceTableWeekend,3,0)+IF(BasisNumber&lt;&gt;1,VLOOKUP($A171,BasisTable,2,0),0)+M$1)/(1-M$2))</f>
        <v>42.41968990451479</v>
      </c>
      <c r="N171" s="156">
        <f>IF(Assumptions!$L$25=4,VLOOKUP($A171,'Henwood Reference'!$E$9:$R$320,10),(VLOOKUP($A171,PriceTableWeekend,4,0)+IF(BasisNumber&lt;&gt;1,VLOOKUP($A171,BasisTable,2,0),0)+N$1)/(1-N$2))</f>
        <v>42.41968990451479</v>
      </c>
      <c r="O171" s="154">
        <f>IF(Assumptions!$L$25=4,VLOOKUP($A171,'Henwood Reference'!$E$9:$R$320,11),(VLOOKUP($A171,PriceTableWeekend,6,0)+IF(BasisNumber&lt;&gt;1,VLOOKUP($A171,BasisTable,3,0),0)+O$1)/(1-O$2))</f>
        <v>25.585081297778224</v>
      </c>
      <c r="P171" s="154">
        <f>IF(Assumptions!$L$25=4,VLOOKUP($A171,'Henwood Reference'!$E$9:$R$320,11),(VLOOKUP($A171,PriceTableWeekend,7,0)+IF(BasisNumber&lt;&gt;1,VLOOKUP($A171,BasisTable,3,0),0)+P$1)/(1-P$2))</f>
        <v>25.585081297778224</v>
      </c>
      <c r="Q171" s="156">
        <f>IF(Assumptions!$L$25=4,VLOOKUP($A171,'Henwood Reference'!$E$9:$R$320,11),(VLOOKUP($A171,PriceTableWeekend,8,0)+IF(BasisNumber&lt;&gt;1,VLOOKUP($A171,BasisTable,3,0),0)+Q$1)/(1-Q$2))</f>
        <v>25.585081297778224</v>
      </c>
      <c r="R171" s="154">
        <f>IF(Assumptions!$L$25=4,VLOOKUP($A171,'Henwood Reference'!$E$9:$R$320,11),(VLOOKUP($A171,PriceTable,6,0)+IF(BasisNumber&lt;&gt;1,VLOOKUP($A171,BasisTable,3,0),0)+R$1)/(1-R$2))</f>
        <v>25.585081297778224</v>
      </c>
      <c r="S171" s="154">
        <f>IF(Assumptions!$L$25=4,VLOOKUP($A171,'Henwood Reference'!$E$9:$R$320,11),(VLOOKUP($A171,PriceTable,7,0)+IF(BasisNumber&lt;&gt;1,VLOOKUP($A171,BasisTable,3,0),0)+S$1)/(1-S$2))</f>
        <v>25.585081297778224</v>
      </c>
      <c r="T171" s="155">
        <f>IF(Assumptions!$L$25=4,VLOOKUP($A171,'Henwood Reference'!$E$9:$R$320,11),(VLOOKUP($A171,PriceTable,8,0)+IF(BasisNumber&lt;&gt;1,VLOOKUP($A171,BasisTable,3,0),0)+T$1)/(1-T$2))</f>
        <v>25.585081297778224</v>
      </c>
      <c r="U171" s="173">
        <f t="shared" si="469"/>
        <v>0.105</v>
      </c>
      <c r="V171" s="173">
        <f t="shared" si="470"/>
        <v>0.115</v>
      </c>
      <c r="W171" s="174">
        <f t="shared" si="471"/>
        <v>0.125</v>
      </c>
      <c r="X171" s="173">
        <f t="shared" si="472"/>
        <v>0.105</v>
      </c>
      <c r="Y171" s="173">
        <f t="shared" si="473"/>
        <v>0.115</v>
      </c>
      <c r="Z171" s="174">
        <f t="shared" si="474"/>
        <v>0.125</v>
      </c>
      <c r="AA171" s="173">
        <f t="shared" si="475"/>
        <v>0.09</v>
      </c>
      <c r="AB171" s="173">
        <f t="shared" si="476"/>
        <v>0.11</v>
      </c>
      <c r="AC171" s="174">
        <f t="shared" si="477"/>
        <v>0.13</v>
      </c>
      <c r="AD171" s="173">
        <f t="shared" si="478"/>
        <v>0.09</v>
      </c>
      <c r="AE171" s="173">
        <f t="shared" si="479"/>
        <v>0.11</v>
      </c>
      <c r="AF171" s="174">
        <f t="shared" si="480"/>
        <v>0.13</v>
      </c>
      <c r="AG171" s="173">
        <f t="shared" si="481"/>
        <v>-0.1</v>
      </c>
      <c r="AH171" s="173">
        <f t="shared" si="482"/>
        <v>0.65</v>
      </c>
      <c r="AI171" s="174">
        <f t="shared" si="483"/>
        <v>0.1</v>
      </c>
      <c r="AJ171" s="173">
        <f t="shared" si="484"/>
        <v>-0.1</v>
      </c>
      <c r="AK171" s="173">
        <f t="shared" si="485"/>
        <v>0.65</v>
      </c>
      <c r="AL171" s="174">
        <f t="shared" si="486"/>
        <v>0.1</v>
      </c>
      <c r="AM171" s="173">
        <f t="shared" si="487"/>
        <v>-0.01</v>
      </c>
      <c r="AN171" s="173">
        <f t="shared" si="488"/>
        <v>0.16</v>
      </c>
      <c r="AO171" s="174">
        <f t="shared" si="489"/>
        <v>0.01</v>
      </c>
      <c r="AP171" s="173">
        <f t="shared" si="490"/>
        <v>-0.01</v>
      </c>
      <c r="AQ171" s="173">
        <f t="shared" si="491"/>
        <v>0.16</v>
      </c>
      <c r="AR171" s="175">
        <f t="shared" si="492"/>
        <v>0.01</v>
      </c>
      <c r="AS171" s="521">
        <f t="shared" si="520"/>
        <v>0.5</v>
      </c>
      <c r="AT171" s="349">
        <f t="shared" si="518"/>
        <v>21</v>
      </c>
      <c r="AU171" s="159">
        <f t="shared" si="411"/>
        <v>5</v>
      </c>
      <c r="AV171" s="159">
        <f t="shared" si="412"/>
        <v>5</v>
      </c>
      <c r="AW171" s="159">
        <f t="shared" si="521"/>
        <v>0</v>
      </c>
      <c r="AX171" s="15">
        <f t="shared" si="519"/>
        <v>31</v>
      </c>
      <c r="AY171" s="607">
        <f>IF(E171="",0,MIN((1-(1-VLOOKUP(B171,MAIN!$AA$7:$AM$28,C171+1))*(1-VLOOKUP(B171,MAIN!$AA$33:$AM$54,C171+1))),1))</f>
        <v>3.0000000000000027E-2</v>
      </c>
      <c r="AZ171" s="337">
        <v>48888</v>
      </c>
      <c r="BA171" s="509">
        <v>11640</v>
      </c>
      <c r="BB171" s="509">
        <v>11640</v>
      </c>
      <c r="BC171" s="511">
        <v>36084</v>
      </c>
      <c r="BD171" s="153">
        <v>0.96999999638646839</v>
      </c>
      <c r="BE171" s="474">
        <v>0.96999999638646839</v>
      </c>
      <c r="BF171" s="474">
        <v>0.96999999638646839</v>
      </c>
      <c r="BG171" s="515">
        <v>0.97000000722706314</v>
      </c>
      <c r="BH171" s="262">
        <v>195552</v>
      </c>
      <c r="BI171" s="509">
        <v>46560</v>
      </c>
      <c r="BJ171" s="509">
        <v>46560</v>
      </c>
      <c r="BK171" s="511">
        <v>144336</v>
      </c>
      <c r="BL171" s="153">
        <v>0.96999999638646839</v>
      </c>
      <c r="BM171" s="474">
        <v>0.96999999638646839</v>
      </c>
      <c r="BN171" s="474">
        <v>0.96999999638646839</v>
      </c>
      <c r="BO171" s="474">
        <v>0.97000000722706314</v>
      </c>
      <c r="BP171" s="261">
        <f t="shared" si="495"/>
        <v>72168</v>
      </c>
      <c r="BQ171" s="578">
        <f t="shared" si="496"/>
        <v>108252</v>
      </c>
      <c r="BR171" s="259">
        <f t="shared" si="497"/>
        <v>288672</v>
      </c>
      <c r="BS171" s="578">
        <f t="shared" si="498"/>
        <v>433008</v>
      </c>
      <c r="BT171" s="216">
        <f t="shared" si="499"/>
        <v>12.878850102669405</v>
      </c>
      <c r="BU171" s="218">
        <f t="shared" si="414"/>
        <v>42.419689746489126</v>
      </c>
      <c r="BV171" s="216">
        <f t="shared" si="415"/>
        <v>42.419689746489126</v>
      </c>
      <c r="BW171" s="216">
        <f t="shared" si="416"/>
        <v>25.58508120246637</v>
      </c>
      <c r="BX171" s="216">
        <f t="shared" si="500"/>
        <v>25.585081488401933</v>
      </c>
      <c r="BY171" s="216">
        <f t="shared" si="417"/>
        <v>39.704430303904807</v>
      </c>
      <c r="BZ171" s="216">
        <f t="shared" si="418"/>
        <v>34.997980698737187</v>
      </c>
      <c r="CA171" s="264">
        <f t="shared" si="419"/>
        <v>42.419689746489126</v>
      </c>
      <c r="CB171" s="216">
        <f t="shared" si="420"/>
        <v>42.419689746489126</v>
      </c>
      <c r="CC171" s="216">
        <f t="shared" si="421"/>
        <v>25.58508120246637</v>
      </c>
      <c r="CD171" s="216">
        <f t="shared" si="501"/>
        <v>25.585081488401933</v>
      </c>
      <c r="CE171" s="216">
        <f t="shared" si="422"/>
        <v>39.704430303904807</v>
      </c>
      <c r="CF171" s="571">
        <f t="shared" si="423"/>
        <v>34.997980698737187</v>
      </c>
      <c r="CG171" s="573">
        <f t="shared" si="424"/>
        <v>0.115</v>
      </c>
      <c r="CH171" s="219">
        <f t="shared" si="425"/>
        <v>0.115</v>
      </c>
      <c r="CI171" s="219">
        <f t="shared" si="426"/>
        <v>0.11</v>
      </c>
      <c r="CJ171" s="219">
        <f t="shared" si="427"/>
        <v>0.11448204503051489</v>
      </c>
      <c r="CK171" s="219">
        <f t="shared" si="428"/>
        <v>0.11448204503051489</v>
      </c>
      <c r="CL171" s="219">
        <f t="shared" si="429"/>
        <v>0.11</v>
      </c>
      <c r="CM171" s="219">
        <f t="shared" si="430"/>
        <v>0.10297457619277453</v>
      </c>
      <c r="CN171" s="569">
        <f t="shared" si="431"/>
        <v>0.10297457619277453</v>
      </c>
      <c r="CO171" s="264">
        <f t="shared" si="514"/>
        <v>21.757123237128418</v>
      </c>
      <c r="CP171" s="216">
        <f t="shared" si="502"/>
        <v>21.757123237128418</v>
      </c>
      <c r="CQ171" s="216">
        <f t="shared" ca="1" si="361"/>
        <v>21.757123237128418</v>
      </c>
      <c r="CR171" s="216">
        <f t="shared" ca="1" si="362"/>
        <v>21.757123237128418</v>
      </c>
      <c r="CS171" s="1626">
        <f t="shared" ca="1" si="363"/>
        <v>21.757123237128418</v>
      </c>
      <c r="CT171" s="216">
        <f t="shared" si="503"/>
        <v>21.757123237128418</v>
      </c>
      <c r="CU171" s="575">
        <f t="shared" si="432"/>
        <v>0.155</v>
      </c>
      <c r="CV171" s="154">
        <f t="shared" si="433"/>
        <v>0.5</v>
      </c>
      <c r="CW171" s="216">
        <f>IF(OR($BQ171,$BS171),SpreadOptPowerMargin,0)*((1+Assumptions!$C$26)^($B171-YEAR(Assumptions!$C$17)))</f>
        <v>2.1941899559905629</v>
      </c>
      <c r="CX171" s="216">
        <f>IF(OR($BQ171,$BS171),SpreadOptPowerMargin,0)*((1+Assumptions!$C$26)^($B171-YEAR(Assumptions!$C$17)))</f>
        <v>2.1941899559905629</v>
      </c>
      <c r="CY171" s="216">
        <f>IF(OR($BQ171,$BS171),SpreadOptPowerMargin,0)*((1+Assumptions!$C$26)^($B171-YEAR(Assumptions!$C$17)))</f>
        <v>2.1941899559905629</v>
      </c>
      <c r="CZ171" s="216">
        <f>IF(OR($BQ171,$BS171),SpreadOptPowerMargin,0)*((1+Assumptions!$C$26)^($B171-YEAR(Assumptions!$C$17)))</f>
        <v>2.1941899559905629</v>
      </c>
      <c r="DA171" s="440">
        <f t="shared" si="434"/>
        <v>2.1941899559905633</v>
      </c>
      <c r="DB171" s="479">
        <f t="shared" si="435"/>
        <v>0.115</v>
      </c>
      <c r="DC171" s="479">
        <f t="shared" si="436"/>
        <v>0.115</v>
      </c>
      <c r="DD171" s="479">
        <f t="shared" si="437"/>
        <v>0.11</v>
      </c>
      <c r="DE171" s="479">
        <f t="shared" si="438"/>
        <v>0.11</v>
      </c>
      <c r="DF171" s="479">
        <f t="shared" si="439"/>
        <v>0.10297457619277453</v>
      </c>
      <c r="DG171" s="574">
        <f t="shared" si="440"/>
        <v>0.10297457619277453</v>
      </c>
      <c r="DH171" s="216">
        <f t="shared" si="441"/>
        <v>19.274172486914892</v>
      </c>
      <c r="DI171" s="216">
        <f t="shared" si="442"/>
        <v>19.274172486914892</v>
      </c>
      <c r="DJ171" s="216">
        <f t="shared" ca="1" si="364"/>
        <v>5.3709565976331639</v>
      </c>
      <c r="DK171" s="216">
        <f t="shared" ca="1" si="365"/>
        <v>5.3709567835448553</v>
      </c>
      <c r="DL171" s="216">
        <f t="shared" ca="1" si="366"/>
        <v>12.534474250557412</v>
      </c>
      <c r="DM171" s="216"/>
      <c r="DN171" s="216"/>
      <c r="DO171" s="216"/>
      <c r="DP171" s="216"/>
      <c r="DQ171" s="216"/>
      <c r="DR171" s="216"/>
      <c r="DS171" s="216"/>
      <c r="DT171" s="216"/>
      <c r="DU171" s="216"/>
      <c r="DV171" s="216"/>
      <c r="DW171" s="1371">
        <f t="shared" si="443"/>
        <v>5.3709565976331639</v>
      </c>
      <c r="DX171" s="216">
        <f t="shared" si="444"/>
        <v>5.3709567835448553</v>
      </c>
      <c r="DY171" s="440">
        <f t="shared" si="445"/>
        <v>13.144797801997811</v>
      </c>
      <c r="DZ171" s="180">
        <f t="shared" si="446"/>
        <v>942275.74454029521</v>
      </c>
      <c r="EA171" s="180">
        <f t="shared" si="447"/>
        <v>224351.36774768934</v>
      </c>
      <c r="EB171" s="180">
        <f t="shared" ca="1" si="367"/>
        <v>62517.934796450027</v>
      </c>
      <c r="EC171" s="180">
        <f t="shared" ca="1" si="368"/>
        <v>193805.60457743256</v>
      </c>
      <c r="ED171" s="180">
        <f t="shared" ca="1" si="369"/>
        <v>1356881.906571341</v>
      </c>
      <c r="EE171" s="581">
        <f t="shared" si="448"/>
        <v>902881.99294115964</v>
      </c>
      <c r="EF171" s="554">
        <f t="shared" si="449"/>
        <v>214971.90308122849</v>
      </c>
      <c r="EG171" s="554">
        <f t="shared" ca="1" si="370"/>
        <v>19017.059628803603</v>
      </c>
      <c r="EH171" s="554">
        <f t="shared" ca="1" si="371"/>
        <v>58952.895166990034</v>
      </c>
      <c r="EI171" s="561">
        <f t="shared" ca="1" si="450"/>
        <v>1195823.8508181821</v>
      </c>
      <c r="EJ171" s="581">
        <f t="shared" si="504"/>
        <v>39393.751599135576</v>
      </c>
      <c r="EK171" s="554">
        <f t="shared" si="505"/>
        <v>9379.4646664608445</v>
      </c>
      <c r="EL171" s="554">
        <f t="shared" ca="1" si="372"/>
        <v>43500.875167646424</v>
      </c>
      <c r="EM171" s="554">
        <f t="shared" ca="1" si="373"/>
        <v>134852.70941044253</v>
      </c>
      <c r="EN171" s="561">
        <f t="shared" ca="1" si="374"/>
        <v>161058.05575315887</v>
      </c>
      <c r="EO171" s="180">
        <f t="shared" si="451"/>
        <v>3769102.9781611809</v>
      </c>
      <c r="EP171" s="180">
        <f t="shared" si="452"/>
        <v>897405.47099075734</v>
      </c>
      <c r="EQ171" s="180">
        <f t="shared" si="453"/>
        <v>250071.73918580011</v>
      </c>
      <c r="ER171" s="180">
        <f t="shared" si="454"/>
        <v>775222.41830973024</v>
      </c>
      <c r="ES171" s="180">
        <f t="shared" si="455"/>
        <v>5691802.6066474682</v>
      </c>
      <c r="ET171" s="1482">
        <f t="shared" ca="1" si="375"/>
        <v>3611527.9717646386</v>
      </c>
      <c r="EU171" s="180">
        <f t="shared" ca="1" si="376"/>
        <v>859887.61232491396</v>
      </c>
      <c r="EV171" s="180">
        <f t="shared" ca="1" si="377"/>
        <v>76068.238515214412</v>
      </c>
      <c r="EW171" s="180">
        <f t="shared" ca="1" si="378"/>
        <v>235811.58066796014</v>
      </c>
      <c r="EX171" s="555">
        <f t="shared" ca="1" si="522"/>
        <v>4783295.4032727275</v>
      </c>
      <c r="EY171" s="180">
        <f t="shared" ca="1" si="379"/>
        <v>157575.0063965423</v>
      </c>
      <c r="EZ171" s="180">
        <f t="shared" ca="1" si="380"/>
        <v>37517.858665843378</v>
      </c>
      <c r="FA171" s="180">
        <f t="shared" ca="1" si="381"/>
        <v>174003.50067058569</v>
      </c>
      <c r="FB171" s="180">
        <f t="shared" ca="1" si="382"/>
        <v>539410.83764177014</v>
      </c>
      <c r="FC171" s="180">
        <f t="shared" ca="1" si="383"/>
        <v>908507.20337474067</v>
      </c>
      <c r="FD171" s="262">
        <f>IF(AX171,IF(VLOOKUP(C171,MAIN!$L$17:$M$28,2)="Yes",VLOOKUP(CALC!B171,MAIN!$H$17:$I$20,2),0),0)</f>
        <v>0</v>
      </c>
      <c r="FE171" s="623">
        <f t="shared" si="456"/>
        <v>0</v>
      </c>
      <c r="FF171" s="535">
        <f t="shared" si="457"/>
        <v>0</v>
      </c>
      <c r="FG171" s="535">
        <f t="shared" si="458"/>
        <v>0</v>
      </c>
      <c r="FH171" s="624">
        <f t="shared" si="459"/>
        <v>0</v>
      </c>
      <c r="FI171" s="632">
        <f>IF(AX171,VLOOKUP(CALC!B171,MAIN!$H$17:$K$20,4),0)</f>
        <v>0</v>
      </c>
      <c r="FJ171" s="535">
        <f t="shared" si="460"/>
        <v>0</v>
      </c>
      <c r="FK171" s="648">
        <f t="shared" si="506"/>
        <v>0</v>
      </c>
      <c r="FL171" s="530">
        <f t="shared" ca="1" si="384"/>
        <v>0</v>
      </c>
      <c r="FM171" s="530">
        <f t="shared" ca="1" si="385"/>
        <v>0</v>
      </c>
      <c r="FN171" s="530">
        <f t="shared" ca="1" si="386"/>
        <v>0</v>
      </c>
      <c r="FO171" s="622">
        <f t="shared" ca="1" si="387"/>
        <v>0</v>
      </c>
      <c r="FP171" s="530">
        <f t="shared" ca="1" si="388"/>
        <v>0</v>
      </c>
      <c r="FQ171" s="530">
        <f t="shared" ca="1" si="389"/>
        <v>0</v>
      </c>
      <c r="FR171" s="530">
        <f t="shared" ca="1" si="390"/>
        <v>0</v>
      </c>
      <c r="FS171" s="625">
        <f t="shared" ca="1" si="391"/>
        <v>0</v>
      </c>
      <c r="FT171" s="640">
        <f ca="1">IF(AND(Assumptions!$H$71="Yes",A171&gt;=Assumptions!$H$72,A171&lt;=Assumptions!$H$73),0,IF(AND($A171&gt;=Assumptions!$C$17,$A171&lt;=Assumptions!$C$18),MAX(AZ171*(1+VLOOKUP($C171,WeatherCapacityAdjustment,2))-FL171,0),0))</f>
        <v>48888</v>
      </c>
      <c r="FU171" s="530">
        <f ca="1">IF(AND(Assumptions!$H$71="Yes",A171&gt;=Assumptions!$H$72,A171&lt;=Assumptions!$H$73),0,IF(AND($A171&gt;=Assumptions!$C$17,$A171&lt;=Assumptions!$C$18),MAX(BA171*(1+VLOOKUP($C171,WeatherCapacityAdjustment,2))-FM171,0),0))</f>
        <v>11640</v>
      </c>
      <c r="FV171" s="530">
        <f ca="1">IF(AND(Assumptions!$H$71="Yes",A171&gt;=Assumptions!$H$72,A171&lt;=Assumptions!$H$73),0,IF(AND($A171&gt;=Assumptions!$C$17,$A171&lt;=Assumptions!$C$18),MAX(BB171*(1+VLOOKUP($C171,WeatherCapacityAdjustment,2))-FN171,0),0))</f>
        <v>11640</v>
      </c>
      <c r="FW171" s="622">
        <f ca="1">IF(AND(Assumptions!$H$71="Yes",A171&gt;=Assumptions!$H$72,A171&lt;=Assumptions!$H$73),0,IF(AND($A171&gt;=Assumptions!$C$17,$A171&lt;=Assumptions!$C$18),MAX(BC171*(1+VLOOKUP($C171,WeatherCapacityAdjustment,3))-FO171,0),0))</f>
        <v>36084</v>
      </c>
      <c r="FX171" s="621">
        <f ca="1">IF(AND(Assumptions!$H$71="Yes",A171&gt;=Assumptions!$H$72,A171&lt;=Assumptions!$H$73),0,IF(ET171&gt;0,MAX(BH171*(1+VLOOKUP($C171,WeatherCapacityAdjustment,2))-FP171,0),0))</f>
        <v>195552</v>
      </c>
      <c r="FY171" s="530">
        <f ca="1">IF(AND(Assumptions!$H$71="Yes",A171&gt;=Assumptions!$H$72,A171&lt;=Assumptions!$H$73),0,IF(EU171&gt;0,MAX(BI171*(1+VLOOKUP($C171,WeatherCapacityAdjustment,3))-FQ171,0),0))</f>
        <v>46560</v>
      </c>
      <c r="FZ171" s="530">
        <f ca="1">IF(AND(Assumptions!$H$71="Yes",A171&gt;=Assumptions!$H$72,A171&lt;=Assumptions!$H$73),0,IF(EV171&gt;0,MAX(BJ171*(1+VLOOKUP($C171,WeatherCapacityAdjustment,2))-FR171,0),0))</f>
        <v>46560</v>
      </c>
      <c r="GA171" s="622">
        <f ca="1">IF(AND(Assumptions!$H$71="Yes",A171&gt;=Assumptions!$H$72,A171&lt;=Assumptions!$H$73),0,IF(EW171&gt;0,MAX(BK171*(1+VLOOKUP($C171,WeatherCapacityAdjustment,2))-FS171,0),0))</f>
        <v>144336</v>
      </c>
      <c r="GB171" s="530">
        <f t="shared" ca="1" si="461"/>
        <v>541260</v>
      </c>
      <c r="GC171" s="545">
        <f t="shared" ca="1" si="462"/>
        <v>34.99798069873718</v>
      </c>
      <c r="GD171" s="530">
        <f t="shared" ca="1" si="392"/>
        <v>18943007.032998487</v>
      </c>
      <c r="GE171" s="1485">
        <f t="shared" ca="1" si="393"/>
        <v>772404.00048000005</v>
      </c>
      <c r="GF171" s="1776">
        <f t="shared" ca="1" si="394"/>
        <v>3089616.0019200002</v>
      </c>
      <c r="GG171" s="545">
        <f t="shared" si="359"/>
        <v>3.0492489723020411</v>
      </c>
      <c r="GH171" s="622">
        <f t="shared" ca="1" si="360"/>
        <v>11776260.523328127</v>
      </c>
      <c r="GI171" s="621">
        <f t="shared" ca="1" si="507"/>
        <v>541260</v>
      </c>
      <c r="GJ171" s="638">
        <f t="shared" si="463"/>
        <v>2.1941899559905633</v>
      </c>
      <c r="GK171" s="625">
        <f t="shared" ca="1" si="513"/>
        <v>1187627.2555794523</v>
      </c>
      <c r="GL171" s="640">
        <f t="shared" ca="1" si="395"/>
        <v>0</v>
      </c>
      <c r="GM171" s="530">
        <f t="shared" ca="1" si="396"/>
        <v>0</v>
      </c>
      <c r="GN171" s="530">
        <f t="shared" ca="1" si="397"/>
        <v>0</v>
      </c>
      <c r="GO171" s="622">
        <f t="shared" ca="1" si="398"/>
        <v>0</v>
      </c>
      <c r="GP171" s="530">
        <f t="shared" ca="1" si="464"/>
        <v>0</v>
      </c>
      <c r="GQ171" s="545">
        <f t="shared" ca="1" si="465"/>
        <v>0</v>
      </c>
      <c r="GR171" s="625">
        <f t="shared" ca="1" si="399"/>
        <v>0</v>
      </c>
      <c r="GS171" s="640">
        <f>IF($A171&gt;=BegDate,Assumptions!$C$56*24*($A172-$A171)*(1-VLOOKUP($B171,MAIN!$AA$7:$AM$28,$C171+1))*(1-VLOOKUP($B171,MAIN!$AA$33:$AM$54,$C171+1)),0)*80/168</f>
        <v>257742.85714285713</v>
      </c>
      <c r="GT171" s="1715">
        <f t="shared" si="508"/>
        <v>42.41968990451479</v>
      </c>
      <c r="GU171" s="1715">
        <f>IF($A171&gt;=BegDate,VLOOKUP($A171,GasTable,13)+Assumptions!$C$58,0)</f>
        <v>3.0492489723020411</v>
      </c>
      <c r="GV171" s="1715">
        <f>GU171*Assumptions!$C$57/1000</f>
        <v>22.1070550491898</v>
      </c>
      <c r="GW171" s="625">
        <f>IF(Assumptions!$C$60="Hourly",MAX(0,GS171*(GT171-GV171)),GS171*(GT171-GV171))</f>
        <v>5235436.5437110495</v>
      </c>
      <c r="GX171" s="640">
        <f>IF($A171&gt;=BegDate,Assumptions!$C$56*24*($A172-$A171)*(1-VLOOKUP($B171,MAIN!$AA$7:$AM$28,$C171+1))*(1-VLOOKUP($B171,MAIN!$AA$33:$AM$54,$C171+1)),0)*16/168</f>
        <v>51548.571428571428</v>
      </c>
      <c r="GY171" s="1715">
        <f t="shared" si="509"/>
        <v>42.41968990451479</v>
      </c>
      <c r="GZ171" s="1715">
        <f>IF($A171&gt;=BegDate,VLOOKUP($A171,GasTable,13)+Assumptions!$C$58,0)</f>
        <v>3.0492489723020411</v>
      </c>
      <c r="HA171" s="1715">
        <f>GZ171*Assumptions!$C$57/1000</f>
        <v>22.1070550491898</v>
      </c>
      <c r="HB171" s="625">
        <f>IF(Assumptions!$C$60="Hourly",MAX(0,GX171*(GY171-HA171)),GX171*(GY171-HA171))</f>
        <v>1047087.3087422099</v>
      </c>
      <c r="HC171" s="640">
        <f>IF($A171&gt;=BegDate,Assumptions!$C$56*24*($A172-$A171)*(1-VLOOKUP($B171,MAIN!$AA$7:$AM$28,$C171+1))*(1-VLOOKUP($B171,MAIN!$AA$33:$AM$54,$C171+1)),0)*16/168</f>
        <v>51548.571428571428</v>
      </c>
      <c r="HD171" s="1715">
        <f t="shared" si="510"/>
        <v>25.585081297778224</v>
      </c>
      <c r="HE171" s="1715">
        <f>IF($A171&gt;=BegDate,VLOOKUP($A171,GasTable,13)+Assumptions!$C$58,0)</f>
        <v>3.0492489723020411</v>
      </c>
      <c r="HF171" s="1715">
        <f>HE171*Assumptions!$C$57/1000</f>
        <v>22.1070550491898</v>
      </c>
      <c r="HG171" s="625">
        <f>IF(Assumptions!$C$60="Hourly",MAX(0,HC171*(HD171-HF171)),HC171*(HD171-HF171))</f>
        <v>179287.28450580672</v>
      </c>
      <c r="HH171" s="640">
        <f>IF($A171&gt;=BegDate,Assumptions!$C$56*24*($A172-$A171)*(1-VLOOKUP($B171,MAIN!$AA$7:$AM$28,$C171+1))*(1-VLOOKUP($B171,MAIN!$AA$33:$AM$54,$C171+1)),0)*56/168</f>
        <v>180420</v>
      </c>
      <c r="HI171" s="1715">
        <f t="shared" si="511"/>
        <v>25.585081297778224</v>
      </c>
      <c r="HJ171" s="1715">
        <f>IF($A171&gt;=BegDate,VLOOKUP($A171,GasTable,13)+Assumptions!$C$58,0)</f>
        <v>3.0492489723020411</v>
      </c>
      <c r="HK171" s="1715">
        <f>HJ171*Assumptions!$C$57/1000</f>
        <v>22.1070550491898</v>
      </c>
      <c r="HL171" s="625">
        <f>IF(Assumptions!$C$60="Hourly",MAX(0,HH171*(HI171-HK171)),HH171*(HI171-HK171))</f>
        <v>627505.49577032356</v>
      </c>
      <c r="HM171" s="640">
        <f>IF(AND(Assumptions!$H$71="Yes",A171&gt;=Assumptions!$H$72,A171&lt;=Assumptions!$H$73),Assumptions!$H$74*Assumptions!$C$9*1000,0)</f>
        <v>0</v>
      </c>
      <c r="HN171" s="530"/>
      <c r="HO171" s="545"/>
      <c r="HP171" s="545"/>
      <c r="HQ171" s="545"/>
      <c r="HR171" s="545"/>
      <c r="HS171" s="545"/>
      <c r="HT171" s="545"/>
      <c r="HU171" s="545"/>
      <c r="HV171" s="545"/>
      <c r="HW171" s="545"/>
      <c r="HX171" s="545"/>
      <c r="HY171" s="545"/>
      <c r="HZ171" s="545"/>
      <c r="IA171" s="545"/>
      <c r="IB171" s="545"/>
      <c r="IC171" s="545"/>
      <c r="ID171" s="545"/>
      <c r="IE171" s="545"/>
      <c r="IF171" s="545"/>
      <c r="IG171" s="545"/>
      <c r="IH171" s="545"/>
      <c r="II171" s="1464"/>
      <c r="IJ171" s="1463"/>
      <c r="IK171" s="1463"/>
    </row>
    <row r="172" spans="1:245">
      <c r="A172" s="177">
        <f t="shared" si="466"/>
        <v>41365</v>
      </c>
      <c r="B172" s="349">
        <f t="shared" si="467"/>
        <v>2013</v>
      </c>
      <c r="C172" s="15">
        <f t="shared" si="515"/>
        <v>4</v>
      </c>
      <c r="D172" s="612" t="str">
        <f t="shared" si="468"/>
        <v/>
      </c>
      <c r="E172" s="609">
        <f t="shared" si="516"/>
        <v>41365</v>
      </c>
      <c r="F172" s="614">
        <f t="shared" si="517"/>
        <v>41394</v>
      </c>
      <c r="G172" s="1349">
        <v>0</v>
      </c>
      <c r="H172" s="152">
        <f t="shared" si="512"/>
        <v>1</v>
      </c>
      <c r="I172" s="154">
        <f>IF(Assumptions!$L$25=4,VLOOKUP($A172,'Henwood Reference'!$E$9:$R$320,10),(VLOOKUP($A172,PriceTable,2,0)+IF(BasisNumber&lt;&gt;1,VLOOKUP($A172,BasisTable,2,0),0)+I$1)/(1-I$2))</f>
        <v>39.653570846615438</v>
      </c>
      <c r="J172" s="154">
        <f>IF(Assumptions!$L$25=4,VLOOKUP($A172,'Henwood Reference'!$E$9:$R$320,10),(VLOOKUP($A172,PriceTable,3,0)+IF(BasisNumber&lt;&gt;1,VLOOKUP($A172,BasisTable,2,0),0)+J$1)/(1-J$2))</f>
        <v>39.653570846615438</v>
      </c>
      <c r="K172" s="154">
        <f>IF(Assumptions!$L$25=4,VLOOKUP($A172,'Henwood Reference'!$E$9:$R$320,10),(VLOOKUP($A172,PriceTable,4,0)+IF(BasisNumber&lt;&gt;1,VLOOKUP($A172,BasisTable,2,0),0)+K$1)/(1-K$2))</f>
        <v>39.653570846615438</v>
      </c>
      <c r="L172" s="474">
        <f>IF(Assumptions!$L$25=4,VLOOKUP($A172,'Henwood Reference'!$E$9:$R$320,10),(VLOOKUP($A172,PriceTableWeekend,2,0)+IF(BasisNumber&lt;&gt;1,VLOOKUP($A172,BasisTable,2,0),0)+L$1)/(1-L$2))</f>
        <v>39.653570846615438</v>
      </c>
      <c r="M172" s="154">
        <f>IF(Assumptions!$L$25=4,VLOOKUP($A172,'Henwood Reference'!$E$9:$R$320,10),(VLOOKUP($A172,PriceTableWeekend,3,0)+IF(BasisNumber&lt;&gt;1,VLOOKUP($A172,BasisTable,2,0),0)+M$1)/(1-M$2))</f>
        <v>39.653570846615438</v>
      </c>
      <c r="N172" s="156">
        <f>IF(Assumptions!$L$25=4,VLOOKUP($A172,'Henwood Reference'!$E$9:$R$320,10),(VLOOKUP($A172,PriceTableWeekend,4,0)+IF(BasisNumber&lt;&gt;1,VLOOKUP($A172,BasisTable,2,0),0)+N$1)/(1-N$2))</f>
        <v>39.653570846615438</v>
      </c>
      <c r="O172" s="154">
        <f>IF(Assumptions!$L$25=4,VLOOKUP($A172,'Henwood Reference'!$E$9:$R$320,11),(VLOOKUP($A172,PriceTableWeekend,6,0)+IF(BasisNumber&lt;&gt;1,VLOOKUP($A172,BasisTable,3,0),0)+O$1)/(1-O$2))</f>
        <v>25.976397303490497</v>
      </c>
      <c r="P172" s="154">
        <f>IF(Assumptions!$L$25=4,VLOOKUP($A172,'Henwood Reference'!$E$9:$R$320,11),(VLOOKUP($A172,PriceTableWeekend,7,0)+IF(BasisNumber&lt;&gt;1,VLOOKUP($A172,BasisTable,3,0),0)+P$1)/(1-P$2))</f>
        <v>25.976397303490497</v>
      </c>
      <c r="Q172" s="156">
        <f>IF(Assumptions!$L$25=4,VLOOKUP($A172,'Henwood Reference'!$E$9:$R$320,11),(VLOOKUP($A172,PriceTableWeekend,8,0)+IF(BasisNumber&lt;&gt;1,VLOOKUP($A172,BasisTable,3,0),0)+Q$1)/(1-Q$2))</f>
        <v>25.976397303490497</v>
      </c>
      <c r="R172" s="154">
        <f>IF(Assumptions!$L$25=4,VLOOKUP($A172,'Henwood Reference'!$E$9:$R$320,11),(VLOOKUP($A172,PriceTable,6,0)+IF(BasisNumber&lt;&gt;1,VLOOKUP($A172,BasisTable,3,0),0)+R$1)/(1-R$2))</f>
        <v>25.976397303490497</v>
      </c>
      <c r="S172" s="154">
        <f>IF(Assumptions!$L$25=4,VLOOKUP($A172,'Henwood Reference'!$E$9:$R$320,11),(VLOOKUP($A172,PriceTable,7,0)+IF(BasisNumber&lt;&gt;1,VLOOKUP($A172,BasisTable,3,0),0)+S$1)/(1-S$2))</f>
        <v>25.976397303490497</v>
      </c>
      <c r="T172" s="155">
        <f>IF(Assumptions!$L$25=4,VLOOKUP($A172,'Henwood Reference'!$E$9:$R$320,11),(VLOOKUP($A172,PriceTable,8,0)+IF(BasisNumber&lt;&gt;1,VLOOKUP($A172,BasisTable,3,0),0)+T$1)/(1-T$2))</f>
        <v>25.976397303490497</v>
      </c>
      <c r="U172" s="173">
        <f t="shared" si="469"/>
        <v>0.105</v>
      </c>
      <c r="V172" s="173">
        <f t="shared" si="470"/>
        <v>0.115</v>
      </c>
      <c r="W172" s="174">
        <f t="shared" si="471"/>
        <v>0.125</v>
      </c>
      <c r="X172" s="173">
        <f t="shared" si="472"/>
        <v>0.105</v>
      </c>
      <c r="Y172" s="173">
        <f t="shared" si="473"/>
        <v>0.115</v>
      </c>
      <c r="Z172" s="174">
        <f t="shared" si="474"/>
        <v>0.125</v>
      </c>
      <c r="AA172" s="173">
        <f t="shared" si="475"/>
        <v>0.09</v>
      </c>
      <c r="AB172" s="173">
        <f t="shared" si="476"/>
        <v>0.11</v>
      </c>
      <c r="AC172" s="174">
        <f t="shared" si="477"/>
        <v>0.13</v>
      </c>
      <c r="AD172" s="173">
        <f t="shared" si="478"/>
        <v>0.09</v>
      </c>
      <c r="AE172" s="173">
        <f t="shared" si="479"/>
        <v>0.11</v>
      </c>
      <c r="AF172" s="174">
        <f t="shared" si="480"/>
        <v>0.13</v>
      </c>
      <c r="AG172" s="173">
        <f t="shared" si="481"/>
        <v>-0.1</v>
      </c>
      <c r="AH172" s="173">
        <f t="shared" si="482"/>
        <v>0.65</v>
      </c>
      <c r="AI172" s="174">
        <f t="shared" si="483"/>
        <v>0.1</v>
      </c>
      <c r="AJ172" s="173">
        <f t="shared" si="484"/>
        <v>-0.1</v>
      </c>
      <c r="AK172" s="173">
        <f t="shared" si="485"/>
        <v>0.65</v>
      </c>
      <c r="AL172" s="174">
        <f t="shared" si="486"/>
        <v>0.1</v>
      </c>
      <c r="AM172" s="173">
        <f t="shared" si="487"/>
        <v>-0.01</v>
      </c>
      <c r="AN172" s="173">
        <f t="shared" si="488"/>
        <v>0.16</v>
      </c>
      <c r="AO172" s="174">
        <f t="shared" si="489"/>
        <v>0.01</v>
      </c>
      <c r="AP172" s="173">
        <f t="shared" si="490"/>
        <v>-0.01</v>
      </c>
      <c r="AQ172" s="173">
        <f t="shared" si="491"/>
        <v>0.16</v>
      </c>
      <c r="AR172" s="175">
        <f t="shared" si="492"/>
        <v>0.01</v>
      </c>
      <c r="AS172" s="521">
        <f t="shared" si="520"/>
        <v>0.5</v>
      </c>
      <c r="AT172" s="349">
        <f t="shared" si="518"/>
        <v>22</v>
      </c>
      <c r="AU172" s="159">
        <f t="shared" si="411"/>
        <v>4</v>
      </c>
      <c r="AV172" s="159">
        <f t="shared" si="412"/>
        <v>4</v>
      </c>
      <c r="AW172" s="159">
        <f t="shared" si="521"/>
        <v>0</v>
      </c>
      <c r="AX172" s="15">
        <f t="shared" si="519"/>
        <v>30</v>
      </c>
      <c r="AY172" s="607">
        <f>IF(E172="",0,MIN((1-(1-VLOOKUP(B172,MAIN!$AA$7:$AM$28,C172+1))*(1-VLOOKUP(B172,MAIN!$AA$33:$AM$54,C172+1))),1))</f>
        <v>0.127</v>
      </c>
      <c r="AZ172" s="337">
        <v>46094.400000000001</v>
      </c>
      <c r="BA172" s="509">
        <v>8380.7999999999993</v>
      </c>
      <c r="BB172" s="509">
        <v>8380.7999999999993</v>
      </c>
      <c r="BC172" s="511">
        <v>31428</v>
      </c>
      <c r="BD172" s="153">
        <v>0.873</v>
      </c>
      <c r="BE172" s="474">
        <v>0.873</v>
      </c>
      <c r="BF172" s="474">
        <v>0.873</v>
      </c>
      <c r="BG172" s="515">
        <v>0.87300000650435683</v>
      </c>
      <c r="BH172" s="262">
        <v>184377.60000000001</v>
      </c>
      <c r="BI172" s="509">
        <v>33523.199999999997</v>
      </c>
      <c r="BJ172" s="509">
        <v>33523.199999999997</v>
      </c>
      <c r="BK172" s="511">
        <v>125712</v>
      </c>
      <c r="BL172" s="153">
        <v>0.873</v>
      </c>
      <c r="BM172" s="474">
        <v>0.873</v>
      </c>
      <c r="BN172" s="474">
        <v>0.873</v>
      </c>
      <c r="BO172" s="474">
        <v>0.87300000650435683</v>
      </c>
      <c r="BP172" s="261">
        <f t="shared" si="495"/>
        <v>62856</v>
      </c>
      <c r="BQ172" s="578">
        <f t="shared" si="496"/>
        <v>94284</v>
      </c>
      <c r="BR172" s="259">
        <f t="shared" si="497"/>
        <v>251424</v>
      </c>
      <c r="BS172" s="578">
        <f t="shared" si="498"/>
        <v>377136</v>
      </c>
      <c r="BT172" s="216">
        <f t="shared" si="499"/>
        <v>12.9637234770705</v>
      </c>
      <c r="BU172" s="218">
        <f t="shared" si="414"/>
        <v>39.653570846615438</v>
      </c>
      <c r="BV172" s="216">
        <f t="shared" si="415"/>
        <v>39.653570846615438</v>
      </c>
      <c r="BW172" s="216">
        <f t="shared" si="416"/>
        <v>25.976397303490497</v>
      </c>
      <c r="BX172" s="216">
        <f t="shared" si="500"/>
        <v>25.976397497029737</v>
      </c>
      <c r="BY172" s="216">
        <f t="shared" si="417"/>
        <v>37.829947707532114</v>
      </c>
      <c r="BZ172" s="216">
        <f t="shared" si="418"/>
        <v>33.878764304031321</v>
      </c>
      <c r="CA172" s="264">
        <f t="shared" si="419"/>
        <v>39.653570846615438</v>
      </c>
      <c r="CB172" s="216">
        <f t="shared" si="420"/>
        <v>39.653570846615438</v>
      </c>
      <c r="CC172" s="216">
        <f t="shared" si="421"/>
        <v>25.976397303490497</v>
      </c>
      <c r="CD172" s="216">
        <f t="shared" si="501"/>
        <v>25.976397497029737</v>
      </c>
      <c r="CE172" s="216">
        <f t="shared" si="422"/>
        <v>37.829947707532114</v>
      </c>
      <c r="CF172" s="571">
        <f t="shared" si="423"/>
        <v>33.878764304031321</v>
      </c>
      <c r="CG172" s="573">
        <f t="shared" si="424"/>
        <v>0.115</v>
      </c>
      <c r="CH172" s="219">
        <f t="shared" si="425"/>
        <v>0.115</v>
      </c>
      <c r="CI172" s="219">
        <f t="shared" si="426"/>
        <v>0.11</v>
      </c>
      <c r="CJ172" s="219">
        <f t="shared" si="427"/>
        <v>0.11454376597785609</v>
      </c>
      <c r="CK172" s="219">
        <f t="shared" si="428"/>
        <v>0.11454376597785609</v>
      </c>
      <c r="CL172" s="219">
        <f t="shared" si="429"/>
        <v>0.11</v>
      </c>
      <c r="CM172" s="219">
        <f t="shared" si="430"/>
        <v>0.10260168741864364</v>
      </c>
      <c r="CN172" s="569">
        <f t="shared" si="431"/>
        <v>0.10260168741864364</v>
      </c>
      <c r="CO172" s="264">
        <f t="shared" si="514"/>
        <v>21.077634549801751</v>
      </c>
      <c r="CP172" s="216">
        <f t="shared" si="502"/>
        <v>21.077634549801751</v>
      </c>
      <c r="CQ172" s="216">
        <f t="shared" ca="1" si="361"/>
        <v>21.077634549801751</v>
      </c>
      <c r="CR172" s="216">
        <f t="shared" ca="1" si="362"/>
        <v>21.077634549801751</v>
      </c>
      <c r="CS172" s="1626">
        <f t="shared" ca="1" si="363"/>
        <v>21.077634549801751</v>
      </c>
      <c r="CT172" s="216">
        <f t="shared" si="503"/>
        <v>21.077634549801751</v>
      </c>
      <c r="CU172" s="575">
        <f t="shared" si="432"/>
        <v>0.155</v>
      </c>
      <c r="CV172" s="154">
        <f t="shared" si="433"/>
        <v>0.5</v>
      </c>
      <c r="CW172" s="216">
        <f>IF(OR($BQ172,$BS172),SpreadOptPowerMargin,0)*((1+Assumptions!$C$26)^($B172-YEAR(Assumptions!$C$17)))</f>
        <v>2.1941899559905629</v>
      </c>
      <c r="CX172" s="216">
        <f>IF(OR($BQ172,$BS172),SpreadOptPowerMargin,0)*((1+Assumptions!$C$26)^($B172-YEAR(Assumptions!$C$17)))</f>
        <v>2.1941899559905629</v>
      </c>
      <c r="CY172" s="216">
        <f>IF(OR($BQ172,$BS172),SpreadOptPowerMargin,0)*((1+Assumptions!$C$26)^($B172-YEAR(Assumptions!$C$17)))</f>
        <v>2.1941899559905629</v>
      </c>
      <c r="CZ172" s="216">
        <f>IF(OR($BQ172,$BS172),SpreadOptPowerMargin,0)*((1+Assumptions!$C$26)^($B172-YEAR(Assumptions!$C$17)))</f>
        <v>2.1941899559905629</v>
      </c>
      <c r="DA172" s="440">
        <f t="shared" si="434"/>
        <v>2.1941899559905633</v>
      </c>
      <c r="DB172" s="479">
        <f t="shared" si="435"/>
        <v>0.115</v>
      </c>
      <c r="DC172" s="479">
        <f t="shared" si="436"/>
        <v>0.115</v>
      </c>
      <c r="DD172" s="479">
        <f t="shared" si="437"/>
        <v>0.11</v>
      </c>
      <c r="DE172" s="479">
        <f t="shared" si="438"/>
        <v>0.11</v>
      </c>
      <c r="DF172" s="479">
        <f t="shared" si="439"/>
        <v>0.10260168741864364</v>
      </c>
      <c r="DG172" s="574">
        <f t="shared" si="440"/>
        <v>0.10260168741864364</v>
      </c>
      <c r="DH172" s="216">
        <f t="shared" si="441"/>
        <v>17.291343093285377</v>
      </c>
      <c r="DI172" s="216">
        <f t="shared" si="442"/>
        <v>17.291343093285377</v>
      </c>
      <c r="DJ172" s="216">
        <f t="shared" ca="1" si="364"/>
        <v>5.9695346275322487</v>
      </c>
      <c r="DK172" s="216">
        <f t="shared" ca="1" si="365"/>
        <v>5.9695347600868631</v>
      </c>
      <c r="DL172" s="216">
        <f t="shared" ca="1" si="366"/>
        <v>12.072473225219673</v>
      </c>
      <c r="DM172" s="216"/>
      <c r="DN172" s="216"/>
      <c r="DO172" s="216"/>
      <c r="DP172" s="216"/>
      <c r="DQ172" s="216"/>
      <c r="DR172" s="216"/>
      <c r="DS172" s="216"/>
      <c r="DT172" s="216"/>
      <c r="DU172" s="216"/>
      <c r="DV172" s="216"/>
      <c r="DW172" s="1371">
        <f t="shared" si="443"/>
        <v>5.9695346275322487</v>
      </c>
      <c r="DX172" s="216">
        <f t="shared" si="444"/>
        <v>5.9695347600868631</v>
      </c>
      <c r="DY172" s="440">
        <f t="shared" si="445"/>
        <v>12.511024007485593</v>
      </c>
      <c r="DZ172" s="180">
        <f t="shared" si="446"/>
        <v>797034.08507913351</v>
      </c>
      <c r="EA172" s="180">
        <f t="shared" si="447"/>
        <v>144915.28819620606</v>
      </c>
      <c r="EB172" s="180">
        <f t="shared" ca="1" si="367"/>
        <v>50029.475806422262</v>
      </c>
      <c r="EC172" s="180">
        <f t="shared" ca="1" si="368"/>
        <v>187610.53844000993</v>
      </c>
      <c r="ED172" s="180">
        <f t="shared" ca="1" si="369"/>
        <v>1138241.0655666117</v>
      </c>
      <c r="EE172" s="581">
        <f t="shared" si="448"/>
        <v>755106.76853243739</v>
      </c>
      <c r="EF172" s="554">
        <f t="shared" si="449"/>
        <v>137292.13973317042</v>
      </c>
      <c r="EG172" s="554">
        <f t="shared" ca="1" si="370"/>
        <v>22666.483702948935</v>
      </c>
      <c r="EH172" s="554">
        <f t="shared" ca="1" si="371"/>
        <v>84999.319968609751</v>
      </c>
      <c r="EI172" s="561">
        <f t="shared" ca="1" si="450"/>
        <v>1000064.7119371666</v>
      </c>
      <c r="EJ172" s="581">
        <f t="shared" si="504"/>
        <v>41927.316546696122</v>
      </c>
      <c r="EK172" s="554">
        <f t="shared" si="505"/>
        <v>7623.1484630356426</v>
      </c>
      <c r="EL172" s="554">
        <f t="shared" ca="1" si="372"/>
        <v>27362.992103473327</v>
      </c>
      <c r="EM172" s="554">
        <f t="shared" ca="1" si="373"/>
        <v>102611.21847140018</v>
      </c>
      <c r="EN172" s="561">
        <f t="shared" ca="1" si="374"/>
        <v>138176.35362944508</v>
      </c>
      <c r="EO172" s="180">
        <f t="shared" si="451"/>
        <v>3188136.340316534</v>
      </c>
      <c r="EP172" s="180">
        <f t="shared" si="452"/>
        <v>579661.15278482425</v>
      </c>
      <c r="EQ172" s="180">
        <f t="shared" si="453"/>
        <v>200117.90322568905</v>
      </c>
      <c r="ER172" s="180">
        <f t="shared" si="454"/>
        <v>750442.15376003971</v>
      </c>
      <c r="ES172" s="180">
        <f t="shared" si="455"/>
        <v>4718357.5500870869</v>
      </c>
      <c r="ET172" s="1482">
        <f t="shared" ca="1" si="375"/>
        <v>3020427.0741297496</v>
      </c>
      <c r="EU172" s="180">
        <f t="shared" ca="1" si="376"/>
        <v>549168.55893268168</v>
      </c>
      <c r="EV172" s="180">
        <f t="shared" ca="1" si="377"/>
        <v>90665.934811795742</v>
      </c>
      <c r="EW172" s="180">
        <f t="shared" ca="1" si="378"/>
        <v>339997.279874439</v>
      </c>
      <c r="EX172" s="555">
        <f t="shared" ca="1" si="522"/>
        <v>4000258.8477486656</v>
      </c>
      <c r="EY172" s="180">
        <f t="shared" ca="1" si="379"/>
        <v>167709.26618678449</v>
      </c>
      <c r="EZ172" s="180">
        <f t="shared" ca="1" si="380"/>
        <v>30492.593852142571</v>
      </c>
      <c r="FA172" s="180">
        <f t="shared" ca="1" si="381"/>
        <v>109451.96841389331</v>
      </c>
      <c r="FB172" s="180">
        <f t="shared" ca="1" si="382"/>
        <v>410444.87388560071</v>
      </c>
      <c r="FC172" s="180">
        <f t="shared" ca="1" si="383"/>
        <v>718098.70233842125</v>
      </c>
      <c r="FD172" s="262">
        <f>IF(AX172,IF(VLOOKUP(C172,MAIN!$L$17:$M$28,2)="Yes",VLOOKUP(CALC!B172,MAIN!$H$17:$I$20,2),0),0)</f>
        <v>0</v>
      </c>
      <c r="FE172" s="623">
        <f t="shared" si="456"/>
        <v>0</v>
      </c>
      <c r="FF172" s="535">
        <f t="shared" si="457"/>
        <v>0</v>
      </c>
      <c r="FG172" s="535">
        <f t="shared" si="458"/>
        <v>0</v>
      </c>
      <c r="FH172" s="624">
        <f t="shared" si="459"/>
        <v>0</v>
      </c>
      <c r="FI172" s="632">
        <f>IF(AX172,VLOOKUP(CALC!B172,MAIN!$H$17:$K$20,4),0)</f>
        <v>0</v>
      </c>
      <c r="FJ172" s="535">
        <f t="shared" si="460"/>
        <v>0</v>
      </c>
      <c r="FK172" s="648">
        <f t="shared" si="506"/>
        <v>0</v>
      </c>
      <c r="FL172" s="530">
        <f t="shared" ca="1" si="384"/>
        <v>0</v>
      </c>
      <c r="FM172" s="530">
        <f t="shared" ca="1" si="385"/>
        <v>0</v>
      </c>
      <c r="FN172" s="530">
        <f t="shared" ca="1" si="386"/>
        <v>0</v>
      </c>
      <c r="FO172" s="622">
        <f t="shared" ca="1" si="387"/>
        <v>0</v>
      </c>
      <c r="FP172" s="530">
        <f t="shared" ca="1" si="388"/>
        <v>0</v>
      </c>
      <c r="FQ172" s="530">
        <f t="shared" ca="1" si="389"/>
        <v>0</v>
      </c>
      <c r="FR172" s="530">
        <f t="shared" ca="1" si="390"/>
        <v>0</v>
      </c>
      <c r="FS172" s="625">
        <f t="shared" ca="1" si="391"/>
        <v>0</v>
      </c>
      <c r="FT172" s="640">
        <f ca="1">IF(AND(Assumptions!$H$71="Yes",A172&gt;=Assumptions!$H$72,A172&lt;=Assumptions!$H$73),0,IF(AND($A172&gt;=Assumptions!$C$17,$A172&lt;=Assumptions!$C$18),MAX(AZ172*(1+VLOOKUP($C172,WeatherCapacityAdjustment,2))-FL172,0),0))</f>
        <v>46094.400000000001</v>
      </c>
      <c r="FU172" s="530">
        <f ca="1">IF(AND(Assumptions!$H$71="Yes",A172&gt;=Assumptions!$H$72,A172&lt;=Assumptions!$H$73),0,IF(AND($A172&gt;=Assumptions!$C$17,$A172&lt;=Assumptions!$C$18),MAX(BA172*(1+VLOOKUP($C172,WeatherCapacityAdjustment,2))-FM172,0),0))</f>
        <v>8380.7999999999993</v>
      </c>
      <c r="FV172" s="530">
        <f ca="1">IF(AND(Assumptions!$H$71="Yes",A172&gt;=Assumptions!$H$72,A172&lt;=Assumptions!$H$73),0,IF(AND($A172&gt;=Assumptions!$C$17,$A172&lt;=Assumptions!$C$18),MAX(BB172*(1+VLOOKUP($C172,WeatherCapacityAdjustment,2))-FN172,0),0))</f>
        <v>8380.7999999999993</v>
      </c>
      <c r="FW172" s="622">
        <f ca="1">IF(AND(Assumptions!$H$71="Yes",A172&gt;=Assumptions!$H$72,A172&lt;=Assumptions!$H$73),0,IF(AND($A172&gt;=Assumptions!$C$17,$A172&lt;=Assumptions!$C$18),MAX(BC172*(1+VLOOKUP($C172,WeatherCapacityAdjustment,3))-FO172,0),0))</f>
        <v>31428</v>
      </c>
      <c r="FX172" s="621">
        <f ca="1">IF(AND(Assumptions!$H$71="Yes",A172&gt;=Assumptions!$H$72,A172&lt;=Assumptions!$H$73),0,IF(ET172&gt;0,MAX(BH172*(1+VLOOKUP($C172,WeatherCapacityAdjustment,2))-FP172,0),0))</f>
        <v>184377.60000000001</v>
      </c>
      <c r="FY172" s="530">
        <f ca="1">IF(AND(Assumptions!$H$71="Yes",A172&gt;=Assumptions!$H$72,A172&lt;=Assumptions!$H$73),0,IF(EU172&gt;0,MAX(BI172*(1+VLOOKUP($C172,WeatherCapacityAdjustment,3))-FQ172,0),0))</f>
        <v>33523.199999999997</v>
      </c>
      <c r="FZ172" s="530">
        <f ca="1">IF(AND(Assumptions!$H$71="Yes",A172&gt;=Assumptions!$H$72,A172&lt;=Assumptions!$H$73),0,IF(EV172&gt;0,MAX(BJ172*(1+VLOOKUP($C172,WeatherCapacityAdjustment,2))-FR172,0),0))</f>
        <v>33523.199999999997</v>
      </c>
      <c r="GA172" s="622">
        <f ca="1">IF(AND(Assumptions!$H$71="Yes",A172&gt;=Assumptions!$H$72,A172&lt;=Assumptions!$H$73),0,IF(EW172&gt;0,MAX(BK172*(1+VLOOKUP($C172,WeatherCapacityAdjustment,2))-FS172,0),0))</f>
        <v>125712</v>
      </c>
      <c r="GB172" s="530">
        <f t="shared" ca="1" si="461"/>
        <v>471420</v>
      </c>
      <c r="GC172" s="545">
        <f t="shared" ca="1" si="462"/>
        <v>33.878764304031321</v>
      </c>
      <c r="GD172" s="530">
        <f t="shared" ca="1" si="392"/>
        <v>15971127.068206448</v>
      </c>
      <c r="GE172" s="1485">
        <f t="shared" ca="1" si="393"/>
        <v>673016.16312000004</v>
      </c>
      <c r="GF172" s="1776">
        <f t="shared" ca="1" si="394"/>
        <v>2692064.6524800002</v>
      </c>
      <c r="GG172" s="545">
        <f t="shared" si="359"/>
        <v>2.9528023319391989</v>
      </c>
      <c r="GH172" s="622">
        <f t="shared" ca="1" si="360"/>
        <v>9936418.4794675428</v>
      </c>
      <c r="GI172" s="621">
        <f t="shared" ca="1" si="507"/>
        <v>471420</v>
      </c>
      <c r="GJ172" s="638">
        <f t="shared" si="463"/>
        <v>2.1941899559905633</v>
      </c>
      <c r="GK172" s="625">
        <f t="shared" ca="1" si="513"/>
        <v>1034385.0290530714</v>
      </c>
      <c r="GL172" s="640">
        <f t="shared" ca="1" si="395"/>
        <v>0</v>
      </c>
      <c r="GM172" s="530">
        <f t="shared" ca="1" si="396"/>
        <v>0</v>
      </c>
      <c r="GN172" s="530">
        <f t="shared" ca="1" si="397"/>
        <v>0</v>
      </c>
      <c r="GO172" s="622">
        <f t="shared" ca="1" si="398"/>
        <v>0</v>
      </c>
      <c r="GP172" s="530">
        <f t="shared" ca="1" si="464"/>
        <v>0</v>
      </c>
      <c r="GQ172" s="545">
        <f t="shared" ca="1" si="465"/>
        <v>0</v>
      </c>
      <c r="GR172" s="625">
        <f t="shared" ca="1" si="399"/>
        <v>0</v>
      </c>
      <c r="GS172" s="640">
        <f>IF($A172&gt;=BegDate,Assumptions!$C$56*24*($A173-$A172)*(1-VLOOKUP($B172,MAIN!$AA$7:$AM$28,$C172+1))*(1-VLOOKUP($B172,MAIN!$AA$33:$AM$54,$C172+1)),0)*80/168</f>
        <v>224485.71428571429</v>
      </c>
      <c r="GT172" s="1715">
        <f t="shared" si="508"/>
        <v>39.653570846615438</v>
      </c>
      <c r="GU172" s="1715">
        <f>IF($A172&gt;=BegDate,VLOOKUP($A172,GasTable,13)+Assumptions!$C$58,0)</f>
        <v>2.9528023319391989</v>
      </c>
      <c r="GV172" s="1715">
        <f>GU172*Assumptions!$C$57/1000</f>
        <v>21.407816906559194</v>
      </c>
      <c r="GW172" s="625">
        <f>IF(Assumptions!$C$60="Hourly",MAX(0,GS172*(GT172-GV172)),GS172*(GT172-GV172))</f>
        <v>4095911.1059149117</v>
      </c>
      <c r="GX172" s="640">
        <f>IF($A172&gt;=BegDate,Assumptions!$C$56*24*($A173-$A172)*(1-VLOOKUP($B172,MAIN!$AA$7:$AM$28,$C172+1))*(1-VLOOKUP($B172,MAIN!$AA$33:$AM$54,$C172+1)),0)*16/168</f>
        <v>44897.142857142855</v>
      </c>
      <c r="GY172" s="1715">
        <f t="shared" si="509"/>
        <v>39.653570846615438</v>
      </c>
      <c r="GZ172" s="1715">
        <f>IF($A172&gt;=BegDate,VLOOKUP($A172,GasTable,13)+Assumptions!$C$58,0)</f>
        <v>2.9528023319391989</v>
      </c>
      <c r="HA172" s="1715">
        <f>GZ172*Assumptions!$C$57/1000</f>
        <v>21.407816906559194</v>
      </c>
      <c r="HB172" s="625">
        <f>IF(Assumptions!$C$60="Hourly",MAX(0,GX172*(GY172-HA172)),GX172*(GY172-HA172))</f>
        <v>819182.22118298232</v>
      </c>
      <c r="HC172" s="640">
        <f>IF($A172&gt;=BegDate,Assumptions!$C$56*24*($A173-$A172)*(1-VLOOKUP($B172,MAIN!$AA$7:$AM$28,$C172+1))*(1-VLOOKUP($B172,MAIN!$AA$33:$AM$54,$C172+1)),0)*16/168</f>
        <v>44897.142857142855</v>
      </c>
      <c r="HD172" s="1715">
        <f t="shared" si="510"/>
        <v>25.976397303490497</v>
      </c>
      <c r="HE172" s="1715">
        <f>IF($A172&gt;=BegDate,VLOOKUP($A172,GasTable,13)+Assumptions!$C$58,0)</f>
        <v>2.9528023319391989</v>
      </c>
      <c r="HF172" s="1715">
        <f>HE172*Assumptions!$C$57/1000</f>
        <v>21.407816906559194</v>
      </c>
      <c r="HG172" s="625">
        <f>IF(Assumptions!$C$60="Hourly",MAX(0,HC172*(HD172-HF172)),HC172*(HD172-HF172))</f>
        <v>205116.2067353671</v>
      </c>
      <c r="HH172" s="640">
        <f>IF($A172&gt;=BegDate,Assumptions!$C$56*24*($A173-$A172)*(1-VLOOKUP($B172,MAIN!$AA$7:$AM$28,$C172+1))*(1-VLOOKUP($B172,MAIN!$AA$33:$AM$54,$C172+1)),0)*56/168</f>
        <v>157140</v>
      </c>
      <c r="HI172" s="1715">
        <f t="shared" si="511"/>
        <v>25.976397303490497</v>
      </c>
      <c r="HJ172" s="1715">
        <f>IF($A172&gt;=BegDate,VLOOKUP($A172,GasTable,13)+Assumptions!$C$58,0)</f>
        <v>2.9528023319391989</v>
      </c>
      <c r="HK172" s="1715">
        <f>HJ172*Assumptions!$C$57/1000</f>
        <v>21.407816906559194</v>
      </c>
      <c r="HL172" s="625">
        <f>IF(Assumptions!$C$60="Hourly",MAX(0,HH172*(HI172-HK172)),HH172*(HI172-HK172))</f>
        <v>717906.72357378493</v>
      </c>
      <c r="HM172" s="640">
        <f>IF(AND(Assumptions!$H$71="Yes",A172&gt;=Assumptions!$H$72,A172&lt;=Assumptions!$H$73),Assumptions!$H$74*Assumptions!$C$9*1000,0)</f>
        <v>0</v>
      </c>
      <c r="HN172" s="530"/>
      <c r="HO172" s="545"/>
      <c r="HP172" s="545"/>
      <c r="HQ172" s="545"/>
      <c r="HR172" s="545"/>
      <c r="HS172" s="545"/>
      <c r="HT172" s="545"/>
      <c r="HU172" s="545"/>
      <c r="HV172" s="545"/>
      <c r="HW172" s="545"/>
      <c r="HX172" s="545"/>
      <c r="HY172" s="545"/>
      <c r="HZ172" s="545"/>
      <c r="IA172" s="545"/>
      <c r="IB172" s="545"/>
      <c r="IC172" s="545"/>
      <c r="ID172" s="545"/>
      <c r="IE172" s="545"/>
      <c r="IF172" s="545"/>
      <c r="IG172" s="545"/>
      <c r="IH172" s="545"/>
      <c r="II172" s="1464"/>
      <c r="IJ172" s="1463"/>
      <c r="IK172" s="1463"/>
    </row>
    <row r="173" spans="1:245">
      <c r="A173" s="177">
        <f t="shared" si="466"/>
        <v>41395</v>
      </c>
      <c r="B173" s="349">
        <f t="shared" si="467"/>
        <v>2013</v>
      </c>
      <c r="C173" s="15">
        <f t="shared" si="515"/>
        <v>5</v>
      </c>
      <c r="D173" s="612">
        <f t="shared" si="468"/>
        <v>41421</v>
      </c>
      <c r="E173" s="609">
        <f t="shared" si="516"/>
        <v>41395</v>
      </c>
      <c r="F173" s="614">
        <f t="shared" si="517"/>
        <v>41425</v>
      </c>
      <c r="G173" s="1349">
        <v>0</v>
      </c>
      <c r="H173" s="152">
        <f t="shared" si="512"/>
        <v>1</v>
      </c>
      <c r="I173" s="154">
        <f>IF(Assumptions!$L$25=4,VLOOKUP($A173,'Henwood Reference'!$E$9:$R$320,10),(VLOOKUP($A173,PriceTable,2,0)+IF(BasisNumber&lt;&gt;1,VLOOKUP($A173,BasisTable,2,0),0)+I$1)/(1-I$2))</f>
        <v>45.531072572082266</v>
      </c>
      <c r="J173" s="154">
        <f>IF(Assumptions!$L$25=4,VLOOKUP($A173,'Henwood Reference'!$E$9:$R$320,10),(VLOOKUP($A173,PriceTable,3,0)+IF(BasisNumber&lt;&gt;1,VLOOKUP($A173,BasisTable,2,0),0)+J$1)/(1-J$2))</f>
        <v>45.531072572082266</v>
      </c>
      <c r="K173" s="154">
        <f>IF(Assumptions!$L$25=4,VLOOKUP($A173,'Henwood Reference'!$E$9:$R$320,10),(VLOOKUP($A173,PriceTable,4,0)+IF(BasisNumber&lt;&gt;1,VLOOKUP($A173,BasisTable,2,0),0)+K$1)/(1-K$2))</f>
        <v>45.531072572082266</v>
      </c>
      <c r="L173" s="474">
        <f>IF(Assumptions!$L$25=4,VLOOKUP($A173,'Henwood Reference'!$E$9:$R$320,10),(VLOOKUP($A173,PriceTableWeekend,2,0)+IF(BasisNumber&lt;&gt;1,VLOOKUP($A173,BasisTable,2,0),0)+L$1)/(1-L$2))</f>
        <v>45.531072572082266</v>
      </c>
      <c r="M173" s="154">
        <f>IF(Assumptions!$L$25=4,VLOOKUP($A173,'Henwood Reference'!$E$9:$R$320,10),(VLOOKUP($A173,PriceTableWeekend,3,0)+IF(BasisNumber&lt;&gt;1,VLOOKUP($A173,BasisTable,2,0),0)+M$1)/(1-M$2))</f>
        <v>45.531072572082266</v>
      </c>
      <c r="N173" s="156">
        <f>IF(Assumptions!$L$25=4,VLOOKUP($A173,'Henwood Reference'!$E$9:$R$320,10),(VLOOKUP($A173,PriceTableWeekend,4,0)+IF(BasisNumber&lt;&gt;1,VLOOKUP($A173,BasisTable,2,0),0)+N$1)/(1-N$2))</f>
        <v>45.531072572082266</v>
      </c>
      <c r="O173" s="154">
        <f>IF(Assumptions!$L$25=4,VLOOKUP($A173,'Henwood Reference'!$E$9:$R$320,11),(VLOOKUP($A173,PriceTableWeekend,6,0)+IF(BasisNumber&lt;&gt;1,VLOOKUP($A173,BasisTable,3,0),0)+O$1)/(1-O$2))</f>
        <v>25.989333369795034</v>
      </c>
      <c r="P173" s="154">
        <f>IF(Assumptions!$L$25=4,VLOOKUP($A173,'Henwood Reference'!$E$9:$R$320,11),(VLOOKUP($A173,PriceTableWeekend,7,0)+IF(BasisNumber&lt;&gt;1,VLOOKUP($A173,BasisTable,3,0),0)+P$1)/(1-P$2))</f>
        <v>25.989333369795034</v>
      </c>
      <c r="Q173" s="156">
        <f>IF(Assumptions!$L$25=4,VLOOKUP($A173,'Henwood Reference'!$E$9:$R$320,11),(VLOOKUP($A173,PriceTableWeekend,8,0)+IF(BasisNumber&lt;&gt;1,VLOOKUP($A173,BasisTable,3,0),0)+Q$1)/(1-Q$2))</f>
        <v>25.989333369795034</v>
      </c>
      <c r="R173" s="154">
        <f>IF(Assumptions!$L$25=4,VLOOKUP($A173,'Henwood Reference'!$E$9:$R$320,11),(VLOOKUP($A173,PriceTable,6,0)+IF(BasisNumber&lt;&gt;1,VLOOKUP($A173,BasisTable,3,0),0)+R$1)/(1-R$2))</f>
        <v>25.989333369795034</v>
      </c>
      <c r="S173" s="154">
        <f>IF(Assumptions!$L$25=4,VLOOKUP($A173,'Henwood Reference'!$E$9:$R$320,11),(VLOOKUP($A173,PriceTable,7,0)+IF(BasisNumber&lt;&gt;1,VLOOKUP($A173,BasisTable,3,0),0)+S$1)/(1-S$2))</f>
        <v>25.989333369795034</v>
      </c>
      <c r="T173" s="155">
        <f>IF(Assumptions!$L$25=4,VLOOKUP($A173,'Henwood Reference'!$E$9:$R$320,11),(VLOOKUP($A173,PriceTable,8,0)+IF(BasisNumber&lt;&gt;1,VLOOKUP($A173,BasisTable,3,0),0)+T$1)/(1-T$2))</f>
        <v>25.989333369795034</v>
      </c>
      <c r="U173" s="173">
        <f t="shared" si="469"/>
        <v>0.105</v>
      </c>
      <c r="V173" s="173">
        <f t="shared" si="470"/>
        <v>0.115</v>
      </c>
      <c r="W173" s="174">
        <f t="shared" si="471"/>
        <v>0.125</v>
      </c>
      <c r="X173" s="173">
        <f t="shared" si="472"/>
        <v>0.105</v>
      </c>
      <c r="Y173" s="173">
        <f t="shared" si="473"/>
        <v>0.115</v>
      </c>
      <c r="Z173" s="174">
        <f t="shared" si="474"/>
        <v>0.125</v>
      </c>
      <c r="AA173" s="173">
        <f t="shared" si="475"/>
        <v>0.09</v>
      </c>
      <c r="AB173" s="173">
        <f t="shared" si="476"/>
        <v>0.11</v>
      </c>
      <c r="AC173" s="174">
        <f t="shared" si="477"/>
        <v>0.13</v>
      </c>
      <c r="AD173" s="173">
        <f t="shared" si="478"/>
        <v>0.09</v>
      </c>
      <c r="AE173" s="173">
        <f t="shared" si="479"/>
        <v>0.11</v>
      </c>
      <c r="AF173" s="174">
        <f t="shared" si="480"/>
        <v>0.13</v>
      </c>
      <c r="AG173" s="173">
        <f t="shared" si="481"/>
        <v>-0.1</v>
      </c>
      <c r="AH173" s="173">
        <f t="shared" si="482"/>
        <v>0.65</v>
      </c>
      <c r="AI173" s="174">
        <f t="shared" si="483"/>
        <v>0.1</v>
      </c>
      <c r="AJ173" s="173">
        <f t="shared" si="484"/>
        <v>-0.1</v>
      </c>
      <c r="AK173" s="173">
        <f t="shared" si="485"/>
        <v>0.65</v>
      </c>
      <c r="AL173" s="174">
        <f t="shared" si="486"/>
        <v>0.1</v>
      </c>
      <c r="AM173" s="173">
        <f t="shared" si="487"/>
        <v>-0.01</v>
      </c>
      <c r="AN173" s="173">
        <f t="shared" si="488"/>
        <v>0.16</v>
      </c>
      <c r="AO173" s="174">
        <f t="shared" si="489"/>
        <v>0.01</v>
      </c>
      <c r="AP173" s="173">
        <f t="shared" si="490"/>
        <v>-0.01</v>
      </c>
      <c r="AQ173" s="173">
        <f t="shared" si="491"/>
        <v>0.16</v>
      </c>
      <c r="AR173" s="175">
        <f t="shared" si="492"/>
        <v>0.01</v>
      </c>
      <c r="AS173" s="521">
        <f t="shared" si="520"/>
        <v>0.5</v>
      </c>
      <c r="AT173" s="349">
        <f t="shared" si="518"/>
        <v>22</v>
      </c>
      <c r="AU173" s="159">
        <f t="shared" si="411"/>
        <v>4</v>
      </c>
      <c r="AV173" s="159">
        <f t="shared" si="412"/>
        <v>4</v>
      </c>
      <c r="AW173" s="159">
        <f t="shared" si="521"/>
        <v>1</v>
      </c>
      <c r="AX173" s="15">
        <f t="shared" si="519"/>
        <v>31</v>
      </c>
      <c r="AY173" s="607">
        <f>IF(E173="",0,MIN((1-(1-VLOOKUP(B173,MAIN!$AA$7:$AM$28,C173+1))*(1-VLOOKUP(B173,MAIN!$AA$33:$AM$54,C173+1))),1))</f>
        <v>3.0000000000000027E-2</v>
      </c>
      <c r="AZ173" s="337">
        <v>51216</v>
      </c>
      <c r="BA173" s="509">
        <v>9312</v>
      </c>
      <c r="BB173" s="509">
        <v>11640</v>
      </c>
      <c r="BC173" s="511">
        <v>36084</v>
      </c>
      <c r="BD173" s="153">
        <v>0.97</v>
      </c>
      <c r="BE173" s="474">
        <v>0.97</v>
      </c>
      <c r="BF173" s="474">
        <v>0.97</v>
      </c>
      <c r="BG173" s="515">
        <v>0.97</v>
      </c>
      <c r="BH173" s="262">
        <v>204864</v>
      </c>
      <c r="BI173" s="509">
        <v>37248</v>
      </c>
      <c r="BJ173" s="509">
        <v>46560</v>
      </c>
      <c r="BK173" s="511">
        <v>144336</v>
      </c>
      <c r="BL173" s="153">
        <v>0.97</v>
      </c>
      <c r="BM173" s="474">
        <v>0.97</v>
      </c>
      <c r="BN173" s="474">
        <v>0.97</v>
      </c>
      <c r="BO173" s="474">
        <v>0.97</v>
      </c>
      <c r="BP173" s="261">
        <f t="shared" si="495"/>
        <v>72168</v>
      </c>
      <c r="BQ173" s="578">
        <f t="shared" si="496"/>
        <v>108252</v>
      </c>
      <c r="BR173" s="259">
        <f t="shared" si="497"/>
        <v>288672</v>
      </c>
      <c r="BS173" s="578">
        <f t="shared" si="498"/>
        <v>433008</v>
      </c>
      <c r="BT173" s="216">
        <f t="shared" si="499"/>
        <v>13.045859000684462</v>
      </c>
      <c r="BU173" s="218">
        <f t="shared" si="414"/>
        <v>45.531072572082266</v>
      </c>
      <c r="BV173" s="216">
        <f t="shared" si="415"/>
        <v>45.531072572082266</v>
      </c>
      <c r="BW173" s="216">
        <f t="shared" si="416"/>
        <v>25.989333369795034</v>
      </c>
      <c r="BX173" s="216">
        <f t="shared" si="500"/>
        <v>25.989333369795034</v>
      </c>
      <c r="BY173" s="216">
        <f t="shared" si="417"/>
        <v>42.379179152358518</v>
      </c>
      <c r="BZ173" s="216">
        <f t="shared" si="418"/>
        <v>36.915897224837352</v>
      </c>
      <c r="CA173" s="264">
        <f t="shared" si="419"/>
        <v>45.531072572082266</v>
      </c>
      <c r="CB173" s="216">
        <f t="shared" si="420"/>
        <v>45.531072572082266</v>
      </c>
      <c r="CC173" s="216">
        <f t="shared" si="421"/>
        <v>25.989333369795034</v>
      </c>
      <c r="CD173" s="216">
        <f t="shared" si="501"/>
        <v>25.989333369795034</v>
      </c>
      <c r="CE173" s="216">
        <f t="shared" si="422"/>
        <v>42.379179152358518</v>
      </c>
      <c r="CF173" s="571">
        <f t="shared" si="423"/>
        <v>36.915897224837352</v>
      </c>
      <c r="CG173" s="573">
        <f t="shared" si="424"/>
        <v>0.115</v>
      </c>
      <c r="CH173" s="219">
        <f t="shared" si="425"/>
        <v>0.115</v>
      </c>
      <c r="CI173" s="219">
        <f t="shared" si="426"/>
        <v>0.11</v>
      </c>
      <c r="CJ173" s="219">
        <f t="shared" si="427"/>
        <v>0.11450709894289539</v>
      </c>
      <c r="CK173" s="219">
        <f t="shared" si="428"/>
        <v>0.11450709894289539</v>
      </c>
      <c r="CL173" s="219">
        <f t="shared" si="429"/>
        <v>0.11</v>
      </c>
      <c r="CM173" s="219">
        <f t="shared" si="430"/>
        <v>0.10332603420332669</v>
      </c>
      <c r="CN173" s="569">
        <f t="shared" si="431"/>
        <v>0.10332603420332669</v>
      </c>
      <c r="CO173" s="264">
        <f t="shared" si="514"/>
        <v>20.893278765728031</v>
      </c>
      <c r="CP173" s="216">
        <f t="shared" si="502"/>
        <v>20.893278765728031</v>
      </c>
      <c r="CQ173" s="216">
        <f t="shared" ca="1" si="361"/>
        <v>20.893278765728031</v>
      </c>
      <c r="CR173" s="216">
        <f t="shared" ca="1" si="362"/>
        <v>20.893278765728031</v>
      </c>
      <c r="CS173" s="1626">
        <f t="shared" ca="1" si="363"/>
        <v>20.893278765728031</v>
      </c>
      <c r="CT173" s="216">
        <f t="shared" si="503"/>
        <v>20.893278765728031</v>
      </c>
      <c r="CU173" s="575">
        <f t="shared" si="432"/>
        <v>0.155</v>
      </c>
      <c r="CV173" s="154">
        <f t="shared" si="433"/>
        <v>0.5</v>
      </c>
      <c r="CW173" s="216">
        <f>IF(OR($BQ173,$BS173),SpreadOptPowerMargin,0)*((1+Assumptions!$C$26)^($B173-YEAR(Assumptions!$C$17)))</f>
        <v>2.1941899559905629</v>
      </c>
      <c r="CX173" s="216">
        <f>IF(OR($BQ173,$BS173),SpreadOptPowerMargin,0)*((1+Assumptions!$C$26)^($B173-YEAR(Assumptions!$C$17)))</f>
        <v>2.1941899559905629</v>
      </c>
      <c r="CY173" s="216">
        <f>IF(OR($BQ173,$BS173),SpreadOptPowerMargin,0)*((1+Assumptions!$C$26)^($B173-YEAR(Assumptions!$C$17)))</f>
        <v>2.1941899559905629</v>
      </c>
      <c r="CZ173" s="216">
        <f>IF(OR($BQ173,$BS173),SpreadOptPowerMargin,0)*((1+Assumptions!$C$26)^($B173-YEAR(Assumptions!$C$17)))</f>
        <v>2.1941899559905629</v>
      </c>
      <c r="DA173" s="440">
        <f t="shared" si="434"/>
        <v>2.1941899559905633</v>
      </c>
      <c r="DB173" s="479">
        <f t="shared" si="435"/>
        <v>0.115</v>
      </c>
      <c r="DC173" s="479">
        <f t="shared" si="436"/>
        <v>0.115</v>
      </c>
      <c r="DD173" s="479">
        <f t="shared" si="437"/>
        <v>0.11</v>
      </c>
      <c r="DE173" s="479">
        <f t="shared" si="438"/>
        <v>0.11</v>
      </c>
      <c r="DF173" s="479">
        <f t="shared" si="439"/>
        <v>0.10332603420332669</v>
      </c>
      <c r="DG173" s="574">
        <f t="shared" si="440"/>
        <v>0.10332603420332669</v>
      </c>
      <c r="DH173" s="216">
        <f t="shared" si="441"/>
        <v>22.958812521816458</v>
      </c>
      <c r="DI173" s="216">
        <f t="shared" si="442"/>
        <v>22.958812521816458</v>
      </c>
      <c r="DJ173" s="216">
        <f t="shared" ca="1" si="364"/>
        <v>6.0836321270103131</v>
      </c>
      <c r="DK173" s="216">
        <f t="shared" ca="1" si="365"/>
        <v>6.0836321270103131</v>
      </c>
      <c r="DL173" s="216">
        <f t="shared" ca="1" si="366"/>
        <v>14.889997003635752</v>
      </c>
      <c r="DM173" s="216"/>
      <c r="DN173" s="216"/>
      <c r="DO173" s="216"/>
      <c r="DP173" s="216"/>
      <c r="DQ173" s="216"/>
      <c r="DR173" s="216"/>
      <c r="DS173" s="216"/>
      <c r="DT173" s="216"/>
      <c r="DU173" s="216"/>
      <c r="DV173" s="216"/>
      <c r="DW173" s="1371">
        <f t="shared" si="443"/>
        <v>6.0836321270103131</v>
      </c>
      <c r="DX173" s="216">
        <f t="shared" si="444"/>
        <v>6.0836321270103131</v>
      </c>
      <c r="DY173" s="440">
        <f t="shared" si="445"/>
        <v>15.519216863891169</v>
      </c>
      <c r="DZ173" s="180">
        <f t="shared" si="446"/>
        <v>1175858.5421173517</v>
      </c>
      <c r="EA173" s="180">
        <f t="shared" si="447"/>
        <v>213792.46220315486</v>
      </c>
      <c r="EB173" s="180">
        <f t="shared" ca="1" si="367"/>
        <v>70813.47795840005</v>
      </c>
      <c r="EC173" s="180">
        <f t="shared" ca="1" si="368"/>
        <v>219521.78167104014</v>
      </c>
      <c r="ED173" s="180">
        <f t="shared" ca="1" si="369"/>
        <v>1611871.9556375775</v>
      </c>
      <c r="EE173" s="581">
        <f t="shared" si="448"/>
        <v>1149471.6148002259</v>
      </c>
      <c r="EF173" s="554">
        <f t="shared" si="449"/>
        <v>208994.83905458651</v>
      </c>
      <c r="EG173" s="554">
        <f t="shared" ca="1" si="370"/>
        <v>33777.704503609762</v>
      </c>
      <c r="EH173" s="554">
        <f t="shared" ca="1" si="371"/>
        <v>104710.88396119027</v>
      </c>
      <c r="EI173" s="561">
        <f t="shared" ca="1" si="450"/>
        <v>1496955.0423196119</v>
      </c>
      <c r="EJ173" s="581">
        <f t="shared" si="504"/>
        <v>26386.927317125723</v>
      </c>
      <c r="EK173" s="554">
        <f t="shared" si="505"/>
        <v>4797.6231485683529</v>
      </c>
      <c r="EL173" s="554">
        <f t="shared" ca="1" si="372"/>
        <v>37035.773454790287</v>
      </c>
      <c r="EM173" s="554">
        <f t="shared" ca="1" si="373"/>
        <v>114810.89770984987</v>
      </c>
      <c r="EN173" s="561">
        <f t="shared" ca="1" si="374"/>
        <v>114916.91331796558</v>
      </c>
      <c r="EO173" s="180">
        <f t="shared" si="451"/>
        <v>4703434.1684694067</v>
      </c>
      <c r="EP173" s="180">
        <f t="shared" si="452"/>
        <v>855169.84881261946</v>
      </c>
      <c r="EQ173" s="180">
        <f t="shared" si="453"/>
        <v>283253.9118336002</v>
      </c>
      <c r="ER173" s="180">
        <f t="shared" si="454"/>
        <v>878087.12668416055</v>
      </c>
      <c r="ES173" s="180">
        <f t="shared" si="455"/>
        <v>6719945.0557997869</v>
      </c>
      <c r="ET173" s="1482">
        <f t="shared" ca="1" si="375"/>
        <v>4597886.4592009038</v>
      </c>
      <c r="EU173" s="180">
        <f t="shared" ca="1" si="376"/>
        <v>835979.35621834605</v>
      </c>
      <c r="EV173" s="180">
        <f t="shared" ca="1" si="377"/>
        <v>135110.81801443905</v>
      </c>
      <c r="EW173" s="180">
        <f t="shared" ca="1" si="378"/>
        <v>418843.53584476106</v>
      </c>
      <c r="EX173" s="555">
        <f t="shared" ca="1" si="522"/>
        <v>5987820.1692784503</v>
      </c>
      <c r="EY173" s="180">
        <f t="shared" ca="1" si="379"/>
        <v>105547.70926850289</v>
      </c>
      <c r="EZ173" s="180">
        <f t="shared" ca="1" si="380"/>
        <v>19190.492594273412</v>
      </c>
      <c r="FA173" s="180">
        <f t="shared" ca="1" si="381"/>
        <v>148143.09381916115</v>
      </c>
      <c r="FB173" s="180">
        <f t="shared" ca="1" si="382"/>
        <v>459243.59083939949</v>
      </c>
      <c r="FC173" s="180">
        <f t="shared" ca="1" si="383"/>
        <v>732124.88652133662</v>
      </c>
      <c r="FD173" s="262">
        <f>IF(AX173,IF(VLOOKUP(C173,MAIN!$L$17:$M$28,2)="Yes",VLOOKUP(CALC!B173,MAIN!$H$17:$I$20,2),0),0)</f>
        <v>0</v>
      </c>
      <c r="FE173" s="623">
        <f t="shared" si="456"/>
        <v>0</v>
      </c>
      <c r="FF173" s="535">
        <f t="shared" si="457"/>
        <v>0</v>
      </c>
      <c r="FG173" s="535">
        <f t="shared" si="458"/>
        <v>0</v>
      </c>
      <c r="FH173" s="624">
        <f t="shared" si="459"/>
        <v>0</v>
      </c>
      <c r="FI173" s="632">
        <f>IF(AX173,VLOOKUP(CALC!B173,MAIN!$H$17:$K$20,4),0)</f>
        <v>0</v>
      </c>
      <c r="FJ173" s="535">
        <f t="shared" si="460"/>
        <v>0</v>
      </c>
      <c r="FK173" s="648">
        <f t="shared" si="506"/>
        <v>0</v>
      </c>
      <c r="FL173" s="530">
        <f t="shared" ca="1" si="384"/>
        <v>0</v>
      </c>
      <c r="FM173" s="530">
        <f t="shared" ca="1" si="385"/>
        <v>0</v>
      </c>
      <c r="FN173" s="530">
        <f t="shared" ca="1" si="386"/>
        <v>0</v>
      </c>
      <c r="FO173" s="622">
        <f t="shared" ca="1" si="387"/>
        <v>0</v>
      </c>
      <c r="FP173" s="530">
        <f t="shared" ca="1" si="388"/>
        <v>0</v>
      </c>
      <c r="FQ173" s="530">
        <f t="shared" ca="1" si="389"/>
        <v>0</v>
      </c>
      <c r="FR173" s="530">
        <f t="shared" ca="1" si="390"/>
        <v>0</v>
      </c>
      <c r="FS173" s="625">
        <f t="shared" ca="1" si="391"/>
        <v>0</v>
      </c>
      <c r="FT173" s="640">
        <f ca="1">IF(AND(Assumptions!$H$71="Yes",A173&gt;=Assumptions!$H$72,A173&lt;=Assumptions!$H$73),0,IF(AND($A173&gt;=Assumptions!$C$17,$A173&lt;=Assumptions!$C$18),MAX(AZ173*(1+VLOOKUP($C173,WeatherCapacityAdjustment,2))-FL173,0),0))</f>
        <v>51216</v>
      </c>
      <c r="FU173" s="530">
        <f ca="1">IF(AND(Assumptions!$H$71="Yes",A173&gt;=Assumptions!$H$72,A173&lt;=Assumptions!$H$73),0,IF(AND($A173&gt;=Assumptions!$C$17,$A173&lt;=Assumptions!$C$18),MAX(BA173*(1+VLOOKUP($C173,WeatherCapacityAdjustment,2))-FM173,0),0))</f>
        <v>9312</v>
      </c>
      <c r="FV173" s="530">
        <f ca="1">IF(AND(Assumptions!$H$71="Yes",A173&gt;=Assumptions!$H$72,A173&lt;=Assumptions!$H$73),0,IF(AND($A173&gt;=Assumptions!$C$17,$A173&lt;=Assumptions!$C$18),MAX(BB173*(1+VLOOKUP($C173,WeatherCapacityAdjustment,2))-FN173,0),0))</f>
        <v>11640</v>
      </c>
      <c r="FW173" s="622">
        <f ca="1">IF(AND(Assumptions!$H$71="Yes",A173&gt;=Assumptions!$H$72,A173&lt;=Assumptions!$H$73),0,IF(AND($A173&gt;=Assumptions!$C$17,$A173&lt;=Assumptions!$C$18),MAX(BC173*(1+VLOOKUP($C173,WeatherCapacityAdjustment,3))-FO173,0),0))</f>
        <v>36084</v>
      </c>
      <c r="FX173" s="621">
        <f ca="1">IF(AND(Assumptions!$H$71="Yes",A173&gt;=Assumptions!$H$72,A173&lt;=Assumptions!$H$73),0,IF(ET173&gt;0,MAX(BH173*(1+VLOOKUP($C173,WeatherCapacityAdjustment,2))-FP173,0),0))</f>
        <v>204864</v>
      </c>
      <c r="FY173" s="530">
        <f ca="1">IF(AND(Assumptions!$H$71="Yes",A173&gt;=Assumptions!$H$72,A173&lt;=Assumptions!$H$73),0,IF(EU173&gt;0,MAX(BI173*(1+VLOOKUP($C173,WeatherCapacityAdjustment,3))-FQ173,0),0))</f>
        <v>37248</v>
      </c>
      <c r="FZ173" s="530">
        <f ca="1">IF(AND(Assumptions!$H$71="Yes",A173&gt;=Assumptions!$H$72,A173&lt;=Assumptions!$H$73),0,IF(EV173&gt;0,MAX(BJ173*(1+VLOOKUP($C173,WeatherCapacityAdjustment,2))-FR173,0),0))</f>
        <v>46560</v>
      </c>
      <c r="GA173" s="622">
        <f ca="1">IF(AND(Assumptions!$H$71="Yes",A173&gt;=Assumptions!$H$72,A173&lt;=Assumptions!$H$73),0,IF(EW173&gt;0,MAX(BK173*(1+VLOOKUP($C173,WeatherCapacityAdjustment,2))-FS173,0),0))</f>
        <v>144336</v>
      </c>
      <c r="GB173" s="530">
        <f t="shared" ca="1" si="461"/>
        <v>541260</v>
      </c>
      <c r="GC173" s="545">
        <f t="shared" ca="1" si="462"/>
        <v>36.915897224837359</v>
      </c>
      <c r="GD173" s="530">
        <f t="shared" ca="1" si="392"/>
        <v>19981098.531915471</v>
      </c>
      <c r="GE173" s="1485">
        <f t="shared" ca="1" si="393"/>
        <v>773040.52223999996</v>
      </c>
      <c r="GF173" s="1776">
        <f t="shared" ca="1" si="394"/>
        <v>3092162.0889599998</v>
      </c>
      <c r="GG173" s="545">
        <f t="shared" si="359"/>
        <v>2.9257705746056688</v>
      </c>
      <c r="GH173" s="622">
        <f t="shared" ca="1" si="360"/>
        <v>11308696.064737955</v>
      </c>
      <c r="GI173" s="621">
        <f t="shared" ca="1" si="507"/>
        <v>541260</v>
      </c>
      <c r="GJ173" s="638">
        <f t="shared" si="463"/>
        <v>2.1941899559905633</v>
      </c>
      <c r="GK173" s="625">
        <f t="shared" ca="1" si="513"/>
        <v>1187627.2555794523</v>
      </c>
      <c r="GL173" s="640">
        <f t="shared" ca="1" si="395"/>
        <v>0</v>
      </c>
      <c r="GM173" s="530">
        <f t="shared" ca="1" si="396"/>
        <v>0</v>
      </c>
      <c r="GN173" s="530">
        <f t="shared" ca="1" si="397"/>
        <v>0</v>
      </c>
      <c r="GO173" s="622">
        <f t="shared" ca="1" si="398"/>
        <v>0</v>
      </c>
      <c r="GP173" s="530">
        <f t="shared" ca="1" si="464"/>
        <v>0</v>
      </c>
      <c r="GQ173" s="545">
        <f t="shared" ca="1" si="465"/>
        <v>0</v>
      </c>
      <c r="GR173" s="625">
        <f t="shared" ca="1" si="399"/>
        <v>0</v>
      </c>
      <c r="GS173" s="640">
        <f>IF($A173&gt;=BegDate,Assumptions!$C$56*24*($A174-$A173)*(1-VLOOKUP($B173,MAIN!$AA$7:$AM$28,$C173+1))*(1-VLOOKUP($B173,MAIN!$AA$33:$AM$54,$C173+1)),0)*80/168</f>
        <v>257742.85714285713</v>
      </c>
      <c r="GT173" s="1715">
        <f t="shared" si="508"/>
        <v>45.531072572082266</v>
      </c>
      <c r="GU173" s="1715">
        <f>IF($A173&gt;=BegDate,VLOOKUP($A173,GasTable,13)+Assumptions!$C$58,0)</f>
        <v>2.9257705746056688</v>
      </c>
      <c r="GV173" s="1715">
        <f>GU173*Assumptions!$C$57/1000</f>
        <v>21.211836665891099</v>
      </c>
      <c r="GW173" s="625">
        <f>IF(Assumptions!$C$60="Hourly",MAX(0,GS173*(GT173-GV173)),GS173*(GT173-GV173))</f>
        <v>6268109.3459928716</v>
      </c>
      <c r="GX173" s="640">
        <f>IF($A173&gt;=BegDate,Assumptions!$C$56*24*($A174-$A173)*(1-VLOOKUP($B173,MAIN!$AA$7:$AM$28,$C173+1))*(1-VLOOKUP($B173,MAIN!$AA$33:$AM$54,$C173+1)),0)*16/168</f>
        <v>51548.571428571428</v>
      </c>
      <c r="GY173" s="1715">
        <f t="shared" si="509"/>
        <v>45.531072572082266</v>
      </c>
      <c r="GZ173" s="1715">
        <f>IF($A173&gt;=BegDate,VLOOKUP($A173,GasTable,13)+Assumptions!$C$58,0)</f>
        <v>2.9257705746056688</v>
      </c>
      <c r="HA173" s="1715">
        <f>GZ173*Assumptions!$C$57/1000</f>
        <v>21.211836665891099</v>
      </c>
      <c r="HB173" s="625">
        <f>IF(Assumptions!$C$60="Hourly",MAX(0,GX173*(GY173-HA173)),GX173*(GY173-HA173))</f>
        <v>1253621.8691985745</v>
      </c>
      <c r="HC173" s="640">
        <f>IF($A173&gt;=BegDate,Assumptions!$C$56*24*($A174-$A173)*(1-VLOOKUP($B173,MAIN!$AA$7:$AM$28,$C173+1))*(1-VLOOKUP($B173,MAIN!$AA$33:$AM$54,$C173+1)),0)*16/168</f>
        <v>51548.571428571428</v>
      </c>
      <c r="HD173" s="1715">
        <f t="shared" si="510"/>
        <v>25.989333369795034</v>
      </c>
      <c r="HE173" s="1715">
        <f>IF($A173&gt;=BegDate,VLOOKUP($A173,GasTable,13)+Assumptions!$C$58,0)</f>
        <v>2.9257705746056688</v>
      </c>
      <c r="HF173" s="1715">
        <f>HE173*Assumptions!$C$57/1000</f>
        <v>21.211836665891099</v>
      </c>
      <c r="HG173" s="625">
        <f>IF(Assumptions!$C$60="Hourly",MAX(0,HC173*(HD173-HF173)),HC173*(HD173-HF173))</f>
        <v>246273.13009095658</v>
      </c>
      <c r="HH173" s="640">
        <f>IF($A173&gt;=BegDate,Assumptions!$C$56*24*($A174-$A173)*(1-VLOOKUP($B173,MAIN!$AA$7:$AM$28,$C173+1))*(1-VLOOKUP($B173,MAIN!$AA$33:$AM$54,$C173+1)),0)*56/168</f>
        <v>180420</v>
      </c>
      <c r="HI173" s="1715">
        <f t="shared" si="511"/>
        <v>25.989333369795034</v>
      </c>
      <c r="HJ173" s="1715">
        <f>IF($A173&gt;=BegDate,VLOOKUP($A173,GasTable,13)+Assumptions!$C$58,0)</f>
        <v>2.9257705746056688</v>
      </c>
      <c r="HK173" s="1715">
        <f>HJ173*Assumptions!$C$57/1000</f>
        <v>21.211836665891099</v>
      </c>
      <c r="HL173" s="625">
        <f>IF(Assumptions!$C$60="Hourly",MAX(0,HH173*(HI173-HK173)),HH173*(HI173-HK173))</f>
        <v>861955.95531834802</v>
      </c>
      <c r="HM173" s="640">
        <f>IF(AND(Assumptions!$H$71="Yes",A173&gt;=Assumptions!$H$72,A173&lt;=Assumptions!$H$73),Assumptions!$H$74*Assumptions!$C$9*1000,0)</f>
        <v>0</v>
      </c>
      <c r="HN173" s="530"/>
      <c r="HO173" s="545"/>
      <c r="HP173" s="545"/>
      <c r="HQ173" s="545"/>
      <c r="HR173" s="545"/>
      <c r="HS173" s="545"/>
      <c r="HT173" s="545"/>
      <c r="HU173" s="545"/>
      <c r="HV173" s="545"/>
      <c r="HW173" s="545"/>
      <c r="HX173" s="545"/>
      <c r="HY173" s="545"/>
      <c r="HZ173" s="545"/>
      <c r="IA173" s="545"/>
      <c r="IB173" s="545"/>
      <c r="IC173" s="545"/>
      <c r="ID173" s="545"/>
      <c r="IE173" s="545"/>
      <c r="IF173" s="545"/>
      <c r="IG173" s="545"/>
      <c r="IH173" s="545"/>
      <c r="II173" s="1464"/>
      <c r="IJ173" s="1463"/>
      <c r="IK173" s="1463"/>
    </row>
    <row r="174" spans="1:245">
      <c r="A174" s="177">
        <f t="shared" si="466"/>
        <v>41426</v>
      </c>
      <c r="B174" s="349">
        <f t="shared" si="467"/>
        <v>2013</v>
      </c>
      <c r="C174" s="15">
        <f t="shared" si="515"/>
        <v>6</v>
      </c>
      <c r="D174" s="612" t="str">
        <f t="shared" si="468"/>
        <v/>
      </c>
      <c r="E174" s="609">
        <f t="shared" si="516"/>
        <v>41426</v>
      </c>
      <c r="F174" s="614">
        <f t="shared" si="517"/>
        <v>41455</v>
      </c>
      <c r="G174" s="1349">
        <v>0</v>
      </c>
      <c r="H174" s="152">
        <f t="shared" si="512"/>
        <v>1</v>
      </c>
      <c r="I174" s="154">
        <f>IF(Assumptions!$L$25=4,VLOOKUP($A174,'Henwood Reference'!$E$9:$R$320,10),(VLOOKUP($A174,PriceTable,2,0)+IF(BasisNumber&lt;&gt;1,VLOOKUP($A174,BasisTable,2,0),0)+I$1)/(1-I$2))</f>
        <v>40.704108791206963</v>
      </c>
      <c r="J174" s="154">
        <f>IF(Assumptions!$L$25=4,VLOOKUP($A174,'Henwood Reference'!$E$9:$R$320,10),(VLOOKUP($A174,PriceTable,3,0)+IF(BasisNumber&lt;&gt;1,VLOOKUP($A174,BasisTable,2,0),0)+J$1)/(1-J$2))</f>
        <v>40.704108791206963</v>
      </c>
      <c r="K174" s="154">
        <f>IF(Assumptions!$L$25=4,VLOOKUP($A174,'Henwood Reference'!$E$9:$R$320,10),(VLOOKUP($A174,PriceTable,4,0)+IF(BasisNumber&lt;&gt;1,VLOOKUP($A174,BasisTable,2,0),0)+K$1)/(1-K$2))</f>
        <v>40.704108791206963</v>
      </c>
      <c r="L174" s="474">
        <f>IF(Assumptions!$L$25=4,VLOOKUP($A174,'Henwood Reference'!$E$9:$R$320,10),(VLOOKUP($A174,PriceTableWeekend,2,0)+IF(BasisNumber&lt;&gt;1,VLOOKUP($A174,BasisTable,2,0),0)+L$1)/(1-L$2))</f>
        <v>40.704108791206963</v>
      </c>
      <c r="M174" s="154">
        <f>IF(Assumptions!$L$25=4,VLOOKUP($A174,'Henwood Reference'!$E$9:$R$320,10),(VLOOKUP($A174,PriceTableWeekend,3,0)+IF(BasisNumber&lt;&gt;1,VLOOKUP($A174,BasisTable,2,0),0)+M$1)/(1-M$2))</f>
        <v>40.704108791206963</v>
      </c>
      <c r="N174" s="156">
        <f>IF(Assumptions!$L$25=4,VLOOKUP($A174,'Henwood Reference'!$E$9:$R$320,10),(VLOOKUP($A174,PriceTableWeekend,4,0)+IF(BasisNumber&lt;&gt;1,VLOOKUP($A174,BasisTable,2,0),0)+N$1)/(1-N$2))</f>
        <v>40.704108791206963</v>
      </c>
      <c r="O174" s="154">
        <f>IF(Assumptions!$L$25=4,VLOOKUP($A174,'Henwood Reference'!$E$9:$R$320,11),(VLOOKUP($A174,PriceTableWeekend,6,0)+IF(BasisNumber&lt;&gt;1,VLOOKUP($A174,BasisTable,3,0),0)+O$1)/(1-O$2))</f>
        <v>24.278409240356847</v>
      </c>
      <c r="P174" s="154">
        <f>IF(Assumptions!$L$25=4,VLOOKUP($A174,'Henwood Reference'!$E$9:$R$320,11),(VLOOKUP($A174,PriceTableWeekend,7,0)+IF(BasisNumber&lt;&gt;1,VLOOKUP($A174,BasisTable,3,0),0)+P$1)/(1-P$2))</f>
        <v>24.278409240356847</v>
      </c>
      <c r="Q174" s="156">
        <f>IF(Assumptions!$L$25=4,VLOOKUP($A174,'Henwood Reference'!$E$9:$R$320,11),(VLOOKUP($A174,PriceTableWeekend,8,0)+IF(BasisNumber&lt;&gt;1,VLOOKUP($A174,BasisTable,3,0),0)+Q$1)/(1-Q$2))</f>
        <v>24.278409240356847</v>
      </c>
      <c r="R174" s="154">
        <f>IF(Assumptions!$L$25=4,VLOOKUP($A174,'Henwood Reference'!$E$9:$R$320,11),(VLOOKUP($A174,PriceTable,6,0)+IF(BasisNumber&lt;&gt;1,VLOOKUP($A174,BasisTable,3,0),0)+R$1)/(1-R$2))</f>
        <v>24.278409240356847</v>
      </c>
      <c r="S174" s="154">
        <f>IF(Assumptions!$L$25=4,VLOOKUP($A174,'Henwood Reference'!$E$9:$R$320,11),(VLOOKUP($A174,PriceTable,7,0)+IF(BasisNumber&lt;&gt;1,VLOOKUP($A174,BasisTable,3,0),0)+S$1)/(1-S$2))</f>
        <v>24.278409240356847</v>
      </c>
      <c r="T174" s="155">
        <f>IF(Assumptions!$L$25=4,VLOOKUP($A174,'Henwood Reference'!$E$9:$R$320,11),(VLOOKUP($A174,PriceTable,8,0)+IF(BasisNumber&lt;&gt;1,VLOOKUP($A174,BasisTable,3,0),0)+T$1)/(1-T$2))</f>
        <v>24.278409240356847</v>
      </c>
      <c r="U174" s="173">
        <f t="shared" si="469"/>
        <v>0.105</v>
      </c>
      <c r="V174" s="173">
        <f t="shared" si="470"/>
        <v>0.115</v>
      </c>
      <c r="W174" s="174">
        <f t="shared" si="471"/>
        <v>0.125</v>
      </c>
      <c r="X174" s="173">
        <f t="shared" si="472"/>
        <v>0.105</v>
      </c>
      <c r="Y174" s="173">
        <f t="shared" si="473"/>
        <v>0.115</v>
      </c>
      <c r="Z174" s="174">
        <f t="shared" si="474"/>
        <v>0.125</v>
      </c>
      <c r="AA174" s="173">
        <f t="shared" si="475"/>
        <v>0.09</v>
      </c>
      <c r="AB174" s="173">
        <f t="shared" si="476"/>
        <v>0.11</v>
      </c>
      <c r="AC174" s="174">
        <f t="shared" si="477"/>
        <v>0.13</v>
      </c>
      <c r="AD174" s="173">
        <f t="shared" si="478"/>
        <v>0.09</v>
      </c>
      <c r="AE174" s="173">
        <f t="shared" si="479"/>
        <v>0.11</v>
      </c>
      <c r="AF174" s="174">
        <f t="shared" si="480"/>
        <v>0.13</v>
      </c>
      <c r="AG174" s="173">
        <f t="shared" si="481"/>
        <v>-0.35</v>
      </c>
      <c r="AH174" s="173">
        <f t="shared" si="482"/>
        <v>0.65</v>
      </c>
      <c r="AI174" s="174">
        <f t="shared" si="483"/>
        <v>0.2</v>
      </c>
      <c r="AJ174" s="173">
        <f t="shared" si="484"/>
        <v>-0.35</v>
      </c>
      <c r="AK174" s="173">
        <f t="shared" si="485"/>
        <v>0.65</v>
      </c>
      <c r="AL174" s="174">
        <f t="shared" si="486"/>
        <v>0.2</v>
      </c>
      <c r="AM174" s="173">
        <f t="shared" si="487"/>
        <v>-0.01</v>
      </c>
      <c r="AN174" s="173">
        <f t="shared" si="488"/>
        <v>0.16</v>
      </c>
      <c r="AO174" s="174">
        <f t="shared" si="489"/>
        <v>0.01</v>
      </c>
      <c r="AP174" s="173">
        <f t="shared" si="490"/>
        <v>-0.01</v>
      </c>
      <c r="AQ174" s="173">
        <f t="shared" si="491"/>
        <v>0.16</v>
      </c>
      <c r="AR174" s="175">
        <f t="shared" si="492"/>
        <v>0.01</v>
      </c>
      <c r="AS174" s="521">
        <f t="shared" si="520"/>
        <v>0.5</v>
      </c>
      <c r="AT174" s="349">
        <f t="shared" si="518"/>
        <v>20</v>
      </c>
      <c r="AU174" s="159">
        <f t="shared" si="411"/>
        <v>5</v>
      </c>
      <c r="AV174" s="159">
        <f t="shared" si="412"/>
        <v>5</v>
      </c>
      <c r="AW174" s="159">
        <f t="shared" si="521"/>
        <v>0</v>
      </c>
      <c r="AX174" s="15">
        <f t="shared" si="519"/>
        <v>30</v>
      </c>
      <c r="AY174" s="607">
        <f>IF(E174="",0,MIN((1-(1-VLOOKUP(B174,MAIN!$AA$7:$AM$28,C174+1))*(1-VLOOKUP(B174,MAIN!$AA$33:$AM$54,C174+1))),1))</f>
        <v>3.0000000000000027E-2</v>
      </c>
      <c r="AZ174" s="337">
        <v>46560</v>
      </c>
      <c r="BA174" s="509">
        <v>11640</v>
      </c>
      <c r="BB174" s="509">
        <v>11640</v>
      </c>
      <c r="BC174" s="511">
        <v>34920</v>
      </c>
      <c r="BD174" s="153">
        <v>0.97000000722706314</v>
      </c>
      <c r="BE174" s="474">
        <v>0.97000000722706314</v>
      </c>
      <c r="BF174" s="474">
        <v>0.97000000722706314</v>
      </c>
      <c r="BG174" s="515">
        <v>0.97000000722706314</v>
      </c>
      <c r="BH174" s="262">
        <v>186240</v>
      </c>
      <c r="BI174" s="509">
        <v>46560</v>
      </c>
      <c r="BJ174" s="509">
        <v>46560</v>
      </c>
      <c r="BK174" s="511">
        <v>139680</v>
      </c>
      <c r="BL174" s="153">
        <v>0.97000000722706314</v>
      </c>
      <c r="BM174" s="474">
        <v>0.97000000722706314</v>
      </c>
      <c r="BN174" s="474">
        <v>0.97000000722706314</v>
      </c>
      <c r="BO174" s="474">
        <v>0.97000000722706314</v>
      </c>
      <c r="BP174" s="261">
        <f t="shared" si="495"/>
        <v>69840</v>
      </c>
      <c r="BQ174" s="578">
        <f t="shared" si="496"/>
        <v>104760</v>
      </c>
      <c r="BR174" s="259">
        <f t="shared" si="497"/>
        <v>279360</v>
      </c>
      <c r="BS174" s="578">
        <f t="shared" si="498"/>
        <v>419040</v>
      </c>
      <c r="BT174" s="216">
        <f t="shared" si="499"/>
        <v>13.130732375085557</v>
      </c>
      <c r="BU174" s="218">
        <f t="shared" si="414"/>
        <v>40.704109094476209</v>
      </c>
      <c r="BV174" s="216">
        <f t="shared" si="415"/>
        <v>40.704109094476209</v>
      </c>
      <c r="BW174" s="216">
        <f t="shared" si="416"/>
        <v>24.27840942124509</v>
      </c>
      <c r="BX174" s="216">
        <f t="shared" si="500"/>
        <v>24.27840942124509</v>
      </c>
      <c r="BY174" s="216">
        <f t="shared" si="417"/>
        <v>37.966492482271015</v>
      </c>
      <c r="BZ174" s="216">
        <f t="shared" si="418"/>
        <v>33.40379812859571</v>
      </c>
      <c r="CA174" s="264">
        <f t="shared" si="419"/>
        <v>40.704109094476209</v>
      </c>
      <c r="CB174" s="216">
        <f t="shared" si="420"/>
        <v>40.704109094476209</v>
      </c>
      <c r="CC174" s="216">
        <f t="shared" si="421"/>
        <v>24.27840942124509</v>
      </c>
      <c r="CD174" s="216">
        <f t="shared" si="501"/>
        <v>24.27840942124509</v>
      </c>
      <c r="CE174" s="216">
        <f t="shared" si="422"/>
        <v>37.966492482271015</v>
      </c>
      <c r="CF174" s="571">
        <f t="shared" si="423"/>
        <v>33.40379812859571</v>
      </c>
      <c r="CG174" s="573">
        <f t="shared" si="424"/>
        <v>0.115</v>
      </c>
      <c r="CH174" s="219">
        <f t="shared" si="425"/>
        <v>0.115</v>
      </c>
      <c r="CI174" s="219">
        <f t="shared" si="426"/>
        <v>0.11</v>
      </c>
      <c r="CJ174" s="219">
        <f t="shared" si="427"/>
        <v>0.11446889450617284</v>
      </c>
      <c r="CK174" s="219">
        <f t="shared" si="428"/>
        <v>0.11446889450617284</v>
      </c>
      <c r="CL174" s="219">
        <f t="shared" si="429"/>
        <v>0.11</v>
      </c>
      <c r="CM174" s="219">
        <f t="shared" si="430"/>
        <v>0.10302182219477014</v>
      </c>
      <c r="CN174" s="569">
        <f t="shared" si="431"/>
        <v>0.10302182219477014</v>
      </c>
      <c r="CO174" s="264">
        <f t="shared" si="514"/>
        <v>21.118838570266171</v>
      </c>
      <c r="CP174" s="216">
        <f t="shared" si="502"/>
        <v>21.118838570266171</v>
      </c>
      <c r="CQ174" s="216">
        <f t="shared" ca="1" si="361"/>
        <v>21.118838570266171</v>
      </c>
      <c r="CR174" s="216">
        <f t="shared" ca="1" si="362"/>
        <v>21.118838570266171</v>
      </c>
      <c r="CS174" s="1626">
        <f t="shared" ca="1" si="363"/>
        <v>21.118838570266171</v>
      </c>
      <c r="CT174" s="216">
        <f t="shared" si="503"/>
        <v>21.118838570266171</v>
      </c>
      <c r="CU174" s="575">
        <f t="shared" si="432"/>
        <v>0.155</v>
      </c>
      <c r="CV174" s="154">
        <f t="shared" si="433"/>
        <v>0.5</v>
      </c>
      <c r="CW174" s="216">
        <f>IF(OR($BQ174,$BS174),SpreadOptPowerMargin,0)*((1+Assumptions!$C$26)^($B174-YEAR(Assumptions!$C$17)))</f>
        <v>2.1941899559905629</v>
      </c>
      <c r="CX174" s="216">
        <f>IF(OR($BQ174,$BS174),SpreadOptPowerMargin,0)*((1+Assumptions!$C$26)^($B174-YEAR(Assumptions!$C$17)))</f>
        <v>2.1941899559905629</v>
      </c>
      <c r="CY174" s="216">
        <f>IF(OR($BQ174,$BS174),SpreadOptPowerMargin,0)*((1+Assumptions!$C$26)^($B174-YEAR(Assumptions!$C$17)))</f>
        <v>2.1941899559905629</v>
      </c>
      <c r="CZ174" s="216">
        <f>IF(OR($BQ174,$BS174),SpreadOptPowerMargin,0)*((1+Assumptions!$C$26)^($B174-YEAR(Assumptions!$C$17)))</f>
        <v>2.1941899559905629</v>
      </c>
      <c r="DA174" s="440">
        <f t="shared" si="434"/>
        <v>2.1941899559905629</v>
      </c>
      <c r="DB174" s="479">
        <f t="shared" si="435"/>
        <v>0.115</v>
      </c>
      <c r="DC174" s="479">
        <f t="shared" si="436"/>
        <v>0.115</v>
      </c>
      <c r="DD174" s="479">
        <f t="shared" si="437"/>
        <v>0.11</v>
      </c>
      <c r="DE174" s="479">
        <f t="shared" si="438"/>
        <v>0.11</v>
      </c>
      <c r="DF174" s="479">
        <f t="shared" si="439"/>
        <v>0.10302182219477014</v>
      </c>
      <c r="DG174" s="574">
        <f t="shared" si="440"/>
        <v>0.10302182219477014</v>
      </c>
      <c r="DH174" s="216">
        <f t="shared" si="441"/>
        <v>18.241656801091739</v>
      </c>
      <c r="DI174" s="216">
        <f t="shared" si="442"/>
        <v>18.241656801091739</v>
      </c>
      <c r="DJ174" s="216">
        <f t="shared" ca="1" si="364"/>
        <v>4.8604177545942306</v>
      </c>
      <c r="DK174" s="216">
        <f t="shared" ca="1" si="365"/>
        <v>4.8604177545942306</v>
      </c>
      <c r="DL174" s="216">
        <f t="shared" ca="1" si="366"/>
        <v>11.664788765587691</v>
      </c>
      <c r="DM174" s="216"/>
      <c r="DN174" s="216"/>
      <c r="DO174" s="216"/>
      <c r="DP174" s="216"/>
      <c r="DQ174" s="216"/>
      <c r="DR174" s="216"/>
      <c r="DS174" s="216"/>
      <c r="DT174" s="216"/>
      <c r="DU174" s="216"/>
      <c r="DV174" s="216"/>
      <c r="DW174" s="1371">
        <f t="shared" si="443"/>
        <v>4.8604177545942306</v>
      </c>
      <c r="DX174" s="216">
        <f t="shared" si="444"/>
        <v>4.8604177545942306</v>
      </c>
      <c r="DY174" s="440">
        <f t="shared" si="445"/>
        <v>12.294439447092849</v>
      </c>
      <c r="DZ174" s="180">
        <f t="shared" si="446"/>
        <v>849331.54065883136</v>
      </c>
      <c r="EA174" s="180">
        <f t="shared" si="447"/>
        <v>212332.88516470784</v>
      </c>
      <c r="EB174" s="180">
        <f t="shared" ca="1" si="367"/>
        <v>56575.262663476846</v>
      </c>
      <c r="EC174" s="180">
        <f t="shared" ca="1" si="368"/>
        <v>169725.78799043054</v>
      </c>
      <c r="ED174" s="180">
        <f t="shared" ca="1" si="369"/>
        <v>1222003.2710829666</v>
      </c>
      <c r="EE174" s="581">
        <f t="shared" si="448"/>
        <v>809728.71125629882</v>
      </c>
      <c r="EF174" s="554">
        <f t="shared" si="449"/>
        <v>202432.1778140747</v>
      </c>
      <c r="EG174" s="554">
        <f t="shared" ca="1" si="370"/>
        <v>11237.033617664474</v>
      </c>
      <c r="EH174" s="554">
        <f t="shared" ca="1" si="371"/>
        <v>33711.100852993419</v>
      </c>
      <c r="EI174" s="561">
        <f t="shared" ca="1" si="450"/>
        <v>1057109.0235410312</v>
      </c>
      <c r="EJ174" s="581">
        <f t="shared" si="504"/>
        <v>39602.829402532545</v>
      </c>
      <c r="EK174" s="554">
        <f t="shared" si="505"/>
        <v>9900.7073506331362</v>
      </c>
      <c r="EL174" s="554">
        <f t="shared" ca="1" si="372"/>
        <v>45338.229045812375</v>
      </c>
      <c r="EM174" s="554">
        <f t="shared" ca="1" si="373"/>
        <v>136014.68713743711</v>
      </c>
      <c r="EN174" s="561">
        <f t="shared" ca="1" si="374"/>
        <v>164894.24754193542</v>
      </c>
      <c r="EO174" s="180">
        <f t="shared" si="451"/>
        <v>3397326.1626353255</v>
      </c>
      <c r="EP174" s="180">
        <f t="shared" si="452"/>
        <v>849331.54065883136</v>
      </c>
      <c r="EQ174" s="180">
        <f t="shared" si="453"/>
        <v>226301.05065390738</v>
      </c>
      <c r="ER174" s="180">
        <f t="shared" si="454"/>
        <v>678903.15196172218</v>
      </c>
      <c r="ES174" s="180">
        <f t="shared" si="455"/>
        <v>5151861.9059097869</v>
      </c>
      <c r="ET174" s="1482">
        <f t="shared" ca="1" si="375"/>
        <v>3238914.8450251953</v>
      </c>
      <c r="EU174" s="180">
        <f t="shared" ca="1" si="376"/>
        <v>809728.71125629882</v>
      </c>
      <c r="EV174" s="180">
        <f t="shared" ca="1" si="377"/>
        <v>44948.134470657897</v>
      </c>
      <c r="EW174" s="180">
        <f t="shared" ca="1" si="378"/>
        <v>134844.40341197368</v>
      </c>
      <c r="EX174" s="555">
        <f t="shared" ca="1" si="522"/>
        <v>4228436.0941641256</v>
      </c>
      <c r="EY174" s="180">
        <f t="shared" ca="1" si="379"/>
        <v>158411.31761013018</v>
      </c>
      <c r="EZ174" s="180">
        <f t="shared" ca="1" si="380"/>
        <v>39602.829402532545</v>
      </c>
      <c r="FA174" s="180">
        <f t="shared" ca="1" si="381"/>
        <v>181352.9161832495</v>
      </c>
      <c r="FB174" s="180">
        <f t="shared" ca="1" si="382"/>
        <v>544058.74854974844</v>
      </c>
      <c r="FC174" s="180">
        <f t="shared" ca="1" si="383"/>
        <v>923425.81174566131</v>
      </c>
      <c r="FD174" s="262">
        <f>IF(AX174,IF(VLOOKUP(C174,MAIN!$L$17:$M$28,2)="Yes",VLOOKUP(CALC!B174,MAIN!$H$17:$I$20,2),0),0)</f>
        <v>0</v>
      </c>
      <c r="FE174" s="623">
        <f t="shared" si="456"/>
        <v>0</v>
      </c>
      <c r="FF174" s="535">
        <f t="shared" si="457"/>
        <v>0</v>
      </c>
      <c r="FG174" s="535">
        <f t="shared" si="458"/>
        <v>0</v>
      </c>
      <c r="FH174" s="624">
        <f t="shared" si="459"/>
        <v>0</v>
      </c>
      <c r="FI174" s="632">
        <f>IF(AX174,VLOOKUP(CALC!B174,MAIN!$H$17:$K$20,4),0)</f>
        <v>0</v>
      </c>
      <c r="FJ174" s="535">
        <f t="shared" si="460"/>
        <v>0</v>
      </c>
      <c r="FK174" s="648">
        <f t="shared" si="506"/>
        <v>0</v>
      </c>
      <c r="FL174" s="530">
        <f t="shared" ca="1" si="384"/>
        <v>0</v>
      </c>
      <c r="FM174" s="530">
        <f t="shared" ca="1" si="385"/>
        <v>0</v>
      </c>
      <c r="FN174" s="530">
        <f t="shared" ca="1" si="386"/>
        <v>0</v>
      </c>
      <c r="FO174" s="622">
        <f t="shared" ca="1" si="387"/>
        <v>0</v>
      </c>
      <c r="FP174" s="530">
        <f t="shared" ca="1" si="388"/>
        <v>0</v>
      </c>
      <c r="FQ174" s="530">
        <f t="shared" ca="1" si="389"/>
        <v>0</v>
      </c>
      <c r="FR174" s="530">
        <f t="shared" ca="1" si="390"/>
        <v>0</v>
      </c>
      <c r="FS174" s="625">
        <f t="shared" ca="1" si="391"/>
        <v>0</v>
      </c>
      <c r="FT174" s="640">
        <f ca="1">IF(AND(Assumptions!$H$71="Yes",A174&gt;=Assumptions!$H$72,A174&lt;=Assumptions!$H$73),0,IF(AND($A174&gt;=Assumptions!$C$17,$A174&lt;=Assumptions!$C$18),MAX(AZ174*(1+VLOOKUP($C174,WeatherCapacityAdjustment,2))-FL174,0),0))</f>
        <v>46560</v>
      </c>
      <c r="FU174" s="530">
        <f ca="1">IF(AND(Assumptions!$H$71="Yes",A174&gt;=Assumptions!$H$72,A174&lt;=Assumptions!$H$73),0,IF(AND($A174&gt;=Assumptions!$C$17,$A174&lt;=Assumptions!$C$18),MAX(BA174*(1+VLOOKUP($C174,WeatherCapacityAdjustment,2))-FM174,0),0))</f>
        <v>11640</v>
      </c>
      <c r="FV174" s="530">
        <f ca="1">IF(AND(Assumptions!$H$71="Yes",A174&gt;=Assumptions!$H$72,A174&lt;=Assumptions!$H$73),0,IF(AND($A174&gt;=Assumptions!$C$17,$A174&lt;=Assumptions!$C$18),MAX(BB174*(1+VLOOKUP($C174,WeatherCapacityAdjustment,2))-FN174,0),0))</f>
        <v>11640</v>
      </c>
      <c r="FW174" s="622">
        <f ca="1">IF(AND(Assumptions!$H$71="Yes",A174&gt;=Assumptions!$H$72,A174&lt;=Assumptions!$H$73),0,IF(AND($A174&gt;=Assumptions!$C$17,$A174&lt;=Assumptions!$C$18),MAX(BC174*(1+VLOOKUP($C174,WeatherCapacityAdjustment,3))-FO174,0),0))</f>
        <v>34920</v>
      </c>
      <c r="FX174" s="621">
        <f ca="1">IF(AND(Assumptions!$H$71="Yes",A174&gt;=Assumptions!$H$72,A174&lt;=Assumptions!$H$73),0,IF(ET174&gt;0,MAX(BH174*(1+VLOOKUP($C174,WeatherCapacityAdjustment,2))-FP174,0),0))</f>
        <v>186240</v>
      </c>
      <c r="FY174" s="530">
        <f ca="1">IF(AND(Assumptions!$H$71="Yes",A174&gt;=Assumptions!$H$72,A174&lt;=Assumptions!$H$73),0,IF(EU174&gt;0,MAX(BI174*(1+VLOOKUP($C174,WeatherCapacityAdjustment,3))-FQ174,0),0))</f>
        <v>46560</v>
      </c>
      <c r="FZ174" s="530">
        <f ca="1">IF(AND(Assumptions!$H$71="Yes",A174&gt;=Assumptions!$H$72,A174&lt;=Assumptions!$H$73),0,IF(EV174&gt;0,MAX(BJ174*(1+VLOOKUP($C174,WeatherCapacityAdjustment,2))-FR174,0),0))</f>
        <v>46560</v>
      </c>
      <c r="GA174" s="622">
        <f ca="1">IF(AND(Assumptions!$H$71="Yes",A174&gt;=Assumptions!$H$72,A174&lt;=Assumptions!$H$73),0,IF(EW174&gt;0,MAX(BK174*(1+VLOOKUP($C174,WeatherCapacityAdjustment,2))-FS174,0),0))</f>
        <v>139680</v>
      </c>
      <c r="GB174" s="530">
        <f t="shared" ca="1" si="461"/>
        <v>523800</v>
      </c>
      <c r="GC174" s="545">
        <f t="shared" ca="1" si="462"/>
        <v>33.403798128595703</v>
      </c>
      <c r="GD174" s="530">
        <f t="shared" ca="1" si="392"/>
        <v>17496909.459758431</v>
      </c>
      <c r="GE174" s="1485">
        <f t="shared" ca="1" si="393"/>
        <v>748411.72560000001</v>
      </c>
      <c r="GF174" s="1776">
        <f t="shared" ca="1" si="394"/>
        <v>2993646.9024</v>
      </c>
      <c r="GG174" s="545">
        <f t="shared" si="359"/>
        <v>2.9561395859309929</v>
      </c>
      <c r="GH174" s="622">
        <f t="shared" ca="1" si="360"/>
        <v>11062047.643105419</v>
      </c>
      <c r="GI174" s="621">
        <f t="shared" ca="1" si="507"/>
        <v>523800</v>
      </c>
      <c r="GJ174" s="638">
        <f t="shared" si="463"/>
        <v>2.1941899559905629</v>
      </c>
      <c r="GK174" s="625">
        <f t="shared" ca="1" si="513"/>
        <v>1149316.6989478569</v>
      </c>
      <c r="GL174" s="640">
        <f t="shared" ca="1" si="395"/>
        <v>0</v>
      </c>
      <c r="GM174" s="530">
        <f t="shared" ca="1" si="396"/>
        <v>0</v>
      </c>
      <c r="GN174" s="530">
        <f t="shared" ca="1" si="397"/>
        <v>0</v>
      </c>
      <c r="GO174" s="622">
        <f t="shared" ca="1" si="398"/>
        <v>0</v>
      </c>
      <c r="GP174" s="530">
        <f t="shared" ca="1" si="464"/>
        <v>0</v>
      </c>
      <c r="GQ174" s="545">
        <f t="shared" ca="1" si="465"/>
        <v>0</v>
      </c>
      <c r="GR174" s="625">
        <f t="shared" ca="1" si="399"/>
        <v>0</v>
      </c>
      <c r="GS174" s="640">
        <f>IF($A174&gt;=BegDate,Assumptions!$C$56*24*($A175-$A174)*(1-VLOOKUP($B174,MAIN!$AA$7:$AM$28,$C174+1))*(1-VLOOKUP($B174,MAIN!$AA$33:$AM$54,$C174+1)),0)*80/168</f>
        <v>249428.57142857142</v>
      </c>
      <c r="GT174" s="1715">
        <f t="shared" si="508"/>
        <v>40.704108791206963</v>
      </c>
      <c r="GU174" s="1715">
        <f>IF($A174&gt;=BegDate,VLOOKUP($A174,GasTable,13)+Assumptions!$C$58,0)</f>
        <v>2.9561395859309929</v>
      </c>
      <c r="GV174" s="1715">
        <f>GU174*Assumptions!$C$57/1000</f>
        <v>21.432011997999698</v>
      </c>
      <c r="GW174" s="625">
        <f>IF(Assumptions!$C$60="Hourly",MAX(0,GS174*(GT174-GV174)),GS174*(GT174-GV174))</f>
        <v>4807011.5715628406</v>
      </c>
      <c r="GX174" s="640">
        <f>IF($A174&gt;=BegDate,Assumptions!$C$56*24*($A175-$A174)*(1-VLOOKUP($B174,MAIN!$AA$7:$AM$28,$C174+1))*(1-VLOOKUP($B174,MAIN!$AA$33:$AM$54,$C174+1)),0)*16/168</f>
        <v>49885.714285714283</v>
      </c>
      <c r="GY174" s="1715">
        <f t="shared" si="509"/>
        <v>40.704108791206963</v>
      </c>
      <c r="GZ174" s="1715">
        <f>IF($A174&gt;=BegDate,VLOOKUP($A174,GasTable,13)+Assumptions!$C$58,0)</f>
        <v>2.9561395859309929</v>
      </c>
      <c r="HA174" s="1715">
        <f>GZ174*Assumptions!$C$57/1000</f>
        <v>21.432011997999698</v>
      </c>
      <c r="HB174" s="625">
        <f>IF(Assumptions!$C$60="Hourly",MAX(0,GX174*(GY174-HA174)),GX174*(GY174-HA174))</f>
        <v>961402.31431256805</v>
      </c>
      <c r="HC174" s="640">
        <f>IF($A174&gt;=BegDate,Assumptions!$C$56*24*($A175-$A174)*(1-VLOOKUP($B174,MAIN!$AA$7:$AM$28,$C174+1))*(1-VLOOKUP($B174,MAIN!$AA$33:$AM$54,$C174+1)),0)*16/168</f>
        <v>49885.714285714283</v>
      </c>
      <c r="HD174" s="1715">
        <f t="shared" si="510"/>
        <v>24.278409240356847</v>
      </c>
      <c r="HE174" s="1715">
        <f>IF($A174&gt;=BegDate,VLOOKUP($A174,GasTable,13)+Assumptions!$C$58,0)</f>
        <v>2.9561395859309929</v>
      </c>
      <c r="HF174" s="1715">
        <f>HE174*Assumptions!$C$57/1000</f>
        <v>21.432011997999698</v>
      </c>
      <c r="HG174" s="625">
        <f>IF(Assumptions!$C$60="Hourly",MAX(0,HC174*(HD174-HF174)),HC174*(HD174-HF174))</f>
        <v>141994.55957587378</v>
      </c>
      <c r="HH174" s="640">
        <f>IF($A174&gt;=BegDate,Assumptions!$C$56*24*($A175-$A174)*(1-VLOOKUP($B174,MAIN!$AA$7:$AM$28,$C174+1))*(1-VLOOKUP($B174,MAIN!$AA$33:$AM$54,$C174+1)),0)*56/168</f>
        <v>174600</v>
      </c>
      <c r="HI174" s="1715">
        <f t="shared" si="511"/>
        <v>24.278409240356847</v>
      </c>
      <c r="HJ174" s="1715">
        <f>IF($A174&gt;=BegDate,VLOOKUP($A174,GasTable,13)+Assumptions!$C$58,0)</f>
        <v>2.9561395859309929</v>
      </c>
      <c r="HK174" s="1715">
        <f>HJ174*Assumptions!$C$57/1000</f>
        <v>21.432011997999698</v>
      </c>
      <c r="HL174" s="625">
        <f>IF(Assumptions!$C$60="Hourly",MAX(0,HH174*(HI174-HK174)),HH174*(HI174-HK174))</f>
        <v>496980.95851555822</v>
      </c>
      <c r="HM174" s="640">
        <f>IF(AND(Assumptions!$H$71="Yes",A174&gt;=Assumptions!$H$72,A174&lt;=Assumptions!$H$73),Assumptions!$H$74*Assumptions!$C$9*1000,0)</f>
        <v>0</v>
      </c>
      <c r="HN174" s="530"/>
      <c r="HO174" s="545"/>
      <c r="HP174" s="545"/>
      <c r="HQ174" s="545"/>
      <c r="HR174" s="545"/>
      <c r="HS174" s="545"/>
      <c r="HT174" s="545"/>
      <c r="HU174" s="545"/>
      <c r="HV174" s="545"/>
      <c r="HW174" s="545"/>
      <c r="HX174" s="545"/>
      <c r="HY174" s="545"/>
      <c r="HZ174" s="545"/>
      <c r="IA174" s="545"/>
      <c r="IB174" s="545"/>
      <c r="IC174" s="545"/>
      <c r="ID174" s="545"/>
      <c r="IE174" s="545"/>
      <c r="IF174" s="545"/>
      <c r="IG174" s="545"/>
      <c r="IH174" s="545"/>
      <c r="II174" s="1464"/>
      <c r="IJ174" s="1463"/>
      <c r="IK174" s="1463"/>
    </row>
    <row r="175" spans="1:245">
      <c r="A175" s="177">
        <f t="shared" si="466"/>
        <v>41456</v>
      </c>
      <c r="B175" s="349">
        <f t="shared" si="467"/>
        <v>2013</v>
      </c>
      <c r="C175" s="15">
        <f t="shared" si="515"/>
        <v>7</v>
      </c>
      <c r="D175" s="612">
        <f t="shared" si="468"/>
        <v>41459</v>
      </c>
      <c r="E175" s="609">
        <f t="shared" si="516"/>
        <v>41456</v>
      </c>
      <c r="F175" s="614">
        <f t="shared" si="517"/>
        <v>41486</v>
      </c>
      <c r="G175" s="1349">
        <v>0</v>
      </c>
      <c r="H175" s="152">
        <f t="shared" si="512"/>
        <v>1</v>
      </c>
      <c r="I175" s="154">
        <f>IF(Assumptions!$L$25=4,VLOOKUP($A175,'Henwood Reference'!$E$9:$R$320,10),(VLOOKUP($A175,PriceTable,2,0)+IF(BasisNumber&lt;&gt;1,VLOOKUP($A175,BasisTable,2,0),0)+I$1)/(1-I$2))</f>
        <v>65.900720017859911</v>
      </c>
      <c r="J175" s="154">
        <f>IF(Assumptions!$L$25=4,VLOOKUP($A175,'Henwood Reference'!$E$9:$R$320,10),(VLOOKUP($A175,PriceTable,3,0)+IF(BasisNumber&lt;&gt;1,VLOOKUP($A175,BasisTable,2,0),0)+J$1)/(1-J$2))</f>
        <v>65.900720017859911</v>
      </c>
      <c r="K175" s="154">
        <f>IF(Assumptions!$L$25=4,VLOOKUP($A175,'Henwood Reference'!$E$9:$R$320,10),(VLOOKUP($A175,PriceTable,4,0)+IF(BasisNumber&lt;&gt;1,VLOOKUP($A175,BasisTable,2,0),0)+K$1)/(1-K$2))</f>
        <v>65.900720017859911</v>
      </c>
      <c r="L175" s="474">
        <f>IF(Assumptions!$L$25=4,VLOOKUP($A175,'Henwood Reference'!$E$9:$R$320,10),(VLOOKUP($A175,PriceTableWeekend,2,0)+IF(BasisNumber&lt;&gt;1,VLOOKUP($A175,BasisTable,2,0),0)+L$1)/(1-L$2))</f>
        <v>65.900720017859911</v>
      </c>
      <c r="M175" s="154">
        <f>IF(Assumptions!$L$25=4,VLOOKUP($A175,'Henwood Reference'!$E$9:$R$320,10),(VLOOKUP($A175,PriceTableWeekend,3,0)+IF(BasisNumber&lt;&gt;1,VLOOKUP($A175,BasisTable,2,0),0)+M$1)/(1-M$2))</f>
        <v>65.900720017859911</v>
      </c>
      <c r="N175" s="156">
        <f>IF(Assumptions!$L$25=4,VLOOKUP($A175,'Henwood Reference'!$E$9:$R$320,10),(VLOOKUP($A175,PriceTableWeekend,4,0)+IF(BasisNumber&lt;&gt;1,VLOOKUP($A175,BasisTable,2,0),0)+N$1)/(1-N$2))</f>
        <v>65.900720017859911</v>
      </c>
      <c r="O175" s="154">
        <f>IF(Assumptions!$L$25=4,VLOOKUP($A175,'Henwood Reference'!$E$9:$R$320,11),(VLOOKUP($A175,PriceTableWeekend,6,0)+IF(BasisNumber&lt;&gt;1,VLOOKUP($A175,BasisTable,3,0),0)+O$1)/(1-O$2))</f>
        <v>31.078123132674179</v>
      </c>
      <c r="P175" s="154">
        <f>IF(Assumptions!$L$25=4,VLOOKUP($A175,'Henwood Reference'!$E$9:$R$320,11),(VLOOKUP($A175,PriceTableWeekend,7,0)+IF(BasisNumber&lt;&gt;1,VLOOKUP($A175,BasisTable,3,0),0)+P$1)/(1-P$2))</f>
        <v>31.078123132674179</v>
      </c>
      <c r="Q175" s="156">
        <f>IF(Assumptions!$L$25=4,VLOOKUP($A175,'Henwood Reference'!$E$9:$R$320,11),(VLOOKUP($A175,PriceTableWeekend,8,0)+IF(BasisNumber&lt;&gt;1,VLOOKUP($A175,BasisTable,3,0),0)+Q$1)/(1-Q$2))</f>
        <v>31.078123132674179</v>
      </c>
      <c r="R175" s="154">
        <f>IF(Assumptions!$L$25=4,VLOOKUP($A175,'Henwood Reference'!$E$9:$R$320,11),(VLOOKUP($A175,PriceTable,6,0)+IF(BasisNumber&lt;&gt;1,VLOOKUP($A175,BasisTable,3,0),0)+R$1)/(1-R$2))</f>
        <v>31.078123132674179</v>
      </c>
      <c r="S175" s="154">
        <f>IF(Assumptions!$L$25=4,VLOOKUP($A175,'Henwood Reference'!$E$9:$R$320,11),(VLOOKUP($A175,PriceTable,7,0)+IF(BasisNumber&lt;&gt;1,VLOOKUP($A175,BasisTable,3,0),0)+S$1)/(1-S$2))</f>
        <v>31.078123132674179</v>
      </c>
      <c r="T175" s="155">
        <f>IF(Assumptions!$L$25=4,VLOOKUP($A175,'Henwood Reference'!$E$9:$R$320,11),(VLOOKUP($A175,PriceTable,8,0)+IF(BasisNumber&lt;&gt;1,VLOOKUP($A175,BasisTable,3,0),0)+T$1)/(1-T$2))</f>
        <v>31.078123132674179</v>
      </c>
      <c r="U175" s="173">
        <f t="shared" si="469"/>
        <v>0.105</v>
      </c>
      <c r="V175" s="173">
        <f t="shared" si="470"/>
        <v>0.115</v>
      </c>
      <c r="W175" s="174">
        <f t="shared" si="471"/>
        <v>0.125</v>
      </c>
      <c r="X175" s="173">
        <f t="shared" si="472"/>
        <v>0.105</v>
      </c>
      <c r="Y175" s="173">
        <f t="shared" si="473"/>
        <v>0.115</v>
      </c>
      <c r="Z175" s="174">
        <f t="shared" si="474"/>
        <v>0.125</v>
      </c>
      <c r="AA175" s="173">
        <f t="shared" si="475"/>
        <v>0.09</v>
      </c>
      <c r="AB175" s="173">
        <f t="shared" si="476"/>
        <v>0.11</v>
      </c>
      <c r="AC175" s="174">
        <f t="shared" si="477"/>
        <v>0.13</v>
      </c>
      <c r="AD175" s="173">
        <f t="shared" si="478"/>
        <v>0.09</v>
      </c>
      <c r="AE175" s="173">
        <f t="shared" si="479"/>
        <v>0.11</v>
      </c>
      <c r="AF175" s="174">
        <f t="shared" si="480"/>
        <v>0.13</v>
      </c>
      <c r="AG175" s="173">
        <f t="shared" si="481"/>
        <v>-0.35</v>
      </c>
      <c r="AH175" s="173">
        <f t="shared" si="482"/>
        <v>3</v>
      </c>
      <c r="AI175" s="174">
        <f t="shared" si="483"/>
        <v>0.35</v>
      </c>
      <c r="AJ175" s="173">
        <f t="shared" si="484"/>
        <v>-0.35</v>
      </c>
      <c r="AK175" s="173">
        <f t="shared" si="485"/>
        <v>3</v>
      </c>
      <c r="AL175" s="174">
        <f t="shared" si="486"/>
        <v>0.35</v>
      </c>
      <c r="AM175" s="173">
        <f t="shared" si="487"/>
        <v>-0.01</v>
      </c>
      <c r="AN175" s="173">
        <f t="shared" si="488"/>
        <v>0.16</v>
      </c>
      <c r="AO175" s="174">
        <f t="shared" si="489"/>
        <v>0.01</v>
      </c>
      <c r="AP175" s="173">
        <f t="shared" si="490"/>
        <v>-0.01</v>
      </c>
      <c r="AQ175" s="173">
        <f t="shared" si="491"/>
        <v>0.16</v>
      </c>
      <c r="AR175" s="175">
        <f t="shared" si="492"/>
        <v>0.01</v>
      </c>
      <c r="AS175" s="521">
        <f t="shared" si="520"/>
        <v>0.5</v>
      </c>
      <c r="AT175" s="349">
        <f t="shared" si="518"/>
        <v>22</v>
      </c>
      <c r="AU175" s="159">
        <f t="shared" si="411"/>
        <v>4</v>
      </c>
      <c r="AV175" s="159">
        <f t="shared" si="412"/>
        <v>4</v>
      </c>
      <c r="AW175" s="159">
        <f t="shared" si="521"/>
        <v>1</v>
      </c>
      <c r="AX175" s="15">
        <f t="shared" si="519"/>
        <v>31</v>
      </c>
      <c r="AY175" s="607">
        <f>IF(E175="",0,MIN((1-(1-VLOOKUP(B175,MAIN!$AA$7:$AM$28,C175+1))*(1-VLOOKUP(B175,MAIN!$AA$33:$AM$54,C175+1))),1))</f>
        <v>3.0000000000000027E-2</v>
      </c>
      <c r="AZ175" s="337">
        <v>51216</v>
      </c>
      <c r="BA175" s="509">
        <v>9312</v>
      </c>
      <c r="BB175" s="509">
        <v>11640</v>
      </c>
      <c r="BC175" s="511">
        <v>36084</v>
      </c>
      <c r="BD175" s="153">
        <v>0.97000000361353156</v>
      </c>
      <c r="BE175" s="474">
        <v>0.97000000361353156</v>
      </c>
      <c r="BF175" s="474">
        <v>0.97000000361353156</v>
      </c>
      <c r="BG175" s="515">
        <v>0.96999998554587363</v>
      </c>
      <c r="BH175" s="262">
        <v>204864</v>
      </c>
      <c r="BI175" s="509">
        <v>37248</v>
      </c>
      <c r="BJ175" s="509">
        <v>46560</v>
      </c>
      <c r="BK175" s="511">
        <v>144336</v>
      </c>
      <c r="BL175" s="153">
        <v>0.97000000361353156</v>
      </c>
      <c r="BM175" s="474">
        <v>0.97000000361353156</v>
      </c>
      <c r="BN175" s="474">
        <v>0.97000000361353156</v>
      </c>
      <c r="BO175" s="474">
        <v>0.96999998554587363</v>
      </c>
      <c r="BP175" s="261">
        <f t="shared" si="495"/>
        <v>72168</v>
      </c>
      <c r="BQ175" s="578">
        <f t="shared" si="496"/>
        <v>108252</v>
      </c>
      <c r="BR175" s="259">
        <f t="shared" si="497"/>
        <v>288672</v>
      </c>
      <c r="BS175" s="578">
        <f t="shared" si="498"/>
        <v>433008</v>
      </c>
      <c r="BT175" s="216">
        <f t="shared" si="499"/>
        <v>13.212867898699521</v>
      </c>
      <c r="BU175" s="218">
        <f t="shared" si="414"/>
        <v>65.900720263359233</v>
      </c>
      <c r="BV175" s="216">
        <f t="shared" si="415"/>
        <v>65.900720263359233</v>
      </c>
      <c r="BW175" s="216">
        <f t="shared" si="416"/>
        <v>31.078123248449209</v>
      </c>
      <c r="BX175" s="216">
        <f t="shared" si="500"/>
        <v>31.078122669574054</v>
      </c>
      <c r="BY175" s="216">
        <f t="shared" si="417"/>
        <v>60.284172357728593</v>
      </c>
      <c r="BZ175" s="216">
        <f t="shared" si="418"/>
        <v>50.548822461677084</v>
      </c>
      <c r="CA175" s="264">
        <f t="shared" si="419"/>
        <v>65.900720263359233</v>
      </c>
      <c r="CB175" s="216">
        <f t="shared" si="420"/>
        <v>65.900720263359233</v>
      </c>
      <c r="CC175" s="216">
        <f t="shared" si="421"/>
        <v>31.078123248449209</v>
      </c>
      <c r="CD175" s="216">
        <f t="shared" si="501"/>
        <v>31.078122669574054</v>
      </c>
      <c r="CE175" s="216">
        <f t="shared" si="422"/>
        <v>60.284172357728593</v>
      </c>
      <c r="CF175" s="571">
        <f t="shared" si="423"/>
        <v>50.548822461677084</v>
      </c>
      <c r="CG175" s="573">
        <f t="shared" si="424"/>
        <v>0.115</v>
      </c>
      <c r="CH175" s="219">
        <f t="shared" si="425"/>
        <v>0.115</v>
      </c>
      <c r="CI175" s="219">
        <f t="shared" si="426"/>
        <v>0.11</v>
      </c>
      <c r="CJ175" s="219">
        <f t="shared" si="427"/>
        <v>0.11458569220280809</v>
      </c>
      <c r="CK175" s="219">
        <f t="shared" si="428"/>
        <v>0.11458569220280809</v>
      </c>
      <c r="CL175" s="219">
        <f t="shared" si="429"/>
        <v>0.11</v>
      </c>
      <c r="CM175" s="219">
        <f t="shared" si="430"/>
        <v>0.10453524824250214</v>
      </c>
      <c r="CN175" s="569">
        <f t="shared" si="431"/>
        <v>0.10453524824250214</v>
      </c>
      <c r="CO175" s="264">
        <f t="shared" si="514"/>
        <v>21.668955362790065</v>
      </c>
      <c r="CP175" s="216">
        <f t="shared" si="502"/>
        <v>21.668955362790065</v>
      </c>
      <c r="CQ175" s="216">
        <f t="shared" ca="1" si="361"/>
        <v>21.668955362790065</v>
      </c>
      <c r="CR175" s="216">
        <f t="shared" ca="1" si="362"/>
        <v>21.668955362790065</v>
      </c>
      <c r="CS175" s="1626">
        <f t="shared" ca="1" si="363"/>
        <v>21.668955362790065</v>
      </c>
      <c r="CT175" s="216">
        <f t="shared" si="503"/>
        <v>21.668955362790065</v>
      </c>
      <c r="CU175" s="575">
        <f t="shared" si="432"/>
        <v>0.155</v>
      </c>
      <c r="CV175" s="154">
        <f t="shared" si="433"/>
        <v>0.5</v>
      </c>
      <c r="CW175" s="216">
        <f>IF(OR($BQ175,$BS175),SpreadOptPowerMargin,0)*((1+Assumptions!$C$26)^($B175-YEAR(Assumptions!$C$17)))</f>
        <v>2.1941899559905629</v>
      </c>
      <c r="CX175" s="216">
        <f>IF(OR($BQ175,$BS175),SpreadOptPowerMargin,0)*((1+Assumptions!$C$26)^($B175-YEAR(Assumptions!$C$17)))</f>
        <v>2.1941899559905629</v>
      </c>
      <c r="CY175" s="216">
        <f>IF(OR($BQ175,$BS175),SpreadOptPowerMargin,0)*((1+Assumptions!$C$26)^($B175-YEAR(Assumptions!$C$17)))</f>
        <v>2.1941899559905629</v>
      </c>
      <c r="CZ175" s="216">
        <f>IF(OR($BQ175,$BS175),SpreadOptPowerMargin,0)*((1+Assumptions!$C$26)^($B175-YEAR(Assumptions!$C$17)))</f>
        <v>2.1941899559905629</v>
      </c>
      <c r="DA175" s="440">
        <f t="shared" si="434"/>
        <v>2.1941899559905633</v>
      </c>
      <c r="DB175" s="479">
        <f t="shared" si="435"/>
        <v>0.115</v>
      </c>
      <c r="DC175" s="479">
        <f t="shared" si="436"/>
        <v>0.115</v>
      </c>
      <c r="DD175" s="479">
        <f t="shared" si="437"/>
        <v>0.11</v>
      </c>
      <c r="DE175" s="479">
        <f t="shared" si="438"/>
        <v>0.11</v>
      </c>
      <c r="DF175" s="479">
        <f t="shared" si="439"/>
        <v>0.10453524824250214</v>
      </c>
      <c r="DG175" s="574">
        <f t="shared" si="440"/>
        <v>0.10453524824250214</v>
      </c>
      <c r="DH175" s="216">
        <f t="shared" si="441"/>
        <v>42.154512538017485</v>
      </c>
      <c r="DI175" s="216">
        <f t="shared" si="442"/>
        <v>42.154512538017485</v>
      </c>
      <c r="DJ175" s="216">
        <f t="shared" ca="1" si="364"/>
        <v>9.4634860460483274</v>
      </c>
      <c r="DK175" s="216">
        <f t="shared" ca="1" si="365"/>
        <v>9.4634855881765674</v>
      </c>
      <c r="DL175" s="216">
        <f t="shared" ca="1" si="366"/>
        <v>27.054935669790471</v>
      </c>
      <c r="DM175" s="216"/>
      <c r="DN175" s="216"/>
      <c r="DO175" s="216"/>
      <c r="DP175" s="216"/>
      <c r="DQ175" s="216"/>
      <c r="DR175" s="216"/>
      <c r="DS175" s="216"/>
      <c r="DT175" s="216"/>
      <c r="DU175" s="216"/>
      <c r="DV175" s="216"/>
      <c r="DW175" s="1371">
        <f t="shared" si="443"/>
        <v>9.4634860460483274</v>
      </c>
      <c r="DX175" s="216">
        <f t="shared" si="444"/>
        <v>9.4634855881765674</v>
      </c>
      <c r="DY175" s="440">
        <f t="shared" si="445"/>
        <v>27.742339415815763</v>
      </c>
      <c r="DZ175" s="180">
        <f t="shared" si="446"/>
        <v>2158985.5141471033</v>
      </c>
      <c r="EA175" s="180">
        <f t="shared" si="447"/>
        <v>392542.82075401885</v>
      </c>
      <c r="EB175" s="180">
        <f t="shared" ca="1" si="367"/>
        <v>110154.97757600254</v>
      </c>
      <c r="EC175" s="180">
        <f t="shared" ca="1" si="368"/>
        <v>341480.41396376328</v>
      </c>
      <c r="ED175" s="180">
        <f t="shared" ca="1" si="369"/>
        <v>2928750.8961261581</v>
      </c>
      <c r="EE175" s="581">
        <f t="shared" si="448"/>
        <v>2152996.4383615381</v>
      </c>
      <c r="EF175" s="554">
        <f t="shared" si="449"/>
        <v>391453.89788391598</v>
      </c>
      <c r="EG175" s="554">
        <f t="shared" ca="1" si="370"/>
        <v>83982.343101342281</v>
      </c>
      <c r="EH175" s="554">
        <f t="shared" ca="1" si="371"/>
        <v>260345.24272602997</v>
      </c>
      <c r="EI175" s="561">
        <f t="shared" ca="1" si="450"/>
        <v>2888777.9220728269</v>
      </c>
      <c r="EJ175" s="581">
        <f t="shared" si="504"/>
        <v>5989.07578556519</v>
      </c>
      <c r="EK175" s="554">
        <f t="shared" si="505"/>
        <v>1088.9228701028624</v>
      </c>
      <c r="EL175" s="554">
        <f t="shared" ca="1" si="372"/>
        <v>26172.634474660255</v>
      </c>
      <c r="EM175" s="554">
        <f t="shared" ca="1" si="373"/>
        <v>81135.171237733302</v>
      </c>
      <c r="EN175" s="561">
        <f t="shared" ca="1" si="374"/>
        <v>39972.974053331185</v>
      </c>
      <c r="EO175" s="180">
        <f t="shared" si="451"/>
        <v>8635942.0565884132</v>
      </c>
      <c r="EP175" s="180">
        <f t="shared" si="452"/>
        <v>1570171.2830160754</v>
      </c>
      <c r="EQ175" s="180">
        <f t="shared" si="453"/>
        <v>440619.91030401015</v>
      </c>
      <c r="ER175" s="180">
        <f t="shared" si="454"/>
        <v>1365921.6558550531</v>
      </c>
      <c r="ES175" s="180">
        <f t="shared" si="455"/>
        <v>12012654.905763552</v>
      </c>
      <c r="ET175" s="1482">
        <f t="shared" ca="1" si="375"/>
        <v>8611985.7534461524</v>
      </c>
      <c r="EU175" s="180">
        <f t="shared" ca="1" si="376"/>
        <v>1565815.5915356639</v>
      </c>
      <c r="EV175" s="180">
        <f t="shared" ca="1" si="377"/>
        <v>335929.37240536913</v>
      </c>
      <c r="EW175" s="180">
        <f t="shared" ca="1" si="378"/>
        <v>1041380.9709041199</v>
      </c>
      <c r="EX175" s="555">
        <f t="shared" ca="1" si="522"/>
        <v>11555111.688291304</v>
      </c>
      <c r="EY175" s="180">
        <f t="shared" ca="1" si="379"/>
        <v>23956.30314226076</v>
      </c>
      <c r="EZ175" s="180">
        <f t="shared" ca="1" si="380"/>
        <v>4355.6914804114494</v>
      </c>
      <c r="FA175" s="180">
        <f t="shared" ca="1" si="381"/>
        <v>104690.53789864102</v>
      </c>
      <c r="FB175" s="180">
        <f t="shared" ca="1" si="382"/>
        <v>324540.68495093321</v>
      </c>
      <c r="FC175" s="180">
        <f t="shared" ca="1" si="383"/>
        <v>457543.21747224778</v>
      </c>
      <c r="FD175" s="262">
        <f>IF(AX175,IF(VLOOKUP(C175,MAIN!$L$17:$M$28,2)="Yes",VLOOKUP(CALC!B175,MAIN!$H$17:$I$20,2),0),0)</f>
        <v>0</v>
      </c>
      <c r="FE175" s="623">
        <f t="shared" si="456"/>
        <v>0</v>
      </c>
      <c r="FF175" s="535">
        <f t="shared" si="457"/>
        <v>0</v>
      </c>
      <c r="FG175" s="535">
        <f t="shared" si="458"/>
        <v>0</v>
      </c>
      <c r="FH175" s="624">
        <f t="shared" si="459"/>
        <v>0</v>
      </c>
      <c r="FI175" s="632">
        <f>IF(AX175,VLOOKUP(CALC!B175,MAIN!$H$17:$K$20,4),0)</f>
        <v>0</v>
      </c>
      <c r="FJ175" s="535">
        <f t="shared" si="460"/>
        <v>0</v>
      </c>
      <c r="FK175" s="648">
        <f t="shared" si="506"/>
        <v>0</v>
      </c>
      <c r="FL175" s="530">
        <f t="shared" ca="1" si="384"/>
        <v>0</v>
      </c>
      <c r="FM175" s="530">
        <f t="shared" ca="1" si="385"/>
        <v>0</v>
      </c>
      <c r="FN175" s="530">
        <f t="shared" ca="1" si="386"/>
        <v>0</v>
      </c>
      <c r="FO175" s="622">
        <f t="shared" ca="1" si="387"/>
        <v>0</v>
      </c>
      <c r="FP175" s="530">
        <f t="shared" ca="1" si="388"/>
        <v>0</v>
      </c>
      <c r="FQ175" s="530">
        <f t="shared" ca="1" si="389"/>
        <v>0</v>
      </c>
      <c r="FR175" s="530">
        <f t="shared" ca="1" si="390"/>
        <v>0</v>
      </c>
      <c r="FS175" s="625">
        <f t="shared" ca="1" si="391"/>
        <v>0</v>
      </c>
      <c r="FT175" s="640">
        <f ca="1">IF(AND(Assumptions!$H$71="Yes",A175&gt;=Assumptions!$H$72,A175&lt;=Assumptions!$H$73),0,IF(AND($A175&gt;=Assumptions!$C$17,$A175&lt;=Assumptions!$C$18),MAX(AZ175*(1+VLOOKUP($C175,WeatherCapacityAdjustment,2))-FL175,0),0))</f>
        <v>51216</v>
      </c>
      <c r="FU175" s="530">
        <f ca="1">IF(AND(Assumptions!$H$71="Yes",A175&gt;=Assumptions!$H$72,A175&lt;=Assumptions!$H$73),0,IF(AND($A175&gt;=Assumptions!$C$17,$A175&lt;=Assumptions!$C$18),MAX(BA175*(1+VLOOKUP($C175,WeatherCapacityAdjustment,2))-FM175,0),0))</f>
        <v>9312</v>
      </c>
      <c r="FV175" s="530">
        <f ca="1">IF(AND(Assumptions!$H$71="Yes",A175&gt;=Assumptions!$H$72,A175&lt;=Assumptions!$H$73),0,IF(AND($A175&gt;=Assumptions!$C$17,$A175&lt;=Assumptions!$C$18),MAX(BB175*(1+VLOOKUP($C175,WeatherCapacityAdjustment,2))-FN175,0),0))</f>
        <v>11640</v>
      </c>
      <c r="FW175" s="622">
        <f ca="1">IF(AND(Assumptions!$H$71="Yes",A175&gt;=Assumptions!$H$72,A175&lt;=Assumptions!$H$73),0,IF(AND($A175&gt;=Assumptions!$C$17,$A175&lt;=Assumptions!$C$18),MAX(BC175*(1+VLOOKUP($C175,WeatherCapacityAdjustment,3))-FO175,0),0))</f>
        <v>36084</v>
      </c>
      <c r="FX175" s="621">
        <f ca="1">IF(AND(Assumptions!$H$71="Yes",A175&gt;=Assumptions!$H$72,A175&lt;=Assumptions!$H$73),0,IF(ET175&gt;0,MAX(BH175*(1+VLOOKUP($C175,WeatherCapacityAdjustment,2))-FP175,0),0))</f>
        <v>204864</v>
      </c>
      <c r="FY175" s="530">
        <f ca="1">IF(AND(Assumptions!$H$71="Yes",A175&gt;=Assumptions!$H$72,A175&lt;=Assumptions!$H$73),0,IF(EU175&gt;0,MAX(BI175*(1+VLOOKUP($C175,WeatherCapacityAdjustment,3))-FQ175,0),0))</f>
        <v>37248</v>
      </c>
      <c r="FZ175" s="530">
        <f ca="1">IF(AND(Assumptions!$H$71="Yes",A175&gt;=Assumptions!$H$72,A175&lt;=Assumptions!$H$73),0,IF(EV175&gt;0,MAX(BJ175*(1+VLOOKUP($C175,WeatherCapacityAdjustment,2))-FR175,0),0))</f>
        <v>46560</v>
      </c>
      <c r="GA175" s="622">
        <f ca="1">IF(AND(Assumptions!$H$71="Yes",A175&gt;=Assumptions!$H$72,A175&lt;=Assumptions!$H$73),0,IF(EW175&gt;0,MAX(BK175*(1+VLOOKUP($C175,WeatherCapacityAdjustment,2))-FS175,0),0))</f>
        <v>144336</v>
      </c>
      <c r="GB175" s="530">
        <f t="shared" ca="1" si="461"/>
        <v>541260</v>
      </c>
      <c r="GC175" s="545">
        <f t="shared" ca="1" si="462"/>
        <v>50.548822461677084</v>
      </c>
      <c r="GD175" s="530">
        <f t="shared" ca="1" si="392"/>
        <v>27360055.645607337</v>
      </c>
      <c r="GE175" s="1485">
        <f t="shared" ca="1" si="393"/>
        <v>773677.04399999988</v>
      </c>
      <c r="GF175" s="1776">
        <f t="shared" ca="1" si="394"/>
        <v>3094708.1759999995</v>
      </c>
      <c r="GG175" s="545">
        <f t="shared" si="359"/>
        <v>3.0318952515447131</v>
      </c>
      <c r="GH175" s="622">
        <f t="shared" ca="1" si="360"/>
        <v>11728538.779663747</v>
      </c>
      <c r="GI175" s="621">
        <f t="shared" ca="1" si="507"/>
        <v>541260</v>
      </c>
      <c r="GJ175" s="638">
        <f t="shared" si="463"/>
        <v>2.1941899559905633</v>
      </c>
      <c r="GK175" s="625">
        <f t="shared" ca="1" si="513"/>
        <v>1187627.2555794523</v>
      </c>
      <c r="GL175" s="640">
        <f t="shared" ca="1" si="395"/>
        <v>0</v>
      </c>
      <c r="GM175" s="530">
        <f t="shared" ca="1" si="396"/>
        <v>0</v>
      </c>
      <c r="GN175" s="530">
        <f t="shared" ca="1" si="397"/>
        <v>0</v>
      </c>
      <c r="GO175" s="622">
        <f t="shared" ca="1" si="398"/>
        <v>0</v>
      </c>
      <c r="GP175" s="530">
        <f t="shared" ca="1" si="464"/>
        <v>0</v>
      </c>
      <c r="GQ175" s="545">
        <f t="shared" ca="1" si="465"/>
        <v>0</v>
      </c>
      <c r="GR175" s="625">
        <f t="shared" ca="1" si="399"/>
        <v>0</v>
      </c>
      <c r="GS175" s="640">
        <f>IF($A175&gt;=BegDate,Assumptions!$C$56*24*($A176-$A175)*(1-VLOOKUP($B175,MAIN!$AA$7:$AM$28,$C175+1))*(1-VLOOKUP($B175,MAIN!$AA$33:$AM$54,$C175+1)),0)*80/168</f>
        <v>257742.85714285713</v>
      </c>
      <c r="GT175" s="1715">
        <f t="shared" si="508"/>
        <v>65.900720017859911</v>
      </c>
      <c r="GU175" s="1715">
        <f>IF($A175&gt;=BegDate,VLOOKUP($A175,GasTable,13)+Assumptions!$C$58,0)</f>
        <v>3.0318952515447131</v>
      </c>
      <c r="GV175" s="1715">
        <f>GU175*Assumptions!$C$57/1000</f>
        <v>21.981240573699171</v>
      </c>
      <c r="GW175" s="625">
        <f>IF(Assumptions!$C$60="Hourly",MAX(0,GS175*(GT175-GV175)),GS175*(GT175-GV175))</f>
        <v>11319932.116164973</v>
      </c>
      <c r="GX175" s="640">
        <f>IF($A175&gt;=BegDate,Assumptions!$C$56*24*($A176-$A175)*(1-VLOOKUP($B175,MAIN!$AA$7:$AM$28,$C175+1))*(1-VLOOKUP($B175,MAIN!$AA$33:$AM$54,$C175+1)),0)*16/168</f>
        <v>51548.571428571428</v>
      </c>
      <c r="GY175" s="1715">
        <f t="shared" si="509"/>
        <v>65.900720017859911</v>
      </c>
      <c r="GZ175" s="1715">
        <f>IF($A175&gt;=BegDate,VLOOKUP($A175,GasTable,13)+Assumptions!$C$58,0)</f>
        <v>3.0318952515447131</v>
      </c>
      <c r="HA175" s="1715">
        <f>GZ175*Assumptions!$C$57/1000</f>
        <v>21.981240573699171</v>
      </c>
      <c r="HB175" s="625">
        <f>IF(Assumptions!$C$60="Hourly",MAX(0,GX175*(GY175-HA175)),GX175*(GY175-HA175))</f>
        <v>2263986.4232329945</v>
      </c>
      <c r="HC175" s="640">
        <f>IF($A175&gt;=BegDate,Assumptions!$C$56*24*($A176-$A175)*(1-VLOOKUP($B175,MAIN!$AA$7:$AM$28,$C175+1))*(1-VLOOKUP($B175,MAIN!$AA$33:$AM$54,$C175+1)),0)*16/168</f>
        <v>51548.571428571428</v>
      </c>
      <c r="HD175" s="1715">
        <f t="shared" si="510"/>
        <v>31.078123132674179</v>
      </c>
      <c r="HE175" s="1715">
        <f>IF($A175&gt;=BegDate,VLOOKUP($A175,GasTable,13)+Assumptions!$C$58,0)</f>
        <v>3.0318952515447131</v>
      </c>
      <c r="HF175" s="1715">
        <f>HE175*Assumptions!$C$57/1000</f>
        <v>21.981240573699171</v>
      </c>
      <c r="HG175" s="625">
        <f>IF(Assumptions!$C$60="Hourly",MAX(0,HC175*(HD175-HF175)),HC175*(HD175-HF175))</f>
        <v>468931.30036864878</v>
      </c>
      <c r="HH175" s="640">
        <f>IF($A175&gt;=BegDate,Assumptions!$C$56*24*($A176-$A175)*(1-VLOOKUP($B175,MAIN!$AA$7:$AM$28,$C175+1))*(1-VLOOKUP($B175,MAIN!$AA$33:$AM$54,$C175+1)),0)*56/168</f>
        <v>180420</v>
      </c>
      <c r="HI175" s="1715">
        <f t="shared" si="511"/>
        <v>31.078123132674179</v>
      </c>
      <c r="HJ175" s="1715">
        <f>IF($A175&gt;=BegDate,VLOOKUP($A175,GasTable,13)+Assumptions!$C$58,0)</f>
        <v>3.0318952515447131</v>
      </c>
      <c r="HK175" s="1715">
        <f>HJ175*Assumptions!$C$57/1000</f>
        <v>21.981240573699171</v>
      </c>
      <c r="HL175" s="625">
        <f>IF(Assumptions!$C$60="Hourly",MAX(0,HH175*(HI175-HK175)),HH175*(HI175-HK175))</f>
        <v>1641259.5512902709</v>
      </c>
      <c r="HM175" s="640">
        <f>IF(AND(Assumptions!$H$71="Yes",A175&gt;=Assumptions!$H$72,A175&lt;=Assumptions!$H$73),Assumptions!$H$74*Assumptions!$C$9*1000,0)</f>
        <v>0</v>
      </c>
      <c r="HN175" s="530"/>
      <c r="HO175" s="545"/>
      <c r="HP175" s="545"/>
      <c r="HQ175" s="545"/>
      <c r="HR175" s="545"/>
      <c r="HS175" s="545"/>
      <c r="HT175" s="545"/>
      <c r="HU175" s="545"/>
      <c r="HV175" s="545"/>
      <c r="HW175" s="545"/>
      <c r="HX175" s="545"/>
      <c r="HY175" s="545"/>
      <c r="HZ175" s="545"/>
      <c r="IA175" s="545"/>
      <c r="IB175" s="545"/>
      <c r="IC175" s="545"/>
      <c r="ID175" s="545"/>
      <c r="IE175" s="545"/>
      <c r="IF175" s="545"/>
      <c r="IG175" s="545"/>
      <c r="IH175" s="545"/>
      <c r="II175" s="1464"/>
      <c r="IJ175" s="1463"/>
      <c r="IK175" s="1463"/>
    </row>
    <row r="176" spans="1:245">
      <c r="A176" s="177">
        <f t="shared" si="466"/>
        <v>41487</v>
      </c>
      <c r="B176" s="349">
        <f t="shared" si="467"/>
        <v>2013</v>
      </c>
      <c r="C176" s="15">
        <f t="shared" si="515"/>
        <v>8</v>
      </c>
      <c r="D176" s="612" t="str">
        <f t="shared" si="468"/>
        <v/>
      </c>
      <c r="E176" s="609">
        <f t="shared" si="516"/>
        <v>41487</v>
      </c>
      <c r="F176" s="614">
        <f t="shared" si="517"/>
        <v>41517</v>
      </c>
      <c r="G176" s="1349">
        <v>0</v>
      </c>
      <c r="H176" s="152">
        <f t="shared" si="512"/>
        <v>1</v>
      </c>
      <c r="I176" s="154">
        <f>IF(Assumptions!$L$25=4,VLOOKUP($A176,'Henwood Reference'!$E$9:$R$320,10),(VLOOKUP($A176,PriceTable,2,0)+IF(BasisNumber&lt;&gt;1,VLOOKUP($A176,BasisTable,2,0),0)+I$1)/(1-I$2))</f>
        <v>116.07609911459738</v>
      </c>
      <c r="J176" s="154">
        <f>IF(Assumptions!$L$25=4,VLOOKUP($A176,'Henwood Reference'!$E$9:$R$320,10),(VLOOKUP($A176,PriceTable,3,0)+IF(BasisNumber&lt;&gt;1,VLOOKUP($A176,BasisTable,2,0),0)+J$1)/(1-J$2))</f>
        <v>116.07609911459738</v>
      </c>
      <c r="K176" s="154">
        <f>IF(Assumptions!$L$25=4,VLOOKUP($A176,'Henwood Reference'!$E$9:$R$320,10),(VLOOKUP($A176,PriceTable,4,0)+IF(BasisNumber&lt;&gt;1,VLOOKUP($A176,BasisTable,2,0),0)+K$1)/(1-K$2))</f>
        <v>116.07609911459738</v>
      </c>
      <c r="L176" s="474">
        <f>IF(Assumptions!$L$25=4,VLOOKUP($A176,'Henwood Reference'!$E$9:$R$320,10),(VLOOKUP($A176,PriceTableWeekend,2,0)+IF(BasisNumber&lt;&gt;1,VLOOKUP($A176,BasisTable,2,0),0)+L$1)/(1-L$2))</f>
        <v>116.07609911459738</v>
      </c>
      <c r="M176" s="154">
        <f>IF(Assumptions!$L$25=4,VLOOKUP($A176,'Henwood Reference'!$E$9:$R$320,10),(VLOOKUP($A176,PriceTableWeekend,3,0)+IF(BasisNumber&lt;&gt;1,VLOOKUP($A176,BasisTable,2,0),0)+M$1)/(1-M$2))</f>
        <v>116.07609911459738</v>
      </c>
      <c r="N176" s="156">
        <f>IF(Assumptions!$L$25=4,VLOOKUP($A176,'Henwood Reference'!$E$9:$R$320,10),(VLOOKUP($A176,PriceTableWeekend,4,0)+IF(BasisNumber&lt;&gt;1,VLOOKUP($A176,BasisTable,2,0),0)+N$1)/(1-N$2))</f>
        <v>116.07609911459738</v>
      </c>
      <c r="O176" s="154">
        <f>IF(Assumptions!$L$25=4,VLOOKUP($A176,'Henwood Reference'!$E$9:$R$320,11),(VLOOKUP($A176,PriceTableWeekend,6,0)+IF(BasisNumber&lt;&gt;1,VLOOKUP($A176,BasisTable,3,0),0)+O$1)/(1-O$2))</f>
        <v>35.517393006402472</v>
      </c>
      <c r="P176" s="154">
        <f>IF(Assumptions!$L$25=4,VLOOKUP($A176,'Henwood Reference'!$E$9:$R$320,11),(VLOOKUP($A176,PriceTableWeekend,7,0)+IF(BasisNumber&lt;&gt;1,VLOOKUP($A176,BasisTable,3,0),0)+P$1)/(1-P$2))</f>
        <v>35.517393006402472</v>
      </c>
      <c r="Q176" s="156">
        <f>IF(Assumptions!$L$25=4,VLOOKUP($A176,'Henwood Reference'!$E$9:$R$320,11),(VLOOKUP($A176,PriceTableWeekend,8,0)+IF(BasisNumber&lt;&gt;1,VLOOKUP($A176,BasisTable,3,0),0)+Q$1)/(1-Q$2))</f>
        <v>35.517393006402472</v>
      </c>
      <c r="R176" s="154">
        <f>IF(Assumptions!$L$25=4,VLOOKUP($A176,'Henwood Reference'!$E$9:$R$320,11),(VLOOKUP($A176,PriceTable,6,0)+IF(BasisNumber&lt;&gt;1,VLOOKUP($A176,BasisTable,3,0),0)+R$1)/(1-R$2))</f>
        <v>35.517393006402472</v>
      </c>
      <c r="S176" s="154">
        <f>IF(Assumptions!$L$25=4,VLOOKUP($A176,'Henwood Reference'!$E$9:$R$320,11),(VLOOKUP($A176,PriceTable,7,0)+IF(BasisNumber&lt;&gt;1,VLOOKUP($A176,BasisTable,3,0),0)+S$1)/(1-S$2))</f>
        <v>35.517393006402472</v>
      </c>
      <c r="T176" s="155">
        <f>IF(Assumptions!$L$25=4,VLOOKUP($A176,'Henwood Reference'!$E$9:$R$320,11),(VLOOKUP($A176,PriceTable,8,0)+IF(BasisNumber&lt;&gt;1,VLOOKUP($A176,BasisTable,3,0),0)+T$1)/(1-T$2))</f>
        <v>35.517393006402472</v>
      </c>
      <c r="U176" s="173">
        <f t="shared" si="469"/>
        <v>0.105</v>
      </c>
      <c r="V176" s="173">
        <f t="shared" si="470"/>
        <v>0.115</v>
      </c>
      <c r="W176" s="174">
        <f t="shared" si="471"/>
        <v>0.125</v>
      </c>
      <c r="X176" s="173">
        <f t="shared" si="472"/>
        <v>0.105</v>
      </c>
      <c r="Y176" s="173">
        <f t="shared" si="473"/>
        <v>0.115</v>
      </c>
      <c r="Z176" s="174">
        <f t="shared" si="474"/>
        <v>0.125</v>
      </c>
      <c r="AA176" s="173">
        <f t="shared" si="475"/>
        <v>0.09</v>
      </c>
      <c r="AB176" s="173">
        <f t="shared" si="476"/>
        <v>0.11</v>
      </c>
      <c r="AC176" s="174">
        <f t="shared" si="477"/>
        <v>0.13</v>
      </c>
      <c r="AD176" s="173">
        <f t="shared" si="478"/>
        <v>0.09</v>
      </c>
      <c r="AE176" s="173">
        <f t="shared" si="479"/>
        <v>0.11</v>
      </c>
      <c r="AF176" s="174">
        <f t="shared" si="480"/>
        <v>0.13</v>
      </c>
      <c r="AG176" s="173">
        <f t="shared" si="481"/>
        <v>-0.35</v>
      </c>
      <c r="AH176" s="173">
        <f t="shared" si="482"/>
        <v>3</v>
      </c>
      <c r="AI176" s="174">
        <f t="shared" si="483"/>
        <v>0.35</v>
      </c>
      <c r="AJ176" s="173">
        <f t="shared" si="484"/>
        <v>-0.35</v>
      </c>
      <c r="AK176" s="173">
        <f t="shared" si="485"/>
        <v>3</v>
      </c>
      <c r="AL176" s="174">
        <f t="shared" si="486"/>
        <v>0.35</v>
      </c>
      <c r="AM176" s="173">
        <f t="shared" si="487"/>
        <v>-0.01</v>
      </c>
      <c r="AN176" s="173">
        <f t="shared" si="488"/>
        <v>0.16</v>
      </c>
      <c r="AO176" s="174">
        <f t="shared" si="489"/>
        <v>0.01</v>
      </c>
      <c r="AP176" s="173">
        <f t="shared" si="490"/>
        <v>-0.01</v>
      </c>
      <c r="AQ176" s="173">
        <f t="shared" si="491"/>
        <v>0.16</v>
      </c>
      <c r="AR176" s="175">
        <f t="shared" si="492"/>
        <v>0.01</v>
      </c>
      <c r="AS176" s="521">
        <f t="shared" si="520"/>
        <v>0.5</v>
      </c>
      <c r="AT176" s="349">
        <f t="shared" si="518"/>
        <v>22</v>
      </c>
      <c r="AU176" s="159">
        <f t="shared" si="411"/>
        <v>5</v>
      </c>
      <c r="AV176" s="159">
        <f t="shared" si="412"/>
        <v>4</v>
      </c>
      <c r="AW176" s="159">
        <f t="shared" si="521"/>
        <v>0</v>
      </c>
      <c r="AX176" s="15">
        <f t="shared" si="519"/>
        <v>31</v>
      </c>
      <c r="AY176" s="607">
        <f>IF(E176="",0,MIN((1-(1-VLOOKUP(B176,MAIN!$AA$7:$AM$28,C176+1))*(1-VLOOKUP(B176,MAIN!$AA$33:$AM$54,C176+1))),1))</f>
        <v>3.0000000000000027E-2</v>
      </c>
      <c r="AZ176" s="337">
        <v>51216</v>
      </c>
      <c r="BA176" s="509">
        <v>11640</v>
      </c>
      <c r="BB176" s="509">
        <v>9312</v>
      </c>
      <c r="BC176" s="511">
        <v>36084</v>
      </c>
      <c r="BD176" s="153">
        <v>0.96999998915940522</v>
      </c>
      <c r="BE176" s="474">
        <v>0.96999998915940522</v>
      </c>
      <c r="BF176" s="474">
        <v>0.96999998915940522</v>
      </c>
      <c r="BG176" s="515">
        <v>0.97000000722706314</v>
      </c>
      <c r="BH176" s="262">
        <v>204864</v>
      </c>
      <c r="BI176" s="509">
        <v>46560</v>
      </c>
      <c r="BJ176" s="509">
        <v>37248</v>
      </c>
      <c r="BK176" s="511">
        <v>144336</v>
      </c>
      <c r="BL176" s="153">
        <v>0.96999998915940522</v>
      </c>
      <c r="BM176" s="474">
        <v>0.96999998915940522</v>
      </c>
      <c r="BN176" s="474">
        <v>0.96999998915940522</v>
      </c>
      <c r="BO176" s="474">
        <v>0.97000000722706314</v>
      </c>
      <c r="BP176" s="261">
        <f t="shared" si="495"/>
        <v>72168</v>
      </c>
      <c r="BQ176" s="578">
        <f t="shared" si="496"/>
        <v>108252</v>
      </c>
      <c r="BR176" s="259">
        <f t="shared" si="497"/>
        <v>288672</v>
      </c>
      <c r="BS176" s="578">
        <f t="shared" si="498"/>
        <v>433008</v>
      </c>
      <c r="BT176" s="216">
        <f t="shared" si="499"/>
        <v>13.297741273100616</v>
      </c>
      <c r="BU176" s="218">
        <f t="shared" si="414"/>
        <v>116.07609781734588</v>
      </c>
      <c r="BV176" s="216">
        <f t="shared" si="415"/>
        <v>116.07609781734588</v>
      </c>
      <c r="BW176" s="216">
        <f t="shared" si="416"/>
        <v>35.517392609464672</v>
      </c>
      <c r="BX176" s="216">
        <f t="shared" si="500"/>
        <v>35.517393271027672</v>
      </c>
      <c r="BY176" s="216">
        <f t="shared" si="417"/>
        <v>105.68142617761927</v>
      </c>
      <c r="BZ176" s="216">
        <f t="shared" si="418"/>
        <v>82.293415208755405</v>
      </c>
      <c r="CA176" s="264">
        <f t="shared" si="419"/>
        <v>116.07609781734588</v>
      </c>
      <c r="CB176" s="216">
        <f t="shared" si="420"/>
        <v>116.07609781734588</v>
      </c>
      <c r="CC176" s="216">
        <f t="shared" si="421"/>
        <v>35.517392609464672</v>
      </c>
      <c r="CD176" s="216">
        <f t="shared" si="501"/>
        <v>35.517393271027672</v>
      </c>
      <c r="CE176" s="216">
        <f t="shared" si="422"/>
        <v>105.68142617761927</v>
      </c>
      <c r="CF176" s="571">
        <f t="shared" si="423"/>
        <v>82.293415208755405</v>
      </c>
      <c r="CG176" s="573">
        <f t="shared" si="424"/>
        <v>0.115</v>
      </c>
      <c r="CH176" s="219">
        <f t="shared" si="425"/>
        <v>0.115</v>
      </c>
      <c r="CI176" s="219">
        <f t="shared" si="426"/>
        <v>0.11</v>
      </c>
      <c r="CJ176" s="219">
        <f t="shared" si="427"/>
        <v>0.11478396402905332</v>
      </c>
      <c r="CK176" s="219">
        <f t="shared" si="428"/>
        <v>0.11478396402905332</v>
      </c>
      <c r="CL176" s="219">
        <f t="shared" si="429"/>
        <v>0.11</v>
      </c>
      <c r="CM176" s="219">
        <f t="shared" si="430"/>
        <v>0.10732932755767961</v>
      </c>
      <c r="CN176" s="569">
        <f t="shared" si="431"/>
        <v>0.10732932755767961</v>
      </c>
      <c r="CO176" s="264">
        <f t="shared" si="514"/>
        <v>22.458129256688636</v>
      </c>
      <c r="CP176" s="216">
        <f t="shared" si="502"/>
        <v>22.458129256688636</v>
      </c>
      <c r="CQ176" s="216">
        <f t="shared" ca="1" si="361"/>
        <v>22.458129256688636</v>
      </c>
      <c r="CR176" s="216">
        <f t="shared" ca="1" si="362"/>
        <v>22.458129256688636</v>
      </c>
      <c r="CS176" s="1626">
        <f t="shared" ca="1" si="363"/>
        <v>22.458129256688636</v>
      </c>
      <c r="CT176" s="216">
        <f t="shared" si="503"/>
        <v>22.458129256688636</v>
      </c>
      <c r="CU176" s="575">
        <f t="shared" si="432"/>
        <v>0.155</v>
      </c>
      <c r="CV176" s="154">
        <f t="shared" si="433"/>
        <v>0.5</v>
      </c>
      <c r="CW176" s="216">
        <f>IF(OR($BQ176,$BS176),SpreadOptPowerMargin,0)*((1+Assumptions!$C$26)^($B176-YEAR(Assumptions!$C$17)))</f>
        <v>2.1941899559905629</v>
      </c>
      <c r="CX176" s="216">
        <f>IF(OR($BQ176,$BS176),SpreadOptPowerMargin,0)*((1+Assumptions!$C$26)^($B176-YEAR(Assumptions!$C$17)))</f>
        <v>2.1941899559905629</v>
      </c>
      <c r="CY176" s="216">
        <f>IF(OR($BQ176,$BS176),SpreadOptPowerMargin,0)*((1+Assumptions!$C$26)^($B176-YEAR(Assumptions!$C$17)))</f>
        <v>2.1941899559905629</v>
      </c>
      <c r="CZ176" s="216">
        <f>IF(OR($BQ176,$BS176),SpreadOptPowerMargin,0)*((1+Assumptions!$C$26)^($B176-YEAR(Assumptions!$C$17)))</f>
        <v>2.1941899559905629</v>
      </c>
      <c r="DA176" s="440">
        <f t="shared" si="434"/>
        <v>2.1941899559905633</v>
      </c>
      <c r="DB176" s="479">
        <f t="shared" si="435"/>
        <v>0.115</v>
      </c>
      <c r="DC176" s="479">
        <f t="shared" si="436"/>
        <v>0.115</v>
      </c>
      <c r="DD176" s="479">
        <f t="shared" si="437"/>
        <v>0.11</v>
      </c>
      <c r="DE176" s="479">
        <f t="shared" si="438"/>
        <v>0.11</v>
      </c>
      <c r="DF176" s="479">
        <f t="shared" si="439"/>
        <v>0.10732932755767961</v>
      </c>
      <c r="DG176" s="574">
        <f t="shared" si="440"/>
        <v>0.10732932755767961</v>
      </c>
      <c r="DH176" s="216">
        <f t="shared" si="441"/>
        <v>91.428859253820022</v>
      </c>
      <c r="DI176" s="216">
        <f t="shared" si="442"/>
        <v>91.428859253820022</v>
      </c>
      <c r="DJ176" s="216">
        <f t="shared" ca="1" si="364"/>
        <v>12.596539479498102</v>
      </c>
      <c r="DK176" s="216">
        <f t="shared" ca="1" si="365"/>
        <v>12.596540039335098</v>
      </c>
      <c r="DL176" s="216">
        <f t="shared" ca="1" si="366"/>
        <v>57.680119857651015</v>
      </c>
      <c r="DM176" s="216"/>
      <c r="DN176" s="216"/>
      <c r="DO176" s="216"/>
      <c r="DP176" s="216"/>
      <c r="DQ176" s="216"/>
      <c r="DR176" s="216"/>
      <c r="DS176" s="216"/>
      <c r="DT176" s="216"/>
      <c r="DU176" s="216"/>
      <c r="DV176" s="216"/>
      <c r="DW176" s="1371">
        <f t="shared" si="443"/>
        <v>12.596539479498102</v>
      </c>
      <c r="DX176" s="216">
        <f t="shared" si="444"/>
        <v>12.596540039335098</v>
      </c>
      <c r="DY176" s="440">
        <f t="shared" si="445"/>
        <v>58.370144696361876</v>
      </c>
      <c r="DZ176" s="180">
        <f t="shared" si="446"/>
        <v>4682620.4555436466</v>
      </c>
      <c r="EA176" s="180">
        <f t="shared" si="447"/>
        <v>1064231.9217144651</v>
      </c>
      <c r="EB176" s="180">
        <f t="shared" ca="1" si="367"/>
        <v>117298.97563308632</v>
      </c>
      <c r="EC176" s="180">
        <f t="shared" ca="1" si="368"/>
        <v>454533.55077936768</v>
      </c>
      <c r="ED176" s="180">
        <f t="shared" ca="1" si="369"/>
        <v>6243988.3348304378</v>
      </c>
      <c r="EE176" s="581">
        <f t="shared" si="448"/>
        <v>4682360.2450166084</v>
      </c>
      <c r="EF176" s="554">
        <f t="shared" si="449"/>
        <v>1064172.7829583201</v>
      </c>
      <c r="EG176" s="554">
        <f t="shared" ca="1" si="370"/>
        <v>101175.56347086633</v>
      </c>
      <c r="EH176" s="554">
        <f t="shared" ca="1" si="371"/>
        <v>392055.33232144627</v>
      </c>
      <c r="EI176" s="561">
        <f t="shared" ca="1" si="450"/>
        <v>6239763.9237672407</v>
      </c>
      <c r="EJ176" s="581">
        <f t="shared" si="504"/>
        <v>260.21052703820169</v>
      </c>
      <c r="EK176" s="554">
        <f t="shared" si="505"/>
        <v>59.138756145024672</v>
      </c>
      <c r="EL176" s="554">
        <f t="shared" ca="1" si="372"/>
        <v>16123.412162219989</v>
      </c>
      <c r="EM176" s="554">
        <f t="shared" ca="1" si="373"/>
        <v>62478.218457921408</v>
      </c>
      <c r="EN176" s="561">
        <f t="shared" ca="1" si="374"/>
        <v>4224.4110631970689</v>
      </c>
      <c r="EO176" s="180">
        <f t="shared" si="451"/>
        <v>18730481.822174586</v>
      </c>
      <c r="EP176" s="180">
        <f t="shared" si="452"/>
        <v>4256927.6868578605</v>
      </c>
      <c r="EQ176" s="180">
        <f t="shared" si="453"/>
        <v>469195.90253234527</v>
      </c>
      <c r="ER176" s="180">
        <f t="shared" si="454"/>
        <v>1818134.2031174707</v>
      </c>
      <c r="ES176" s="180">
        <f t="shared" si="455"/>
        <v>25274739.614682265</v>
      </c>
      <c r="ET176" s="1482">
        <f t="shared" ca="1" si="375"/>
        <v>18729440.980066434</v>
      </c>
      <c r="EU176" s="180">
        <f t="shared" ca="1" si="376"/>
        <v>4256691.1318332804</v>
      </c>
      <c r="EV176" s="180">
        <f t="shared" ca="1" si="377"/>
        <v>404702.25388346531</v>
      </c>
      <c r="EW176" s="180">
        <f t="shared" ca="1" si="378"/>
        <v>1568221.3292857851</v>
      </c>
      <c r="EX176" s="555">
        <f t="shared" ca="1" si="522"/>
        <v>24959055.695068967</v>
      </c>
      <c r="EY176" s="180">
        <f t="shared" ca="1" si="379"/>
        <v>1040.8421081528068</v>
      </c>
      <c r="EZ176" s="180">
        <f t="shared" ca="1" si="380"/>
        <v>236.55502458009869</v>
      </c>
      <c r="FA176" s="180">
        <f t="shared" ca="1" si="381"/>
        <v>64493.648648879956</v>
      </c>
      <c r="FB176" s="180">
        <f t="shared" ca="1" si="382"/>
        <v>249912.87383168563</v>
      </c>
      <c r="FC176" s="180">
        <f t="shared" ca="1" si="383"/>
        <v>315683.91961329803</v>
      </c>
      <c r="FD176" s="262">
        <f>IF(AX176,IF(VLOOKUP(C176,MAIN!$L$17:$M$28,2)="Yes",VLOOKUP(CALC!B176,MAIN!$H$17:$I$20,2),0),0)</f>
        <v>0</v>
      </c>
      <c r="FE176" s="623">
        <f t="shared" si="456"/>
        <v>0</v>
      </c>
      <c r="FF176" s="535">
        <f t="shared" si="457"/>
        <v>0</v>
      </c>
      <c r="FG176" s="535">
        <f t="shared" si="458"/>
        <v>0</v>
      </c>
      <c r="FH176" s="624">
        <f t="shared" si="459"/>
        <v>0</v>
      </c>
      <c r="FI176" s="632">
        <f>IF(AX176,VLOOKUP(CALC!B176,MAIN!$H$17:$K$20,4),0)</f>
        <v>0</v>
      </c>
      <c r="FJ176" s="535">
        <f t="shared" si="460"/>
        <v>0</v>
      </c>
      <c r="FK176" s="648">
        <f t="shared" si="506"/>
        <v>0</v>
      </c>
      <c r="FL176" s="530">
        <f t="shared" ca="1" si="384"/>
        <v>0</v>
      </c>
      <c r="FM176" s="530">
        <f t="shared" ca="1" si="385"/>
        <v>0</v>
      </c>
      <c r="FN176" s="530">
        <f t="shared" ca="1" si="386"/>
        <v>0</v>
      </c>
      <c r="FO176" s="622">
        <f t="shared" ca="1" si="387"/>
        <v>0</v>
      </c>
      <c r="FP176" s="530">
        <f t="shared" ca="1" si="388"/>
        <v>0</v>
      </c>
      <c r="FQ176" s="530">
        <f t="shared" ca="1" si="389"/>
        <v>0</v>
      </c>
      <c r="FR176" s="530">
        <f t="shared" ca="1" si="390"/>
        <v>0</v>
      </c>
      <c r="FS176" s="625">
        <f t="shared" ca="1" si="391"/>
        <v>0</v>
      </c>
      <c r="FT176" s="640">
        <f ca="1">IF(AND(Assumptions!$H$71="Yes",A176&gt;=Assumptions!$H$72,A176&lt;=Assumptions!$H$73),0,IF(AND($A176&gt;=Assumptions!$C$17,$A176&lt;=Assumptions!$C$18),MAX(AZ176*(1+VLOOKUP($C176,WeatherCapacityAdjustment,2))-FL176,0),0))</f>
        <v>51216</v>
      </c>
      <c r="FU176" s="530">
        <f ca="1">IF(AND(Assumptions!$H$71="Yes",A176&gt;=Assumptions!$H$72,A176&lt;=Assumptions!$H$73),0,IF(AND($A176&gt;=Assumptions!$C$17,$A176&lt;=Assumptions!$C$18),MAX(BA176*(1+VLOOKUP($C176,WeatherCapacityAdjustment,2))-FM176,0),0))</f>
        <v>11640</v>
      </c>
      <c r="FV176" s="530">
        <f ca="1">IF(AND(Assumptions!$H$71="Yes",A176&gt;=Assumptions!$H$72,A176&lt;=Assumptions!$H$73),0,IF(AND($A176&gt;=Assumptions!$C$17,$A176&lt;=Assumptions!$C$18),MAX(BB176*(1+VLOOKUP($C176,WeatherCapacityAdjustment,2))-FN176,0),0))</f>
        <v>9312</v>
      </c>
      <c r="FW176" s="622">
        <f ca="1">IF(AND(Assumptions!$H$71="Yes",A176&gt;=Assumptions!$H$72,A176&lt;=Assumptions!$H$73),0,IF(AND($A176&gt;=Assumptions!$C$17,$A176&lt;=Assumptions!$C$18),MAX(BC176*(1+VLOOKUP($C176,WeatherCapacityAdjustment,3))-FO176,0),0))</f>
        <v>36084</v>
      </c>
      <c r="FX176" s="621">
        <f ca="1">IF(AND(Assumptions!$H$71="Yes",A176&gt;=Assumptions!$H$72,A176&lt;=Assumptions!$H$73),0,IF(ET176&gt;0,MAX(BH176*(1+VLOOKUP($C176,WeatherCapacityAdjustment,2))-FP176,0),0))</f>
        <v>204864</v>
      </c>
      <c r="FY176" s="530">
        <f ca="1">IF(AND(Assumptions!$H$71="Yes",A176&gt;=Assumptions!$H$72,A176&lt;=Assumptions!$H$73),0,IF(EU176&gt;0,MAX(BI176*(1+VLOOKUP($C176,WeatherCapacityAdjustment,3))-FQ176,0),0))</f>
        <v>46560</v>
      </c>
      <c r="FZ176" s="530">
        <f ca="1">IF(AND(Assumptions!$H$71="Yes",A176&gt;=Assumptions!$H$72,A176&lt;=Assumptions!$H$73),0,IF(EV176&gt;0,MAX(BJ176*(1+VLOOKUP($C176,WeatherCapacityAdjustment,2))-FR176,0),0))</f>
        <v>37248</v>
      </c>
      <c r="GA176" s="622">
        <f ca="1">IF(AND(Assumptions!$H$71="Yes",A176&gt;=Assumptions!$H$72,A176&lt;=Assumptions!$H$73),0,IF(EW176&gt;0,MAX(BK176*(1+VLOOKUP($C176,WeatherCapacityAdjustment,2))-FS176,0),0))</f>
        <v>144336</v>
      </c>
      <c r="GB176" s="530">
        <f t="shared" ca="1" si="461"/>
        <v>541260</v>
      </c>
      <c r="GC176" s="545">
        <f t="shared" ca="1" si="462"/>
        <v>82.293415208755405</v>
      </c>
      <c r="GD176" s="530">
        <f t="shared" ca="1" si="392"/>
        <v>44542133.915890947</v>
      </c>
      <c r="GE176" s="1485">
        <f t="shared" ca="1" si="393"/>
        <v>773995.30487999995</v>
      </c>
      <c r="GF176" s="1776">
        <f t="shared" ca="1" si="394"/>
        <v>3095981.2195199998</v>
      </c>
      <c r="GG176" s="545">
        <f t="shared" si="359"/>
        <v>3.1410234570763724</v>
      </c>
      <c r="GH176" s="622">
        <f t="shared" ca="1" si="360"/>
        <v>12155687.04147529</v>
      </c>
      <c r="GI176" s="621">
        <f t="shared" ca="1" si="507"/>
        <v>541260</v>
      </c>
      <c r="GJ176" s="638">
        <f t="shared" si="463"/>
        <v>2.1941899559905633</v>
      </c>
      <c r="GK176" s="625">
        <f t="shared" ca="1" si="513"/>
        <v>1187627.2555794523</v>
      </c>
      <c r="GL176" s="640">
        <f t="shared" ca="1" si="395"/>
        <v>0</v>
      </c>
      <c r="GM176" s="530">
        <f t="shared" ca="1" si="396"/>
        <v>0</v>
      </c>
      <c r="GN176" s="530">
        <f t="shared" ca="1" si="397"/>
        <v>0</v>
      </c>
      <c r="GO176" s="622">
        <f t="shared" ca="1" si="398"/>
        <v>0</v>
      </c>
      <c r="GP176" s="530">
        <f t="shared" ca="1" si="464"/>
        <v>0</v>
      </c>
      <c r="GQ176" s="545">
        <f t="shared" ca="1" si="465"/>
        <v>0</v>
      </c>
      <c r="GR176" s="625">
        <f t="shared" ca="1" si="399"/>
        <v>0</v>
      </c>
      <c r="GS176" s="640">
        <f>IF($A176&gt;=BegDate,Assumptions!$C$56*24*($A177-$A176)*(1-VLOOKUP($B176,MAIN!$AA$7:$AM$28,$C176+1))*(1-VLOOKUP($B176,MAIN!$AA$33:$AM$54,$C176+1)),0)*80/168</f>
        <v>257742.85714285713</v>
      </c>
      <c r="GT176" s="1715">
        <f t="shared" si="508"/>
        <v>116.07609911459738</v>
      </c>
      <c r="GU176" s="1715">
        <f>IF($A176&gt;=BegDate,VLOOKUP($A176,GasTable,13)+Assumptions!$C$58,0)</f>
        <v>3.1410234570763724</v>
      </c>
      <c r="GV176" s="1715">
        <f>GU176*Assumptions!$C$57/1000</f>
        <v>22.7724200638037</v>
      </c>
      <c r="GW176" s="625">
        <f>IF(Assumptions!$C$60="Hourly",MAX(0,GS176*(GT176-GV176)),GS176*(GT176-GV176))</f>
        <v>24048356.820491705</v>
      </c>
      <c r="GX176" s="640">
        <f>IF($A176&gt;=BegDate,Assumptions!$C$56*24*($A177-$A176)*(1-VLOOKUP($B176,MAIN!$AA$7:$AM$28,$C176+1))*(1-VLOOKUP($B176,MAIN!$AA$33:$AM$54,$C176+1)),0)*16/168</f>
        <v>51548.571428571428</v>
      </c>
      <c r="GY176" s="1715">
        <f t="shared" si="509"/>
        <v>116.07609911459738</v>
      </c>
      <c r="GZ176" s="1715">
        <f>IF($A176&gt;=BegDate,VLOOKUP($A176,GasTable,13)+Assumptions!$C$58,0)</f>
        <v>3.1410234570763724</v>
      </c>
      <c r="HA176" s="1715">
        <f>GZ176*Assumptions!$C$57/1000</f>
        <v>22.7724200638037</v>
      </c>
      <c r="HB176" s="625">
        <f>IF(Assumptions!$C$60="Hourly",MAX(0,GX176*(GY176-HA176)),GX176*(GY176-HA176))</f>
        <v>4809671.3640983412</v>
      </c>
      <c r="HC176" s="640">
        <f>IF($A176&gt;=BegDate,Assumptions!$C$56*24*($A177-$A176)*(1-VLOOKUP($B176,MAIN!$AA$7:$AM$28,$C176+1))*(1-VLOOKUP($B176,MAIN!$AA$33:$AM$54,$C176+1)),0)*16/168</f>
        <v>51548.571428571428</v>
      </c>
      <c r="HD176" s="1715">
        <f t="shared" si="510"/>
        <v>35.517393006402472</v>
      </c>
      <c r="HE176" s="1715">
        <f>IF($A176&gt;=BegDate,VLOOKUP($A176,GasTable,13)+Assumptions!$C$58,0)</f>
        <v>3.1410234570763724</v>
      </c>
      <c r="HF176" s="1715">
        <f>HE176*Assumptions!$C$57/1000</f>
        <v>22.7724200638037</v>
      </c>
      <c r="HG176" s="625">
        <f>IF(Assumptions!$C$60="Hourly",MAX(0,HC176*(HD176-HF176)),HC176*(HD176-HF176))</f>
        <v>656985.14808676299</v>
      </c>
      <c r="HH176" s="640">
        <f>IF($A176&gt;=BegDate,Assumptions!$C$56*24*($A177-$A176)*(1-VLOOKUP($B176,MAIN!$AA$7:$AM$28,$C176+1))*(1-VLOOKUP($B176,MAIN!$AA$33:$AM$54,$C176+1)),0)*56/168</f>
        <v>180420</v>
      </c>
      <c r="HI176" s="1715">
        <f t="shared" si="511"/>
        <v>35.517393006402472</v>
      </c>
      <c r="HJ176" s="1715">
        <f>IF($A176&gt;=BegDate,VLOOKUP($A176,GasTable,13)+Assumptions!$C$58,0)</f>
        <v>3.1410234570763724</v>
      </c>
      <c r="HK176" s="1715">
        <f>HJ176*Assumptions!$C$57/1000</f>
        <v>22.7724200638037</v>
      </c>
      <c r="HL176" s="625">
        <f>IF(Assumptions!$C$60="Hourly",MAX(0,HH176*(HI176-HK176)),HH176*(HI176-HK176))</f>
        <v>2299448.0183036705</v>
      </c>
      <c r="HM176" s="640">
        <f>IF(AND(Assumptions!$H$71="Yes",A176&gt;=Assumptions!$H$72,A176&lt;=Assumptions!$H$73),Assumptions!$H$74*Assumptions!$C$9*1000,0)</f>
        <v>0</v>
      </c>
      <c r="HN176" s="530"/>
      <c r="HO176" s="545"/>
      <c r="HP176" s="545"/>
      <c r="HQ176" s="545"/>
      <c r="HR176" s="545"/>
      <c r="HS176" s="545"/>
      <c r="HT176" s="545"/>
      <c r="HU176" s="545"/>
      <c r="HV176" s="545"/>
      <c r="HW176" s="545"/>
      <c r="HX176" s="545"/>
      <c r="HY176" s="545"/>
      <c r="HZ176" s="545"/>
      <c r="IA176" s="545"/>
      <c r="IB176" s="545"/>
      <c r="IC176" s="545"/>
      <c r="ID176" s="545"/>
      <c r="IE176" s="545"/>
      <c r="IF176" s="545"/>
      <c r="IG176" s="545"/>
      <c r="IH176" s="545"/>
      <c r="II176" s="1464"/>
      <c r="IJ176" s="1463"/>
      <c r="IK176" s="1463"/>
    </row>
    <row r="177" spans="1:245">
      <c r="A177" s="177">
        <f t="shared" si="466"/>
        <v>41518</v>
      </c>
      <c r="B177" s="349">
        <f t="shared" si="467"/>
        <v>2013</v>
      </c>
      <c r="C177" s="15">
        <f t="shared" ref="C177:C192" si="523">MONTH(A177)</f>
        <v>9</v>
      </c>
      <c r="D177" s="612">
        <f t="shared" si="468"/>
        <v>41519</v>
      </c>
      <c r="E177" s="609">
        <f t="shared" ref="E177:E192" si="524">IF(OR(BegDate&gt;=A178,EndDate&lt;A177,AND(VolumeMonthlyOverFlag,INDEX(VolumeMonthlyOver,C177)=0),NOT(INDEX(MonthKnockOutTable,C177))),"",MAX(A177,BegDate))</f>
        <v>41518</v>
      </c>
      <c r="F177" s="614">
        <f t="shared" ref="F177:F192" si="525">IF(E177="","",MIN(A178-1,EndDate))</f>
        <v>41547</v>
      </c>
      <c r="G177" s="1349">
        <v>0</v>
      </c>
      <c r="H177" s="152">
        <f t="shared" si="512"/>
        <v>1</v>
      </c>
      <c r="I177" s="154">
        <f>IF(Assumptions!$L$25=4,VLOOKUP($A177,'Henwood Reference'!$E$9:$R$320,10),(VLOOKUP($A177,PriceTable,2,0)+IF(BasisNumber&lt;&gt;1,VLOOKUP($A177,BasisTable,2,0),0)+I$1)/(1-I$2))</f>
        <v>70.349433219990516</v>
      </c>
      <c r="J177" s="154">
        <f>IF(Assumptions!$L$25=4,VLOOKUP($A177,'Henwood Reference'!$E$9:$R$320,10),(VLOOKUP($A177,PriceTable,3,0)+IF(BasisNumber&lt;&gt;1,VLOOKUP($A177,BasisTable,2,0),0)+J$1)/(1-J$2))</f>
        <v>70.349433219990516</v>
      </c>
      <c r="K177" s="154">
        <f>IF(Assumptions!$L$25=4,VLOOKUP($A177,'Henwood Reference'!$E$9:$R$320,10),(VLOOKUP($A177,PriceTable,4,0)+IF(BasisNumber&lt;&gt;1,VLOOKUP($A177,BasisTable,2,0),0)+K$1)/(1-K$2))</f>
        <v>70.349433219990516</v>
      </c>
      <c r="L177" s="474">
        <f>IF(Assumptions!$L$25=4,VLOOKUP($A177,'Henwood Reference'!$E$9:$R$320,10),(VLOOKUP($A177,PriceTableWeekend,2,0)+IF(BasisNumber&lt;&gt;1,VLOOKUP($A177,BasisTable,2,0),0)+L$1)/(1-L$2))</f>
        <v>70.349433219990516</v>
      </c>
      <c r="M177" s="154">
        <f>IF(Assumptions!$L$25=4,VLOOKUP($A177,'Henwood Reference'!$E$9:$R$320,10),(VLOOKUP($A177,PriceTableWeekend,3,0)+IF(BasisNumber&lt;&gt;1,VLOOKUP($A177,BasisTable,2,0),0)+M$1)/(1-M$2))</f>
        <v>70.349433219990516</v>
      </c>
      <c r="N177" s="156">
        <f>IF(Assumptions!$L$25=4,VLOOKUP($A177,'Henwood Reference'!$E$9:$R$320,10),(VLOOKUP($A177,PriceTableWeekend,4,0)+IF(BasisNumber&lt;&gt;1,VLOOKUP($A177,BasisTable,2,0),0)+N$1)/(1-N$2))</f>
        <v>70.349433219990516</v>
      </c>
      <c r="O177" s="154">
        <f>IF(Assumptions!$L$25=4,VLOOKUP($A177,'Henwood Reference'!$E$9:$R$320,11),(VLOOKUP($A177,PriceTableWeekend,6,0)+IF(BasisNumber&lt;&gt;1,VLOOKUP($A177,BasisTable,3,0),0)+O$1)/(1-O$2))</f>
        <v>33.887836734019828</v>
      </c>
      <c r="P177" s="154">
        <f>IF(Assumptions!$L$25=4,VLOOKUP($A177,'Henwood Reference'!$E$9:$R$320,11),(VLOOKUP($A177,PriceTableWeekend,7,0)+IF(BasisNumber&lt;&gt;1,VLOOKUP($A177,BasisTable,3,0),0)+P$1)/(1-P$2))</f>
        <v>33.887836734019828</v>
      </c>
      <c r="Q177" s="156">
        <f>IF(Assumptions!$L$25=4,VLOOKUP($A177,'Henwood Reference'!$E$9:$R$320,11),(VLOOKUP($A177,PriceTableWeekend,8,0)+IF(BasisNumber&lt;&gt;1,VLOOKUP($A177,BasisTable,3,0),0)+Q$1)/(1-Q$2))</f>
        <v>33.887836734019828</v>
      </c>
      <c r="R177" s="154">
        <f>IF(Assumptions!$L$25=4,VLOOKUP($A177,'Henwood Reference'!$E$9:$R$320,11),(VLOOKUP($A177,PriceTable,6,0)+IF(BasisNumber&lt;&gt;1,VLOOKUP($A177,BasisTable,3,0),0)+R$1)/(1-R$2))</f>
        <v>33.887836734019828</v>
      </c>
      <c r="S177" s="154">
        <f>IF(Assumptions!$L$25=4,VLOOKUP($A177,'Henwood Reference'!$E$9:$R$320,11),(VLOOKUP($A177,PriceTable,7,0)+IF(BasisNumber&lt;&gt;1,VLOOKUP($A177,BasisTable,3,0),0)+S$1)/(1-S$2))</f>
        <v>33.887836734019828</v>
      </c>
      <c r="T177" s="155">
        <f>IF(Assumptions!$L$25=4,VLOOKUP($A177,'Henwood Reference'!$E$9:$R$320,11),(VLOOKUP($A177,PriceTable,8,0)+IF(BasisNumber&lt;&gt;1,VLOOKUP($A177,BasisTable,3,0),0)+T$1)/(1-T$2))</f>
        <v>33.887836734019828</v>
      </c>
      <c r="U177" s="173">
        <f t="shared" si="469"/>
        <v>0.105</v>
      </c>
      <c r="V177" s="173">
        <f t="shared" si="470"/>
        <v>0.115</v>
      </c>
      <c r="W177" s="174">
        <f t="shared" si="471"/>
        <v>0.125</v>
      </c>
      <c r="X177" s="173">
        <f t="shared" si="472"/>
        <v>0.105</v>
      </c>
      <c r="Y177" s="173">
        <f t="shared" si="473"/>
        <v>0.115</v>
      </c>
      <c r="Z177" s="174">
        <f t="shared" si="474"/>
        <v>0.125</v>
      </c>
      <c r="AA177" s="173">
        <f t="shared" si="475"/>
        <v>0.09</v>
      </c>
      <c r="AB177" s="173">
        <f t="shared" si="476"/>
        <v>0.11</v>
      </c>
      <c r="AC177" s="174">
        <f t="shared" si="477"/>
        <v>0.13</v>
      </c>
      <c r="AD177" s="173">
        <f t="shared" si="478"/>
        <v>0.09</v>
      </c>
      <c r="AE177" s="173">
        <f t="shared" si="479"/>
        <v>0.11</v>
      </c>
      <c r="AF177" s="174">
        <f t="shared" si="480"/>
        <v>0.13</v>
      </c>
      <c r="AG177" s="173">
        <f t="shared" si="481"/>
        <v>-0.35</v>
      </c>
      <c r="AH177" s="173">
        <f t="shared" si="482"/>
        <v>3</v>
      </c>
      <c r="AI177" s="174">
        <f t="shared" si="483"/>
        <v>0.2</v>
      </c>
      <c r="AJ177" s="173">
        <f t="shared" si="484"/>
        <v>-0.35</v>
      </c>
      <c r="AK177" s="173">
        <f t="shared" si="485"/>
        <v>3</v>
      </c>
      <c r="AL177" s="174">
        <f t="shared" si="486"/>
        <v>0.2</v>
      </c>
      <c r="AM177" s="173">
        <f t="shared" si="487"/>
        <v>-0.01</v>
      </c>
      <c r="AN177" s="173">
        <f t="shared" si="488"/>
        <v>0.16</v>
      </c>
      <c r="AO177" s="174">
        <f t="shared" si="489"/>
        <v>0.01</v>
      </c>
      <c r="AP177" s="173">
        <f t="shared" si="490"/>
        <v>-0.01</v>
      </c>
      <c r="AQ177" s="173">
        <f t="shared" si="491"/>
        <v>0.16</v>
      </c>
      <c r="AR177" s="175">
        <f t="shared" si="492"/>
        <v>0.01</v>
      </c>
      <c r="AS177" s="521">
        <f t="shared" si="520"/>
        <v>0.5</v>
      </c>
      <c r="AT177" s="349">
        <f t="shared" ref="AT177:AT192" si="526">AX177-SUM(AU177:AW177)</f>
        <v>20</v>
      </c>
      <c r="AU177" s="159">
        <f t="shared" si="411"/>
        <v>4</v>
      </c>
      <c r="AV177" s="159">
        <f t="shared" si="412"/>
        <v>5</v>
      </c>
      <c r="AW177" s="159">
        <f t="shared" si="521"/>
        <v>1</v>
      </c>
      <c r="AX177" s="15">
        <f t="shared" ref="AX177:AX192" si="527">IF(E177="",0,F177-E177+1)</f>
        <v>30</v>
      </c>
      <c r="AY177" s="607">
        <f>IF(E177="",0,MIN((1-(1-VLOOKUP(B177,MAIN!$AA$7:$AM$28,C177+1))*(1-VLOOKUP(B177,MAIN!$AA$33:$AM$54,C177+1))),1))</f>
        <v>3.0000000000000027E-2</v>
      </c>
      <c r="AZ177" s="337">
        <v>46560</v>
      </c>
      <c r="BA177" s="509">
        <v>9312</v>
      </c>
      <c r="BB177" s="509">
        <v>13968</v>
      </c>
      <c r="BC177" s="511">
        <v>34920</v>
      </c>
      <c r="BD177" s="153">
        <v>0.9699999927729368</v>
      </c>
      <c r="BE177" s="474">
        <v>0.9699999927729368</v>
      </c>
      <c r="BF177" s="474">
        <v>0.9699999927729368</v>
      </c>
      <c r="BG177" s="515">
        <v>0.9699999927729368</v>
      </c>
      <c r="BH177" s="262">
        <v>186240</v>
      </c>
      <c r="BI177" s="509">
        <v>37248</v>
      </c>
      <c r="BJ177" s="509">
        <v>55872</v>
      </c>
      <c r="BK177" s="511">
        <v>139680</v>
      </c>
      <c r="BL177" s="153">
        <v>0.9699999927729368</v>
      </c>
      <c r="BM177" s="474">
        <v>0.9699999927729368</v>
      </c>
      <c r="BN177" s="474">
        <v>0.9699999927729368</v>
      </c>
      <c r="BO177" s="474">
        <v>0.9699999927729368</v>
      </c>
      <c r="BP177" s="261">
        <f t="shared" si="495"/>
        <v>69840</v>
      </c>
      <c r="BQ177" s="578">
        <f t="shared" si="496"/>
        <v>104760</v>
      </c>
      <c r="BR177" s="259">
        <f t="shared" si="497"/>
        <v>279360</v>
      </c>
      <c r="BS177" s="578">
        <f t="shared" si="498"/>
        <v>419040</v>
      </c>
      <c r="BT177" s="216">
        <f t="shared" si="499"/>
        <v>13.382614647501711</v>
      </c>
      <c r="BU177" s="218">
        <f t="shared" si="414"/>
        <v>70.349432695846403</v>
      </c>
      <c r="BV177" s="216">
        <f t="shared" si="415"/>
        <v>70.349432695846403</v>
      </c>
      <c r="BW177" s="216">
        <f t="shared" si="416"/>
        <v>33.887836481535764</v>
      </c>
      <c r="BX177" s="216">
        <f t="shared" si="500"/>
        <v>33.887836481535764</v>
      </c>
      <c r="BY177" s="216">
        <f t="shared" si="417"/>
        <v>63.057113452984275</v>
      </c>
      <c r="BZ177" s="216">
        <f t="shared" si="418"/>
        <v>53.3340211291681</v>
      </c>
      <c r="CA177" s="264">
        <f t="shared" si="419"/>
        <v>70.349432695846403</v>
      </c>
      <c r="CB177" s="216">
        <f t="shared" si="420"/>
        <v>70.349432695846403</v>
      </c>
      <c r="CC177" s="216">
        <f t="shared" si="421"/>
        <v>33.887836481535764</v>
      </c>
      <c r="CD177" s="216">
        <f t="shared" si="501"/>
        <v>33.887836481535764</v>
      </c>
      <c r="CE177" s="216">
        <f t="shared" si="422"/>
        <v>63.057113452984275</v>
      </c>
      <c r="CF177" s="571">
        <f t="shared" si="423"/>
        <v>53.3340211291681</v>
      </c>
      <c r="CG177" s="573">
        <f t="shared" si="424"/>
        <v>0.115</v>
      </c>
      <c r="CH177" s="219">
        <f t="shared" si="425"/>
        <v>0.115</v>
      </c>
      <c r="CI177" s="219">
        <f t="shared" si="426"/>
        <v>0.11</v>
      </c>
      <c r="CJ177" s="219">
        <f t="shared" si="427"/>
        <v>0.11446441840418038</v>
      </c>
      <c r="CK177" s="219">
        <f t="shared" si="428"/>
        <v>0.11446441840418038</v>
      </c>
      <c r="CL177" s="219">
        <f t="shared" si="429"/>
        <v>0.11</v>
      </c>
      <c r="CM177" s="219">
        <f t="shared" si="430"/>
        <v>0.10417187603171325</v>
      </c>
      <c r="CN177" s="569">
        <f t="shared" si="431"/>
        <v>0.10417187603171325</v>
      </c>
      <c r="CO177" s="264">
        <f t="shared" si="514"/>
        <v>23.400719079365796</v>
      </c>
      <c r="CP177" s="216">
        <f t="shared" si="502"/>
        <v>23.400719079365796</v>
      </c>
      <c r="CQ177" s="216">
        <f t="shared" ca="1" si="361"/>
        <v>23.400719079365796</v>
      </c>
      <c r="CR177" s="216">
        <f t="shared" ca="1" si="362"/>
        <v>23.400719079365796</v>
      </c>
      <c r="CS177" s="1626">
        <f t="shared" ca="1" si="363"/>
        <v>23.400719079365796</v>
      </c>
      <c r="CT177" s="216">
        <f t="shared" si="503"/>
        <v>23.400719079365796</v>
      </c>
      <c r="CU177" s="575">
        <f t="shared" si="432"/>
        <v>0.155</v>
      </c>
      <c r="CV177" s="154">
        <f t="shared" si="433"/>
        <v>0.5</v>
      </c>
      <c r="CW177" s="216">
        <f>IF(OR($BQ177,$BS177),SpreadOptPowerMargin,0)*((1+Assumptions!$C$26)^($B177-YEAR(Assumptions!$C$17)))</f>
        <v>2.1941899559905629</v>
      </c>
      <c r="CX177" s="216">
        <f>IF(OR($BQ177,$BS177),SpreadOptPowerMargin,0)*((1+Assumptions!$C$26)^($B177-YEAR(Assumptions!$C$17)))</f>
        <v>2.1941899559905629</v>
      </c>
      <c r="CY177" s="216">
        <f>IF(OR($BQ177,$BS177),SpreadOptPowerMargin,0)*((1+Assumptions!$C$26)^($B177-YEAR(Assumptions!$C$17)))</f>
        <v>2.1941899559905629</v>
      </c>
      <c r="CZ177" s="216">
        <f>IF(OR($BQ177,$BS177),SpreadOptPowerMargin,0)*((1+Assumptions!$C$26)^($B177-YEAR(Assumptions!$C$17)))</f>
        <v>2.1941899559905629</v>
      </c>
      <c r="DA177" s="440">
        <f t="shared" si="434"/>
        <v>2.1941899559905629</v>
      </c>
      <c r="DB177" s="479">
        <f t="shared" si="435"/>
        <v>0.115</v>
      </c>
      <c r="DC177" s="479">
        <f t="shared" si="436"/>
        <v>0.115</v>
      </c>
      <c r="DD177" s="479">
        <f t="shared" si="437"/>
        <v>0.11</v>
      </c>
      <c r="DE177" s="479">
        <f t="shared" si="438"/>
        <v>0.11</v>
      </c>
      <c r="DF177" s="479">
        <f t="shared" si="439"/>
        <v>0.10417187603171325</v>
      </c>
      <c r="DG177" s="574">
        <f t="shared" si="440"/>
        <v>0.10417187603171325</v>
      </c>
      <c r="DH177" s="216">
        <f t="shared" si="441"/>
        <v>44.891901418800259</v>
      </c>
      <c r="DI177" s="216">
        <f t="shared" si="442"/>
        <v>44.891901418800259</v>
      </c>
      <c r="DJ177" s="216">
        <f t="shared" ca="1" si="364"/>
        <v>10.641233895342133</v>
      </c>
      <c r="DK177" s="216">
        <f t="shared" ca="1" si="365"/>
        <v>10.641233895342133</v>
      </c>
      <c r="DL177" s="216">
        <f t="shared" ca="1" si="366"/>
        <v>28.184732087356657</v>
      </c>
      <c r="DM177" s="216"/>
      <c r="DN177" s="216"/>
      <c r="DO177" s="216"/>
      <c r="DP177" s="216"/>
      <c r="DQ177" s="216"/>
      <c r="DR177" s="216"/>
      <c r="DS177" s="216"/>
      <c r="DT177" s="216"/>
      <c r="DU177" s="216"/>
      <c r="DV177" s="216"/>
      <c r="DW177" s="1371">
        <f t="shared" si="443"/>
        <v>10.641233895342133</v>
      </c>
      <c r="DX177" s="216">
        <f t="shared" si="444"/>
        <v>10.641233895342133</v>
      </c>
      <c r="DY177" s="440">
        <f t="shared" si="445"/>
        <v>28.908256574519804</v>
      </c>
      <c r="DZ177" s="180">
        <f t="shared" si="446"/>
        <v>2090166.9300593401</v>
      </c>
      <c r="EA177" s="180">
        <f t="shared" si="447"/>
        <v>418033.38601186802</v>
      </c>
      <c r="EB177" s="180">
        <f t="shared" ca="1" si="367"/>
        <v>148636.75505013892</v>
      </c>
      <c r="EC177" s="180">
        <f t="shared" ca="1" si="368"/>
        <v>371591.8876253473</v>
      </c>
      <c r="ED177" s="180">
        <f t="shared" ca="1" si="369"/>
        <v>2952632.5334714833</v>
      </c>
      <c r="EE177" s="581">
        <f t="shared" si="448"/>
        <v>2083770.6216324165</v>
      </c>
      <c r="EF177" s="554">
        <f t="shared" si="449"/>
        <v>416754.12432648329</v>
      </c>
      <c r="EG177" s="554">
        <f t="shared" ca="1" si="370"/>
        <v>115835.61056823393</v>
      </c>
      <c r="EH177" s="554">
        <f t="shared" ca="1" si="371"/>
        <v>289589.02642058482</v>
      </c>
      <c r="EI177" s="561">
        <f t="shared" ca="1" si="450"/>
        <v>2905949.3829477178</v>
      </c>
      <c r="EJ177" s="581">
        <f t="shared" si="504"/>
        <v>6396.3084269235842</v>
      </c>
      <c r="EK177" s="554">
        <f t="shared" si="505"/>
        <v>1279.2616853847285</v>
      </c>
      <c r="EL177" s="554">
        <f t="shared" ca="1" si="372"/>
        <v>32801.144481904994</v>
      </c>
      <c r="EM177" s="554">
        <f t="shared" ca="1" si="373"/>
        <v>82002.861204762477</v>
      </c>
      <c r="EN177" s="561">
        <f t="shared" ca="1" si="374"/>
        <v>46683.150523765478</v>
      </c>
      <c r="EO177" s="180">
        <f t="shared" si="451"/>
        <v>8360667.7202373603</v>
      </c>
      <c r="EP177" s="180">
        <f t="shared" si="452"/>
        <v>1672133.5440474721</v>
      </c>
      <c r="EQ177" s="180">
        <f t="shared" si="453"/>
        <v>594547.02020055568</v>
      </c>
      <c r="ER177" s="180">
        <f t="shared" si="454"/>
        <v>1486367.5505013892</v>
      </c>
      <c r="ES177" s="180">
        <f t="shared" si="455"/>
        <v>12113715.834986778</v>
      </c>
      <c r="ET177" s="1482">
        <f t="shared" ca="1" si="375"/>
        <v>8335082.486529666</v>
      </c>
      <c r="EU177" s="180">
        <f t="shared" ca="1" si="376"/>
        <v>1667016.4973059332</v>
      </c>
      <c r="EV177" s="180">
        <f t="shared" ca="1" si="377"/>
        <v>463342.4422729357</v>
      </c>
      <c r="EW177" s="180">
        <f t="shared" ca="1" si="378"/>
        <v>1158356.1056823393</v>
      </c>
      <c r="EX177" s="555">
        <f t="shared" ca="1" si="522"/>
        <v>11623797.531790873</v>
      </c>
      <c r="EY177" s="180">
        <f t="shared" ca="1" si="379"/>
        <v>25585.233707694337</v>
      </c>
      <c r="EZ177" s="180">
        <f t="shared" ca="1" si="380"/>
        <v>5117.0467415389139</v>
      </c>
      <c r="FA177" s="180">
        <f t="shared" ca="1" si="381"/>
        <v>131204.57792761998</v>
      </c>
      <c r="FB177" s="180">
        <f t="shared" ca="1" si="382"/>
        <v>328011.44481904991</v>
      </c>
      <c r="FC177" s="180">
        <f t="shared" ca="1" si="383"/>
        <v>489918.30319590494</v>
      </c>
      <c r="FD177" s="262">
        <f>IF(AX177,IF(VLOOKUP(C177,MAIN!$L$17:$M$28,2)="Yes",VLOOKUP(CALC!B177,MAIN!$H$17:$I$20,2),0),0)</f>
        <v>0</v>
      </c>
      <c r="FE177" s="623">
        <f t="shared" si="456"/>
        <v>0</v>
      </c>
      <c r="FF177" s="535">
        <f t="shared" si="457"/>
        <v>0</v>
      </c>
      <c r="FG177" s="535">
        <f t="shared" si="458"/>
        <v>0</v>
      </c>
      <c r="FH177" s="624">
        <f t="shared" si="459"/>
        <v>0</v>
      </c>
      <c r="FI177" s="632">
        <f>IF(AX177,VLOOKUP(CALC!B177,MAIN!$H$17:$K$20,4),0)</f>
        <v>0</v>
      </c>
      <c r="FJ177" s="535">
        <f t="shared" si="460"/>
        <v>0</v>
      </c>
      <c r="FK177" s="648">
        <f t="shared" si="506"/>
        <v>0</v>
      </c>
      <c r="FL177" s="530">
        <f t="shared" ca="1" si="384"/>
        <v>0</v>
      </c>
      <c r="FM177" s="530">
        <f t="shared" ca="1" si="385"/>
        <v>0</v>
      </c>
      <c r="FN177" s="530">
        <f t="shared" ca="1" si="386"/>
        <v>0</v>
      </c>
      <c r="FO177" s="622">
        <f t="shared" ca="1" si="387"/>
        <v>0</v>
      </c>
      <c r="FP177" s="530">
        <f t="shared" ca="1" si="388"/>
        <v>0</v>
      </c>
      <c r="FQ177" s="530">
        <f t="shared" ca="1" si="389"/>
        <v>0</v>
      </c>
      <c r="FR177" s="530">
        <f t="shared" ca="1" si="390"/>
        <v>0</v>
      </c>
      <c r="FS177" s="625">
        <f t="shared" ca="1" si="391"/>
        <v>0</v>
      </c>
      <c r="FT177" s="640">
        <f ca="1">IF(AND(Assumptions!$H$71="Yes",A177&gt;=Assumptions!$H$72,A177&lt;=Assumptions!$H$73),0,IF(AND($A177&gt;=Assumptions!$C$17,$A177&lt;=Assumptions!$C$18),MAX(AZ177*(1+VLOOKUP($C177,WeatherCapacityAdjustment,2))-FL177,0),0))</f>
        <v>46560</v>
      </c>
      <c r="FU177" s="530">
        <f ca="1">IF(AND(Assumptions!$H$71="Yes",A177&gt;=Assumptions!$H$72,A177&lt;=Assumptions!$H$73),0,IF(AND($A177&gt;=Assumptions!$C$17,$A177&lt;=Assumptions!$C$18),MAX(BA177*(1+VLOOKUP($C177,WeatherCapacityAdjustment,2))-FM177,0),0))</f>
        <v>9312</v>
      </c>
      <c r="FV177" s="530">
        <f ca="1">IF(AND(Assumptions!$H$71="Yes",A177&gt;=Assumptions!$H$72,A177&lt;=Assumptions!$H$73),0,IF(AND($A177&gt;=Assumptions!$C$17,$A177&lt;=Assumptions!$C$18),MAX(BB177*(1+VLOOKUP($C177,WeatherCapacityAdjustment,2))-FN177,0),0))</f>
        <v>13968</v>
      </c>
      <c r="FW177" s="622">
        <f ca="1">IF(AND(Assumptions!$H$71="Yes",A177&gt;=Assumptions!$H$72,A177&lt;=Assumptions!$H$73),0,IF(AND($A177&gt;=Assumptions!$C$17,$A177&lt;=Assumptions!$C$18),MAX(BC177*(1+VLOOKUP($C177,WeatherCapacityAdjustment,3))-FO177,0),0))</f>
        <v>34920</v>
      </c>
      <c r="FX177" s="621">
        <f ca="1">IF(AND(Assumptions!$H$71="Yes",A177&gt;=Assumptions!$H$72,A177&lt;=Assumptions!$H$73),0,IF(ET177&gt;0,MAX(BH177*(1+VLOOKUP($C177,WeatherCapacityAdjustment,2))-FP177,0),0))</f>
        <v>186240</v>
      </c>
      <c r="FY177" s="530">
        <f ca="1">IF(AND(Assumptions!$H$71="Yes",A177&gt;=Assumptions!$H$72,A177&lt;=Assumptions!$H$73),0,IF(EU177&gt;0,MAX(BI177*(1+VLOOKUP($C177,WeatherCapacityAdjustment,3))-FQ177,0),0))</f>
        <v>37248</v>
      </c>
      <c r="FZ177" s="530">
        <f ca="1">IF(AND(Assumptions!$H$71="Yes",A177&gt;=Assumptions!$H$72,A177&lt;=Assumptions!$H$73),0,IF(EV177&gt;0,MAX(BJ177*(1+VLOOKUP($C177,WeatherCapacityAdjustment,2))-FR177,0),0))</f>
        <v>55872</v>
      </c>
      <c r="GA177" s="622">
        <f ca="1">IF(AND(Assumptions!$H$71="Yes",A177&gt;=Assumptions!$H$72,A177&lt;=Assumptions!$H$73),0,IF(EW177&gt;0,MAX(BK177*(1+VLOOKUP($C177,WeatherCapacityAdjustment,2))-FS177,0),0))</f>
        <v>139680</v>
      </c>
      <c r="GB177" s="530">
        <f t="shared" ca="1" si="461"/>
        <v>523800</v>
      </c>
      <c r="GC177" s="545">
        <f t="shared" ca="1" si="462"/>
        <v>53.3340211291681</v>
      </c>
      <c r="GD177" s="530">
        <f t="shared" ca="1" si="392"/>
        <v>27936360.267458253</v>
      </c>
      <c r="GE177" s="1485">
        <f t="shared" ca="1" si="393"/>
        <v>749335.70880000002</v>
      </c>
      <c r="GF177" s="1776">
        <f t="shared" ca="1" si="394"/>
        <v>2997342.8352000001</v>
      </c>
      <c r="GG177" s="545">
        <f t="shared" si="359"/>
        <v>3.2715100881555119</v>
      </c>
      <c r="GH177" s="622">
        <f t="shared" ca="1" si="360"/>
        <v>12257296.653771807</v>
      </c>
      <c r="GI177" s="621">
        <f t="shared" ca="1" si="507"/>
        <v>523800</v>
      </c>
      <c r="GJ177" s="638">
        <f t="shared" si="463"/>
        <v>2.1941899559905629</v>
      </c>
      <c r="GK177" s="625">
        <f t="shared" ca="1" si="513"/>
        <v>1149316.6989478569</v>
      </c>
      <c r="GL177" s="640">
        <f t="shared" ca="1" si="395"/>
        <v>0</v>
      </c>
      <c r="GM177" s="530">
        <f t="shared" ca="1" si="396"/>
        <v>0</v>
      </c>
      <c r="GN177" s="530">
        <f t="shared" ca="1" si="397"/>
        <v>0</v>
      </c>
      <c r="GO177" s="622">
        <f t="shared" ca="1" si="398"/>
        <v>0</v>
      </c>
      <c r="GP177" s="530">
        <f t="shared" ca="1" si="464"/>
        <v>0</v>
      </c>
      <c r="GQ177" s="545">
        <f t="shared" ca="1" si="465"/>
        <v>0</v>
      </c>
      <c r="GR177" s="625">
        <f t="shared" ca="1" si="399"/>
        <v>0</v>
      </c>
      <c r="GS177" s="640">
        <f>IF($A177&gt;=BegDate,Assumptions!$C$56*24*($A178-$A177)*(1-VLOOKUP($B177,MAIN!$AA$7:$AM$28,$C177+1))*(1-VLOOKUP($B177,MAIN!$AA$33:$AM$54,$C177+1)),0)*80/168</f>
        <v>249428.57142857142</v>
      </c>
      <c r="GT177" s="1715">
        <f t="shared" si="508"/>
        <v>70.349433219990516</v>
      </c>
      <c r="GU177" s="1715">
        <f>IF($A177&gt;=BegDate,VLOOKUP($A177,GasTable,13)+Assumptions!$C$58,0)</f>
        <v>3.2715100881555119</v>
      </c>
      <c r="GV177" s="1715">
        <f>GU177*Assumptions!$C$57/1000</f>
        <v>23.71844813912746</v>
      </c>
      <c r="GW177" s="625">
        <f>IF(Assumptions!$C$60="Hourly",MAX(0,GS177*(GT177-GV177)),GS177*(GT177-GV177))</f>
        <v>11631099.993026698</v>
      </c>
      <c r="GX177" s="640">
        <f>IF($A177&gt;=BegDate,Assumptions!$C$56*24*($A178-$A177)*(1-VLOOKUP($B177,MAIN!$AA$7:$AM$28,$C177+1))*(1-VLOOKUP($B177,MAIN!$AA$33:$AM$54,$C177+1)),0)*16/168</f>
        <v>49885.714285714283</v>
      </c>
      <c r="GY177" s="1715">
        <f t="shared" si="509"/>
        <v>70.349433219990516</v>
      </c>
      <c r="GZ177" s="1715">
        <f>IF($A177&gt;=BegDate,VLOOKUP($A177,GasTable,13)+Assumptions!$C$58,0)</f>
        <v>3.2715100881555119</v>
      </c>
      <c r="HA177" s="1715">
        <f>GZ177*Assumptions!$C$57/1000</f>
        <v>23.71844813912746</v>
      </c>
      <c r="HB177" s="625">
        <f>IF(Assumptions!$C$60="Hourly",MAX(0,GX177*(GY177-HA177)),GX177*(GY177-HA177))</f>
        <v>2326219.9986053398</v>
      </c>
      <c r="HC177" s="640">
        <f>IF($A177&gt;=BegDate,Assumptions!$C$56*24*($A178-$A177)*(1-VLOOKUP($B177,MAIN!$AA$7:$AM$28,$C177+1))*(1-VLOOKUP($B177,MAIN!$AA$33:$AM$54,$C177+1)),0)*16/168</f>
        <v>49885.714285714283</v>
      </c>
      <c r="HD177" s="1715">
        <f t="shared" si="510"/>
        <v>33.887836734019828</v>
      </c>
      <c r="HE177" s="1715">
        <f>IF($A177&gt;=BegDate,VLOOKUP($A177,GasTable,13)+Assumptions!$C$58,0)</f>
        <v>3.2715100881555119</v>
      </c>
      <c r="HF177" s="1715">
        <f>HE177*Assumptions!$C$57/1000</f>
        <v>23.71844813912746</v>
      </c>
      <c r="HG177" s="625">
        <f>IF(Assumptions!$C$60="Hourly",MAX(0,HC177*(HD177-HF177)),HC177*(HD177-HF177))</f>
        <v>507307.21390520211</v>
      </c>
      <c r="HH177" s="640">
        <f>IF($A177&gt;=BegDate,Assumptions!$C$56*24*($A178-$A177)*(1-VLOOKUP($B177,MAIN!$AA$7:$AM$28,$C177+1))*(1-VLOOKUP($B177,MAIN!$AA$33:$AM$54,$C177+1)),0)*56/168</f>
        <v>174600</v>
      </c>
      <c r="HI177" s="1715">
        <f t="shared" si="511"/>
        <v>33.887836734019828</v>
      </c>
      <c r="HJ177" s="1715">
        <f>IF($A177&gt;=BegDate,VLOOKUP($A177,GasTable,13)+Assumptions!$C$58,0)</f>
        <v>3.2715100881555119</v>
      </c>
      <c r="HK177" s="1715">
        <f>HJ177*Assumptions!$C$57/1000</f>
        <v>23.71844813912746</v>
      </c>
      <c r="HL177" s="625">
        <f>IF(Assumptions!$C$60="Hourly",MAX(0,HH177*(HI177-HK177)),HH177*(HI177-HK177))</f>
        <v>1775575.2486682073</v>
      </c>
      <c r="HM177" s="640">
        <f>IF(AND(Assumptions!$H$71="Yes",A177&gt;=Assumptions!$H$72,A177&lt;=Assumptions!$H$73),Assumptions!$H$74*Assumptions!$C$9*1000,0)</f>
        <v>0</v>
      </c>
      <c r="HN177" s="530"/>
      <c r="HO177" s="545"/>
      <c r="HP177" s="545"/>
      <c r="HQ177" s="545"/>
      <c r="HR177" s="545"/>
      <c r="HS177" s="545"/>
      <c r="HT177" s="545"/>
      <c r="HU177" s="545"/>
      <c r="HV177" s="545"/>
      <c r="HW177" s="545"/>
      <c r="HX177" s="545"/>
      <c r="HY177" s="545"/>
      <c r="HZ177" s="545"/>
      <c r="IA177" s="545"/>
      <c r="IB177" s="545"/>
      <c r="IC177" s="545"/>
      <c r="ID177" s="545"/>
      <c r="IE177" s="545"/>
      <c r="IF177" s="545"/>
      <c r="IG177" s="545"/>
      <c r="IH177" s="545"/>
      <c r="II177" s="1464"/>
      <c r="IJ177" s="1463"/>
      <c r="IK177" s="1463"/>
    </row>
    <row r="178" spans="1:245">
      <c r="A178" s="177">
        <f t="shared" si="466"/>
        <v>41548</v>
      </c>
      <c r="B178" s="349">
        <f t="shared" si="467"/>
        <v>2013</v>
      </c>
      <c r="C178" s="15">
        <f t="shared" si="523"/>
        <v>10</v>
      </c>
      <c r="D178" s="612" t="str">
        <f t="shared" si="468"/>
        <v/>
      </c>
      <c r="E178" s="609">
        <f t="shared" si="524"/>
        <v>41548</v>
      </c>
      <c r="F178" s="614">
        <f t="shared" si="525"/>
        <v>41578</v>
      </c>
      <c r="G178" s="1349">
        <v>0</v>
      </c>
      <c r="H178" s="152">
        <f t="shared" si="512"/>
        <v>1</v>
      </c>
      <c r="I178" s="154">
        <f>IF(Assumptions!$L$25=4,VLOOKUP($A178,'Henwood Reference'!$E$9:$R$320,10),(VLOOKUP($A178,PriceTable,2,0)+IF(BasisNumber&lt;&gt;1,VLOOKUP($A178,BasisTable,2,0),0)+I$1)/(1-I$2))</f>
        <v>52.005961839492649</v>
      </c>
      <c r="J178" s="154">
        <f>IF(Assumptions!$L$25=4,VLOOKUP($A178,'Henwood Reference'!$E$9:$R$320,10),(VLOOKUP($A178,PriceTable,3,0)+IF(BasisNumber&lt;&gt;1,VLOOKUP($A178,BasisTable,2,0),0)+J$1)/(1-J$2))</f>
        <v>52.005961839492649</v>
      </c>
      <c r="K178" s="154">
        <f>IF(Assumptions!$L$25=4,VLOOKUP($A178,'Henwood Reference'!$E$9:$R$320,10),(VLOOKUP($A178,PriceTable,4,0)+IF(BasisNumber&lt;&gt;1,VLOOKUP($A178,BasisTable,2,0),0)+K$1)/(1-K$2))</f>
        <v>52.005961839492649</v>
      </c>
      <c r="L178" s="474">
        <f>IF(Assumptions!$L$25=4,VLOOKUP($A178,'Henwood Reference'!$E$9:$R$320,10),(VLOOKUP($A178,PriceTableWeekend,2,0)+IF(BasisNumber&lt;&gt;1,VLOOKUP($A178,BasisTable,2,0),0)+L$1)/(1-L$2))</f>
        <v>52.005961839492649</v>
      </c>
      <c r="M178" s="154">
        <f>IF(Assumptions!$L$25=4,VLOOKUP($A178,'Henwood Reference'!$E$9:$R$320,10),(VLOOKUP($A178,PriceTableWeekend,3,0)+IF(BasisNumber&lt;&gt;1,VLOOKUP($A178,BasisTable,2,0),0)+M$1)/(1-M$2))</f>
        <v>52.005961839492649</v>
      </c>
      <c r="N178" s="156">
        <f>IF(Assumptions!$L$25=4,VLOOKUP($A178,'Henwood Reference'!$E$9:$R$320,10),(VLOOKUP($A178,PriceTableWeekend,4,0)+IF(BasisNumber&lt;&gt;1,VLOOKUP($A178,BasisTable,2,0),0)+N$1)/(1-N$2))</f>
        <v>52.005961839492649</v>
      </c>
      <c r="O178" s="154">
        <f>IF(Assumptions!$L$25=4,VLOOKUP($A178,'Henwood Reference'!$E$9:$R$320,11),(VLOOKUP($A178,PriceTableWeekend,6,0)+IF(BasisNumber&lt;&gt;1,VLOOKUP($A178,BasisTable,3,0),0)+O$1)/(1-O$2))</f>
        <v>29.202910961168357</v>
      </c>
      <c r="P178" s="154">
        <f>IF(Assumptions!$L$25=4,VLOOKUP($A178,'Henwood Reference'!$E$9:$R$320,11),(VLOOKUP($A178,PriceTableWeekend,7,0)+IF(BasisNumber&lt;&gt;1,VLOOKUP($A178,BasisTable,3,0),0)+P$1)/(1-P$2))</f>
        <v>29.202910961168357</v>
      </c>
      <c r="Q178" s="156">
        <f>IF(Assumptions!$L$25=4,VLOOKUP($A178,'Henwood Reference'!$E$9:$R$320,11),(VLOOKUP($A178,PriceTableWeekend,8,0)+IF(BasisNumber&lt;&gt;1,VLOOKUP($A178,BasisTable,3,0),0)+Q$1)/(1-Q$2))</f>
        <v>29.202910961168357</v>
      </c>
      <c r="R178" s="154">
        <f>IF(Assumptions!$L$25=4,VLOOKUP($A178,'Henwood Reference'!$E$9:$R$320,11),(VLOOKUP($A178,PriceTable,6,0)+IF(BasisNumber&lt;&gt;1,VLOOKUP($A178,BasisTable,3,0),0)+R$1)/(1-R$2))</f>
        <v>29.202910961168357</v>
      </c>
      <c r="S178" s="154">
        <f>IF(Assumptions!$L$25=4,VLOOKUP($A178,'Henwood Reference'!$E$9:$R$320,11),(VLOOKUP($A178,PriceTable,7,0)+IF(BasisNumber&lt;&gt;1,VLOOKUP($A178,BasisTable,3,0),0)+S$1)/(1-S$2))</f>
        <v>29.202910961168357</v>
      </c>
      <c r="T178" s="155">
        <f>IF(Assumptions!$L$25=4,VLOOKUP($A178,'Henwood Reference'!$E$9:$R$320,11),(VLOOKUP($A178,PriceTable,8,0)+IF(BasisNumber&lt;&gt;1,VLOOKUP($A178,BasisTable,3,0),0)+T$1)/(1-T$2))</f>
        <v>29.202910961168357</v>
      </c>
      <c r="U178" s="173">
        <f t="shared" si="469"/>
        <v>0.105</v>
      </c>
      <c r="V178" s="173">
        <f t="shared" si="470"/>
        <v>0.115</v>
      </c>
      <c r="W178" s="174">
        <f t="shared" si="471"/>
        <v>0.125</v>
      </c>
      <c r="X178" s="173">
        <f t="shared" si="472"/>
        <v>0.105</v>
      </c>
      <c r="Y178" s="173">
        <f t="shared" si="473"/>
        <v>0.115</v>
      </c>
      <c r="Z178" s="174">
        <f t="shared" si="474"/>
        <v>0.125</v>
      </c>
      <c r="AA178" s="173">
        <f t="shared" si="475"/>
        <v>0.09</v>
      </c>
      <c r="AB178" s="173">
        <f t="shared" si="476"/>
        <v>0.11</v>
      </c>
      <c r="AC178" s="174">
        <f t="shared" si="477"/>
        <v>0.13</v>
      </c>
      <c r="AD178" s="173">
        <f t="shared" si="478"/>
        <v>0.09</v>
      </c>
      <c r="AE178" s="173">
        <f t="shared" si="479"/>
        <v>0.11</v>
      </c>
      <c r="AF178" s="174">
        <f t="shared" si="480"/>
        <v>0.13</v>
      </c>
      <c r="AG178" s="173">
        <f t="shared" si="481"/>
        <v>-0.1</v>
      </c>
      <c r="AH178" s="173">
        <f t="shared" si="482"/>
        <v>0.6</v>
      </c>
      <c r="AI178" s="174">
        <f t="shared" si="483"/>
        <v>0.1</v>
      </c>
      <c r="AJ178" s="173">
        <f t="shared" si="484"/>
        <v>-0.1</v>
      </c>
      <c r="AK178" s="173">
        <f t="shared" si="485"/>
        <v>0.6</v>
      </c>
      <c r="AL178" s="174">
        <f t="shared" si="486"/>
        <v>0.1</v>
      </c>
      <c r="AM178" s="173">
        <f t="shared" si="487"/>
        <v>-0.01</v>
      </c>
      <c r="AN178" s="173">
        <f t="shared" si="488"/>
        <v>0.16</v>
      </c>
      <c r="AO178" s="174">
        <f t="shared" si="489"/>
        <v>0.01</v>
      </c>
      <c r="AP178" s="173">
        <f t="shared" si="490"/>
        <v>-0.01</v>
      </c>
      <c r="AQ178" s="173">
        <f t="shared" si="491"/>
        <v>0.16</v>
      </c>
      <c r="AR178" s="175">
        <f t="shared" si="492"/>
        <v>0.01</v>
      </c>
      <c r="AS178" s="521">
        <f t="shared" ref="AS178:AS193" si="528">IF(CorrPeakOffPeakOverFlag,INDEX(CorrPeakOffPeakOver,C178),CorrPeakOffPeak)</f>
        <v>0.5</v>
      </c>
      <c r="AT178" s="349">
        <f t="shared" si="526"/>
        <v>23</v>
      </c>
      <c r="AU178" s="159">
        <f t="shared" si="411"/>
        <v>4</v>
      </c>
      <c r="AV178" s="159">
        <f t="shared" si="412"/>
        <v>4</v>
      </c>
      <c r="AW178" s="159">
        <f t="shared" ref="AW178:AW193" si="529">IF(OR(E178="",D178="",D178&lt;BegDate,D178&gt;EndDate),0,1)</f>
        <v>0</v>
      </c>
      <c r="AX178" s="15">
        <f t="shared" si="527"/>
        <v>31</v>
      </c>
      <c r="AY178" s="607">
        <f>IF(E178="",0,MIN((1-(1-VLOOKUP(B178,MAIN!$AA$7:$AM$28,C178+1))*(1-VLOOKUP(B178,MAIN!$AA$33:$AM$54,C178+1))),1))</f>
        <v>3.0000000000000027E-2</v>
      </c>
      <c r="AZ178" s="337">
        <v>53544</v>
      </c>
      <c r="BA178" s="509">
        <v>9312</v>
      </c>
      <c r="BB178" s="509">
        <v>9312</v>
      </c>
      <c r="BC178" s="511">
        <v>36084</v>
      </c>
      <c r="BD178" s="153">
        <v>0.97000001445412631</v>
      </c>
      <c r="BE178" s="474">
        <v>0.97000001445412631</v>
      </c>
      <c r="BF178" s="474">
        <v>0.97000001445412631</v>
      </c>
      <c r="BG178" s="515">
        <v>0.9699999927729368</v>
      </c>
      <c r="BH178" s="262">
        <v>214176</v>
      </c>
      <c r="BI178" s="509">
        <v>37248</v>
      </c>
      <c r="BJ178" s="509">
        <v>37248</v>
      </c>
      <c r="BK178" s="511">
        <v>144336</v>
      </c>
      <c r="BL178" s="153">
        <v>0.97000001445412631</v>
      </c>
      <c r="BM178" s="474">
        <v>0.97000001445412631</v>
      </c>
      <c r="BN178" s="474">
        <v>0.97000001445412631</v>
      </c>
      <c r="BO178" s="474">
        <v>0.9699999927729368</v>
      </c>
      <c r="BP178" s="261">
        <f t="shared" si="495"/>
        <v>72168</v>
      </c>
      <c r="BQ178" s="578">
        <f t="shared" si="496"/>
        <v>108252</v>
      </c>
      <c r="BR178" s="259">
        <f t="shared" si="497"/>
        <v>288672</v>
      </c>
      <c r="BS178" s="578">
        <f t="shared" si="498"/>
        <v>433008</v>
      </c>
      <c r="BT178" s="216">
        <f t="shared" si="499"/>
        <v>13.464750171115675</v>
      </c>
      <c r="BU178" s="218">
        <f t="shared" si="414"/>
        <v>52.00596261444187</v>
      </c>
      <c r="BV178" s="216">
        <f t="shared" si="415"/>
        <v>52.00596261444187</v>
      </c>
      <c r="BW178" s="216">
        <f t="shared" si="416"/>
        <v>29.202911396325639</v>
      </c>
      <c r="BX178" s="216">
        <f t="shared" si="500"/>
        <v>29.202910743589715</v>
      </c>
      <c r="BY178" s="216">
        <f t="shared" si="417"/>
        <v>49.063633425007509</v>
      </c>
      <c r="BZ178" s="216">
        <f t="shared" si="418"/>
        <v>42.443392531201582</v>
      </c>
      <c r="CA178" s="264">
        <f t="shared" si="419"/>
        <v>52.00596261444187</v>
      </c>
      <c r="CB178" s="216">
        <f t="shared" si="420"/>
        <v>52.00596261444187</v>
      </c>
      <c r="CC178" s="216">
        <f t="shared" si="421"/>
        <v>29.202911396325639</v>
      </c>
      <c r="CD178" s="216">
        <f t="shared" si="501"/>
        <v>29.202910743589715</v>
      </c>
      <c r="CE178" s="216">
        <f t="shared" si="422"/>
        <v>49.063633425007509</v>
      </c>
      <c r="CF178" s="571">
        <f t="shared" si="423"/>
        <v>42.443392531201582</v>
      </c>
      <c r="CG178" s="573">
        <f t="shared" si="424"/>
        <v>0.115</v>
      </c>
      <c r="CH178" s="219">
        <f t="shared" si="425"/>
        <v>0.115</v>
      </c>
      <c r="CI178" s="219">
        <f t="shared" si="426"/>
        <v>0.11</v>
      </c>
      <c r="CJ178" s="219">
        <f t="shared" si="427"/>
        <v>0.11461736180029718</v>
      </c>
      <c r="CK178" s="219">
        <f t="shared" si="428"/>
        <v>0.11461736180029718</v>
      </c>
      <c r="CL178" s="219">
        <f t="shared" si="429"/>
        <v>0.11</v>
      </c>
      <c r="CM178" s="219">
        <f t="shared" si="430"/>
        <v>0.10361895127344742</v>
      </c>
      <c r="CN178" s="569">
        <f t="shared" si="431"/>
        <v>0.10361895127344742</v>
      </c>
      <c r="CO178" s="264">
        <f t="shared" si="514"/>
        <v>24.410942372240466</v>
      </c>
      <c r="CP178" s="216">
        <f t="shared" si="502"/>
        <v>24.410942372240466</v>
      </c>
      <c r="CQ178" s="216">
        <f t="shared" ca="1" si="361"/>
        <v>24.410942372240466</v>
      </c>
      <c r="CR178" s="216">
        <f t="shared" ca="1" si="362"/>
        <v>24.410942372240466</v>
      </c>
      <c r="CS178" s="1626">
        <f t="shared" ca="1" si="363"/>
        <v>24.410942372240466</v>
      </c>
      <c r="CT178" s="216">
        <f t="shared" si="503"/>
        <v>24.410942372240466</v>
      </c>
      <c r="CU178" s="575">
        <f t="shared" si="432"/>
        <v>0.155</v>
      </c>
      <c r="CV178" s="154">
        <f t="shared" si="433"/>
        <v>0.5</v>
      </c>
      <c r="CW178" s="216">
        <f>IF(OR($BQ178,$BS178),SpreadOptPowerMargin,0)*((1+Assumptions!$C$26)^($B178-YEAR(Assumptions!$C$17)))</f>
        <v>2.1941899559905629</v>
      </c>
      <c r="CX178" s="216">
        <f>IF(OR($BQ178,$BS178),SpreadOptPowerMargin,0)*((1+Assumptions!$C$26)^($B178-YEAR(Assumptions!$C$17)))</f>
        <v>2.1941899559905629</v>
      </c>
      <c r="CY178" s="216">
        <f>IF(OR($BQ178,$BS178),SpreadOptPowerMargin,0)*((1+Assumptions!$C$26)^($B178-YEAR(Assumptions!$C$17)))</f>
        <v>2.1941899559905629</v>
      </c>
      <c r="CZ178" s="216">
        <f>IF(OR($BQ178,$BS178),SpreadOptPowerMargin,0)*((1+Assumptions!$C$26)^($B178-YEAR(Assumptions!$C$17)))</f>
        <v>2.1941899559905629</v>
      </c>
      <c r="DA178" s="440">
        <f t="shared" si="434"/>
        <v>2.1941899559905633</v>
      </c>
      <c r="DB178" s="479">
        <f t="shared" si="435"/>
        <v>0.115</v>
      </c>
      <c r="DC178" s="479">
        <f t="shared" si="436"/>
        <v>0.115</v>
      </c>
      <c r="DD178" s="479">
        <f t="shared" si="437"/>
        <v>0.11</v>
      </c>
      <c r="DE178" s="479">
        <f t="shared" si="438"/>
        <v>0.11</v>
      </c>
      <c r="DF178" s="479">
        <f t="shared" si="439"/>
        <v>0.10361895127344742</v>
      </c>
      <c r="DG178" s="574">
        <f t="shared" si="440"/>
        <v>0.10361895127344742</v>
      </c>
      <c r="DH178" s="216">
        <f t="shared" si="441"/>
        <v>26.078459013314799</v>
      </c>
      <c r="DI178" s="216">
        <f t="shared" si="442"/>
        <v>26.078459013314799</v>
      </c>
      <c r="DJ178" s="216">
        <f t="shared" ca="1" si="364"/>
        <v>6.629739826846091</v>
      </c>
      <c r="DK178" s="216">
        <f t="shared" ca="1" si="365"/>
        <v>6.6297393882972768</v>
      </c>
      <c r="DL178" s="216">
        <f t="shared" ca="1" si="366"/>
        <v>17.166141859598074</v>
      </c>
      <c r="DM178" s="216"/>
      <c r="DN178" s="216"/>
      <c r="DO178" s="216"/>
      <c r="DP178" s="216"/>
      <c r="DQ178" s="216"/>
      <c r="DR178" s="216"/>
      <c r="DS178" s="216"/>
      <c r="DT178" s="216"/>
      <c r="DU178" s="216"/>
      <c r="DV178" s="216"/>
      <c r="DW178" s="1371">
        <f t="shared" si="443"/>
        <v>6.629739826846091</v>
      </c>
      <c r="DX178" s="216">
        <f t="shared" si="444"/>
        <v>6.6297393882972768</v>
      </c>
      <c r="DY178" s="440">
        <f t="shared" si="445"/>
        <v>17.922544369580468</v>
      </c>
      <c r="DZ178" s="180">
        <f t="shared" si="446"/>
        <v>1396345.0094089275</v>
      </c>
      <c r="EA178" s="180">
        <f t="shared" si="447"/>
        <v>242842.61033198741</v>
      </c>
      <c r="EB178" s="180">
        <f t="shared" ca="1" si="367"/>
        <v>61736.137267590799</v>
      </c>
      <c r="EC178" s="180">
        <f t="shared" ca="1" si="368"/>
        <v>239227.51608731895</v>
      </c>
      <c r="ED178" s="180">
        <f t="shared" ca="1" si="369"/>
        <v>1858269.1885852108</v>
      </c>
      <c r="EE178" s="581">
        <f t="shared" si="448"/>
        <v>1360062.0568448734</v>
      </c>
      <c r="EF178" s="554">
        <f t="shared" si="449"/>
        <v>236532.53162519535</v>
      </c>
      <c r="EG178" s="554">
        <f t="shared" ca="1" si="370"/>
        <v>24190.518682097008</v>
      </c>
      <c r="EH178" s="554">
        <f t="shared" ca="1" si="371"/>
        <v>93738.236339802825</v>
      </c>
      <c r="EI178" s="561">
        <f t="shared" ca="1" si="450"/>
        <v>1714523.3434919682</v>
      </c>
      <c r="EJ178" s="581">
        <f t="shared" si="504"/>
        <v>36282.952564054169</v>
      </c>
      <c r="EK178" s="554">
        <f t="shared" si="505"/>
        <v>6310.078706792061</v>
      </c>
      <c r="EL178" s="554">
        <f t="shared" ca="1" si="372"/>
        <v>37545.618585493794</v>
      </c>
      <c r="EM178" s="554">
        <f t="shared" ca="1" si="373"/>
        <v>145489.27974751612</v>
      </c>
      <c r="EN178" s="561">
        <f t="shared" ca="1" si="374"/>
        <v>143745.84509324259</v>
      </c>
      <c r="EO178" s="180">
        <f t="shared" si="451"/>
        <v>5585380.0376357101</v>
      </c>
      <c r="EP178" s="180">
        <f t="shared" si="452"/>
        <v>971370.44132794964</v>
      </c>
      <c r="EQ178" s="180">
        <f t="shared" si="453"/>
        <v>246944.54907036319</v>
      </c>
      <c r="ER178" s="180">
        <f t="shared" si="454"/>
        <v>956910.06434927578</v>
      </c>
      <c r="ES178" s="180">
        <f t="shared" si="455"/>
        <v>7760605.092383299</v>
      </c>
      <c r="ET178" s="1482">
        <f t="shared" ca="1" si="375"/>
        <v>5440248.2273794934</v>
      </c>
      <c r="EU178" s="180">
        <f t="shared" ca="1" si="376"/>
        <v>946130.12650078139</v>
      </c>
      <c r="EV178" s="180">
        <f t="shared" ca="1" si="377"/>
        <v>96762.074728388034</v>
      </c>
      <c r="EW178" s="180">
        <f t="shared" ca="1" si="378"/>
        <v>374952.9453592113</v>
      </c>
      <c r="EX178" s="555">
        <f t="shared" ca="1" si="522"/>
        <v>6858093.3739678748</v>
      </c>
      <c r="EY178" s="180">
        <f t="shared" ca="1" si="379"/>
        <v>145131.81025621668</v>
      </c>
      <c r="EZ178" s="180">
        <f t="shared" ca="1" si="380"/>
        <v>25240.314827168244</v>
      </c>
      <c r="FA178" s="180">
        <f t="shared" ca="1" si="381"/>
        <v>150182.47434197518</v>
      </c>
      <c r="FB178" s="180">
        <f t="shared" ca="1" si="382"/>
        <v>581957.11899006448</v>
      </c>
      <c r="FC178" s="180">
        <f t="shared" ca="1" si="383"/>
        <v>902511.71841542423</v>
      </c>
      <c r="FD178" s="262">
        <f>IF(AX178,IF(VLOOKUP(C178,MAIN!$L$17:$M$28,2)="Yes",VLOOKUP(CALC!B178,MAIN!$H$17:$I$20,2),0),0)</f>
        <v>0</v>
      </c>
      <c r="FE178" s="623">
        <f t="shared" si="456"/>
        <v>0</v>
      </c>
      <c r="FF178" s="535">
        <f t="shared" si="457"/>
        <v>0</v>
      </c>
      <c r="FG178" s="535">
        <f t="shared" si="458"/>
        <v>0</v>
      </c>
      <c r="FH178" s="624">
        <f t="shared" si="459"/>
        <v>0</v>
      </c>
      <c r="FI178" s="632">
        <f>IF(AX178,VLOOKUP(CALC!B178,MAIN!$H$17:$K$20,4),0)</f>
        <v>0</v>
      </c>
      <c r="FJ178" s="535">
        <f t="shared" si="460"/>
        <v>0</v>
      </c>
      <c r="FK178" s="648">
        <f t="shared" si="506"/>
        <v>0</v>
      </c>
      <c r="FL178" s="530">
        <f t="shared" ca="1" si="384"/>
        <v>0</v>
      </c>
      <c r="FM178" s="530">
        <f t="shared" ca="1" si="385"/>
        <v>0</v>
      </c>
      <c r="FN178" s="530">
        <f t="shared" ca="1" si="386"/>
        <v>0</v>
      </c>
      <c r="FO178" s="622">
        <f t="shared" ca="1" si="387"/>
        <v>0</v>
      </c>
      <c r="FP178" s="530">
        <f t="shared" ca="1" si="388"/>
        <v>0</v>
      </c>
      <c r="FQ178" s="530">
        <f t="shared" ca="1" si="389"/>
        <v>0</v>
      </c>
      <c r="FR178" s="530">
        <f t="shared" ca="1" si="390"/>
        <v>0</v>
      </c>
      <c r="FS178" s="625">
        <f t="shared" ca="1" si="391"/>
        <v>0</v>
      </c>
      <c r="FT178" s="640">
        <f ca="1">IF(AND(Assumptions!$H$71="Yes",A178&gt;=Assumptions!$H$72,A178&lt;=Assumptions!$H$73),0,IF(AND($A178&gt;=Assumptions!$C$17,$A178&lt;=Assumptions!$C$18),MAX(AZ178*(1+VLOOKUP($C178,WeatherCapacityAdjustment,2))-FL178,0),0))</f>
        <v>53544</v>
      </c>
      <c r="FU178" s="530">
        <f ca="1">IF(AND(Assumptions!$H$71="Yes",A178&gt;=Assumptions!$H$72,A178&lt;=Assumptions!$H$73),0,IF(AND($A178&gt;=Assumptions!$C$17,$A178&lt;=Assumptions!$C$18),MAX(BA178*(1+VLOOKUP($C178,WeatherCapacityAdjustment,2))-FM178,0),0))</f>
        <v>9312</v>
      </c>
      <c r="FV178" s="530">
        <f ca="1">IF(AND(Assumptions!$H$71="Yes",A178&gt;=Assumptions!$H$72,A178&lt;=Assumptions!$H$73),0,IF(AND($A178&gt;=Assumptions!$C$17,$A178&lt;=Assumptions!$C$18),MAX(BB178*(1+VLOOKUP($C178,WeatherCapacityAdjustment,2))-FN178,0),0))</f>
        <v>9312</v>
      </c>
      <c r="FW178" s="622">
        <f ca="1">IF(AND(Assumptions!$H$71="Yes",A178&gt;=Assumptions!$H$72,A178&lt;=Assumptions!$H$73),0,IF(AND($A178&gt;=Assumptions!$C$17,$A178&lt;=Assumptions!$C$18),MAX(BC178*(1+VLOOKUP($C178,WeatherCapacityAdjustment,3))-FO178,0),0))</f>
        <v>36084</v>
      </c>
      <c r="FX178" s="621">
        <f ca="1">IF(AND(Assumptions!$H$71="Yes",A178&gt;=Assumptions!$H$72,A178&lt;=Assumptions!$H$73),0,IF(ET178&gt;0,MAX(BH178*(1+VLOOKUP($C178,WeatherCapacityAdjustment,2))-FP178,0),0))</f>
        <v>214176</v>
      </c>
      <c r="FY178" s="530">
        <f ca="1">IF(AND(Assumptions!$H$71="Yes",A178&gt;=Assumptions!$H$72,A178&lt;=Assumptions!$H$73),0,IF(EU178&gt;0,MAX(BI178*(1+VLOOKUP($C178,WeatherCapacityAdjustment,3))-FQ178,0),0))</f>
        <v>37248</v>
      </c>
      <c r="FZ178" s="530">
        <f ca="1">IF(AND(Assumptions!$H$71="Yes",A178&gt;=Assumptions!$H$72,A178&lt;=Assumptions!$H$73),0,IF(EV178&gt;0,MAX(BJ178*(1+VLOOKUP($C178,WeatherCapacityAdjustment,2))-FR178,0),0))</f>
        <v>37248</v>
      </c>
      <c r="GA178" s="622">
        <f ca="1">IF(AND(Assumptions!$H$71="Yes",A178&gt;=Assumptions!$H$72,A178&lt;=Assumptions!$H$73),0,IF(EW178&gt;0,MAX(BK178*(1+VLOOKUP($C178,WeatherCapacityAdjustment,2))-FS178,0),0))</f>
        <v>144336</v>
      </c>
      <c r="GB178" s="530">
        <f t="shared" ca="1" si="461"/>
        <v>541260</v>
      </c>
      <c r="GC178" s="545">
        <f t="shared" ca="1" si="462"/>
        <v>42.443392531201589</v>
      </c>
      <c r="GD178" s="530">
        <f t="shared" ca="1" si="392"/>
        <v>22972910.641438171</v>
      </c>
      <c r="GE178" s="1485">
        <f t="shared" ca="1" si="393"/>
        <v>774631.82663999998</v>
      </c>
      <c r="GF178" s="1776">
        <f t="shared" ca="1" si="394"/>
        <v>3098527.3065599999</v>
      </c>
      <c r="GG178" s="545">
        <f t="shared" ref="GG178:GG241" si="530">IF(BQ178,VLOOKUP(A178,GasTable,13),0)</f>
        <v>3.4113410304116747</v>
      </c>
      <c r="GH178" s="622">
        <f t="shared" ref="GH178:GH241" ca="1" si="531">(GE178+GF178)*GG178</f>
        <v>13212666.668398878</v>
      </c>
      <c r="GI178" s="621">
        <f t="shared" ca="1" si="507"/>
        <v>541260</v>
      </c>
      <c r="GJ178" s="638">
        <f t="shared" si="463"/>
        <v>2.1941899559905633</v>
      </c>
      <c r="GK178" s="625">
        <f t="shared" ca="1" si="513"/>
        <v>1187627.2555794523</v>
      </c>
      <c r="GL178" s="640">
        <f t="shared" ca="1" si="395"/>
        <v>0</v>
      </c>
      <c r="GM178" s="530">
        <f t="shared" ca="1" si="396"/>
        <v>0</v>
      </c>
      <c r="GN178" s="530">
        <f t="shared" ca="1" si="397"/>
        <v>0</v>
      </c>
      <c r="GO178" s="622">
        <f t="shared" ca="1" si="398"/>
        <v>0</v>
      </c>
      <c r="GP178" s="530">
        <f t="shared" ca="1" si="464"/>
        <v>0</v>
      </c>
      <c r="GQ178" s="545">
        <f t="shared" ca="1" si="465"/>
        <v>0</v>
      </c>
      <c r="GR178" s="625">
        <f t="shared" ca="1" si="399"/>
        <v>0</v>
      </c>
      <c r="GS178" s="640">
        <f>IF($A178&gt;=BegDate,Assumptions!$C$56*24*($A179-$A178)*(1-VLOOKUP($B178,MAIN!$AA$7:$AM$28,$C178+1))*(1-VLOOKUP($B178,MAIN!$AA$33:$AM$54,$C178+1)),0)*80/168</f>
        <v>257742.85714285713</v>
      </c>
      <c r="GT178" s="1715">
        <f t="shared" si="508"/>
        <v>52.005961839492649</v>
      </c>
      <c r="GU178" s="1715">
        <f>IF($A178&gt;=BegDate,VLOOKUP($A178,GasTable,13)+Assumptions!$C$58,0)</f>
        <v>3.4113410304116747</v>
      </c>
      <c r="GV178" s="1715">
        <f>GU178*Assumptions!$C$57/1000</f>
        <v>24.73222247048464</v>
      </c>
      <c r="GW178" s="625">
        <f>IF(Assumptions!$C$60="Hourly",MAX(0,GS178*(GT178-GV178)),GS178*(GT178-GV178))</f>
        <v>7029611.5099377492</v>
      </c>
      <c r="GX178" s="640">
        <f>IF($A178&gt;=BegDate,Assumptions!$C$56*24*($A179-$A178)*(1-VLOOKUP($B178,MAIN!$AA$7:$AM$28,$C178+1))*(1-VLOOKUP($B178,MAIN!$AA$33:$AM$54,$C178+1)),0)*16/168</f>
        <v>51548.571428571428</v>
      </c>
      <c r="GY178" s="1715">
        <f t="shared" si="509"/>
        <v>52.005961839492649</v>
      </c>
      <c r="GZ178" s="1715">
        <f>IF($A178&gt;=BegDate,VLOOKUP($A178,GasTable,13)+Assumptions!$C$58,0)</f>
        <v>3.4113410304116747</v>
      </c>
      <c r="HA178" s="1715">
        <f>GZ178*Assumptions!$C$57/1000</f>
        <v>24.73222247048464</v>
      </c>
      <c r="HB178" s="625">
        <f>IF(Assumptions!$C$60="Hourly",MAX(0,GX178*(GY178-HA178)),GX178*(GY178-HA178))</f>
        <v>1405922.30198755</v>
      </c>
      <c r="HC178" s="640">
        <f>IF($A178&gt;=BegDate,Assumptions!$C$56*24*($A179-$A178)*(1-VLOOKUP($B178,MAIN!$AA$7:$AM$28,$C178+1))*(1-VLOOKUP($B178,MAIN!$AA$33:$AM$54,$C178+1)),0)*16/168</f>
        <v>51548.571428571428</v>
      </c>
      <c r="HD178" s="1715">
        <f t="shared" si="510"/>
        <v>29.202910961168357</v>
      </c>
      <c r="HE178" s="1715">
        <f>IF($A178&gt;=BegDate,VLOOKUP($A178,GasTable,13)+Assumptions!$C$58,0)</f>
        <v>3.4113410304116747</v>
      </c>
      <c r="HF178" s="1715">
        <f>HE178*Assumptions!$C$57/1000</f>
        <v>24.73222247048464</v>
      </c>
      <c r="HG178" s="625">
        <f>IF(Assumptions!$C$60="Hourly",MAX(0,HC178*(HD178-HF178)),HC178*(HD178-HF178))</f>
        <v>230457.60499690176</v>
      </c>
      <c r="HH178" s="640">
        <f>IF($A178&gt;=BegDate,Assumptions!$C$56*24*($A179-$A178)*(1-VLOOKUP($B178,MAIN!$AA$7:$AM$28,$C178+1))*(1-VLOOKUP($B178,MAIN!$AA$33:$AM$54,$C178+1)),0)*56/168</f>
        <v>180420</v>
      </c>
      <c r="HI178" s="1715">
        <f t="shared" si="511"/>
        <v>29.202910961168357</v>
      </c>
      <c r="HJ178" s="1715">
        <f>IF($A178&gt;=BegDate,VLOOKUP($A178,GasTable,13)+Assumptions!$C$58,0)</f>
        <v>3.4113410304116747</v>
      </c>
      <c r="HK178" s="1715">
        <f>HJ178*Assumptions!$C$57/1000</f>
        <v>24.73222247048464</v>
      </c>
      <c r="HL178" s="625">
        <f>IF(Assumptions!$C$60="Hourly",MAX(0,HH178*(HI178-HK178)),HH178*(HI178-HK178))</f>
        <v>806601.6174891562</v>
      </c>
      <c r="HM178" s="640">
        <f>IF(AND(Assumptions!$H$71="Yes",A178&gt;=Assumptions!$H$72,A178&lt;=Assumptions!$H$73),Assumptions!$H$74*Assumptions!$C$9*1000,0)</f>
        <v>0</v>
      </c>
      <c r="HN178" s="530"/>
      <c r="HO178" s="545"/>
      <c r="HP178" s="545"/>
      <c r="HQ178" s="545"/>
      <c r="HR178" s="545"/>
      <c r="HS178" s="545"/>
      <c r="HT178" s="545"/>
      <c r="HU178" s="545"/>
      <c r="HV178" s="545"/>
      <c r="HW178" s="545"/>
      <c r="HX178" s="545"/>
      <c r="HY178" s="545"/>
      <c r="HZ178" s="545"/>
      <c r="IA178" s="545"/>
      <c r="IB178" s="545"/>
      <c r="IC178" s="545"/>
      <c r="ID178" s="545"/>
      <c r="IE178" s="545"/>
      <c r="IF178" s="545"/>
      <c r="IG178" s="545"/>
      <c r="IH178" s="545"/>
      <c r="II178" s="1464"/>
      <c r="IJ178" s="1463"/>
      <c r="IK178" s="1463"/>
    </row>
    <row r="179" spans="1:245">
      <c r="A179" s="177">
        <f t="shared" si="466"/>
        <v>41579</v>
      </c>
      <c r="B179" s="349">
        <f t="shared" si="467"/>
        <v>2013</v>
      </c>
      <c r="C179" s="15">
        <f t="shared" si="523"/>
        <v>11</v>
      </c>
      <c r="D179" s="612">
        <f t="shared" si="468"/>
        <v>41606</v>
      </c>
      <c r="E179" s="609">
        <f t="shared" si="524"/>
        <v>41579</v>
      </c>
      <c r="F179" s="614">
        <f t="shared" si="525"/>
        <v>41608</v>
      </c>
      <c r="G179" s="1349">
        <v>0</v>
      </c>
      <c r="H179" s="152">
        <f t="shared" si="512"/>
        <v>1</v>
      </c>
      <c r="I179" s="154">
        <f>IF(Assumptions!$L$25=4,VLOOKUP($A179,'Henwood Reference'!$E$9:$R$320,10),(VLOOKUP($A179,PriceTable,2,0)+IF(BasisNumber&lt;&gt;1,VLOOKUP($A179,BasisTable,2,0),0)+I$1)/(1-I$2))</f>
        <v>56.683643415213574</v>
      </c>
      <c r="J179" s="154">
        <f>IF(Assumptions!$L$25=4,VLOOKUP($A179,'Henwood Reference'!$E$9:$R$320,10),(VLOOKUP($A179,PriceTable,3,0)+IF(BasisNumber&lt;&gt;1,VLOOKUP($A179,BasisTable,2,0),0)+J$1)/(1-J$2))</f>
        <v>56.683643415213574</v>
      </c>
      <c r="K179" s="154">
        <f>IF(Assumptions!$L$25=4,VLOOKUP($A179,'Henwood Reference'!$E$9:$R$320,10),(VLOOKUP($A179,PriceTable,4,0)+IF(BasisNumber&lt;&gt;1,VLOOKUP($A179,BasisTable,2,0),0)+K$1)/(1-K$2))</f>
        <v>56.683643415213574</v>
      </c>
      <c r="L179" s="474">
        <f>IF(Assumptions!$L$25=4,VLOOKUP($A179,'Henwood Reference'!$E$9:$R$320,10),(VLOOKUP($A179,PriceTableWeekend,2,0)+IF(BasisNumber&lt;&gt;1,VLOOKUP($A179,BasisTable,2,0),0)+L$1)/(1-L$2))</f>
        <v>56.683643415213574</v>
      </c>
      <c r="M179" s="154">
        <f>IF(Assumptions!$L$25=4,VLOOKUP($A179,'Henwood Reference'!$E$9:$R$320,10),(VLOOKUP($A179,PriceTableWeekend,3,0)+IF(BasisNumber&lt;&gt;1,VLOOKUP($A179,BasisTable,2,0),0)+M$1)/(1-M$2))</f>
        <v>56.683643415213574</v>
      </c>
      <c r="N179" s="156">
        <f>IF(Assumptions!$L$25=4,VLOOKUP($A179,'Henwood Reference'!$E$9:$R$320,10),(VLOOKUP($A179,PriceTableWeekend,4,0)+IF(BasisNumber&lt;&gt;1,VLOOKUP($A179,BasisTable,2,0),0)+N$1)/(1-N$2))</f>
        <v>56.683643415213574</v>
      </c>
      <c r="O179" s="154">
        <f>IF(Assumptions!$L$25=4,VLOOKUP($A179,'Henwood Reference'!$E$9:$R$320,11),(VLOOKUP($A179,PriceTableWeekend,6,0)+IF(BasisNumber&lt;&gt;1,VLOOKUP($A179,BasisTable,3,0),0)+O$1)/(1-O$2))</f>
        <v>31.164018612936314</v>
      </c>
      <c r="P179" s="154">
        <f>IF(Assumptions!$L$25=4,VLOOKUP($A179,'Henwood Reference'!$E$9:$R$320,11),(VLOOKUP($A179,PriceTableWeekend,7,0)+IF(BasisNumber&lt;&gt;1,VLOOKUP($A179,BasisTable,3,0),0)+P$1)/(1-P$2))</f>
        <v>31.164018612936314</v>
      </c>
      <c r="Q179" s="156">
        <f>IF(Assumptions!$L$25=4,VLOOKUP($A179,'Henwood Reference'!$E$9:$R$320,11),(VLOOKUP($A179,PriceTableWeekend,8,0)+IF(BasisNumber&lt;&gt;1,VLOOKUP($A179,BasisTable,3,0),0)+Q$1)/(1-Q$2))</f>
        <v>31.164018612936314</v>
      </c>
      <c r="R179" s="154">
        <f>IF(Assumptions!$L$25=4,VLOOKUP($A179,'Henwood Reference'!$E$9:$R$320,11),(VLOOKUP($A179,PriceTable,6,0)+IF(BasisNumber&lt;&gt;1,VLOOKUP($A179,BasisTable,3,0),0)+R$1)/(1-R$2))</f>
        <v>31.164018612936314</v>
      </c>
      <c r="S179" s="154">
        <f>IF(Assumptions!$L$25=4,VLOOKUP($A179,'Henwood Reference'!$E$9:$R$320,11),(VLOOKUP($A179,PriceTable,7,0)+IF(BasisNumber&lt;&gt;1,VLOOKUP($A179,BasisTable,3,0),0)+S$1)/(1-S$2))</f>
        <v>31.164018612936314</v>
      </c>
      <c r="T179" s="155">
        <f>IF(Assumptions!$L$25=4,VLOOKUP($A179,'Henwood Reference'!$E$9:$R$320,11),(VLOOKUP($A179,PriceTable,8,0)+IF(BasisNumber&lt;&gt;1,VLOOKUP($A179,BasisTable,3,0),0)+T$1)/(1-T$2))</f>
        <v>31.164018612936314</v>
      </c>
      <c r="U179" s="173">
        <f t="shared" si="469"/>
        <v>0.105</v>
      </c>
      <c r="V179" s="173">
        <f t="shared" si="470"/>
        <v>0.115</v>
      </c>
      <c r="W179" s="174">
        <f t="shared" si="471"/>
        <v>0.125</v>
      </c>
      <c r="X179" s="173">
        <f t="shared" si="472"/>
        <v>0.105</v>
      </c>
      <c r="Y179" s="173">
        <f t="shared" si="473"/>
        <v>0.115</v>
      </c>
      <c r="Z179" s="174">
        <f t="shared" si="474"/>
        <v>0.125</v>
      </c>
      <c r="AA179" s="173">
        <f t="shared" si="475"/>
        <v>0.09</v>
      </c>
      <c r="AB179" s="173">
        <f t="shared" si="476"/>
        <v>0.11</v>
      </c>
      <c r="AC179" s="174">
        <f t="shared" si="477"/>
        <v>0.13</v>
      </c>
      <c r="AD179" s="173">
        <f t="shared" si="478"/>
        <v>0.09</v>
      </c>
      <c r="AE179" s="173">
        <f t="shared" si="479"/>
        <v>0.11</v>
      </c>
      <c r="AF179" s="174">
        <f t="shared" si="480"/>
        <v>0.13</v>
      </c>
      <c r="AG179" s="173">
        <f t="shared" si="481"/>
        <v>-0.1</v>
      </c>
      <c r="AH179" s="173">
        <f t="shared" si="482"/>
        <v>0.6</v>
      </c>
      <c r="AI179" s="174">
        <f t="shared" si="483"/>
        <v>0.1</v>
      </c>
      <c r="AJ179" s="173">
        <f t="shared" si="484"/>
        <v>-0.1</v>
      </c>
      <c r="AK179" s="173">
        <f t="shared" si="485"/>
        <v>0.6</v>
      </c>
      <c r="AL179" s="174">
        <f t="shared" si="486"/>
        <v>0.1</v>
      </c>
      <c r="AM179" s="173">
        <f t="shared" si="487"/>
        <v>-0.01</v>
      </c>
      <c r="AN179" s="173">
        <f t="shared" si="488"/>
        <v>0.16</v>
      </c>
      <c r="AO179" s="174">
        <f t="shared" si="489"/>
        <v>0.01</v>
      </c>
      <c r="AP179" s="173">
        <f t="shared" si="490"/>
        <v>-0.01</v>
      </c>
      <c r="AQ179" s="173">
        <f t="shared" si="491"/>
        <v>0.16</v>
      </c>
      <c r="AR179" s="175">
        <f t="shared" si="492"/>
        <v>0.01</v>
      </c>
      <c r="AS179" s="521">
        <f t="shared" si="528"/>
        <v>0.5</v>
      </c>
      <c r="AT179" s="349">
        <f t="shared" si="526"/>
        <v>20</v>
      </c>
      <c r="AU179" s="159">
        <f t="shared" si="411"/>
        <v>5</v>
      </c>
      <c r="AV179" s="159">
        <f t="shared" si="412"/>
        <v>4</v>
      </c>
      <c r="AW179" s="159">
        <f t="shared" si="529"/>
        <v>1</v>
      </c>
      <c r="AX179" s="15">
        <f t="shared" si="527"/>
        <v>30</v>
      </c>
      <c r="AY179" s="607">
        <f>IF(E179="",0,MIN((1-(1-VLOOKUP(B179,MAIN!$AA$7:$AM$28,C179+1))*(1-VLOOKUP(B179,MAIN!$AA$33:$AM$54,C179+1))),1))</f>
        <v>3.0000000000000027E-2</v>
      </c>
      <c r="AZ179" s="337">
        <v>46560</v>
      </c>
      <c r="BA179" s="509">
        <v>11640</v>
      </c>
      <c r="BB179" s="509">
        <v>11640</v>
      </c>
      <c r="BC179" s="511">
        <v>34920</v>
      </c>
      <c r="BD179" s="153">
        <v>0.97</v>
      </c>
      <c r="BE179" s="474">
        <v>0.97</v>
      </c>
      <c r="BF179" s="474">
        <v>0.97</v>
      </c>
      <c r="BG179" s="515">
        <v>0.9699999927729368</v>
      </c>
      <c r="BH179" s="262">
        <v>186240</v>
      </c>
      <c r="BI179" s="509">
        <v>46560</v>
      </c>
      <c r="BJ179" s="509">
        <v>46560</v>
      </c>
      <c r="BK179" s="511">
        <v>139680</v>
      </c>
      <c r="BL179" s="153">
        <v>0.97</v>
      </c>
      <c r="BM179" s="474">
        <v>0.97</v>
      </c>
      <c r="BN179" s="474">
        <v>0.97</v>
      </c>
      <c r="BO179" s="474">
        <v>0.9699999927729368</v>
      </c>
      <c r="BP179" s="261">
        <f t="shared" si="495"/>
        <v>69840</v>
      </c>
      <c r="BQ179" s="578">
        <f t="shared" si="496"/>
        <v>104760</v>
      </c>
      <c r="BR179" s="259">
        <f t="shared" si="497"/>
        <v>279360</v>
      </c>
      <c r="BS179" s="578">
        <f t="shared" si="498"/>
        <v>419040</v>
      </c>
      <c r="BT179" s="216">
        <f t="shared" si="499"/>
        <v>13.54962354551677</v>
      </c>
      <c r="BU179" s="218">
        <f t="shared" si="414"/>
        <v>56.683643415213574</v>
      </c>
      <c r="BV179" s="216">
        <f t="shared" si="415"/>
        <v>56.683643415213574</v>
      </c>
      <c r="BW179" s="216">
        <f t="shared" si="416"/>
        <v>31.164018612936314</v>
      </c>
      <c r="BX179" s="216">
        <f t="shared" si="500"/>
        <v>31.164018380746281</v>
      </c>
      <c r="BY179" s="216">
        <f t="shared" si="417"/>
        <v>52.430372614834027</v>
      </c>
      <c r="BZ179" s="216">
        <f t="shared" si="418"/>
        <v>45.341587870138113</v>
      </c>
      <c r="CA179" s="264">
        <f t="shared" si="419"/>
        <v>56.683643415213574</v>
      </c>
      <c r="CB179" s="216">
        <f t="shared" si="420"/>
        <v>56.683643415213574</v>
      </c>
      <c r="CC179" s="216">
        <f t="shared" si="421"/>
        <v>31.164018612936314</v>
      </c>
      <c r="CD179" s="216">
        <f t="shared" si="501"/>
        <v>31.164018380746281</v>
      </c>
      <c r="CE179" s="216">
        <f t="shared" si="422"/>
        <v>52.430372614834027</v>
      </c>
      <c r="CF179" s="571">
        <f t="shared" si="423"/>
        <v>45.341587870138113</v>
      </c>
      <c r="CG179" s="573">
        <f t="shared" si="424"/>
        <v>0.115</v>
      </c>
      <c r="CH179" s="219">
        <f t="shared" si="425"/>
        <v>0.115</v>
      </c>
      <c r="CI179" s="219">
        <f t="shared" si="426"/>
        <v>0.11</v>
      </c>
      <c r="CJ179" s="219">
        <f t="shared" si="427"/>
        <v>0.11450640362626745</v>
      </c>
      <c r="CK179" s="219">
        <f t="shared" si="428"/>
        <v>0.11450640362626745</v>
      </c>
      <c r="CL179" s="219">
        <f t="shared" si="429"/>
        <v>0.11</v>
      </c>
      <c r="CM179" s="219">
        <f t="shared" si="430"/>
        <v>0.10354503777521264</v>
      </c>
      <c r="CN179" s="569">
        <f t="shared" si="431"/>
        <v>0.10354503777521264</v>
      </c>
      <c r="CO179" s="264">
        <f t="shared" si="514"/>
        <v>25.402875390746562</v>
      </c>
      <c r="CP179" s="216">
        <f t="shared" si="502"/>
        <v>25.402875390746562</v>
      </c>
      <c r="CQ179" s="216">
        <f t="shared" ca="1" si="361"/>
        <v>25.402875390746562</v>
      </c>
      <c r="CR179" s="216">
        <f t="shared" ca="1" si="362"/>
        <v>25.402875390746562</v>
      </c>
      <c r="CS179" s="1626">
        <f t="shared" ca="1" si="363"/>
        <v>25.402875390746562</v>
      </c>
      <c r="CT179" s="216">
        <f t="shared" si="503"/>
        <v>25.402875390746562</v>
      </c>
      <c r="CU179" s="575">
        <f t="shared" si="432"/>
        <v>0.155</v>
      </c>
      <c r="CV179" s="154">
        <f t="shared" si="433"/>
        <v>0.5</v>
      </c>
      <c r="CW179" s="216">
        <f>IF(OR($BQ179,$BS179),SpreadOptPowerMargin,0)*((1+Assumptions!$C$26)^($B179-YEAR(Assumptions!$C$17)))</f>
        <v>2.1941899559905629</v>
      </c>
      <c r="CX179" s="216">
        <f>IF(OR($BQ179,$BS179),SpreadOptPowerMargin,0)*((1+Assumptions!$C$26)^($B179-YEAR(Assumptions!$C$17)))</f>
        <v>2.1941899559905629</v>
      </c>
      <c r="CY179" s="216">
        <f>IF(OR($BQ179,$BS179),SpreadOptPowerMargin,0)*((1+Assumptions!$C$26)^($B179-YEAR(Assumptions!$C$17)))</f>
        <v>2.1941899559905629</v>
      </c>
      <c r="CZ179" s="216">
        <f>IF(OR($BQ179,$BS179),SpreadOptPowerMargin,0)*((1+Assumptions!$C$26)^($B179-YEAR(Assumptions!$C$17)))</f>
        <v>2.1941899559905629</v>
      </c>
      <c r="DA179" s="440">
        <f t="shared" si="434"/>
        <v>2.1941899559905629</v>
      </c>
      <c r="DB179" s="479">
        <f t="shared" si="435"/>
        <v>0.115</v>
      </c>
      <c r="DC179" s="479">
        <f t="shared" si="436"/>
        <v>0.115</v>
      </c>
      <c r="DD179" s="479">
        <f t="shared" si="437"/>
        <v>0.11</v>
      </c>
      <c r="DE179" s="479">
        <f t="shared" si="438"/>
        <v>0.11</v>
      </c>
      <c r="DF179" s="479">
        <f t="shared" si="439"/>
        <v>0.10354503777521264</v>
      </c>
      <c r="DG179" s="574">
        <f t="shared" si="440"/>
        <v>0.10354503777521264</v>
      </c>
      <c r="DH179" s="216">
        <f t="shared" si="441"/>
        <v>29.67508906087118</v>
      </c>
      <c r="DI179" s="216">
        <f t="shared" si="442"/>
        <v>29.67508906087118</v>
      </c>
      <c r="DJ179" s="216">
        <f t="shared" ca="1" si="364"/>
        <v>7.5010529393297132</v>
      </c>
      <c r="DK179" s="216">
        <f t="shared" ca="1" si="365"/>
        <v>7.5010527784214496</v>
      </c>
      <c r="DL179" s="216">
        <f t="shared" ca="1" si="366"/>
        <v>19.006292292220344</v>
      </c>
      <c r="DM179" s="216"/>
      <c r="DN179" s="216"/>
      <c r="DO179" s="216"/>
      <c r="DP179" s="216"/>
      <c r="DQ179" s="216"/>
      <c r="DR179" s="216"/>
      <c r="DS179" s="216"/>
      <c r="DT179" s="216"/>
      <c r="DU179" s="216"/>
      <c r="DV179" s="216"/>
      <c r="DW179" s="1371">
        <f t="shared" si="443"/>
        <v>7.5010529393297132</v>
      </c>
      <c r="DX179" s="216">
        <f t="shared" si="444"/>
        <v>7.5010527784214496</v>
      </c>
      <c r="DY179" s="440">
        <f t="shared" si="445"/>
        <v>19.819961842105553</v>
      </c>
      <c r="DZ179" s="180">
        <f t="shared" si="446"/>
        <v>1381672.1466741622</v>
      </c>
      <c r="EA179" s="180">
        <f t="shared" si="447"/>
        <v>345418.03666854056</v>
      </c>
      <c r="EB179" s="180">
        <f t="shared" ca="1" si="367"/>
        <v>87312.256213797868</v>
      </c>
      <c r="EC179" s="180">
        <f t="shared" ca="1" si="368"/>
        <v>261936.76302247701</v>
      </c>
      <c r="ED179" s="180">
        <f t="shared" ca="1" si="369"/>
        <v>1991099.1805330033</v>
      </c>
      <c r="EE179" s="581">
        <f t="shared" si="448"/>
        <v>1354271.0748682634</v>
      </c>
      <c r="EF179" s="554">
        <f t="shared" si="449"/>
        <v>338567.76871706586</v>
      </c>
      <c r="EG179" s="554">
        <f t="shared" ca="1" si="370"/>
        <v>41519.336018558555</v>
      </c>
      <c r="EH179" s="554">
        <f t="shared" ca="1" si="371"/>
        <v>124557.99994759973</v>
      </c>
      <c r="EI179" s="561">
        <f t="shared" ca="1" si="450"/>
        <v>1858916.1795514876</v>
      </c>
      <c r="EJ179" s="581">
        <f t="shared" si="504"/>
        <v>27401.071805898799</v>
      </c>
      <c r="EK179" s="554">
        <f t="shared" si="505"/>
        <v>6850.2679514746997</v>
      </c>
      <c r="EL179" s="554">
        <f t="shared" ca="1" si="372"/>
        <v>45792.920195239312</v>
      </c>
      <c r="EM179" s="554">
        <f t="shared" ca="1" si="373"/>
        <v>137378.76307487726</v>
      </c>
      <c r="EN179" s="561">
        <f t="shared" ca="1" si="374"/>
        <v>132183.00098151574</v>
      </c>
      <c r="EO179" s="180">
        <f t="shared" si="451"/>
        <v>5526688.586696649</v>
      </c>
      <c r="EP179" s="180">
        <f t="shared" si="452"/>
        <v>1381672.1466741622</v>
      </c>
      <c r="EQ179" s="180">
        <f t="shared" si="453"/>
        <v>349249.02485519147</v>
      </c>
      <c r="ER179" s="180">
        <f t="shared" si="454"/>
        <v>1047747.052089908</v>
      </c>
      <c r="ES179" s="180">
        <f t="shared" si="455"/>
        <v>8305356.8103159107</v>
      </c>
      <c r="ET179" s="1482">
        <f t="shared" ca="1" si="375"/>
        <v>5417084.2994730538</v>
      </c>
      <c r="EU179" s="180">
        <f t="shared" ca="1" si="376"/>
        <v>1354271.0748682634</v>
      </c>
      <c r="EV179" s="180">
        <f t="shared" ca="1" si="377"/>
        <v>166077.34407423422</v>
      </c>
      <c r="EW179" s="180">
        <f t="shared" ca="1" si="378"/>
        <v>498231.99979039893</v>
      </c>
      <c r="EX179" s="555">
        <f t="shared" ca="1" si="522"/>
        <v>7435664.7182059512</v>
      </c>
      <c r="EY179" s="180">
        <f t="shared" ca="1" si="379"/>
        <v>109604.28722359519</v>
      </c>
      <c r="EZ179" s="180">
        <f t="shared" ca="1" si="380"/>
        <v>27401.071805898799</v>
      </c>
      <c r="FA179" s="180">
        <f t="shared" ca="1" si="381"/>
        <v>183171.68078095725</v>
      </c>
      <c r="FB179" s="180">
        <f t="shared" ca="1" si="382"/>
        <v>549515.05229950906</v>
      </c>
      <c r="FC179" s="180">
        <f t="shared" ca="1" si="383"/>
        <v>869692.09210995957</v>
      </c>
      <c r="FD179" s="262">
        <f>IF(AX179,IF(VLOOKUP(C179,MAIN!$L$17:$M$28,2)="Yes",VLOOKUP(CALC!B179,MAIN!$H$17:$I$20,2),0),0)</f>
        <v>0</v>
      </c>
      <c r="FE179" s="623">
        <f t="shared" si="456"/>
        <v>0</v>
      </c>
      <c r="FF179" s="535">
        <f t="shared" si="457"/>
        <v>0</v>
      </c>
      <c r="FG179" s="535">
        <f t="shared" si="458"/>
        <v>0</v>
      </c>
      <c r="FH179" s="624">
        <f t="shared" si="459"/>
        <v>0</v>
      </c>
      <c r="FI179" s="632">
        <f>IF(AX179,VLOOKUP(CALC!B179,MAIN!$H$17:$K$20,4),0)</f>
        <v>0</v>
      </c>
      <c r="FJ179" s="535">
        <f t="shared" si="460"/>
        <v>0</v>
      </c>
      <c r="FK179" s="648">
        <f t="shared" si="506"/>
        <v>0</v>
      </c>
      <c r="FL179" s="530">
        <f t="shared" ca="1" si="384"/>
        <v>0</v>
      </c>
      <c r="FM179" s="530">
        <f t="shared" ca="1" si="385"/>
        <v>0</v>
      </c>
      <c r="FN179" s="530">
        <f t="shared" ca="1" si="386"/>
        <v>0</v>
      </c>
      <c r="FO179" s="622">
        <f t="shared" ca="1" si="387"/>
        <v>0</v>
      </c>
      <c r="FP179" s="530">
        <f t="shared" ca="1" si="388"/>
        <v>0</v>
      </c>
      <c r="FQ179" s="530">
        <f t="shared" ca="1" si="389"/>
        <v>0</v>
      </c>
      <c r="FR179" s="530">
        <f t="shared" ca="1" si="390"/>
        <v>0</v>
      </c>
      <c r="FS179" s="625">
        <f t="shared" ca="1" si="391"/>
        <v>0</v>
      </c>
      <c r="FT179" s="640">
        <f ca="1">IF(AND(Assumptions!$H$71="Yes",A179&gt;=Assumptions!$H$72,A179&lt;=Assumptions!$H$73),0,IF(AND($A179&gt;=Assumptions!$C$17,$A179&lt;=Assumptions!$C$18),MAX(AZ179*(1+VLOOKUP($C179,WeatherCapacityAdjustment,2))-FL179,0),0))</f>
        <v>46560</v>
      </c>
      <c r="FU179" s="530">
        <f ca="1">IF(AND(Assumptions!$H$71="Yes",A179&gt;=Assumptions!$H$72,A179&lt;=Assumptions!$H$73),0,IF(AND($A179&gt;=Assumptions!$C$17,$A179&lt;=Assumptions!$C$18),MAX(BA179*(1+VLOOKUP($C179,WeatherCapacityAdjustment,2))-FM179,0),0))</f>
        <v>11640</v>
      </c>
      <c r="FV179" s="530">
        <f ca="1">IF(AND(Assumptions!$H$71="Yes",A179&gt;=Assumptions!$H$72,A179&lt;=Assumptions!$H$73),0,IF(AND($A179&gt;=Assumptions!$C$17,$A179&lt;=Assumptions!$C$18),MAX(BB179*(1+VLOOKUP($C179,WeatherCapacityAdjustment,2))-FN179,0),0))</f>
        <v>11640</v>
      </c>
      <c r="FW179" s="622">
        <f ca="1">IF(AND(Assumptions!$H$71="Yes",A179&gt;=Assumptions!$H$72,A179&lt;=Assumptions!$H$73),0,IF(AND($A179&gt;=Assumptions!$C$17,$A179&lt;=Assumptions!$C$18),MAX(BC179*(1+VLOOKUP($C179,WeatherCapacityAdjustment,3))-FO179,0),0))</f>
        <v>34920</v>
      </c>
      <c r="FX179" s="621">
        <f ca="1">IF(AND(Assumptions!$H$71="Yes",A179&gt;=Assumptions!$H$72,A179&lt;=Assumptions!$H$73),0,IF(ET179&gt;0,MAX(BH179*(1+VLOOKUP($C179,WeatherCapacityAdjustment,2))-FP179,0),0))</f>
        <v>186240</v>
      </c>
      <c r="FY179" s="530">
        <f ca="1">IF(AND(Assumptions!$H$71="Yes",A179&gt;=Assumptions!$H$72,A179&lt;=Assumptions!$H$73),0,IF(EU179&gt;0,MAX(BI179*(1+VLOOKUP($C179,WeatherCapacityAdjustment,3))-FQ179,0),0))</f>
        <v>46560</v>
      </c>
      <c r="FZ179" s="530">
        <f ca="1">IF(AND(Assumptions!$H$71="Yes",A179&gt;=Assumptions!$H$72,A179&lt;=Assumptions!$H$73),0,IF(EV179&gt;0,MAX(BJ179*(1+VLOOKUP($C179,WeatherCapacityAdjustment,2))-FR179,0),0))</f>
        <v>46560</v>
      </c>
      <c r="GA179" s="622">
        <f ca="1">IF(AND(Assumptions!$H$71="Yes",A179&gt;=Assumptions!$H$72,A179&lt;=Assumptions!$H$73),0,IF(EW179&gt;0,MAX(BK179*(1+VLOOKUP($C179,WeatherCapacityAdjustment,2))-FS179,0),0))</f>
        <v>139680</v>
      </c>
      <c r="GB179" s="530">
        <f t="shared" ca="1" si="461"/>
        <v>523800</v>
      </c>
      <c r="GC179" s="545">
        <f t="shared" ca="1" si="462"/>
        <v>45.341587870138113</v>
      </c>
      <c r="GD179" s="530">
        <f t="shared" ca="1" si="392"/>
        <v>23749923.726378344</v>
      </c>
      <c r="GE179" s="1485">
        <f t="shared" ca="1" si="393"/>
        <v>749951.69760000007</v>
      </c>
      <c r="GF179" s="1776">
        <f t="shared" ca="1" si="394"/>
        <v>2999806.7904000003</v>
      </c>
      <c r="GG179" s="545">
        <f t="shared" si="530"/>
        <v>3.5485021694744008</v>
      </c>
      <c r="GH179" s="622">
        <f t="shared" ca="1" si="531"/>
        <v>13306026.129673051</v>
      </c>
      <c r="GI179" s="621">
        <f t="shared" ca="1" si="507"/>
        <v>523800</v>
      </c>
      <c r="GJ179" s="638">
        <f t="shared" si="463"/>
        <v>2.1941899559905629</v>
      </c>
      <c r="GK179" s="625">
        <f t="shared" ca="1" si="513"/>
        <v>1149316.6989478569</v>
      </c>
      <c r="GL179" s="640">
        <f t="shared" ca="1" si="395"/>
        <v>0</v>
      </c>
      <c r="GM179" s="530">
        <f t="shared" ca="1" si="396"/>
        <v>0</v>
      </c>
      <c r="GN179" s="530">
        <f t="shared" ca="1" si="397"/>
        <v>0</v>
      </c>
      <c r="GO179" s="622">
        <f t="shared" ca="1" si="398"/>
        <v>0</v>
      </c>
      <c r="GP179" s="530">
        <f t="shared" ca="1" si="464"/>
        <v>0</v>
      </c>
      <c r="GQ179" s="545">
        <f t="shared" ca="1" si="465"/>
        <v>0</v>
      </c>
      <c r="GR179" s="625">
        <f t="shared" ca="1" si="399"/>
        <v>0</v>
      </c>
      <c r="GS179" s="640">
        <f>IF($A179&gt;=BegDate,Assumptions!$C$56*24*($A180-$A179)*(1-VLOOKUP($B179,MAIN!$AA$7:$AM$28,$C179+1))*(1-VLOOKUP($B179,MAIN!$AA$33:$AM$54,$C179+1)),0)*80/168</f>
        <v>249428.57142857142</v>
      </c>
      <c r="GT179" s="1715">
        <f t="shared" si="508"/>
        <v>56.683643415213574</v>
      </c>
      <c r="GU179" s="1715">
        <f>IF($A179&gt;=BegDate,VLOOKUP($A179,GasTable,13)+Assumptions!$C$58,0)</f>
        <v>3.5485021694744008</v>
      </c>
      <c r="GV179" s="1715">
        <f>GU179*Assumptions!$C$57/1000</f>
        <v>25.726640728689407</v>
      </c>
      <c r="GW179" s="625">
        <f>IF(Assumptions!$C$60="Hourly",MAX(0,GS179*(GT179-GV179)),GS179*(GT179-GV179))</f>
        <v>7721560.9558101706</v>
      </c>
      <c r="GX179" s="640">
        <f>IF($A179&gt;=BegDate,Assumptions!$C$56*24*($A180-$A179)*(1-VLOOKUP($B179,MAIN!$AA$7:$AM$28,$C179+1))*(1-VLOOKUP($B179,MAIN!$AA$33:$AM$54,$C179+1)),0)*16/168</f>
        <v>49885.714285714283</v>
      </c>
      <c r="GY179" s="1715">
        <f t="shared" si="509"/>
        <v>56.683643415213574</v>
      </c>
      <c r="GZ179" s="1715">
        <f>IF($A179&gt;=BegDate,VLOOKUP($A179,GasTable,13)+Assumptions!$C$58,0)</f>
        <v>3.5485021694744008</v>
      </c>
      <c r="HA179" s="1715">
        <f>GZ179*Assumptions!$C$57/1000</f>
        <v>25.726640728689407</v>
      </c>
      <c r="HB179" s="625">
        <f>IF(Assumptions!$C$60="Hourly",MAX(0,GX179*(GY179-HA179)),GX179*(GY179-HA179))</f>
        <v>1544312.1911620339</v>
      </c>
      <c r="HC179" s="640">
        <f>IF($A179&gt;=BegDate,Assumptions!$C$56*24*($A180-$A179)*(1-VLOOKUP($B179,MAIN!$AA$7:$AM$28,$C179+1))*(1-VLOOKUP($B179,MAIN!$AA$33:$AM$54,$C179+1)),0)*16/168</f>
        <v>49885.714285714283</v>
      </c>
      <c r="HD179" s="1715">
        <f t="shared" si="510"/>
        <v>31.164018612936314</v>
      </c>
      <c r="HE179" s="1715">
        <f>IF($A179&gt;=BegDate,VLOOKUP($A179,GasTable,13)+Assumptions!$C$58,0)</f>
        <v>3.5485021694744008</v>
      </c>
      <c r="HF179" s="1715">
        <f>HE179*Assumptions!$C$57/1000</f>
        <v>25.726640728689407</v>
      </c>
      <c r="HG179" s="625">
        <f>IF(Assumptions!$C$60="Hourly",MAX(0,HC179*(HD179-HF179)),HC179*(HD179-HF179))</f>
        <v>271247.47959700279</v>
      </c>
      <c r="HH179" s="640">
        <f>IF($A179&gt;=BegDate,Assumptions!$C$56*24*($A180-$A179)*(1-VLOOKUP($B179,MAIN!$AA$7:$AM$28,$C179+1))*(1-VLOOKUP($B179,MAIN!$AA$33:$AM$54,$C179+1)),0)*56/168</f>
        <v>174600</v>
      </c>
      <c r="HI179" s="1715">
        <f t="shared" si="511"/>
        <v>31.164018612936314</v>
      </c>
      <c r="HJ179" s="1715">
        <f>IF($A179&gt;=BegDate,VLOOKUP($A179,GasTable,13)+Assumptions!$C$58,0)</f>
        <v>3.5485021694744008</v>
      </c>
      <c r="HK179" s="1715">
        <f>HJ179*Assumptions!$C$57/1000</f>
        <v>25.726640728689407</v>
      </c>
      <c r="HL179" s="625">
        <f>IF(Assumptions!$C$60="Hourly",MAX(0,HH179*(HI179-HK179)),HH179*(HI179-HK179))</f>
        <v>949366.17858950992</v>
      </c>
      <c r="HM179" s="640">
        <f>IF(AND(Assumptions!$H$71="Yes",A179&gt;=Assumptions!$H$72,A179&lt;=Assumptions!$H$73),Assumptions!$H$74*Assumptions!$C$9*1000,0)</f>
        <v>0</v>
      </c>
      <c r="HN179" s="530"/>
      <c r="HO179" s="545"/>
      <c r="HP179" s="545"/>
      <c r="HQ179" s="545"/>
      <c r="HR179" s="545"/>
      <c r="HS179" s="545"/>
      <c r="HT179" s="545"/>
      <c r="HU179" s="545"/>
      <c r="HV179" s="545"/>
      <c r="HW179" s="545"/>
      <c r="HX179" s="545"/>
      <c r="HY179" s="545"/>
      <c r="HZ179" s="545"/>
      <c r="IA179" s="545"/>
      <c r="IB179" s="545"/>
      <c r="IC179" s="545"/>
      <c r="ID179" s="545"/>
      <c r="IE179" s="545"/>
      <c r="IF179" s="545"/>
      <c r="IG179" s="545"/>
      <c r="IH179" s="545"/>
      <c r="II179" s="1464"/>
      <c r="IJ179" s="1463"/>
      <c r="IK179" s="1463"/>
    </row>
    <row r="180" spans="1:245">
      <c r="A180" s="177">
        <f t="shared" si="466"/>
        <v>41609</v>
      </c>
      <c r="B180" s="349">
        <f t="shared" si="467"/>
        <v>2013</v>
      </c>
      <c r="C180" s="15">
        <f t="shared" si="523"/>
        <v>12</v>
      </c>
      <c r="D180" s="612">
        <f t="shared" si="468"/>
        <v>41633</v>
      </c>
      <c r="E180" s="609">
        <f t="shared" si="524"/>
        <v>41609</v>
      </c>
      <c r="F180" s="614">
        <f t="shared" si="525"/>
        <v>41639</v>
      </c>
      <c r="G180" s="1349">
        <v>0</v>
      </c>
      <c r="H180" s="152">
        <f t="shared" si="512"/>
        <v>1</v>
      </c>
      <c r="I180" s="154">
        <f>IF(Assumptions!$L$25=4,VLOOKUP($A180,'Henwood Reference'!$E$9:$R$320,10),(VLOOKUP($A180,PriceTable,2,0)+IF(BasisNumber&lt;&gt;1,VLOOKUP($A180,BasisTable,2,0),0)+I$1)/(1-I$2))</f>
        <v>53.777814841225215</v>
      </c>
      <c r="J180" s="154">
        <f>IF(Assumptions!$L$25=4,VLOOKUP($A180,'Henwood Reference'!$E$9:$R$320,10),(VLOOKUP($A180,PriceTable,3,0)+IF(BasisNumber&lt;&gt;1,VLOOKUP($A180,BasisTable,2,0),0)+J$1)/(1-J$2))</f>
        <v>53.777814841225215</v>
      </c>
      <c r="K180" s="154">
        <f>IF(Assumptions!$L$25=4,VLOOKUP($A180,'Henwood Reference'!$E$9:$R$320,10),(VLOOKUP($A180,PriceTable,4,0)+IF(BasisNumber&lt;&gt;1,VLOOKUP($A180,BasisTable,2,0),0)+K$1)/(1-K$2))</f>
        <v>53.777814841225215</v>
      </c>
      <c r="L180" s="474">
        <f>IF(Assumptions!$L$25=4,VLOOKUP($A180,'Henwood Reference'!$E$9:$R$320,10),(VLOOKUP($A180,PriceTableWeekend,2,0)+IF(BasisNumber&lt;&gt;1,VLOOKUP($A180,BasisTable,2,0),0)+L$1)/(1-L$2))</f>
        <v>53.777814841225215</v>
      </c>
      <c r="M180" s="154">
        <f>IF(Assumptions!$L$25=4,VLOOKUP($A180,'Henwood Reference'!$E$9:$R$320,10),(VLOOKUP($A180,PriceTableWeekend,3,0)+IF(BasisNumber&lt;&gt;1,VLOOKUP($A180,BasisTable,2,0),0)+M$1)/(1-M$2))</f>
        <v>53.777814841225215</v>
      </c>
      <c r="N180" s="156">
        <f>IF(Assumptions!$L$25=4,VLOOKUP($A180,'Henwood Reference'!$E$9:$R$320,10),(VLOOKUP($A180,PriceTableWeekend,4,0)+IF(BasisNumber&lt;&gt;1,VLOOKUP($A180,BasisTable,2,0),0)+N$1)/(1-N$2))</f>
        <v>53.777814841225215</v>
      </c>
      <c r="O180" s="154">
        <f>IF(Assumptions!$L$25=4,VLOOKUP($A180,'Henwood Reference'!$E$9:$R$320,11),(VLOOKUP($A180,PriceTableWeekend,6,0)+IF(BasisNumber&lt;&gt;1,VLOOKUP($A180,BasisTable,3,0),0)+O$1)/(1-O$2))</f>
        <v>31.981448642720064</v>
      </c>
      <c r="P180" s="154">
        <f>IF(Assumptions!$L$25=4,VLOOKUP($A180,'Henwood Reference'!$E$9:$R$320,11),(VLOOKUP($A180,PriceTableWeekend,7,0)+IF(BasisNumber&lt;&gt;1,VLOOKUP($A180,BasisTable,3,0),0)+P$1)/(1-P$2))</f>
        <v>31.981448642720064</v>
      </c>
      <c r="Q180" s="156">
        <f>IF(Assumptions!$L$25=4,VLOOKUP($A180,'Henwood Reference'!$E$9:$R$320,11),(VLOOKUP($A180,PriceTableWeekend,8,0)+IF(BasisNumber&lt;&gt;1,VLOOKUP($A180,BasisTable,3,0),0)+Q$1)/(1-Q$2))</f>
        <v>31.981448642720064</v>
      </c>
      <c r="R180" s="154">
        <f>IF(Assumptions!$L$25=4,VLOOKUP($A180,'Henwood Reference'!$E$9:$R$320,11),(VLOOKUP($A180,PriceTable,6,0)+IF(BasisNumber&lt;&gt;1,VLOOKUP($A180,BasisTable,3,0),0)+R$1)/(1-R$2))</f>
        <v>31.981448642720064</v>
      </c>
      <c r="S180" s="154">
        <f>IF(Assumptions!$L$25=4,VLOOKUP($A180,'Henwood Reference'!$E$9:$R$320,11),(VLOOKUP($A180,PriceTable,7,0)+IF(BasisNumber&lt;&gt;1,VLOOKUP($A180,BasisTable,3,0),0)+S$1)/(1-S$2))</f>
        <v>31.981448642720064</v>
      </c>
      <c r="T180" s="155">
        <f>IF(Assumptions!$L$25=4,VLOOKUP($A180,'Henwood Reference'!$E$9:$R$320,11),(VLOOKUP($A180,PriceTable,8,0)+IF(BasisNumber&lt;&gt;1,VLOOKUP($A180,BasisTable,3,0),0)+T$1)/(1-T$2))</f>
        <v>31.981448642720064</v>
      </c>
      <c r="U180" s="173">
        <f t="shared" si="469"/>
        <v>0.105</v>
      </c>
      <c r="V180" s="173">
        <f t="shared" si="470"/>
        <v>0.115</v>
      </c>
      <c r="W180" s="174">
        <f t="shared" si="471"/>
        <v>0.125</v>
      </c>
      <c r="X180" s="173">
        <f t="shared" si="472"/>
        <v>0.105</v>
      </c>
      <c r="Y180" s="173">
        <f t="shared" si="473"/>
        <v>0.115</v>
      </c>
      <c r="Z180" s="174">
        <f t="shared" si="474"/>
        <v>0.125</v>
      </c>
      <c r="AA180" s="173">
        <f t="shared" si="475"/>
        <v>0.09</v>
      </c>
      <c r="AB180" s="173">
        <f t="shared" si="476"/>
        <v>0.11</v>
      </c>
      <c r="AC180" s="174">
        <f t="shared" si="477"/>
        <v>0.13</v>
      </c>
      <c r="AD180" s="173">
        <f t="shared" si="478"/>
        <v>0.09</v>
      </c>
      <c r="AE180" s="173">
        <f t="shared" si="479"/>
        <v>0.11</v>
      </c>
      <c r="AF180" s="174">
        <f t="shared" si="480"/>
        <v>0.13</v>
      </c>
      <c r="AG180" s="173">
        <f t="shared" si="481"/>
        <v>-0.25</v>
      </c>
      <c r="AH180" s="173">
        <f t="shared" si="482"/>
        <v>0.6</v>
      </c>
      <c r="AI180" s="174">
        <f t="shared" si="483"/>
        <v>0.25</v>
      </c>
      <c r="AJ180" s="173">
        <f t="shared" si="484"/>
        <v>-0.25</v>
      </c>
      <c r="AK180" s="173">
        <f t="shared" si="485"/>
        <v>0.6</v>
      </c>
      <c r="AL180" s="174">
        <f t="shared" si="486"/>
        <v>0.25</v>
      </c>
      <c r="AM180" s="173">
        <f t="shared" si="487"/>
        <v>-0.01</v>
      </c>
      <c r="AN180" s="173">
        <f t="shared" si="488"/>
        <v>0.16</v>
      </c>
      <c r="AO180" s="174">
        <f t="shared" si="489"/>
        <v>0.01</v>
      </c>
      <c r="AP180" s="173">
        <f t="shared" si="490"/>
        <v>-0.01</v>
      </c>
      <c r="AQ180" s="173">
        <f t="shared" si="491"/>
        <v>0.16</v>
      </c>
      <c r="AR180" s="175">
        <f t="shared" si="492"/>
        <v>0.01</v>
      </c>
      <c r="AS180" s="521">
        <f t="shared" si="528"/>
        <v>0.5</v>
      </c>
      <c r="AT180" s="349">
        <f t="shared" si="526"/>
        <v>21</v>
      </c>
      <c r="AU180" s="159">
        <f t="shared" si="411"/>
        <v>4</v>
      </c>
      <c r="AV180" s="159">
        <f t="shared" si="412"/>
        <v>5</v>
      </c>
      <c r="AW180" s="159">
        <f t="shared" si="529"/>
        <v>1</v>
      </c>
      <c r="AX180" s="15">
        <f t="shared" si="527"/>
        <v>31</v>
      </c>
      <c r="AY180" s="607">
        <f>IF(E180="",0,MIN((1-(1-VLOOKUP(B180,MAIN!$AA$7:$AM$28,C180+1))*(1-VLOOKUP(B180,MAIN!$AA$33:$AM$54,C180+1))),1))</f>
        <v>3.0000000000000027E-2</v>
      </c>
      <c r="AZ180" s="337">
        <v>48888</v>
      </c>
      <c r="BA180" s="509">
        <v>9312</v>
      </c>
      <c r="BB180" s="509">
        <v>13968</v>
      </c>
      <c r="BC180" s="511">
        <v>36084</v>
      </c>
      <c r="BD180" s="153">
        <v>0.97</v>
      </c>
      <c r="BE180" s="474">
        <v>0.97</v>
      </c>
      <c r="BF180" s="474">
        <v>0.97</v>
      </c>
      <c r="BG180" s="515">
        <v>0.97</v>
      </c>
      <c r="BH180" s="262">
        <v>195552</v>
      </c>
      <c r="BI180" s="509">
        <v>37248</v>
      </c>
      <c r="BJ180" s="509">
        <v>55872</v>
      </c>
      <c r="BK180" s="511">
        <v>144336</v>
      </c>
      <c r="BL180" s="153">
        <v>0.97</v>
      </c>
      <c r="BM180" s="474">
        <v>0.97</v>
      </c>
      <c r="BN180" s="474">
        <v>0.97</v>
      </c>
      <c r="BO180" s="474">
        <v>0.97</v>
      </c>
      <c r="BP180" s="261">
        <f t="shared" si="495"/>
        <v>72168</v>
      </c>
      <c r="BQ180" s="578">
        <f t="shared" si="496"/>
        <v>108252</v>
      </c>
      <c r="BR180" s="259">
        <f t="shared" si="497"/>
        <v>288672</v>
      </c>
      <c r="BS180" s="578">
        <f t="shared" si="498"/>
        <v>433008</v>
      </c>
      <c r="BT180" s="216">
        <f t="shared" si="499"/>
        <v>13.631759069130732</v>
      </c>
      <c r="BU180" s="218">
        <f t="shared" si="414"/>
        <v>53.777814841225215</v>
      </c>
      <c r="BV180" s="216">
        <f t="shared" si="415"/>
        <v>53.777814841225215</v>
      </c>
      <c r="BW180" s="216">
        <f t="shared" si="416"/>
        <v>31.981448642720064</v>
      </c>
      <c r="BX180" s="216">
        <f t="shared" si="500"/>
        <v>31.981448642720064</v>
      </c>
      <c r="BY180" s="216">
        <f t="shared" si="417"/>
        <v>49.559163318933898</v>
      </c>
      <c r="BZ180" s="216">
        <f t="shared" si="418"/>
        <v>43.699925093529281</v>
      </c>
      <c r="CA180" s="264">
        <f t="shared" si="419"/>
        <v>53.777814841225215</v>
      </c>
      <c r="CB180" s="216">
        <f t="shared" si="420"/>
        <v>53.777814841225215</v>
      </c>
      <c r="CC180" s="216">
        <f t="shared" si="421"/>
        <v>31.981448642720064</v>
      </c>
      <c r="CD180" s="216">
        <f t="shared" si="501"/>
        <v>31.981448642720064</v>
      </c>
      <c r="CE180" s="216">
        <f t="shared" si="422"/>
        <v>49.559163318933898</v>
      </c>
      <c r="CF180" s="571">
        <f t="shared" si="423"/>
        <v>43.699925093529281</v>
      </c>
      <c r="CG180" s="573">
        <f t="shared" si="424"/>
        <v>0.115</v>
      </c>
      <c r="CH180" s="219">
        <f t="shared" si="425"/>
        <v>0.115</v>
      </c>
      <c r="CI180" s="219">
        <f t="shared" si="426"/>
        <v>0.11</v>
      </c>
      <c r="CJ180" s="219">
        <f t="shared" si="427"/>
        <v>0.11437762446265248</v>
      </c>
      <c r="CK180" s="219">
        <f t="shared" si="428"/>
        <v>0.11437762446265248</v>
      </c>
      <c r="CL180" s="219">
        <f t="shared" si="429"/>
        <v>0.11</v>
      </c>
      <c r="CM180" s="219">
        <f t="shared" si="430"/>
        <v>0.10290564944704364</v>
      </c>
      <c r="CN180" s="569">
        <f t="shared" si="431"/>
        <v>0.10290564944704364</v>
      </c>
      <c r="CO180" s="264">
        <f t="shared" si="514"/>
        <v>26.451207741840289</v>
      </c>
      <c r="CP180" s="216">
        <f t="shared" si="502"/>
        <v>26.451207741840289</v>
      </c>
      <c r="CQ180" s="216">
        <f t="shared" ca="1" si="361"/>
        <v>26.451207741840289</v>
      </c>
      <c r="CR180" s="216">
        <f t="shared" ca="1" si="362"/>
        <v>26.451207741840289</v>
      </c>
      <c r="CS180" s="1626">
        <f t="shared" ca="1" si="363"/>
        <v>26.451207741840289</v>
      </c>
      <c r="CT180" s="216">
        <f t="shared" si="503"/>
        <v>26.451207741840289</v>
      </c>
      <c r="CU180" s="575">
        <f t="shared" si="432"/>
        <v>0.155</v>
      </c>
      <c r="CV180" s="154">
        <f t="shared" si="433"/>
        <v>0.5</v>
      </c>
      <c r="CW180" s="216">
        <f>IF(OR($BQ180,$BS180),SpreadOptPowerMargin,0)*((1+Assumptions!$C$26)^($B180-YEAR(Assumptions!$C$17)))</f>
        <v>2.1941899559905629</v>
      </c>
      <c r="CX180" s="216">
        <f>IF(OR($BQ180,$BS180),SpreadOptPowerMargin,0)*((1+Assumptions!$C$26)^($B180-YEAR(Assumptions!$C$17)))</f>
        <v>2.1941899559905629</v>
      </c>
      <c r="CY180" s="216">
        <f>IF(OR($BQ180,$BS180),SpreadOptPowerMargin,0)*((1+Assumptions!$C$26)^($B180-YEAR(Assumptions!$C$17)))</f>
        <v>2.1941899559905629</v>
      </c>
      <c r="CZ180" s="216">
        <f>IF(OR($BQ180,$BS180),SpreadOptPowerMargin,0)*((1+Assumptions!$C$26)^($B180-YEAR(Assumptions!$C$17)))</f>
        <v>2.1941899559905629</v>
      </c>
      <c r="DA180" s="440">
        <f t="shared" si="434"/>
        <v>2.1941899559905633</v>
      </c>
      <c r="DB180" s="479">
        <f t="shared" si="435"/>
        <v>0.115</v>
      </c>
      <c r="DC180" s="479">
        <f t="shared" si="436"/>
        <v>0.115</v>
      </c>
      <c r="DD180" s="479">
        <f t="shared" si="437"/>
        <v>0.11</v>
      </c>
      <c r="DE180" s="479">
        <f t="shared" si="438"/>
        <v>0.11</v>
      </c>
      <c r="DF180" s="479">
        <f t="shared" si="439"/>
        <v>0.10290564944704364</v>
      </c>
      <c r="DG180" s="574">
        <f t="shared" si="440"/>
        <v>0.10290564944704364</v>
      </c>
      <c r="DH180" s="216">
        <f t="shared" si="441"/>
        <v>26.017831942719511</v>
      </c>
      <c r="DI180" s="216">
        <f t="shared" si="442"/>
        <v>26.017831942719511</v>
      </c>
      <c r="DJ180" s="216">
        <f t="shared" ca="1" si="364"/>
        <v>7.5627096535654292</v>
      </c>
      <c r="DK180" s="216">
        <f t="shared" ca="1" si="365"/>
        <v>7.5627096535654292</v>
      </c>
      <c r="DL180" s="216">
        <f t="shared" ca="1" si="366"/>
        <v>16.759267323562991</v>
      </c>
      <c r="DM180" s="216"/>
      <c r="DN180" s="216"/>
      <c r="DO180" s="216"/>
      <c r="DP180" s="216"/>
      <c r="DQ180" s="216"/>
      <c r="DR180" s="216"/>
      <c r="DS180" s="216"/>
      <c r="DT180" s="216"/>
      <c r="DU180" s="216"/>
      <c r="DV180" s="216"/>
      <c r="DW180" s="1371">
        <f t="shared" si="443"/>
        <v>7.5627096535654292</v>
      </c>
      <c r="DX180" s="216">
        <f t="shared" si="444"/>
        <v>7.5627096535654292</v>
      </c>
      <c r="DY180" s="440">
        <f t="shared" si="445"/>
        <v>17.484818411175151</v>
      </c>
      <c r="DZ180" s="180">
        <f t="shared" si="446"/>
        <v>1271959.7680156715</v>
      </c>
      <c r="EA180" s="180">
        <f t="shared" si="447"/>
        <v>242278.05105060409</v>
      </c>
      <c r="EB180" s="180">
        <f t="shared" ca="1" si="367"/>
        <v>105635.92844100192</v>
      </c>
      <c r="EC180" s="180">
        <f t="shared" ca="1" si="368"/>
        <v>272892.81513925496</v>
      </c>
      <c r="ED180" s="180">
        <f t="shared" ca="1" si="369"/>
        <v>1814224.2063103409</v>
      </c>
      <c r="EE180" s="581">
        <f t="shared" si="448"/>
        <v>1228673.6093062637</v>
      </c>
      <c r="EF180" s="554">
        <f t="shared" si="449"/>
        <v>234033.0684392883</v>
      </c>
      <c r="EG180" s="554">
        <f t="shared" ca="1" si="370"/>
        <v>46597.959598212517</v>
      </c>
      <c r="EH180" s="554">
        <f t="shared" ca="1" si="371"/>
        <v>120378.06229538233</v>
      </c>
      <c r="EI180" s="561">
        <f t="shared" ca="1" si="450"/>
        <v>1629682.6996391462</v>
      </c>
      <c r="EJ180" s="581">
        <f t="shared" si="504"/>
        <v>43286.158709407784</v>
      </c>
      <c r="EK180" s="554">
        <f t="shared" si="505"/>
        <v>8244.9826113157906</v>
      </c>
      <c r="EL180" s="554">
        <f t="shared" ca="1" si="372"/>
        <v>59037.9688427894</v>
      </c>
      <c r="EM180" s="554">
        <f t="shared" ca="1" si="373"/>
        <v>152514.75284387264</v>
      </c>
      <c r="EN180" s="561">
        <f t="shared" ca="1" si="374"/>
        <v>184541.50667119469</v>
      </c>
      <c r="EO180" s="180">
        <f t="shared" si="451"/>
        <v>5087839.0720626861</v>
      </c>
      <c r="EP180" s="180">
        <f t="shared" si="452"/>
        <v>969112.20420241635</v>
      </c>
      <c r="EQ180" s="180">
        <f t="shared" si="453"/>
        <v>422543.71376400767</v>
      </c>
      <c r="ER180" s="180">
        <f t="shared" si="454"/>
        <v>1091571.2605570199</v>
      </c>
      <c r="ES180" s="180">
        <f t="shared" si="455"/>
        <v>7571066.2505861297</v>
      </c>
      <c r="ET180" s="1482">
        <f t="shared" ca="1" si="375"/>
        <v>4914694.4372250549</v>
      </c>
      <c r="EU180" s="180">
        <f t="shared" ca="1" si="376"/>
        <v>936132.27375715319</v>
      </c>
      <c r="EV180" s="180">
        <f t="shared" ca="1" si="377"/>
        <v>186391.83839285007</v>
      </c>
      <c r="EW180" s="180">
        <f t="shared" ca="1" si="378"/>
        <v>481512.24918152933</v>
      </c>
      <c r="EX180" s="555">
        <f t="shared" ca="1" si="522"/>
        <v>6518730.7985565877</v>
      </c>
      <c r="EY180" s="180">
        <f t="shared" ca="1" si="379"/>
        <v>173144.63483763114</v>
      </c>
      <c r="EZ180" s="180">
        <f t="shared" ca="1" si="380"/>
        <v>32979.930445263162</v>
      </c>
      <c r="FA180" s="180">
        <f t="shared" ca="1" si="381"/>
        <v>236151.8753711576</v>
      </c>
      <c r="FB180" s="180">
        <f t="shared" ca="1" si="382"/>
        <v>610059.01137549058</v>
      </c>
      <c r="FC180" s="180">
        <f t="shared" ca="1" si="383"/>
        <v>1052335.4520295421</v>
      </c>
      <c r="FD180" s="262">
        <f>IF(AX180,IF(VLOOKUP(C180,MAIN!$L$17:$M$28,2)="Yes",VLOOKUP(CALC!B180,MAIN!$H$17:$I$20,2),0),0)</f>
        <v>0</v>
      </c>
      <c r="FE180" s="623">
        <f t="shared" si="456"/>
        <v>0</v>
      </c>
      <c r="FF180" s="535">
        <f t="shared" si="457"/>
        <v>0</v>
      </c>
      <c r="FG180" s="535">
        <f t="shared" si="458"/>
        <v>0</v>
      </c>
      <c r="FH180" s="624">
        <f t="shared" si="459"/>
        <v>0</v>
      </c>
      <c r="FI180" s="632">
        <f>IF(AX180,VLOOKUP(CALC!B180,MAIN!$H$17:$K$20,4),0)</f>
        <v>0</v>
      </c>
      <c r="FJ180" s="535">
        <f t="shared" si="460"/>
        <v>0</v>
      </c>
      <c r="FK180" s="648">
        <f t="shared" si="506"/>
        <v>0</v>
      </c>
      <c r="FL180" s="530">
        <f t="shared" ca="1" si="384"/>
        <v>0</v>
      </c>
      <c r="FM180" s="530">
        <f t="shared" ca="1" si="385"/>
        <v>0</v>
      </c>
      <c r="FN180" s="530">
        <f t="shared" ca="1" si="386"/>
        <v>0</v>
      </c>
      <c r="FO180" s="622">
        <f t="shared" ca="1" si="387"/>
        <v>0</v>
      </c>
      <c r="FP180" s="530">
        <f t="shared" ca="1" si="388"/>
        <v>0</v>
      </c>
      <c r="FQ180" s="530">
        <f t="shared" ca="1" si="389"/>
        <v>0</v>
      </c>
      <c r="FR180" s="530">
        <f t="shared" ca="1" si="390"/>
        <v>0</v>
      </c>
      <c r="FS180" s="625">
        <f t="shared" ca="1" si="391"/>
        <v>0</v>
      </c>
      <c r="FT180" s="640">
        <f ca="1">IF(AND(Assumptions!$H$71="Yes",A180&gt;=Assumptions!$H$72,A180&lt;=Assumptions!$H$73),0,IF(AND($A180&gt;=Assumptions!$C$17,$A180&lt;=Assumptions!$C$18),MAX(AZ180*(1+VLOOKUP($C180,WeatherCapacityAdjustment,2))-FL180,0),0))</f>
        <v>48888</v>
      </c>
      <c r="FU180" s="530">
        <f ca="1">IF(AND(Assumptions!$H$71="Yes",A180&gt;=Assumptions!$H$72,A180&lt;=Assumptions!$H$73),0,IF(AND($A180&gt;=Assumptions!$C$17,$A180&lt;=Assumptions!$C$18),MAX(BA180*(1+VLOOKUP($C180,WeatherCapacityAdjustment,2))-FM180,0),0))</f>
        <v>9312</v>
      </c>
      <c r="FV180" s="530">
        <f ca="1">IF(AND(Assumptions!$H$71="Yes",A180&gt;=Assumptions!$H$72,A180&lt;=Assumptions!$H$73),0,IF(AND($A180&gt;=Assumptions!$C$17,$A180&lt;=Assumptions!$C$18),MAX(BB180*(1+VLOOKUP($C180,WeatherCapacityAdjustment,2))-FN180,0),0))</f>
        <v>13968</v>
      </c>
      <c r="FW180" s="622">
        <f ca="1">IF(AND(Assumptions!$H$71="Yes",A180&gt;=Assumptions!$H$72,A180&lt;=Assumptions!$H$73),0,IF(AND($A180&gt;=Assumptions!$C$17,$A180&lt;=Assumptions!$C$18),MAX(BC180*(1+VLOOKUP($C180,WeatherCapacityAdjustment,3))-FO180,0),0))</f>
        <v>36084</v>
      </c>
      <c r="FX180" s="621">
        <f ca="1">IF(AND(Assumptions!$H$71="Yes",A180&gt;=Assumptions!$H$72,A180&lt;=Assumptions!$H$73),0,IF(ET180&gt;0,MAX(BH180*(1+VLOOKUP($C180,WeatherCapacityAdjustment,2))-FP180,0),0))</f>
        <v>195552</v>
      </c>
      <c r="FY180" s="530">
        <f ca="1">IF(AND(Assumptions!$H$71="Yes",A180&gt;=Assumptions!$H$72,A180&lt;=Assumptions!$H$73),0,IF(EU180&gt;0,MAX(BI180*(1+VLOOKUP($C180,WeatherCapacityAdjustment,3))-FQ180,0),0))</f>
        <v>37248</v>
      </c>
      <c r="FZ180" s="530">
        <f ca="1">IF(AND(Assumptions!$H$71="Yes",A180&gt;=Assumptions!$H$72,A180&lt;=Assumptions!$H$73),0,IF(EV180&gt;0,MAX(BJ180*(1+VLOOKUP($C180,WeatherCapacityAdjustment,2))-FR180,0),0))</f>
        <v>55872</v>
      </c>
      <c r="GA180" s="622">
        <f ca="1">IF(AND(Assumptions!$H$71="Yes",A180&gt;=Assumptions!$H$72,A180&lt;=Assumptions!$H$73),0,IF(EW180&gt;0,MAX(BK180*(1+VLOOKUP($C180,WeatherCapacityAdjustment,2))-FS180,0),0))</f>
        <v>144336</v>
      </c>
      <c r="GB180" s="530">
        <f t="shared" ca="1" si="461"/>
        <v>541260</v>
      </c>
      <c r="GC180" s="545">
        <f t="shared" ca="1" si="462"/>
        <v>43.699925093529288</v>
      </c>
      <c r="GD180" s="530">
        <f t="shared" ca="1" si="392"/>
        <v>23653021.456123658</v>
      </c>
      <c r="GE180" s="1485">
        <f t="shared" ca="1" si="393"/>
        <v>775268.3483999999</v>
      </c>
      <c r="GF180" s="1776">
        <f t="shared" ca="1" si="394"/>
        <v>3101073.3935999996</v>
      </c>
      <c r="GG180" s="545">
        <f t="shared" si="530"/>
        <v>3.6934258265272621</v>
      </c>
      <c r="GH180" s="622">
        <f t="shared" ca="1" si="531"/>
        <v>14316980.702348476</v>
      </c>
      <c r="GI180" s="621">
        <f t="shared" ca="1" si="507"/>
        <v>541260</v>
      </c>
      <c r="GJ180" s="638">
        <f t="shared" si="463"/>
        <v>2.1941899559905633</v>
      </c>
      <c r="GK180" s="625">
        <f t="shared" ca="1" si="513"/>
        <v>1187627.2555794523</v>
      </c>
      <c r="GL180" s="640">
        <f t="shared" ca="1" si="395"/>
        <v>0</v>
      </c>
      <c r="GM180" s="530">
        <f t="shared" ca="1" si="396"/>
        <v>0</v>
      </c>
      <c r="GN180" s="530">
        <f t="shared" ca="1" si="397"/>
        <v>0</v>
      </c>
      <c r="GO180" s="622">
        <f t="shared" ca="1" si="398"/>
        <v>0</v>
      </c>
      <c r="GP180" s="530">
        <f t="shared" ca="1" si="464"/>
        <v>0</v>
      </c>
      <c r="GQ180" s="545">
        <f t="shared" ca="1" si="465"/>
        <v>0</v>
      </c>
      <c r="GR180" s="625">
        <f t="shared" ca="1" si="399"/>
        <v>0</v>
      </c>
      <c r="GS180" s="640">
        <f>IF($A180&gt;=BegDate,Assumptions!$C$56*24*($A181-$A180)*(1-VLOOKUP($B180,MAIN!$AA$7:$AM$28,$C180+1))*(1-VLOOKUP($B180,MAIN!$AA$33:$AM$54,$C180+1)),0)*80/168</f>
        <v>257742.85714285713</v>
      </c>
      <c r="GT180" s="1715">
        <f t="shared" si="508"/>
        <v>53.777814841225215</v>
      </c>
      <c r="GU180" s="1715">
        <f>IF($A180&gt;=BegDate,VLOOKUP($A180,GasTable,13)+Assumptions!$C$58,0)</f>
        <v>3.6934258265272621</v>
      </c>
      <c r="GV180" s="1715">
        <f>GU180*Assumptions!$C$57/1000</f>
        <v>26.777337242322652</v>
      </c>
      <c r="GW180" s="625">
        <f>IF(Assumptions!$C$60="Hourly",MAX(0,GS180*(GT180-GV180)),GS180*(GT180-GV180))</f>
        <v>6959180.2405628571</v>
      </c>
      <c r="GX180" s="640">
        <f>IF($A180&gt;=BegDate,Assumptions!$C$56*24*($A181-$A180)*(1-VLOOKUP($B180,MAIN!$AA$7:$AM$28,$C180+1))*(1-VLOOKUP($B180,MAIN!$AA$33:$AM$54,$C180+1)),0)*16/168</f>
        <v>51548.571428571428</v>
      </c>
      <c r="GY180" s="1715">
        <f t="shared" si="509"/>
        <v>53.777814841225215</v>
      </c>
      <c r="GZ180" s="1715">
        <f>IF($A180&gt;=BegDate,VLOOKUP($A180,GasTable,13)+Assumptions!$C$58,0)</f>
        <v>3.6934258265272621</v>
      </c>
      <c r="HA180" s="1715">
        <f>GZ180*Assumptions!$C$57/1000</f>
        <v>26.777337242322652</v>
      </c>
      <c r="HB180" s="625">
        <f>IF(Assumptions!$C$60="Hourly",MAX(0,GX180*(GY180-HA180)),GX180*(GY180-HA180))</f>
        <v>1391836.0481125715</v>
      </c>
      <c r="HC180" s="640">
        <f>IF($A180&gt;=BegDate,Assumptions!$C$56*24*($A181-$A180)*(1-VLOOKUP($B180,MAIN!$AA$7:$AM$28,$C180+1))*(1-VLOOKUP($B180,MAIN!$AA$33:$AM$54,$C180+1)),0)*16/168</f>
        <v>51548.571428571428</v>
      </c>
      <c r="HD180" s="1715">
        <f t="shared" si="510"/>
        <v>31.981448642720064</v>
      </c>
      <c r="HE180" s="1715">
        <f>IF($A180&gt;=BegDate,VLOOKUP($A180,GasTable,13)+Assumptions!$C$58,0)</f>
        <v>3.6934258265272621</v>
      </c>
      <c r="HF180" s="1715">
        <f>HE180*Assumptions!$C$57/1000</f>
        <v>26.777337242322652</v>
      </c>
      <c r="HG180" s="625">
        <f>IF(Assumptions!$C$60="Hourly",MAX(0,HC180*(HD180-HF180)),HC180*(HD180-HF180))</f>
        <v>268264.50824562891</v>
      </c>
      <c r="HH180" s="640">
        <f>IF($A180&gt;=BegDate,Assumptions!$C$56*24*($A181-$A180)*(1-VLOOKUP($B180,MAIN!$AA$7:$AM$28,$C180+1))*(1-VLOOKUP($B180,MAIN!$AA$33:$AM$54,$C180+1)),0)*56/168</f>
        <v>180420</v>
      </c>
      <c r="HI180" s="1715">
        <f t="shared" si="511"/>
        <v>31.981448642720064</v>
      </c>
      <c r="HJ180" s="1715">
        <f>IF($A180&gt;=BegDate,VLOOKUP($A180,GasTable,13)+Assumptions!$C$58,0)</f>
        <v>3.6934258265272621</v>
      </c>
      <c r="HK180" s="1715">
        <f>HJ180*Assumptions!$C$57/1000</f>
        <v>26.777337242322652</v>
      </c>
      <c r="HL180" s="625">
        <f>IF(Assumptions!$C$60="Hourly",MAX(0,HH180*(HI180-HK180)),HH180*(HI180-HK180))</f>
        <v>938925.77885970112</v>
      </c>
      <c r="HM180" s="640">
        <f>IF(AND(Assumptions!$H$71="Yes",A180&gt;=Assumptions!$H$72,A180&lt;=Assumptions!$H$73),Assumptions!$H$74*Assumptions!$C$9*1000,0)</f>
        <v>0</v>
      </c>
      <c r="HN180" s="530"/>
      <c r="HO180" s="545"/>
      <c r="HP180" s="545"/>
      <c r="HQ180" s="545"/>
      <c r="HR180" s="545"/>
      <c r="HS180" s="545"/>
      <c r="HT180" s="545"/>
      <c r="HU180" s="545"/>
      <c r="HV180" s="545"/>
      <c r="HW180" s="545"/>
      <c r="HX180" s="545"/>
      <c r="HY180" s="545"/>
      <c r="HZ180" s="545"/>
      <c r="IA180" s="545"/>
      <c r="IB180" s="545"/>
      <c r="IC180" s="545"/>
      <c r="ID180" s="545"/>
      <c r="IE180" s="545"/>
      <c r="IF180" s="545"/>
      <c r="IG180" s="545"/>
      <c r="IH180" s="545"/>
      <c r="II180" s="1464"/>
      <c r="IJ180" s="1463"/>
      <c r="IK180" s="1463"/>
    </row>
    <row r="181" spans="1:245">
      <c r="A181" s="177">
        <f t="shared" si="466"/>
        <v>41640</v>
      </c>
      <c r="B181" s="349">
        <f t="shared" si="467"/>
        <v>2014</v>
      </c>
      <c r="C181" s="15">
        <f t="shared" si="523"/>
        <v>1</v>
      </c>
      <c r="D181" s="612">
        <f t="shared" si="468"/>
        <v>41640</v>
      </c>
      <c r="E181" s="609">
        <f t="shared" si="524"/>
        <v>41640</v>
      </c>
      <c r="F181" s="614">
        <f t="shared" si="525"/>
        <v>41670</v>
      </c>
      <c r="G181" s="1349">
        <v>0</v>
      </c>
      <c r="H181" s="152">
        <f t="shared" si="512"/>
        <v>1</v>
      </c>
      <c r="I181" s="154">
        <f>IF(Assumptions!$L$25=4,VLOOKUP($A181,'Henwood Reference'!$E$9:$R$320,10),(VLOOKUP($A181,PriceTable,2,0)+IF(BasisNumber&lt;&gt;1,VLOOKUP($A181,BasisTable,2,0),0)+I$1)/(1-I$2))</f>
        <v>55.178622653144721</v>
      </c>
      <c r="J181" s="154">
        <f>IF(Assumptions!$L$25=4,VLOOKUP($A181,'Henwood Reference'!$E$9:$R$320,10),(VLOOKUP($A181,PriceTable,3,0)+IF(BasisNumber&lt;&gt;1,VLOOKUP($A181,BasisTable,2,0),0)+J$1)/(1-J$2))</f>
        <v>55.178622653144721</v>
      </c>
      <c r="K181" s="154">
        <f>IF(Assumptions!$L$25=4,VLOOKUP($A181,'Henwood Reference'!$E$9:$R$320,10),(VLOOKUP($A181,PriceTable,4,0)+IF(BasisNumber&lt;&gt;1,VLOOKUP($A181,BasisTable,2,0),0)+K$1)/(1-K$2))</f>
        <v>55.178622653144721</v>
      </c>
      <c r="L181" s="474">
        <f>IF(Assumptions!$L$25=4,VLOOKUP($A181,'Henwood Reference'!$E$9:$R$320,10),(VLOOKUP($A181,PriceTableWeekend,2,0)+IF(BasisNumber&lt;&gt;1,VLOOKUP($A181,BasisTable,2,0),0)+L$1)/(1-L$2))</f>
        <v>55.178622653144721</v>
      </c>
      <c r="M181" s="154">
        <f>IF(Assumptions!$L$25=4,VLOOKUP($A181,'Henwood Reference'!$E$9:$R$320,10),(VLOOKUP($A181,PriceTableWeekend,3,0)+IF(BasisNumber&lt;&gt;1,VLOOKUP($A181,BasisTable,2,0),0)+M$1)/(1-M$2))</f>
        <v>55.178622653144721</v>
      </c>
      <c r="N181" s="156">
        <f>IF(Assumptions!$L$25=4,VLOOKUP($A181,'Henwood Reference'!$E$9:$R$320,10),(VLOOKUP($A181,PriceTableWeekend,4,0)+IF(BasisNumber&lt;&gt;1,VLOOKUP($A181,BasisTable,2,0),0)+N$1)/(1-N$2))</f>
        <v>55.178622653144721</v>
      </c>
      <c r="O181" s="154">
        <f>IF(Assumptions!$L$25=4,VLOOKUP($A181,'Henwood Reference'!$E$9:$R$320,11),(VLOOKUP($A181,PriceTableWeekend,6,0)+IF(BasisNumber&lt;&gt;1,VLOOKUP($A181,BasisTable,3,0),0)+O$1)/(1-O$2))</f>
        <v>31.261750593867099</v>
      </c>
      <c r="P181" s="154">
        <f>IF(Assumptions!$L$25=4,VLOOKUP($A181,'Henwood Reference'!$E$9:$R$320,11),(VLOOKUP($A181,PriceTableWeekend,7,0)+IF(BasisNumber&lt;&gt;1,VLOOKUP($A181,BasisTable,3,0),0)+P$1)/(1-P$2))</f>
        <v>31.261750593867099</v>
      </c>
      <c r="Q181" s="156">
        <f>IF(Assumptions!$L$25=4,VLOOKUP($A181,'Henwood Reference'!$E$9:$R$320,11),(VLOOKUP($A181,PriceTableWeekend,8,0)+IF(BasisNumber&lt;&gt;1,VLOOKUP($A181,BasisTable,3,0),0)+Q$1)/(1-Q$2))</f>
        <v>31.261750593867099</v>
      </c>
      <c r="R181" s="154">
        <f>IF(Assumptions!$L$25=4,VLOOKUP($A181,'Henwood Reference'!$E$9:$R$320,11),(VLOOKUP($A181,PriceTable,6,0)+IF(BasisNumber&lt;&gt;1,VLOOKUP($A181,BasisTable,3,0),0)+R$1)/(1-R$2))</f>
        <v>31.261750593867099</v>
      </c>
      <c r="S181" s="154">
        <f>IF(Assumptions!$L$25=4,VLOOKUP($A181,'Henwood Reference'!$E$9:$R$320,11),(VLOOKUP($A181,PriceTable,7,0)+IF(BasisNumber&lt;&gt;1,VLOOKUP($A181,BasisTable,3,0),0)+S$1)/(1-S$2))</f>
        <v>31.261750593867099</v>
      </c>
      <c r="T181" s="155">
        <f>IF(Assumptions!$L$25=4,VLOOKUP($A181,'Henwood Reference'!$E$9:$R$320,11),(VLOOKUP($A181,PriceTable,8,0)+IF(BasisNumber&lt;&gt;1,VLOOKUP($A181,BasisTable,3,0),0)+T$1)/(1-T$2))</f>
        <v>31.261750593867099</v>
      </c>
      <c r="U181" s="173">
        <f t="shared" si="469"/>
        <v>9.9999999999999936E-2</v>
      </c>
      <c r="V181" s="173">
        <f t="shared" si="470"/>
        <v>0.11</v>
      </c>
      <c r="W181" s="174">
        <f t="shared" si="471"/>
        <v>0.12</v>
      </c>
      <c r="X181" s="173">
        <f t="shared" si="472"/>
        <v>9.9999999999999936E-2</v>
      </c>
      <c r="Y181" s="173">
        <f t="shared" si="473"/>
        <v>0.11</v>
      </c>
      <c r="Z181" s="174">
        <f t="shared" si="474"/>
        <v>0.12</v>
      </c>
      <c r="AA181" s="173">
        <f t="shared" si="475"/>
        <v>0.09</v>
      </c>
      <c r="AB181" s="173">
        <f t="shared" si="476"/>
        <v>0.11</v>
      </c>
      <c r="AC181" s="174">
        <f t="shared" si="477"/>
        <v>0.13</v>
      </c>
      <c r="AD181" s="173">
        <f t="shared" si="478"/>
        <v>0.09</v>
      </c>
      <c r="AE181" s="173">
        <f t="shared" si="479"/>
        <v>0.11</v>
      </c>
      <c r="AF181" s="174">
        <f t="shared" si="480"/>
        <v>0.13</v>
      </c>
      <c r="AG181" s="173">
        <f t="shared" si="481"/>
        <v>-0.25</v>
      </c>
      <c r="AH181" s="173">
        <f t="shared" si="482"/>
        <v>0.65</v>
      </c>
      <c r="AI181" s="174">
        <f t="shared" si="483"/>
        <v>0.25</v>
      </c>
      <c r="AJ181" s="173">
        <f t="shared" si="484"/>
        <v>-0.25</v>
      </c>
      <c r="AK181" s="173">
        <f t="shared" si="485"/>
        <v>0.65</v>
      </c>
      <c r="AL181" s="174">
        <f t="shared" si="486"/>
        <v>0.25</v>
      </c>
      <c r="AM181" s="173">
        <f t="shared" si="487"/>
        <v>-0.01</v>
      </c>
      <c r="AN181" s="173">
        <f t="shared" si="488"/>
        <v>0.16</v>
      </c>
      <c r="AO181" s="174">
        <f t="shared" si="489"/>
        <v>0.01</v>
      </c>
      <c r="AP181" s="173">
        <f t="shared" si="490"/>
        <v>-0.01</v>
      </c>
      <c r="AQ181" s="173">
        <f t="shared" si="491"/>
        <v>0.16</v>
      </c>
      <c r="AR181" s="175">
        <f t="shared" si="492"/>
        <v>0.01</v>
      </c>
      <c r="AS181" s="521">
        <f t="shared" si="528"/>
        <v>0.5</v>
      </c>
      <c r="AT181" s="349">
        <f t="shared" si="526"/>
        <v>22</v>
      </c>
      <c r="AU181" s="159">
        <f t="shared" si="411"/>
        <v>4</v>
      </c>
      <c r="AV181" s="159">
        <f t="shared" si="412"/>
        <v>4</v>
      </c>
      <c r="AW181" s="159">
        <f t="shared" si="529"/>
        <v>1</v>
      </c>
      <c r="AX181" s="15">
        <f t="shared" si="527"/>
        <v>31</v>
      </c>
      <c r="AY181" s="607">
        <f>IF(E181="",0,MIN((1-(1-VLOOKUP(B181,MAIN!$AA$7:$AM$28,C181+1))*(1-VLOOKUP(B181,MAIN!$AA$33:$AM$54,C181+1))),1))</f>
        <v>3.0000000000000027E-2</v>
      </c>
      <c r="AZ181" s="337">
        <v>51216</v>
      </c>
      <c r="BA181" s="509">
        <v>9312</v>
      </c>
      <c r="BB181" s="509">
        <v>11640</v>
      </c>
      <c r="BC181" s="511">
        <v>36084</v>
      </c>
      <c r="BD181" s="153">
        <v>0.96999999638646839</v>
      </c>
      <c r="BE181" s="474">
        <v>0.96999999638646839</v>
      </c>
      <c r="BF181" s="474">
        <v>0.96999999638646839</v>
      </c>
      <c r="BG181" s="515">
        <v>0.9699999927729368</v>
      </c>
      <c r="BH181" s="262">
        <v>204864</v>
      </c>
      <c r="BI181" s="509">
        <v>37248</v>
      </c>
      <c r="BJ181" s="509">
        <v>46560</v>
      </c>
      <c r="BK181" s="511">
        <v>144336</v>
      </c>
      <c r="BL181" s="153">
        <v>0.96999999638646839</v>
      </c>
      <c r="BM181" s="474">
        <v>0.96999999638646839</v>
      </c>
      <c r="BN181" s="474">
        <v>0.96999999638646839</v>
      </c>
      <c r="BO181" s="474">
        <v>0.9699999927729368</v>
      </c>
      <c r="BP181" s="261">
        <f t="shared" si="495"/>
        <v>72168</v>
      </c>
      <c r="BQ181" s="578">
        <f t="shared" si="496"/>
        <v>108252</v>
      </c>
      <c r="BR181" s="259">
        <f t="shared" si="497"/>
        <v>288672</v>
      </c>
      <c r="BS181" s="578">
        <f t="shared" si="498"/>
        <v>433008</v>
      </c>
      <c r="BT181" s="216">
        <f t="shared" si="499"/>
        <v>13.716632443531827</v>
      </c>
      <c r="BU181" s="218">
        <f t="shared" si="414"/>
        <v>55.178622447588332</v>
      </c>
      <c r="BV181" s="216">
        <f t="shared" si="415"/>
        <v>55.178622447588332</v>
      </c>
      <c r="BW181" s="216">
        <f t="shared" si="416"/>
        <v>31.261750477408</v>
      </c>
      <c r="BX181" s="216">
        <f t="shared" si="500"/>
        <v>31.261750360948906</v>
      </c>
      <c r="BY181" s="216">
        <f t="shared" si="417"/>
        <v>51.321062452397953</v>
      </c>
      <c r="BZ181" s="216">
        <f t="shared" si="418"/>
        <v>44.6346250885816</v>
      </c>
      <c r="CA181" s="264">
        <f t="shared" si="419"/>
        <v>55.178622447588332</v>
      </c>
      <c r="CB181" s="216">
        <f t="shared" si="420"/>
        <v>55.178622447588332</v>
      </c>
      <c r="CC181" s="216">
        <f t="shared" si="421"/>
        <v>31.261750477408</v>
      </c>
      <c r="CD181" s="216">
        <f t="shared" si="501"/>
        <v>31.261750360948906</v>
      </c>
      <c r="CE181" s="216">
        <f t="shared" si="422"/>
        <v>51.321062452397953</v>
      </c>
      <c r="CF181" s="571">
        <f t="shared" si="423"/>
        <v>44.6346250885816</v>
      </c>
      <c r="CG181" s="573">
        <f t="shared" si="424"/>
        <v>0.11</v>
      </c>
      <c r="CH181" s="219">
        <f t="shared" si="425"/>
        <v>0.11</v>
      </c>
      <c r="CI181" s="219">
        <f t="shared" si="426"/>
        <v>0.11</v>
      </c>
      <c r="CJ181" s="219">
        <f t="shared" si="427"/>
        <v>0.10999999999999997</v>
      </c>
      <c r="CK181" s="219">
        <f t="shared" si="428"/>
        <v>0.10999999999999997</v>
      </c>
      <c r="CL181" s="219">
        <f t="shared" si="429"/>
        <v>0.11</v>
      </c>
      <c r="CM181" s="219">
        <f t="shared" si="430"/>
        <v>9.9959117043124629E-2</v>
      </c>
      <c r="CN181" s="569">
        <f t="shared" si="431"/>
        <v>9.9959117043124629E-2</v>
      </c>
      <c r="CO181" s="264">
        <f t="shared" si="514"/>
        <v>25.661505494179274</v>
      </c>
      <c r="CP181" s="216">
        <f t="shared" si="502"/>
        <v>25.661505494179274</v>
      </c>
      <c r="CQ181" s="216">
        <f t="shared" ca="1" si="361"/>
        <v>25.661505494179274</v>
      </c>
      <c r="CR181" s="216">
        <f t="shared" ca="1" si="362"/>
        <v>25.661505494179274</v>
      </c>
      <c r="CS181" s="1626">
        <f t="shared" ca="1" si="363"/>
        <v>25.661505494179274</v>
      </c>
      <c r="CT181" s="216">
        <f t="shared" si="503"/>
        <v>25.661505494179274</v>
      </c>
      <c r="CU181" s="575">
        <f t="shared" si="432"/>
        <v>0.155</v>
      </c>
      <c r="CV181" s="154">
        <f t="shared" si="433"/>
        <v>0.5</v>
      </c>
      <c r="CW181" s="216">
        <f>IF(OR($BQ181,$BS181),SpreadOptPowerMargin,0)*((1+Assumptions!$C$26)^($B181-YEAR(Assumptions!$C$17)))</f>
        <v>2.2380737551103738</v>
      </c>
      <c r="CX181" s="216">
        <f>IF(OR($BQ181,$BS181),SpreadOptPowerMargin,0)*((1+Assumptions!$C$26)^($B181-YEAR(Assumptions!$C$17)))</f>
        <v>2.2380737551103738</v>
      </c>
      <c r="CY181" s="216">
        <f>IF(OR($BQ181,$BS181),SpreadOptPowerMargin,0)*((1+Assumptions!$C$26)^($B181-YEAR(Assumptions!$C$17)))</f>
        <v>2.2380737551103738</v>
      </c>
      <c r="CZ181" s="216">
        <f>IF(OR($BQ181,$BS181),SpreadOptPowerMargin,0)*((1+Assumptions!$C$26)^($B181-YEAR(Assumptions!$C$17)))</f>
        <v>2.2380737551103738</v>
      </c>
      <c r="DA181" s="440">
        <f t="shared" si="434"/>
        <v>2.2380737551103733</v>
      </c>
      <c r="DB181" s="479">
        <f t="shared" si="435"/>
        <v>0.11</v>
      </c>
      <c r="DC181" s="479">
        <f t="shared" si="436"/>
        <v>0.11</v>
      </c>
      <c r="DD181" s="479">
        <f t="shared" si="437"/>
        <v>0.11</v>
      </c>
      <c r="DE181" s="479">
        <f t="shared" si="438"/>
        <v>0.11</v>
      </c>
      <c r="DF181" s="479">
        <f t="shared" si="439"/>
        <v>9.9959117043124629E-2</v>
      </c>
      <c r="DG181" s="574">
        <f t="shared" si="440"/>
        <v>9.9959117043124629E-2</v>
      </c>
      <c r="DH181" s="216">
        <f t="shared" si="441"/>
        <v>27.956819894525619</v>
      </c>
      <c r="DI181" s="216">
        <f t="shared" si="442"/>
        <v>27.956819894525619</v>
      </c>
      <c r="DJ181" s="216">
        <f t="shared" ca="1" si="364"/>
        <v>7.4445166153963109</v>
      </c>
      <c r="DK181" s="216">
        <f t="shared" ca="1" si="365"/>
        <v>7.4445165353506857</v>
      </c>
      <c r="DL181" s="216">
        <f t="shared" ca="1" si="366"/>
        <v>18.132677478068683</v>
      </c>
      <c r="DM181" s="216"/>
      <c r="DN181" s="216"/>
      <c r="DO181" s="216"/>
      <c r="DP181" s="216"/>
      <c r="DQ181" s="216"/>
      <c r="DR181" s="216"/>
      <c r="DS181" s="216"/>
      <c r="DT181" s="216"/>
      <c r="DU181" s="216"/>
      <c r="DV181" s="216"/>
      <c r="DW181" s="1371">
        <f t="shared" si="443"/>
        <v>7.4445166153963109</v>
      </c>
      <c r="DX181" s="216">
        <f t="shared" si="444"/>
        <v>7.4445165353506857</v>
      </c>
      <c r="DY181" s="440">
        <f t="shared" si="445"/>
        <v>18.913761432958779</v>
      </c>
      <c r="DZ181" s="180">
        <f t="shared" si="446"/>
        <v>1431836.4877180241</v>
      </c>
      <c r="EA181" s="180">
        <f t="shared" si="447"/>
        <v>260333.90685782256</v>
      </c>
      <c r="EB181" s="180">
        <f t="shared" ca="1" si="367"/>
        <v>86654.173403213063</v>
      </c>
      <c r="EC181" s="180">
        <f t="shared" ca="1" si="368"/>
        <v>268627.93466159416</v>
      </c>
      <c r="ED181" s="180">
        <f t="shared" ca="1" si="369"/>
        <v>1962898.6023558911</v>
      </c>
      <c r="EE181" s="581">
        <f t="shared" si="448"/>
        <v>1397123.4764440653</v>
      </c>
      <c r="EF181" s="554">
        <f t="shared" si="449"/>
        <v>254022.45026255734</v>
      </c>
      <c r="EG181" s="554">
        <f t="shared" ca="1" si="370"/>
        <v>39135.673095297629</v>
      </c>
      <c r="EH181" s="554">
        <f t="shared" ca="1" si="371"/>
        <v>121320.58239311267</v>
      </c>
      <c r="EI181" s="561">
        <f t="shared" ca="1" si="450"/>
        <v>1811602.1821950325</v>
      </c>
      <c r="EJ181" s="581">
        <f t="shared" si="504"/>
        <v>34713.01127395872</v>
      </c>
      <c r="EK181" s="554">
        <f t="shared" si="505"/>
        <v>6311.4565952652192</v>
      </c>
      <c r="EL181" s="554">
        <f t="shared" ca="1" si="372"/>
        <v>47518.500307915434</v>
      </c>
      <c r="EM181" s="554">
        <f t="shared" ca="1" si="373"/>
        <v>147307.35226848151</v>
      </c>
      <c r="EN181" s="561">
        <f t="shared" ca="1" si="374"/>
        <v>151296.42016085866</v>
      </c>
      <c r="EO181" s="180">
        <f t="shared" si="451"/>
        <v>5727345.9508720962</v>
      </c>
      <c r="EP181" s="180">
        <f t="shared" si="452"/>
        <v>1041335.6274312902</v>
      </c>
      <c r="EQ181" s="180">
        <f t="shared" si="453"/>
        <v>346616.69361285225</v>
      </c>
      <c r="ER181" s="180">
        <f t="shared" si="454"/>
        <v>1074511.7386463766</v>
      </c>
      <c r="ES181" s="180">
        <f t="shared" si="455"/>
        <v>8189810.0105626155</v>
      </c>
      <c r="ET181" s="1482">
        <f t="shared" ca="1" si="375"/>
        <v>5588493.9057762614</v>
      </c>
      <c r="EU181" s="180">
        <f t="shared" ca="1" si="376"/>
        <v>1016089.8010502293</v>
      </c>
      <c r="EV181" s="180">
        <f t="shared" ca="1" si="377"/>
        <v>156542.69238119051</v>
      </c>
      <c r="EW181" s="180">
        <f t="shared" ca="1" si="378"/>
        <v>485282.32957245066</v>
      </c>
      <c r="EX181" s="555">
        <f t="shared" ca="1" si="522"/>
        <v>7246408.7287801309</v>
      </c>
      <c r="EY181" s="180">
        <f t="shared" ca="1" si="379"/>
        <v>138852.04509583488</v>
      </c>
      <c r="EZ181" s="180">
        <f t="shared" ca="1" si="380"/>
        <v>25245.826381060877</v>
      </c>
      <c r="FA181" s="180">
        <f t="shared" ca="1" si="381"/>
        <v>190074.00123166174</v>
      </c>
      <c r="FB181" s="180">
        <f t="shared" ca="1" si="382"/>
        <v>589229.40907392604</v>
      </c>
      <c r="FC181" s="180">
        <f t="shared" ca="1" si="383"/>
        <v>943401.28178248461</v>
      </c>
      <c r="FD181" s="262">
        <f>IF(AX181,IF(VLOOKUP(C181,MAIN!$L$17:$M$28,2)="Yes",VLOOKUP(CALC!B181,MAIN!$H$17:$I$20,2),0),0)</f>
        <v>0</v>
      </c>
      <c r="FE181" s="623">
        <f t="shared" si="456"/>
        <v>0</v>
      </c>
      <c r="FF181" s="535">
        <f t="shared" si="457"/>
        <v>0</v>
      </c>
      <c r="FG181" s="535">
        <f t="shared" si="458"/>
        <v>0</v>
      </c>
      <c r="FH181" s="624">
        <f t="shared" si="459"/>
        <v>0</v>
      </c>
      <c r="FI181" s="632">
        <f>IF(AX181,VLOOKUP(CALC!B181,MAIN!$H$17:$K$20,4),0)</f>
        <v>0</v>
      </c>
      <c r="FJ181" s="535">
        <f t="shared" si="460"/>
        <v>0</v>
      </c>
      <c r="FK181" s="648">
        <f t="shared" si="506"/>
        <v>0</v>
      </c>
      <c r="FL181" s="530">
        <f t="shared" ca="1" si="384"/>
        <v>0</v>
      </c>
      <c r="FM181" s="530">
        <f t="shared" ca="1" si="385"/>
        <v>0</v>
      </c>
      <c r="FN181" s="530">
        <f t="shared" ca="1" si="386"/>
        <v>0</v>
      </c>
      <c r="FO181" s="622">
        <f t="shared" ca="1" si="387"/>
        <v>0</v>
      </c>
      <c r="FP181" s="530">
        <f t="shared" ca="1" si="388"/>
        <v>0</v>
      </c>
      <c r="FQ181" s="530">
        <f t="shared" ca="1" si="389"/>
        <v>0</v>
      </c>
      <c r="FR181" s="530">
        <f t="shared" ca="1" si="390"/>
        <v>0</v>
      </c>
      <c r="FS181" s="625">
        <f t="shared" ca="1" si="391"/>
        <v>0</v>
      </c>
      <c r="FT181" s="640">
        <f ca="1">IF(AND(Assumptions!$H$71="Yes",A181&gt;=Assumptions!$H$72,A181&lt;=Assumptions!$H$73),0,IF(AND($A181&gt;=Assumptions!$C$17,$A181&lt;=Assumptions!$C$18),MAX(AZ181*(1+VLOOKUP($C181,WeatherCapacityAdjustment,2))-FL181,0),0))</f>
        <v>51216</v>
      </c>
      <c r="FU181" s="530">
        <f ca="1">IF(AND(Assumptions!$H$71="Yes",A181&gt;=Assumptions!$H$72,A181&lt;=Assumptions!$H$73),0,IF(AND($A181&gt;=Assumptions!$C$17,$A181&lt;=Assumptions!$C$18),MAX(BA181*(1+VLOOKUP($C181,WeatherCapacityAdjustment,2))-FM181,0),0))</f>
        <v>9312</v>
      </c>
      <c r="FV181" s="530">
        <f ca="1">IF(AND(Assumptions!$H$71="Yes",A181&gt;=Assumptions!$H$72,A181&lt;=Assumptions!$H$73),0,IF(AND($A181&gt;=Assumptions!$C$17,$A181&lt;=Assumptions!$C$18),MAX(BB181*(1+VLOOKUP($C181,WeatherCapacityAdjustment,2))-FN181,0),0))</f>
        <v>11640</v>
      </c>
      <c r="FW181" s="622">
        <f ca="1">IF(AND(Assumptions!$H$71="Yes",A181&gt;=Assumptions!$H$72,A181&lt;=Assumptions!$H$73),0,IF(AND($A181&gt;=Assumptions!$C$17,$A181&lt;=Assumptions!$C$18),MAX(BC181*(1+VLOOKUP($C181,WeatherCapacityAdjustment,3))-FO181,0),0))</f>
        <v>36084</v>
      </c>
      <c r="FX181" s="621">
        <f ca="1">IF(AND(Assumptions!$H$71="Yes",A181&gt;=Assumptions!$H$72,A181&lt;=Assumptions!$H$73),0,IF(ET181&gt;0,MAX(BH181*(1+VLOOKUP($C181,WeatherCapacityAdjustment,2))-FP181,0),0))</f>
        <v>204864</v>
      </c>
      <c r="FY181" s="530">
        <f ca="1">IF(AND(Assumptions!$H$71="Yes",A181&gt;=Assumptions!$H$72,A181&lt;=Assumptions!$H$73),0,IF(EU181&gt;0,MAX(BI181*(1+VLOOKUP($C181,WeatherCapacityAdjustment,3))-FQ181,0),0))</f>
        <v>37248</v>
      </c>
      <c r="FZ181" s="530">
        <f ca="1">IF(AND(Assumptions!$H$71="Yes",A181&gt;=Assumptions!$H$72,A181&lt;=Assumptions!$H$73),0,IF(EV181&gt;0,MAX(BJ181*(1+VLOOKUP($C181,WeatherCapacityAdjustment,2))-FR181,0),0))</f>
        <v>46560</v>
      </c>
      <c r="GA181" s="622">
        <f ca="1">IF(AND(Assumptions!$H$71="Yes",A181&gt;=Assumptions!$H$72,A181&lt;=Assumptions!$H$73),0,IF(EW181&gt;0,MAX(BK181*(1+VLOOKUP($C181,WeatherCapacityAdjustment,2))-FS181,0),0))</f>
        <v>144336</v>
      </c>
      <c r="GB181" s="530">
        <f t="shared" ca="1" si="461"/>
        <v>541260</v>
      </c>
      <c r="GC181" s="545">
        <f t="shared" ca="1" si="462"/>
        <v>44.6346250885816</v>
      </c>
      <c r="GD181" s="530">
        <f t="shared" ca="1" si="392"/>
        <v>24158937.175445676</v>
      </c>
      <c r="GE181" s="1485">
        <f t="shared" ca="1" si="393"/>
        <v>775586.60927999998</v>
      </c>
      <c r="GF181" s="1776">
        <f t="shared" ca="1" si="394"/>
        <v>3102346.4371199999</v>
      </c>
      <c r="GG181" s="545">
        <f t="shared" si="530"/>
        <v>3.5816880532977615</v>
      </c>
      <c r="GH181" s="622">
        <f t="shared" ca="1" si="531"/>
        <v>13889546.463779474</v>
      </c>
      <c r="GI181" s="621">
        <f t="shared" ca="1" si="507"/>
        <v>541260</v>
      </c>
      <c r="GJ181" s="638">
        <f t="shared" si="463"/>
        <v>2.2380737551103733</v>
      </c>
      <c r="GK181" s="625">
        <f t="shared" ca="1" si="513"/>
        <v>1211379.8006910407</v>
      </c>
      <c r="GL181" s="640">
        <f t="shared" ca="1" si="395"/>
        <v>0</v>
      </c>
      <c r="GM181" s="530">
        <f t="shared" ca="1" si="396"/>
        <v>0</v>
      </c>
      <c r="GN181" s="530">
        <f t="shared" ca="1" si="397"/>
        <v>0</v>
      </c>
      <c r="GO181" s="622">
        <f t="shared" ca="1" si="398"/>
        <v>0</v>
      </c>
      <c r="GP181" s="530">
        <f t="shared" ca="1" si="464"/>
        <v>0</v>
      </c>
      <c r="GQ181" s="545">
        <f t="shared" ca="1" si="465"/>
        <v>0</v>
      </c>
      <c r="GR181" s="625">
        <f t="shared" ca="1" si="399"/>
        <v>0</v>
      </c>
      <c r="GS181" s="640">
        <f>IF($A181&gt;=BegDate,Assumptions!$C$56*24*($A182-$A181)*(1-VLOOKUP($B181,MAIN!$AA$7:$AM$28,$C181+1))*(1-VLOOKUP($B181,MAIN!$AA$33:$AM$54,$C181+1)),0)*80/168</f>
        <v>257742.85714285713</v>
      </c>
      <c r="GT181" s="1715">
        <f t="shared" si="508"/>
        <v>55.178622653144721</v>
      </c>
      <c r="GU181" s="1715">
        <f>IF($A181&gt;=BegDate,VLOOKUP($A181,GasTable,13)+Assumptions!$C$58,0)</f>
        <v>3.5816880532977615</v>
      </c>
      <c r="GV181" s="1715">
        <f>GU181*Assumptions!$C$57/1000</f>
        <v>25.96723838640877</v>
      </c>
      <c r="GW181" s="625">
        <f>IF(Assumptions!$C$60="Hourly",MAX(0,GS181*(GT181-GV181)),GS181*(GT181-GV181))</f>
        <v>7529025.6420064289</v>
      </c>
      <c r="GX181" s="640">
        <f>IF($A181&gt;=BegDate,Assumptions!$C$56*24*($A182-$A181)*(1-VLOOKUP($B181,MAIN!$AA$7:$AM$28,$C181+1))*(1-VLOOKUP($B181,MAIN!$AA$33:$AM$54,$C181+1)),0)*16/168</f>
        <v>51548.571428571428</v>
      </c>
      <c r="GY181" s="1715">
        <f t="shared" si="509"/>
        <v>55.178622653144721</v>
      </c>
      <c r="GZ181" s="1715">
        <f>IF($A181&gt;=BegDate,VLOOKUP($A181,GasTable,13)+Assumptions!$C$58,0)</f>
        <v>3.5816880532977615</v>
      </c>
      <c r="HA181" s="1715">
        <f>GZ181*Assumptions!$C$57/1000</f>
        <v>25.96723838640877</v>
      </c>
      <c r="HB181" s="625">
        <f>IF(Assumptions!$C$60="Hourly",MAX(0,GX181*(GY181-HA181)),GX181*(GY181-HA181))</f>
        <v>1505805.1284012857</v>
      </c>
      <c r="HC181" s="640">
        <f>IF($A181&gt;=BegDate,Assumptions!$C$56*24*($A182-$A181)*(1-VLOOKUP($B181,MAIN!$AA$7:$AM$28,$C181+1))*(1-VLOOKUP($B181,MAIN!$AA$33:$AM$54,$C181+1)),0)*16/168</f>
        <v>51548.571428571428</v>
      </c>
      <c r="HD181" s="1715">
        <f t="shared" si="510"/>
        <v>31.261750593867099</v>
      </c>
      <c r="HE181" s="1715">
        <f>IF($A181&gt;=BegDate,VLOOKUP($A181,GasTable,13)+Assumptions!$C$58,0)</f>
        <v>3.5816880532977615</v>
      </c>
      <c r="HF181" s="1715">
        <f>HE181*Assumptions!$C$57/1000</f>
        <v>25.96723838640877</v>
      </c>
      <c r="HG181" s="625">
        <f>IF(Assumptions!$C$60="Hourly",MAX(0,HC181*(HD181-HF181)),HC181*(HD181-HF181))</f>
        <v>272924.54070560908</v>
      </c>
      <c r="HH181" s="640">
        <f>IF($A181&gt;=BegDate,Assumptions!$C$56*24*($A182-$A181)*(1-VLOOKUP($B181,MAIN!$AA$7:$AM$28,$C181+1))*(1-VLOOKUP($B181,MAIN!$AA$33:$AM$54,$C181+1)),0)*56/168</f>
        <v>180420</v>
      </c>
      <c r="HI181" s="1715">
        <f t="shared" si="511"/>
        <v>31.261750593867099</v>
      </c>
      <c r="HJ181" s="1715">
        <f>IF($A181&gt;=BegDate,VLOOKUP($A181,GasTable,13)+Assumptions!$C$58,0)</f>
        <v>3.5816880532977615</v>
      </c>
      <c r="HK181" s="1715">
        <f>HJ181*Assumptions!$C$57/1000</f>
        <v>25.96723838640877</v>
      </c>
      <c r="HL181" s="625">
        <f>IF(Assumptions!$C$60="Hourly",MAX(0,HH181*(HI181-HK181)),HH181*(HI181-HK181))</f>
        <v>955235.89246963174</v>
      </c>
      <c r="HM181" s="640">
        <f>IF(AND(Assumptions!$H$71="Yes",A181&gt;=Assumptions!$H$72,A181&lt;=Assumptions!$H$73),Assumptions!$H$74*Assumptions!$C$9*1000,0)</f>
        <v>0</v>
      </c>
      <c r="HN181" s="530"/>
      <c r="HO181" s="545"/>
      <c r="HP181" s="545"/>
      <c r="HQ181" s="545"/>
      <c r="HR181" s="545"/>
      <c r="HS181" s="545"/>
      <c r="HT181" s="545"/>
      <c r="HU181" s="545"/>
      <c r="HV181" s="545"/>
      <c r="HW181" s="545"/>
      <c r="HX181" s="545"/>
      <c r="HY181" s="545"/>
      <c r="HZ181" s="545"/>
      <c r="IA181" s="545"/>
      <c r="IB181" s="545"/>
      <c r="IC181" s="545"/>
      <c r="ID181" s="545"/>
      <c r="IE181" s="545"/>
      <c r="IF181" s="545"/>
      <c r="IG181" s="545"/>
      <c r="IH181" s="545"/>
      <c r="II181" s="1464"/>
      <c r="IJ181" s="1463"/>
      <c r="IK181" s="1463"/>
    </row>
    <row r="182" spans="1:245">
      <c r="A182" s="177">
        <f t="shared" si="466"/>
        <v>41671</v>
      </c>
      <c r="B182" s="349">
        <f t="shared" si="467"/>
        <v>2014</v>
      </c>
      <c r="C182" s="15">
        <f t="shared" si="523"/>
        <v>2</v>
      </c>
      <c r="D182" s="612" t="str">
        <f t="shared" si="468"/>
        <v/>
      </c>
      <c r="E182" s="609">
        <f t="shared" si="524"/>
        <v>41671</v>
      </c>
      <c r="F182" s="614">
        <f t="shared" si="525"/>
        <v>41698</v>
      </c>
      <c r="G182" s="1349">
        <v>0</v>
      </c>
      <c r="H182" s="152">
        <f t="shared" si="512"/>
        <v>1</v>
      </c>
      <c r="I182" s="154">
        <f>IF(Assumptions!$L$25=4,VLOOKUP($A182,'Henwood Reference'!$E$9:$R$320,10),(VLOOKUP($A182,PriceTable,2,0)+IF(BasisNumber&lt;&gt;1,VLOOKUP($A182,BasisTable,2,0),0)+I$1)/(1-I$2))</f>
        <v>50.758368796884099</v>
      </c>
      <c r="J182" s="154">
        <f>IF(Assumptions!$L$25=4,VLOOKUP($A182,'Henwood Reference'!$E$9:$R$320,10),(VLOOKUP($A182,PriceTable,3,0)+IF(BasisNumber&lt;&gt;1,VLOOKUP($A182,BasisTable,2,0),0)+J$1)/(1-J$2))</f>
        <v>50.758368796884099</v>
      </c>
      <c r="K182" s="154">
        <f>IF(Assumptions!$L$25=4,VLOOKUP($A182,'Henwood Reference'!$E$9:$R$320,10),(VLOOKUP($A182,PriceTable,4,0)+IF(BasisNumber&lt;&gt;1,VLOOKUP($A182,BasisTable,2,0),0)+K$1)/(1-K$2))</f>
        <v>50.758368796884099</v>
      </c>
      <c r="L182" s="474">
        <f>IF(Assumptions!$L$25=4,VLOOKUP($A182,'Henwood Reference'!$E$9:$R$320,10),(VLOOKUP($A182,PriceTableWeekend,2,0)+IF(BasisNumber&lt;&gt;1,VLOOKUP($A182,BasisTable,2,0),0)+L$1)/(1-L$2))</f>
        <v>50.758368796884099</v>
      </c>
      <c r="M182" s="154">
        <f>IF(Assumptions!$L$25=4,VLOOKUP($A182,'Henwood Reference'!$E$9:$R$320,10),(VLOOKUP($A182,PriceTableWeekend,3,0)+IF(BasisNumber&lt;&gt;1,VLOOKUP($A182,BasisTable,2,0),0)+M$1)/(1-M$2))</f>
        <v>50.758368796884099</v>
      </c>
      <c r="N182" s="156">
        <f>IF(Assumptions!$L$25=4,VLOOKUP($A182,'Henwood Reference'!$E$9:$R$320,10),(VLOOKUP($A182,PriceTableWeekend,4,0)+IF(BasisNumber&lt;&gt;1,VLOOKUP($A182,BasisTable,2,0),0)+N$1)/(1-N$2))</f>
        <v>50.758368796884099</v>
      </c>
      <c r="O182" s="154">
        <f>IF(Assumptions!$L$25=4,VLOOKUP($A182,'Henwood Reference'!$E$9:$R$320,11),(VLOOKUP($A182,PriceTableWeekend,6,0)+IF(BasisNumber&lt;&gt;1,VLOOKUP($A182,BasisTable,3,0),0)+O$1)/(1-O$2))</f>
        <v>28.799735169868082</v>
      </c>
      <c r="P182" s="154">
        <f>IF(Assumptions!$L$25=4,VLOOKUP($A182,'Henwood Reference'!$E$9:$R$320,11),(VLOOKUP($A182,PriceTableWeekend,7,0)+IF(BasisNumber&lt;&gt;1,VLOOKUP($A182,BasisTable,3,0),0)+P$1)/(1-P$2))</f>
        <v>28.799735169868082</v>
      </c>
      <c r="Q182" s="156">
        <f>IF(Assumptions!$L$25=4,VLOOKUP($A182,'Henwood Reference'!$E$9:$R$320,11),(VLOOKUP($A182,PriceTableWeekend,8,0)+IF(BasisNumber&lt;&gt;1,VLOOKUP($A182,BasisTable,3,0),0)+Q$1)/(1-Q$2))</f>
        <v>28.799735169868082</v>
      </c>
      <c r="R182" s="154">
        <f>IF(Assumptions!$L$25=4,VLOOKUP($A182,'Henwood Reference'!$E$9:$R$320,11),(VLOOKUP($A182,PriceTable,6,0)+IF(BasisNumber&lt;&gt;1,VLOOKUP($A182,BasisTable,3,0),0)+R$1)/(1-R$2))</f>
        <v>28.799735169868082</v>
      </c>
      <c r="S182" s="154">
        <f>IF(Assumptions!$L$25=4,VLOOKUP($A182,'Henwood Reference'!$E$9:$R$320,11),(VLOOKUP($A182,PriceTable,7,0)+IF(BasisNumber&lt;&gt;1,VLOOKUP($A182,BasisTable,3,0),0)+S$1)/(1-S$2))</f>
        <v>28.799735169868082</v>
      </c>
      <c r="T182" s="155">
        <f>IF(Assumptions!$L$25=4,VLOOKUP($A182,'Henwood Reference'!$E$9:$R$320,11),(VLOOKUP($A182,PriceTable,8,0)+IF(BasisNumber&lt;&gt;1,VLOOKUP($A182,BasisTable,3,0),0)+T$1)/(1-T$2))</f>
        <v>28.799735169868082</v>
      </c>
      <c r="U182" s="173">
        <f t="shared" si="469"/>
        <v>9.9999999999999936E-2</v>
      </c>
      <c r="V182" s="173">
        <f t="shared" si="470"/>
        <v>0.11</v>
      </c>
      <c r="W182" s="174">
        <f t="shared" si="471"/>
        <v>0.12</v>
      </c>
      <c r="X182" s="173">
        <f t="shared" si="472"/>
        <v>9.9999999999999936E-2</v>
      </c>
      <c r="Y182" s="173">
        <f t="shared" si="473"/>
        <v>0.11</v>
      </c>
      <c r="Z182" s="174">
        <f t="shared" si="474"/>
        <v>0.12</v>
      </c>
      <c r="AA182" s="173">
        <f t="shared" si="475"/>
        <v>0.09</v>
      </c>
      <c r="AB182" s="173">
        <f t="shared" si="476"/>
        <v>0.11</v>
      </c>
      <c r="AC182" s="174">
        <f t="shared" si="477"/>
        <v>0.13</v>
      </c>
      <c r="AD182" s="173">
        <f t="shared" si="478"/>
        <v>0.09</v>
      </c>
      <c r="AE182" s="173">
        <f t="shared" si="479"/>
        <v>0.11</v>
      </c>
      <c r="AF182" s="174">
        <f t="shared" si="480"/>
        <v>0.13</v>
      </c>
      <c r="AG182" s="173">
        <f t="shared" si="481"/>
        <v>-0.25</v>
      </c>
      <c r="AH182" s="173">
        <f t="shared" si="482"/>
        <v>0.65</v>
      </c>
      <c r="AI182" s="174">
        <f t="shared" si="483"/>
        <v>0.25</v>
      </c>
      <c r="AJ182" s="173">
        <f t="shared" si="484"/>
        <v>-0.25</v>
      </c>
      <c r="AK182" s="173">
        <f t="shared" si="485"/>
        <v>0.65</v>
      </c>
      <c r="AL182" s="174">
        <f t="shared" si="486"/>
        <v>0.25</v>
      </c>
      <c r="AM182" s="173">
        <f t="shared" si="487"/>
        <v>-0.01</v>
      </c>
      <c r="AN182" s="173">
        <f t="shared" si="488"/>
        <v>0.16</v>
      </c>
      <c r="AO182" s="174">
        <f t="shared" si="489"/>
        <v>0.01</v>
      </c>
      <c r="AP182" s="173">
        <f t="shared" si="490"/>
        <v>-0.01</v>
      </c>
      <c r="AQ182" s="173">
        <f t="shared" si="491"/>
        <v>0.16</v>
      </c>
      <c r="AR182" s="175">
        <f t="shared" si="492"/>
        <v>0.01</v>
      </c>
      <c r="AS182" s="521">
        <f t="shared" si="528"/>
        <v>0.5</v>
      </c>
      <c r="AT182" s="349">
        <f t="shared" si="526"/>
        <v>20</v>
      </c>
      <c r="AU182" s="159">
        <f t="shared" si="411"/>
        <v>4</v>
      </c>
      <c r="AV182" s="159">
        <f t="shared" si="412"/>
        <v>4</v>
      </c>
      <c r="AW182" s="159">
        <f t="shared" si="529"/>
        <v>0</v>
      </c>
      <c r="AX182" s="15">
        <f t="shared" si="527"/>
        <v>28</v>
      </c>
      <c r="AY182" s="607">
        <f>IF(E182="",0,MIN((1-(1-VLOOKUP(B182,MAIN!$AA$7:$AM$28,C182+1))*(1-VLOOKUP(B182,MAIN!$AA$33:$AM$54,C182+1))),1))</f>
        <v>3.0000000000000027E-2</v>
      </c>
      <c r="AZ182" s="337">
        <v>46560</v>
      </c>
      <c r="BA182" s="509">
        <v>9312</v>
      </c>
      <c r="BB182" s="509">
        <v>9312</v>
      </c>
      <c r="BC182" s="511">
        <v>32592</v>
      </c>
      <c r="BD182" s="153">
        <v>0.97</v>
      </c>
      <c r="BE182" s="474">
        <v>0.97</v>
      </c>
      <c r="BF182" s="474">
        <v>0.97</v>
      </c>
      <c r="BG182" s="515">
        <v>0.9699999927729368</v>
      </c>
      <c r="BH182" s="262">
        <v>186240</v>
      </c>
      <c r="BI182" s="509">
        <v>37248</v>
      </c>
      <c r="BJ182" s="509">
        <v>37248</v>
      </c>
      <c r="BK182" s="511">
        <v>130368</v>
      </c>
      <c r="BL182" s="153">
        <v>0.97</v>
      </c>
      <c r="BM182" s="474">
        <v>0.97</v>
      </c>
      <c r="BN182" s="474">
        <v>0.97</v>
      </c>
      <c r="BO182" s="474">
        <v>0.9699999927729368</v>
      </c>
      <c r="BP182" s="261">
        <f t="shared" si="495"/>
        <v>65184</v>
      </c>
      <c r="BQ182" s="578">
        <f t="shared" si="496"/>
        <v>97776</v>
      </c>
      <c r="BR182" s="259">
        <f t="shared" si="497"/>
        <v>260736</v>
      </c>
      <c r="BS182" s="578">
        <f t="shared" si="498"/>
        <v>391104</v>
      </c>
      <c r="BT182" s="216">
        <f t="shared" si="499"/>
        <v>13.801505817932922</v>
      </c>
      <c r="BU182" s="218">
        <f t="shared" si="414"/>
        <v>50.758368796884099</v>
      </c>
      <c r="BV182" s="216">
        <f t="shared" si="415"/>
        <v>50.758368796884099</v>
      </c>
      <c r="BW182" s="216">
        <f t="shared" si="416"/>
        <v>28.799735169868082</v>
      </c>
      <c r="BX182" s="216">
        <f t="shared" si="500"/>
        <v>28.799734955293335</v>
      </c>
      <c r="BY182" s="216">
        <f t="shared" si="417"/>
        <v>47.621421135881803</v>
      </c>
      <c r="BZ182" s="216">
        <f t="shared" si="418"/>
        <v>41.347525742352317</v>
      </c>
      <c r="CA182" s="264">
        <f t="shared" si="419"/>
        <v>50.758368796884099</v>
      </c>
      <c r="CB182" s="216">
        <f t="shared" si="420"/>
        <v>50.758368796884099</v>
      </c>
      <c r="CC182" s="216">
        <f t="shared" si="421"/>
        <v>28.799735169868082</v>
      </c>
      <c r="CD182" s="216">
        <f t="shared" si="501"/>
        <v>28.799734955293335</v>
      </c>
      <c r="CE182" s="216">
        <f t="shared" si="422"/>
        <v>47.621421135881803</v>
      </c>
      <c r="CF182" s="571">
        <f t="shared" si="423"/>
        <v>41.347525742352317</v>
      </c>
      <c r="CG182" s="573">
        <f t="shared" si="424"/>
        <v>0.11</v>
      </c>
      <c r="CH182" s="219">
        <f t="shared" si="425"/>
        <v>0.11</v>
      </c>
      <c r="CI182" s="219">
        <f t="shared" si="426"/>
        <v>0.11</v>
      </c>
      <c r="CJ182" s="219">
        <f t="shared" si="427"/>
        <v>0.10999999999999999</v>
      </c>
      <c r="CK182" s="219">
        <f t="shared" si="428"/>
        <v>0.10999999999999999</v>
      </c>
      <c r="CL182" s="219">
        <f t="shared" si="429"/>
        <v>0.11</v>
      </c>
      <c r="CM182" s="219">
        <f t="shared" si="430"/>
        <v>0.10000200345622709</v>
      </c>
      <c r="CN182" s="569">
        <f t="shared" si="431"/>
        <v>0.10000200345622709</v>
      </c>
      <c r="CO182" s="264">
        <f t="shared" si="514"/>
        <v>23.671316343708177</v>
      </c>
      <c r="CP182" s="216">
        <f t="shared" si="502"/>
        <v>23.671316343708177</v>
      </c>
      <c r="CQ182" s="216">
        <f t="shared" ca="1" si="361"/>
        <v>23.671316343708177</v>
      </c>
      <c r="CR182" s="216">
        <f t="shared" ca="1" si="362"/>
        <v>23.671316343708177</v>
      </c>
      <c r="CS182" s="1626">
        <f t="shared" ca="1" si="363"/>
        <v>23.671316343708177</v>
      </c>
      <c r="CT182" s="216">
        <f t="shared" si="503"/>
        <v>23.671316343708177</v>
      </c>
      <c r="CU182" s="575">
        <f t="shared" si="432"/>
        <v>0.154</v>
      </c>
      <c r="CV182" s="154">
        <f t="shared" si="433"/>
        <v>0.5</v>
      </c>
      <c r="CW182" s="216">
        <f>IF(OR($BQ182,$BS182),SpreadOptPowerMargin,0)*((1+Assumptions!$C$26)^($B182-YEAR(Assumptions!$C$17)))</f>
        <v>2.2380737551103738</v>
      </c>
      <c r="CX182" s="216">
        <f>IF(OR($BQ182,$BS182),SpreadOptPowerMargin,0)*((1+Assumptions!$C$26)^($B182-YEAR(Assumptions!$C$17)))</f>
        <v>2.2380737551103738</v>
      </c>
      <c r="CY182" s="216">
        <f>IF(OR($BQ182,$BS182),SpreadOptPowerMargin,0)*((1+Assumptions!$C$26)^($B182-YEAR(Assumptions!$C$17)))</f>
        <v>2.2380737551103738</v>
      </c>
      <c r="CZ182" s="216">
        <f>IF(OR($BQ182,$BS182),SpreadOptPowerMargin,0)*((1+Assumptions!$C$26)^($B182-YEAR(Assumptions!$C$17)))</f>
        <v>2.2380737551103738</v>
      </c>
      <c r="DA182" s="440">
        <f t="shared" si="434"/>
        <v>2.2380737551103738</v>
      </c>
      <c r="DB182" s="479">
        <f t="shared" si="435"/>
        <v>0.11</v>
      </c>
      <c r="DC182" s="479">
        <f t="shared" si="436"/>
        <v>0.11</v>
      </c>
      <c r="DD182" s="479">
        <f t="shared" si="437"/>
        <v>0.11</v>
      </c>
      <c r="DE182" s="479">
        <f t="shared" si="438"/>
        <v>0.11</v>
      </c>
      <c r="DF182" s="479">
        <f t="shared" si="439"/>
        <v>0.10000200345622709</v>
      </c>
      <c r="DG182" s="574">
        <f t="shared" si="440"/>
        <v>0.10000200345622709</v>
      </c>
      <c r="DH182" s="216">
        <f t="shared" si="441"/>
        <v>25.487155091545997</v>
      </c>
      <c r="DI182" s="216">
        <f t="shared" si="442"/>
        <v>25.487155091545997</v>
      </c>
      <c r="DJ182" s="216">
        <f t="shared" ca="1" si="364"/>
        <v>6.722113990355945</v>
      </c>
      <c r="DK182" s="216">
        <f t="shared" ca="1" si="365"/>
        <v>6.7221138441165165</v>
      </c>
      <c r="DL182" s="216">
        <f t="shared" ca="1" si="366"/>
        <v>16.721676768885811</v>
      </c>
      <c r="DM182" s="216"/>
      <c r="DN182" s="216"/>
      <c r="DO182" s="216"/>
      <c r="DP182" s="216"/>
      <c r="DQ182" s="216"/>
      <c r="DR182" s="216"/>
      <c r="DS182" s="216"/>
      <c r="DT182" s="216"/>
      <c r="DU182" s="216"/>
      <c r="DV182" s="216"/>
      <c r="DW182" s="1371">
        <f t="shared" si="443"/>
        <v>6.722113990355945</v>
      </c>
      <c r="DX182" s="216">
        <f t="shared" si="444"/>
        <v>6.7221138441165165</v>
      </c>
      <c r="DY182" s="440">
        <f t="shared" si="445"/>
        <v>17.444994570860928</v>
      </c>
      <c r="DZ182" s="180">
        <f t="shared" si="446"/>
        <v>1186681.9410623817</v>
      </c>
      <c r="EA182" s="180">
        <f t="shared" si="447"/>
        <v>237336.38821247633</v>
      </c>
      <c r="EB182" s="180">
        <f t="shared" ca="1" si="367"/>
        <v>62596.325478194558</v>
      </c>
      <c r="EC182" s="180">
        <f t="shared" ca="1" si="368"/>
        <v>219087.1344074455</v>
      </c>
      <c r="ED182" s="180">
        <f t="shared" ca="1" si="369"/>
        <v>1634978.6677545791</v>
      </c>
      <c r="EE182" s="581">
        <f t="shared" si="448"/>
        <v>1156968.4481819319</v>
      </c>
      <c r="EF182" s="554">
        <f t="shared" si="449"/>
        <v>231393.68963638638</v>
      </c>
      <c r="EG182" s="554">
        <f t="shared" ca="1" si="370"/>
        <v>26914.893301613229</v>
      </c>
      <c r="EH182" s="554">
        <f t="shared" ca="1" si="371"/>
        <v>94202.119562226144</v>
      </c>
      <c r="EI182" s="561">
        <f t="shared" ca="1" si="450"/>
        <v>1509479.1506821574</v>
      </c>
      <c r="EJ182" s="581">
        <f t="shared" si="504"/>
        <v>29713.492880449863</v>
      </c>
      <c r="EK182" s="554">
        <f t="shared" si="505"/>
        <v>5942.6985760899552</v>
      </c>
      <c r="EL182" s="554">
        <f t="shared" ca="1" si="372"/>
        <v>35681.432176581329</v>
      </c>
      <c r="EM182" s="554">
        <f t="shared" ca="1" si="373"/>
        <v>124885.01484521935</v>
      </c>
      <c r="EN182" s="561">
        <f t="shared" ca="1" si="374"/>
        <v>125499.51707242173</v>
      </c>
      <c r="EO182" s="180">
        <f t="shared" si="451"/>
        <v>4746727.7642495269</v>
      </c>
      <c r="EP182" s="180">
        <f t="shared" si="452"/>
        <v>949345.55284990533</v>
      </c>
      <c r="EQ182" s="180">
        <f t="shared" si="453"/>
        <v>250385.30191277823</v>
      </c>
      <c r="ER182" s="180">
        <f t="shared" si="454"/>
        <v>876348.53762978199</v>
      </c>
      <c r="ES182" s="180">
        <f t="shared" si="455"/>
        <v>6822807.1566419927</v>
      </c>
      <c r="ET182" s="1482">
        <f t="shared" ca="1" si="375"/>
        <v>4627873.7927277274</v>
      </c>
      <c r="EU182" s="180">
        <f t="shared" ca="1" si="376"/>
        <v>925574.75854554551</v>
      </c>
      <c r="EV182" s="180">
        <f t="shared" ca="1" si="377"/>
        <v>107659.57320645291</v>
      </c>
      <c r="EW182" s="180">
        <f t="shared" ca="1" si="378"/>
        <v>376808.47824890458</v>
      </c>
      <c r="EX182" s="555">
        <f t="shared" ca="1" si="522"/>
        <v>6037916.6027286304</v>
      </c>
      <c r="EY182" s="180">
        <f t="shared" ca="1" si="379"/>
        <v>118853.97152179945</v>
      </c>
      <c r="EZ182" s="180">
        <f t="shared" ca="1" si="380"/>
        <v>23770.794304359821</v>
      </c>
      <c r="FA182" s="180">
        <f t="shared" ca="1" si="381"/>
        <v>142725.72870632532</v>
      </c>
      <c r="FB182" s="180">
        <f t="shared" ca="1" si="382"/>
        <v>499540.05938087741</v>
      </c>
      <c r="FC182" s="180">
        <f t="shared" ca="1" si="383"/>
        <v>784890.55391336232</v>
      </c>
      <c r="FD182" s="262">
        <f>IF(AX182,IF(VLOOKUP(C182,MAIN!$L$17:$M$28,2)="Yes",VLOOKUP(CALC!B182,MAIN!$H$17:$I$20,2),0),0)</f>
        <v>0</v>
      </c>
      <c r="FE182" s="623">
        <f t="shared" si="456"/>
        <v>0</v>
      </c>
      <c r="FF182" s="535">
        <f t="shared" si="457"/>
        <v>0</v>
      </c>
      <c r="FG182" s="535">
        <f t="shared" si="458"/>
        <v>0</v>
      </c>
      <c r="FH182" s="624">
        <f t="shared" si="459"/>
        <v>0</v>
      </c>
      <c r="FI182" s="632">
        <f>IF(AX182,VLOOKUP(CALC!B182,MAIN!$H$17:$K$20,4),0)</f>
        <v>0</v>
      </c>
      <c r="FJ182" s="535">
        <f t="shared" si="460"/>
        <v>0</v>
      </c>
      <c r="FK182" s="648">
        <f t="shared" si="506"/>
        <v>0</v>
      </c>
      <c r="FL182" s="530">
        <f t="shared" ca="1" si="384"/>
        <v>0</v>
      </c>
      <c r="FM182" s="530">
        <f t="shared" ca="1" si="385"/>
        <v>0</v>
      </c>
      <c r="FN182" s="530">
        <f t="shared" ca="1" si="386"/>
        <v>0</v>
      </c>
      <c r="FO182" s="622">
        <f t="shared" ca="1" si="387"/>
        <v>0</v>
      </c>
      <c r="FP182" s="530">
        <f t="shared" ca="1" si="388"/>
        <v>0</v>
      </c>
      <c r="FQ182" s="530">
        <f t="shared" ca="1" si="389"/>
        <v>0</v>
      </c>
      <c r="FR182" s="530">
        <f t="shared" ca="1" si="390"/>
        <v>0</v>
      </c>
      <c r="FS182" s="625">
        <f t="shared" ca="1" si="391"/>
        <v>0</v>
      </c>
      <c r="FT182" s="640">
        <f ca="1">IF(AND(Assumptions!$H$71="Yes",A182&gt;=Assumptions!$H$72,A182&lt;=Assumptions!$H$73),0,IF(AND($A182&gt;=Assumptions!$C$17,$A182&lt;=Assumptions!$C$18),MAX(AZ182*(1+VLOOKUP($C182,WeatherCapacityAdjustment,2))-FL182,0),0))</f>
        <v>46560</v>
      </c>
      <c r="FU182" s="530">
        <f ca="1">IF(AND(Assumptions!$H$71="Yes",A182&gt;=Assumptions!$H$72,A182&lt;=Assumptions!$H$73),0,IF(AND($A182&gt;=Assumptions!$C$17,$A182&lt;=Assumptions!$C$18),MAX(BA182*(1+VLOOKUP($C182,WeatherCapacityAdjustment,2))-FM182,0),0))</f>
        <v>9312</v>
      </c>
      <c r="FV182" s="530">
        <f ca="1">IF(AND(Assumptions!$H$71="Yes",A182&gt;=Assumptions!$H$72,A182&lt;=Assumptions!$H$73),0,IF(AND($A182&gt;=Assumptions!$C$17,$A182&lt;=Assumptions!$C$18),MAX(BB182*(1+VLOOKUP($C182,WeatherCapacityAdjustment,2))-FN182,0),0))</f>
        <v>9312</v>
      </c>
      <c r="FW182" s="622">
        <f ca="1">IF(AND(Assumptions!$H$71="Yes",A182&gt;=Assumptions!$H$72,A182&lt;=Assumptions!$H$73),0,IF(AND($A182&gt;=Assumptions!$C$17,$A182&lt;=Assumptions!$C$18),MAX(BC182*(1+VLOOKUP($C182,WeatherCapacityAdjustment,3))-FO182,0),0))</f>
        <v>32592</v>
      </c>
      <c r="FX182" s="621">
        <f ca="1">IF(AND(Assumptions!$H$71="Yes",A182&gt;=Assumptions!$H$72,A182&lt;=Assumptions!$H$73),0,IF(ET182&gt;0,MAX(BH182*(1+VLOOKUP($C182,WeatherCapacityAdjustment,2))-FP182,0),0))</f>
        <v>186240</v>
      </c>
      <c r="FY182" s="530">
        <f ca="1">IF(AND(Assumptions!$H$71="Yes",A182&gt;=Assumptions!$H$72,A182&lt;=Assumptions!$H$73),0,IF(EU182&gt;0,MAX(BI182*(1+VLOOKUP($C182,WeatherCapacityAdjustment,3))-FQ182,0),0))</f>
        <v>37248</v>
      </c>
      <c r="FZ182" s="530">
        <f ca="1">IF(AND(Assumptions!$H$71="Yes",A182&gt;=Assumptions!$H$72,A182&lt;=Assumptions!$H$73),0,IF(EV182&gt;0,MAX(BJ182*(1+VLOOKUP($C182,WeatherCapacityAdjustment,2))-FR182,0),0))</f>
        <v>37248</v>
      </c>
      <c r="GA182" s="622">
        <f ca="1">IF(AND(Assumptions!$H$71="Yes",A182&gt;=Assumptions!$H$72,A182&lt;=Assumptions!$H$73),0,IF(EW182&gt;0,MAX(BK182*(1+VLOOKUP($C182,WeatherCapacityAdjustment,2))-FS182,0),0))</f>
        <v>130368</v>
      </c>
      <c r="GB182" s="530">
        <f t="shared" ca="1" si="461"/>
        <v>488880</v>
      </c>
      <c r="GC182" s="545">
        <f t="shared" ca="1" si="462"/>
        <v>41.347525742352317</v>
      </c>
      <c r="GD182" s="530">
        <f t="shared" ca="1" si="392"/>
        <v>20213978.384921201</v>
      </c>
      <c r="GE182" s="1485">
        <f t="shared" ca="1" si="393"/>
        <v>700817.30208000005</v>
      </c>
      <c r="GF182" s="1776">
        <f t="shared" ca="1" si="394"/>
        <v>2803269.2083200002</v>
      </c>
      <c r="GG182" s="545">
        <f t="shared" si="530"/>
        <v>3.3025534899796272</v>
      </c>
      <c r="GH182" s="622">
        <f t="shared" ca="1" si="531"/>
        <v>11572433.134112053</v>
      </c>
      <c r="GI182" s="621">
        <f t="shared" ca="1" si="507"/>
        <v>488880</v>
      </c>
      <c r="GJ182" s="638">
        <f t="shared" si="463"/>
        <v>2.2380737551103738</v>
      </c>
      <c r="GK182" s="625">
        <f t="shared" ca="1" si="513"/>
        <v>1094149.4973983595</v>
      </c>
      <c r="GL182" s="640">
        <f t="shared" ca="1" si="395"/>
        <v>0</v>
      </c>
      <c r="GM182" s="530">
        <f t="shared" ca="1" si="396"/>
        <v>0</v>
      </c>
      <c r="GN182" s="530">
        <f t="shared" ca="1" si="397"/>
        <v>0</v>
      </c>
      <c r="GO182" s="622">
        <f t="shared" ca="1" si="398"/>
        <v>0</v>
      </c>
      <c r="GP182" s="530">
        <f t="shared" ca="1" si="464"/>
        <v>0</v>
      </c>
      <c r="GQ182" s="545">
        <f t="shared" ca="1" si="465"/>
        <v>0</v>
      </c>
      <c r="GR182" s="625">
        <f t="shared" ca="1" si="399"/>
        <v>0</v>
      </c>
      <c r="GS182" s="640">
        <f>IF($A182&gt;=BegDate,Assumptions!$C$56*24*($A183-$A182)*(1-VLOOKUP($B182,MAIN!$AA$7:$AM$28,$C182+1))*(1-VLOOKUP($B182,MAIN!$AA$33:$AM$54,$C182+1)),0)*80/168</f>
        <v>232800</v>
      </c>
      <c r="GT182" s="1715">
        <f t="shared" si="508"/>
        <v>50.758368796884099</v>
      </c>
      <c r="GU182" s="1715">
        <f>IF($A182&gt;=BegDate,VLOOKUP($A182,GasTable,13)+Assumptions!$C$58,0)</f>
        <v>3.3025534899796272</v>
      </c>
      <c r="GV182" s="1715">
        <f>GU182*Assumptions!$C$57/1000</f>
        <v>23.943512802352295</v>
      </c>
      <c r="GW182" s="625">
        <f>IF(Assumptions!$C$60="Hourly",MAX(0,GS182*(GT182-GV182)),GS182*(GT182-GV182))</f>
        <v>6242498.4755270043</v>
      </c>
      <c r="GX182" s="640">
        <f>IF($A182&gt;=BegDate,Assumptions!$C$56*24*($A183-$A182)*(1-VLOOKUP($B182,MAIN!$AA$7:$AM$28,$C182+1))*(1-VLOOKUP($B182,MAIN!$AA$33:$AM$54,$C182+1)),0)*16/168</f>
        <v>46560</v>
      </c>
      <c r="GY182" s="1715">
        <f t="shared" si="509"/>
        <v>50.758368796884099</v>
      </c>
      <c r="GZ182" s="1715">
        <f>IF($A182&gt;=BegDate,VLOOKUP($A182,GasTable,13)+Assumptions!$C$58,0)</f>
        <v>3.3025534899796272</v>
      </c>
      <c r="HA182" s="1715">
        <f>GZ182*Assumptions!$C$57/1000</f>
        <v>23.943512802352295</v>
      </c>
      <c r="HB182" s="625">
        <f>IF(Assumptions!$C$60="Hourly",MAX(0,GX182*(GY182-HA182)),GX182*(GY182-HA182))</f>
        <v>1248499.6951054009</v>
      </c>
      <c r="HC182" s="640">
        <f>IF($A182&gt;=BegDate,Assumptions!$C$56*24*($A183-$A182)*(1-VLOOKUP($B182,MAIN!$AA$7:$AM$28,$C182+1))*(1-VLOOKUP($B182,MAIN!$AA$33:$AM$54,$C182+1)),0)*16/168</f>
        <v>46560</v>
      </c>
      <c r="HD182" s="1715">
        <f t="shared" si="510"/>
        <v>28.799735169868082</v>
      </c>
      <c r="HE182" s="1715">
        <f>IF($A182&gt;=BegDate,VLOOKUP($A182,GasTable,13)+Assumptions!$C$58,0)</f>
        <v>3.3025534899796272</v>
      </c>
      <c r="HF182" s="1715">
        <f>HE182*Assumptions!$C$57/1000</f>
        <v>23.943512802352295</v>
      </c>
      <c r="HG182" s="625">
        <f>IF(Assumptions!$C$60="Hourly",MAX(0,HC182*(HD182-HF182)),HC182*(HD182-HF182))</f>
        <v>226105.71343153506</v>
      </c>
      <c r="HH182" s="640">
        <f>IF($A182&gt;=BegDate,Assumptions!$C$56*24*($A183-$A182)*(1-VLOOKUP($B182,MAIN!$AA$7:$AM$28,$C182+1))*(1-VLOOKUP($B182,MAIN!$AA$33:$AM$54,$C182+1)),0)*56/168</f>
        <v>162960</v>
      </c>
      <c r="HI182" s="1715">
        <f t="shared" si="511"/>
        <v>28.799735169868082</v>
      </c>
      <c r="HJ182" s="1715">
        <f>IF($A182&gt;=BegDate,VLOOKUP($A182,GasTable,13)+Assumptions!$C$58,0)</f>
        <v>3.3025534899796272</v>
      </c>
      <c r="HK182" s="1715">
        <f>HJ182*Assumptions!$C$57/1000</f>
        <v>23.943512802352295</v>
      </c>
      <c r="HL182" s="625">
        <f>IF(Assumptions!$C$60="Hourly",MAX(0,HH182*(HI182-HK182)),HH182*(HI182-HK182))</f>
        <v>791369.9970103727</v>
      </c>
      <c r="HM182" s="640">
        <f>IF(AND(Assumptions!$H$71="Yes",A182&gt;=Assumptions!$H$72,A182&lt;=Assumptions!$H$73),Assumptions!$H$74*Assumptions!$C$9*1000,0)</f>
        <v>0</v>
      </c>
      <c r="HN182" s="530"/>
      <c r="HO182" s="545"/>
      <c r="HP182" s="545"/>
      <c r="HQ182" s="545"/>
      <c r="HR182" s="545"/>
      <c r="HS182" s="545"/>
      <c r="HT182" s="545"/>
      <c r="HU182" s="545"/>
      <c r="HV182" s="545"/>
      <c r="HW182" s="545"/>
      <c r="HX182" s="545"/>
      <c r="HY182" s="545"/>
      <c r="HZ182" s="545"/>
      <c r="IA182" s="545"/>
      <c r="IB182" s="545"/>
      <c r="IC182" s="545"/>
      <c r="ID182" s="545"/>
      <c r="IE182" s="545"/>
      <c r="IF182" s="545"/>
      <c r="IG182" s="545"/>
      <c r="IH182" s="545"/>
      <c r="II182" s="1464"/>
      <c r="IJ182" s="1463"/>
      <c r="IK182" s="1463"/>
    </row>
    <row r="183" spans="1:245">
      <c r="A183" s="177">
        <f t="shared" si="466"/>
        <v>41699</v>
      </c>
      <c r="B183" s="349">
        <f t="shared" si="467"/>
        <v>2014</v>
      </c>
      <c r="C183" s="15">
        <f t="shared" si="523"/>
        <v>3</v>
      </c>
      <c r="D183" s="612" t="str">
        <f t="shared" si="468"/>
        <v/>
      </c>
      <c r="E183" s="609">
        <f t="shared" si="524"/>
        <v>41699</v>
      </c>
      <c r="F183" s="614">
        <f t="shared" si="525"/>
        <v>41729</v>
      </c>
      <c r="G183" s="1349">
        <v>0</v>
      </c>
      <c r="H183" s="152">
        <f t="shared" si="512"/>
        <v>1</v>
      </c>
      <c r="I183" s="154">
        <f>IF(Assumptions!$L$25=4,VLOOKUP($A183,'Henwood Reference'!$E$9:$R$320,10),(VLOOKUP($A183,PriceTable,2,0)+IF(BasisNumber&lt;&gt;1,VLOOKUP($A183,BasisTable,2,0),0)+I$1)/(1-I$2))</f>
        <v>41.478474656262918</v>
      </c>
      <c r="J183" s="154">
        <f>IF(Assumptions!$L$25=4,VLOOKUP($A183,'Henwood Reference'!$E$9:$R$320,10),(VLOOKUP($A183,PriceTable,3,0)+IF(BasisNumber&lt;&gt;1,VLOOKUP($A183,BasisTable,2,0),0)+J$1)/(1-J$2))</f>
        <v>41.478474656262918</v>
      </c>
      <c r="K183" s="154">
        <f>IF(Assumptions!$L$25=4,VLOOKUP($A183,'Henwood Reference'!$E$9:$R$320,10),(VLOOKUP($A183,PriceTable,4,0)+IF(BasisNumber&lt;&gt;1,VLOOKUP($A183,BasisTable,2,0),0)+K$1)/(1-K$2))</f>
        <v>41.478474656262918</v>
      </c>
      <c r="L183" s="474">
        <f>IF(Assumptions!$L$25=4,VLOOKUP($A183,'Henwood Reference'!$E$9:$R$320,10),(VLOOKUP($A183,PriceTableWeekend,2,0)+IF(BasisNumber&lt;&gt;1,VLOOKUP($A183,BasisTable,2,0),0)+L$1)/(1-L$2))</f>
        <v>41.478474656262918</v>
      </c>
      <c r="M183" s="154">
        <f>IF(Assumptions!$L$25=4,VLOOKUP($A183,'Henwood Reference'!$E$9:$R$320,10),(VLOOKUP($A183,PriceTableWeekend,3,0)+IF(BasisNumber&lt;&gt;1,VLOOKUP($A183,BasisTable,2,0),0)+M$1)/(1-M$2))</f>
        <v>41.478474656262918</v>
      </c>
      <c r="N183" s="156">
        <f>IF(Assumptions!$L$25=4,VLOOKUP($A183,'Henwood Reference'!$E$9:$R$320,10),(VLOOKUP($A183,PriceTableWeekend,4,0)+IF(BasisNumber&lt;&gt;1,VLOOKUP($A183,BasisTable,2,0),0)+N$1)/(1-N$2))</f>
        <v>41.478474656262918</v>
      </c>
      <c r="O183" s="154">
        <f>IF(Assumptions!$L$25=4,VLOOKUP($A183,'Henwood Reference'!$E$9:$R$320,11),(VLOOKUP($A183,PriceTableWeekend,6,0)+IF(BasisNumber&lt;&gt;1,VLOOKUP($A183,BasisTable,3,0),0)+O$1)/(1-O$2))</f>
        <v>24.827972145172534</v>
      </c>
      <c r="P183" s="154">
        <f>IF(Assumptions!$L$25=4,VLOOKUP($A183,'Henwood Reference'!$E$9:$R$320,11),(VLOOKUP($A183,PriceTableWeekend,7,0)+IF(BasisNumber&lt;&gt;1,VLOOKUP($A183,BasisTable,3,0),0)+P$1)/(1-P$2))</f>
        <v>24.827972145172534</v>
      </c>
      <c r="Q183" s="156">
        <f>IF(Assumptions!$L$25=4,VLOOKUP($A183,'Henwood Reference'!$E$9:$R$320,11),(VLOOKUP($A183,PriceTableWeekend,8,0)+IF(BasisNumber&lt;&gt;1,VLOOKUP($A183,BasisTable,3,0),0)+Q$1)/(1-Q$2))</f>
        <v>24.827972145172534</v>
      </c>
      <c r="R183" s="154">
        <f>IF(Assumptions!$L$25=4,VLOOKUP($A183,'Henwood Reference'!$E$9:$R$320,11),(VLOOKUP($A183,PriceTable,6,0)+IF(BasisNumber&lt;&gt;1,VLOOKUP($A183,BasisTable,3,0),0)+R$1)/(1-R$2))</f>
        <v>24.827972145172534</v>
      </c>
      <c r="S183" s="154">
        <f>IF(Assumptions!$L$25=4,VLOOKUP($A183,'Henwood Reference'!$E$9:$R$320,11),(VLOOKUP($A183,PriceTable,7,0)+IF(BasisNumber&lt;&gt;1,VLOOKUP($A183,BasisTable,3,0),0)+S$1)/(1-S$2))</f>
        <v>24.827972145172534</v>
      </c>
      <c r="T183" s="155">
        <f>IF(Assumptions!$L$25=4,VLOOKUP($A183,'Henwood Reference'!$E$9:$R$320,11),(VLOOKUP($A183,PriceTable,8,0)+IF(BasisNumber&lt;&gt;1,VLOOKUP($A183,BasisTable,3,0),0)+T$1)/(1-T$2))</f>
        <v>24.827972145172534</v>
      </c>
      <c r="U183" s="173">
        <f t="shared" si="469"/>
        <v>9.9999999999999936E-2</v>
      </c>
      <c r="V183" s="173">
        <f t="shared" si="470"/>
        <v>0.11</v>
      </c>
      <c r="W183" s="174">
        <f t="shared" si="471"/>
        <v>0.12</v>
      </c>
      <c r="X183" s="173">
        <f t="shared" si="472"/>
        <v>9.9999999999999936E-2</v>
      </c>
      <c r="Y183" s="173">
        <f t="shared" si="473"/>
        <v>0.11</v>
      </c>
      <c r="Z183" s="174">
        <f t="shared" si="474"/>
        <v>0.12</v>
      </c>
      <c r="AA183" s="173">
        <f t="shared" si="475"/>
        <v>0.09</v>
      </c>
      <c r="AB183" s="173">
        <f t="shared" si="476"/>
        <v>0.11</v>
      </c>
      <c r="AC183" s="174">
        <f t="shared" si="477"/>
        <v>0.13</v>
      </c>
      <c r="AD183" s="173">
        <f t="shared" si="478"/>
        <v>0.09</v>
      </c>
      <c r="AE183" s="173">
        <f t="shared" si="479"/>
        <v>0.11</v>
      </c>
      <c r="AF183" s="174">
        <f t="shared" si="480"/>
        <v>0.13</v>
      </c>
      <c r="AG183" s="173">
        <f t="shared" si="481"/>
        <v>-0.1</v>
      </c>
      <c r="AH183" s="173">
        <f t="shared" si="482"/>
        <v>0.65</v>
      </c>
      <c r="AI183" s="174">
        <f t="shared" si="483"/>
        <v>0.1</v>
      </c>
      <c r="AJ183" s="173">
        <f t="shared" si="484"/>
        <v>-0.1</v>
      </c>
      <c r="AK183" s="173">
        <f t="shared" si="485"/>
        <v>0.65</v>
      </c>
      <c r="AL183" s="174">
        <f t="shared" si="486"/>
        <v>0.1</v>
      </c>
      <c r="AM183" s="173">
        <f t="shared" si="487"/>
        <v>-0.01</v>
      </c>
      <c r="AN183" s="173">
        <f t="shared" si="488"/>
        <v>0.16</v>
      </c>
      <c r="AO183" s="174">
        <f t="shared" si="489"/>
        <v>0.01</v>
      </c>
      <c r="AP183" s="173">
        <f t="shared" si="490"/>
        <v>-0.01</v>
      </c>
      <c r="AQ183" s="173">
        <f t="shared" si="491"/>
        <v>0.16</v>
      </c>
      <c r="AR183" s="175">
        <f t="shared" si="492"/>
        <v>0.01</v>
      </c>
      <c r="AS183" s="521">
        <f t="shared" si="528"/>
        <v>0.5</v>
      </c>
      <c r="AT183" s="349">
        <f t="shared" si="526"/>
        <v>21</v>
      </c>
      <c r="AU183" s="159">
        <f t="shared" si="411"/>
        <v>5</v>
      </c>
      <c r="AV183" s="159">
        <f t="shared" si="412"/>
        <v>5</v>
      </c>
      <c r="AW183" s="159">
        <f t="shared" si="529"/>
        <v>0</v>
      </c>
      <c r="AX183" s="15">
        <f t="shared" si="527"/>
        <v>31</v>
      </c>
      <c r="AY183" s="607">
        <f>IF(E183="",0,MIN((1-(1-VLOOKUP(B183,MAIN!$AA$7:$AM$28,C183+1))*(1-VLOOKUP(B183,MAIN!$AA$33:$AM$54,C183+1))),1))</f>
        <v>3.0000000000000027E-2</v>
      </c>
      <c r="AZ183" s="337">
        <v>48888</v>
      </c>
      <c r="BA183" s="509">
        <v>11640</v>
      </c>
      <c r="BB183" s="509">
        <v>11640</v>
      </c>
      <c r="BC183" s="511">
        <v>36084</v>
      </c>
      <c r="BD183" s="153">
        <v>0.96999999638646839</v>
      </c>
      <c r="BE183" s="474">
        <v>0.96999999638646839</v>
      </c>
      <c r="BF183" s="474">
        <v>0.96999999638646839</v>
      </c>
      <c r="BG183" s="515">
        <v>0.97000000722706314</v>
      </c>
      <c r="BH183" s="262">
        <v>195552</v>
      </c>
      <c r="BI183" s="509">
        <v>46560</v>
      </c>
      <c r="BJ183" s="509">
        <v>46560</v>
      </c>
      <c r="BK183" s="511">
        <v>144336</v>
      </c>
      <c r="BL183" s="153">
        <v>0.96999999638646839</v>
      </c>
      <c r="BM183" s="474">
        <v>0.96999999638646839</v>
      </c>
      <c r="BN183" s="474">
        <v>0.96999999638646839</v>
      </c>
      <c r="BO183" s="474">
        <v>0.97000000722706314</v>
      </c>
      <c r="BP183" s="261">
        <f t="shared" si="495"/>
        <v>72168</v>
      </c>
      <c r="BQ183" s="578">
        <f t="shared" si="496"/>
        <v>108252</v>
      </c>
      <c r="BR183" s="259">
        <f t="shared" si="497"/>
        <v>288672</v>
      </c>
      <c r="BS183" s="578">
        <f t="shared" si="498"/>
        <v>433008</v>
      </c>
      <c r="BT183" s="216">
        <f t="shared" si="499"/>
        <v>13.878165639972622</v>
      </c>
      <c r="BU183" s="218">
        <f t="shared" si="414"/>
        <v>41.478474501743563</v>
      </c>
      <c r="BV183" s="216">
        <f t="shared" si="415"/>
        <v>41.478474501743563</v>
      </c>
      <c r="BW183" s="216">
        <f t="shared" si="416"/>
        <v>24.82797205268113</v>
      </c>
      <c r="BX183" s="216">
        <f t="shared" si="500"/>
        <v>24.82797233015534</v>
      </c>
      <c r="BY183" s="216">
        <f t="shared" si="417"/>
        <v>38.792909590604459</v>
      </c>
      <c r="BZ183" s="216">
        <f t="shared" si="418"/>
        <v>34.137930503788084</v>
      </c>
      <c r="CA183" s="264">
        <f t="shared" si="419"/>
        <v>41.478474501743563</v>
      </c>
      <c r="CB183" s="216">
        <f t="shared" si="420"/>
        <v>41.478474501743563</v>
      </c>
      <c r="CC183" s="216">
        <f t="shared" si="421"/>
        <v>24.82797205268113</v>
      </c>
      <c r="CD183" s="216">
        <f t="shared" si="501"/>
        <v>24.82797233015534</v>
      </c>
      <c r="CE183" s="216">
        <f t="shared" si="422"/>
        <v>38.792909590604459</v>
      </c>
      <c r="CF183" s="571">
        <f t="shared" si="423"/>
        <v>34.137930503788084</v>
      </c>
      <c r="CG183" s="573">
        <f t="shared" si="424"/>
        <v>0.11</v>
      </c>
      <c r="CH183" s="219">
        <f t="shared" si="425"/>
        <v>0.11</v>
      </c>
      <c r="CI183" s="219">
        <f t="shared" si="426"/>
        <v>0.11</v>
      </c>
      <c r="CJ183" s="219">
        <f t="shared" si="427"/>
        <v>0.11000000000000003</v>
      </c>
      <c r="CK183" s="219">
        <f t="shared" si="428"/>
        <v>0.11000000000000003</v>
      </c>
      <c r="CL183" s="219">
        <f t="shared" si="429"/>
        <v>0.11</v>
      </c>
      <c r="CM183" s="219">
        <f t="shared" si="430"/>
        <v>9.9681130448835739E-2</v>
      </c>
      <c r="CN183" s="569">
        <f t="shared" si="431"/>
        <v>9.9681130448835739E-2</v>
      </c>
      <c r="CO183" s="264">
        <f t="shared" si="514"/>
        <v>22.375753174798469</v>
      </c>
      <c r="CP183" s="216">
        <f t="shared" si="502"/>
        <v>22.375753174798469</v>
      </c>
      <c r="CQ183" s="216">
        <f t="shared" ref="CQ183:CQ246" ca="1" si="532">IF(OR(BQ183,BS183),VLOOKUP(A183,GasTable,13)*IF(EV183,HeatRatePeak,HeatRateOffPeak)*(1+VLOOKUP($B183,HeatRateDegradation,$C183+1))/1000,0)</f>
        <v>22.375753174798469</v>
      </c>
      <c r="CR183" s="216">
        <f t="shared" ref="CR183:CR246" ca="1" si="533">IF(OR(BQ183,BS183),VLOOKUP(A183,GasTable,13)*IF(EW183,HeatRatePeak,HeatRateOffPeak)*(1+VLOOKUP($B183,HeatRateDegradation,$C183+1))/1000,0)</f>
        <v>22.375753174798469</v>
      </c>
      <c r="CS183" s="1626">
        <f t="shared" ref="CS183:CS246" ca="1" si="534">IF(BQ183,(CO183*AZ183+CP183*BA183+CQ183*BB183+CR183*BC183)/BQ183,0)</f>
        <v>22.375753174798469</v>
      </c>
      <c r="CT183" s="216">
        <f t="shared" si="503"/>
        <v>22.375753174798469</v>
      </c>
      <c r="CU183" s="575">
        <f t="shared" si="432"/>
        <v>0.154</v>
      </c>
      <c r="CV183" s="154">
        <f t="shared" si="433"/>
        <v>0.5</v>
      </c>
      <c r="CW183" s="216">
        <f>IF(OR($BQ183,$BS183),SpreadOptPowerMargin,0)*((1+Assumptions!$C$26)^($B183-YEAR(Assumptions!$C$17)))</f>
        <v>2.2380737551103738</v>
      </c>
      <c r="CX183" s="216">
        <f>IF(OR($BQ183,$BS183),SpreadOptPowerMargin,0)*((1+Assumptions!$C$26)^($B183-YEAR(Assumptions!$C$17)))</f>
        <v>2.2380737551103738</v>
      </c>
      <c r="CY183" s="216">
        <f>IF(OR($BQ183,$BS183),SpreadOptPowerMargin,0)*((1+Assumptions!$C$26)^($B183-YEAR(Assumptions!$C$17)))</f>
        <v>2.2380737551103738</v>
      </c>
      <c r="CZ183" s="216">
        <f>IF(OR($BQ183,$BS183),SpreadOptPowerMargin,0)*((1+Assumptions!$C$26)^($B183-YEAR(Assumptions!$C$17)))</f>
        <v>2.2380737551103738</v>
      </c>
      <c r="DA183" s="440">
        <f t="shared" si="434"/>
        <v>2.2380737551103733</v>
      </c>
      <c r="DB183" s="479">
        <f t="shared" si="435"/>
        <v>0.11</v>
      </c>
      <c r="DC183" s="479">
        <f t="shared" si="436"/>
        <v>0.11</v>
      </c>
      <c r="DD183" s="479">
        <f t="shared" si="437"/>
        <v>0.11</v>
      </c>
      <c r="DE183" s="479">
        <f t="shared" si="438"/>
        <v>0.11</v>
      </c>
      <c r="DF183" s="479">
        <f t="shared" si="439"/>
        <v>9.9681130448835739E-2</v>
      </c>
      <c r="DG183" s="574">
        <f t="shared" si="440"/>
        <v>9.9681130448835739E-2</v>
      </c>
      <c r="DH183" s="216">
        <f t="shared" si="441"/>
        <v>17.930912111352971</v>
      </c>
      <c r="DI183" s="216">
        <f t="shared" si="442"/>
        <v>17.930912111352971</v>
      </c>
      <c r="DJ183" s="216">
        <f t="shared" ref="DJ183:DJ246" ca="1" si="535">IF(AND(BW183&gt;0,CQ183&gt;0,DD183&gt;0,CU183&gt;0),newSPRDOPT(BW183,CQ183,CY183,0,DD183,CU183,CV183,BT183*365.25,OCallPut,0),0)</f>
        <v>4.7495166422631518</v>
      </c>
      <c r="DK183" s="216">
        <f t="shared" ref="DK183:DK246" ca="1" si="536">IF(AND(BX183&gt;0,CR183&gt;0,DE183&gt;0,CU183&gt;0),newSPRDOPT(BX183,CR183,CZ183,0,DE183,CU183,CV183,BT183*365.25,OCallPut,0),0)</f>
        <v>4.7495168103660186</v>
      </c>
      <c r="DL183" s="216">
        <f t="shared" ref="DL183:DL246" ca="1" si="537">IF(OVolType,IF(AND(BZ183&gt;0,CS183&gt;0,DF183&gt;0,CU183&gt;0),newSPRDOPT(BZ183,CS183,DA183,0,DF183,CU183,CV183,BT183*365.25,OCallPut,0),0),IF(BQ183,(DH183*AZ183+DI183*BA183+DJ183*BB183+DK183*BC183)/BQ183,0))</f>
        <v>11.444963338099367</v>
      </c>
      <c r="DM183" s="216"/>
      <c r="DN183" s="216"/>
      <c r="DO183" s="216"/>
      <c r="DP183" s="216"/>
      <c r="DQ183" s="216"/>
      <c r="DR183" s="216"/>
      <c r="DS183" s="216"/>
      <c r="DT183" s="216"/>
      <c r="DU183" s="216"/>
      <c r="DV183" s="216"/>
      <c r="DW183" s="1371">
        <f t="shared" si="443"/>
        <v>4.7495166422631518</v>
      </c>
      <c r="DX183" s="216">
        <f t="shared" si="444"/>
        <v>4.7495168103660186</v>
      </c>
      <c r="DY183" s="440">
        <f t="shared" si="445"/>
        <v>12.11975932617562</v>
      </c>
      <c r="DZ183" s="180">
        <f t="shared" si="446"/>
        <v>876606.43129982403</v>
      </c>
      <c r="EA183" s="180">
        <f t="shared" si="447"/>
        <v>208715.81697614858</v>
      </c>
      <c r="EB183" s="180">
        <f t="shared" ref="EB183:EB246" ca="1" si="538">DJ183*BB183</f>
        <v>55284.373715943089</v>
      </c>
      <c r="EC183" s="180">
        <f t="shared" ref="EC183:EC246" ca="1" si="539">DK183*BC183</f>
        <v>171381.56458524743</v>
      </c>
      <c r="ED183" s="180">
        <f t="shared" ref="ED183:ED246" ca="1" si="540">DL183*BQ183</f>
        <v>1238940.1712759326</v>
      </c>
      <c r="EE183" s="581">
        <f t="shared" si="448"/>
        <v>824478.8904918558</v>
      </c>
      <c r="EF183" s="554">
        <f t="shared" si="449"/>
        <v>196304.49773615613</v>
      </c>
      <c r="EG183" s="554">
        <f t="shared" ref="EG183:EG246" ca="1" si="541">IF(BQ183,IF(OCallPut,IF(BW183&gt;(CQ183+CY183),BW183-(CQ183+CY183),0),IF((CQ183+CY183)&gt;BW183,(CQ183+CY183)-BW183,0))*BB183,0)</f>
        <v>2492.6492290694187</v>
      </c>
      <c r="EH183" s="554">
        <f t="shared" ref="EH183:EH246" ca="1" si="542">IF(BQ183,IF(OCallPut,IF(BX183&gt;(CR183+CZ183),BX183-(CR183+CZ183),0),IF((CR183+CZ183)&gt;BX183,(CR183+CZ183)-BX183,0))*BC183,0)</f>
        <v>7727.2226224946171</v>
      </c>
      <c r="EI183" s="561">
        <f t="shared" ca="1" si="450"/>
        <v>1031003.2600795756</v>
      </c>
      <c r="EJ183" s="581">
        <f t="shared" si="504"/>
        <v>52127.540807968238</v>
      </c>
      <c r="EK183" s="554">
        <f t="shared" si="505"/>
        <v>12411.319239992445</v>
      </c>
      <c r="EL183" s="554">
        <f t="shared" ref="EL183:EL246" ca="1" si="543">EB183-EG183</f>
        <v>52791.724486873674</v>
      </c>
      <c r="EM183" s="554">
        <f t="shared" ref="EM183:EM246" ca="1" si="544">EC183-EH183</f>
        <v>163654.34196275281</v>
      </c>
      <c r="EN183" s="561">
        <f t="shared" ref="EN183:EN246" ca="1" si="545">ED183-EI183</f>
        <v>207936.91119635699</v>
      </c>
      <c r="EO183" s="180">
        <f t="shared" si="451"/>
        <v>3506425.7251992961</v>
      </c>
      <c r="EP183" s="180">
        <f t="shared" si="452"/>
        <v>834863.26790459431</v>
      </c>
      <c r="EQ183" s="180">
        <f t="shared" si="453"/>
        <v>221137.49486377236</v>
      </c>
      <c r="ER183" s="180">
        <f t="shared" si="454"/>
        <v>685526.25834098971</v>
      </c>
      <c r="ES183" s="180">
        <f t="shared" si="455"/>
        <v>5247952.7463086527</v>
      </c>
      <c r="ET183" s="1482">
        <f t="shared" ref="ET183:ET246" ca="1" si="546">IF(EI183,IF(OCallPut,IF(CA183&gt;(CT183+CW183),CA183-(CT183+CW183),0),IF((CT183+CW183)&gt;CA183,(CT183+CW183)-CA183,0))*BH183,0)</f>
        <v>3297915.5619674232</v>
      </c>
      <c r="EU183" s="180">
        <f t="shared" ref="EU183:EU246" ca="1" si="547">IF(EI183,IF(OCallPut,IF(CB183&gt;(CT183+CX183),CB183-(CT183+CX183),0),IF((CT183+CX183)&gt;CB183,(CT183+CX183)-CB183,0))*BI183,0)</f>
        <v>785217.99094462453</v>
      </c>
      <c r="EV183" s="180">
        <f t="shared" ref="EV183:EV246" ca="1" si="548">IF(EI183,IF(OCallPut,IF(CC183&gt;(CT183+CY183),CC183-(CT183+CY183),0),IF((CT183+CY183)&gt;CC183,(CT183+CY183)-CC183,0))*BJ183,0)</f>
        <v>9970.5969162776746</v>
      </c>
      <c r="EW183" s="180">
        <f t="shared" ref="EW183:EW246" ca="1" si="549">IF(EI183,IF(OCallPut,IF(CD183&gt;(CT183+CZ183),CD183-(CT183+CZ183),0),IF((CT183+CZ183)&gt;CD183,(CT183+CZ183)-CD183,0))*BK183,0)</f>
        <v>30908.890489978468</v>
      </c>
      <c r="EX183" s="555">
        <f t="shared" ca="1" si="522"/>
        <v>4124013.0403183037</v>
      </c>
      <c r="EY183" s="180">
        <f t="shared" ref="EY183:EY246" ca="1" si="550">EO183-ET183</f>
        <v>208510.16323187295</v>
      </c>
      <c r="EZ183" s="180">
        <f t="shared" ref="EZ183:EZ246" ca="1" si="551">EP183-EU183</f>
        <v>49645.276959969779</v>
      </c>
      <c r="FA183" s="180">
        <f t="shared" ref="FA183:FA246" ca="1" si="552">EQ183-EV183</f>
        <v>211166.8979474947</v>
      </c>
      <c r="FB183" s="180">
        <f t="shared" ref="FB183:FB246" ca="1" si="553">ER183-EW183</f>
        <v>654617.36785101122</v>
      </c>
      <c r="FC183" s="180">
        <f t="shared" ref="FC183:FC246" ca="1" si="554">ES183-EX183</f>
        <v>1123939.7059903489</v>
      </c>
      <c r="FD183" s="262">
        <f>IF(AX183,IF(VLOOKUP(C183,MAIN!$L$17:$M$28,2)="Yes",VLOOKUP(CALC!B183,MAIN!$H$17:$I$20,2),0),0)</f>
        <v>0</v>
      </c>
      <c r="FE183" s="623">
        <f t="shared" si="456"/>
        <v>0</v>
      </c>
      <c r="FF183" s="535">
        <f t="shared" si="457"/>
        <v>0</v>
      </c>
      <c r="FG183" s="535">
        <f t="shared" si="458"/>
        <v>0</v>
      </c>
      <c r="FH183" s="624">
        <f t="shared" si="459"/>
        <v>0</v>
      </c>
      <c r="FI183" s="632">
        <f>IF(AX183,VLOOKUP(CALC!B183,MAIN!$H$17:$K$20,4),0)</f>
        <v>0</v>
      </c>
      <c r="FJ183" s="535">
        <f t="shared" si="460"/>
        <v>0</v>
      </c>
      <c r="FK183" s="648">
        <f t="shared" si="506"/>
        <v>0</v>
      </c>
      <c r="FL183" s="530">
        <f t="shared" ref="FL183:FL246" ca="1" si="555">IF($EI183&gt;0,MIN(FE183,AZ183*(1+VLOOKUP($C183,WeatherCapacityAdjustment,2))),0)</f>
        <v>0</v>
      </c>
      <c r="FM183" s="530">
        <f t="shared" ref="FM183:FM246" ca="1" si="556">IF($EI183&gt;0,MIN(FF183,BA183*(1+VLOOKUP($C183,WeatherCapacityAdjustment,2))),0)</f>
        <v>0</v>
      </c>
      <c r="FN183" s="530">
        <f t="shared" ref="FN183:FN246" ca="1" si="557">IF($EI183&gt;0,MIN(FG183,BB183*(1+VLOOKUP($C183,WeatherCapacityAdjustment,2))),0)</f>
        <v>0</v>
      </c>
      <c r="FO183" s="622">
        <f t="shared" ref="FO183:FO246" ca="1" si="558">IF($EI183&gt;0,MIN(FH183,BC183*(1+VLOOKUP($C183,WeatherCapacityAdjustment,3))),0)</f>
        <v>0</v>
      </c>
      <c r="FP183" s="530">
        <f t="shared" ref="FP183:FP246" ca="1" si="559">IF(ET183&gt;0,MIN(FE183-FL183,BH183*(1+VLOOKUP($C183,WeatherCapacityAdjustment,2))),0)</f>
        <v>0</v>
      </c>
      <c r="FQ183" s="530">
        <f t="shared" ref="FQ183:FQ246" ca="1" si="560">IF(EU183&gt;0,MIN(FF183-FM183,BI183*(1+VLOOKUP($C183,WeatherCapacityAdjustment,2))),0)</f>
        <v>0</v>
      </c>
      <c r="FR183" s="530">
        <f t="shared" ref="FR183:FR246" ca="1" si="561">IF(EV183&gt;0,MIN(FG183-FN183,BJ183*(1+VLOOKUP($C183,WeatherCapacityAdjustment,2))),0)</f>
        <v>0</v>
      </c>
      <c r="FS183" s="625">
        <f t="shared" ref="FS183:FS246" ca="1" si="562">IF(EW183&gt;0,MIN(FH183-FO183,BK183*(1+VLOOKUP($C183,WeatherCapacityAdjustment,3))),0)</f>
        <v>0</v>
      </c>
      <c r="FT183" s="640">
        <f ca="1">IF(AND(Assumptions!$H$71="Yes",A183&gt;=Assumptions!$H$72,A183&lt;=Assumptions!$H$73),0,IF(AND($A183&gt;=Assumptions!$C$17,$A183&lt;=Assumptions!$C$18),MAX(AZ183*(1+VLOOKUP($C183,WeatherCapacityAdjustment,2))-FL183,0),0))</f>
        <v>48888</v>
      </c>
      <c r="FU183" s="530">
        <f ca="1">IF(AND(Assumptions!$H$71="Yes",A183&gt;=Assumptions!$H$72,A183&lt;=Assumptions!$H$73),0,IF(AND($A183&gt;=Assumptions!$C$17,$A183&lt;=Assumptions!$C$18),MAX(BA183*(1+VLOOKUP($C183,WeatherCapacityAdjustment,2))-FM183,0),0))</f>
        <v>11640</v>
      </c>
      <c r="FV183" s="530">
        <f ca="1">IF(AND(Assumptions!$H$71="Yes",A183&gt;=Assumptions!$H$72,A183&lt;=Assumptions!$H$73),0,IF(AND($A183&gt;=Assumptions!$C$17,$A183&lt;=Assumptions!$C$18),MAX(BB183*(1+VLOOKUP($C183,WeatherCapacityAdjustment,2))-FN183,0),0))</f>
        <v>11640</v>
      </c>
      <c r="FW183" s="622">
        <f ca="1">IF(AND(Assumptions!$H$71="Yes",A183&gt;=Assumptions!$H$72,A183&lt;=Assumptions!$H$73),0,IF(AND($A183&gt;=Assumptions!$C$17,$A183&lt;=Assumptions!$C$18),MAX(BC183*(1+VLOOKUP($C183,WeatherCapacityAdjustment,3))-FO183,0),0))</f>
        <v>36084</v>
      </c>
      <c r="FX183" s="621">
        <f ca="1">IF(AND(Assumptions!$H$71="Yes",A183&gt;=Assumptions!$H$72,A183&lt;=Assumptions!$H$73),0,IF(ET183&gt;0,MAX(BH183*(1+VLOOKUP($C183,WeatherCapacityAdjustment,2))-FP183,0),0))</f>
        <v>195552</v>
      </c>
      <c r="FY183" s="530">
        <f ca="1">IF(AND(Assumptions!$H$71="Yes",A183&gt;=Assumptions!$H$72,A183&lt;=Assumptions!$H$73),0,IF(EU183&gt;0,MAX(BI183*(1+VLOOKUP($C183,WeatherCapacityAdjustment,3))-FQ183,0),0))</f>
        <v>46560</v>
      </c>
      <c r="FZ183" s="530">
        <f ca="1">IF(AND(Assumptions!$H$71="Yes",A183&gt;=Assumptions!$H$72,A183&lt;=Assumptions!$H$73),0,IF(EV183&gt;0,MAX(BJ183*(1+VLOOKUP($C183,WeatherCapacityAdjustment,2))-FR183,0),0))</f>
        <v>46560</v>
      </c>
      <c r="GA183" s="622">
        <f ca="1">IF(AND(Assumptions!$H$71="Yes",A183&gt;=Assumptions!$H$72,A183&lt;=Assumptions!$H$73),0,IF(EW183&gt;0,MAX(BK183*(1+VLOOKUP($C183,WeatherCapacityAdjustment,2))-FS183,0),0))</f>
        <v>144336</v>
      </c>
      <c r="GB183" s="530">
        <f t="shared" ca="1" si="461"/>
        <v>541260</v>
      </c>
      <c r="GC183" s="545">
        <f t="shared" ca="1" si="462"/>
        <v>34.137930503788084</v>
      </c>
      <c r="GD183" s="530">
        <f t="shared" ref="GD183:GD246" ca="1" si="563">(FT183*BU183+FX183*CA183+FU183*BV183+FY183*CB183+FV183*BW183+FZ183*CC183+FW183*BX183+GA183*CD183)</f>
        <v>18477496.264480341</v>
      </c>
      <c r="GE183" s="1485">
        <f t="shared" ref="GE183:GE246" ca="1" si="564">+IF(BQ183,((FL183+FM183+FT183+FU183)*HeatRatePeak/1000*(1+VLOOKUP($C183,WeatherHeatRateAdjustment,2))+(FN183+FV183)*IF(EV183&gt;0,HeatRatePeak,HeatRateOffPeak)/1000*(1+VLOOKUP($C183,WeatherHeatRateAdjustment,2))+(FO183+FW183)*IF(EW183&gt;0,HeatRatePeak,HeatRateOffPeak)/1000*(1+VLOOKUP($C183,WeatherHeatRateAdjustment,3)))*(1+VLOOKUP($B183,HeatRateDegradation,$C183+1)),0)</f>
        <v>776223.13104000001</v>
      </c>
      <c r="GF183" s="1776">
        <f t="shared" ref="GF183:GF246" ca="1" si="565">IF(BQ183,((FP183+FQ183+FR183+FX183+FY183+FZ183)*HeatRatePeak/1000*(1+VLOOKUP($C183,WeatherHeatRateAdjustment,2))+(FS183+GA183)*HeatRatePeak/1000*(1+VLOOKUP($C183,WeatherHeatRateAdjustment,3)))*(1+VLOOKUP($B183,HeatRateDegradation,$C183+1)),0)</f>
        <v>3104892.52416</v>
      </c>
      <c r="GG183" s="545">
        <f t="shared" si="530"/>
        <v>3.1205202934791996</v>
      </c>
      <c r="GH183" s="622">
        <f t="shared" ca="1" si="531"/>
        <v>12111100.163391419</v>
      </c>
      <c r="GI183" s="621">
        <f t="shared" ca="1" si="507"/>
        <v>541260</v>
      </c>
      <c r="GJ183" s="638">
        <f t="shared" si="463"/>
        <v>2.2380737551103733</v>
      </c>
      <c r="GK183" s="625">
        <f t="shared" ca="1" si="513"/>
        <v>1211379.8006910407</v>
      </c>
      <c r="GL183" s="640">
        <f t="shared" ref="GL183:GL246" ca="1" si="566">MAX(FE183-FL183-FP183,0)</f>
        <v>0</v>
      </c>
      <c r="GM183" s="530">
        <f t="shared" ref="GM183:GM246" ca="1" si="567">MAX(FF183-FM183-FQ183,0)</f>
        <v>0</v>
      </c>
      <c r="GN183" s="530">
        <f t="shared" ref="GN183:GN246" ca="1" si="568">MAX(FG183-FN183-FR183,0)</f>
        <v>0</v>
      </c>
      <c r="GO183" s="622">
        <f t="shared" ref="GO183:GO246" ca="1" si="569">MAX(FH183-FO183-FS183,0)</f>
        <v>0</v>
      </c>
      <c r="GP183" s="530">
        <f t="shared" ca="1" si="464"/>
        <v>0</v>
      </c>
      <c r="GQ183" s="545">
        <f t="shared" ca="1" si="465"/>
        <v>0</v>
      </c>
      <c r="GR183" s="625">
        <f t="shared" ref="GR183:GR246" ca="1" si="570">(GL183*BU183+GM183*BV183+GN183*BW183+GO183*BX183)</f>
        <v>0</v>
      </c>
      <c r="GS183" s="640">
        <f>IF($A183&gt;=BegDate,Assumptions!$C$56*24*($A184-$A183)*(1-VLOOKUP($B183,MAIN!$AA$7:$AM$28,$C183+1))*(1-VLOOKUP($B183,MAIN!$AA$33:$AM$54,$C183+1)),0)*80/168</f>
        <v>257742.85714285713</v>
      </c>
      <c r="GT183" s="1715">
        <f t="shared" si="508"/>
        <v>41.478474656262918</v>
      </c>
      <c r="GU183" s="1715">
        <f>IF($A183&gt;=BegDate,VLOOKUP($A183,GasTable,13)+Assumptions!$C$58,0)</f>
        <v>3.1205202934791996</v>
      </c>
      <c r="GV183" s="1715">
        <f>GU183*Assumptions!$C$57/1000</f>
        <v>22.623772127724198</v>
      </c>
      <c r="GW183" s="625">
        <f>IF(Assumptions!$C$60="Hourly",MAX(0,GS183*(GT183-GV183)),GS183*(GT183-GV183))</f>
        <v>4859664.9002842223</v>
      </c>
      <c r="GX183" s="640">
        <f>IF($A183&gt;=BegDate,Assumptions!$C$56*24*($A184-$A183)*(1-VLOOKUP($B183,MAIN!$AA$7:$AM$28,$C183+1))*(1-VLOOKUP($B183,MAIN!$AA$33:$AM$54,$C183+1)),0)*16/168</f>
        <v>51548.571428571428</v>
      </c>
      <c r="GY183" s="1715">
        <f t="shared" si="509"/>
        <v>41.478474656262918</v>
      </c>
      <c r="GZ183" s="1715">
        <f>IF($A183&gt;=BegDate,VLOOKUP($A183,GasTable,13)+Assumptions!$C$58,0)</f>
        <v>3.1205202934791996</v>
      </c>
      <c r="HA183" s="1715">
        <f>GZ183*Assumptions!$C$57/1000</f>
        <v>22.623772127724198</v>
      </c>
      <c r="HB183" s="625">
        <f>IF(Assumptions!$C$60="Hourly",MAX(0,GX183*(GY183-HA183)),GX183*(GY183-HA183))</f>
        <v>971932.98005684454</v>
      </c>
      <c r="HC183" s="640">
        <f>IF($A183&gt;=BegDate,Assumptions!$C$56*24*($A184-$A183)*(1-VLOOKUP($B183,MAIN!$AA$7:$AM$28,$C183+1))*(1-VLOOKUP($B183,MAIN!$AA$33:$AM$54,$C183+1)),0)*16/168</f>
        <v>51548.571428571428</v>
      </c>
      <c r="HD183" s="1715">
        <f t="shared" si="510"/>
        <v>24.827972145172534</v>
      </c>
      <c r="HE183" s="1715">
        <f>IF($A183&gt;=BegDate,VLOOKUP($A183,GasTable,13)+Assumptions!$C$58,0)</f>
        <v>3.1205202934791996</v>
      </c>
      <c r="HF183" s="1715">
        <f>HE183*Assumptions!$C$57/1000</f>
        <v>22.623772127724198</v>
      </c>
      <c r="HG183" s="625">
        <f>IF(Assumptions!$C$60="Hourly",MAX(0,HC183*(HD183-HF183)),HC183*(HD183-HF183))</f>
        <v>113623.36204229394</v>
      </c>
      <c r="HH183" s="640">
        <f>IF($A183&gt;=BegDate,Assumptions!$C$56*24*($A184-$A183)*(1-VLOOKUP($B183,MAIN!$AA$7:$AM$28,$C183+1))*(1-VLOOKUP($B183,MAIN!$AA$33:$AM$54,$C183+1)),0)*56/168</f>
        <v>180420</v>
      </c>
      <c r="HI183" s="1715">
        <f t="shared" si="511"/>
        <v>24.827972145172534</v>
      </c>
      <c r="HJ183" s="1715">
        <f>IF($A183&gt;=BegDate,VLOOKUP($A183,GasTable,13)+Assumptions!$C$58,0)</f>
        <v>3.1205202934791996</v>
      </c>
      <c r="HK183" s="1715">
        <f>HJ183*Assumptions!$C$57/1000</f>
        <v>22.623772127724198</v>
      </c>
      <c r="HL183" s="625">
        <f>IF(Assumptions!$C$60="Hourly",MAX(0,HH183*(HI183-HK183)),HH183*(HI183-HK183))</f>
        <v>397681.76714802883</v>
      </c>
      <c r="HM183" s="640">
        <f>IF(AND(Assumptions!$H$71="Yes",A183&gt;=Assumptions!$H$72,A183&lt;=Assumptions!$H$73),Assumptions!$H$74*Assumptions!$C$9*1000,0)</f>
        <v>0</v>
      </c>
      <c r="HN183" s="530"/>
      <c r="HO183" s="545"/>
      <c r="HP183" s="545"/>
      <c r="HQ183" s="545"/>
      <c r="HR183" s="545"/>
      <c r="HS183" s="545"/>
      <c r="HT183" s="545"/>
      <c r="HU183" s="545"/>
      <c r="HV183" s="545"/>
      <c r="HW183" s="545"/>
      <c r="HX183" s="545"/>
      <c r="HY183" s="545"/>
      <c r="HZ183" s="545"/>
      <c r="IA183" s="545"/>
      <c r="IB183" s="545"/>
      <c r="IC183" s="545"/>
      <c r="ID183" s="545"/>
      <c r="IE183" s="545"/>
      <c r="IF183" s="545"/>
      <c r="IG183" s="545"/>
      <c r="IH183" s="545"/>
      <c r="II183" s="1464"/>
      <c r="IJ183" s="1463"/>
      <c r="IK183" s="1463"/>
    </row>
    <row r="184" spans="1:245">
      <c r="A184" s="177">
        <f t="shared" si="466"/>
        <v>41730</v>
      </c>
      <c r="B184" s="349">
        <f t="shared" si="467"/>
        <v>2014</v>
      </c>
      <c r="C184" s="15">
        <f t="shared" si="523"/>
        <v>4</v>
      </c>
      <c r="D184" s="612" t="str">
        <f t="shared" si="468"/>
        <v/>
      </c>
      <c r="E184" s="609">
        <f t="shared" si="524"/>
        <v>41730</v>
      </c>
      <c r="F184" s="614">
        <f t="shared" si="525"/>
        <v>41759</v>
      </c>
      <c r="G184" s="1349">
        <v>0</v>
      </c>
      <c r="H184" s="152">
        <f t="shared" si="512"/>
        <v>1</v>
      </c>
      <c r="I184" s="154">
        <f>IF(Assumptions!$L$25=4,VLOOKUP($A184,'Henwood Reference'!$E$9:$R$320,10),(VLOOKUP($A184,PriceTable,2,0)+IF(BasisNumber&lt;&gt;1,VLOOKUP($A184,BasisTable,2,0),0)+I$1)/(1-I$2))</f>
        <v>40.256901217419312</v>
      </c>
      <c r="J184" s="154">
        <f>IF(Assumptions!$L$25=4,VLOOKUP($A184,'Henwood Reference'!$E$9:$R$320,10),(VLOOKUP($A184,PriceTable,3,0)+IF(BasisNumber&lt;&gt;1,VLOOKUP($A184,BasisTable,2,0),0)+J$1)/(1-J$2))</f>
        <v>40.256901217419312</v>
      </c>
      <c r="K184" s="154">
        <f>IF(Assumptions!$L$25=4,VLOOKUP($A184,'Henwood Reference'!$E$9:$R$320,10),(VLOOKUP($A184,PriceTable,4,0)+IF(BasisNumber&lt;&gt;1,VLOOKUP($A184,BasisTable,2,0),0)+K$1)/(1-K$2))</f>
        <v>40.256901217419312</v>
      </c>
      <c r="L184" s="474">
        <f>IF(Assumptions!$L$25=4,VLOOKUP($A184,'Henwood Reference'!$E$9:$R$320,10),(VLOOKUP($A184,PriceTableWeekend,2,0)+IF(BasisNumber&lt;&gt;1,VLOOKUP($A184,BasisTable,2,0),0)+L$1)/(1-L$2))</f>
        <v>40.256901217419312</v>
      </c>
      <c r="M184" s="154">
        <f>IF(Assumptions!$L$25=4,VLOOKUP($A184,'Henwood Reference'!$E$9:$R$320,10),(VLOOKUP($A184,PriceTableWeekend,3,0)+IF(BasisNumber&lt;&gt;1,VLOOKUP($A184,BasisTable,2,0),0)+M$1)/(1-M$2))</f>
        <v>40.256901217419312</v>
      </c>
      <c r="N184" s="156">
        <f>IF(Assumptions!$L$25=4,VLOOKUP($A184,'Henwood Reference'!$E$9:$R$320,10),(VLOOKUP($A184,PriceTableWeekend,4,0)+IF(BasisNumber&lt;&gt;1,VLOOKUP($A184,BasisTable,2,0),0)+N$1)/(1-N$2))</f>
        <v>40.256901217419312</v>
      </c>
      <c r="O184" s="154">
        <f>IF(Assumptions!$L$25=4,VLOOKUP($A184,'Henwood Reference'!$E$9:$R$320,11),(VLOOKUP($A184,PriceTableWeekend,6,0)+IF(BasisNumber&lt;&gt;1,VLOOKUP($A184,BasisTable,3,0),0)+O$1)/(1-O$2))</f>
        <v>26.753223608357573</v>
      </c>
      <c r="P184" s="154">
        <f>IF(Assumptions!$L$25=4,VLOOKUP($A184,'Henwood Reference'!$E$9:$R$320,11),(VLOOKUP($A184,PriceTableWeekend,7,0)+IF(BasisNumber&lt;&gt;1,VLOOKUP($A184,BasisTable,3,0),0)+P$1)/(1-P$2))</f>
        <v>26.753223608357573</v>
      </c>
      <c r="Q184" s="156">
        <f>IF(Assumptions!$L$25=4,VLOOKUP($A184,'Henwood Reference'!$E$9:$R$320,11),(VLOOKUP($A184,PriceTableWeekend,8,0)+IF(BasisNumber&lt;&gt;1,VLOOKUP($A184,BasisTable,3,0),0)+Q$1)/(1-Q$2))</f>
        <v>26.753223608357573</v>
      </c>
      <c r="R184" s="154">
        <f>IF(Assumptions!$L$25=4,VLOOKUP($A184,'Henwood Reference'!$E$9:$R$320,11),(VLOOKUP($A184,PriceTable,6,0)+IF(BasisNumber&lt;&gt;1,VLOOKUP($A184,BasisTable,3,0),0)+R$1)/(1-R$2))</f>
        <v>26.753223608357573</v>
      </c>
      <c r="S184" s="154">
        <f>IF(Assumptions!$L$25=4,VLOOKUP($A184,'Henwood Reference'!$E$9:$R$320,11),(VLOOKUP($A184,PriceTable,7,0)+IF(BasisNumber&lt;&gt;1,VLOOKUP($A184,BasisTable,3,0),0)+S$1)/(1-S$2))</f>
        <v>26.753223608357573</v>
      </c>
      <c r="T184" s="155">
        <f>IF(Assumptions!$L$25=4,VLOOKUP($A184,'Henwood Reference'!$E$9:$R$320,11),(VLOOKUP($A184,PriceTable,8,0)+IF(BasisNumber&lt;&gt;1,VLOOKUP($A184,BasisTable,3,0),0)+T$1)/(1-T$2))</f>
        <v>26.753223608357573</v>
      </c>
      <c r="U184" s="173">
        <f t="shared" si="469"/>
        <v>9.9999999999999936E-2</v>
      </c>
      <c r="V184" s="173">
        <f t="shared" si="470"/>
        <v>0.11</v>
      </c>
      <c r="W184" s="174">
        <f t="shared" si="471"/>
        <v>0.12</v>
      </c>
      <c r="X184" s="173">
        <f t="shared" si="472"/>
        <v>9.9999999999999936E-2</v>
      </c>
      <c r="Y184" s="173">
        <f t="shared" si="473"/>
        <v>0.11</v>
      </c>
      <c r="Z184" s="174">
        <f t="shared" si="474"/>
        <v>0.12</v>
      </c>
      <c r="AA184" s="173">
        <f t="shared" si="475"/>
        <v>0.09</v>
      </c>
      <c r="AB184" s="173">
        <f t="shared" si="476"/>
        <v>0.11</v>
      </c>
      <c r="AC184" s="174">
        <f t="shared" si="477"/>
        <v>0.13</v>
      </c>
      <c r="AD184" s="173">
        <f t="shared" si="478"/>
        <v>0.09</v>
      </c>
      <c r="AE184" s="173">
        <f t="shared" si="479"/>
        <v>0.11</v>
      </c>
      <c r="AF184" s="174">
        <f t="shared" si="480"/>
        <v>0.13</v>
      </c>
      <c r="AG184" s="173">
        <f t="shared" si="481"/>
        <v>-0.1</v>
      </c>
      <c r="AH184" s="173">
        <f t="shared" si="482"/>
        <v>0.65</v>
      </c>
      <c r="AI184" s="174">
        <f t="shared" si="483"/>
        <v>0.1</v>
      </c>
      <c r="AJ184" s="173">
        <f t="shared" si="484"/>
        <v>-0.1</v>
      </c>
      <c r="AK184" s="173">
        <f t="shared" si="485"/>
        <v>0.65</v>
      </c>
      <c r="AL184" s="174">
        <f t="shared" si="486"/>
        <v>0.1</v>
      </c>
      <c r="AM184" s="173">
        <f t="shared" si="487"/>
        <v>-0.01</v>
      </c>
      <c r="AN184" s="173">
        <f t="shared" si="488"/>
        <v>0.16</v>
      </c>
      <c r="AO184" s="174">
        <f t="shared" si="489"/>
        <v>0.01</v>
      </c>
      <c r="AP184" s="173">
        <f t="shared" si="490"/>
        <v>-0.01</v>
      </c>
      <c r="AQ184" s="173">
        <f t="shared" si="491"/>
        <v>0.16</v>
      </c>
      <c r="AR184" s="175">
        <f t="shared" si="492"/>
        <v>0.01</v>
      </c>
      <c r="AS184" s="521">
        <f t="shared" si="528"/>
        <v>0.5</v>
      </c>
      <c r="AT184" s="349">
        <f t="shared" si="526"/>
        <v>22</v>
      </c>
      <c r="AU184" s="159">
        <f t="shared" si="411"/>
        <v>4</v>
      </c>
      <c r="AV184" s="159">
        <f t="shared" si="412"/>
        <v>4</v>
      </c>
      <c r="AW184" s="159">
        <f t="shared" si="529"/>
        <v>0</v>
      </c>
      <c r="AX184" s="15">
        <f t="shared" si="527"/>
        <v>30</v>
      </c>
      <c r="AY184" s="607">
        <f>IF(E184="",0,MIN((1-(1-VLOOKUP(B184,MAIN!$AA$7:$AM$28,C184+1))*(1-VLOOKUP(B184,MAIN!$AA$33:$AM$54,C184+1))),1))</f>
        <v>0.127</v>
      </c>
      <c r="AZ184" s="337">
        <v>46094.400000000001</v>
      </c>
      <c r="BA184" s="509">
        <v>8380.7999999999993</v>
      </c>
      <c r="BB184" s="509">
        <v>8380.7999999999993</v>
      </c>
      <c r="BC184" s="511">
        <v>31428</v>
      </c>
      <c r="BD184" s="153">
        <v>0.873</v>
      </c>
      <c r="BE184" s="474">
        <v>0.873</v>
      </c>
      <c r="BF184" s="474">
        <v>0.873</v>
      </c>
      <c r="BG184" s="515">
        <v>0.87300000650435683</v>
      </c>
      <c r="BH184" s="262">
        <v>184377.60000000001</v>
      </c>
      <c r="BI184" s="509">
        <v>33523.199999999997</v>
      </c>
      <c r="BJ184" s="509">
        <v>33523.199999999997</v>
      </c>
      <c r="BK184" s="511">
        <v>125712</v>
      </c>
      <c r="BL184" s="153">
        <v>0.873</v>
      </c>
      <c r="BM184" s="474">
        <v>0.873</v>
      </c>
      <c r="BN184" s="474">
        <v>0.873</v>
      </c>
      <c r="BO184" s="474">
        <v>0.87300000650435683</v>
      </c>
      <c r="BP184" s="261">
        <f t="shared" si="495"/>
        <v>62856</v>
      </c>
      <c r="BQ184" s="578">
        <f t="shared" si="496"/>
        <v>94284</v>
      </c>
      <c r="BR184" s="259">
        <f t="shared" si="497"/>
        <v>251424</v>
      </c>
      <c r="BS184" s="578">
        <f t="shared" si="498"/>
        <v>377136</v>
      </c>
      <c r="BT184" s="216">
        <f t="shared" si="499"/>
        <v>13.963039014373717</v>
      </c>
      <c r="BU184" s="218">
        <f t="shared" si="414"/>
        <v>40.256901217419312</v>
      </c>
      <c r="BV184" s="216">
        <f t="shared" si="415"/>
        <v>40.256901217419312</v>
      </c>
      <c r="BW184" s="216">
        <f t="shared" si="416"/>
        <v>26.753223608357573</v>
      </c>
      <c r="BX184" s="216">
        <f t="shared" si="500"/>
        <v>26.753223807684623</v>
      </c>
      <c r="BY184" s="216">
        <f t="shared" si="417"/>
        <v>38.456410869544413</v>
      </c>
      <c r="BZ184" s="216">
        <f t="shared" si="418"/>
        <v>34.555348515591156</v>
      </c>
      <c r="CA184" s="264">
        <f t="shared" si="419"/>
        <v>40.256901217419312</v>
      </c>
      <c r="CB184" s="216">
        <f t="shared" si="420"/>
        <v>40.256901217419312</v>
      </c>
      <c r="CC184" s="216">
        <f t="shared" si="421"/>
        <v>26.753223608357573</v>
      </c>
      <c r="CD184" s="216">
        <f t="shared" si="501"/>
        <v>26.753223807684623</v>
      </c>
      <c r="CE184" s="216">
        <f t="shared" si="422"/>
        <v>38.456410869544413</v>
      </c>
      <c r="CF184" s="571">
        <f t="shared" si="423"/>
        <v>34.555348515591156</v>
      </c>
      <c r="CG184" s="573">
        <f t="shared" si="424"/>
        <v>0.11</v>
      </c>
      <c r="CH184" s="219">
        <f t="shared" si="425"/>
        <v>0.11</v>
      </c>
      <c r="CI184" s="219">
        <f t="shared" si="426"/>
        <v>0.11</v>
      </c>
      <c r="CJ184" s="219">
        <f t="shared" si="427"/>
        <v>0.11</v>
      </c>
      <c r="CK184" s="219">
        <f t="shared" si="428"/>
        <v>0.11</v>
      </c>
      <c r="CL184" s="219">
        <f t="shared" si="429"/>
        <v>0.11</v>
      </c>
      <c r="CM184" s="219">
        <f t="shared" si="430"/>
        <v>9.921279218098264E-2</v>
      </c>
      <c r="CN184" s="569">
        <f t="shared" si="431"/>
        <v>9.921279218098264E-2</v>
      </c>
      <c r="CO184" s="264">
        <f t="shared" si="514"/>
        <v>21.676900356733455</v>
      </c>
      <c r="CP184" s="216">
        <f t="shared" si="502"/>
        <v>21.676900356733455</v>
      </c>
      <c r="CQ184" s="216">
        <f t="shared" ca="1" si="532"/>
        <v>21.676900356733455</v>
      </c>
      <c r="CR184" s="216">
        <f t="shared" ca="1" si="533"/>
        <v>21.676900356733455</v>
      </c>
      <c r="CS184" s="1626">
        <f t="shared" ca="1" si="534"/>
        <v>21.676900356733455</v>
      </c>
      <c r="CT184" s="216">
        <f t="shared" si="503"/>
        <v>21.676900356733455</v>
      </c>
      <c r="CU184" s="575">
        <f t="shared" si="432"/>
        <v>0.154</v>
      </c>
      <c r="CV184" s="154">
        <f t="shared" si="433"/>
        <v>0.5</v>
      </c>
      <c r="CW184" s="216">
        <f>IF(OR($BQ184,$BS184),SpreadOptPowerMargin,0)*((1+Assumptions!$C$26)^($B184-YEAR(Assumptions!$C$17)))</f>
        <v>2.2380737551103738</v>
      </c>
      <c r="CX184" s="216">
        <f>IF(OR($BQ184,$BS184),SpreadOptPowerMargin,0)*((1+Assumptions!$C$26)^($B184-YEAR(Assumptions!$C$17)))</f>
        <v>2.2380737551103738</v>
      </c>
      <c r="CY184" s="216">
        <f>IF(OR($BQ184,$BS184),SpreadOptPowerMargin,0)*((1+Assumptions!$C$26)^($B184-YEAR(Assumptions!$C$17)))</f>
        <v>2.2380737551103738</v>
      </c>
      <c r="CZ184" s="216">
        <f>IF(OR($BQ184,$BS184),SpreadOptPowerMargin,0)*((1+Assumptions!$C$26)^($B184-YEAR(Assumptions!$C$17)))</f>
        <v>2.2380737551103738</v>
      </c>
      <c r="DA184" s="440">
        <f t="shared" si="434"/>
        <v>2.2380737551103733</v>
      </c>
      <c r="DB184" s="479">
        <f t="shared" si="435"/>
        <v>0.11</v>
      </c>
      <c r="DC184" s="479">
        <f t="shared" si="436"/>
        <v>0.11</v>
      </c>
      <c r="DD184" s="479">
        <f t="shared" si="437"/>
        <v>0.11</v>
      </c>
      <c r="DE184" s="479">
        <f t="shared" si="438"/>
        <v>0.11</v>
      </c>
      <c r="DF184" s="479">
        <f t="shared" si="439"/>
        <v>9.921279218098264E-2</v>
      </c>
      <c r="DG184" s="574">
        <f t="shared" si="440"/>
        <v>9.921279218098264E-2</v>
      </c>
      <c r="DH184" s="216">
        <f t="shared" si="441"/>
        <v>17.385806394490633</v>
      </c>
      <c r="DI184" s="216">
        <f t="shared" si="442"/>
        <v>17.385806394490633</v>
      </c>
      <c r="DJ184" s="216">
        <f t="shared" ca="1" si="535"/>
        <v>6.3218962416380204</v>
      </c>
      <c r="DK184" s="216">
        <f t="shared" ca="1" si="536"/>
        <v>6.3218963784938422</v>
      </c>
      <c r="DL184" s="216">
        <f t="shared" ca="1" si="537"/>
        <v>12.28336415247329</v>
      </c>
      <c r="DM184" s="216"/>
      <c r="DN184" s="216"/>
      <c r="DO184" s="216"/>
      <c r="DP184" s="216"/>
      <c r="DQ184" s="216"/>
      <c r="DR184" s="216"/>
      <c r="DS184" s="216"/>
      <c r="DT184" s="216"/>
      <c r="DU184" s="216"/>
      <c r="DV184" s="216"/>
      <c r="DW184" s="1371">
        <f t="shared" si="443"/>
        <v>6.3218962416380204</v>
      </c>
      <c r="DX184" s="216">
        <f t="shared" si="444"/>
        <v>6.3218963784938422</v>
      </c>
      <c r="DY184" s="440">
        <f t="shared" si="445"/>
        <v>12.714377708904804</v>
      </c>
      <c r="DZ184" s="180">
        <f t="shared" si="446"/>
        <v>801388.31427020906</v>
      </c>
      <c r="EA184" s="180">
        <f t="shared" si="447"/>
        <v>145706.96623094709</v>
      </c>
      <c r="EB184" s="180">
        <f t="shared" ca="1" si="538"/>
        <v>52982.548021919916</v>
      </c>
      <c r="EC184" s="180">
        <f t="shared" ca="1" si="539"/>
        <v>198684.55938330447</v>
      </c>
      <c r="ED184" s="180">
        <f t="shared" ca="1" si="540"/>
        <v>1158124.7057517916</v>
      </c>
      <c r="EE184" s="581">
        <f t="shared" si="448"/>
        <v>753271.32477523852</v>
      </c>
      <c r="EF184" s="554">
        <f t="shared" si="449"/>
        <v>136958.42268640699</v>
      </c>
      <c r="EG184" s="554">
        <f t="shared" ca="1" si="541"/>
        <v>23786.801380382378</v>
      </c>
      <c r="EH184" s="554">
        <f t="shared" ca="1" si="542"/>
        <v>89200.511440884482</v>
      </c>
      <c r="EI184" s="561">
        <f t="shared" ca="1" si="450"/>
        <v>1003217.0602829129</v>
      </c>
      <c r="EJ184" s="581">
        <f t="shared" si="504"/>
        <v>48116.989494970534</v>
      </c>
      <c r="EK184" s="554">
        <f t="shared" si="505"/>
        <v>8748.5435445400944</v>
      </c>
      <c r="EL184" s="554">
        <f t="shared" ca="1" si="543"/>
        <v>29195.746641537538</v>
      </c>
      <c r="EM184" s="554">
        <f t="shared" ca="1" si="544"/>
        <v>109484.04794241999</v>
      </c>
      <c r="EN184" s="561">
        <f t="shared" ca="1" si="545"/>
        <v>154907.64546887868</v>
      </c>
      <c r="EO184" s="180">
        <f t="shared" si="451"/>
        <v>3205553.2570808362</v>
      </c>
      <c r="EP184" s="180">
        <f t="shared" si="452"/>
        <v>582827.86492378835</v>
      </c>
      <c r="EQ184" s="180">
        <f t="shared" si="453"/>
        <v>211930.19208767966</v>
      </c>
      <c r="ER184" s="180">
        <f t="shared" si="454"/>
        <v>794738.23753321788</v>
      </c>
      <c r="ES184" s="180">
        <f t="shared" si="455"/>
        <v>4795049.5516255219</v>
      </c>
      <c r="ET184" s="1482">
        <f t="shared" ca="1" si="546"/>
        <v>3013085.2991009541</v>
      </c>
      <c r="EU184" s="180">
        <f t="shared" ca="1" si="547"/>
        <v>547833.69074562797</v>
      </c>
      <c r="EV184" s="180">
        <f t="shared" ca="1" si="548"/>
        <v>95147.205521529511</v>
      </c>
      <c r="EW184" s="180">
        <f t="shared" ca="1" si="549"/>
        <v>356802.04576353793</v>
      </c>
      <c r="EX184" s="555">
        <f t="shared" ca="1" si="522"/>
        <v>4012868.2411316494</v>
      </c>
      <c r="EY184" s="180">
        <f t="shared" ca="1" si="550"/>
        <v>192467.95797988214</v>
      </c>
      <c r="EZ184" s="180">
        <f t="shared" ca="1" si="551"/>
        <v>34994.174178160378</v>
      </c>
      <c r="FA184" s="180">
        <f t="shared" ca="1" si="552"/>
        <v>116782.98656615015</v>
      </c>
      <c r="FB184" s="180">
        <f t="shared" ca="1" si="553"/>
        <v>437936.19176967995</v>
      </c>
      <c r="FC184" s="180">
        <f t="shared" ca="1" si="554"/>
        <v>782181.3104938725</v>
      </c>
      <c r="FD184" s="262">
        <f>IF(AX184,IF(VLOOKUP(C184,MAIN!$L$17:$M$28,2)="Yes",VLOOKUP(CALC!B184,MAIN!$H$17:$I$20,2),0),0)</f>
        <v>0</v>
      </c>
      <c r="FE184" s="623">
        <f t="shared" si="456"/>
        <v>0</v>
      </c>
      <c r="FF184" s="535">
        <f t="shared" si="457"/>
        <v>0</v>
      </c>
      <c r="FG184" s="535">
        <f t="shared" si="458"/>
        <v>0</v>
      </c>
      <c r="FH184" s="624">
        <f t="shared" si="459"/>
        <v>0</v>
      </c>
      <c r="FI184" s="632">
        <f>IF(AX184,VLOOKUP(CALC!B184,MAIN!$H$17:$K$20,4),0)</f>
        <v>0</v>
      </c>
      <c r="FJ184" s="535">
        <f t="shared" si="460"/>
        <v>0</v>
      </c>
      <c r="FK184" s="648">
        <f t="shared" si="506"/>
        <v>0</v>
      </c>
      <c r="FL184" s="530">
        <f t="shared" ca="1" si="555"/>
        <v>0</v>
      </c>
      <c r="FM184" s="530">
        <f t="shared" ca="1" si="556"/>
        <v>0</v>
      </c>
      <c r="FN184" s="530">
        <f t="shared" ca="1" si="557"/>
        <v>0</v>
      </c>
      <c r="FO184" s="622">
        <f t="shared" ca="1" si="558"/>
        <v>0</v>
      </c>
      <c r="FP184" s="530">
        <f t="shared" ca="1" si="559"/>
        <v>0</v>
      </c>
      <c r="FQ184" s="530">
        <f t="shared" ca="1" si="560"/>
        <v>0</v>
      </c>
      <c r="FR184" s="530">
        <f t="shared" ca="1" si="561"/>
        <v>0</v>
      </c>
      <c r="FS184" s="625">
        <f t="shared" ca="1" si="562"/>
        <v>0</v>
      </c>
      <c r="FT184" s="640">
        <f ca="1">IF(AND(Assumptions!$H$71="Yes",A184&gt;=Assumptions!$H$72,A184&lt;=Assumptions!$H$73),0,IF(AND($A184&gt;=Assumptions!$C$17,$A184&lt;=Assumptions!$C$18),MAX(AZ184*(1+VLOOKUP($C184,WeatherCapacityAdjustment,2))-FL184,0),0))</f>
        <v>46094.400000000001</v>
      </c>
      <c r="FU184" s="530">
        <f ca="1">IF(AND(Assumptions!$H$71="Yes",A184&gt;=Assumptions!$H$72,A184&lt;=Assumptions!$H$73),0,IF(AND($A184&gt;=Assumptions!$C$17,$A184&lt;=Assumptions!$C$18),MAX(BA184*(1+VLOOKUP($C184,WeatherCapacityAdjustment,2))-FM184,0),0))</f>
        <v>8380.7999999999993</v>
      </c>
      <c r="FV184" s="530">
        <f ca="1">IF(AND(Assumptions!$H$71="Yes",A184&gt;=Assumptions!$H$72,A184&lt;=Assumptions!$H$73),0,IF(AND($A184&gt;=Assumptions!$C$17,$A184&lt;=Assumptions!$C$18),MAX(BB184*(1+VLOOKUP($C184,WeatherCapacityAdjustment,2))-FN184,0),0))</f>
        <v>8380.7999999999993</v>
      </c>
      <c r="FW184" s="622">
        <f ca="1">IF(AND(Assumptions!$H$71="Yes",A184&gt;=Assumptions!$H$72,A184&lt;=Assumptions!$H$73),0,IF(AND($A184&gt;=Assumptions!$C$17,$A184&lt;=Assumptions!$C$18),MAX(BC184*(1+VLOOKUP($C184,WeatherCapacityAdjustment,3))-FO184,0),0))</f>
        <v>31428</v>
      </c>
      <c r="FX184" s="621">
        <f ca="1">IF(AND(Assumptions!$H$71="Yes",A184&gt;=Assumptions!$H$72,A184&lt;=Assumptions!$H$73),0,IF(ET184&gt;0,MAX(BH184*(1+VLOOKUP($C184,WeatherCapacityAdjustment,2))-FP184,0),0))</f>
        <v>184377.60000000001</v>
      </c>
      <c r="FY184" s="530">
        <f ca="1">IF(AND(Assumptions!$H$71="Yes",A184&gt;=Assumptions!$H$72,A184&lt;=Assumptions!$H$73),0,IF(EU184&gt;0,MAX(BI184*(1+VLOOKUP($C184,WeatherCapacityAdjustment,3))-FQ184,0),0))</f>
        <v>33523.199999999997</v>
      </c>
      <c r="FZ184" s="530">
        <f ca="1">IF(AND(Assumptions!$H$71="Yes",A184&gt;=Assumptions!$H$72,A184&lt;=Assumptions!$H$73),0,IF(EV184&gt;0,MAX(BJ184*(1+VLOOKUP($C184,WeatherCapacityAdjustment,2))-FR184,0),0))</f>
        <v>33523.199999999997</v>
      </c>
      <c r="GA184" s="622">
        <f ca="1">IF(AND(Assumptions!$H$71="Yes",A184&gt;=Assumptions!$H$72,A184&lt;=Assumptions!$H$73),0,IF(EW184&gt;0,MAX(BK184*(1+VLOOKUP($C184,WeatherCapacityAdjustment,2))-FS184,0),0))</f>
        <v>125712</v>
      </c>
      <c r="GB184" s="530">
        <f t="shared" ca="1" si="461"/>
        <v>471420</v>
      </c>
      <c r="GC184" s="545">
        <f t="shared" ca="1" si="462"/>
        <v>34.555348515591156</v>
      </c>
      <c r="GD184" s="530">
        <f t="shared" ca="1" si="563"/>
        <v>16290082.397219978</v>
      </c>
      <c r="GE184" s="1485">
        <f t="shared" ca="1" si="564"/>
        <v>676342.50263999996</v>
      </c>
      <c r="GF184" s="1776">
        <f t="shared" ca="1" si="565"/>
        <v>2705370.0105599998</v>
      </c>
      <c r="GG184" s="545">
        <f t="shared" si="530"/>
        <v>3.0218193670465094</v>
      </c>
      <c r="GH184" s="622">
        <f t="shared" ca="1" si="531"/>
        <v>10218924.366171284</v>
      </c>
      <c r="GI184" s="621">
        <f t="shared" ca="1" si="507"/>
        <v>471420</v>
      </c>
      <c r="GJ184" s="638">
        <f t="shared" si="463"/>
        <v>2.2380737551103733</v>
      </c>
      <c r="GK184" s="625">
        <f t="shared" ca="1" si="513"/>
        <v>1055072.7296341322</v>
      </c>
      <c r="GL184" s="640">
        <f t="shared" ca="1" si="566"/>
        <v>0</v>
      </c>
      <c r="GM184" s="530">
        <f t="shared" ca="1" si="567"/>
        <v>0</v>
      </c>
      <c r="GN184" s="530">
        <f t="shared" ca="1" si="568"/>
        <v>0</v>
      </c>
      <c r="GO184" s="622">
        <f t="shared" ca="1" si="569"/>
        <v>0</v>
      </c>
      <c r="GP184" s="530">
        <f t="shared" ca="1" si="464"/>
        <v>0</v>
      </c>
      <c r="GQ184" s="545">
        <f t="shared" ca="1" si="465"/>
        <v>0</v>
      </c>
      <c r="GR184" s="625">
        <f t="shared" ca="1" si="570"/>
        <v>0</v>
      </c>
      <c r="GS184" s="640">
        <f>IF($A184&gt;=BegDate,Assumptions!$C$56*24*($A185-$A184)*(1-VLOOKUP($B184,MAIN!$AA$7:$AM$28,$C184+1))*(1-VLOOKUP($B184,MAIN!$AA$33:$AM$54,$C184+1)),0)*80/168</f>
        <v>224485.71428571429</v>
      </c>
      <c r="GT184" s="1715">
        <f t="shared" si="508"/>
        <v>40.256901217419312</v>
      </c>
      <c r="GU184" s="1715">
        <f>IF($A184&gt;=BegDate,VLOOKUP($A184,GasTable,13)+Assumptions!$C$58,0)</f>
        <v>3.0218193670465094</v>
      </c>
      <c r="GV184" s="1715">
        <f>GU184*Assumptions!$C$57/1000</f>
        <v>21.908190411087194</v>
      </c>
      <c r="GW184" s="625">
        <f>IF(Assumptions!$C$60="Hourly",MAX(0,GS184*(GT184-GV184)),GS184*(GT184-GV184))</f>
        <v>4119023.4515814702</v>
      </c>
      <c r="GX184" s="640">
        <f>IF($A184&gt;=BegDate,Assumptions!$C$56*24*($A185-$A184)*(1-VLOOKUP($B184,MAIN!$AA$7:$AM$28,$C184+1))*(1-VLOOKUP($B184,MAIN!$AA$33:$AM$54,$C184+1)),0)*16/168</f>
        <v>44897.142857142855</v>
      </c>
      <c r="GY184" s="1715">
        <f t="shared" si="509"/>
        <v>40.256901217419312</v>
      </c>
      <c r="GZ184" s="1715">
        <f>IF($A184&gt;=BegDate,VLOOKUP($A184,GasTable,13)+Assumptions!$C$58,0)</f>
        <v>3.0218193670465094</v>
      </c>
      <c r="HA184" s="1715">
        <f>GZ184*Assumptions!$C$57/1000</f>
        <v>21.908190411087194</v>
      </c>
      <c r="HB184" s="625">
        <f>IF(Assumptions!$C$60="Hourly",MAX(0,GX184*(GY184-HA184)),GX184*(GY184-HA184))</f>
        <v>823804.69031629397</v>
      </c>
      <c r="HC184" s="640">
        <f>IF($A184&gt;=BegDate,Assumptions!$C$56*24*($A185-$A184)*(1-VLOOKUP($B184,MAIN!$AA$7:$AM$28,$C184+1))*(1-VLOOKUP($B184,MAIN!$AA$33:$AM$54,$C184+1)),0)*16/168</f>
        <v>44897.142857142855</v>
      </c>
      <c r="HD184" s="1715">
        <f t="shared" si="510"/>
        <v>26.753223608357573</v>
      </c>
      <c r="HE184" s="1715">
        <f>IF($A184&gt;=BegDate,VLOOKUP($A184,GasTable,13)+Assumptions!$C$58,0)</f>
        <v>3.0218193670465094</v>
      </c>
      <c r="HF184" s="1715">
        <f>HE184*Assumptions!$C$57/1000</f>
        <v>21.908190411087194</v>
      </c>
      <c r="HG184" s="625">
        <f>IF(Assumptions!$C$60="Hourly",MAX(0,HC184*(HD184-HF184)),HC184*(HD184-HF184))</f>
        <v>217528.1476054478</v>
      </c>
      <c r="HH184" s="640">
        <f>IF($A184&gt;=BegDate,Assumptions!$C$56*24*($A185-$A184)*(1-VLOOKUP($B184,MAIN!$AA$7:$AM$28,$C184+1))*(1-VLOOKUP($B184,MAIN!$AA$33:$AM$54,$C184+1)),0)*56/168</f>
        <v>157140</v>
      </c>
      <c r="HI184" s="1715">
        <f t="shared" si="511"/>
        <v>26.753223608357573</v>
      </c>
      <c r="HJ184" s="1715">
        <f>IF($A184&gt;=BegDate,VLOOKUP($A184,GasTable,13)+Assumptions!$C$58,0)</f>
        <v>3.0218193670465094</v>
      </c>
      <c r="HK184" s="1715">
        <f>HJ184*Assumptions!$C$57/1000</f>
        <v>21.908190411087194</v>
      </c>
      <c r="HL184" s="625">
        <f>IF(Assumptions!$C$60="Hourly",MAX(0,HH184*(HI184-HK184)),HH184*(HI184-HK184))</f>
        <v>761348.51661906729</v>
      </c>
      <c r="HM184" s="640">
        <f>IF(AND(Assumptions!$H$71="Yes",A184&gt;=Assumptions!$H$72,A184&lt;=Assumptions!$H$73),Assumptions!$H$74*Assumptions!$C$9*1000,0)</f>
        <v>0</v>
      </c>
      <c r="HN184" s="530"/>
      <c r="HO184" s="545"/>
      <c r="HP184" s="545"/>
      <c r="HQ184" s="545"/>
      <c r="HR184" s="545"/>
      <c r="HS184" s="545"/>
      <c r="HT184" s="545"/>
      <c r="HU184" s="545"/>
      <c r="HV184" s="545"/>
      <c r="HW184" s="545"/>
      <c r="HX184" s="545"/>
      <c r="HY184" s="545"/>
      <c r="HZ184" s="545"/>
      <c r="IA184" s="545"/>
      <c r="IB184" s="545"/>
      <c r="IC184" s="545"/>
      <c r="ID184" s="545"/>
      <c r="IE184" s="545"/>
      <c r="IF184" s="545"/>
      <c r="IG184" s="545"/>
      <c r="IH184" s="545"/>
      <c r="II184" s="1464"/>
      <c r="IJ184" s="1463"/>
      <c r="IK184" s="1463"/>
    </row>
    <row r="185" spans="1:245">
      <c r="A185" s="177">
        <f t="shared" si="466"/>
        <v>41760</v>
      </c>
      <c r="B185" s="349">
        <f t="shared" si="467"/>
        <v>2014</v>
      </c>
      <c r="C185" s="15">
        <f t="shared" si="523"/>
        <v>5</v>
      </c>
      <c r="D185" s="612">
        <f t="shared" si="468"/>
        <v>41785</v>
      </c>
      <c r="E185" s="609">
        <f t="shared" si="524"/>
        <v>41760</v>
      </c>
      <c r="F185" s="614">
        <f t="shared" si="525"/>
        <v>41790</v>
      </c>
      <c r="G185" s="1349">
        <v>0</v>
      </c>
      <c r="H185" s="152">
        <f t="shared" si="512"/>
        <v>1</v>
      </c>
      <c r="I185" s="154">
        <f>IF(Assumptions!$L$25=4,VLOOKUP($A185,'Henwood Reference'!$E$9:$R$320,10),(VLOOKUP($A185,PriceTable,2,0)+IF(BasisNumber&lt;&gt;1,VLOOKUP($A185,BasisTable,2,0),0)+I$1)/(1-I$2))</f>
        <v>44.175093404334511</v>
      </c>
      <c r="J185" s="154">
        <f>IF(Assumptions!$L$25=4,VLOOKUP($A185,'Henwood Reference'!$E$9:$R$320,10),(VLOOKUP($A185,PriceTable,3,0)+IF(BasisNumber&lt;&gt;1,VLOOKUP($A185,BasisTable,2,0),0)+J$1)/(1-J$2))</f>
        <v>44.175093404334511</v>
      </c>
      <c r="K185" s="154">
        <f>IF(Assumptions!$L$25=4,VLOOKUP($A185,'Henwood Reference'!$E$9:$R$320,10),(VLOOKUP($A185,PriceTable,4,0)+IF(BasisNumber&lt;&gt;1,VLOOKUP($A185,BasisTable,2,0),0)+K$1)/(1-K$2))</f>
        <v>44.175093404334511</v>
      </c>
      <c r="L185" s="474">
        <f>IF(Assumptions!$L$25=4,VLOOKUP($A185,'Henwood Reference'!$E$9:$R$320,10),(VLOOKUP($A185,PriceTableWeekend,2,0)+IF(BasisNumber&lt;&gt;1,VLOOKUP($A185,BasisTable,2,0),0)+L$1)/(1-L$2))</f>
        <v>44.175093404334511</v>
      </c>
      <c r="M185" s="154">
        <f>IF(Assumptions!$L$25=4,VLOOKUP($A185,'Henwood Reference'!$E$9:$R$320,10),(VLOOKUP($A185,PriceTableWeekend,3,0)+IF(BasisNumber&lt;&gt;1,VLOOKUP($A185,BasisTable,2,0),0)+M$1)/(1-M$2))</f>
        <v>44.175093404334511</v>
      </c>
      <c r="N185" s="156">
        <f>IF(Assumptions!$L$25=4,VLOOKUP($A185,'Henwood Reference'!$E$9:$R$320,10),(VLOOKUP($A185,PriceTableWeekend,4,0)+IF(BasisNumber&lt;&gt;1,VLOOKUP($A185,BasisTable,2,0),0)+N$1)/(1-N$2))</f>
        <v>44.175093404334511</v>
      </c>
      <c r="O185" s="154">
        <f>IF(Assumptions!$L$25=4,VLOOKUP($A185,'Henwood Reference'!$E$9:$R$320,11),(VLOOKUP($A185,PriceTableWeekend,6,0)+IF(BasisNumber&lt;&gt;1,VLOOKUP($A185,BasisTable,3,0),0)+O$1)/(1-O$2))</f>
        <v>26.4998836858495</v>
      </c>
      <c r="P185" s="154">
        <f>IF(Assumptions!$L$25=4,VLOOKUP($A185,'Henwood Reference'!$E$9:$R$320,11),(VLOOKUP($A185,PriceTableWeekend,7,0)+IF(BasisNumber&lt;&gt;1,VLOOKUP($A185,BasisTable,3,0),0)+P$1)/(1-P$2))</f>
        <v>26.4998836858495</v>
      </c>
      <c r="Q185" s="156">
        <f>IF(Assumptions!$L$25=4,VLOOKUP($A185,'Henwood Reference'!$E$9:$R$320,11),(VLOOKUP($A185,PriceTableWeekend,8,0)+IF(BasisNumber&lt;&gt;1,VLOOKUP($A185,BasisTable,3,0),0)+Q$1)/(1-Q$2))</f>
        <v>26.4998836858495</v>
      </c>
      <c r="R185" s="154">
        <f>IF(Assumptions!$L$25=4,VLOOKUP($A185,'Henwood Reference'!$E$9:$R$320,11),(VLOOKUP($A185,PriceTable,6,0)+IF(BasisNumber&lt;&gt;1,VLOOKUP($A185,BasisTable,3,0),0)+R$1)/(1-R$2))</f>
        <v>26.4998836858495</v>
      </c>
      <c r="S185" s="154">
        <f>IF(Assumptions!$L$25=4,VLOOKUP($A185,'Henwood Reference'!$E$9:$R$320,11),(VLOOKUP($A185,PriceTable,7,0)+IF(BasisNumber&lt;&gt;1,VLOOKUP($A185,BasisTable,3,0),0)+S$1)/(1-S$2))</f>
        <v>26.4998836858495</v>
      </c>
      <c r="T185" s="155">
        <f>IF(Assumptions!$L$25=4,VLOOKUP($A185,'Henwood Reference'!$E$9:$R$320,11),(VLOOKUP($A185,PriceTable,8,0)+IF(BasisNumber&lt;&gt;1,VLOOKUP($A185,BasisTable,3,0),0)+T$1)/(1-T$2))</f>
        <v>26.4998836858495</v>
      </c>
      <c r="U185" s="173">
        <f t="shared" si="469"/>
        <v>9.9999999999999936E-2</v>
      </c>
      <c r="V185" s="173">
        <f t="shared" si="470"/>
        <v>0.11</v>
      </c>
      <c r="W185" s="174">
        <f t="shared" si="471"/>
        <v>0.12</v>
      </c>
      <c r="X185" s="173">
        <f t="shared" si="472"/>
        <v>9.9999999999999936E-2</v>
      </c>
      <c r="Y185" s="173">
        <f t="shared" si="473"/>
        <v>0.11</v>
      </c>
      <c r="Z185" s="174">
        <f t="shared" si="474"/>
        <v>0.12</v>
      </c>
      <c r="AA185" s="173">
        <f t="shared" si="475"/>
        <v>0.09</v>
      </c>
      <c r="AB185" s="173">
        <f t="shared" si="476"/>
        <v>0.11</v>
      </c>
      <c r="AC185" s="174">
        <f t="shared" si="477"/>
        <v>0.13</v>
      </c>
      <c r="AD185" s="173">
        <f t="shared" si="478"/>
        <v>0.09</v>
      </c>
      <c r="AE185" s="173">
        <f t="shared" si="479"/>
        <v>0.11</v>
      </c>
      <c r="AF185" s="174">
        <f t="shared" si="480"/>
        <v>0.13</v>
      </c>
      <c r="AG185" s="173">
        <f t="shared" si="481"/>
        <v>-0.1</v>
      </c>
      <c r="AH185" s="173">
        <f t="shared" si="482"/>
        <v>0.65</v>
      </c>
      <c r="AI185" s="174">
        <f t="shared" si="483"/>
        <v>0.1</v>
      </c>
      <c r="AJ185" s="173">
        <f t="shared" si="484"/>
        <v>-0.1</v>
      </c>
      <c r="AK185" s="173">
        <f t="shared" si="485"/>
        <v>0.65</v>
      </c>
      <c r="AL185" s="174">
        <f t="shared" si="486"/>
        <v>0.1</v>
      </c>
      <c r="AM185" s="173">
        <f t="shared" si="487"/>
        <v>-0.01</v>
      </c>
      <c r="AN185" s="173">
        <f t="shared" si="488"/>
        <v>0.16</v>
      </c>
      <c r="AO185" s="174">
        <f t="shared" si="489"/>
        <v>0.01</v>
      </c>
      <c r="AP185" s="173">
        <f t="shared" si="490"/>
        <v>-0.01</v>
      </c>
      <c r="AQ185" s="173">
        <f t="shared" si="491"/>
        <v>0.16</v>
      </c>
      <c r="AR185" s="175">
        <f t="shared" si="492"/>
        <v>0.01</v>
      </c>
      <c r="AS185" s="521">
        <f t="shared" si="528"/>
        <v>0.5</v>
      </c>
      <c r="AT185" s="349">
        <f t="shared" si="526"/>
        <v>21</v>
      </c>
      <c r="AU185" s="159">
        <f t="shared" si="411"/>
        <v>5</v>
      </c>
      <c r="AV185" s="159">
        <f t="shared" si="412"/>
        <v>4</v>
      </c>
      <c r="AW185" s="159">
        <f t="shared" si="529"/>
        <v>1</v>
      </c>
      <c r="AX185" s="15">
        <f t="shared" si="527"/>
        <v>31</v>
      </c>
      <c r="AY185" s="607">
        <f>IF(E185="",0,MIN((1-(1-VLOOKUP(B185,MAIN!$AA$7:$AM$28,C185+1))*(1-VLOOKUP(B185,MAIN!$AA$33:$AM$54,C185+1))),1))</f>
        <v>3.0000000000000027E-2</v>
      </c>
      <c r="AZ185" s="337">
        <v>48888</v>
      </c>
      <c r="BA185" s="509">
        <v>11640</v>
      </c>
      <c r="BB185" s="509">
        <v>11640</v>
      </c>
      <c r="BC185" s="511">
        <v>36084</v>
      </c>
      <c r="BD185" s="153">
        <v>0.97</v>
      </c>
      <c r="BE185" s="474">
        <v>0.97</v>
      </c>
      <c r="BF185" s="474">
        <v>0.97</v>
      </c>
      <c r="BG185" s="515">
        <v>0.97</v>
      </c>
      <c r="BH185" s="262">
        <v>195552</v>
      </c>
      <c r="BI185" s="509">
        <v>46560</v>
      </c>
      <c r="BJ185" s="509">
        <v>46560</v>
      </c>
      <c r="BK185" s="511">
        <v>144336</v>
      </c>
      <c r="BL185" s="153">
        <v>0.97</v>
      </c>
      <c r="BM185" s="474">
        <v>0.97</v>
      </c>
      <c r="BN185" s="474">
        <v>0.97</v>
      </c>
      <c r="BO185" s="474">
        <v>0.97</v>
      </c>
      <c r="BP185" s="261">
        <f t="shared" si="495"/>
        <v>72168</v>
      </c>
      <c r="BQ185" s="578">
        <f t="shared" si="496"/>
        <v>108252</v>
      </c>
      <c r="BR185" s="259">
        <f t="shared" si="497"/>
        <v>288672</v>
      </c>
      <c r="BS185" s="578">
        <f t="shared" si="498"/>
        <v>433008</v>
      </c>
      <c r="BT185" s="216">
        <f t="shared" si="499"/>
        <v>14.04517453798768</v>
      </c>
      <c r="BU185" s="218">
        <f t="shared" si="414"/>
        <v>44.175093404334511</v>
      </c>
      <c r="BV185" s="216">
        <f t="shared" si="415"/>
        <v>44.175093404334511</v>
      </c>
      <c r="BW185" s="216">
        <f t="shared" si="416"/>
        <v>26.4998836858495</v>
      </c>
      <c r="BX185" s="216">
        <f t="shared" si="500"/>
        <v>26.4998836858495</v>
      </c>
      <c r="BY185" s="216">
        <f t="shared" si="417"/>
        <v>41.324253127159501</v>
      </c>
      <c r="BZ185" s="216">
        <f t="shared" si="418"/>
        <v>36.382796646722838</v>
      </c>
      <c r="CA185" s="264">
        <f t="shared" si="419"/>
        <v>44.175093404334511</v>
      </c>
      <c r="CB185" s="216">
        <f t="shared" si="420"/>
        <v>44.175093404334511</v>
      </c>
      <c r="CC185" s="216">
        <f t="shared" si="421"/>
        <v>26.4998836858495</v>
      </c>
      <c r="CD185" s="216">
        <f t="shared" si="501"/>
        <v>26.4998836858495</v>
      </c>
      <c r="CE185" s="216">
        <f t="shared" si="422"/>
        <v>41.324253127159501</v>
      </c>
      <c r="CF185" s="571">
        <f t="shared" si="423"/>
        <v>36.382796646722838</v>
      </c>
      <c r="CG185" s="573">
        <f t="shared" si="424"/>
        <v>0.11</v>
      </c>
      <c r="CH185" s="219">
        <f t="shared" si="425"/>
        <v>0.11</v>
      </c>
      <c r="CI185" s="219">
        <f t="shared" si="426"/>
        <v>0.11</v>
      </c>
      <c r="CJ185" s="219">
        <f t="shared" si="427"/>
        <v>0.10999999999999999</v>
      </c>
      <c r="CK185" s="219">
        <f t="shared" si="428"/>
        <v>0.10999999999999999</v>
      </c>
      <c r="CL185" s="219">
        <f t="shared" si="429"/>
        <v>0.11</v>
      </c>
      <c r="CM185" s="219">
        <f t="shared" si="430"/>
        <v>9.9673531929427558E-2</v>
      </c>
      <c r="CN185" s="569">
        <f t="shared" si="431"/>
        <v>9.9673531929427558E-2</v>
      </c>
      <c r="CO185" s="264">
        <f t="shared" si="514"/>
        <v>21.487259579705178</v>
      </c>
      <c r="CP185" s="216">
        <f t="shared" si="502"/>
        <v>21.487259579705178</v>
      </c>
      <c r="CQ185" s="216">
        <f t="shared" ca="1" si="532"/>
        <v>21.487259579705178</v>
      </c>
      <c r="CR185" s="216">
        <f t="shared" ca="1" si="533"/>
        <v>21.487259579705178</v>
      </c>
      <c r="CS185" s="1626">
        <f t="shared" ca="1" si="534"/>
        <v>21.487259579705182</v>
      </c>
      <c r="CT185" s="216">
        <f t="shared" si="503"/>
        <v>21.487259579705178</v>
      </c>
      <c r="CU185" s="575">
        <f t="shared" si="432"/>
        <v>0.154</v>
      </c>
      <c r="CV185" s="154">
        <f t="shared" si="433"/>
        <v>0.5</v>
      </c>
      <c r="CW185" s="216">
        <f>IF(OR($BQ185,$BS185),SpreadOptPowerMargin,0)*((1+Assumptions!$C$26)^($B185-YEAR(Assumptions!$C$17)))</f>
        <v>2.2380737551103738</v>
      </c>
      <c r="CX185" s="216">
        <f>IF(OR($BQ185,$BS185),SpreadOptPowerMargin,0)*((1+Assumptions!$C$26)^($B185-YEAR(Assumptions!$C$17)))</f>
        <v>2.2380737551103738</v>
      </c>
      <c r="CY185" s="216">
        <f>IF(OR($BQ185,$BS185),SpreadOptPowerMargin,0)*((1+Assumptions!$C$26)^($B185-YEAR(Assumptions!$C$17)))</f>
        <v>2.2380737551103738</v>
      </c>
      <c r="CZ185" s="216">
        <f>IF(OR($BQ185,$BS185),SpreadOptPowerMargin,0)*((1+Assumptions!$C$26)^($B185-YEAR(Assumptions!$C$17)))</f>
        <v>2.2380737551103738</v>
      </c>
      <c r="DA185" s="440">
        <f t="shared" si="434"/>
        <v>2.2380737551103733</v>
      </c>
      <c r="DB185" s="479">
        <f t="shared" si="435"/>
        <v>0.11</v>
      </c>
      <c r="DC185" s="479">
        <f t="shared" si="436"/>
        <v>0.11</v>
      </c>
      <c r="DD185" s="479">
        <f t="shared" si="437"/>
        <v>0.11</v>
      </c>
      <c r="DE185" s="479">
        <f t="shared" si="438"/>
        <v>0.11</v>
      </c>
      <c r="DF185" s="479">
        <f t="shared" si="439"/>
        <v>9.9673531929427558E-2</v>
      </c>
      <c r="DG185" s="574">
        <f t="shared" si="440"/>
        <v>9.9673531929427558E-2</v>
      </c>
      <c r="DH185" s="216">
        <f t="shared" si="441"/>
        <v>21.171617242175216</v>
      </c>
      <c r="DI185" s="216">
        <f t="shared" si="442"/>
        <v>21.171617242175216</v>
      </c>
      <c r="DJ185" s="216">
        <f t="shared" ca="1" si="535"/>
        <v>6.2540706577586995</v>
      </c>
      <c r="DK185" s="216">
        <f t="shared" ca="1" si="536"/>
        <v>6.2540706577586995</v>
      </c>
      <c r="DL185" s="216">
        <f t="shared" ca="1" si="537"/>
        <v>14.011050812572345</v>
      </c>
      <c r="DM185" s="216"/>
      <c r="DN185" s="216"/>
      <c r="DO185" s="216"/>
      <c r="DP185" s="216"/>
      <c r="DQ185" s="216"/>
      <c r="DR185" s="216"/>
      <c r="DS185" s="216"/>
      <c r="DT185" s="216"/>
      <c r="DU185" s="216"/>
      <c r="DV185" s="216"/>
      <c r="DW185" s="1371">
        <f t="shared" si="443"/>
        <v>6.2540706577586995</v>
      </c>
      <c r="DX185" s="216">
        <f t="shared" si="444"/>
        <v>6.2540706577586995</v>
      </c>
      <c r="DY185" s="440">
        <f t="shared" si="445"/>
        <v>14.595064446894815</v>
      </c>
      <c r="DZ185" s="180">
        <f t="shared" si="446"/>
        <v>1035038.023735462</v>
      </c>
      <c r="EA185" s="180">
        <f t="shared" si="447"/>
        <v>246437.62469891951</v>
      </c>
      <c r="EB185" s="180">
        <f t="shared" ca="1" si="538"/>
        <v>72797.382456311258</v>
      </c>
      <c r="EC185" s="180">
        <f t="shared" ca="1" si="539"/>
        <v>225671.8856145649</v>
      </c>
      <c r="ED185" s="180">
        <f t="shared" ca="1" si="540"/>
        <v>1516724.2725625813</v>
      </c>
      <c r="EE185" s="581">
        <f t="shared" si="448"/>
        <v>999747.87027864286</v>
      </c>
      <c r="EF185" s="554">
        <f t="shared" si="449"/>
        <v>238035.20720920069</v>
      </c>
      <c r="EG185" s="554">
        <f t="shared" ca="1" si="541"/>
        <v>32295.766086035157</v>
      </c>
      <c r="EH185" s="554">
        <f t="shared" ca="1" si="542"/>
        <v>100116.87486670898</v>
      </c>
      <c r="EI185" s="561">
        <f t="shared" ca="1" si="450"/>
        <v>1370195.7184405872</v>
      </c>
      <c r="EJ185" s="581">
        <f t="shared" si="504"/>
        <v>35290.153456819127</v>
      </c>
      <c r="EK185" s="554">
        <f t="shared" si="505"/>
        <v>8402.4174897188204</v>
      </c>
      <c r="EL185" s="554">
        <f t="shared" ca="1" si="543"/>
        <v>40501.616370276097</v>
      </c>
      <c r="EM185" s="554">
        <f t="shared" ca="1" si="544"/>
        <v>125555.01074785592</v>
      </c>
      <c r="EN185" s="561">
        <f t="shared" ca="1" si="545"/>
        <v>146528.55412199418</v>
      </c>
      <c r="EO185" s="180">
        <f t="shared" si="451"/>
        <v>4140152.094941848</v>
      </c>
      <c r="EP185" s="180">
        <f t="shared" si="452"/>
        <v>985750.49879567802</v>
      </c>
      <c r="EQ185" s="180">
        <f t="shared" si="453"/>
        <v>291189.52982524503</v>
      </c>
      <c r="ER185" s="180">
        <f t="shared" si="454"/>
        <v>902687.54245825962</v>
      </c>
      <c r="ES185" s="180">
        <f t="shared" si="455"/>
        <v>6319779.6660210304</v>
      </c>
      <c r="ET185" s="1482">
        <f t="shared" ca="1" si="546"/>
        <v>3998991.4811145714</v>
      </c>
      <c r="EU185" s="180">
        <f t="shared" ca="1" si="547"/>
        <v>952140.82883680274</v>
      </c>
      <c r="EV185" s="180">
        <f t="shared" ca="1" si="548"/>
        <v>129183.06434414063</v>
      </c>
      <c r="EW185" s="180">
        <f t="shared" ca="1" si="549"/>
        <v>400467.49946683593</v>
      </c>
      <c r="EX185" s="555">
        <f t="shared" ca="1" si="522"/>
        <v>5480782.8737623505</v>
      </c>
      <c r="EY185" s="180">
        <f t="shared" ca="1" si="550"/>
        <v>141160.61382727651</v>
      </c>
      <c r="EZ185" s="180">
        <f t="shared" ca="1" si="551"/>
        <v>33609.669958875282</v>
      </c>
      <c r="FA185" s="180">
        <f t="shared" ca="1" si="552"/>
        <v>162006.46548110439</v>
      </c>
      <c r="FB185" s="180">
        <f t="shared" ca="1" si="553"/>
        <v>502220.04299142369</v>
      </c>
      <c r="FC185" s="180">
        <f t="shared" ca="1" si="554"/>
        <v>838996.79225867987</v>
      </c>
      <c r="FD185" s="262">
        <f>IF(AX185,IF(VLOOKUP(C185,MAIN!$L$17:$M$28,2)="Yes",VLOOKUP(CALC!B185,MAIN!$H$17:$I$20,2),0),0)</f>
        <v>0</v>
      </c>
      <c r="FE185" s="623">
        <f t="shared" si="456"/>
        <v>0</v>
      </c>
      <c r="FF185" s="535">
        <f t="shared" si="457"/>
        <v>0</v>
      </c>
      <c r="FG185" s="535">
        <f t="shared" si="458"/>
        <v>0</v>
      </c>
      <c r="FH185" s="624">
        <f t="shared" si="459"/>
        <v>0</v>
      </c>
      <c r="FI185" s="632">
        <f>IF(AX185,VLOOKUP(CALC!B185,MAIN!$H$17:$K$20,4),0)</f>
        <v>0</v>
      </c>
      <c r="FJ185" s="535">
        <f t="shared" si="460"/>
        <v>0</v>
      </c>
      <c r="FK185" s="648">
        <f t="shared" si="506"/>
        <v>0</v>
      </c>
      <c r="FL185" s="530">
        <f t="shared" ca="1" si="555"/>
        <v>0</v>
      </c>
      <c r="FM185" s="530">
        <f t="shared" ca="1" si="556"/>
        <v>0</v>
      </c>
      <c r="FN185" s="530">
        <f t="shared" ca="1" si="557"/>
        <v>0</v>
      </c>
      <c r="FO185" s="622">
        <f t="shared" ca="1" si="558"/>
        <v>0</v>
      </c>
      <c r="FP185" s="530">
        <f t="shared" ca="1" si="559"/>
        <v>0</v>
      </c>
      <c r="FQ185" s="530">
        <f t="shared" ca="1" si="560"/>
        <v>0</v>
      </c>
      <c r="FR185" s="530">
        <f t="shared" ca="1" si="561"/>
        <v>0</v>
      </c>
      <c r="FS185" s="625">
        <f t="shared" ca="1" si="562"/>
        <v>0</v>
      </c>
      <c r="FT185" s="640">
        <f ca="1">IF(AND(Assumptions!$H$71="Yes",A185&gt;=Assumptions!$H$72,A185&lt;=Assumptions!$H$73),0,IF(AND($A185&gt;=Assumptions!$C$17,$A185&lt;=Assumptions!$C$18),MAX(AZ185*(1+VLOOKUP($C185,WeatherCapacityAdjustment,2))-FL185,0),0))</f>
        <v>48888</v>
      </c>
      <c r="FU185" s="530">
        <f ca="1">IF(AND(Assumptions!$H$71="Yes",A185&gt;=Assumptions!$H$72,A185&lt;=Assumptions!$H$73),0,IF(AND($A185&gt;=Assumptions!$C$17,$A185&lt;=Assumptions!$C$18),MAX(BA185*(1+VLOOKUP($C185,WeatherCapacityAdjustment,2))-FM185,0),0))</f>
        <v>11640</v>
      </c>
      <c r="FV185" s="530">
        <f ca="1">IF(AND(Assumptions!$H$71="Yes",A185&gt;=Assumptions!$H$72,A185&lt;=Assumptions!$H$73),0,IF(AND($A185&gt;=Assumptions!$C$17,$A185&lt;=Assumptions!$C$18),MAX(BB185*(1+VLOOKUP($C185,WeatherCapacityAdjustment,2))-FN185,0),0))</f>
        <v>11640</v>
      </c>
      <c r="FW185" s="622">
        <f ca="1">IF(AND(Assumptions!$H$71="Yes",A185&gt;=Assumptions!$H$72,A185&lt;=Assumptions!$H$73),0,IF(AND($A185&gt;=Assumptions!$C$17,$A185&lt;=Assumptions!$C$18),MAX(BC185*(1+VLOOKUP($C185,WeatherCapacityAdjustment,3))-FO185,0),0))</f>
        <v>36084</v>
      </c>
      <c r="FX185" s="621">
        <f ca="1">IF(AND(Assumptions!$H$71="Yes",A185&gt;=Assumptions!$H$72,A185&lt;=Assumptions!$H$73),0,IF(ET185&gt;0,MAX(BH185*(1+VLOOKUP($C185,WeatherCapacityAdjustment,2))-FP185,0),0))</f>
        <v>195552</v>
      </c>
      <c r="FY185" s="530">
        <f ca="1">IF(AND(Assumptions!$H$71="Yes",A185&gt;=Assumptions!$H$72,A185&lt;=Assumptions!$H$73),0,IF(EU185&gt;0,MAX(BI185*(1+VLOOKUP($C185,WeatherCapacityAdjustment,3))-FQ185,0),0))</f>
        <v>46560</v>
      </c>
      <c r="FZ185" s="530">
        <f ca="1">IF(AND(Assumptions!$H$71="Yes",A185&gt;=Assumptions!$H$72,A185&lt;=Assumptions!$H$73),0,IF(EV185&gt;0,MAX(BJ185*(1+VLOOKUP($C185,WeatherCapacityAdjustment,2))-FR185,0),0))</f>
        <v>46560</v>
      </c>
      <c r="GA185" s="622">
        <f ca="1">IF(AND(Assumptions!$H$71="Yes",A185&gt;=Assumptions!$H$72,A185&lt;=Assumptions!$H$73),0,IF(EW185&gt;0,MAX(BK185*(1+VLOOKUP($C185,WeatherCapacityAdjustment,2))-FS185,0),0))</f>
        <v>144336</v>
      </c>
      <c r="GB185" s="530">
        <f t="shared" ca="1" si="461"/>
        <v>541260</v>
      </c>
      <c r="GC185" s="545">
        <f t="shared" ca="1" si="462"/>
        <v>36.382796646722838</v>
      </c>
      <c r="GD185" s="530">
        <f t="shared" ca="1" si="563"/>
        <v>19692552.513005204</v>
      </c>
      <c r="GE185" s="1485">
        <f t="shared" ca="1" si="564"/>
        <v>776859.65280000004</v>
      </c>
      <c r="GF185" s="1776">
        <f t="shared" ca="1" si="565"/>
        <v>3107438.6112000002</v>
      </c>
      <c r="GG185" s="545">
        <f t="shared" si="530"/>
        <v>2.9941557855895957</v>
      </c>
      <c r="GH185" s="622">
        <f t="shared" ca="1" si="531"/>
        <v>11630194.120111223</v>
      </c>
      <c r="GI185" s="621">
        <f t="shared" ca="1" si="507"/>
        <v>541260</v>
      </c>
      <c r="GJ185" s="638">
        <f t="shared" si="463"/>
        <v>2.2380737551103733</v>
      </c>
      <c r="GK185" s="625">
        <f t="shared" ca="1" si="513"/>
        <v>1211379.8006910407</v>
      </c>
      <c r="GL185" s="640">
        <f t="shared" ca="1" si="566"/>
        <v>0</v>
      </c>
      <c r="GM185" s="530">
        <f t="shared" ca="1" si="567"/>
        <v>0</v>
      </c>
      <c r="GN185" s="530">
        <f t="shared" ca="1" si="568"/>
        <v>0</v>
      </c>
      <c r="GO185" s="622">
        <f t="shared" ca="1" si="569"/>
        <v>0</v>
      </c>
      <c r="GP185" s="530">
        <f t="shared" ca="1" si="464"/>
        <v>0</v>
      </c>
      <c r="GQ185" s="545">
        <f t="shared" ca="1" si="465"/>
        <v>0</v>
      </c>
      <c r="GR185" s="625">
        <f t="shared" ca="1" si="570"/>
        <v>0</v>
      </c>
      <c r="GS185" s="640">
        <f>IF($A185&gt;=BegDate,Assumptions!$C$56*24*($A186-$A185)*(1-VLOOKUP($B185,MAIN!$AA$7:$AM$28,$C185+1))*(1-VLOOKUP($B185,MAIN!$AA$33:$AM$54,$C185+1)),0)*80/168</f>
        <v>257742.85714285713</v>
      </c>
      <c r="GT185" s="1715">
        <f t="shared" si="508"/>
        <v>44.175093404334511</v>
      </c>
      <c r="GU185" s="1715">
        <f>IF($A185&gt;=BegDate,VLOOKUP($A185,GasTable,13)+Assumptions!$C$58,0)</f>
        <v>2.9941557855895957</v>
      </c>
      <c r="GV185" s="1715">
        <f>GU185*Assumptions!$C$57/1000</f>
        <v>21.707629445524571</v>
      </c>
      <c r="GW185" s="625">
        <f>IF(Assumptions!$C$60="Hourly",MAX(0,GS185*(GT185-GV185)),GS185*(GT185-GV185))</f>
        <v>5790828.3534978414</v>
      </c>
      <c r="GX185" s="640">
        <f>IF($A185&gt;=BegDate,Assumptions!$C$56*24*($A186-$A185)*(1-VLOOKUP($B185,MAIN!$AA$7:$AM$28,$C185+1))*(1-VLOOKUP($B185,MAIN!$AA$33:$AM$54,$C185+1)),0)*16/168</f>
        <v>51548.571428571428</v>
      </c>
      <c r="GY185" s="1715">
        <f t="shared" si="509"/>
        <v>44.175093404334511</v>
      </c>
      <c r="GZ185" s="1715">
        <f>IF($A185&gt;=BegDate,VLOOKUP($A185,GasTable,13)+Assumptions!$C$58,0)</f>
        <v>2.9941557855895957</v>
      </c>
      <c r="HA185" s="1715">
        <f>GZ185*Assumptions!$C$57/1000</f>
        <v>21.707629445524571</v>
      </c>
      <c r="HB185" s="625">
        <f>IF(Assumptions!$C$60="Hourly",MAX(0,GX185*(GY185-HA185)),GX185*(GY185-HA185))</f>
        <v>1158165.6706995685</v>
      </c>
      <c r="HC185" s="640">
        <f>IF($A185&gt;=BegDate,Assumptions!$C$56*24*($A186-$A185)*(1-VLOOKUP($B185,MAIN!$AA$7:$AM$28,$C185+1))*(1-VLOOKUP($B185,MAIN!$AA$33:$AM$54,$C185+1)),0)*16/168</f>
        <v>51548.571428571428</v>
      </c>
      <c r="HD185" s="1715">
        <f t="shared" si="510"/>
        <v>26.4998836858495</v>
      </c>
      <c r="HE185" s="1715">
        <f>IF($A185&gt;=BegDate,VLOOKUP($A185,GasTable,13)+Assumptions!$C$58,0)</f>
        <v>2.9941557855895957</v>
      </c>
      <c r="HF185" s="1715">
        <f>HE185*Assumptions!$C$57/1000</f>
        <v>21.707629445524571</v>
      </c>
      <c r="HG185" s="625">
        <f>IF(Assumptions!$C$60="Hourly",MAX(0,HC185*(HD185-HF185)),HC185*(HD185-HF185))</f>
        <v>247033.86001126393</v>
      </c>
      <c r="HH185" s="640">
        <f>IF($A185&gt;=BegDate,Assumptions!$C$56*24*($A186-$A185)*(1-VLOOKUP($B185,MAIN!$AA$7:$AM$28,$C185+1))*(1-VLOOKUP($B185,MAIN!$AA$33:$AM$54,$C185+1)),0)*56/168</f>
        <v>180420</v>
      </c>
      <c r="HI185" s="1715">
        <f t="shared" si="511"/>
        <v>26.4998836858495</v>
      </c>
      <c r="HJ185" s="1715">
        <f>IF($A185&gt;=BegDate,VLOOKUP($A185,GasTable,13)+Assumptions!$C$58,0)</f>
        <v>2.9941557855895957</v>
      </c>
      <c r="HK185" s="1715">
        <f>HJ185*Assumptions!$C$57/1000</f>
        <v>21.707629445524571</v>
      </c>
      <c r="HL185" s="625">
        <f>IF(Assumptions!$C$60="Hourly",MAX(0,HH185*(HI185-HK185)),HH185*(HI185-HK185))</f>
        <v>864618.51003942383</v>
      </c>
      <c r="HM185" s="640">
        <f>IF(AND(Assumptions!$H$71="Yes",A185&gt;=Assumptions!$H$72,A185&lt;=Assumptions!$H$73),Assumptions!$H$74*Assumptions!$C$9*1000,0)</f>
        <v>0</v>
      </c>
      <c r="HN185" s="530"/>
      <c r="HO185" s="545"/>
      <c r="HP185" s="545"/>
      <c r="HQ185" s="545"/>
      <c r="HR185" s="545"/>
      <c r="HS185" s="545"/>
      <c r="HT185" s="545"/>
      <c r="HU185" s="545"/>
      <c r="HV185" s="545"/>
      <c r="HW185" s="545"/>
      <c r="HX185" s="545"/>
      <c r="HY185" s="545"/>
      <c r="HZ185" s="545"/>
      <c r="IA185" s="545"/>
      <c r="IB185" s="545"/>
      <c r="IC185" s="545"/>
      <c r="ID185" s="545"/>
      <c r="IE185" s="545"/>
      <c r="IF185" s="545"/>
      <c r="IG185" s="545"/>
      <c r="IH185" s="545"/>
      <c r="II185" s="1464"/>
      <c r="IJ185" s="1463"/>
      <c r="IK185" s="1463"/>
    </row>
    <row r="186" spans="1:245">
      <c r="A186" s="177">
        <f t="shared" si="466"/>
        <v>41791</v>
      </c>
      <c r="B186" s="349">
        <f t="shared" si="467"/>
        <v>2014</v>
      </c>
      <c r="C186" s="15">
        <f t="shared" si="523"/>
        <v>6</v>
      </c>
      <c r="D186" s="612" t="str">
        <f t="shared" si="468"/>
        <v/>
      </c>
      <c r="E186" s="609">
        <f t="shared" si="524"/>
        <v>41791</v>
      </c>
      <c r="F186" s="614">
        <f t="shared" si="525"/>
        <v>41820</v>
      </c>
      <c r="G186" s="1349">
        <v>0</v>
      </c>
      <c r="H186" s="152">
        <f t="shared" si="512"/>
        <v>1</v>
      </c>
      <c r="I186" s="154">
        <f>IF(Assumptions!$L$25=4,VLOOKUP($A186,'Henwood Reference'!$E$9:$R$320,10),(VLOOKUP($A186,PriceTable,2,0)+IF(BasisNumber&lt;&gt;1,VLOOKUP($A186,BasisTable,2,0),0)+I$1)/(1-I$2))</f>
        <v>42.487743962129713</v>
      </c>
      <c r="J186" s="154">
        <f>IF(Assumptions!$L$25=4,VLOOKUP($A186,'Henwood Reference'!$E$9:$R$320,10),(VLOOKUP($A186,PriceTable,3,0)+IF(BasisNumber&lt;&gt;1,VLOOKUP($A186,BasisTable,2,0),0)+J$1)/(1-J$2))</f>
        <v>42.487743962129713</v>
      </c>
      <c r="K186" s="154">
        <f>IF(Assumptions!$L$25=4,VLOOKUP($A186,'Henwood Reference'!$E$9:$R$320,10),(VLOOKUP($A186,PriceTable,4,0)+IF(BasisNumber&lt;&gt;1,VLOOKUP($A186,BasisTable,2,0),0)+K$1)/(1-K$2))</f>
        <v>42.487743962129713</v>
      </c>
      <c r="L186" s="474">
        <f>IF(Assumptions!$L$25=4,VLOOKUP($A186,'Henwood Reference'!$E$9:$R$320,10),(VLOOKUP($A186,PriceTableWeekend,2,0)+IF(BasisNumber&lt;&gt;1,VLOOKUP($A186,BasisTable,2,0),0)+L$1)/(1-L$2))</f>
        <v>42.487743962129713</v>
      </c>
      <c r="M186" s="154">
        <f>IF(Assumptions!$L$25=4,VLOOKUP($A186,'Henwood Reference'!$E$9:$R$320,10),(VLOOKUP($A186,PriceTableWeekend,3,0)+IF(BasisNumber&lt;&gt;1,VLOOKUP($A186,BasisTable,2,0),0)+M$1)/(1-M$2))</f>
        <v>42.487743962129713</v>
      </c>
      <c r="N186" s="156">
        <f>IF(Assumptions!$L$25=4,VLOOKUP($A186,'Henwood Reference'!$E$9:$R$320,10),(VLOOKUP($A186,PriceTableWeekend,4,0)+IF(BasisNumber&lt;&gt;1,VLOOKUP($A186,BasisTable,2,0),0)+N$1)/(1-N$2))</f>
        <v>42.487743962129713</v>
      </c>
      <c r="O186" s="154">
        <f>IF(Assumptions!$L$25=4,VLOOKUP($A186,'Henwood Reference'!$E$9:$R$320,11),(VLOOKUP($A186,PriceTableWeekend,6,0)+IF(BasisNumber&lt;&gt;1,VLOOKUP($A186,BasisTable,3,0),0)+O$1)/(1-O$2))</f>
        <v>24.627279425310672</v>
      </c>
      <c r="P186" s="154">
        <f>IF(Assumptions!$L$25=4,VLOOKUP($A186,'Henwood Reference'!$E$9:$R$320,11),(VLOOKUP($A186,PriceTableWeekend,7,0)+IF(BasisNumber&lt;&gt;1,VLOOKUP($A186,BasisTable,3,0),0)+P$1)/(1-P$2))</f>
        <v>24.627279425310672</v>
      </c>
      <c r="Q186" s="156">
        <f>IF(Assumptions!$L$25=4,VLOOKUP($A186,'Henwood Reference'!$E$9:$R$320,11),(VLOOKUP($A186,PriceTableWeekend,8,0)+IF(BasisNumber&lt;&gt;1,VLOOKUP($A186,BasisTable,3,0),0)+Q$1)/(1-Q$2))</f>
        <v>24.627279425310672</v>
      </c>
      <c r="R186" s="154">
        <f>IF(Assumptions!$L$25=4,VLOOKUP($A186,'Henwood Reference'!$E$9:$R$320,11),(VLOOKUP($A186,PriceTable,6,0)+IF(BasisNumber&lt;&gt;1,VLOOKUP($A186,BasisTable,3,0),0)+R$1)/(1-R$2))</f>
        <v>24.627279425310672</v>
      </c>
      <c r="S186" s="154">
        <f>IF(Assumptions!$L$25=4,VLOOKUP($A186,'Henwood Reference'!$E$9:$R$320,11),(VLOOKUP($A186,PriceTable,7,0)+IF(BasisNumber&lt;&gt;1,VLOOKUP($A186,BasisTable,3,0),0)+S$1)/(1-S$2))</f>
        <v>24.627279425310672</v>
      </c>
      <c r="T186" s="155">
        <f>IF(Assumptions!$L$25=4,VLOOKUP($A186,'Henwood Reference'!$E$9:$R$320,11),(VLOOKUP($A186,PriceTable,8,0)+IF(BasisNumber&lt;&gt;1,VLOOKUP($A186,BasisTable,3,0),0)+T$1)/(1-T$2))</f>
        <v>24.627279425310672</v>
      </c>
      <c r="U186" s="173">
        <f t="shared" si="469"/>
        <v>9.9999999999999936E-2</v>
      </c>
      <c r="V186" s="173">
        <f t="shared" si="470"/>
        <v>0.11</v>
      </c>
      <c r="W186" s="174">
        <f t="shared" si="471"/>
        <v>0.12</v>
      </c>
      <c r="X186" s="173">
        <f t="shared" si="472"/>
        <v>9.9999999999999936E-2</v>
      </c>
      <c r="Y186" s="173">
        <f t="shared" si="473"/>
        <v>0.11</v>
      </c>
      <c r="Z186" s="174">
        <f t="shared" si="474"/>
        <v>0.12</v>
      </c>
      <c r="AA186" s="173">
        <f t="shared" si="475"/>
        <v>0.09</v>
      </c>
      <c r="AB186" s="173">
        <f t="shared" si="476"/>
        <v>0.11</v>
      </c>
      <c r="AC186" s="174">
        <f t="shared" si="477"/>
        <v>0.13</v>
      </c>
      <c r="AD186" s="173">
        <f t="shared" si="478"/>
        <v>0.09</v>
      </c>
      <c r="AE186" s="173">
        <f t="shared" si="479"/>
        <v>0.11</v>
      </c>
      <c r="AF186" s="174">
        <f t="shared" si="480"/>
        <v>0.13</v>
      </c>
      <c r="AG186" s="173">
        <f t="shared" si="481"/>
        <v>-0.35</v>
      </c>
      <c r="AH186" s="173">
        <f t="shared" si="482"/>
        <v>0.65</v>
      </c>
      <c r="AI186" s="174">
        <f t="shared" si="483"/>
        <v>0.2</v>
      </c>
      <c r="AJ186" s="173">
        <f t="shared" si="484"/>
        <v>-0.35</v>
      </c>
      <c r="AK186" s="173">
        <f t="shared" si="485"/>
        <v>0.65</v>
      </c>
      <c r="AL186" s="174">
        <f t="shared" si="486"/>
        <v>0.2</v>
      </c>
      <c r="AM186" s="173">
        <f t="shared" si="487"/>
        <v>-0.01</v>
      </c>
      <c r="AN186" s="173">
        <f t="shared" si="488"/>
        <v>0.16</v>
      </c>
      <c r="AO186" s="174">
        <f t="shared" si="489"/>
        <v>0.01</v>
      </c>
      <c r="AP186" s="173">
        <f t="shared" si="490"/>
        <v>-0.01</v>
      </c>
      <c r="AQ186" s="173">
        <f t="shared" si="491"/>
        <v>0.16</v>
      </c>
      <c r="AR186" s="175">
        <f t="shared" si="492"/>
        <v>0.01</v>
      </c>
      <c r="AS186" s="521">
        <f t="shared" si="528"/>
        <v>0.5</v>
      </c>
      <c r="AT186" s="349">
        <f t="shared" si="526"/>
        <v>21</v>
      </c>
      <c r="AU186" s="159">
        <f t="shared" si="411"/>
        <v>4</v>
      </c>
      <c r="AV186" s="159">
        <f t="shared" si="412"/>
        <v>5</v>
      </c>
      <c r="AW186" s="159">
        <f t="shared" si="529"/>
        <v>0</v>
      </c>
      <c r="AX186" s="15">
        <f t="shared" si="527"/>
        <v>30</v>
      </c>
      <c r="AY186" s="607">
        <f>IF(E186="",0,MIN((1-(1-VLOOKUP(B186,MAIN!$AA$7:$AM$28,C186+1))*(1-VLOOKUP(B186,MAIN!$AA$33:$AM$54,C186+1))),1))</f>
        <v>3.0000000000000027E-2</v>
      </c>
      <c r="AZ186" s="337">
        <v>48888</v>
      </c>
      <c r="BA186" s="509">
        <v>9312</v>
      </c>
      <c r="BB186" s="509">
        <v>11640</v>
      </c>
      <c r="BC186" s="511">
        <v>34920</v>
      </c>
      <c r="BD186" s="153">
        <v>0.97000000722706314</v>
      </c>
      <c r="BE186" s="474">
        <v>0.97000000722706314</v>
      </c>
      <c r="BF186" s="474">
        <v>0.97000000722706314</v>
      </c>
      <c r="BG186" s="515">
        <v>0.97000000722706314</v>
      </c>
      <c r="BH186" s="262">
        <v>195552</v>
      </c>
      <c r="BI186" s="509">
        <v>37248</v>
      </c>
      <c r="BJ186" s="509">
        <v>46560</v>
      </c>
      <c r="BK186" s="511">
        <v>139680</v>
      </c>
      <c r="BL186" s="153">
        <v>0.97000000722706314</v>
      </c>
      <c r="BM186" s="474">
        <v>0.97000000722706314</v>
      </c>
      <c r="BN186" s="474">
        <v>0.97000000722706314</v>
      </c>
      <c r="BO186" s="474">
        <v>0.97000000722706314</v>
      </c>
      <c r="BP186" s="261">
        <f t="shared" si="495"/>
        <v>69840</v>
      </c>
      <c r="BQ186" s="578">
        <f t="shared" si="496"/>
        <v>104760</v>
      </c>
      <c r="BR186" s="259">
        <f t="shared" si="497"/>
        <v>279360</v>
      </c>
      <c r="BS186" s="578">
        <f t="shared" si="498"/>
        <v>419040</v>
      </c>
      <c r="BT186" s="216">
        <f t="shared" si="499"/>
        <v>14.130047912388775</v>
      </c>
      <c r="BU186" s="218">
        <f t="shared" si="414"/>
        <v>42.487744278688069</v>
      </c>
      <c r="BV186" s="216">
        <f t="shared" si="415"/>
        <v>42.487744278688069</v>
      </c>
      <c r="BW186" s="216">
        <f t="shared" si="416"/>
        <v>24.627279608798201</v>
      </c>
      <c r="BX186" s="216">
        <f t="shared" si="500"/>
        <v>24.627279608798201</v>
      </c>
      <c r="BY186" s="216">
        <f t="shared" si="417"/>
        <v>39.511000167039754</v>
      </c>
      <c r="BZ186" s="216">
        <f t="shared" si="418"/>
        <v>34.549759980959237</v>
      </c>
      <c r="CA186" s="264">
        <f t="shared" si="419"/>
        <v>42.487744278688069</v>
      </c>
      <c r="CB186" s="216">
        <f t="shared" si="420"/>
        <v>42.487744278688069</v>
      </c>
      <c r="CC186" s="216">
        <f t="shared" si="421"/>
        <v>24.627279608798201</v>
      </c>
      <c r="CD186" s="216">
        <f t="shared" si="501"/>
        <v>24.627279608798201</v>
      </c>
      <c r="CE186" s="216">
        <f t="shared" si="422"/>
        <v>39.511000167039754</v>
      </c>
      <c r="CF186" s="571">
        <f t="shared" si="423"/>
        <v>34.549759980959237</v>
      </c>
      <c r="CG186" s="573">
        <f t="shared" si="424"/>
        <v>0.11</v>
      </c>
      <c r="CH186" s="219">
        <f t="shared" si="425"/>
        <v>0.11</v>
      </c>
      <c r="CI186" s="219">
        <f t="shared" si="426"/>
        <v>0.11</v>
      </c>
      <c r="CJ186" s="219">
        <f t="shared" si="427"/>
        <v>0.11</v>
      </c>
      <c r="CK186" s="219">
        <f t="shared" si="428"/>
        <v>0.11</v>
      </c>
      <c r="CL186" s="219">
        <f t="shared" si="429"/>
        <v>0.11</v>
      </c>
      <c r="CM186" s="219">
        <f t="shared" si="430"/>
        <v>9.983676986697794E-2</v>
      </c>
      <c r="CN186" s="569">
        <f t="shared" si="431"/>
        <v>9.983676986697794E-2</v>
      </c>
      <c r="CO186" s="264">
        <f t="shared" si="514"/>
        <v>21.719187945586611</v>
      </c>
      <c r="CP186" s="216">
        <f t="shared" si="502"/>
        <v>21.719187945586611</v>
      </c>
      <c r="CQ186" s="216">
        <f t="shared" ca="1" si="532"/>
        <v>21.719187945586611</v>
      </c>
      <c r="CR186" s="216">
        <f t="shared" ca="1" si="533"/>
        <v>21.719187945586611</v>
      </c>
      <c r="CS186" s="1626">
        <f t="shared" ca="1" si="534"/>
        <v>21.719187945586611</v>
      </c>
      <c r="CT186" s="216">
        <f t="shared" si="503"/>
        <v>21.719187945586611</v>
      </c>
      <c r="CU186" s="575">
        <f t="shared" si="432"/>
        <v>0.154</v>
      </c>
      <c r="CV186" s="154">
        <f t="shared" si="433"/>
        <v>0.5</v>
      </c>
      <c r="CW186" s="216">
        <f>IF(OR($BQ186,$BS186),SpreadOptPowerMargin,0)*((1+Assumptions!$C$26)^($B186-YEAR(Assumptions!$C$17)))</f>
        <v>2.2380737551103738</v>
      </c>
      <c r="CX186" s="216">
        <f>IF(OR($BQ186,$BS186),SpreadOptPowerMargin,0)*((1+Assumptions!$C$26)^($B186-YEAR(Assumptions!$C$17)))</f>
        <v>2.2380737551103738</v>
      </c>
      <c r="CY186" s="216">
        <f>IF(OR($BQ186,$BS186),SpreadOptPowerMargin,0)*((1+Assumptions!$C$26)^($B186-YEAR(Assumptions!$C$17)))</f>
        <v>2.2380737551103738</v>
      </c>
      <c r="CZ186" s="216">
        <f>IF(OR($BQ186,$BS186),SpreadOptPowerMargin,0)*((1+Assumptions!$C$26)^($B186-YEAR(Assumptions!$C$17)))</f>
        <v>2.2380737551103738</v>
      </c>
      <c r="DA186" s="440">
        <f t="shared" si="434"/>
        <v>2.2380737551103738</v>
      </c>
      <c r="DB186" s="479">
        <f t="shared" si="435"/>
        <v>0.11</v>
      </c>
      <c r="DC186" s="479">
        <f t="shared" si="436"/>
        <v>0.11</v>
      </c>
      <c r="DD186" s="479">
        <f t="shared" si="437"/>
        <v>0.11</v>
      </c>
      <c r="DE186" s="479">
        <f t="shared" si="438"/>
        <v>0.11</v>
      </c>
      <c r="DF186" s="479">
        <f t="shared" si="439"/>
        <v>9.983676986697794E-2</v>
      </c>
      <c r="DG186" s="574">
        <f t="shared" si="440"/>
        <v>9.983676986697794E-2</v>
      </c>
      <c r="DH186" s="216">
        <f t="shared" si="441"/>
        <v>19.415248179293275</v>
      </c>
      <c r="DI186" s="216">
        <f t="shared" si="442"/>
        <v>19.415248179293275</v>
      </c>
      <c r="DJ186" s="216">
        <f t="shared" ca="1" si="535"/>
        <v>4.9372415555169145</v>
      </c>
      <c r="DK186" s="216">
        <f t="shared" ca="1" si="536"/>
        <v>4.9372415555169145</v>
      </c>
      <c r="DL186" s="216">
        <f t="shared" ca="1" si="537"/>
        <v>12.276259917228352</v>
      </c>
      <c r="DM186" s="216"/>
      <c r="DN186" s="216"/>
      <c r="DO186" s="216"/>
      <c r="DP186" s="216"/>
      <c r="DQ186" s="216"/>
      <c r="DR186" s="216"/>
      <c r="DS186" s="216"/>
      <c r="DT186" s="216"/>
      <c r="DU186" s="216"/>
      <c r="DV186" s="216"/>
      <c r="DW186" s="1371">
        <f t="shared" si="443"/>
        <v>4.9372415555169145</v>
      </c>
      <c r="DX186" s="216">
        <f t="shared" si="444"/>
        <v>4.9372415555169145</v>
      </c>
      <c r="DY186" s="440">
        <f t="shared" si="445"/>
        <v>12.980578568726004</v>
      </c>
      <c r="DZ186" s="180">
        <f t="shared" si="446"/>
        <v>949172.65298928961</v>
      </c>
      <c r="EA186" s="180">
        <f t="shared" si="447"/>
        <v>180794.79104557898</v>
      </c>
      <c r="EB186" s="180">
        <f t="shared" ca="1" si="538"/>
        <v>57469.491706216882</v>
      </c>
      <c r="EC186" s="180">
        <f t="shared" ca="1" si="539"/>
        <v>172408.47511865065</v>
      </c>
      <c r="ED186" s="180">
        <f t="shared" ca="1" si="540"/>
        <v>1286060.9889288421</v>
      </c>
      <c r="EE186" s="581">
        <f t="shared" si="448"/>
        <v>905918.23227282811</v>
      </c>
      <c r="EF186" s="554">
        <f t="shared" si="449"/>
        <v>172555.85376625296</v>
      </c>
      <c r="EG186" s="554">
        <f t="shared" ca="1" si="541"/>
        <v>7799.0084502981445</v>
      </c>
      <c r="EH186" s="554">
        <f t="shared" ca="1" si="542"/>
        <v>23397.025350894433</v>
      </c>
      <c r="EI186" s="561">
        <f t="shared" ca="1" si="450"/>
        <v>1109670.1198402734</v>
      </c>
      <c r="EJ186" s="581">
        <f t="shared" si="504"/>
        <v>43254.420716461493</v>
      </c>
      <c r="EK186" s="554">
        <f t="shared" si="505"/>
        <v>8238.9372793260263</v>
      </c>
      <c r="EL186" s="554">
        <f t="shared" ca="1" si="543"/>
        <v>49670.483255918734</v>
      </c>
      <c r="EM186" s="554">
        <f t="shared" ca="1" si="544"/>
        <v>149011.44976775622</v>
      </c>
      <c r="EN186" s="561">
        <f t="shared" ca="1" si="545"/>
        <v>176390.86908856872</v>
      </c>
      <c r="EO186" s="180">
        <f t="shared" si="451"/>
        <v>3796690.6119571584</v>
      </c>
      <c r="EP186" s="180">
        <f t="shared" si="452"/>
        <v>723179.16418231593</v>
      </c>
      <c r="EQ186" s="180">
        <f t="shared" si="453"/>
        <v>229877.96682486753</v>
      </c>
      <c r="ER186" s="180">
        <f t="shared" si="454"/>
        <v>689633.90047460259</v>
      </c>
      <c r="ES186" s="180">
        <f t="shared" si="455"/>
        <v>5439381.6434389446</v>
      </c>
      <c r="ET186" s="1482">
        <f t="shared" ca="1" si="546"/>
        <v>3623672.9290913125</v>
      </c>
      <c r="EU186" s="180">
        <f t="shared" ca="1" si="547"/>
        <v>690223.41506501182</v>
      </c>
      <c r="EV186" s="180">
        <f t="shared" ca="1" si="548"/>
        <v>31196.033801192578</v>
      </c>
      <c r="EW186" s="180">
        <f t="shared" ca="1" si="549"/>
        <v>93588.101403577733</v>
      </c>
      <c r="EX186" s="555">
        <f t="shared" ca="1" si="522"/>
        <v>4438680.4793610945</v>
      </c>
      <c r="EY186" s="180">
        <f t="shared" ca="1" si="550"/>
        <v>173017.68286584597</v>
      </c>
      <c r="EZ186" s="180">
        <f t="shared" ca="1" si="551"/>
        <v>32955.749117304105</v>
      </c>
      <c r="FA186" s="180">
        <f t="shared" ca="1" si="552"/>
        <v>198681.93302367494</v>
      </c>
      <c r="FB186" s="180">
        <f t="shared" ca="1" si="553"/>
        <v>596045.79907102487</v>
      </c>
      <c r="FC186" s="180">
        <f t="shared" ca="1" si="554"/>
        <v>1000701.1640778501</v>
      </c>
      <c r="FD186" s="262">
        <f>IF(AX186,IF(VLOOKUP(C186,MAIN!$L$17:$M$28,2)="Yes",VLOOKUP(CALC!B186,MAIN!$H$17:$I$20,2),0),0)</f>
        <v>0</v>
      </c>
      <c r="FE186" s="623">
        <f t="shared" si="456"/>
        <v>0</v>
      </c>
      <c r="FF186" s="535">
        <f t="shared" si="457"/>
        <v>0</v>
      </c>
      <c r="FG186" s="535">
        <f t="shared" si="458"/>
        <v>0</v>
      </c>
      <c r="FH186" s="624">
        <f t="shared" si="459"/>
        <v>0</v>
      </c>
      <c r="FI186" s="632">
        <f>IF(AX186,VLOOKUP(CALC!B186,MAIN!$H$17:$K$20,4),0)</f>
        <v>0</v>
      </c>
      <c r="FJ186" s="535">
        <f t="shared" si="460"/>
        <v>0</v>
      </c>
      <c r="FK186" s="648">
        <f t="shared" si="506"/>
        <v>0</v>
      </c>
      <c r="FL186" s="530">
        <f t="shared" ca="1" si="555"/>
        <v>0</v>
      </c>
      <c r="FM186" s="530">
        <f t="shared" ca="1" si="556"/>
        <v>0</v>
      </c>
      <c r="FN186" s="530">
        <f t="shared" ca="1" si="557"/>
        <v>0</v>
      </c>
      <c r="FO186" s="622">
        <f t="shared" ca="1" si="558"/>
        <v>0</v>
      </c>
      <c r="FP186" s="530">
        <f t="shared" ca="1" si="559"/>
        <v>0</v>
      </c>
      <c r="FQ186" s="530">
        <f t="shared" ca="1" si="560"/>
        <v>0</v>
      </c>
      <c r="FR186" s="530">
        <f t="shared" ca="1" si="561"/>
        <v>0</v>
      </c>
      <c r="FS186" s="625">
        <f t="shared" ca="1" si="562"/>
        <v>0</v>
      </c>
      <c r="FT186" s="640">
        <f ca="1">IF(AND(Assumptions!$H$71="Yes",A186&gt;=Assumptions!$H$72,A186&lt;=Assumptions!$H$73),0,IF(AND($A186&gt;=Assumptions!$C$17,$A186&lt;=Assumptions!$C$18),MAX(AZ186*(1+VLOOKUP($C186,WeatherCapacityAdjustment,2))-FL186,0),0))</f>
        <v>48888</v>
      </c>
      <c r="FU186" s="530">
        <f ca="1">IF(AND(Assumptions!$H$71="Yes",A186&gt;=Assumptions!$H$72,A186&lt;=Assumptions!$H$73),0,IF(AND($A186&gt;=Assumptions!$C$17,$A186&lt;=Assumptions!$C$18),MAX(BA186*(1+VLOOKUP($C186,WeatherCapacityAdjustment,2))-FM186,0),0))</f>
        <v>9312</v>
      </c>
      <c r="FV186" s="530">
        <f ca="1">IF(AND(Assumptions!$H$71="Yes",A186&gt;=Assumptions!$H$72,A186&lt;=Assumptions!$H$73),0,IF(AND($A186&gt;=Assumptions!$C$17,$A186&lt;=Assumptions!$C$18),MAX(BB186*(1+VLOOKUP($C186,WeatherCapacityAdjustment,2))-FN186,0),0))</f>
        <v>11640</v>
      </c>
      <c r="FW186" s="622">
        <f ca="1">IF(AND(Assumptions!$H$71="Yes",A186&gt;=Assumptions!$H$72,A186&lt;=Assumptions!$H$73),0,IF(AND($A186&gt;=Assumptions!$C$17,$A186&lt;=Assumptions!$C$18),MAX(BC186*(1+VLOOKUP($C186,WeatherCapacityAdjustment,3))-FO186,0),0))</f>
        <v>34920</v>
      </c>
      <c r="FX186" s="621">
        <f ca="1">IF(AND(Assumptions!$H$71="Yes",A186&gt;=Assumptions!$H$72,A186&lt;=Assumptions!$H$73),0,IF(ET186&gt;0,MAX(BH186*(1+VLOOKUP($C186,WeatherCapacityAdjustment,2))-FP186,0),0))</f>
        <v>195552</v>
      </c>
      <c r="FY186" s="530">
        <f ca="1">IF(AND(Assumptions!$H$71="Yes",A186&gt;=Assumptions!$H$72,A186&lt;=Assumptions!$H$73),0,IF(EU186&gt;0,MAX(BI186*(1+VLOOKUP($C186,WeatherCapacityAdjustment,3))-FQ186,0),0))</f>
        <v>37248</v>
      </c>
      <c r="FZ186" s="530">
        <f ca="1">IF(AND(Assumptions!$H$71="Yes",A186&gt;=Assumptions!$H$72,A186&lt;=Assumptions!$H$73),0,IF(EV186&gt;0,MAX(BJ186*(1+VLOOKUP($C186,WeatherCapacityAdjustment,2))-FR186,0),0))</f>
        <v>46560</v>
      </c>
      <c r="GA186" s="622">
        <f ca="1">IF(AND(Assumptions!$H$71="Yes",A186&gt;=Assumptions!$H$72,A186&lt;=Assumptions!$H$73),0,IF(EW186&gt;0,MAX(BK186*(1+VLOOKUP($C186,WeatherCapacityAdjustment,2))-FS186,0),0))</f>
        <v>139680</v>
      </c>
      <c r="GB186" s="530">
        <f t="shared" ca="1" si="461"/>
        <v>523800</v>
      </c>
      <c r="GC186" s="545">
        <f t="shared" ca="1" si="462"/>
        <v>34.549759980959244</v>
      </c>
      <c r="GD186" s="530">
        <f t="shared" ca="1" si="563"/>
        <v>18097164.27802645</v>
      </c>
      <c r="GE186" s="1485">
        <f t="shared" ca="1" si="564"/>
        <v>752107.65839999996</v>
      </c>
      <c r="GF186" s="1776">
        <f t="shared" ca="1" si="565"/>
        <v>3008430.6335999998</v>
      </c>
      <c r="GG186" s="545">
        <f t="shared" si="530"/>
        <v>3.0252346240164987</v>
      </c>
      <c r="GH186" s="622">
        <f t="shared" ca="1" si="531"/>
        <v>11376510.645898266</v>
      </c>
      <c r="GI186" s="621">
        <f t="shared" ca="1" si="507"/>
        <v>523800</v>
      </c>
      <c r="GJ186" s="638">
        <f t="shared" si="463"/>
        <v>2.2380737551103738</v>
      </c>
      <c r="GK186" s="625">
        <f t="shared" ca="1" si="513"/>
        <v>1172303.0329268137</v>
      </c>
      <c r="GL186" s="640">
        <f t="shared" ca="1" si="566"/>
        <v>0</v>
      </c>
      <c r="GM186" s="530">
        <f t="shared" ca="1" si="567"/>
        <v>0</v>
      </c>
      <c r="GN186" s="530">
        <f t="shared" ca="1" si="568"/>
        <v>0</v>
      </c>
      <c r="GO186" s="622">
        <f t="shared" ca="1" si="569"/>
        <v>0</v>
      </c>
      <c r="GP186" s="530">
        <f t="shared" ca="1" si="464"/>
        <v>0</v>
      </c>
      <c r="GQ186" s="545">
        <f t="shared" ca="1" si="465"/>
        <v>0</v>
      </c>
      <c r="GR186" s="625">
        <f t="shared" ca="1" si="570"/>
        <v>0</v>
      </c>
      <c r="GS186" s="640">
        <f>IF($A186&gt;=BegDate,Assumptions!$C$56*24*($A187-$A186)*(1-VLOOKUP($B186,MAIN!$AA$7:$AM$28,$C186+1))*(1-VLOOKUP($B186,MAIN!$AA$33:$AM$54,$C186+1)),0)*80/168</f>
        <v>249428.57142857142</v>
      </c>
      <c r="GT186" s="1715">
        <f t="shared" si="508"/>
        <v>42.487743962129713</v>
      </c>
      <c r="GU186" s="1715">
        <f>IF($A186&gt;=BegDate,VLOOKUP($A186,GasTable,13)+Assumptions!$C$58,0)</f>
        <v>3.0252346240164987</v>
      </c>
      <c r="GV186" s="1715">
        <f>GU186*Assumptions!$C$57/1000</f>
        <v>21.932951024119614</v>
      </c>
      <c r="GW186" s="625">
        <f>IF(Assumptions!$C$60="Hourly",MAX(0,GS186*(GT186-GV186)),GS186*(GT186-GV186))</f>
        <v>5126952.6385379471</v>
      </c>
      <c r="GX186" s="640">
        <f>IF($A186&gt;=BegDate,Assumptions!$C$56*24*($A187-$A186)*(1-VLOOKUP($B186,MAIN!$AA$7:$AM$28,$C186+1))*(1-VLOOKUP($B186,MAIN!$AA$33:$AM$54,$C186+1)),0)*16/168</f>
        <v>49885.714285714283</v>
      </c>
      <c r="GY186" s="1715">
        <f t="shared" si="509"/>
        <v>42.487743962129713</v>
      </c>
      <c r="GZ186" s="1715">
        <f>IF($A186&gt;=BegDate,VLOOKUP($A186,GasTable,13)+Assumptions!$C$58,0)</f>
        <v>3.0252346240164987</v>
      </c>
      <c r="HA186" s="1715">
        <f>GZ186*Assumptions!$C$57/1000</f>
        <v>21.932951024119614</v>
      </c>
      <c r="HB186" s="625">
        <f>IF(Assumptions!$C$60="Hourly",MAX(0,GX186*(GY186-HA186)),GX186*(GY186-HA186))</f>
        <v>1025390.5277075894</v>
      </c>
      <c r="HC186" s="640">
        <f>IF($A186&gt;=BegDate,Assumptions!$C$56*24*($A187-$A186)*(1-VLOOKUP($B186,MAIN!$AA$7:$AM$28,$C186+1))*(1-VLOOKUP($B186,MAIN!$AA$33:$AM$54,$C186+1)),0)*16/168</f>
        <v>49885.714285714283</v>
      </c>
      <c r="HD186" s="1715">
        <f t="shared" si="510"/>
        <v>24.627279425310672</v>
      </c>
      <c r="HE186" s="1715">
        <f>IF($A186&gt;=BegDate,VLOOKUP($A186,GasTable,13)+Assumptions!$C$58,0)</f>
        <v>3.0252346240164987</v>
      </c>
      <c r="HF186" s="1715">
        <f>HE186*Assumptions!$C$57/1000</f>
        <v>21.932951024119614</v>
      </c>
      <c r="HG186" s="625">
        <f>IF(Assumptions!$C$60="Hourly",MAX(0,HC186*(HD186-HF186)),HC186*(HD186-HF186))</f>
        <v>134408.49681370248</v>
      </c>
      <c r="HH186" s="640">
        <f>IF($A186&gt;=BegDate,Assumptions!$C$56*24*($A187-$A186)*(1-VLOOKUP($B186,MAIN!$AA$7:$AM$28,$C186+1))*(1-VLOOKUP($B186,MAIN!$AA$33:$AM$54,$C186+1)),0)*56/168</f>
        <v>174600</v>
      </c>
      <c r="HI186" s="1715">
        <f t="shared" si="511"/>
        <v>24.627279425310672</v>
      </c>
      <c r="HJ186" s="1715">
        <f>IF($A186&gt;=BegDate,VLOOKUP($A186,GasTable,13)+Assumptions!$C$58,0)</f>
        <v>3.0252346240164987</v>
      </c>
      <c r="HK186" s="1715">
        <f>HJ186*Assumptions!$C$57/1000</f>
        <v>21.932951024119614</v>
      </c>
      <c r="HL186" s="625">
        <f>IF(Assumptions!$C$60="Hourly",MAX(0,HH186*(HI186-HK186)),HH186*(HI186-HK186))</f>
        <v>470429.73884795868</v>
      </c>
      <c r="HM186" s="640">
        <f>IF(AND(Assumptions!$H$71="Yes",A186&gt;=Assumptions!$H$72,A186&lt;=Assumptions!$H$73),Assumptions!$H$74*Assumptions!$C$9*1000,0)</f>
        <v>0</v>
      </c>
      <c r="HN186" s="530"/>
      <c r="HO186" s="545"/>
      <c r="HP186" s="545"/>
      <c r="HQ186" s="545"/>
      <c r="HR186" s="545"/>
      <c r="HS186" s="545"/>
      <c r="HT186" s="545"/>
      <c r="HU186" s="545"/>
      <c r="HV186" s="545"/>
      <c r="HW186" s="545"/>
      <c r="HX186" s="545"/>
      <c r="HY186" s="545"/>
      <c r="HZ186" s="545"/>
      <c r="IA186" s="545"/>
      <c r="IB186" s="545"/>
      <c r="IC186" s="545"/>
      <c r="ID186" s="545"/>
      <c r="IE186" s="545"/>
      <c r="IF186" s="545"/>
      <c r="IG186" s="545"/>
      <c r="IH186" s="545"/>
      <c r="II186" s="1464"/>
      <c r="IJ186" s="1463"/>
      <c r="IK186" s="1463"/>
    </row>
    <row r="187" spans="1:245">
      <c r="A187" s="177">
        <f t="shared" si="466"/>
        <v>41821</v>
      </c>
      <c r="B187" s="349">
        <f t="shared" si="467"/>
        <v>2014</v>
      </c>
      <c r="C187" s="15">
        <f t="shared" si="523"/>
        <v>7</v>
      </c>
      <c r="D187" s="612">
        <f t="shared" si="468"/>
        <v>41824</v>
      </c>
      <c r="E187" s="609">
        <f t="shared" si="524"/>
        <v>41821</v>
      </c>
      <c r="F187" s="614">
        <f t="shared" si="525"/>
        <v>41851</v>
      </c>
      <c r="G187" s="1349">
        <v>0</v>
      </c>
      <c r="H187" s="152">
        <f t="shared" si="512"/>
        <v>1</v>
      </c>
      <c r="I187" s="154">
        <f>IF(Assumptions!$L$25=4,VLOOKUP($A187,'Henwood Reference'!$E$9:$R$320,10),(VLOOKUP($A187,PriceTable,2,0)+IF(BasisNumber&lt;&gt;1,VLOOKUP($A187,BasisTable,2,0),0)+I$1)/(1-I$2))</f>
        <v>64.281046900133944</v>
      </c>
      <c r="J187" s="154">
        <f>IF(Assumptions!$L$25=4,VLOOKUP($A187,'Henwood Reference'!$E$9:$R$320,10),(VLOOKUP($A187,PriceTable,3,0)+IF(BasisNumber&lt;&gt;1,VLOOKUP($A187,BasisTable,2,0),0)+J$1)/(1-J$2))</f>
        <v>64.281046900133944</v>
      </c>
      <c r="K187" s="154">
        <f>IF(Assumptions!$L$25=4,VLOOKUP($A187,'Henwood Reference'!$E$9:$R$320,10),(VLOOKUP($A187,PriceTable,4,0)+IF(BasisNumber&lt;&gt;1,VLOOKUP($A187,BasisTable,2,0),0)+K$1)/(1-K$2))</f>
        <v>64.281046900133944</v>
      </c>
      <c r="L187" s="474">
        <f>IF(Assumptions!$L$25=4,VLOOKUP($A187,'Henwood Reference'!$E$9:$R$320,10),(VLOOKUP($A187,PriceTableWeekend,2,0)+IF(BasisNumber&lt;&gt;1,VLOOKUP($A187,BasisTable,2,0),0)+L$1)/(1-L$2))</f>
        <v>64.281046900133944</v>
      </c>
      <c r="M187" s="154">
        <f>IF(Assumptions!$L$25=4,VLOOKUP($A187,'Henwood Reference'!$E$9:$R$320,10),(VLOOKUP($A187,PriceTableWeekend,3,0)+IF(BasisNumber&lt;&gt;1,VLOOKUP($A187,BasisTable,2,0),0)+M$1)/(1-M$2))</f>
        <v>64.281046900133944</v>
      </c>
      <c r="N187" s="156">
        <f>IF(Assumptions!$L$25=4,VLOOKUP($A187,'Henwood Reference'!$E$9:$R$320,10),(VLOOKUP($A187,PriceTableWeekend,4,0)+IF(BasisNumber&lt;&gt;1,VLOOKUP($A187,BasisTable,2,0),0)+N$1)/(1-N$2))</f>
        <v>64.281046900133944</v>
      </c>
      <c r="O187" s="154">
        <f>IF(Assumptions!$L$25=4,VLOOKUP($A187,'Henwood Reference'!$E$9:$R$320,11),(VLOOKUP($A187,PriceTableWeekend,6,0)+IF(BasisNumber&lt;&gt;1,VLOOKUP($A187,BasisTable,3,0),0)+O$1)/(1-O$2))</f>
        <v>30.693055246987004</v>
      </c>
      <c r="P187" s="154">
        <f>IF(Assumptions!$L$25=4,VLOOKUP($A187,'Henwood Reference'!$E$9:$R$320,11),(VLOOKUP($A187,PriceTableWeekend,7,0)+IF(BasisNumber&lt;&gt;1,VLOOKUP($A187,BasisTable,3,0),0)+P$1)/(1-P$2))</f>
        <v>30.693055246987004</v>
      </c>
      <c r="Q187" s="156">
        <f>IF(Assumptions!$L$25=4,VLOOKUP($A187,'Henwood Reference'!$E$9:$R$320,11),(VLOOKUP($A187,PriceTableWeekend,8,0)+IF(BasisNumber&lt;&gt;1,VLOOKUP($A187,BasisTable,3,0),0)+Q$1)/(1-Q$2))</f>
        <v>30.693055246987004</v>
      </c>
      <c r="R187" s="154">
        <f>IF(Assumptions!$L$25=4,VLOOKUP($A187,'Henwood Reference'!$E$9:$R$320,11),(VLOOKUP($A187,PriceTable,6,0)+IF(BasisNumber&lt;&gt;1,VLOOKUP($A187,BasisTable,3,0),0)+R$1)/(1-R$2))</f>
        <v>30.693055246987004</v>
      </c>
      <c r="S187" s="154">
        <f>IF(Assumptions!$L$25=4,VLOOKUP($A187,'Henwood Reference'!$E$9:$R$320,11),(VLOOKUP($A187,PriceTable,7,0)+IF(BasisNumber&lt;&gt;1,VLOOKUP($A187,BasisTable,3,0),0)+S$1)/(1-S$2))</f>
        <v>30.693055246987004</v>
      </c>
      <c r="T187" s="155">
        <f>IF(Assumptions!$L$25=4,VLOOKUP($A187,'Henwood Reference'!$E$9:$R$320,11),(VLOOKUP($A187,PriceTable,8,0)+IF(BasisNumber&lt;&gt;1,VLOOKUP($A187,BasisTable,3,0),0)+T$1)/(1-T$2))</f>
        <v>30.693055246987004</v>
      </c>
      <c r="U187" s="173">
        <f t="shared" si="469"/>
        <v>9.9999999999999936E-2</v>
      </c>
      <c r="V187" s="173">
        <f t="shared" si="470"/>
        <v>0.11</v>
      </c>
      <c r="W187" s="174">
        <f t="shared" si="471"/>
        <v>0.12</v>
      </c>
      <c r="X187" s="173">
        <f t="shared" si="472"/>
        <v>9.9999999999999936E-2</v>
      </c>
      <c r="Y187" s="173">
        <f t="shared" si="473"/>
        <v>0.11</v>
      </c>
      <c r="Z187" s="174">
        <f t="shared" si="474"/>
        <v>0.12</v>
      </c>
      <c r="AA187" s="173">
        <f t="shared" si="475"/>
        <v>0.09</v>
      </c>
      <c r="AB187" s="173">
        <f t="shared" si="476"/>
        <v>0.11</v>
      </c>
      <c r="AC187" s="174">
        <f t="shared" si="477"/>
        <v>0.13</v>
      </c>
      <c r="AD187" s="173">
        <f t="shared" si="478"/>
        <v>0.09</v>
      </c>
      <c r="AE187" s="173">
        <f t="shared" si="479"/>
        <v>0.11</v>
      </c>
      <c r="AF187" s="174">
        <f t="shared" si="480"/>
        <v>0.13</v>
      </c>
      <c r="AG187" s="173">
        <f t="shared" si="481"/>
        <v>-0.35</v>
      </c>
      <c r="AH187" s="173">
        <f t="shared" si="482"/>
        <v>0.65</v>
      </c>
      <c r="AI187" s="174">
        <f t="shared" si="483"/>
        <v>0.35</v>
      </c>
      <c r="AJ187" s="173">
        <f t="shared" si="484"/>
        <v>-0.35</v>
      </c>
      <c r="AK187" s="173">
        <f t="shared" si="485"/>
        <v>0.65</v>
      </c>
      <c r="AL187" s="174">
        <f t="shared" si="486"/>
        <v>0.35</v>
      </c>
      <c r="AM187" s="173">
        <f t="shared" si="487"/>
        <v>-0.01</v>
      </c>
      <c r="AN187" s="173">
        <f t="shared" si="488"/>
        <v>0.16</v>
      </c>
      <c r="AO187" s="174">
        <f t="shared" si="489"/>
        <v>0.01</v>
      </c>
      <c r="AP187" s="173">
        <f t="shared" si="490"/>
        <v>-0.01</v>
      </c>
      <c r="AQ187" s="173">
        <f t="shared" si="491"/>
        <v>0.16</v>
      </c>
      <c r="AR187" s="175">
        <f t="shared" si="492"/>
        <v>0.01</v>
      </c>
      <c r="AS187" s="521">
        <f t="shared" si="528"/>
        <v>0.5</v>
      </c>
      <c r="AT187" s="349">
        <f t="shared" si="526"/>
        <v>22</v>
      </c>
      <c r="AU187" s="159">
        <f t="shared" si="411"/>
        <v>4</v>
      </c>
      <c r="AV187" s="159">
        <f t="shared" si="412"/>
        <v>4</v>
      </c>
      <c r="AW187" s="159">
        <f t="shared" si="529"/>
        <v>1</v>
      </c>
      <c r="AX187" s="15">
        <f t="shared" si="527"/>
        <v>31</v>
      </c>
      <c r="AY187" s="607">
        <f>IF(E187="",0,MIN((1-(1-VLOOKUP(B187,MAIN!$AA$7:$AM$28,C187+1))*(1-VLOOKUP(B187,MAIN!$AA$33:$AM$54,C187+1))),1))</f>
        <v>3.0000000000000027E-2</v>
      </c>
      <c r="AZ187" s="337">
        <v>51216</v>
      </c>
      <c r="BA187" s="509">
        <v>9312</v>
      </c>
      <c r="BB187" s="509">
        <v>11640</v>
      </c>
      <c r="BC187" s="511">
        <v>36084</v>
      </c>
      <c r="BD187" s="153">
        <v>0.97000000361353156</v>
      </c>
      <c r="BE187" s="474">
        <v>0.97000000361353156</v>
      </c>
      <c r="BF187" s="474">
        <v>0.97000000361353156</v>
      </c>
      <c r="BG187" s="515">
        <v>0.96999998554587363</v>
      </c>
      <c r="BH187" s="262">
        <v>204864</v>
      </c>
      <c r="BI187" s="509">
        <v>37248</v>
      </c>
      <c r="BJ187" s="509">
        <v>46560</v>
      </c>
      <c r="BK187" s="511">
        <v>144336</v>
      </c>
      <c r="BL187" s="153">
        <v>0.97000000361353156</v>
      </c>
      <c r="BM187" s="474">
        <v>0.97000000361353156</v>
      </c>
      <c r="BN187" s="474">
        <v>0.97000000361353156</v>
      </c>
      <c r="BO187" s="474">
        <v>0.96999998554587363</v>
      </c>
      <c r="BP187" s="261">
        <f t="shared" si="495"/>
        <v>72168</v>
      </c>
      <c r="BQ187" s="578">
        <f t="shared" si="496"/>
        <v>108252</v>
      </c>
      <c r="BR187" s="259">
        <f t="shared" si="497"/>
        <v>288672</v>
      </c>
      <c r="BS187" s="578">
        <f t="shared" si="498"/>
        <v>433008</v>
      </c>
      <c r="BT187" s="216">
        <f t="shared" si="499"/>
        <v>14.212183436002737</v>
      </c>
      <c r="BU187" s="218">
        <f t="shared" si="414"/>
        <v>64.281047139599508</v>
      </c>
      <c r="BV187" s="216">
        <f t="shared" si="415"/>
        <v>64.281047139599508</v>
      </c>
      <c r="BW187" s="216">
        <f t="shared" si="416"/>
        <v>30.693055361327545</v>
      </c>
      <c r="BX187" s="216">
        <f t="shared" si="500"/>
        <v>30.693054789624842</v>
      </c>
      <c r="BY187" s="216">
        <f t="shared" si="417"/>
        <v>58.86362911084597</v>
      </c>
      <c r="BZ187" s="216">
        <f t="shared" si="418"/>
        <v>49.473437670438926</v>
      </c>
      <c r="CA187" s="264">
        <f t="shared" si="419"/>
        <v>64.281047139599508</v>
      </c>
      <c r="CB187" s="216">
        <f t="shared" si="420"/>
        <v>64.281047139599508</v>
      </c>
      <c r="CC187" s="216">
        <f t="shared" si="421"/>
        <v>30.693055361327545</v>
      </c>
      <c r="CD187" s="216">
        <f t="shared" si="501"/>
        <v>30.693054789624842</v>
      </c>
      <c r="CE187" s="216">
        <f t="shared" si="422"/>
        <v>58.86362911084597</v>
      </c>
      <c r="CF187" s="571">
        <f t="shared" si="423"/>
        <v>49.473437670438926</v>
      </c>
      <c r="CG187" s="573">
        <f t="shared" si="424"/>
        <v>0.11</v>
      </c>
      <c r="CH187" s="219">
        <f t="shared" si="425"/>
        <v>0.11</v>
      </c>
      <c r="CI187" s="219">
        <f t="shared" si="426"/>
        <v>0.11</v>
      </c>
      <c r="CJ187" s="219">
        <f t="shared" si="427"/>
        <v>0.10999999999999997</v>
      </c>
      <c r="CK187" s="219">
        <f t="shared" si="428"/>
        <v>0.10999999999999997</v>
      </c>
      <c r="CL187" s="219">
        <f t="shared" si="429"/>
        <v>0.11</v>
      </c>
      <c r="CM187" s="219">
        <f t="shared" si="430"/>
        <v>0.10085615642973278</v>
      </c>
      <c r="CN187" s="569">
        <f t="shared" si="431"/>
        <v>0.10085615642973278</v>
      </c>
      <c r="CO187" s="264">
        <f t="shared" si="514"/>
        <v>22.284897967931627</v>
      </c>
      <c r="CP187" s="216">
        <f t="shared" si="502"/>
        <v>22.284897967931627</v>
      </c>
      <c r="CQ187" s="216">
        <f t="shared" ca="1" si="532"/>
        <v>22.284897967931627</v>
      </c>
      <c r="CR187" s="216">
        <f t="shared" ca="1" si="533"/>
        <v>22.284897967931627</v>
      </c>
      <c r="CS187" s="1626">
        <f t="shared" ca="1" si="534"/>
        <v>22.284897967931627</v>
      </c>
      <c r="CT187" s="216">
        <f t="shared" si="503"/>
        <v>22.284897967931627</v>
      </c>
      <c r="CU187" s="575">
        <f t="shared" si="432"/>
        <v>0.154</v>
      </c>
      <c r="CV187" s="154">
        <f t="shared" si="433"/>
        <v>0.5</v>
      </c>
      <c r="CW187" s="216">
        <f>IF(OR($BQ187,$BS187),SpreadOptPowerMargin,0)*((1+Assumptions!$C$26)^($B187-YEAR(Assumptions!$C$17)))</f>
        <v>2.2380737551103738</v>
      </c>
      <c r="CX187" s="216">
        <f>IF(OR($BQ187,$BS187),SpreadOptPowerMargin,0)*((1+Assumptions!$C$26)^($B187-YEAR(Assumptions!$C$17)))</f>
        <v>2.2380737551103738</v>
      </c>
      <c r="CY187" s="216">
        <f>IF(OR($BQ187,$BS187),SpreadOptPowerMargin,0)*((1+Assumptions!$C$26)^($B187-YEAR(Assumptions!$C$17)))</f>
        <v>2.2380737551103738</v>
      </c>
      <c r="CZ187" s="216">
        <f>IF(OR($BQ187,$BS187),SpreadOptPowerMargin,0)*((1+Assumptions!$C$26)^($B187-YEAR(Assumptions!$C$17)))</f>
        <v>2.2380737551103738</v>
      </c>
      <c r="DA187" s="440">
        <f t="shared" si="434"/>
        <v>2.2380737551103733</v>
      </c>
      <c r="DB187" s="479">
        <f t="shared" si="435"/>
        <v>0.11</v>
      </c>
      <c r="DC187" s="479">
        <f t="shared" si="436"/>
        <v>0.11</v>
      </c>
      <c r="DD187" s="479">
        <f t="shared" si="437"/>
        <v>0.11</v>
      </c>
      <c r="DE187" s="479">
        <f t="shared" si="438"/>
        <v>0.11</v>
      </c>
      <c r="DF187" s="479">
        <f t="shared" si="439"/>
        <v>0.10085615642973278</v>
      </c>
      <c r="DG187" s="574">
        <f t="shared" si="440"/>
        <v>0.10085615642973278</v>
      </c>
      <c r="DH187" s="216">
        <f t="shared" si="441"/>
        <v>39.936575505087703</v>
      </c>
      <c r="DI187" s="216">
        <f t="shared" si="442"/>
        <v>39.936575505087703</v>
      </c>
      <c r="DJ187" s="216">
        <f t="shared" ca="1" si="535"/>
        <v>8.9014580105212922</v>
      </c>
      <c r="DK187" s="216">
        <f t="shared" ca="1" si="536"/>
        <v>8.9014575739578099</v>
      </c>
      <c r="DL187" s="216">
        <f t="shared" ca="1" si="537"/>
        <v>25.473627626018747</v>
      </c>
      <c r="DM187" s="216"/>
      <c r="DN187" s="216"/>
      <c r="DO187" s="216"/>
      <c r="DP187" s="216"/>
      <c r="DQ187" s="216"/>
      <c r="DR187" s="216"/>
      <c r="DS187" s="216"/>
      <c r="DT187" s="216"/>
      <c r="DU187" s="216"/>
      <c r="DV187" s="216"/>
      <c r="DW187" s="1371">
        <f t="shared" si="443"/>
        <v>8.9014580105212922</v>
      </c>
      <c r="DX187" s="216">
        <f t="shared" si="444"/>
        <v>8.9014575739578099</v>
      </c>
      <c r="DY187" s="440">
        <f t="shared" si="445"/>
        <v>26.254426786693177</v>
      </c>
      <c r="DZ187" s="180">
        <f t="shared" si="446"/>
        <v>2045391.6510685717</v>
      </c>
      <c r="EA187" s="180">
        <f t="shared" si="447"/>
        <v>371889.39110337669</v>
      </c>
      <c r="EB187" s="180">
        <f t="shared" ca="1" si="538"/>
        <v>103612.97124246784</v>
      </c>
      <c r="EC187" s="180">
        <f t="shared" ca="1" si="539"/>
        <v>321200.1950986936</v>
      </c>
      <c r="ED187" s="180">
        <f t="shared" ca="1" si="540"/>
        <v>2757571.1377717815</v>
      </c>
      <c r="EE187" s="581">
        <f t="shared" si="448"/>
        <v>2036249.590534409</v>
      </c>
      <c r="EF187" s="554">
        <f t="shared" si="449"/>
        <v>370227.19827898347</v>
      </c>
      <c r="EG187" s="554">
        <f t="shared" ca="1" si="541"/>
        <v>71819.773549643724</v>
      </c>
      <c r="EH187" s="554">
        <f t="shared" ca="1" si="542"/>
        <v>222641.27737457521</v>
      </c>
      <c r="EI187" s="561">
        <f t="shared" ca="1" si="450"/>
        <v>2700937.8397376118</v>
      </c>
      <c r="EJ187" s="581">
        <f t="shared" si="504"/>
        <v>9142.0605341626797</v>
      </c>
      <c r="EK187" s="554">
        <f t="shared" si="505"/>
        <v>1662.1928243932198</v>
      </c>
      <c r="EL187" s="554">
        <f t="shared" ca="1" si="543"/>
        <v>31793.19769282412</v>
      </c>
      <c r="EM187" s="554">
        <f t="shared" ca="1" si="544"/>
        <v>98558.917724118393</v>
      </c>
      <c r="EN187" s="561">
        <f t="shared" ca="1" si="545"/>
        <v>56633.298034169711</v>
      </c>
      <c r="EO187" s="180">
        <f t="shared" si="451"/>
        <v>8181566.6042742869</v>
      </c>
      <c r="EP187" s="180">
        <f t="shared" si="452"/>
        <v>1487557.5644135068</v>
      </c>
      <c r="EQ187" s="180">
        <f t="shared" si="453"/>
        <v>414451.88496987137</v>
      </c>
      <c r="ER187" s="180">
        <f t="shared" si="454"/>
        <v>1284800.7803947744</v>
      </c>
      <c r="ES187" s="180">
        <f t="shared" si="455"/>
        <v>11368376.83405244</v>
      </c>
      <c r="ET187" s="1482">
        <f t="shared" ca="1" si="546"/>
        <v>8144998.3621376362</v>
      </c>
      <c r="EU187" s="180">
        <f t="shared" ca="1" si="547"/>
        <v>1480908.7931159339</v>
      </c>
      <c r="EV187" s="180">
        <f t="shared" ca="1" si="548"/>
        <v>287279.09419857489</v>
      </c>
      <c r="EW187" s="180">
        <f t="shared" ca="1" si="549"/>
        <v>890565.10949830082</v>
      </c>
      <c r="EX187" s="555">
        <f t="shared" ca="1" si="522"/>
        <v>10803751.358950447</v>
      </c>
      <c r="EY187" s="180">
        <f t="shared" ca="1" si="550"/>
        <v>36568.242136650719</v>
      </c>
      <c r="EZ187" s="180">
        <f t="shared" ca="1" si="551"/>
        <v>6648.7712975728791</v>
      </c>
      <c r="FA187" s="180">
        <f t="shared" ca="1" si="552"/>
        <v>127172.79077129648</v>
      </c>
      <c r="FB187" s="180">
        <f t="shared" ca="1" si="553"/>
        <v>394235.67089647357</v>
      </c>
      <c r="FC187" s="180">
        <f t="shared" ca="1" si="554"/>
        <v>564625.47510199249</v>
      </c>
      <c r="FD187" s="262">
        <f>IF(AX187,IF(VLOOKUP(C187,MAIN!$L$17:$M$28,2)="Yes",VLOOKUP(CALC!B187,MAIN!$H$17:$I$20,2),0),0)</f>
        <v>0</v>
      </c>
      <c r="FE187" s="623">
        <f t="shared" si="456"/>
        <v>0</v>
      </c>
      <c r="FF187" s="535">
        <f t="shared" si="457"/>
        <v>0</v>
      </c>
      <c r="FG187" s="535">
        <f t="shared" si="458"/>
        <v>0</v>
      </c>
      <c r="FH187" s="624">
        <f t="shared" si="459"/>
        <v>0</v>
      </c>
      <c r="FI187" s="632">
        <f>IF(AX187,VLOOKUP(CALC!B187,MAIN!$H$17:$K$20,4),0)</f>
        <v>0</v>
      </c>
      <c r="FJ187" s="535">
        <f t="shared" si="460"/>
        <v>0</v>
      </c>
      <c r="FK187" s="648">
        <f t="shared" si="506"/>
        <v>0</v>
      </c>
      <c r="FL187" s="530">
        <f t="shared" ca="1" si="555"/>
        <v>0</v>
      </c>
      <c r="FM187" s="530">
        <f t="shared" ca="1" si="556"/>
        <v>0</v>
      </c>
      <c r="FN187" s="530">
        <f t="shared" ca="1" si="557"/>
        <v>0</v>
      </c>
      <c r="FO187" s="622">
        <f t="shared" ca="1" si="558"/>
        <v>0</v>
      </c>
      <c r="FP187" s="530">
        <f t="shared" ca="1" si="559"/>
        <v>0</v>
      </c>
      <c r="FQ187" s="530">
        <f t="shared" ca="1" si="560"/>
        <v>0</v>
      </c>
      <c r="FR187" s="530">
        <f t="shared" ca="1" si="561"/>
        <v>0</v>
      </c>
      <c r="FS187" s="625">
        <f t="shared" ca="1" si="562"/>
        <v>0</v>
      </c>
      <c r="FT187" s="640">
        <f ca="1">IF(AND(Assumptions!$H$71="Yes",A187&gt;=Assumptions!$H$72,A187&lt;=Assumptions!$H$73),0,IF(AND($A187&gt;=Assumptions!$C$17,$A187&lt;=Assumptions!$C$18),MAX(AZ187*(1+VLOOKUP($C187,WeatherCapacityAdjustment,2))-FL187,0),0))</f>
        <v>51216</v>
      </c>
      <c r="FU187" s="530">
        <f ca="1">IF(AND(Assumptions!$H$71="Yes",A187&gt;=Assumptions!$H$72,A187&lt;=Assumptions!$H$73),0,IF(AND($A187&gt;=Assumptions!$C$17,$A187&lt;=Assumptions!$C$18),MAX(BA187*(1+VLOOKUP($C187,WeatherCapacityAdjustment,2))-FM187,0),0))</f>
        <v>9312</v>
      </c>
      <c r="FV187" s="530">
        <f ca="1">IF(AND(Assumptions!$H$71="Yes",A187&gt;=Assumptions!$H$72,A187&lt;=Assumptions!$H$73),0,IF(AND($A187&gt;=Assumptions!$C$17,$A187&lt;=Assumptions!$C$18),MAX(BB187*(1+VLOOKUP($C187,WeatherCapacityAdjustment,2))-FN187,0),0))</f>
        <v>11640</v>
      </c>
      <c r="FW187" s="622">
        <f ca="1">IF(AND(Assumptions!$H$71="Yes",A187&gt;=Assumptions!$H$72,A187&lt;=Assumptions!$H$73),0,IF(AND($A187&gt;=Assumptions!$C$17,$A187&lt;=Assumptions!$C$18),MAX(BC187*(1+VLOOKUP($C187,WeatherCapacityAdjustment,3))-FO187,0),0))</f>
        <v>36084</v>
      </c>
      <c r="FX187" s="621">
        <f ca="1">IF(AND(Assumptions!$H$71="Yes",A187&gt;=Assumptions!$H$72,A187&lt;=Assumptions!$H$73),0,IF(ET187&gt;0,MAX(BH187*(1+VLOOKUP($C187,WeatherCapacityAdjustment,2))-FP187,0),0))</f>
        <v>204864</v>
      </c>
      <c r="FY187" s="530">
        <f ca="1">IF(AND(Assumptions!$H$71="Yes",A187&gt;=Assumptions!$H$72,A187&lt;=Assumptions!$H$73),0,IF(EU187&gt;0,MAX(BI187*(1+VLOOKUP($C187,WeatherCapacityAdjustment,3))-FQ187,0),0))</f>
        <v>37248</v>
      </c>
      <c r="FZ187" s="530">
        <f ca="1">IF(AND(Assumptions!$H$71="Yes",A187&gt;=Assumptions!$H$72,A187&lt;=Assumptions!$H$73),0,IF(EV187&gt;0,MAX(BJ187*(1+VLOOKUP($C187,WeatherCapacityAdjustment,2))-FR187,0),0))</f>
        <v>46560</v>
      </c>
      <c r="GA187" s="622">
        <f ca="1">IF(AND(Assumptions!$H$71="Yes",A187&gt;=Assumptions!$H$72,A187&lt;=Assumptions!$H$73),0,IF(EW187&gt;0,MAX(BK187*(1+VLOOKUP($C187,WeatherCapacityAdjustment,2))-FS187,0),0))</f>
        <v>144336</v>
      </c>
      <c r="GB187" s="530">
        <f t="shared" ca="1" si="461"/>
        <v>541260</v>
      </c>
      <c r="GC187" s="545">
        <f t="shared" ca="1" si="462"/>
        <v>49.473437670438926</v>
      </c>
      <c r="GD187" s="530">
        <f t="shared" ca="1" si="563"/>
        <v>26777992.873501774</v>
      </c>
      <c r="GE187" s="1485">
        <f t="shared" ca="1" si="564"/>
        <v>777496.17456000007</v>
      </c>
      <c r="GF187" s="1776">
        <f t="shared" ca="1" si="565"/>
        <v>3109984.6982400003</v>
      </c>
      <c r="GG187" s="545">
        <f t="shared" si="530"/>
        <v>3.1027609572352555</v>
      </c>
      <c r="GH187" s="622">
        <f t="shared" ca="1" si="531"/>
        <v>12061923.874122676</v>
      </c>
      <c r="GI187" s="621">
        <f t="shared" ca="1" si="507"/>
        <v>541260</v>
      </c>
      <c r="GJ187" s="638">
        <f t="shared" si="463"/>
        <v>2.2380737551103733</v>
      </c>
      <c r="GK187" s="625">
        <f t="shared" ca="1" si="513"/>
        <v>1211379.8006910407</v>
      </c>
      <c r="GL187" s="640">
        <f t="shared" ca="1" si="566"/>
        <v>0</v>
      </c>
      <c r="GM187" s="530">
        <f t="shared" ca="1" si="567"/>
        <v>0</v>
      </c>
      <c r="GN187" s="530">
        <f t="shared" ca="1" si="568"/>
        <v>0</v>
      </c>
      <c r="GO187" s="622">
        <f t="shared" ca="1" si="569"/>
        <v>0</v>
      </c>
      <c r="GP187" s="530">
        <f t="shared" ca="1" si="464"/>
        <v>0</v>
      </c>
      <c r="GQ187" s="545">
        <f t="shared" ca="1" si="465"/>
        <v>0</v>
      </c>
      <c r="GR187" s="625">
        <f t="shared" ca="1" si="570"/>
        <v>0</v>
      </c>
      <c r="GS187" s="640">
        <f>IF($A187&gt;=BegDate,Assumptions!$C$56*24*($A188-$A187)*(1-VLOOKUP($B187,MAIN!$AA$7:$AM$28,$C187+1))*(1-VLOOKUP($B187,MAIN!$AA$33:$AM$54,$C187+1)),0)*80/168</f>
        <v>257742.85714285713</v>
      </c>
      <c r="GT187" s="1715">
        <f t="shared" si="508"/>
        <v>64.281046900133944</v>
      </c>
      <c r="GU187" s="1715">
        <f>IF($A187&gt;=BegDate,VLOOKUP($A187,GasTable,13)+Assumptions!$C$58,0)</f>
        <v>3.1027609572352555</v>
      </c>
      <c r="GV187" s="1715">
        <f>GU187*Assumptions!$C$57/1000</f>
        <v>22.495016939955605</v>
      </c>
      <c r="GW187" s="625">
        <f>IF(Assumptions!$C$60="Hourly",MAX(0,GS187*(GT187-GV187)),GS187*(GT187-GV187))</f>
        <v>10770050.750593394</v>
      </c>
      <c r="GX187" s="640">
        <f>IF($A187&gt;=BegDate,Assumptions!$C$56*24*($A188-$A187)*(1-VLOOKUP($B187,MAIN!$AA$7:$AM$28,$C187+1))*(1-VLOOKUP($B187,MAIN!$AA$33:$AM$54,$C187+1)),0)*16/168</f>
        <v>51548.571428571428</v>
      </c>
      <c r="GY187" s="1715">
        <f t="shared" si="509"/>
        <v>64.281046900133944</v>
      </c>
      <c r="GZ187" s="1715">
        <f>IF($A187&gt;=BegDate,VLOOKUP($A187,GasTable,13)+Assumptions!$C$58,0)</f>
        <v>3.1027609572352555</v>
      </c>
      <c r="HA187" s="1715">
        <f>GZ187*Assumptions!$C$57/1000</f>
        <v>22.495016939955605</v>
      </c>
      <c r="HB187" s="625">
        <f>IF(Assumptions!$C$60="Hourly",MAX(0,GX187*(GY187-HA187)),GX187*(GY187-HA187))</f>
        <v>2154010.1501186788</v>
      </c>
      <c r="HC187" s="640">
        <f>IF($A187&gt;=BegDate,Assumptions!$C$56*24*($A188-$A187)*(1-VLOOKUP($B187,MAIN!$AA$7:$AM$28,$C187+1))*(1-VLOOKUP($B187,MAIN!$AA$33:$AM$54,$C187+1)),0)*16/168</f>
        <v>51548.571428571428</v>
      </c>
      <c r="HD187" s="1715">
        <f t="shared" si="510"/>
        <v>30.693055246987004</v>
      </c>
      <c r="HE187" s="1715">
        <f>IF($A187&gt;=BegDate,VLOOKUP($A187,GasTable,13)+Assumptions!$C$58,0)</f>
        <v>3.1027609572352555</v>
      </c>
      <c r="HF187" s="1715">
        <f>HE187*Assumptions!$C$57/1000</f>
        <v>22.495016939955605</v>
      </c>
      <c r="HG187" s="625">
        <f>IF(Assumptions!$C$60="Hourly",MAX(0,HC187*(HD187-HF187)),HC187*(HD187-HF187))</f>
        <v>422597.16324417287</v>
      </c>
      <c r="HH187" s="640">
        <f>IF($A187&gt;=BegDate,Assumptions!$C$56*24*($A188-$A187)*(1-VLOOKUP($B187,MAIN!$AA$7:$AM$28,$C187+1))*(1-VLOOKUP($B187,MAIN!$AA$33:$AM$54,$C187+1)),0)*56/168</f>
        <v>180420</v>
      </c>
      <c r="HI187" s="1715">
        <f t="shared" si="511"/>
        <v>30.693055246987004</v>
      </c>
      <c r="HJ187" s="1715">
        <f>IF($A187&gt;=BegDate,VLOOKUP($A187,GasTable,13)+Assumptions!$C$58,0)</f>
        <v>3.1027609572352555</v>
      </c>
      <c r="HK187" s="1715">
        <f>HJ187*Assumptions!$C$57/1000</f>
        <v>22.495016939955605</v>
      </c>
      <c r="HL187" s="625">
        <f>IF(Assumptions!$C$60="Hourly",MAX(0,HH187*(HI187-HK187)),HH187*(HI187-HK187))</f>
        <v>1479090.0713546053</v>
      </c>
      <c r="HM187" s="640">
        <f>IF(AND(Assumptions!$H$71="Yes",A187&gt;=Assumptions!$H$72,A187&lt;=Assumptions!$H$73),Assumptions!$H$74*Assumptions!$C$9*1000,0)</f>
        <v>0</v>
      </c>
      <c r="HN187" s="530"/>
      <c r="HO187" s="545"/>
      <c r="HP187" s="545"/>
      <c r="HQ187" s="545"/>
      <c r="HR187" s="545"/>
      <c r="HS187" s="545"/>
      <c r="HT187" s="545"/>
      <c r="HU187" s="545"/>
      <c r="HV187" s="545"/>
      <c r="HW187" s="545"/>
      <c r="HX187" s="545"/>
      <c r="HY187" s="545"/>
      <c r="HZ187" s="545"/>
      <c r="IA187" s="545"/>
      <c r="IB187" s="545"/>
      <c r="IC187" s="545"/>
      <c r="ID187" s="545"/>
      <c r="IE187" s="545"/>
      <c r="IF187" s="545"/>
      <c r="IG187" s="545"/>
      <c r="IH187" s="545"/>
      <c r="II187" s="1464"/>
      <c r="IJ187" s="1463"/>
      <c r="IK187" s="1463"/>
    </row>
    <row r="188" spans="1:245">
      <c r="A188" s="177">
        <f t="shared" si="466"/>
        <v>41852</v>
      </c>
      <c r="B188" s="349">
        <f t="shared" si="467"/>
        <v>2014</v>
      </c>
      <c r="C188" s="15">
        <f t="shared" si="523"/>
        <v>8</v>
      </c>
      <c r="D188" s="612" t="str">
        <f t="shared" si="468"/>
        <v/>
      </c>
      <c r="E188" s="609">
        <f t="shared" si="524"/>
        <v>41852</v>
      </c>
      <c r="F188" s="614">
        <f t="shared" si="525"/>
        <v>41882</v>
      </c>
      <c r="G188" s="1349">
        <v>0</v>
      </c>
      <c r="H188" s="152">
        <f t="shared" si="512"/>
        <v>1</v>
      </c>
      <c r="I188" s="154">
        <f>IF(Assumptions!$L$25=4,VLOOKUP($A188,'Henwood Reference'!$E$9:$R$320,10),(VLOOKUP($A188,PriceTable,2,0)+IF(BasisNumber&lt;&gt;1,VLOOKUP($A188,BasisTable,2,0),0)+I$1)/(1-I$2))</f>
        <v>96.680056239884934</v>
      </c>
      <c r="J188" s="154">
        <f>IF(Assumptions!$L$25=4,VLOOKUP($A188,'Henwood Reference'!$E$9:$R$320,10),(VLOOKUP($A188,PriceTable,3,0)+IF(BasisNumber&lt;&gt;1,VLOOKUP($A188,BasisTable,2,0),0)+J$1)/(1-J$2))</f>
        <v>96.680056239884934</v>
      </c>
      <c r="K188" s="154">
        <f>IF(Assumptions!$L$25=4,VLOOKUP($A188,'Henwood Reference'!$E$9:$R$320,10),(VLOOKUP($A188,PriceTable,4,0)+IF(BasisNumber&lt;&gt;1,VLOOKUP($A188,BasisTable,2,0),0)+K$1)/(1-K$2))</f>
        <v>96.680056239884934</v>
      </c>
      <c r="L188" s="474">
        <f>IF(Assumptions!$L$25=4,VLOOKUP($A188,'Henwood Reference'!$E$9:$R$320,10),(VLOOKUP($A188,PriceTableWeekend,2,0)+IF(BasisNumber&lt;&gt;1,VLOOKUP($A188,BasisTable,2,0),0)+L$1)/(1-L$2))</f>
        <v>96.680056239884934</v>
      </c>
      <c r="M188" s="154">
        <f>IF(Assumptions!$L$25=4,VLOOKUP($A188,'Henwood Reference'!$E$9:$R$320,10),(VLOOKUP($A188,PriceTableWeekend,3,0)+IF(BasisNumber&lt;&gt;1,VLOOKUP($A188,BasisTable,2,0),0)+M$1)/(1-M$2))</f>
        <v>96.680056239884934</v>
      </c>
      <c r="N188" s="156">
        <f>IF(Assumptions!$L$25=4,VLOOKUP($A188,'Henwood Reference'!$E$9:$R$320,10),(VLOOKUP($A188,PriceTableWeekend,4,0)+IF(BasisNumber&lt;&gt;1,VLOOKUP($A188,BasisTable,2,0),0)+N$1)/(1-N$2))</f>
        <v>96.680056239884934</v>
      </c>
      <c r="O188" s="154">
        <f>IF(Assumptions!$L$25=4,VLOOKUP($A188,'Henwood Reference'!$E$9:$R$320,11),(VLOOKUP($A188,PriceTableWeekend,6,0)+IF(BasisNumber&lt;&gt;1,VLOOKUP($A188,BasisTable,3,0),0)+O$1)/(1-O$2))</f>
        <v>35.889558459557513</v>
      </c>
      <c r="P188" s="154">
        <f>IF(Assumptions!$L$25=4,VLOOKUP($A188,'Henwood Reference'!$E$9:$R$320,11),(VLOOKUP($A188,PriceTableWeekend,7,0)+IF(BasisNumber&lt;&gt;1,VLOOKUP($A188,BasisTable,3,0),0)+P$1)/(1-P$2))</f>
        <v>35.889558459557513</v>
      </c>
      <c r="Q188" s="156">
        <f>IF(Assumptions!$L$25=4,VLOOKUP($A188,'Henwood Reference'!$E$9:$R$320,11),(VLOOKUP($A188,PriceTableWeekend,8,0)+IF(BasisNumber&lt;&gt;1,VLOOKUP($A188,BasisTable,3,0),0)+Q$1)/(1-Q$2))</f>
        <v>35.889558459557513</v>
      </c>
      <c r="R188" s="154">
        <f>IF(Assumptions!$L$25=4,VLOOKUP($A188,'Henwood Reference'!$E$9:$R$320,11),(VLOOKUP($A188,PriceTable,6,0)+IF(BasisNumber&lt;&gt;1,VLOOKUP($A188,BasisTable,3,0),0)+R$1)/(1-R$2))</f>
        <v>35.889558459557513</v>
      </c>
      <c r="S188" s="154">
        <f>IF(Assumptions!$L$25=4,VLOOKUP($A188,'Henwood Reference'!$E$9:$R$320,11),(VLOOKUP($A188,PriceTable,7,0)+IF(BasisNumber&lt;&gt;1,VLOOKUP($A188,BasisTable,3,0),0)+S$1)/(1-S$2))</f>
        <v>35.889558459557513</v>
      </c>
      <c r="T188" s="155">
        <f>IF(Assumptions!$L$25=4,VLOOKUP($A188,'Henwood Reference'!$E$9:$R$320,11),(VLOOKUP($A188,PriceTable,8,0)+IF(BasisNumber&lt;&gt;1,VLOOKUP($A188,BasisTable,3,0),0)+T$1)/(1-T$2))</f>
        <v>35.889558459557513</v>
      </c>
      <c r="U188" s="173">
        <f t="shared" si="469"/>
        <v>9.9999999999999936E-2</v>
      </c>
      <c r="V188" s="173">
        <f t="shared" si="470"/>
        <v>0.11</v>
      </c>
      <c r="W188" s="174">
        <f t="shared" si="471"/>
        <v>0.12</v>
      </c>
      <c r="X188" s="173">
        <f t="shared" si="472"/>
        <v>9.9999999999999936E-2</v>
      </c>
      <c r="Y188" s="173">
        <f t="shared" si="473"/>
        <v>0.11</v>
      </c>
      <c r="Z188" s="174">
        <f t="shared" si="474"/>
        <v>0.12</v>
      </c>
      <c r="AA188" s="173">
        <f t="shared" si="475"/>
        <v>0.09</v>
      </c>
      <c r="AB188" s="173">
        <f t="shared" si="476"/>
        <v>0.11</v>
      </c>
      <c r="AC188" s="174">
        <f t="shared" si="477"/>
        <v>0.13</v>
      </c>
      <c r="AD188" s="173">
        <f t="shared" si="478"/>
        <v>0.09</v>
      </c>
      <c r="AE188" s="173">
        <f t="shared" si="479"/>
        <v>0.11</v>
      </c>
      <c r="AF188" s="174">
        <f t="shared" si="480"/>
        <v>0.13</v>
      </c>
      <c r="AG188" s="173">
        <f t="shared" si="481"/>
        <v>-0.35</v>
      </c>
      <c r="AH188" s="173">
        <f t="shared" si="482"/>
        <v>3</v>
      </c>
      <c r="AI188" s="174">
        <f t="shared" si="483"/>
        <v>0.35</v>
      </c>
      <c r="AJ188" s="173">
        <f t="shared" si="484"/>
        <v>-0.35</v>
      </c>
      <c r="AK188" s="173">
        <f t="shared" si="485"/>
        <v>3</v>
      </c>
      <c r="AL188" s="174">
        <f t="shared" si="486"/>
        <v>0.35</v>
      </c>
      <c r="AM188" s="173">
        <f t="shared" si="487"/>
        <v>-0.01</v>
      </c>
      <c r="AN188" s="173">
        <f t="shared" si="488"/>
        <v>0.16</v>
      </c>
      <c r="AO188" s="174">
        <f t="shared" si="489"/>
        <v>0.01</v>
      </c>
      <c r="AP188" s="173">
        <f t="shared" si="490"/>
        <v>-0.01</v>
      </c>
      <c r="AQ188" s="173">
        <f t="shared" si="491"/>
        <v>0.16</v>
      </c>
      <c r="AR188" s="175">
        <f t="shared" si="492"/>
        <v>0.01</v>
      </c>
      <c r="AS188" s="521">
        <f t="shared" si="528"/>
        <v>0.5</v>
      </c>
      <c r="AT188" s="349">
        <f t="shared" si="526"/>
        <v>21</v>
      </c>
      <c r="AU188" s="159">
        <f t="shared" si="411"/>
        <v>5</v>
      </c>
      <c r="AV188" s="159">
        <f t="shared" si="412"/>
        <v>5</v>
      </c>
      <c r="AW188" s="159">
        <f t="shared" si="529"/>
        <v>0</v>
      </c>
      <c r="AX188" s="15">
        <f t="shared" si="527"/>
        <v>31</v>
      </c>
      <c r="AY188" s="607">
        <f>IF(E188="",0,MIN((1-(1-VLOOKUP(B188,MAIN!$AA$7:$AM$28,C188+1))*(1-VLOOKUP(B188,MAIN!$AA$33:$AM$54,C188+1))),1))</f>
        <v>3.0000000000000027E-2</v>
      </c>
      <c r="AZ188" s="337">
        <v>48888</v>
      </c>
      <c r="BA188" s="509">
        <v>11640</v>
      </c>
      <c r="BB188" s="509">
        <v>11640</v>
      </c>
      <c r="BC188" s="511">
        <v>36084</v>
      </c>
      <c r="BD188" s="153">
        <v>0.96999998915940522</v>
      </c>
      <c r="BE188" s="474">
        <v>0.96999998915940522</v>
      </c>
      <c r="BF188" s="474">
        <v>0.96999998915940522</v>
      </c>
      <c r="BG188" s="515">
        <v>0.97000000722706314</v>
      </c>
      <c r="BH188" s="262">
        <v>195552</v>
      </c>
      <c r="BI188" s="509">
        <v>46560</v>
      </c>
      <c r="BJ188" s="509">
        <v>46560</v>
      </c>
      <c r="BK188" s="511">
        <v>144336</v>
      </c>
      <c r="BL188" s="153">
        <v>0.96999998915940522</v>
      </c>
      <c r="BM188" s="474">
        <v>0.96999998915940522</v>
      </c>
      <c r="BN188" s="474">
        <v>0.96999998915940522</v>
      </c>
      <c r="BO188" s="474">
        <v>0.97000000722706314</v>
      </c>
      <c r="BP188" s="261">
        <f t="shared" si="495"/>
        <v>72168</v>
      </c>
      <c r="BQ188" s="578">
        <f t="shared" si="496"/>
        <v>108252</v>
      </c>
      <c r="BR188" s="259">
        <f t="shared" si="497"/>
        <v>288672</v>
      </c>
      <c r="BS188" s="578">
        <f t="shared" si="498"/>
        <v>433008</v>
      </c>
      <c r="BT188" s="216">
        <f t="shared" si="499"/>
        <v>14.297056810403832</v>
      </c>
      <c r="BU188" s="218">
        <f t="shared" si="414"/>
        <v>96.680055159401107</v>
      </c>
      <c r="BV188" s="216">
        <f t="shared" si="415"/>
        <v>96.680055159401107</v>
      </c>
      <c r="BW188" s="216">
        <f t="shared" si="416"/>
        <v>35.889558058460445</v>
      </c>
      <c r="BX188" s="216">
        <f t="shared" si="500"/>
        <v>35.889558726955563</v>
      </c>
      <c r="BY188" s="216">
        <f t="shared" si="417"/>
        <v>86.875136272152602</v>
      </c>
      <c r="BZ188" s="216">
        <f t="shared" si="418"/>
        <v>69.87994375708692</v>
      </c>
      <c r="CA188" s="264">
        <f t="shared" si="419"/>
        <v>96.680055159401107</v>
      </c>
      <c r="CB188" s="216">
        <f t="shared" si="420"/>
        <v>96.680055159401107</v>
      </c>
      <c r="CC188" s="216">
        <f t="shared" si="421"/>
        <v>35.889558058460445</v>
      </c>
      <c r="CD188" s="216">
        <f t="shared" si="501"/>
        <v>35.889558726955563</v>
      </c>
      <c r="CE188" s="216">
        <f t="shared" si="422"/>
        <v>86.875136272152602</v>
      </c>
      <c r="CF188" s="571">
        <f t="shared" si="423"/>
        <v>69.87994375708692</v>
      </c>
      <c r="CG188" s="573">
        <f t="shared" si="424"/>
        <v>0.11</v>
      </c>
      <c r="CH188" s="219">
        <f t="shared" si="425"/>
        <v>0.11</v>
      </c>
      <c r="CI188" s="219">
        <f t="shared" si="426"/>
        <v>0.11</v>
      </c>
      <c r="CJ188" s="219">
        <f t="shared" si="427"/>
        <v>0.11000000000000001</v>
      </c>
      <c r="CK188" s="219">
        <f t="shared" si="428"/>
        <v>0.11000000000000001</v>
      </c>
      <c r="CL188" s="219">
        <f t="shared" si="429"/>
        <v>0.11</v>
      </c>
      <c r="CM188" s="219">
        <f t="shared" si="430"/>
        <v>0.10215509927220225</v>
      </c>
      <c r="CN188" s="569">
        <f t="shared" si="431"/>
        <v>0.10215509927220225</v>
      </c>
      <c r="CO188" s="264">
        <f t="shared" si="514"/>
        <v>23.096457571975041</v>
      </c>
      <c r="CP188" s="216">
        <f t="shared" si="502"/>
        <v>23.096457571975041</v>
      </c>
      <c r="CQ188" s="216">
        <f t="shared" ca="1" si="532"/>
        <v>23.096457571975041</v>
      </c>
      <c r="CR188" s="216">
        <f t="shared" ca="1" si="533"/>
        <v>23.096457571975041</v>
      </c>
      <c r="CS188" s="1626">
        <f t="shared" ca="1" si="534"/>
        <v>23.096457571975041</v>
      </c>
      <c r="CT188" s="216">
        <f t="shared" si="503"/>
        <v>23.096457571975041</v>
      </c>
      <c r="CU188" s="575">
        <f t="shared" si="432"/>
        <v>0.154</v>
      </c>
      <c r="CV188" s="154">
        <f t="shared" si="433"/>
        <v>0.5</v>
      </c>
      <c r="CW188" s="216">
        <f>IF(OR($BQ188,$BS188),SpreadOptPowerMargin,0)*((1+Assumptions!$C$26)^($B188-YEAR(Assumptions!$C$17)))</f>
        <v>2.2380737551103738</v>
      </c>
      <c r="CX188" s="216">
        <f>IF(OR($BQ188,$BS188),SpreadOptPowerMargin,0)*((1+Assumptions!$C$26)^($B188-YEAR(Assumptions!$C$17)))</f>
        <v>2.2380737551103738</v>
      </c>
      <c r="CY188" s="216">
        <f>IF(OR($BQ188,$BS188),SpreadOptPowerMargin,0)*((1+Assumptions!$C$26)^($B188-YEAR(Assumptions!$C$17)))</f>
        <v>2.2380737551103738</v>
      </c>
      <c r="CZ188" s="216">
        <f>IF(OR($BQ188,$BS188),SpreadOptPowerMargin,0)*((1+Assumptions!$C$26)^($B188-YEAR(Assumptions!$C$17)))</f>
        <v>2.2380737551103738</v>
      </c>
      <c r="DA188" s="440">
        <f t="shared" si="434"/>
        <v>2.2380737551103733</v>
      </c>
      <c r="DB188" s="479">
        <f t="shared" si="435"/>
        <v>0.11</v>
      </c>
      <c r="DC188" s="479">
        <f t="shared" si="436"/>
        <v>0.11</v>
      </c>
      <c r="DD188" s="479">
        <f t="shared" si="437"/>
        <v>0.11</v>
      </c>
      <c r="DE188" s="479">
        <f t="shared" si="438"/>
        <v>0.11</v>
      </c>
      <c r="DF188" s="479">
        <f t="shared" si="439"/>
        <v>0.10215509927220225</v>
      </c>
      <c r="DG188" s="574">
        <f t="shared" si="440"/>
        <v>0.10215509927220225</v>
      </c>
      <c r="DH188" s="216">
        <f t="shared" si="441"/>
        <v>71.371019942427523</v>
      </c>
      <c r="DI188" s="216">
        <f t="shared" si="442"/>
        <v>71.371019942427523</v>
      </c>
      <c r="DJ188" s="216">
        <f t="shared" ca="1" si="535"/>
        <v>12.56770739299534</v>
      </c>
      <c r="DK188" s="216">
        <f t="shared" ca="1" si="536"/>
        <v>12.567707950441514</v>
      </c>
      <c r="DL188" s="216">
        <f t="shared" ca="1" si="537"/>
        <v>44.680256803376267</v>
      </c>
      <c r="DM188" s="216"/>
      <c r="DN188" s="216"/>
      <c r="DO188" s="216"/>
      <c r="DP188" s="216"/>
      <c r="DQ188" s="216"/>
      <c r="DR188" s="216"/>
      <c r="DS188" s="216"/>
      <c r="DT188" s="216"/>
      <c r="DU188" s="216"/>
      <c r="DV188" s="216"/>
      <c r="DW188" s="1371">
        <f t="shared" si="443"/>
        <v>12.56770739299534</v>
      </c>
      <c r="DX188" s="216">
        <f t="shared" si="444"/>
        <v>12.567707950441514</v>
      </c>
      <c r="DY188" s="440">
        <f t="shared" si="445"/>
        <v>45.446979111826579</v>
      </c>
      <c r="DZ188" s="180">
        <f t="shared" si="446"/>
        <v>3489186.422945397</v>
      </c>
      <c r="EA188" s="180">
        <f t="shared" si="447"/>
        <v>830758.67212985642</v>
      </c>
      <c r="EB188" s="180">
        <f t="shared" ca="1" si="538"/>
        <v>146288.11405446575</v>
      </c>
      <c r="EC188" s="180">
        <f t="shared" ca="1" si="539"/>
        <v>453493.17368373158</v>
      </c>
      <c r="ED188" s="180">
        <f t="shared" ca="1" si="540"/>
        <v>4836727.1594790872</v>
      </c>
      <c r="EE188" s="581">
        <f t="shared" si="448"/>
        <v>3487939.9691142496</v>
      </c>
      <c r="EF188" s="554">
        <f t="shared" si="449"/>
        <v>830461.89740815468</v>
      </c>
      <c r="EG188" s="554">
        <f t="shared" ca="1" si="541"/>
        <v>122860.51115320534</v>
      </c>
      <c r="EH188" s="554">
        <f t="shared" ca="1" si="542"/>
        <v>380867.60869691445</v>
      </c>
      <c r="EI188" s="561">
        <f t="shared" ca="1" si="450"/>
        <v>4822129.986372523</v>
      </c>
      <c r="EJ188" s="581">
        <f t="shared" si="504"/>
        <v>1246.4538311474025</v>
      </c>
      <c r="EK188" s="554">
        <f t="shared" si="505"/>
        <v>296.77472170174588</v>
      </c>
      <c r="EL188" s="554">
        <f t="shared" ca="1" si="543"/>
        <v>23427.602901260412</v>
      </c>
      <c r="EM188" s="554">
        <f t="shared" ca="1" si="544"/>
        <v>72625.564986817131</v>
      </c>
      <c r="EN188" s="561">
        <f t="shared" ca="1" si="545"/>
        <v>14597.173106564209</v>
      </c>
      <c r="EO188" s="180">
        <f t="shared" si="451"/>
        <v>13956745.691781588</v>
      </c>
      <c r="EP188" s="180">
        <f t="shared" si="452"/>
        <v>3323034.6885194257</v>
      </c>
      <c r="EQ188" s="180">
        <f t="shared" si="453"/>
        <v>585152.45621786301</v>
      </c>
      <c r="ER188" s="180">
        <f t="shared" si="454"/>
        <v>1813972.6947349263</v>
      </c>
      <c r="ES188" s="180">
        <f t="shared" si="455"/>
        <v>19678905.531253804</v>
      </c>
      <c r="ET188" s="1482">
        <f t="shared" ca="1" si="546"/>
        <v>13951759.876456998</v>
      </c>
      <c r="EU188" s="180">
        <f t="shared" ca="1" si="547"/>
        <v>3321847.5896326187</v>
      </c>
      <c r="EV188" s="180">
        <f t="shared" ca="1" si="548"/>
        <v>491442.04461282137</v>
      </c>
      <c r="EW188" s="180">
        <f t="shared" ca="1" si="549"/>
        <v>1523470.4347876578</v>
      </c>
      <c r="EX188" s="555">
        <f t="shared" ca="1" si="522"/>
        <v>19288519.945490096</v>
      </c>
      <c r="EY188" s="180">
        <f t="shared" ca="1" si="550"/>
        <v>4985.8153245896101</v>
      </c>
      <c r="EZ188" s="180">
        <f t="shared" ca="1" si="551"/>
        <v>1187.0988868069835</v>
      </c>
      <c r="FA188" s="180">
        <f t="shared" ca="1" si="552"/>
        <v>93710.411605041649</v>
      </c>
      <c r="FB188" s="180">
        <f t="shared" ca="1" si="553"/>
        <v>290502.25994726853</v>
      </c>
      <c r="FC188" s="180">
        <f t="shared" ca="1" si="554"/>
        <v>390385.58576370776</v>
      </c>
      <c r="FD188" s="262">
        <f>IF(AX188,IF(VLOOKUP(C188,MAIN!$L$17:$M$28,2)="Yes",VLOOKUP(CALC!B188,MAIN!$H$17:$I$20,2),0),0)</f>
        <v>0</v>
      </c>
      <c r="FE188" s="623">
        <f t="shared" si="456"/>
        <v>0</v>
      </c>
      <c r="FF188" s="535">
        <f t="shared" si="457"/>
        <v>0</v>
      </c>
      <c r="FG188" s="535">
        <f t="shared" si="458"/>
        <v>0</v>
      </c>
      <c r="FH188" s="624">
        <f t="shared" si="459"/>
        <v>0</v>
      </c>
      <c r="FI188" s="632">
        <f>IF(AX188,VLOOKUP(CALC!B188,MAIN!$H$17:$K$20,4),0)</f>
        <v>0</v>
      </c>
      <c r="FJ188" s="535">
        <f t="shared" si="460"/>
        <v>0</v>
      </c>
      <c r="FK188" s="648">
        <f t="shared" si="506"/>
        <v>0</v>
      </c>
      <c r="FL188" s="530">
        <f t="shared" ca="1" si="555"/>
        <v>0</v>
      </c>
      <c r="FM188" s="530">
        <f t="shared" ca="1" si="556"/>
        <v>0</v>
      </c>
      <c r="FN188" s="530">
        <f t="shared" ca="1" si="557"/>
        <v>0</v>
      </c>
      <c r="FO188" s="622">
        <f t="shared" ca="1" si="558"/>
        <v>0</v>
      </c>
      <c r="FP188" s="530">
        <f t="shared" ca="1" si="559"/>
        <v>0</v>
      </c>
      <c r="FQ188" s="530">
        <f t="shared" ca="1" si="560"/>
        <v>0</v>
      </c>
      <c r="FR188" s="530">
        <f t="shared" ca="1" si="561"/>
        <v>0</v>
      </c>
      <c r="FS188" s="625">
        <f t="shared" ca="1" si="562"/>
        <v>0</v>
      </c>
      <c r="FT188" s="640">
        <f ca="1">IF(AND(Assumptions!$H$71="Yes",A188&gt;=Assumptions!$H$72,A188&lt;=Assumptions!$H$73),0,IF(AND($A188&gt;=Assumptions!$C$17,$A188&lt;=Assumptions!$C$18),MAX(AZ188*(1+VLOOKUP($C188,WeatherCapacityAdjustment,2))-FL188,0),0))</f>
        <v>48888</v>
      </c>
      <c r="FU188" s="530">
        <f ca="1">IF(AND(Assumptions!$H$71="Yes",A188&gt;=Assumptions!$H$72,A188&lt;=Assumptions!$H$73),0,IF(AND($A188&gt;=Assumptions!$C$17,$A188&lt;=Assumptions!$C$18),MAX(BA188*(1+VLOOKUP($C188,WeatherCapacityAdjustment,2))-FM188,0),0))</f>
        <v>11640</v>
      </c>
      <c r="FV188" s="530">
        <f ca="1">IF(AND(Assumptions!$H$71="Yes",A188&gt;=Assumptions!$H$72,A188&lt;=Assumptions!$H$73),0,IF(AND($A188&gt;=Assumptions!$C$17,$A188&lt;=Assumptions!$C$18),MAX(BB188*(1+VLOOKUP($C188,WeatherCapacityAdjustment,2))-FN188,0),0))</f>
        <v>11640</v>
      </c>
      <c r="FW188" s="622">
        <f ca="1">IF(AND(Assumptions!$H$71="Yes",A188&gt;=Assumptions!$H$72,A188&lt;=Assumptions!$H$73),0,IF(AND($A188&gt;=Assumptions!$C$17,$A188&lt;=Assumptions!$C$18),MAX(BC188*(1+VLOOKUP($C188,WeatherCapacityAdjustment,3))-FO188,0),0))</f>
        <v>36084</v>
      </c>
      <c r="FX188" s="621">
        <f ca="1">IF(AND(Assumptions!$H$71="Yes",A188&gt;=Assumptions!$H$72,A188&lt;=Assumptions!$H$73),0,IF(ET188&gt;0,MAX(BH188*(1+VLOOKUP($C188,WeatherCapacityAdjustment,2))-FP188,0),0))</f>
        <v>195552</v>
      </c>
      <c r="FY188" s="530">
        <f ca="1">IF(AND(Assumptions!$H$71="Yes",A188&gt;=Assumptions!$H$72,A188&lt;=Assumptions!$H$73),0,IF(EU188&gt;0,MAX(BI188*(1+VLOOKUP($C188,WeatherCapacityAdjustment,3))-FQ188,0),0))</f>
        <v>46560</v>
      </c>
      <c r="FZ188" s="530">
        <f ca="1">IF(AND(Assumptions!$H$71="Yes",A188&gt;=Assumptions!$H$72,A188&lt;=Assumptions!$H$73),0,IF(EV188&gt;0,MAX(BJ188*(1+VLOOKUP($C188,WeatherCapacityAdjustment,2))-FR188,0),0))</f>
        <v>46560</v>
      </c>
      <c r="GA188" s="622">
        <f ca="1">IF(AND(Assumptions!$H$71="Yes",A188&gt;=Assumptions!$H$72,A188&lt;=Assumptions!$H$73),0,IF(EW188&gt;0,MAX(BK188*(1+VLOOKUP($C188,WeatherCapacityAdjustment,2))-FS188,0),0))</f>
        <v>144336</v>
      </c>
      <c r="GB188" s="530">
        <f t="shared" ca="1" si="461"/>
        <v>541260</v>
      </c>
      <c r="GC188" s="545">
        <f t="shared" ca="1" si="462"/>
        <v>69.879943757086934</v>
      </c>
      <c r="GD188" s="530">
        <f t="shared" ca="1" si="563"/>
        <v>37823218.357960872</v>
      </c>
      <c r="GE188" s="1485">
        <f t="shared" ca="1" si="564"/>
        <v>777814.43543999991</v>
      </c>
      <c r="GF188" s="1776">
        <f t="shared" ca="1" si="565"/>
        <v>3111257.7417599997</v>
      </c>
      <c r="GG188" s="545">
        <f t="shared" si="530"/>
        <v>3.2144398601539046</v>
      </c>
      <c r="GH188" s="622">
        <f t="shared" ca="1" si="531"/>
        <v>12501188.625407208</v>
      </c>
      <c r="GI188" s="621">
        <f t="shared" ca="1" si="507"/>
        <v>541260</v>
      </c>
      <c r="GJ188" s="638">
        <f t="shared" si="463"/>
        <v>2.2380737551103733</v>
      </c>
      <c r="GK188" s="625">
        <f t="shared" ca="1" si="513"/>
        <v>1211379.8006910407</v>
      </c>
      <c r="GL188" s="640">
        <f t="shared" ca="1" si="566"/>
        <v>0</v>
      </c>
      <c r="GM188" s="530">
        <f t="shared" ca="1" si="567"/>
        <v>0</v>
      </c>
      <c r="GN188" s="530">
        <f t="shared" ca="1" si="568"/>
        <v>0</v>
      </c>
      <c r="GO188" s="622">
        <f t="shared" ca="1" si="569"/>
        <v>0</v>
      </c>
      <c r="GP188" s="530">
        <f t="shared" ca="1" si="464"/>
        <v>0</v>
      </c>
      <c r="GQ188" s="545">
        <f t="shared" ca="1" si="465"/>
        <v>0</v>
      </c>
      <c r="GR188" s="625">
        <f t="shared" ca="1" si="570"/>
        <v>0</v>
      </c>
      <c r="GS188" s="640">
        <f>IF($A188&gt;=BegDate,Assumptions!$C$56*24*($A189-$A188)*(1-VLOOKUP($B188,MAIN!$AA$7:$AM$28,$C188+1))*(1-VLOOKUP($B188,MAIN!$AA$33:$AM$54,$C188+1)),0)*80/168</f>
        <v>257742.85714285713</v>
      </c>
      <c r="GT188" s="1715">
        <f t="shared" si="508"/>
        <v>96.680056239884934</v>
      </c>
      <c r="GU188" s="1715">
        <f>IF($A188&gt;=BegDate,VLOOKUP($A188,GasTable,13)+Assumptions!$C$58,0)</f>
        <v>3.2144398601539046</v>
      </c>
      <c r="GV188" s="1715">
        <f>GU188*Assumptions!$C$57/1000</f>
        <v>23.30468898611581</v>
      </c>
      <c r="GW188" s="625">
        <f>IF(Assumptions!$C$60="Hourly",MAX(0,GS188*(GT188-GV188)),GS188*(GT188-GV188))</f>
        <v>18911976.799892895</v>
      </c>
      <c r="GX188" s="640">
        <f>IF($A188&gt;=BegDate,Assumptions!$C$56*24*($A189-$A188)*(1-VLOOKUP($B188,MAIN!$AA$7:$AM$28,$C188+1))*(1-VLOOKUP($B188,MAIN!$AA$33:$AM$54,$C188+1)),0)*16/168</f>
        <v>51548.571428571428</v>
      </c>
      <c r="GY188" s="1715">
        <f t="shared" si="509"/>
        <v>96.680056239884934</v>
      </c>
      <c r="GZ188" s="1715">
        <f>IF($A188&gt;=BegDate,VLOOKUP($A188,GasTable,13)+Assumptions!$C$58,0)</f>
        <v>3.2144398601539046</v>
      </c>
      <c r="HA188" s="1715">
        <f>GZ188*Assumptions!$C$57/1000</f>
        <v>23.30468898611581</v>
      </c>
      <c r="HB188" s="625">
        <f>IF(Assumptions!$C$60="Hourly",MAX(0,GX188*(GY188-HA188)),GX188*(GY188-HA188))</f>
        <v>3782395.359978579</v>
      </c>
      <c r="HC188" s="640">
        <f>IF($A188&gt;=BegDate,Assumptions!$C$56*24*($A189-$A188)*(1-VLOOKUP($B188,MAIN!$AA$7:$AM$28,$C188+1))*(1-VLOOKUP($B188,MAIN!$AA$33:$AM$54,$C188+1)),0)*16/168</f>
        <v>51548.571428571428</v>
      </c>
      <c r="HD188" s="1715">
        <f t="shared" si="510"/>
        <v>35.889558459557513</v>
      </c>
      <c r="HE188" s="1715">
        <f>IF($A188&gt;=BegDate,VLOOKUP($A188,GasTable,13)+Assumptions!$C$58,0)</f>
        <v>3.2144398601539046</v>
      </c>
      <c r="HF188" s="1715">
        <f>HE188*Assumptions!$C$57/1000</f>
        <v>23.30468898611581</v>
      </c>
      <c r="HG188" s="625">
        <f>IF(Assumptions!$C$60="Hourly",MAX(0,HC188*(HD188-HF188)),HC188*(HD188-HF188))</f>
        <v>648732.0429709577</v>
      </c>
      <c r="HH188" s="640">
        <f>IF($A188&gt;=BegDate,Assumptions!$C$56*24*($A189-$A188)*(1-VLOOKUP($B188,MAIN!$AA$7:$AM$28,$C188+1))*(1-VLOOKUP($B188,MAIN!$AA$33:$AM$54,$C188+1)),0)*56/168</f>
        <v>180420</v>
      </c>
      <c r="HI188" s="1715">
        <f t="shared" si="511"/>
        <v>35.889558459557513</v>
      </c>
      <c r="HJ188" s="1715">
        <f>IF($A188&gt;=BegDate,VLOOKUP($A188,GasTable,13)+Assumptions!$C$58,0)</f>
        <v>3.2144398601539046</v>
      </c>
      <c r="HK188" s="1715">
        <f>HJ188*Assumptions!$C$57/1000</f>
        <v>23.30468898611581</v>
      </c>
      <c r="HL188" s="625">
        <f>IF(Assumptions!$C$60="Hourly",MAX(0,HH188*(HI188-HK188)),HH188*(HI188-HK188))</f>
        <v>2270562.1503983522</v>
      </c>
      <c r="HM188" s="640">
        <f>IF(AND(Assumptions!$H$71="Yes",A188&gt;=Assumptions!$H$72,A188&lt;=Assumptions!$H$73),Assumptions!$H$74*Assumptions!$C$9*1000,0)</f>
        <v>0</v>
      </c>
      <c r="HN188" s="530"/>
      <c r="HO188" s="545"/>
      <c r="HP188" s="545"/>
      <c r="HQ188" s="545"/>
      <c r="HR188" s="545"/>
      <c r="HS188" s="545"/>
      <c r="HT188" s="545"/>
      <c r="HU188" s="545"/>
      <c r="HV188" s="545"/>
      <c r="HW188" s="545"/>
      <c r="HX188" s="545"/>
      <c r="HY188" s="545"/>
      <c r="HZ188" s="545"/>
      <c r="IA188" s="545"/>
      <c r="IB188" s="545"/>
      <c r="IC188" s="545"/>
      <c r="ID188" s="545"/>
      <c r="IE188" s="545"/>
      <c r="IF188" s="545"/>
      <c r="IG188" s="545"/>
      <c r="IH188" s="545"/>
      <c r="II188" s="1464"/>
      <c r="IJ188" s="1463"/>
      <c r="IK188" s="1463"/>
    </row>
    <row r="189" spans="1:245">
      <c r="A189" s="177">
        <f t="shared" si="466"/>
        <v>41883</v>
      </c>
      <c r="B189" s="349">
        <f t="shared" si="467"/>
        <v>2014</v>
      </c>
      <c r="C189" s="15">
        <f t="shared" si="523"/>
        <v>9</v>
      </c>
      <c r="D189" s="612">
        <f t="shared" si="468"/>
        <v>41883</v>
      </c>
      <c r="E189" s="609">
        <f t="shared" si="524"/>
        <v>41883</v>
      </c>
      <c r="F189" s="614">
        <f t="shared" si="525"/>
        <v>41912</v>
      </c>
      <c r="G189" s="1349">
        <v>0</v>
      </c>
      <c r="H189" s="152">
        <f t="shared" si="512"/>
        <v>1</v>
      </c>
      <c r="I189" s="154">
        <f>IF(Assumptions!$L$25=4,VLOOKUP($A189,'Henwood Reference'!$E$9:$R$320,10),(VLOOKUP($A189,PriceTable,2,0)+IF(BasisNumber&lt;&gt;1,VLOOKUP($A189,BasisTable,2,0),0)+I$1)/(1-I$2))</f>
        <v>70.78977174257048</v>
      </c>
      <c r="J189" s="154">
        <f>IF(Assumptions!$L$25=4,VLOOKUP($A189,'Henwood Reference'!$E$9:$R$320,10),(VLOOKUP($A189,PriceTable,3,0)+IF(BasisNumber&lt;&gt;1,VLOOKUP($A189,BasisTable,2,0),0)+J$1)/(1-J$2))</f>
        <v>70.78977174257048</v>
      </c>
      <c r="K189" s="154">
        <f>IF(Assumptions!$L$25=4,VLOOKUP($A189,'Henwood Reference'!$E$9:$R$320,10),(VLOOKUP($A189,PriceTable,4,0)+IF(BasisNumber&lt;&gt;1,VLOOKUP($A189,BasisTable,2,0),0)+K$1)/(1-K$2))</f>
        <v>70.78977174257048</v>
      </c>
      <c r="L189" s="474">
        <f>IF(Assumptions!$L$25=4,VLOOKUP($A189,'Henwood Reference'!$E$9:$R$320,10),(VLOOKUP($A189,PriceTableWeekend,2,0)+IF(BasisNumber&lt;&gt;1,VLOOKUP($A189,BasisTable,2,0),0)+L$1)/(1-L$2))</f>
        <v>70.78977174257048</v>
      </c>
      <c r="M189" s="154">
        <f>IF(Assumptions!$L$25=4,VLOOKUP($A189,'Henwood Reference'!$E$9:$R$320,10),(VLOOKUP($A189,PriceTableWeekend,3,0)+IF(BasisNumber&lt;&gt;1,VLOOKUP($A189,BasisTable,2,0),0)+M$1)/(1-M$2))</f>
        <v>70.78977174257048</v>
      </c>
      <c r="N189" s="156">
        <f>IF(Assumptions!$L$25=4,VLOOKUP($A189,'Henwood Reference'!$E$9:$R$320,10),(VLOOKUP($A189,PriceTableWeekend,4,0)+IF(BasisNumber&lt;&gt;1,VLOOKUP($A189,BasisTable,2,0),0)+N$1)/(1-N$2))</f>
        <v>70.78977174257048</v>
      </c>
      <c r="O189" s="154">
        <f>IF(Assumptions!$L$25=4,VLOOKUP($A189,'Henwood Reference'!$E$9:$R$320,11),(VLOOKUP($A189,PriceTableWeekend,6,0)+IF(BasisNumber&lt;&gt;1,VLOOKUP($A189,BasisTable,3,0),0)+O$1)/(1-O$2))</f>
        <v>33.815073948270062</v>
      </c>
      <c r="P189" s="154">
        <f>IF(Assumptions!$L$25=4,VLOOKUP($A189,'Henwood Reference'!$E$9:$R$320,11),(VLOOKUP($A189,PriceTableWeekend,7,0)+IF(BasisNumber&lt;&gt;1,VLOOKUP($A189,BasisTable,3,0),0)+P$1)/(1-P$2))</f>
        <v>33.815073948270062</v>
      </c>
      <c r="Q189" s="156">
        <f>IF(Assumptions!$L$25=4,VLOOKUP($A189,'Henwood Reference'!$E$9:$R$320,11),(VLOOKUP($A189,PriceTableWeekend,8,0)+IF(BasisNumber&lt;&gt;1,VLOOKUP($A189,BasisTable,3,0),0)+Q$1)/(1-Q$2))</f>
        <v>33.815073948270062</v>
      </c>
      <c r="R189" s="154">
        <f>IF(Assumptions!$L$25=4,VLOOKUP($A189,'Henwood Reference'!$E$9:$R$320,11),(VLOOKUP($A189,PriceTable,6,0)+IF(BasisNumber&lt;&gt;1,VLOOKUP($A189,BasisTable,3,0),0)+R$1)/(1-R$2))</f>
        <v>33.815073948270062</v>
      </c>
      <c r="S189" s="154">
        <f>IF(Assumptions!$L$25=4,VLOOKUP($A189,'Henwood Reference'!$E$9:$R$320,11),(VLOOKUP($A189,PriceTable,7,0)+IF(BasisNumber&lt;&gt;1,VLOOKUP($A189,BasisTable,3,0),0)+S$1)/(1-S$2))</f>
        <v>33.815073948270062</v>
      </c>
      <c r="T189" s="155">
        <f>IF(Assumptions!$L$25=4,VLOOKUP($A189,'Henwood Reference'!$E$9:$R$320,11),(VLOOKUP($A189,PriceTable,8,0)+IF(BasisNumber&lt;&gt;1,VLOOKUP($A189,BasisTable,3,0),0)+T$1)/(1-T$2))</f>
        <v>33.815073948270062</v>
      </c>
      <c r="U189" s="173">
        <f t="shared" si="469"/>
        <v>9.9999999999999936E-2</v>
      </c>
      <c r="V189" s="173">
        <f t="shared" si="470"/>
        <v>0.11</v>
      </c>
      <c r="W189" s="174">
        <f t="shared" si="471"/>
        <v>0.12</v>
      </c>
      <c r="X189" s="173">
        <f t="shared" si="472"/>
        <v>9.9999999999999936E-2</v>
      </c>
      <c r="Y189" s="173">
        <f t="shared" si="473"/>
        <v>0.11</v>
      </c>
      <c r="Z189" s="174">
        <f t="shared" si="474"/>
        <v>0.12</v>
      </c>
      <c r="AA189" s="173">
        <f t="shared" si="475"/>
        <v>0.09</v>
      </c>
      <c r="AB189" s="173">
        <f t="shared" si="476"/>
        <v>0.11</v>
      </c>
      <c r="AC189" s="174">
        <f t="shared" si="477"/>
        <v>0.13</v>
      </c>
      <c r="AD189" s="173">
        <f t="shared" si="478"/>
        <v>0.09</v>
      </c>
      <c r="AE189" s="173">
        <f t="shared" si="479"/>
        <v>0.11</v>
      </c>
      <c r="AF189" s="174">
        <f t="shared" si="480"/>
        <v>0.13</v>
      </c>
      <c r="AG189" s="173">
        <f t="shared" si="481"/>
        <v>-0.35</v>
      </c>
      <c r="AH189" s="173">
        <f t="shared" si="482"/>
        <v>3</v>
      </c>
      <c r="AI189" s="174">
        <f t="shared" si="483"/>
        <v>0.2</v>
      </c>
      <c r="AJ189" s="173">
        <f t="shared" si="484"/>
        <v>-0.35</v>
      </c>
      <c r="AK189" s="173">
        <f t="shared" si="485"/>
        <v>3</v>
      </c>
      <c r="AL189" s="174">
        <f t="shared" si="486"/>
        <v>0.2</v>
      </c>
      <c r="AM189" s="173">
        <f t="shared" si="487"/>
        <v>-0.01</v>
      </c>
      <c r="AN189" s="173">
        <f t="shared" si="488"/>
        <v>0.16</v>
      </c>
      <c r="AO189" s="174">
        <f t="shared" si="489"/>
        <v>0.01</v>
      </c>
      <c r="AP189" s="173">
        <f t="shared" si="490"/>
        <v>-0.01</v>
      </c>
      <c r="AQ189" s="173">
        <f t="shared" si="491"/>
        <v>0.16</v>
      </c>
      <c r="AR189" s="175">
        <f t="shared" si="492"/>
        <v>0.01</v>
      </c>
      <c r="AS189" s="521">
        <f t="shared" si="528"/>
        <v>0.5</v>
      </c>
      <c r="AT189" s="349">
        <f t="shared" si="526"/>
        <v>21</v>
      </c>
      <c r="AU189" s="159">
        <f t="shared" si="411"/>
        <v>4</v>
      </c>
      <c r="AV189" s="159">
        <f t="shared" si="412"/>
        <v>4</v>
      </c>
      <c r="AW189" s="159">
        <f t="shared" si="529"/>
        <v>1</v>
      </c>
      <c r="AX189" s="15">
        <f t="shared" si="527"/>
        <v>30</v>
      </c>
      <c r="AY189" s="607">
        <f>IF(E189="",0,MIN((1-(1-VLOOKUP(B189,MAIN!$AA$7:$AM$28,C189+1))*(1-VLOOKUP(B189,MAIN!$AA$33:$AM$54,C189+1))),1))</f>
        <v>3.0000000000000027E-2</v>
      </c>
      <c r="AZ189" s="337">
        <v>48888</v>
      </c>
      <c r="BA189" s="509">
        <v>9312</v>
      </c>
      <c r="BB189" s="509">
        <v>11640</v>
      </c>
      <c r="BC189" s="511">
        <v>34920</v>
      </c>
      <c r="BD189" s="153">
        <v>0.9699999927729368</v>
      </c>
      <c r="BE189" s="474">
        <v>0.9699999927729368</v>
      </c>
      <c r="BF189" s="474">
        <v>0.9699999927729368</v>
      </c>
      <c r="BG189" s="515">
        <v>0.9699999927729368</v>
      </c>
      <c r="BH189" s="262">
        <v>195552</v>
      </c>
      <c r="BI189" s="509">
        <v>37248</v>
      </c>
      <c r="BJ189" s="509">
        <v>46560</v>
      </c>
      <c r="BK189" s="511">
        <v>139680</v>
      </c>
      <c r="BL189" s="153">
        <v>0.9699999927729368</v>
      </c>
      <c r="BM189" s="474">
        <v>0.9699999927729368</v>
      </c>
      <c r="BN189" s="474">
        <v>0.9699999927729368</v>
      </c>
      <c r="BO189" s="474">
        <v>0.9699999927729368</v>
      </c>
      <c r="BP189" s="261">
        <f t="shared" si="495"/>
        <v>69840</v>
      </c>
      <c r="BQ189" s="578">
        <f t="shared" si="496"/>
        <v>104760</v>
      </c>
      <c r="BR189" s="259">
        <f t="shared" si="497"/>
        <v>279360</v>
      </c>
      <c r="BS189" s="578">
        <f t="shared" si="498"/>
        <v>419040</v>
      </c>
      <c r="BT189" s="216">
        <f t="shared" si="499"/>
        <v>14.381930184804927</v>
      </c>
      <c r="BU189" s="218">
        <f t="shared" si="414"/>
        <v>70.789771215145578</v>
      </c>
      <c r="BV189" s="216">
        <f t="shared" si="415"/>
        <v>70.789771215145578</v>
      </c>
      <c r="BW189" s="216">
        <f t="shared" si="416"/>
        <v>33.815073696328128</v>
      </c>
      <c r="BX189" s="216">
        <f t="shared" si="500"/>
        <v>33.815073696328128</v>
      </c>
      <c r="BY189" s="216">
        <f t="shared" si="417"/>
        <v>64.627321628676</v>
      </c>
      <c r="BZ189" s="216">
        <f t="shared" si="418"/>
        <v>54.356572317893374</v>
      </c>
      <c r="CA189" s="264">
        <f t="shared" si="419"/>
        <v>70.789771215145578</v>
      </c>
      <c r="CB189" s="216">
        <f t="shared" si="420"/>
        <v>70.789771215145578</v>
      </c>
      <c r="CC189" s="216">
        <f t="shared" si="421"/>
        <v>33.815073696328128</v>
      </c>
      <c r="CD189" s="216">
        <f t="shared" si="501"/>
        <v>33.815073696328128</v>
      </c>
      <c r="CE189" s="216">
        <f t="shared" si="422"/>
        <v>64.627321628676</v>
      </c>
      <c r="CF189" s="571">
        <f t="shared" si="423"/>
        <v>54.356572317893374</v>
      </c>
      <c r="CG189" s="573">
        <f t="shared" si="424"/>
        <v>0.11</v>
      </c>
      <c r="CH189" s="219">
        <f t="shared" si="425"/>
        <v>0.11</v>
      </c>
      <c r="CI189" s="219">
        <f t="shared" si="426"/>
        <v>0.11</v>
      </c>
      <c r="CJ189" s="219">
        <f t="shared" si="427"/>
        <v>0.11000000000000003</v>
      </c>
      <c r="CK189" s="219">
        <f t="shared" si="428"/>
        <v>0.11000000000000003</v>
      </c>
      <c r="CL189" s="219">
        <f t="shared" si="429"/>
        <v>0.11</v>
      </c>
      <c r="CM189" s="219">
        <f t="shared" si="430"/>
        <v>0.10083984185464043</v>
      </c>
      <c r="CN189" s="569">
        <f t="shared" si="431"/>
        <v>0.10083984185464043</v>
      </c>
      <c r="CO189" s="264">
        <f t="shared" si="514"/>
        <v>24.065790094632554</v>
      </c>
      <c r="CP189" s="216">
        <f t="shared" si="502"/>
        <v>24.065790094632554</v>
      </c>
      <c r="CQ189" s="216">
        <f t="shared" ca="1" si="532"/>
        <v>24.065790094632554</v>
      </c>
      <c r="CR189" s="216">
        <f t="shared" ca="1" si="533"/>
        <v>24.065790094632554</v>
      </c>
      <c r="CS189" s="1626">
        <f t="shared" ca="1" si="534"/>
        <v>24.065790094632558</v>
      </c>
      <c r="CT189" s="216">
        <f t="shared" si="503"/>
        <v>24.065790094632554</v>
      </c>
      <c r="CU189" s="575">
        <f t="shared" si="432"/>
        <v>0.154</v>
      </c>
      <c r="CV189" s="154">
        <f t="shared" si="433"/>
        <v>0.5</v>
      </c>
      <c r="CW189" s="216">
        <f>IF(OR($BQ189,$BS189),SpreadOptPowerMargin,0)*((1+Assumptions!$C$26)^($B189-YEAR(Assumptions!$C$17)))</f>
        <v>2.2380737551103738</v>
      </c>
      <c r="CX189" s="216">
        <f>IF(OR($BQ189,$BS189),SpreadOptPowerMargin,0)*((1+Assumptions!$C$26)^($B189-YEAR(Assumptions!$C$17)))</f>
        <v>2.2380737551103738</v>
      </c>
      <c r="CY189" s="216">
        <f>IF(OR($BQ189,$BS189),SpreadOptPowerMargin,0)*((1+Assumptions!$C$26)^($B189-YEAR(Assumptions!$C$17)))</f>
        <v>2.2380737551103738</v>
      </c>
      <c r="CZ189" s="216">
        <f>IF(OR($BQ189,$BS189),SpreadOptPowerMargin,0)*((1+Assumptions!$C$26)^($B189-YEAR(Assumptions!$C$17)))</f>
        <v>2.2380737551103738</v>
      </c>
      <c r="DA189" s="440">
        <f t="shared" si="434"/>
        <v>2.2380737551103738</v>
      </c>
      <c r="DB189" s="479">
        <f t="shared" si="435"/>
        <v>0.11</v>
      </c>
      <c r="DC189" s="479">
        <f t="shared" si="436"/>
        <v>0.11</v>
      </c>
      <c r="DD189" s="479">
        <f t="shared" si="437"/>
        <v>0.11</v>
      </c>
      <c r="DE189" s="479">
        <f t="shared" si="438"/>
        <v>0.11</v>
      </c>
      <c r="DF189" s="479">
        <f t="shared" si="439"/>
        <v>0.10083984185464043</v>
      </c>
      <c r="DG189" s="574">
        <f t="shared" si="440"/>
        <v>0.10083984185464043</v>
      </c>
      <c r="DH189" s="216">
        <f t="shared" si="441"/>
        <v>44.665051658527076</v>
      </c>
      <c r="DI189" s="216">
        <f t="shared" si="442"/>
        <v>44.665051658527076</v>
      </c>
      <c r="DJ189" s="216">
        <f t="shared" ca="1" si="535"/>
        <v>10.2892755439537</v>
      </c>
      <c r="DK189" s="216">
        <f t="shared" ca="1" si="536"/>
        <v>10.2892755439537</v>
      </c>
      <c r="DL189" s="216">
        <f t="shared" ca="1" si="537"/>
        <v>28.583970732907847</v>
      </c>
      <c r="DM189" s="216"/>
      <c r="DN189" s="216"/>
      <c r="DO189" s="216"/>
      <c r="DP189" s="216"/>
      <c r="DQ189" s="216"/>
      <c r="DR189" s="216"/>
      <c r="DS189" s="216"/>
      <c r="DT189" s="216"/>
      <c r="DU189" s="216"/>
      <c r="DV189" s="216"/>
      <c r="DW189" s="1371">
        <f t="shared" si="443"/>
        <v>10.2892755439537</v>
      </c>
      <c r="DX189" s="216">
        <f t="shared" si="444"/>
        <v>10.2892755439537</v>
      </c>
      <c r="DY189" s="440">
        <f t="shared" si="445"/>
        <v>29.386928940938905</v>
      </c>
      <c r="DZ189" s="180">
        <f t="shared" si="446"/>
        <v>2183585.0454820716</v>
      </c>
      <c r="EA189" s="180">
        <f t="shared" si="447"/>
        <v>415920.96104420413</v>
      </c>
      <c r="EB189" s="180">
        <f t="shared" ca="1" si="538"/>
        <v>119767.16733162107</v>
      </c>
      <c r="EC189" s="180">
        <f t="shared" ca="1" si="539"/>
        <v>359301.50199486321</v>
      </c>
      <c r="ED189" s="180">
        <f t="shared" ca="1" si="540"/>
        <v>2994456.7739794259</v>
      </c>
      <c r="EE189" s="581">
        <f t="shared" si="448"/>
        <v>2174827.039279805</v>
      </c>
      <c r="EF189" s="554">
        <f t="shared" si="449"/>
        <v>414252.76938662952</v>
      </c>
      <c r="EG189" s="554">
        <f t="shared" ca="1" si="541"/>
        <v>87430.482614251727</v>
      </c>
      <c r="EH189" s="554">
        <f t="shared" ca="1" si="542"/>
        <v>262291.44784275518</v>
      </c>
      <c r="EI189" s="561">
        <f t="shared" ca="1" si="450"/>
        <v>2938801.7391234403</v>
      </c>
      <c r="EJ189" s="581">
        <f t="shared" si="504"/>
        <v>8758.0062022665516</v>
      </c>
      <c r="EK189" s="554">
        <f t="shared" si="505"/>
        <v>1668.1916575746145</v>
      </c>
      <c r="EL189" s="554">
        <f t="shared" ca="1" si="543"/>
        <v>32336.684717369339</v>
      </c>
      <c r="EM189" s="554">
        <f t="shared" ca="1" si="544"/>
        <v>97010.05415210803</v>
      </c>
      <c r="EN189" s="561">
        <f t="shared" ca="1" si="545"/>
        <v>55655.034855985548</v>
      </c>
      <c r="EO189" s="180">
        <f t="shared" si="451"/>
        <v>8734340.1819282863</v>
      </c>
      <c r="EP189" s="180">
        <f t="shared" si="452"/>
        <v>1663683.8441768165</v>
      </c>
      <c r="EQ189" s="180">
        <f t="shared" si="453"/>
        <v>479068.66932648426</v>
      </c>
      <c r="ER189" s="180">
        <f t="shared" si="454"/>
        <v>1437206.0079794528</v>
      </c>
      <c r="ES189" s="180">
        <f t="shared" si="455"/>
        <v>12314298.703411039</v>
      </c>
      <c r="ET189" s="1482">
        <f t="shared" ca="1" si="546"/>
        <v>8699308.1571192201</v>
      </c>
      <c r="EU189" s="180">
        <f t="shared" ca="1" si="547"/>
        <v>1657011.0775465181</v>
      </c>
      <c r="EV189" s="180">
        <f t="shared" ca="1" si="548"/>
        <v>349721.93045700691</v>
      </c>
      <c r="EW189" s="180">
        <f t="shared" ca="1" si="549"/>
        <v>1049165.7913710207</v>
      </c>
      <c r="EX189" s="555">
        <f t="shared" ca="1" si="522"/>
        <v>11755206.956493767</v>
      </c>
      <c r="EY189" s="180">
        <f t="shared" ca="1" si="550"/>
        <v>35032.024809066206</v>
      </c>
      <c r="EZ189" s="180">
        <f t="shared" ca="1" si="551"/>
        <v>6672.766630298458</v>
      </c>
      <c r="FA189" s="180">
        <f t="shared" ca="1" si="552"/>
        <v>129346.73886947735</v>
      </c>
      <c r="FB189" s="180">
        <f t="shared" ca="1" si="553"/>
        <v>388040.21660843212</v>
      </c>
      <c r="FC189" s="180">
        <f t="shared" ca="1" si="554"/>
        <v>559091.74691727199</v>
      </c>
      <c r="FD189" s="262">
        <f>IF(AX189,IF(VLOOKUP(C189,MAIN!$L$17:$M$28,2)="Yes",VLOOKUP(CALC!B189,MAIN!$H$17:$I$20,2),0),0)</f>
        <v>0</v>
      </c>
      <c r="FE189" s="623">
        <f t="shared" si="456"/>
        <v>0</v>
      </c>
      <c r="FF189" s="535">
        <f t="shared" si="457"/>
        <v>0</v>
      </c>
      <c r="FG189" s="535">
        <f t="shared" si="458"/>
        <v>0</v>
      </c>
      <c r="FH189" s="624">
        <f t="shared" si="459"/>
        <v>0</v>
      </c>
      <c r="FI189" s="632">
        <f>IF(AX189,VLOOKUP(CALC!B189,MAIN!$H$17:$K$20,4),0)</f>
        <v>0</v>
      </c>
      <c r="FJ189" s="535">
        <f t="shared" si="460"/>
        <v>0</v>
      </c>
      <c r="FK189" s="648">
        <f t="shared" si="506"/>
        <v>0</v>
      </c>
      <c r="FL189" s="530">
        <f t="shared" ca="1" si="555"/>
        <v>0</v>
      </c>
      <c r="FM189" s="530">
        <f t="shared" ca="1" si="556"/>
        <v>0</v>
      </c>
      <c r="FN189" s="530">
        <f t="shared" ca="1" si="557"/>
        <v>0</v>
      </c>
      <c r="FO189" s="622">
        <f t="shared" ca="1" si="558"/>
        <v>0</v>
      </c>
      <c r="FP189" s="530">
        <f t="shared" ca="1" si="559"/>
        <v>0</v>
      </c>
      <c r="FQ189" s="530">
        <f t="shared" ca="1" si="560"/>
        <v>0</v>
      </c>
      <c r="FR189" s="530">
        <f t="shared" ca="1" si="561"/>
        <v>0</v>
      </c>
      <c r="FS189" s="625">
        <f t="shared" ca="1" si="562"/>
        <v>0</v>
      </c>
      <c r="FT189" s="640">
        <f ca="1">IF(AND(Assumptions!$H$71="Yes",A189&gt;=Assumptions!$H$72,A189&lt;=Assumptions!$H$73),0,IF(AND($A189&gt;=Assumptions!$C$17,$A189&lt;=Assumptions!$C$18),MAX(AZ189*(1+VLOOKUP($C189,WeatherCapacityAdjustment,2))-FL189,0),0))</f>
        <v>48888</v>
      </c>
      <c r="FU189" s="530">
        <f ca="1">IF(AND(Assumptions!$H$71="Yes",A189&gt;=Assumptions!$H$72,A189&lt;=Assumptions!$H$73),0,IF(AND($A189&gt;=Assumptions!$C$17,$A189&lt;=Assumptions!$C$18),MAX(BA189*(1+VLOOKUP($C189,WeatherCapacityAdjustment,2))-FM189,0),0))</f>
        <v>9312</v>
      </c>
      <c r="FV189" s="530">
        <f ca="1">IF(AND(Assumptions!$H$71="Yes",A189&gt;=Assumptions!$H$72,A189&lt;=Assumptions!$H$73),0,IF(AND($A189&gt;=Assumptions!$C$17,$A189&lt;=Assumptions!$C$18),MAX(BB189*(1+VLOOKUP($C189,WeatherCapacityAdjustment,2))-FN189,0),0))</f>
        <v>11640</v>
      </c>
      <c r="FW189" s="622">
        <f ca="1">IF(AND(Assumptions!$H$71="Yes",A189&gt;=Assumptions!$H$72,A189&lt;=Assumptions!$H$73),0,IF(AND($A189&gt;=Assumptions!$C$17,$A189&lt;=Assumptions!$C$18),MAX(BC189*(1+VLOOKUP($C189,WeatherCapacityAdjustment,3))-FO189,0),0))</f>
        <v>34920</v>
      </c>
      <c r="FX189" s="621">
        <f ca="1">IF(AND(Assumptions!$H$71="Yes",A189&gt;=Assumptions!$H$72,A189&lt;=Assumptions!$H$73),0,IF(ET189&gt;0,MAX(BH189*(1+VLOOKUP($C189,WeatherCapacityAdjustment,2))-FP189,0),0))</f>
        <v>195552</v>
      </c>
      <c r="FY189" s="530">
        <f ca="1">IF(AND(Assumptions!$H$71="Yes",A189&gt;=Assumptions!$H$72,A189&lt;=Assumptions!$H$73),0,IF(EU189&gt;0,MAX(BI189*(1+VLOOKUP($C189,WeatherCapacityAdjustment,3))-FQ189,0),0))</f>
        <v>37248</v>
      </c>
      <c r="FZ189" s="530">
        <f ca="1">IF(AND(Assumptions!$H$71="Yes",A189&gt;=Assumptions!$H$72,A189&lt;=Assumptions!$H$73),0,IF(EV189&gt;0,MAX(BJ189*(1+VLOOKUP($C189,WeatherCapacityAdjustment,2))-FR189,0),0))</f>
        <v>46560</v>
      </c>
      <c r="GA189" s="622">
        <f ca="1">IF(AND(Assumptions!$H$71="Yes",A189&gt;=Assumptions!$H$72,A189&lt;=Assumptions!$H$73),0,IF(EW189&gt;0,MAX(BK189*(1+VLOOKUP($C189,WeatherCapacityAdjustment,2))-FS189,0),0))</f>
        <v>139680</v>
      </c>
      <c r="GB189" s="530">
        <f t="shared" ca="1" si="461"/>
        <v>523800</v>
      </c>
      <c r="GC189" s="545">
        <f t="shared" ca="1" si="462"/>
        <v>54.356572317893374</v>
      </c>
      <c r="GD189" s="530">
        <f t="shared" ca="1" si="563"/>
        <v>28471972.58011255</v>
      </c>
      <c r="GE189" s="1485">
        <f t="shared" ca="1" si="564"/>
        <v>753031.64159999997</v>
      </c>
      <c r="GF189" s="1776">
        <f t="shared" ca="1" si="565"/>
        <v>3012126.5663999999</v>
      </c>
      <c r="GG189" s="545">
        <f t="shared" si="530"/>
        <v>3.347976407680485</v>
      </c>
      <c r="GH189" s="622">
        <f t="shared" ca="1" si="531"/>
        <v>12605660.851568531</v>
      </c>
      <c r="GI189" s="621">
        <f t="shared" ca="1" si="507"/>
        <v>523800</v>
      </c>
      <c r="GJ189" s="638">
        <f t="shared" si="463"/>
        <v>2.2380737551103738</v>
      </c>
      <c r="GK189" s="625">
        <f t="shared" ca="1" si="513"/>
        <v>1172303.0329268137</v>
      </c>
      <c r="GL189" s="640">
        <f t="shared" ca="1" si="566"/>
        <v>0</v>
      </c>
      <c r="GM189" s="530">
        <f t="shared" ca="1" si="567"/>
        <v>0</v>
      </c>
      <c r="GN189" s="530">
        <f t="shared" ca="1" si="568"/>
        <v>0</v>
      </c>
      <c r="GO189" s="622">
        <f t="shared" ca="1" si="569"/>
        <v>0</v>
      </c>
      <c r="GP189" s="530">
        <f t="shared" ca="1" si="464"/>
        <v>0</v>
      </c>
      <c r="GQ189" s="545">
        <f t="shared" ca="1" si="465"/>
        <v>0</v>
      </c>
      <c r="GR189" s="625">
        <f t="shared" ca="1" si="570"/>
        <v>0</v>
      </c>
      <c r="GS189" s="640">
        <f>IF($A189&gt;=BegDate,Assumptions!$C$56*24*($A190-$A189)*(1-VLOOKUP($B189,MAIN!$AA$7:$AM$28,$C189+1))*(1-VLOOKUP($B189,MAIN!$AA$33:$AM$54,$C189+1)),0)*80/168</f>
        <v>249428.57142857142</v>
      </c>
      <c r="GT189" s="1715">
        <f t="shared" si="508"/>
        <v>70.78977174257048</v>
      </c>
      <c r="GU189" s="1715">
        <f>IF($A189&gt;=BegDate,VLOOKUP($A189,GasTable,13)+Assumptions!$C$58,0)</f>
        <v>3.347976407680485</v>
      </c>
      <c r="GV189" s="1715">
        <f>GU189*Assumptions!$C$57/1000</f>
        <v>24.272828955683515</v>
      </c>
      <c r="GW189" s="625">
        <f>IF(Assumptions!$C$60="Hourly",MAX(0,GS189*(GT189-GV189)),GS189*(GT189-GV189))</f>
        <v>11602654.586557806</v>
      </c>
      <c r="GX189" s="640">
        <f>IF($A189&gt;=BegDate,Assumptions!$C$56*24*($A190-$A189)*(1-VLOOKUP($B189,MAIN!$AA$7:$AM$28,$C189+1))*(1-VLOOKUP($B189,MAIN!$AA$33:$AM$54,$C189+1)),0)*16/168</f>
        <v>49885.714285714283</v>
      </c>
      <c r="GY189" s="1715">
        <f t="shared" si="509"/>
        <v>70.78977174257048</v>
      </c>
      <c r="GZ189" s="1715">
        <f>IF($A189&gt;=BegDate,VLOOKUP($A189,GasTable,13)+Assumptions!$C$58,0)</f>
        <v>3.347976407680485</v>
      </c>
      <c r="HA189" s="1715">
        <f>GZ189*Assumptions!$C$57/1000</f>
        <v>24.272828955683515</v>
      </c>
      <c r="HB189" s="625">
        <f>IF(Assumptions!$C$60="Hourly",MAX(0,GX189*(GY189-HA189)),GX189*(GY189-HA189))</f>
        <v>2320530.9173115608</v>
      </c>
      <c r="HC189" s="640">
        <f>IF($A189&gt;=BegDate,Assumptions!$C$56*24*($A190-$A189)*(1-VLOOKUP($B189,MAIN!$AA$7:$AM$28,$C189+1))*(1-VLOOKUP($B189,MAIN!$AA$33:$AM$54,$C189+1)),0)*16/168</f>
        <v>49885.714285714283</v>
      </c>
      <c r="HD189" s="1715">
        <f t="shared" si="510"/>
        <v>33.815073948270062</v>
      </c>
      <c r="HE189" s="1715">
        <f>IF($A189&gt;=BegDate,VLOOKUP($A189,GasTable,13)+Assumptions!$C$58,0)</f>
        <v>3.347976407680485</v>
      </c>
      <c r="HF189" s="1715">
        <f>HE189*Assumptions!$C$57/1000</f>
        <v>24.272828955683515</v>
      </c>
      <c r="HG189" s="625">
        <f>IF(Assumptions!$C$60="Hourly",MAX(0,HC189*(HD189-HF189)),HC189*(HD189-HF189))</f>
        <v>476021.70734446024</v>
      </c>
      <c r="HH189" s="640">
        <f>IF($A189&gt;=BegDate,Assumptions!$C$56*24*($A190-$A189)*(1-VLOOKUP($B189,MAIN!$AA$7:$AM$28,$C189+1))*(1-VLOOKUP($B189,MAIN!$AA$33:$AM$54,$C189+1)),0)*56/168</f>
        <v>174600</v>
      </c>
      <c r="HI189" s="1715">
        <f t="shared" si="511"/>
        <v>33.815073948270062</v>
      </c>
      <c r="HJ189" s="1715">
        <f>IF($A189&gt;=BegDate,VLOOKUP($A189,GasTable,13)+Assumptions!$C$58,0)</f>
        <v>3.347976407680485</v>
      </c>
      <c r="HK189" s="1715">
        <f>HJ189*Assumptions!$C$57/1000</f>
        <v>24.272828955683515</v>
      </c>
      <c r="HL189" s="625">
        <f>IF(Assumptions!$C$60="Hourly",MAX(0,HH189*(HI189-HK189)),HH189*(HI189-HK189))</f>
        <v>1666075.9757056111</v>
      </c>
      <c r="HM189" s="640">
        <f>IF(AND(Assumptions!$H$71="Yes",A189&gt;=Assumptions!$H$72,A189&lt;=Assumptions!$H$73),Assumptions!$H$74*Assumptions!$C$9*1000,0)</f>
        <v>0</v>
      </c>
      <c r="HN189" s="530"/>
      <c r="HO189" s="545"/>
      <c r="HP189" s="545"/>
      <c r="HQ189" s="545"/>
      <c r="HR189" s="545"/>
      <c r="HS189" s="545"/>
      <c r="HT189" s="545"/>
      <c r="HU189" s="545"/>
      <c r="HV189" s="545"/>
      <c r="HW189" s="545"/>
      <c r="HX189" s="545"/>
      <c r="HY189" s="545"/>
      <c r="HZ189" s="545"/>
      <c r="IA189" s="545"/>
      <c r="IB189" s="545"/>
      <c r="IC189" s="545"/>
      <c r="ID189" s="545"/>
      <c r="IE189" s="545"/>
      <c r="IF189" s="545"/>
      <c r="IG189" s="545"/>
      <c r="IH189" s="545"/>
      <c r="II189" s="1464"/>
      <c r="IJ189" s="1463"/>
      <c r="IK189" s="1463"/>
    </row>
    <row r="190" spans="1:245">
      <c r="A190" s="177">
        <f t="shared" si="466"/>
        <v>41913</v>
      </c>
      <c r="B190" s="349">
        <f t="shared" si="467"/>
        <v>2014</v>
      </c>
      <c r="C190" s="15">
        <f t="shared" si="523"/>
        <v>10</v>
      </c>
      <c r="D190" s="612" t="str">
        <f t="shared" si="468"/>
        <v/>
      </c>
      <c r="E190" s="609">
        <f t="shared" si="524"/>
        <v>41913</v>
      </c>
      <c r="F190" s="614">
        <f t="shared" si="525"/>
        <v>41943</v>
      </c>
      <c r="G190" s="1349">
        <v>0</v>
      </c>
      <c r="H190" s="152">
        <f t="shared" si="512"/>
        <v>1</v>
      </c>
      <c r="I190" s="154">
        <f>IF(Assumptions!$L$25=4,VLOOKUP($A190,'Henwood Reference'!$E$9:$R$320,10),(VLOOKUP($A190,PriceTable,2,0)+IF(BasisNumber&lt;&gt;1,VLOOKUP($A190,BasisTable,2,0),0)+I$1)/(1-I$2))</f>
        <v>52.496650119343123</v>
      </c>
      <c r="J190" s="154">
        <f>IF(Assumptions!$L$25=4,VLOOKUP($A190,'Henwood Reference'!$E$9:$R$320,10),(VLOOKUP($A190,PriceTable,3,0)+IF(BasisNumber&lt;&gt;1,VLOOKUP($A190,BasisTable,2,0),0)+J$1)/(1-J$2))</f>
        <v>52.496650119343123</v>
      </c>
      <c r="K190" s="154">
        <f>IF(Assumptions!$L$25=4,VLOOKUP($A190,'Henwood Reference'!$E$9:$R$320,10),(VLOOKUP($A190,PriceTable,4,0)+IF(BasisNumber&lt;&gt;1,VLOOKUP($A190,BasisTable,2,0),0)+K$1)/(1-K$2))</f>
        <v>52.496650119343123</v>
      </c>
      <c r="L190" s="474">
        <f>IF(Assumptions!$L$25=4,VLOOKUP($A190,'Henwood Reference'!$E$9:$R$320,10),(VLOOKUP($A190,PriceTableWeekend,2,0)+IF(BasisNumber&lt;&gt;1,VLOOKUP($A190,BasisTable,2,0),0)+L$1)/(1-L$2))</f>
        <v>52.496650119343123</v>
      </c>
      <c r="M190" s="154">
        <f>IF(Assumptions!$L$25=4,VLOOKUP($A190,'Henwood Reference'!$E$9:$R$320,10),(VLOOKUP($A190,PriceTableWeekend,3,0)+IF(BasisNumber&lt;&gt;1,VLOOKUP($A190,BasisTable,2,0),0)+M$1)/(1-M$2))</f>
        <v>52.496650119343123</v>
      </c>
      <c r="N190" s="156">
        <f>IF(Assumptions!$L$25=4,VLOOKUP($A190,'Henwood Reference'!$E$9:$R$320,10),(VLOOKUP($A190,PriceTableWeekend,4,0)+IF(BasisNumber&lt;&gt;1,VLOOKUP($A190,BasisTable,2,0),0)+N$1)/(1-N$2))</f>
        <v>52.496650119343123</v>
      </c>
      <c r="O190" s="154">
        <f>IF(Assumptions!$L$25=4,VLOOKUP($A190,'Henwood Reference'!$E$9:$R$320,11),(VLOOKUP($A190,PriceTableWeekend,6,0)+IF(BasisNumber&lt;&gt;1,VLOOKUP($A190,BasisTable,3,0),0)+O$1)/(1-O$2))</f>
        <v>29.220253051656222</v>
      </c>
      <c r="P190" s="154">
        <f>IF(Assumptions!$L$25=4,VLOOKUP($A190,'Henwood Reference'!$E$9:$R$320,11),(VLOOKUP($A190,PriceTableWeekend,7,0)+IF(BasisNumber&lt;&gt;1,VLOOKUP($A190,BasisTable,3,0),0)+P$1)/(1-P$2))</f>
        <v>29.220253051656222</v>
      </c>
      <c r="Q190" s="156">
        <f>IF(Assumptions!$L$25=4,VLOOKUP($A190,'Henwood Reference'!$E$9:$R$320,11),(VLOOKUP($A190,PriceTableWeekend,8,0)+IF(BasisNumber&lt;&gt;1,VLOOKUP($A190,BasisTable,3,0),0)+Q$1)/(1-Q$2))</f>
        <v>29.220253051656222</v>
      </c>
      <c r="R190" s="154">
        <f>IF(Assumptions!$L$25=4,VLOOKUP($A190,'Henwood Reference'!$E$9:$R$320,11),(VLOOKUP($A190,PriceTable,6,0)+IF(BasisNumber&lt;&gt;1,VLOOKUP($A190,BasisTable,3,0),0)+R$1)/(1-R$2))</f>
        <v>29.220253051656222</v>
      </c>
      <c r="S190" s="154">
        <f>IF(Assumptions!$L$25=4,VLOOKUP($A190,'Henwood Reference'!$E$9:$R$320,11),(VLOOKUP($A190,PriceTable,7,0)+IF(BasisNumber&lt;&gt;1,VLOOKUP($A190,BasisTable,3,0),0)+S$1)/(1-S$2))</f>
        <v>29.220253051656222</v>
      </c>
      <c r="T190" s="155">
        <f>IF(Assumptions!$L$25=4,VLOOKUP($A190,'Henwood Reference'!$E$9:$R$320,11),(VLOOKUP($A190,PriceTable,8,0)+IF(BasisNumber&lt;&gt;1,VLOOKUP($A190,BasisTable,3,0),0)+T$1)/(1-T$2))</f>
        <v>29.220253051656222</v>
      </c>
      <c r="U190" s="173">
        <f t="shared" si="469"/>
        <v>9.9999999999999936E-2</v>
      </c>
      <c r="V190" s="173">
        <f t="shared" si="470"/>
        <v>0.11</v>
      </c>
      <c r="W190" s="174">
        <f t="shared" si="471"/>
        <v>0.12</v>
      </c>
      <c r="X190" s="173">
        <f t="shared" si="472"/>
        <v>9.9999999999999936E-2</v>
      </c>
      <c r="Y190" s="173">
        <f t="shared" si="473"/>
        <v>0.11</v>
      </c>
      <c r="Z190" s="174">
        <f t="shared" si="474"/>
        <v>0.12</v>
      </c>
      <c r="AA190" s="173">
        <f t="shared" si="475"/>
        <v>0.09</v>
      </c>
      <c r="AB190" s="173">
        <f t="shared" si="476"/>
        <v>0.11</v>
      </c>
      <c r="AC190" s="174">
        <f t="shared" si="477"/>
        <v>0.13</v>
      </c>
      <c r="AD190" s="173">
        <f t="shared" si="478"/>
        <v>0.09</v>
      </c>
      <c r="AE190" s="173">
        <f t="shared" si="479"/>
        <v>0.11</v>
      </c>
      <c r="AF190" s="174">
        <f t="shared" si="480"/>
        <v>0.13</v>
      </c>
      <c r="AG190" s="173">
        <f t="shared" si="481"/>
        <v>-0.1</v>
      </c>
      <c r="AH190" s="173">
        <f t="shared" si="482"/>
        <v>3</v>
      </c>
      <c r="AI190" s="174">
        <f t="shared" si="483"/>
        <v>0.1</v>
      </c>
      <c r="AJ190" s="173">
        <f t="shared" si="484"/>
        <v>-0.1</v>
      </c>
      <c r="AK190" s="173">
        <f t="shared" si="485"/>
        <v>3</v>
      </c>
      <c r="AL190" s="174">
        <f t="shared" si="486"/>
        <v>0.1</v>
      </c>
      <c r="AM190" s="173">
        <f t="shared" si="487"/>
        <v>-0.01</v>
      </c>
      <c r="AN190" s="173">
        <f t="shared" si="488"/>
        <v>0.16</v>
      </c>
      <c r="AO190" s="174">
        <f t="shared" si="489"/>
        <v>0.01</v>
      </c>
      <c r="AP190" s="173">
        <f t="shared" si="490"/>
        <v>-0.01</v>
      </c>
      <c r="AQ190" s="173">
        <f t="shared" si="491"/>
        <v>0.16</v>
      </c>
      <c r="AR190" s="175">
        <f t="shared" si="492"/>
        <v>0.01</v>
      </c>
      <c r="AS190" s="521">
        <f t="shared" si="528"/>
        <v>0.5</v>
      </c>
      <c r="AT190" s="349">
        <f t="shared" si="526"/>
        <v>23</v>
      </c>
      <c r="AU190" s="159">
        <f t="shared" si="411"/>
        <v>4</v>
      </c>
      <c r="AV190" s="159">
        <f t="shared" si="412"/>
        <v>4</v>
      </c>
      <c r="AW190" s="159">
        <f t="shared" si="529"/>
        <v>0</v>
      </c>
      <c r="AX190" s="15">
        <f t="shared" si="527"/>
        <v>31</v>
      </c>
      <c r="AY190" s="607">
        <f>IF(E190="",0,MIN((1-(1-VLOOKUP(B190,MAIN!$AA$7:$AM$28,C190+1))*(1-VLOOKUP(B190,MAIN!$AA$33:$AM$54,C190+1))),1))</f>
        <v>3.0000000000000027E-2</v>
      </c>
      <c r="AZ190" s="337">
        <v>53544</v>
      </c>
      <c r="BA190" s="509">
        <v>9312</v>
      </c>
      <c r="BB190" s="509">
        <v>9312</v>
      </c>
      <c r="BC190" s="511">
        <v>36084</v>
      </c>
      <c r="BD190" s="153">
        <v>0.97000001445412631</v>
      </c>
      <c r="BE190" s="474">
        <v>0.97000001445412631</v>
      </c>
      <c r="BF190" s="474">
        <v>0.97000001445412631</v>
      </c>
      <c r="BG190" s="515">
        <v>0.9699999927729368</v>
      </c>
      <c r="BH190" s="262">
        <v>214176</v>
      </c>
      <c r="BI190" s="509">
        <v>37248</v>
      </c>
      <c r="BJ190" s="509">
        <v>37248</v>
      </c>
      <c r="BK190" s="511">
        <v>144336</v>
      </c>
      <c r="BL190" s="153">
        <v>0.97000001445412631</v>
      </c>
      <c r="BM190" s="474">
        <v>0.97000001445412631</v>
      </c>
      <c r="BN190" s="474">
        <v>0.97000001445412631</v>
      </c>
      <c r="BO190" s="474">
        <v>0.9699999927729368</v>
      </c>
      <c r="BP190" s="261">
        <f t="shared" si="495"/>
        <v>72168</v>
      </c>
      <c r="BQ190" s="578">
        <f t="shared" si="496"/>
        <v>108252</v>
      </c>
      <c r="BR190" s="259">
        <f t="shared" si="497"/>
        <v>288672</v>
      </c>
      <c r="BS190" s="578">
        <f t="shared" si="498"/>
        <v>433008</v>
      </c>
      <c r="BT190" s="216">
        <f t="shared" si="499"/>
        <v>14.464065708418891</v>
      </c>
      <c r="BU190" s="218">
        <f t="shared" si="414"/>
        <v>52.49665090160417</v>
      </c>
      <c r="BV190" s="216">
        <f t="shared" si="415"/>
        <v>52.49665090160417</v>
      </c>
      <c r="BW190" s="216">
        <f t="shared" si="416"/>
        <v>29.220253487071922</v>
      </c>
      <c r="BX190" s="216">
        <f t="shared" si="500"/>
        <v>29.220252833948372</v>
      </c>
      <c r="BY190" s="216">
        <f t="shared" si="417"/>
        <v>49.493244783600012</v>
      </c>
      <c r="BZ190" s="216">
        <f t="shared" si="418"/>
        <v>42.735580800382799</v>
      </c>
      <c r="CA190" s="264">
        <f t="shared" si="419"/>
        <v>52.49665090160417</v>
      </c>
      <c r="CB190" s="216">
        <f t="shared" si="420"/>
        <v>52.49665090160417</v>
      </c>
      <c r="CC190" s="216">
        <f t="shared" si="421"/>
        <v>29.220253487071922</v>
      </c>
      <c r="CD190" s="216">
        <f t="shared" si="501"/>
        <v>29.220252833948372</v>
      </c>
      <c r="CE190" s="216">
        <f t="shared" si="422"/>
        <v>49.493244783600012</v>
      </c>
      <c r="CF190" s="571">
        <f t="shared" si="423"/>
        <v>42.735580800382799</v>
      </c>
      <c r="CG190" s="573">
        <f t="shared" si="424"/>
        <v>0.11</v>
      </c>
      <c r="CH190" s="219">
        <f t="shared" si="425"/>
        <v>0.11</v>
      </c>
      <c r="CI190" s="219">
        <f t="shared" si="426"/>
        <v>0.11</v>
      </c>
      <c r="CJ190" s="219">
        <f t="shared" si="427"/>
        <v>0.11000000000000001</v>
      </c>
      <c r="CK190" s="219">
        <f t="shared" si="428"/>
        <v>0.11000000000000001</v>
      </c>
      <c r="CL190" s="219">
        <f t="shared" si="429"/>
        <v>0.11</v>
      </c>
      <c r="CM190" s="219">
        <f t="shared" si="430"/>
        <v>0.10015290634098738</v>
      </c>
      <c r="CN190" s="569">
        <f t="shared" si="431"/>
        <v>0.10015290634098738</v>
      </c>
      <c r="CO190" s="264">
        <f t="shared" si="514"/>
        <v>25.104674284500831</v>
      </c>
      <c r="CP190" s="216">
        <f t="shared" si="502"/>
        <v>25.104674284500831</v>
      </c>
      <c r="CQ190" s="216">
        <f t="shared" ca="1" si="532"/>
        <v>25.104674284500831</v>
      </c>
      <c r="CR190" s="216">
        <f t="shared" ca="1" si="533"/>
        <v>25.104674284500831</v>
      </c>
      <c r="CS190" s="1626">
        <f t="shared" ca="1" si="534"/>
        <v>25.104674284500831</v>
      </c>
      <c r="CT190" s="216">
        <f t="shared" si="503"/>
        <v>25.104674284500831</v>
      </c>
      <c r="CU190" s="575">
        <f t="shared" si="432"/>
        <v>0.154</v>
      </c>
      <c r="CV190" s="154">
        <f t="shared" si="433"/>
        <v>0.5</v>
      </c>
      <c r="CW190" s="216">
        <f>IF(OR($BQ190,$BS190),SpreadOptPowerMargin,0)*((1+Assumptions!$C$26)^($B190-YEAR(Assumptions!$C$17)))</f>
        <v>2.2380737551103738</v>
      </c>
      <c r="CX190" s="216">
        <f>IF(OR($BQ190,$BS190),SpreadOptPowerMargin,0)*((1+Assumptions!$C$26)^($B190-YEAR(Assumptions!$C$17)))</f>
        <v>2.2380737551103738</v>
      </c>
      <c r="CY190" s="216">
        <f>IF(OR($BQ190,$BS190),SpreadOptPowerMargin,0)*((1+Assumptions!$C$26)^($B190-YEAR(Assumptions!$C$17)))</f>
        <v>2.2380737551103738</v>
      </c>
      <c r="CZ190" s="216">
        <f>IF(OR($BQ190,$BS190),SpreadOptPowerMargin,0)*((1+Assumptions!$C$26)^($B190-YEAR(Assumptions!$C$17)))</f>
        <v>2.2380737551103738</v>
      </c>
      <c r="DA190" s="440">
        <f t="shared" si="434"/>
        <v>2.2380737551103733</v>
      </c>
      <c r="DB190" s="479">
        <f t="shared" si="435"/>
        <v>0.11</v>
      </c>
      <c r="DC190" s="479">
        <f t="shared" si="436"/>
        <v>0.11</v>
      </c>
      <c r="DD190" s="479">
        <f t="shared" si="437"/>
        <v>0.11</v>
      </c>
      <c r="DE190" s="479">
        <f t="shared" si="438"/>
        <v>0.11</v>
      </c>
      <c r="DF190" s="479">
        <f t="shared" si="439"/>
        <v>0.10015290634098738</v>
      </c>
      <c r="DG190" s="574">
        <f t="shared" si="440"/>
        <v>0.10015290634098738</v>
      </c>
      <c r="DH190" s="216">
        <f t="shared" si="441"/>
        <v>25.960972203918097</v>
      </c>
      <c r="DI190" s="216">
        <f t="shared" si="442"/>
        <v>25.960972203918097</v>
      </c>
      <c r="DJ190" s="216">
        <f t="shared" ca="1" si="535"/>
        <v>6.4534639450213946</v>
      </c>
      <c r="DK190" s="216">
        <f t="shared" ca="1" si="536"/>
        <v>6.4534635188593219</v>
      </c>
      <c r="DL190" s="216">
        <f t="shared" ca="1" si="537"/>
        <v>16.958631872062604</v>
      </c>
      <c r="DM190" s="216"/>
      <c r="DN190" s="216"/>
      <c r="DO190" s="216"/>
      <c r="DP190" s="216"/>
      <c r="DQ190" s="216"/>
      <c r="DR190" s="216"/>
      <c r="DS190" s="216"/>
      <c r="DT190" s="216"/>
      <c r="DU190" s="216"/>
      <c r="DV190" s="216"/>
      <c r="DW190" s="1371">
        <f t="shared" si="443"/>
        <v>6.4534639450213946</v>
      </c>
      <c r="DX190" s="216">
        <f t="shared" si="444"/>
        <v>6.4534635188593219</v>
      </c>
      <c r="DY190" s="440">
        <f t="shared" si="445"/>
        <v>17.780404082326744</v>
      </c>
      <c r="DZ190" s="180">
        <f t="shared" si="446"/>
        <v>1390054.2956865905</v>
      </c>
      <c r="EA190" s="180">
        <f t="shared" si="447"/>
        <v>241748.57316288532</v>
      </c>
      <c r="EB190" s="180">
        <f t="shared" ca="1" si="538"/>
        <v>60094.656256039227</v>
      </c>
      <c r="EC190" s="180">
        <f t="shared" ca="1" si="539"/>
        <v>232866.77761451979</v>
      </c>
      <c r="ED190" s="180">
        <f t="shared" ca="1" si="540"/>
        <v>1835805.817414521</v>
      </c>
      <c r="EE190" s="581">
        <f t="shared" si="448"/>
        <v>1346840.5748425513</v>
      </c>
      <c r="EF190" s="554">
        <f t="shared" si="449"/>
        <v>234233.14345087847</v>
      </c>
      <c r="EG190" s="554">
        <f t="shared" ca="1" si="541"/>
        <v>17483.330726754193</v>
      </c>
      <c r="EH190" s="554">
        <f t="shared" ca="1" si="542"/>
        <v>67747.882998862333</v>
      </c>
      <c r="EI190" s="561">
        <f t="shared" ca="1" si="450"/>
        <v>1666304.9320190465</v>
      </c>
      <c r="EJ190" s="581">
        <f t="shared" si="504"/>
        <v>43213.720844039228</v>
      </c>
      <c r="EK190" s="554">
        <f t="shared" si="505"/>
        <v>7515.4297120068513</v>
      </c>
      <c r="EL190" s="554">
        <f t="shared" ca="1" si="543"/>
        <v>42611.325529285037</v>
      </c>
      <c r="EM190" s="554">
        <f t="shared" ca="1" si="544"/>
        <v>165118.89461565745</v>
      </c>
      <c r="EN190" s="561">
        <f t="shared" ca="1" si="545"/>
        <v>169500.8853954745</v>
      </c>
      <c r="EO190" s="180">
        <f t="shared" si="451"/>
        <v>5560217.1827463619</v>
      </c>
      <c r="EP190" s="180">
        <f t="shared" si="452"/>
        <v>966994.2926515413</v>
      </c>
      <c r="EQ190" s="180">
        <f t="shared" si="453"/>
        <v>240378.62502415691</v>
      </c>
      <c r="ER190" s="180">
        <f t="shared" si="454"/>
        <v>931467.11045807914</v>
      </c>
      <c r="ES190" s="180">
        <f t="shared" si="455"/>
        <v>7699057.2108801389</v>
      </c>
      <c r="ET190" s="1482">
        <f t="shared" ca="1" si="546"/>
        <v>5387362.299370205</v>
      </c>
      <c r="EU190" s="180">
        <f t="shared" ca="1" si="547"/>
        <v>936932.57380351389</v>
      </c>
      <c r="EV190" s="180">
        <f t="shared" ca="1" si="548"/>
        <v>69933.322907016773</v>
      </c>
      <c r="EW190" s="180">
        <f t="shared" ca="1" si="549"/>
        <v>270991.53199544933</v>
      </c>
      <c r="EX190" s="555">
        <f t="shared" ca="1" si="522"/>
        <v>6665219.7280761851</v>
      </c>
      <c r="EY190" s="180">
        <f t="shared" ca="1" si="550"/>
        <v>172854.88337615691</v>
      </c>
      <c r="EZ190" s="180">
        <f t="shared" ca="1" si="551"/>
        <v>30061.718848027405</v>
      </c>
      <c r="FA190" s="180">
        <f t="shared" ca="1" si="552"/>
        <v>170445.30211714015</v>
      </c>
      <c r="FB190" s="180">
        <f t="shared" ca="1" si="553"/>
        <v>660475.57846262981</v>
      </c>
      <c r="FC190" s="180">
        <f t="shared" ca="1" si="554"/>
        <v>1033837.4828039538</v>
      </c>
      <c r="FD190" s="262">
        <f>IF(AX190,IF(VLOOKUP(C190,MAIN!$L$17:$M$28,2)="Yes",VLOOKUP(CALC!B190,MAIN!$H$17:$I$20,2),0),0)</f>
        <v>0</v>
      </c>
      <c r="FE190" s="623">
        <f t="shared" si="456"/>
        <v>0</v>
      </c>
      <c r="FF190" s="535">
        <f t="shared" si="457"/>
        <v>0</v>
      </c>
      <c r="FG190" s="535">
        <f t="shared" si="458"/>
        <v>0</v>
      </c>
      <c r="FH190" s="624">
        <f t="shared" si="459"/>
        <v>0</v>
      </c>
      <c r="FI190" s="632">
        <f>IF(AX190,VLOOKUP(CALC!B190,MAIN!$H$17:$K$20,4),0)</f>
        <v>0</v>
      </c>
      <c r="FJ190" s="535">
        <f t="shared" si="460"/>
        <v>0</v>
      </c>
      <c r="FK190" s="648">
        <f t="shared" si="506"/>
        <v>0</v>
      </c>
      <c r="FL190" s="530">
        <f t="shared" ca="1" si="555"/>
        <v>0</v>
      </c>
      <c r="FM190" s="530">
        <f t="shared" ca="1" si="556"/>
        <v>0</v>
      </c>
      <c r="FN190" s="530">
        <f t="shared" ca="1" si="557"/>
        <v>0</v>
      </c>
      <c r="FO190" s="622">
        <f t="shared" ca="1" si="558"/>
        <v>0</v>
      </c>
      <c r="FP190" s="530">
        <f t="shared" ca="1" si="559"/>
        <v>0</v>
      </c>
      <c r="FQ190" s="530">
        <f t="shared" ca="1" si="560"/>
        <v>0</v>
      </c>
      <c r="FR190" s="530">
        <f t="shared" ca="1" si="561"/>
        <v>0</v>
      </c>
      <c r="FS190" s="625">
        <f t="shared" ca="1" si="562"/>
        <v>0</v>
      </c>
      <c r="FT190" s="640">
        <f ca="1">IF(AND(Assumptions!$H$71="Yes",A190&gt;=Assumptions!$H$72,A190&lt;=Assumptions!$H$73),0,IF(AND($A190&gt;=Assumptions!$C$17,$A190&lt;=Assumptions!$C$18),MAX(AZ190*(1+VLOOKUP($C190,WeatherCapacityAdjustment,2))-FL190,0),0))</f>
        <v>53544</v>
      </c>
      <c r="FU190" s="530">
        <f ca="1">IF(AND(Assumptions!$H$71="Yes",A190&gt;=Assumptions!$H$72,A190&lt;=Assumptions!$H$73),0,IF(AND($A190&gt;=Assumptions!$C$17,$A190&lt;=Assumptions!$C$18),MAX(BA190*(1+VLOOKUP($C190,WeatherCapacityAdjustment,2))-FM190,0),0))</f>
        <v>9312</v>
      </c>
      <c r="FV190" s="530">
        <f ca="1">IF(AND(Assumptions!$H$71="Yes",A190&gt;=Assumptions!$H$72,A190&lt;=Assumptions!$H$73),0,IF(AND($A190&gt;=Assumptions!$C$17,$A190&lt;=Assumptions!$C$18),MAX(BB190*(1+VLOOKUP($C190,WeatherCapacityAdjustment,2))-FN190,0),0))</f>
        <v>9312</v>
      </c>
      <c r="FW190" s="622">
        <f ca="1">IF(AND(Assumptions!$H$71="Yes",A190&gt;=Assumptions!$H$72,A190&lt;=Assumptions!$H$73),0,IF(AND($A190&gt;=Assumptions!$C$17,$A190&lt;=Assumptions!$C$18),MAX(BC190*(1+VLOOKUP($C190,WeatherCapacityAdjustment,3))-FO190,0),0))</f>
        <v>36084</v>
      </c>
      <c r="FX190" s="621">
        <f ca="1">IF(AND(Assumptions!$H$71="Yes",A190&gt;=Assumptions!$H$72,A190&lt;=Assumptions!$H$73),0,IF(ET190&gt;0,MAX(BH190*(1+VLOOKUP($C190,WeatherCapacityAdjustment,2))-FP190,0),0))</f>
        <v>214176</v>
      </c>
      <c r="FY190" s="530">
        <f ca="1">IF(AND(Assumptions!$H$71="Yes",A190&gt;=Assumptions!$H$72,A190&lt;=Assumptions!$H$73),0,IF(EU190&gt;0,MAX(BI190*(1+VLOOKUP($C190,WeatherCapacityAdjustment,3))-FQ190,0),0))</f>
        <v>37248</v>
      </c>
      <c r="FZ190" s="530">
        <f ca="1">IF(AND(Assumptions!$H$71="Yes",A190&gt;=Assumptions!$H$72,A190&lt;=Assumptions!$H$73),0,IF(EV190&gt;0,MAX(BJ190*(1+VLOOKUP($C190,WeatherCapacityAdjustment,2))-FR190,0),0))</f>
        <v>37248</v>
      </c>
      <c r="GA190" s="622">
        <f ca="1">IF(AND(Assumptions!$H$71="Yes",A190&gt;=Assumptions!$H$72,A190&lt;=Assumptions!$H$73),0,IF(EW190&gt;0,MAX(BK190*(1+VLOOKUP($C190,WeatherCapacityAdjustment,2))-FS190,0),0))</f>
        <v>144336</v>
      </c>
      <c r="GB190" s="530">
        <f t="shared" ca="1" si="461"/>
        <v>541260</v>
      </c>
      <c r="GC190" s="545">
        <f t="shared" ca="1" si="462"/>
        <v>42.735580800382799</v>
      </c>
      <c r="GD190" s="530">
        <f t="shared" ca="1" si="563"/>
        <v>23131060.464015193</v>
      </c>
      <c r="GE190" s="1485">
        <f t="shared" ca="1" si="564"/>
        <v>778450.95720000006</v>
      </c>
      <c r="GF190" s="1776">
        <f t="shared" ca="1" si="565"/>
        <v>3113803.8288000003</v>
      </c>
      <c r="GG190" s="545">
        <f t="shared" si="530"/>
        <v>3.4910756747230365</v>
      </c>
      <c r="GH190" s="622">
        <f t="shared" ca="1" si="531"/>
        <v>13588156.00322892</v>
      </c>
      <c r="GI190" s="621">
        <f t="shared" ca="1" si="507"/>
        <v>541260</v>
      </c>
      <c r="GJ190" s="638">
        <f t="shared" si="463"/>
        <v>2.2380737551103733</v>
      </c>
      <c r="GK190" s="625">
        <f t="shared" ca="1" si="513"/>
        <v>1211379.8006910407</v>
      </c>
      <c r="GL190" s="640">
        <f t="shared" ca="1" si="566"/>
        <v>0</v>
      </c>
      <c r="GM190" s="530">
        <f t="shared" ca="1" si="567"/>
        <v>0</v>
      </c>
      <c r="GN190" s="530">
        <f t="shared" ca="1" si="568"/>
        <v>0</v>
      </c>
      <c r="GO190" s="622">
        <f t="shared" ca="1" si="569"/>
        <v>0</v>
      </c>
      <c r="GP190" s="530">
        <f t="shared" ca="1" si="464"/>
        <v>0</v>
      </c>
      <c r="GQ190" s="545">
        <f t="shared" ca="1" si="465"/>
        <v>0</v>
      </c>
      <c r="GR190" s="625">
        <f t="shared" ca="1" si="570"/>
        <v>0</v>
      </c>
      <c r="GS190" s="640">
        <f>IF($A190&gt;=BegDate,Assumptions!$C$56*24*($A191-$A190)*(1-VLOOKUP($B190,MAIN!$AA$7:$AM$28,$C190+1))*(1-VLOOKUP($B190,MAIN!$AA$33:$AM$54,$C190+1)),0)*80/168</f>
        <v>257742.85714285713</v>
      </c>
      <c r="GT190" s="1715">
        <f t="shared" si="508"/>
        <v>52.496650119343123</v>
      </c>
      <c r="GU190" s="1715">
        <f>IF($A190&gt;=BegDate,VLOOKUP($A190,GasTable,13)+Assumptions!$C$58,0)</f>
        <v>3.4910756747230365</v>
      </c>
      <c r="GV190" s="1715">
        <f>GU190*Assumptions!$C$57/1000</f>
        <v>25.310298641742015</v>
      </c>
      <c r="GW190" s="625">
        <f>IF(Assumptions!$C$60="Hourly",MAX(0,GS190*(GT190-GV190)),GS190*(GT190-GV190))</f>
        <v>7007087.9051268455</v>
      </c>
      <c r="GX190" s="640">
        <f>IF($A190&gt;=BegDate,Assumptions!$C$56*24*($A191-$A190)*(1-VLOOKUP($B190,MAIN!$AA$7:$AM$28,$C190+1))*(1-VLOOKUP($B190,MAIN!$AA$33:$AM$54,$C190+1)),0)*16/168</f>
        <v>51548.571428571428</v>
      </c>
      <c r="GY190" s="1715">
        <f t="shared" si="509"/>
        <v>52.496650119343123</v>
      </c>
      <c r="GZ190" s="1715">
        <f>IF($A190&gt;=BegDate,VLOOKUP($A190,GasTable,13)+Assumptions!$C$58,0)</f>
        <v>3.4910756747230365</v>
      </c>
      <c r="HA190" s="1715">
        <f>GZ190*Assumptions!$C$57/1000</f>
        <v>25.310298641742015</v>
      </c>
      <c r="HB190" s="625">
        <f>IF(Assumptions!$C$60="Hourly",MAX(0,GX190*(GY190-HA190)),GX190*(GY190-HA190))</f>
        <v>1401417.581025369</v>
      </c>
      <c r="HC190" s="640">
        <f>IF($A190&gt;=BegDate,Assumptions!$C$56*24*($A191-$A190)*(1-VLOOKUP($B190,MAIN!$AA$7:$AM$28,$C190+1))*(1-VLOOKUP($B190,MAIN!$AA$33:$AM$54,$C190+1)),0)*16/168</f>
        <v>51548.571428571428</v>
      </c>
      <c r="HD190" s="1715">
        <f t="shared" si="510"/>
        <v>29.220253051656222</v>
      </c>
      <c r="HE190" s="1715">
        <f>IF($A190&gt;=BegDate,VLOOKUP($A190,GasTable,13)+Assumptions!$C$58,0)</f>
        <v>3.4910756747230365</v>
      </c>
      <c r="HF190" s="1715">
        <f>HE190*Assumptions!$C$57/1000</f>
        <v>25.310298641742015</v>
      </c>
      <c r="HG190" s="625">
        <f>IF(Assumptions!$C$60="Hourly",MAX(0,HC190*(HD190-HF190)),HC190*(HD190-HF190))</f>
        <v>201552.56418192032</v>
      </c>
      <c r="HH190" s="640">
        <f>IF($A190&gt;=BegDate,Assumptions!$C$56*24*($A191-$A190)*(1-VLOOKUP($B190,MAIN!$AA$7:$AM$28,$C190+1))*(1-VLOOKUP($B190,MAIN!$AA$33:$AM$54,$C190+1)),0)*56/168</f>
        <v>180420</v>
      </c>
      <c r="HI190" s="1715">
        <f t="shared" si="511"/>
        <v>29.220253051656222</v>
      </c>
      <c r="HJ190" s="1715">
        <f>IF($A190&gt;=BegDate,VLOOKUP($A190,GasTable,13)+Assumptions!$C$58,0)</f>
        <v>3.4910756747230365</v>
      </c>
      <c r="HK190" s="1715">
        <f>HJ190*Assumptions!$C$57/1000</f>
        <v>25.310298641742015</v>
      </c>
      <c r="HL190" s="625">
        <f>IF(Assumptions!$C$60="Hourly",MAX(0,HH190*(HI190-HK190)),HH190*(HI190-HK190))</f>
        <v>705433.97463672119</v>
      </c>
      <c r="HM190" s="640">
        <f>IF(AND(Assumptions!$H$71="Yes",A190&gt;=Assumptions!$H$72,A190&lt;=Assumptions!$H$73),Assumptions!$H$74*Assumptions!$C$9*1000,0)</f>
        <v>0</v>
      </c>
      <c r="HN190" s="530"/>
      <c r="HO190" s="545"/>
      <c r="HP190" s="545"/>
      <c r="HQ190" s="545"/>
      <c r="HR190" s="545"/>
      <c r="HS190" s="545"/>
      <c r="HT190" s="545"/>
      <c r="HU190" s="545"/>
      <c r="HV190" s="545"/>
      <c r="HW190" s="545"/>
      <c r="HX190" s="545"/>
      <c r="HY190" s="545"/>
      <c r="HZ190" s="545"/>
      <c r="IA190" s="545"/>
      <c r="IB190" s="545"/>
      <c r="IC190" s="545"/>
      <c r="ID190" s="545"/>
      <c r="IE190" s="545"/>
      <c r="IF190" s="545"/>
      <c r="IG190" s="545"/>
      <c r="IH190" s="545"/>
      <c r="II190" s="1464"/>
      <c r="IJ190" s="1463"/>
      <c r="IK190" s="1463"/>
    </row>
    <row r="191" spans="1:245">
      <c r="A191" s="177">
        <f t="shared" si="466"/>
        <v>41944</v>
      </c>
      <c r="B191" s="349">
        <f t="shared" si="467"/>
        <v>2014</v>
      </c>
      <c r="C191" s="15">
        <f t="shared" si="523"/>
        <v>11</v>
      </c>
      <c r="D191" s="612">
        <f t="shared" si="468"/>
        <v>41970</v>
      </c>
      <c r="E191" s="609">
        <f t="shared" si="524"/>
        <v>41944</v>
      </c>
      <c r="F191" s="614">
        <f t="shared" si="525"/>
        <v>41973</v>
      </c>
      <c r="G191" s="1349">
        <v>0</v>
      </c>
      <c r="H191" s="152">
        <f t="shared" si="512"/>
        <v>1</v>
      </c>
      <c r="I191" s="154">
        <f>IF(Assumptions!$L$25=4,VLOOKUP($A191,'Henwood Reference'!$E$9:$R$320,10),(VLOOKUP($A191,PriceTable,2,0)+IF(BasisNumber&lt;&gt;1,VLOOKUP($A191,BasisTable,2,0),0)+I$1)/(1-I$2))</f>
        <v>54.699651862152898</v>
      </c>
      <c r="J191" s="154">
        <f>IF(Assumptions!$L$25=4,VLOOKUP($A191,'Henwood Reference'!$E$9:$R$320,10),(VLOOKUP($A191,PriceTable,3,0)+IF(BasisNumber&lt;&gt;1,VLOOKUP($A191,BasisTable,2,0),0)+J$1)/(1-J$2))</f>
        <v>54.699651862152898</v>
      </c>
      <c r="K191" s="154">
        <f>IF(Assumptions!$L$25=4,VLOOKUP($A191,'Henwood Reference'!$E$9:$R$320,10),(VLOOKUP($A191,PriceTable,4,0)+IF(BasisNumber&lt;&gt;1,VLOOKUP($A191,BasisTable,2,0),0)+K$1)/(1-K$2))</f>
        <v>54.699651862152898</v>
      </c>
      <c r="L191" s="474">
        <f>IF(Assumptions!$L$25=4,VLOOKUP($A191,'Henwood Reference'!$E$9:$R$320,10),(VLOOKUP($A191,PriceTableWeekend,2,0)+IF(BasisNumber&lt;&gt;1,VLOOKUP($A191,BasisTable,2,0),0)+L$1)/(1-L$2))</f>
        <v>54.699651862152898</v>
      </c>
      <c r="M191" s="154">
        <f>IF(Assumptions!$L$25=4,VLOOKUP($A191,'Henwood Reference'!$E$9:$R$320,10),(VLOOKUP($A191,PriceTableWeekend,3,0)+IF(BasisNumber&lt;&gt;1,VLOOKUP($A191,BasisTable,2,0),0)+M$1)/(1-M$2))</f>
        <v>54.699651862152898</v>
      </c>
      <c r="N191" s="156">
        <f>IF(Assumptions!$L$25=4,VLOOKUP($A191,'Henwood Reference'!$E$9:$R$320,10),(VLOOKUP($A191,PriceTableWeekend,4,0)+IF(BasisNumber&lt;&gt;1,VLOOKUP($A191,BasisTable,2,0),0)+N$1)/(1-N$2))</f>
        <v>54.699651862152898</v>
      </c>
      <c r="O191" s="154">
        <f>IF(Assumptions!$L$25=4,VLOOKUP($A191,'Henwood Reference'!$E$9:$R$320,11),(VLOOKUP($A191,PriceTableWeekend,6,0)+IF(BasisNumber&lt;&gt;1,VLOOKUP($A191,BasisTable,3,0),0)+O$1)/(1-O$2))</f>
        <v>31.590300805869756</v>
      </c>
      <c r="P191" s="154">
        <f>IF(Assumptions!$L$25=4,VLOOKUP($A191,'Henwood Reference'!$E$9:$R$320,11),(VLOOKUP($A191,PriceTableWeekend,7,0)+IF(BasisNumber&lt;&gt;1,VLOOKUP($A191,BasisTable,3,0),0)+P$1)/(1-P$2))</f>
        <v>31.590300805869756</v>
      </c>
      <c r="Q191" s="156">
        <f>IF(Assumptions!$L$25=4,VLOOKUP($A191,'Henwood Reference'!$E$9:$R$320,11),(VLOOKUP($A191,PriceTableWeekend,8,0)+IF(BasisNumber&lt;&gt;1,VLOOKUP($A191,BasisTable,3,0),0)+Q$1)/(1-Q$2))</f>
        <v>31.590300805869756</v>
      </c>
      <c r="R191" s="154">
        <f>IF(Assumptions!$L$25=4,VLOOKUP($A191,'Henwood Reference'!$E$9:$R$320,11),(VLOOKUP($A191,PriceTable,6,0)+IF(BasisNumber&lt;&gt;1,VLOOKUP($A191,BasisTable,3,0),0)+R$1)/(1-R$2))</f>
        <v>31.590300805869756</v>
      </c>
      <c r="S191" s="154">
        <f>IF(Assumptions!$L$25=4,VLOOKUP($A191,'Henwood Reference'!$E$9:$R$320,11),(VLOOKUP($A191,PriceTable,7,0)+IF(BasisNumber&lt;&gt;1,VLOOKUP($A191,BasisTable,3,0),0)+S$1)/(1-S$2))</f>
        <v>31.590300805869756</v>
      </c>
      <c r="T191" s="155">
        <f>IF(Assumptions!$L$25=4,VLOOKUP($A191,'Henwood Reference'!$E$9:$R$320,11),(VLOOKUP($A191,PriceTable,8,0)+IF(BasisNumber&lt;&gt;1,VLOOKUP($A191,BasisTable,3,0),0)+T$1)/(1-T$2))</f>
        <v>31.590300805869756</v>
      </c>
      <c r="U191" s="173">
        <f t="shared" si="469"/>
        <v>9.9999999999999936E-2</v>
      </c>
      <c r="V191" s="173">
        <f t="shared" si="470"/>
        <v>0.11</v>
      </c>
      <c r="W191" s="174">
        <f t="shared" si="471"/>
        <v>0.12</v>
      </c>
      <c r="X191" s="173">
        <f t="shared" si="472"/>
        <v>9.9999999999999936E-2</v>
      </c>
      <c r="Y191" s="173">
        <f t="shared" si="473"/>
        <v>0.11</v>
      </c>
      <c r="Z191" s="174">
        <f t="shared" si="474"/>
        <v>0.12</v>
      </c>
      <c r="AA191" s="173">
        <f t="shared" si="475"/>
        <v>0.09</v>
      </c>
      <c r="AB191" s="173">
        <f t="shared" si="476"/>
        <v>0.11</v>
      </c>
      <c r="AC191" s="174">
        <f t="shared" si="477"/>
        <v>0.13</v>
      </c>
      <c r="AD191" s="173">
        <f t="shared" si="478"/>
        <v>0.09</v>
      </c>
      <c r="AE191" s="173">
        <f t="shared" si="479"/>
        <v>0.11</v>
      </c>
      <c r="AF191" s="174">
        <f t="shared" si="480"/>
        <v>0.13</v>
      </c>
      <c r="AG191" s="173">
        <f t="shared" si="481"/>
        <v>-0.1</v>
      </c>
      <c r="AH191" s="173">
        <f t="shared" si="482"/>
        <v>0.6</v>
      </c>
      <c r="AI191" s="174">
        <f t="shared" si="483"/>
        <v>0.1</v>
      </c>
      <c r="AJ191" s="173">
        <f t="shared" si="484"/>
        <v>-0.1</v>
      </c>
      <c r="AK191" s="173">
        <f t="shared" si="485"/>
        <v>0.6</v>
      </c>
      <c r="AL191" s="174">
        <f t="shared" si="486"/>
        <v>0.1</v>
      </c>
      <c r="AM191" s="173">
        <f t="shared" si="487"/>
        <v>-0.01</v>
      </c>
      <c r="AN191" s="173">
        <f t="shared" si="488"/>
        <v>0.16</v>
      </c>
      <c r="AO191" s="174">
        <f t="shared" si="489"/>
        <v>0.01</v>
      </c>
      <c r="AP191" s="173">
        <f t="shared" si="490"/>
        <v>-0.01</v>
      </c>
      <c r="AQ191" s="173">
        <f t="shared" si="491"/>
        <v>0.16</v>
      </c>
      <c r="AR191" s="175">
        <f t="shared" si="492"/>
        <v>0.01</v>
      </c>
      <c r="AS191" s="521">
        <f t="shared" si="528"/>
        <v>0.5</v>
      </c>
      <c r="AT191" s="349">
        <f t="shared" si="526"/>
        <v>19</v>
      </c>
      <c r="AU191" s="159">
        <f t="shared" si="411"/>
        <v>5</v>
      </c>
      <c r="AV191" s="159">
        <f t="shared" si="412"/>
        <v>5</v>
      </c>
      <c r="AW191" s="159">
        <f t="shared" si="529"/>
        <v>1</v>
      </c>
      <c r="AX191" s="15">
        <f t="shared" si="527"/>
        <v>30</v>
      </c>
      <c r="AY191" s="607">
        <f>IF(E191="",0,MIN((1-(1-VLOOKUP(B191,MAIN!$AA$7:$AM$28,C191+1))*(1-VLOOKUP(B191,MAIN!$AA$33:$AM$54,C191+1))),1))</f>
        <v>3.0000000000000027E-2</v>
      </c>
      <c r="AZ191" s="337">
        <v>44232</v>
      </c>
      <c r="BA191" s="509">
        <v>11640</v>
      </c>
      <c r="BB191" s="509">
        <v>13968</v>
      </c>
      <c r="BC191" s="511">
        <v>34920</v>
      </c>
      <c r="BD191" s="153">
        <v>0.97</v>
      </c>
      <c r="BE191" s="474">
        <v>0.97</v>
      </c>
      <c r="BF191" s="474">
        <v>0.97</v>
      </c>
      <c r="BG191" s="515">
        <v>0.9699999927729368</v>
      </c>
      <c r="BH191" s="262">
        <v>176928</v>
      </c>
      <c r="BI191" s="509">
        <v>46560</v>
      </c>
      <c r="BJ191" s="509">
        <v>55872</v>
      </c>
      <c r="BK191" s="511">
        <v>139680</v>
      </c>
      <c r="BL191" s="153">
        <v>0.97</v>
      </c>
      <c r="BM191" s="474">
        <v>0.97</v>
      </c>
      <c r="BN191" s="474">
        <v>0.97</v>
      </c>
      <c r="BO191" s="474">
        <v>0.9699999927729368</v>
      </c>
      <c r="BP191" s="261">
        <f t="shared" si="495"/>
        <v>69840</v>
      </c>
      <c r="BQ191" s="578">
        <f t="shared" si="496"/>
        <v>104760</v>
      </c>
      <c r="BR191" s="259">
        <f t="shared" si="497"/>
        <v>279360</v>
      </c>
      <c r="BS191" s="578">
        <f t="shared" si="498"/>
        <v>419040</v>
      </c>
      <c r="BT191" s="216">
        <f t="shared" si="499"/>
        <v>14.548939082819986</v>
      </c>
      <c r="BU191" s="218">
        <f t="shared" si="414"/>
        <v>54.699651862152898</v>
      </c>
      <c r="BV191" s="216">
        <f t="shared" si="415"/>
        <v>54.699651862152898</v>
      </c>
      <c r="BW191" s="216">
        <f t="shared" si="416"/>
        <v>31.590300805869752</v>
      </c>
      <c r="BX191" s="216">
        <f t="shared" si="500"/>
        <v>31.590300570503672</v>
      </c>
      <c r="BY191" s="216">
        <f t="shared" si="417"/>
        <v>50.07778165089627</v>
      </c>
      <c r="BZ191" s="216">
        <f t="shared" si="418"/>
        <v>43.915287957432071</v>
      </c>
      <c r="CA191" s="264">
        <f t="shared" si="419"/>
        <v>54.699651862152898</v>
      </c>
      <c r="CB191" s="216">
        <f t="shared" si="420"/>
        <v>54.699651862152898</v>
      </c>
      <c r="CC191" s="216">
        <f t="shared" si="421"/>
        <v>31.590300805869752</v>
      </c>
      <c r="CD191" s="216">
        <f t="shared" si="501"/>
        <v>31.590300570503672</v>
      </c>
      <c r="CE191" s="216">
        <f t="shared" si="422"/>
        <v>50.07778165089627</v>
      </c>
      <c r="CF191" s="571">
        <f t="shared" si="423"/>
        <v>43.915287957432071</v>
      </c>
      <c r="CG191" s="573">
        <f t="shared" si="424"/>
        <v>0.11</v>
      </c>
      <c r="CH191" s="219">
        <f t="shared" si="425"/>
        <v>0.11</v>
      </c>
      <c r="CI191" s="219">
        <f t="shared" si="426"/>
        <v>0.11</v>
      </c>
      <c r="CJ191" s="219">
        <f t="shared" si="427"/>
        <v>0.10999999999999999</v>
      </c>
      <c r="CK191" s="219">
        <f t="shared" si="428"/>
        <v>0.10999999999999999</v>
      </c>
      <c r="CL191" s="219">
        <f t="shared" si="429"/>
        <v>0.11</v>
      </c>
      <c r="CM191" s="219">
        <f t="shared" si="430"/>
        <v>9.9777295792438797E-2</v>
      </c>
      <c r="CN191" s="569">
        <f t="shared" si="431"/>
        <v>9.9777295792438797E-2</v>
      </c>
      <c r="CO191" s="264">
        <f t="shared" si="514"/>
        <v>26.12474430185739</v>
      </c>
      <c r="CP191" s="216">
        <f t="shared" si="502"/>
        <v>26.12474430185739</v>
      </c>
      <c r="CQ191" s="216">
        <f t="shared" ca="1" si="532"/>
        <v>26.12474430185739</v>
      </c>
      <c r="CR191" s="216">
        <f t="shared" ca="1" si="533"/>
        <v>26.12474430185739</v>
      </c>
      <c r="CS191" s="1626">
        <f t="shared" ca="1" si="534"/>
        <v>26.12474430185739</v>
      </c>
      <c r="CT191" s="216">
        <f t="shared" si="503"/>
        <v>26.12474430185739</v>
      </c>
      <c r="CU191" s="575">
        <f t="shared" si="432"/>
        <v>0.154</v>
      </c>
      <c r="CV191" s="154">
        <f t="shared" si="433"/>
        <v>0.5</v>
      </c>
      <c r="CW191" s="216">
        <f>IF(OR($BQ191,$BS191),SpreadOptPowerMargin,0)*((1+Assumptions!$C$26)^($B191-YEAR(Assumptions!$C$17)))</f>
        <v>2.2380737551103738</v>
      </c>
      <c r="CX191" s="216">
        <f>IF(OR($BQ191,$BS191),SpreadOptPowerMargin,0)*((1+Assumptions!$C$26)^($B191-YEAR(Assumptions!$C$17)))</f>
        <v>2.2380737551103738</v>
      </c>
      <c r="CY191" s="216">
        <f>IF(OR($BQ191,$BS191),SpreadOptPowerMargin,0)*((1+Assumptions!$C$26)^($B191-YEAR(Assumptions!$C$17)))</f>
        <v>2.2380737551103738</v>
      </c>
      <c r="CZ191" s="216">
        <f>IF(OR($BQ191,$BS191),SpreadOptPowerMargin,0)*((1+Assumptions!$C$26)^($B191-YEAR(Assumptions!$C$17)))</f>
        <v>2.2380737551103738</v>
      </c>
      <c r="DA191" s="440">
        <f t="shared" si="434"/>
        <v>2.2380737551103738</v>
      </c>
      <c r="DB191" s="479">
        <f t="shared" si="435"/>
        <v>0.11</v>
      </c>
      <c r="DC191" s="479">
        <f t="shared" si="436"/>
        <v>0.11</v>
      </c>
      <c r="DD191" s="479">
        <f t="shared" si="437"/>
        <v>0.11</v>
      </c>
      <c r="DE191" s="479">
        <f t="shared" si="438"/>
        <v>0.11</v>
      </c>
      <c r="DF191" s="479">
        <f t="shared" si="439"/>
        <v>9.9777295792438797E-2</v>
      </c>
      <c r="DG191" s="574">
        <f t="shared" si="440"/>
        <v>9.9777295792438797E-2</v>
      </c>
      <c r="DH191" s="216">
        <f t="shared" si="441"/>
        <v>27.175341326077064</v>
      </c>
      <c r="DI191" s="216">
        <f t="shared" si="442"/>
        <v>27.175341326077064</v>
      </c>
      <c r="DJ191" s="216">
        <f t="shared" ca="1" si="535"/>
        <v>7.5783248944233454</v>
      </c>
      <c r="DK191" s="216">
        <f t="shared" ca="1" si="536"/>
        <v>7.5783247336522592</v>
      </c>
      <c r="DL191" s="216">
        <f t="shared" ca="1" si="537"/>
        <v>17.247244584883106</v>
      </c>
      <c r="DM191" s="216"/>
      <c r="DN191" s="216"/>
      <c r="DO191" s="216"/>
      <c r="DP191" s="216"/>
      <c r="DQ191" s="216"/>
      <c r="DR191" s="216"/>
      <c r="DS191" s="216"/>
      <c r="DT191" s="216"/>
      <c r="DU191" s="216"/>
      <c r="DV191" s="216"/>
      <c r="DW191" s="1371">
        <f t="shared" si="443"/>
        <v>7.5783248944233454</v>
      </c>
      <c r="DX191" s="216">
        <f t="shared" si="444"/>
        <v>7.5783247336522592</v>
      </c>
      <c r="DY191" s="440">
        <f t="shared" si="445"/>
        <v>18.030066937714967</v>
      </c>
      <c r="DZ191" s="180">
        <f t="shared" si="446"/>
        <v>1202019.6975350408</v>
      </c>
      <c r="EA191" s="180">
        <f t="shared" si="447"/>
        <v>316320.973035537</v>
      </c>
      <c r="EB191" s="180">
        <f t="shared" ca="1" si="538"/>
        <v>105854.04212530529</v>
      </c>
      <c r="EC191" s="180">
        <f t="shared" ca="1" si="539"/>
        <v>264635.09969913692</v>
      </c>
      <c r="ED191" s="180">
        <f t="shared" ca="1" si="540"/>
        <v>1806821.3427123541</v>
      </c>
      <c r="EE191" s="581">
        <f t="shared" si="448"/>
        <v>1164930.8328709488</v>
      </c>
      <c r="EF191" s="554">
        <f t="shared" si="449"/>
        <v>306560.74549235497</v>
      </c>
      <c r="EG191" s="554">
        <f t="shared" ca="1" si="541"/>
        <v>45081.479036662968</v>
      </c>
      <c r="EH191" s="554">
        <f t="shared" ca="1" si="542"/>
        <v>112703.68937267388</v>
      </c>
      <c r="EI191" s="561">
        <f t="shared" ca="1" si="450"/>
        <v>1629276.7467726406</v>
      </c>
      <c r="EJ191" s="581">
        <f t="shared" si="504"/>
        <v>37088.864664091961</v>
      </c>
      <c r="EK191" s="554">
        <f t="shared" si="505"/>
        <v>9760.2275431820308</v>
      </c>
      <c r="EL191" s="554">
        <f t="shared" ca="1" si="543"/>
        <v>60772.563088642324</v>
      </c>
      <c r="EM191" s="554">
        <f t="shared" ca="1" si="544"/>
        <v>151931.41032646305</v>
      </c>
      <c r="EN191" s="561">
        <f t="shared" ca="1" si="545"/>
        <v>177544.59593971353</v>
      </c>
      <c r="EO191" s="180">
        <f t="shared" si="451"/>
        <v>4808078.7901401632</v>
      </c>
      <c r="EP191" s="180">
        <f t="shared" si="452"/>
        <v>1265283.892142148</v>
      </c>
      <c r="EQ191" s="180">
        <f t="shared" si="453"/>
        <v>423416.16850122117</v>
      </c>
      <c r="ER191" s="180">
        <f t="shared" si="454"/>
        <v>1058540.3987965477</v>
      </c>
      <c r="ES191" s="180">
        <f t="shared" si="455"/>
        <v>7555319.2495800797</v>
      </c>
      <c r="ET191" s="1482">
        <f t="shared" ca="1" si="546"/>
        <v>4659723.3314837953</v>
      </c>
      <c r="EU191" s="180">
        <f t="shared" ca="1" si="547"/>
        <v>1226242.9819694199</v>
      </c>
      <c r="EV191" s="180">
        <f t="shared" ca="1" si="548"/>
        <v>180325.91614665187</v>
      </c>
      <c r="EW191" s="180">
        <f t="shared" ca="1" si="549"/>
        <v>450814.75749069551</v>
      </c>
      <c r="EX191" s="555">
        <f t="shared" ca="1" si="522"/>
        <v>6517106.9870905625</v>
      </c>
      <c r="EY191" s="180">
        <f t="shared" ca="1" si="550"/>
        <v>148355.45865636785</v>
      </c>
      <c r="EZ191" s="180">
        <f t="shared" ca="1" si="551"/>
        <v>39040.910172728123</v>
      </c>
      <c r="FA191" s="180">
        <f t="shared" ca="1" si="552"/>
        <v>243090.2523545693</v>
      </c>
      <c r="FB191" s="180">
        <f t="shared" ca="1" si="553"/>
        <v>607725.64130585222</v>
      </c>
      <c r="FC191" s="180">
        <f t="shared" ca="1" si="554"/>
        <v>1038212.2624895172</v>
      </c>
      <c r="FD191" s="262">
        <f>IF(AX191,IF(VLOOKUP(C191,MAIN!$L$17:$M$28,2)="Yes",VLOOKUP(CALC!B191,MAIN!$H$17:$I$20,2),0),0)</f>
        <v>0</v>
      </c>
      <c r="FE191" s="623">
        <f t="shared" si="456"/>
        <v>0</v>
      </c>
      <c r="FF191" s="535">
        <f t="shared" si="457"/>
        <v>0</v>
      </c>
      <c r="FG191" s="535">
        <f t="shared" si="458"/>
        <v>0</v>
      </c>
      <c r="FH191" s="624">
        <f t="shared" si="459"/>
        <v>0</v>
      </c>
      <c r="FI191" s="632">
        <f>IF(AX191,VLOOKUP(CALC!B191,MAIN!$H$17:$K$20,4),0)</f>
        <v>0</v>
      </c>
      <c r="FJ191" s="535">
        <f t="shared" si="460"/>
        <v>0</v>
      </c>
      <c r="FK191" s="648">
        <f t="shared" si="506"/>
        <v>0</v>
      </c>
      <c r="FL191" s="530">
        <f t="shared" ca="1" si="555"/>
        <v>0</v>
      </c>
      <c r="FM191" s="530">
        <f t="shared" ca="1" si="556"/>
        <v>0</v>
      </c>
      <c r="FN191" s="530">
        <f t="shared" ca="1" si="557"/>
        <v>0</v>
      </c>
      <c r="FO191" s="622">
        <f t="shared" ca="1" si="558"/>
        <v>0</v>
      </c>
      <c r="FP191" s="530">
        <f t="shared" ca="1" si="559"/>
        <v>0</v>
      </c>
      <c r="FQ191" s="530">
        <f t="shared" ca="1" si="560"/>
        <v>0</v>
      </c>
      <c r="FR191" s="530">
        <f t="shared" ca="1" si="561"/>
        <v>0</v>
      </c>
      <c r="FS191" s="625">
        <f t="shared" ca="1" si="562"/>
        <v>0</v>
      </c>
      <c r="FT191" s="640">
        <f ca="1">IF(AND(Assumptions!$H$71="Yes",A191&gt;=Assumptions!$H$72,A191&lt;=Assumptions!$H$73),0,IF(AND($A191&gt;=Assumptions!$C$17,$A191&lt;=Assumptions!$C$18),MAX(AZ191*(1+VLOOKUP($C191,WeatherCapacityAdjustment,2))-FL191,0),0))</f>
        <v>44232</v>
      </c>
      <c r="FU191" s="530">
        <f ca="1">IF(AND(Assumptions!$H$71="Yes",A191&gt;=Assumptions!$H$72,A191&lt;=Assumptions!$H$73),0,IF(AND($A191&gt;=Assumptions!$C$17,$A191&lt;=Assumptions!$C$18),MAX(BA191*(1+VLOOKUP($C191,WeatherCapacityAdjustment,2))-FM191,0),0))</f>
        <v>11640</v>
      </c>
      <c r="FV191" s="530">
        <f ca="1">IF(AND(Assumptions!$H$71="Yes",A191&gt;=Assumptions!$H$72,A191&lt;=Assumptions!$H$73),0,IF(AND($A191&gt;=Assumptions!$C$17,$A191&lt;=Assumptions!$C$18),MAX(BB191*(1+VLOOKUP($C191,WeatherCapacityAdjustment,2))-FN191,0),0))</f>
        <v>13968</v>
      </c>
      <c r="FW191" s="622">
        <f ca="1">IF(AND(Assumptions!$H$71="Yes",A191&gt;=Assumptions!$H$72,A191&lt;=Assumptions!$H$73),0,IF(AND($A191&gt;=Assumptions!$C$17,$A191&lt;=Assumptions!$C$18),MAX(BC191*(1+VLOOKUP($C191,WeatherCapacityAdjustment,3))-FO191,0),0))</f>
        <v>34920</v>
      </c>
      <c r="FX191" s="621">
        <f ca="1">IF(AND(Assumptions!$H$71="Yes",A191&gt;=Assumptions!$H$72,A191&lt;=Assumptions!$H$73),0,IF(ET191&gt;0,MAX(BH191*(1+VLOOKUP($C191,WeatherCapacityAdjustment,2))-FP191,0),0))</f>
        <v>176928</v>
      </c>
      <c r="FY191" s="530">
        <f ca="1">IF(AND(Assumptions!$H$71="Yes",A191&gt;=Assumptions!$H$72,A191&lt;=Assumptions!$H$73),0,IF(EU191&gt;0,MAX(BI191*(1+VLOOKUP($C191,WeatherCapacityAdjustment,3))-FQ191,0),0))</f>
        <v>46560</v>
      </c>
      <c r="FZ191" s="530">
        <f ca="1">IF(AND(Assumptions!$H$71="Yes",A191&gt;=Assumptions!$H$72,A191&lt;=Assumptions!$H$73),0,IF(EV191&gt;0,MAX(BJ191*(1+VLOOKUP($C191,WeatherCapacityAdjustment,2))-FR191,0),0))</f>
        <v>55872</v>
      </c>
      <c r="GA191" s="622">
        <f ca="1">IF(AND(Assumptions!$H$71="Yes",A191&gt;=Assumptions!$H$72,A191&lt;=Assumptions!$H$73),0,IF(EW191&gt;0,MAX(BK191*(1+VLOOKUP($C191,WeatherCapacityAdjustment,2))-FS191,0),0))</f>
        <v>139680</v>
      </c>
      <c r="GB191" s="530">
        <f t="shared" ca="1" si="461"/>
        <v>523800</v>
      </c>
      <c r="GC191" s="545">
        <f t="shared" ca="1" si="462"/>
        <v>43.915287957432078</v>
      </c>
      <c r="GD191" s="530">
        <f t="shared" ca="1" si="563"/>
        <v>23002827.832102917</v>
      </c>
      <c r="GE191" s="1485">
        <f t="shared" ca="1" si="564"/>
        <v>753647.63040000002</v>
      </c>
      <c r="GF191" s="1776">
        <f t="shared" ca="1" si="565"/>
        <v>3014590.5216000001</v>
      </c>
      <c r="GG191" s="545">
        <f t="shared" si="530"/>
        <v>3.6314427361895949</v>
      </c>
      <c r="GH191" s="622">
        <f t="shared" ca="1" si="531"/>
        <v>13684141.065312903</v>
      </c>
      <c r="GI191" s="621">
        <f t="shared" ca="1" si="507"/>
        <v>523800</v>
      </c>
      <c r="GJ191" s="638">
        <f t="shared" si="463"/>
        <v>2.2380737551103738</v>
      </c>
      <c r="GK191" s="625">
        <f t="shared" ca="1" si="513"/>
        <v>1172303.0329268137</v>
      </c>
      <c r="GL191" s="640">
        <f t="shared" ca="1" si="566"/>
        <v>0</v>
      </c>
      <c r="GM191" s="530">
        <f t="shared" ca="1" si="567"/>
        <v>0</v>
      </c>
      <c r="GN191" s="530">
        <f t="shared" ca="1" si="568"/>
        <v>0</v>
      </c>
      <c r="GO191" s="622">
        <f t="shared" ca="1" si="569"/>
        <v>0</v>
      </c>
      <c r="GP191" s="530">
        <f t="shared" ca="1" si="464"/>
        <v>0</v>
      </c>
      <c r="GQ191" s="545">
        <f t="shared" ca="1" si="465"/>
        <v>0</v>
      </c>
      <c r="GR191" s="625">
        <f t="shared" ca="1" si="570"/>
        <v>0</v>
      </c>
      <c r="GS191" s="640">
        <f>IF($A191&gt;=BegDate,Assumptions!$C$56*24*($A192-$A191)*(1-VLOOKUP($B191,MAIN!$AA$7:$AM$28,$C191+1))*(1-VLOOKUP($B191,MAIN!$AA$33:$AM$54,$C191+1)),0)*80/168</f>
        <v>249428.57142857142</v>
      </c>
      <c r="GT191" s="1715">
        <f t="shared" si="508"/>
        <v>54.699651862152898</v>
      </c>
      <c r="GU191" s="1715">
        <f>IF($A191&gt;=BegDate,VLOOKUP($A191,GasTable,13)+Assumptions!$C$58,0)</f>
        <v>3.6314427361895949</v>
      </c>
      <c r="GV191" s="1715">
        <f>GU191*Assumptions!$C$57/1000</f>
        <v>26.327959837374564</v>
      </c>
      <c r="GW191" s="625">
        <f>IF(Assumptions!$C$60="Hourly",MAX(0,GS191*(GT191-GV191)),GS191*(GT191-GV191))</f>
        <v>7076710.6107518524</v>
      </c>
      <c r="GX191" s="640">
        <f>IF($A191&gt;=BegDate,Assumptions!$C$56*24*($A192-$A191)*(1-VLOOKUP($B191,MAIN!$AA$7:$AM$28,$C191+1))*(1-VLOOKUP($B191,MAIN!$AA$33:$AM$54,$C191+1)),0)*16/168</f>
        <v>49885.714285714283</v>
      </c>
      <c r="GY191" s="1715">
        <f t="shared" si="509"/>
        <v>54.699651862152898</v>
      </c>
      <c r="GZ191" s="1715">
        <f>IF($A191&gt;=BegDate,VLOOKUP($A191,GasTable,13)+Assumptions!$C$58,0)</f>
        <v>3.6314427361895949</v>
      </c>
      <c r="HA191" s="1715">
        <f>GZ191*Assumptions!$C$57/1000</f>
        <v>26.327959837374564</v>
      </c>
      <c r="HB191" s="625">
        <f>IF(Assumptions!$C$60="Hourly",MAX(0,GX191*(GY191-HA191)),GX191*(GY191-HA191))</f>
        <v>1415342.1221503704</v>
      </c>
      <c r="HC191" s="640">
        <f>IF($A191&gt;=BegDate,Assumptions!$C$56*24*($A192-$A191)*(1-VLOOKUP($B191,MAIN!$AA$7:$AM$28,$C191+1))*(1-VLOOKUP($B191,MAIN!$AA$33:$AM$54,$C191+1)),0)*16/168</f>
        <v>49885.714285714283</v>
      </c>
      <c r="HD191" s="1715">
        <f t="shared" si="510"/>
        <v>31.590300805869756</v>
      </c>
      <c r="HE191" s="1715">
        <f>IF($A191&gt;=BegDate,VLOOKUP($A191,GasTable,13)+Assumptions!$C$58,0)</f>
        <v>3.6314427361895949</v>
      </c>
      <c r="HF191" s="1715">
        <f>HE191*Assumptions!$C$57/1000</f>
        <v>26.327959837374564</v>
      </c>
      <c r="HG191" s="625">
        <f>IF(Assumptions!$C$60="Hourly",MAX(0,HC191*(HD191-HF191)),HC191*(HD191-HF191))</f>
        <v>262515.63802836009</v>
      </c>
      <c r="HH191" s="640">
        <f>IF($A191&gt;=BegDate,Assumptions!$C$56*24*($A192-$A191)*(1-VLOOKUP($B191,MAIN!$AA$7:$AM$28,$C191+1))*(1-VLOOKUP($B191,MAIN!$AA$33:$AM$54,$C191+1)),0)*56/168</f>
        <v>174600</v>
      </c>
      <c r="HI191" s="1715">
        <f t="shared" si="511"/>
        <v>31.590300805869756</v>
      </c>
      <c r="HJ191" s="1715">
        <f>IF($A191&gt;=BegDate,VLOOKUP($A191,GasTable,13)+Assumptions!$C$58,0)</f>
        <v>3.6314427361895949</v>
      </c>
      <c r="HK191" s="1715">
        <f>HJ191*Assumptions!$C$57/1000</f>
        <v>26.327959837374564</v>
      </c>
      <c r="HL191" s="625">
        <f>IF(Assumptions!$C$60="Hourly",MAX(0,HH191*(HI191-HK191)),HH191*(HI191-HK191))</f>
        <v>918804.73309926048</v>
      </c>
      <c r="HM191" s="640">
        <f>IF(AND(Assumptions!$H$71="Yes",A191&gt;=Assumptions!$H$72,A191&lt;=Assumptions!$H$73),Assumptions!$H$74*Assumptions!$C$9*1000,0)</f>
        <v>0</v>
      </c>
      <c r="HN191" s="530"/>
      <c r="HO191" s="545"/>
      <c r="HP191" s="545"/>
      <c r="HQ191" s="545"/>
      <c r="HR191" s="545"/>
      <c r="HS191" s="545"/>
      <c r="HT191" s="545"/>
      <c r="HU191" s="545"/>
      <c r="HV191" s="545"/>
      <c r="HW191" s="545"/>
      <c r="HX191" s="545"/>
      <c r="HY191" s="545"/>
      <c r="HZ191" s="545"/>
      <c r="IA191" s="545"/>
      <c r="IB191" s="545"/>
      <c r="IC191" s="545"/>
      <c r="ID191" s="545"/>
      <c r="IE191" s="545"/>
      <c r="IF191" s="545"/>
      <c r="IG191" s="545"/>
      <c r="IH191" s="545"/>
      <c r="II191" s="1464"/>
      <c r="IJ191" s="1463"/>
      <c r="IK191" s="1463"/>
    </row>
    <row r="192" spans="1:245">
      <c r="A192" s="177">
        <f t="shared" si="466"/>
        <v>41974</v>
      </c>
      <c r="B192" s="349">
        <f t="shared" si="467"/>
        <v>2014</v>
      </c>
      <c r="C192" s="15">
        <f t="shared" si="523"/>
        <v>12</v>
      </c>
      <c r="D192" s="612">
        <f t="shared" si="468"/>
        <v>41998</v>
      </c>
      <c r="E192" s="609">
        <f t="shared" si="524"/>
        <v>41974</v>
      </c>
      <c r="F192" s="614">
        <f t="shared" si="525"/>
        <v>42004</v>
      </c>
      <c r="G192" s="1349">
        <v>0</v>
      </c>
      <c r="H192" s="152">
        <f t="shared" si="512"/>
        <v>1</v>
      </c>
      <c r="I192" s="154">
        <f>IF(Assumptions!$L$25=4,VLOOKUP($A192,'Henwood Reference'!$E$9:$R$320,10),(VLOOKUP($A192,PriceTable,2,0)+IF(BasisNumber&lt;&gt;1,VLOOKUP($A192,BasisTable,2,0),0)+I$1)/(1-I$2))</f>
        <v>56.471579893070029</v>
      </c>
      <c r="J192" s="154">
        <f>IF(Assumptions!$L$25=4,VLOOKUP($A192,'Henwood Reference'!$E$9:$R$320,10),(VLOOKUP($A192,PriceTable,3,0)+IF(BasisNumber&lt;&gt;1,VLOOKUP($A192,BasisTable,2,0),0)+J$1)/(1-J$2))</f>
        <v>56.471579893070029</v>
      </c>
      <c r="K192" s="154">
        <f>IF(Assumptions!$L$25=4,VLOOKUP($A192,'Henwood Reference'!$E$9:$R$320,10),(VLOOKUP($A192,PriceTable,4,0)+IF(BasisNumber&lt;&gt;1,VLOOKUP($A192,BasisTable,2,0),0)+K$1)/(1-K$2))</f>
        <v>56.471579893070029</v>
      </c>
      <c r="L192" s="474">
        <f>IF(Assumptions!$L$25=4,VLOOKUP($A192,'Henwood Reference'!$E$9:$R$320,10),(VLOOKUP($A192,PriceTableWeekend,2,0)+IF(BasisNumber&lt;&gt;1,VLOOKUP($A192,BasisTable,2,0),0)+L$1)/(1-L$2))</f>
        <v>56.471579893070029</v>
      </c>
      <c r="M192" s="154">
        <f>IF(Assumptions!$L$25=4,VLOOKUP($A192,'Henwood Reference'!$E$9:$R$320,10),(VLOOKUP($A192,PriceTableWeekend,3,0)+IF(BasisNumber&lt;&gt;1,VLOOKUP($A192,BasisTable,2,0),0)+M$1)/(1-M$2))</f>
        <v>56.471579893070029</v>
      </c>
      <c r="N192" s="156">
        <f>IF(Assumptions!$L$25=4,VLOOKUP($A192,'Henwood Reference'!$E$9:$R$320,10),(VLOOKUP($A192,PriceTableWeekend,4,0)+IF(BasisNumber&lt;&gt;1,VLOOKUP($A192,BasisTable,2,0),0)+N$1)/(1-N$2))</f>
        <v>56.471579893070029</v>
      </c>
      <c r="O192" s="154">
        <f>IF(Assumptions!$L$25=4,VLOOKUP($A192,'Henwood Reference'!$E$9:$R$320,11),(VLOOKUP($A192,PriceTableWeekend,6,0)+IF(BasisNumber&lt;&gt;1,VLOOKUP($A192,BasisTable,3,0),0)+O$1)/(1-O$2))</f>
        <v>33.256142744236634</v>
      </c>
      <c r="P192" s="154">
        <f>IF(Assumptions!$L$25=4,VLOOKUP($A192,'Henwood Reference'!$E$9:$R$320,11),(VLOOKUP($A192,PriceTableWeekend,7,0)+IF(BasisNumber&lt;&gt;1,VLOOKUP($A192,BasisTable,3,0),0)+P$1)/(1-P$2))</f>
        <v>33.256142744236634</v>
      </c>
      <c r="Q192" s="156">
        <f>IF(Assumptions!$L$25=4,VLOOKUP($A192,'Henwood Reference'!$E$9:$R$320,11),(VLOOKUP($A192,PriceTableWeekend,8,0)+IF(BasisNumber&lt;&gt;1,VLOOKUP($A192,BasisTable,3,0),0)+Q$1)/(1-Q$2))</f>
        <v>33.256142744236634</v>
      </c>
      <c r="R192" s="154">
        <f>IF(Assumptions!$L$25=4,VLOOKUP($A192,'Henwood Reference'!$E$9:$R$320,11),(VLOOKUP($A192,PriceTable,6,0)+IF(BasisNumber&lt;&gt;1,VLOOKUP($A192,BasisTable,3,0),0)+R$1)/(1-R$2))</f>
        <v>33.256142744236634</v>
      </c>
      <c r="S192" s="154">
        <f>IF(Assumptions!$L$25=4,VLOOKUP($A192,'Henwood Reference'!$E$9:$R$320,11),(VLOOKUP($A192,PriceTable,7,0)+IF(BasisNumber&lt;&gt;1,VLOOKUP($A192,BasisTable,3,0),0)+S$1)/(1-S$2))</f>
        <v>33.256142744236634</v>
      </c>
      <c r="T192" s="155">
        <f>IF(Assumptions!$L$25=4,VLOOKUP($A192,'Henwood Reference'!$E$9:$R$320,11),(VLOOKUP($A192,PriceTable,8,0)+IF(BasisNumber&lt;&gt;1,VLOOKUP($A192,BasisTable,3,0),0)+T$1)/(1-T$2))</f>
        <v>33.256142744236634</v>
      </c>
      <c r="U192" s="173">
        <f t="shared" si="469"/>
        <v>9.9999999999999936E-2</v>
      </c>
      <c r="V192" s="173">
        <f t="shared" si="470"/>
        <v>0.11</v>
      </c>
      <c r="W192" s="174">
        <f t="shared" si="471"/>
        <v>0.12</v>
      </c>
      <c r="X192" s="173">
        <f t="shared" si="472"/>
        <v>9.9999999999999936E-2</v>
      </c>
      <c r="Y192" s="173">
        <f t="shared" si="473"/>
        <v>0.11</v>
      </c>
      <c r="Z192" s="174">
        <f t="shared" si="474"/>
        <v>0.12</v>
      </c>
      <c r="AA192" s="173">
        <f t="shared" si="475"/>
        <v>0.09</v>
      </c>
      <c r="AB192" s="173">
        <f t="shared" si="476"/>
        <v>0.11</v>
      </c>
      <c r="AC192" s="174">
        <f t="shared" si="477"/>
        <v>0.13</v>
      </c>
      <c r="AD192" s="173">
        <f t="shared" si="478"/>
        <v>0.09</v>
      </c>
      <c r="AE192" s="173">
        <f t="shared" si="479"/>
        <v>0.11</v>
      </c>
      <c r="AF192" s="174">
        <f t="shared" si="480"/>
        <v>0.13</v>
      </c>
      <c r="AG192" s="173">
        <f t="shared" si="481"/>
        <v>-0.25</v>
      </c>
      <c r="AH192" s="173">
        <f t="shared" si="482"/>
        <v>0.6</v>
      </c>
      <c r="AI192" s="174">
        <f t="shared" si="483"/>
        <v>0.25</v>
      </c>
      <c r="AJ192" s="173">
        <f t="shared" si="484"/>
        <v>-0.25</v>
      </c>
      <c r="AK192" s="173">
        <f t="shared" si="485"/>
        <v>0.6</v>
      </c>
      <c r="AL192" s="174">
        <f t="shared" si="486"/>
        <v>0.25</v>
      </c>
      <c r="AM192" s="173">
        <f t="shared" si="487"/>
        <v>-0.01</v>
      </c>
      <c r="AN192" s="173">
        <f t="shared" si="488"/>
        <v>0.16</v>
      </c>
      <c r="AO192" s="174">
        <f t="shared" si="489"/>
        <v>0.01</v>
      </c>
      <c r="AP192" s="173">
        <f t="shared" si="490"/>
        <v>-0.01</v>
      </c>
      <c r="AQ192" s="173">
        <f t="shared" si="491"/>
        <v>0.16</v>
      </c>
      <c r="AR192" s="175">
        <f t="shared" si="492"/>
        <v>0.01</v>
      </c>
      <c r="AS192" s="521">
        <f t="shared" si="528"/>
        <v>0.5</v>
      </c>
      <c r="AT192" s="349">
        <f t="shared" si="526"/>
        <v>22</v>
      </c>
      <c r="AU192" s="159">
        <f t="shared" si="411"/>
        <v>4</v>
      </c>
      <c r="AV192" s="159">
        <f t="shared" si="412"/>
        <v>4</v>
      </c>
      <c r="AW192" s="159">
        <f t="shared" si="529"/>
        <v>1</v>
      </c>
      <c r="AX192" s="15">
        <f t="shared" si="527"/>
        <v>31</v>
      </c>
      <c r="AY192" s="607">
        <f>IF(E192="",0,MIN((1-(1-VLOOKUP(B192,MAIN!$AA$7:$AM$28,C192+1))*(1-VLOOKUP(B192,MAIN!$AA$33:$AM$54,C192+1))),1))</f>
        <v>3.0000000000000027E-2</v>
      </c>
      <c r="AZ192" s="337">
        <v>51216</v>
      </c>
      <c r="BA192" s="509">
        <v>9312</v>
      </c>
      <c r="BB192" s="509">
        <v>11640</v>
      </c>
      <c r="BC192" s="511">
        <v>36084</v>
      </c>
      <c r="BD192" s="153">
        <v>0.97</v>
      </c>
      <c r="BE192" s="474">
        <v>0.97</v>
      </c>
      <c r="BF192" s="474">
        <v>0.97</v>
      </c>
      <c r="BG192" s="515">
        <v>0.97</v>
      </c>
      <c r="BH192" s="262">
        <v>204864</v>
      </c>
      <c r="BI192" s="509">
        <v>37248</v>
      </c>
      <c r="BJ192" s="509">
        <v>46560</v>
      </c>
      <c r="BK192" s="511">
        <v>144336</v>
      </c>
      <c r="BL192" s="153">
        <v>0.97</v>
      </c>
      <c r="BM192" s="474">
        <v>0.97</v>
      </c>
      <c r="BN192" s="474">
        <v>0.97</v>
      </c>
      <c r="BO192" s="474">
        <v>0.97</v>
      </c>
      <c r="BP192" s="261">
        <f t="shared" si="495"/>
        <v>72168</v>
      </c>
      <c r="BQ192" s="578">
        <f t="shared" si="496"/>
        <v>108252</v>
      </c>
      <c r="BR192" s="259">
        <f t="shared" si="497"/>
        <v>288672</v>
      </c>
      <c r="BS192" s="578">
        <f t="shared" si="498"/>
        <v>433008</v>
      </c>
      <c r="BT192" s="216">
        <f t="shared" si="499"/>
        <v>14.63107460643395</v>
      </c>
      <c r="BU192" s="218">
        <f t="shared" si="414"/>
        <v>56.471579893070029</v>
      </c>
      <c r="BV192" s="216">
        <f t="shared" si="415"/>
        <v>56.471579893070029</v>
      </c>
      <c r="BW192" s="216">
        <f t="shared" si="416"/>
        <v>33.256142744236634</v>
      </c>
      <c r="BX192" s="216">
        <f t="shared" si="500"/>
        <v>33.256142744236634</v>
      </c>
      <c r="BY192" s="216">
        <f t="shared" si="417"/>
        <v>52.727154546484002</v>
      </c>
      <c r="BZ192" s="216">
        <f t="shared" si="418"/>
        <v>46.236817279068212</v>
      </c>
      <c r="CA192" s="264">
        <f t="shared" si="419"/>
        <v>56.471579893070029</v>
      </c>
      <c r="CB192" s="216">
        <f t="shared" si="420"/>
        <v>56.471579893070029</v>
      </c>
      <c r="CC192" s="216">
        <f t="shared" si="421"/>
        <v>33.256142744236634</v>
      </c>
      <c r="CD192" s="216">
        <f t="shared" si="501"/>
        <v>33.256142744236634</v>
      </c>
      <c r="CE192" s="216">
        <f t="shared" si="422"/>
        <v>52.727154546484002</v>
      </c>
      <c r="CF192" s="571">
        <f t="shared" si="423"/>
        <v>46.236817279068212</v>
      </c>
      <c r="CG192" s="573">
        <f t="shared" si="424"/>
        <v>0.11</v>
      </c>
      <c r="CH192" s="219">
        <f t="shared" si="425"/>
        <v>0.11</v>
      </c>
      <c r="CI192" s="219">
        <f t="shared" si="426"/>
        <v>0.11</v>
      </c>
      <c r="CJ192" s="219">
        <f t="shared" si="427"/>
        <v>0.10999999999999999</v>
      </c>
      <c r="CK192" s="219">
        <f t="shared" si="428"/>
        <v>0.10999999999999999</v>
      </c>
      <c r="CL192" s="219">
        <f t="shared" si="429"/>
        <v>0.11</v>
      </c>
      <c r="CM192" s="219">
        <f t="shared" si="430"/>
        <v>9.9779942135322708E-2</v>
      </c>
      <c r="CN192" s="569">
        <f t="shared" si="431"/>
        <v>9.9779942135322708E-2</v>
      </c>
      <c r="CO192" s="264">
        <f t="shared" si="514"/>
        <v>27.202812158771657</v>
      </c>
      <c r="CP192" s="216">
        <f t="shared" si="502"/>
        <v>27.202812158771657</v>
      </c>
      <c r="CQ192" s="216">
        <f t="shared" ca="1" si="532"/>
        <v>27.202812158771657</v>
      </c>
      <c r="CR192" s="216">
        <f t="shared" ca="1" si="533"/>
        <v>27.202812158771657</v>
      </c>
      <c r="CS192" s="1626">
        <f t="shared" ca="1" si="534"/>
        <v>27.202812158771653</v>
      </c>
      <c r="CT192" s="216">
        <f t="shared" si="503"/>
        <v>27.202812158771657</v>
      </c>
      <c r="CU192" s="575">
        <f t="shared" si="432"/>
        <v>0.154</v>
      </c>
      <c r="CV192" s="154">
        <f t="shared" si="433"/>
        <v>0.5</v>
      </c>
      <c r="CW192" s="216">
        <f>IF(OR($BQ192,$BS192),SpreadOptPowerMargin,0)*((1+Assumptions!$C$26)^($B192-YEAR(Assumptions!$C$17)))</f>
        <v>2.2380737551103738</v>
      </c>
      <c r="CX192" s="216">
        <f>IF(OR($BQ192,$BS192),SpreadOptPowerMargin,0)*((1+Assumptions!$C$26)^($B192-YEAR(Assumptions!$C$17)))</f>
        <v>2.2380737551103738</v>
      </c>
      <c r="CY192" s="216">
        <f>IF(OR($BQ192,$BS192),SpreadOptPowerMargin,0)*((1+Assumptions!$C$26)^($B192-YEAR(Assumptions!$C$17)))</f>
        <v>2.2380737551103738</v>
      </c>
      <c r="CZ192" s="216">
        <f>IF(OR($BQ192,$BS192),SpreadOptPowerMargin,0)*((1+Assumptions!$C$26)^($B192-YEAR(Assumptions!$C$17)))</f>
        <v>2.2380737551103738</v>
      </c>
      <c r="DA192" s="440">
        <f t="shared" si="434"/>
        <v>2.2380737551103733</v>
      </c>
      <c r="DB192" s="479">
        <f t="shared" si="435"/>
        <v>0.11</v>
      </c>
      <c r="DC192" s="479">
        <f t="shared" si="436"/>
        <v>0.11</v>
      </c>
      <c r="DD192" s="479">
        <f t="shared" si="437"/>
        <v>0.11</v>
      </c>
      <c r="DE192" s="479">
        <f t="shared" si="438"/>
        <v>0.11</v>
      </c>
      <c r="DF192" s="479">
        <f t="shared" si="439"/>
        <v>9.9779942135322708E-2</v>
      </c>
      <c r="DG192" s="574">
        <f t="shared" si="440"/>
        <v>9.9779942135322708E-2</v>
      </c>
      <c r="DH192" s="216">
        <f t="shared" si="441"/>
        <v>27.934704391798508</v>
      </c>
      <c r="DI192" s="216">
        <f t="shared" si="442"/>
        <v>27.934704391798508</v>
      </c>
      <c r="DJ192" s="216">
        <f t="shared" ca="1" si="535"/>
        <v>8.2158585165348441</v>
      </c>
      <c r="DK192" s="216">
        <f t="shared" ca="1" si="536"/>
        <v>8.2158585165348441</v>
      </c>
      <c r="DL192" s="216">
        <f t="shared" ca="1" si="537"/>
        <v>18.498725341176971</v>
      </c>
      <c r="DM192" s="216"/>
      <c r="DN192" s="216"/>
      <c r="DO192" s="216"/>
      <c r="DP192" s="216"/>
      <c r="DQ192" s="216"/>
      <c r="DR192" s="216"/>
      <c r="DS192" s="216"/>
      <c r="DT192" s="216"/>
      <c r="DU192" s="216"/>
      <c r="DV192" s="216"/>
      <c r="DW192" s="1371">
        <f t="shared" si="443"/>
        <v>8.2158585165348441</v>
      </c>
      <c r="DX192" s="216">
        <f t="shared" si="444"/>
        <v>8.2158585165348441</v>
      </c>
      <c r="DY192" s="440">
        <f t="shared" si="445"/>
        <v>19.241449758617751</v>
      </c>
      <c r="DZ192" s="180">
        <f t="shared" si="446"/>
        <v>1430703.8201303524</v>
      </c>
      <c r="EA192" s="180">
        <f t="shared" si="447"/>
        <v>260127.9672964277</v>
      </c>
      <c r="EB192" s="180">
        <f t="shared" ca="1" si="538"/>
        <v>95632.593132465583</v>
      </c>
      <c r="EC192" s="180">
        <f t="shared" ca="1" si="539"/>
        <v>296461.0387106433</v>
      </c>
      <c r="ED192" s="180">
        <f t="shared" ca="1" si="540"/>
        <v>2002524.0156330895</v>
      </c>
      <c r="EE192" s="581">
        <f t="shared" si="448"/>
        <v>1384404.0228380924</v>
      </c>
      <c r="EF192" s="554">
        <f t="shared" si="449"/>
        <v>251709.82233419863</v>
      </c>
      <c r="EG192" s="554">
        <f t="shared" ca="1" si="541"/>
        <v>44409.589505327574</v>
      </c>
      <c r="EH192" s="554">
        <f t="shared" ca="1" si="542"/>
        <v>137669.72746651547</v>
      </c>
      <c r="EI192" s="561">
        <f t="shared" ca="1" si="450"/>
        <v>1818193.162144135</v>
      </c>
      <c r="EJ192" s="581">
        <f t="shared" si="504"/>
        <v>46299.797292259987</v>
      </c>
      <c r="EK192" s="554">
        <f t="shared" si="505"/>
        <v>8418.1449622290675</v>
      </c>
      <c r="EL192" s="554">
        <f t="shared" ca="1" si="543"/>
        <v>51223.003627138009</v>
      </c>
      <c r="EM192" s="554">
        <f t="shared" ca="1" si="544"/>
        <v>158791.31124412784</v>
      </c>
      <c r="EN192" s="561">
        <f t="shared" ca="1" si="545"/>
        <v>184330.85348895448</v>
      </c>
      <c r="EO192" s="180">
        <f t="shared" si="451"/>
        <v>5722815.2805214096</v>
      </c>
      <c r="EP192" s="180">
        <f t="shared" si="452"/>
        <v>1040511.8691857108</v>
      </c>
      <c r="EQ192" s="180">
        <f t="shared" si="453"/>
        <v>382530.37252986233</v>
      </c>
      <c r="ER192" s="180">
        <f t="shared" si="454"/>
        <v>1185844.1548425732</v>
      </c>
      <c r="ES192" s="180">
        <f t="shared" si="455"/>
        <v>8331701.6770795556</v>
      </c>
      <c r="ET192" s="1482">
        <f t="shared" ca="1" si="546"/>
        <v>5537616.0913523696</v>
      </c>
      <c r="EU192" s="180">
        <f t="shared" ca="1" si="547"/>
        <v>1006839.2893367945</v>
      </c>
      <c r="EV192" s="180">
        <f t="shared" ca="1" si="548"/>
        <v>177638.3580213103</v>
      </c>
      <c r="EW192" s="180">
        <f t="shared" ca="1" si="549"/>
        <v>550678.90986606188</v>
      </c>
      <c r="EX192" s="555">
        <f t="shared" ca="1" si="522"/>
        <v>7272772.6485765371</v>
      </c>
      <c r="EY192" s="180">
        <f t="shared" ca="1" si="550"/>
        <v>185199.18916903995</v>
      </c>
      <c r="EZ192" s="180">
        <f t="shared" ca="1" si="551"/>
        <v>33672.57984891627</v>
      </c>
      <c r="FA192" s="180">
        <f t="shared" ca="1" si="552"/>
        <v>204892.01450855203</v>
      </c>
      <c r="FB192" s="180">
        <f t="shared" ca="1" si="553"/>
        <v>635165.24497651134</v>
      </c>
      <c r="FC192" s="180">
        <f t="shared" ca="1" si="554"/>
        <v>1058929.0285030184</v>
      </c>
      <c r="FD192" s="262">
        <f>IF(AX192,IF(VLOOKUP(C192,MAIN!$L$17:$M$28,2)="Yes",VLOOKUP(CALC!B192,MAIN!$H$17:$I$20,2),0),0)</f>
        <v>0</v>
      </c>
      <c r="FE192" s="623">
        <f t="shared" si="456"/>
        <v>0</v>
      </c>
      <c r="FF192" s="535">
        <f t="shared" si="457"/>
        <v>0</v>
      </c>
      <c r="FG192" s="535">
        <f t="shared" si="458"/>
        <v>0</v>
      </c>
      <c r="FH192" s="624">
        <f t="shared" si="459"/>
        <v>0</v>
      </c>
      <c r="FI192" s="632">
        <f>IF(AX192,VLOOKUP(CALC!B192,MAIN!$H$17:$K$20,4),0)</f>
        <v>0</v>
      </c>
      <c r="FJ192" s="535">
        <f t="shared" si="460"/>
        <v>0</v>
      </c>
      <c r="FK192" s="648">
        <f t="shared" si="506"/>
        <v>0</v>
      </c>
      <c r="FL192" s="530">
        <f t="shared" ca="1" si="555"/>
        <v>0</v>
      </c>
      <c r="FM192" s="530">
        <f t="shared" ca="1" si="556"/>
        <v>0</v>
      </c>
      <c r="FN192" s="530">
        <f t="shared" ca="1" si="557"/>
        <v>0</v>
      </c>
      <c r="FO192" s="622">
        <f t="shared" ca="1" si="558"/>
        <v>0</v>
      </c>
      <c r="FP192" s="530">
        <f t="shared" ca="1" si="559"/>
        <v>0</v>
      </c>
      <c r="FQ192" s="530">
        <f t="shared" ca="1" si="560"/>
        <v>0</v>
      </c>
      <c r="FR192" s="530">
        <f t="shared" ca="1" si="561"/>
        <v>0</v>
      </c>
      <c r="FS192" s="625">
        <f t="shared" ca="1" si="562"/>
        <v>0</v>
      </c>
      <c r="FT192" s="640">
        <f ca="1">IF(AND(Assumptions!$H$71="Yes",A192&gt;=Assumptions!$H$72,A192&lt;=Assumptions!$H$73),0,IF(AND($A192&gt;=Assumptions!$C$17,$A192&lt;=Assumptions!$C$18),MAX(AZ192*(1+VLOOKUP($C192,WeatherCapacityAdjustment,2))-FL192,0),0))</f>
        <v>51216</v>
      </c>
      <c r="FU192" s="530">
        <f ca="1">IF(AND(Assumptions!$H$71="Yes",A192&gt;=Assumptions!$H$72,A192&lt;=Assumptions!$H$73),0,IF(AND($A192&gt;=Assumptions!$C$17,$A192&lt;=Assumptions!$C$18),MAX(BA192*(1+VLOOKUP($C192,WeatherCapacityAdjustment,2))-FM192,0),0))</f>
        <v>9312</v>
      </c>
      <c r="FV192" s="530">
        <f ca="1">IF(AND(Assumptions!$H$71="Yes",A192&gt;=Assumptions!$H$72,A192&lt;=Assumptions!$H$73),0,IF(AND($A192&gt;=Assumptions!$C$17,$A192&lt;=Assumptions!$C$18),MAX(BB192*(1+VLOOKUP($C192,WeatherCapacityAdjustment,2))-FN192,0),0))</f>
        <v>11640</v>
      </c>
      <c r="FW192" s="622">
        <f ca="1">IF(AND(Assumptions!$H$71="Yes",A192&gt;=Assumptions!$H$72,A192&lt;=Assumptions!$H$73),0,IF(AND($A192&gt;=Assumptions!$C$17,$A192&lt;=Assumptions!$C$18),MAX(BC192*(1+VLOOKUP($C192,WeatherCapacityAdjustment,3))-FO192,0),0))</f>
        <v>36084</v>
      </c>
      <c r="FX192" s="621">
        <f ca="1">IF(AND(Assumptions!$H$71="Yes",A192&gt;=Assumptions!$H$72,A192&lt;=Assumptions!$H$73),0,IF(ET192&gt;0,MAX(BH192*(1+VLOOKUP($C192,WeatherCapacityAdjustment,2))-FP192,0),0))</f>
        <v>204864</v>
      </c>
      <c r="FY192" s="530">
        <f ca="1">IF(AND(Assumptions!$H$71="Yes",A192&gt;=Assumptions!$H$72,A192&lt;=Assumptions!$H$73),0,IF(EU192&gt;0,MAX(BI192*(1+VLOOKUP($C192,WeatherCapacityAdjustment,3))-FQ192,0),0))</f>
        <v>37248</v>
      </c>
      <c r="FZ192" s="530">
        <f ca="1">IF(AND(Assumptions!$H$71="Yes",A192&gt;=Assumptions!$H$72,A192&lt;=Assumptions!$H$73),0,IF(EV192&gt;0,MAX(BJ192*(1+VLOOKUP($C192,WeatherCapacityAdjustment,2))-FR192,0),0))</f>
        <v>46560</v>
      </c>
      <c r="GA192" s="622">
        <f ca="1">IF(AND(Assumptions!$H$71="Yes",A192&gt;=Assumptions!$H$72,A192&lt;=Assumptions!$H$73),0,IF(EW192&gt;0,MAX(BK192*(1+VLOOKUP($C192,WeatherCapacityAdjustment,2))-FS192,0),0))</f>
        <v>144336</v>
      </c>
      <c r="GB192" s="530">
        <f t="shared" ca="1" si="461"/>
        <v>541260</v>
      </c>
      <c r="GC192" s="545">
        <f t="shared" ca="1" si="462"/>
        <v>46.236817279068212</v>
      </c>
      <c r="GD192" s="530">
        <f t="shared" ca="1" si="563"/>
        <v>25026139.720468462</v>
      </c>
      <c r="GE192" s="1485">
        <f t="shared" ca="1" si="564"/>
        <v>779087.47896000009</v>
      </c>
      <c r="GF192" s="1776">
        <f t="shared" ca="1" si="565"/>
        <v>3116349.9158400004</v>
      </c>
      <c r="GG192" s="545">
        <f t="shared" si="530"/>
        <v>3.7797537520976379</v>
      </c>
      <c r="GH192" s="622">
        <f t="shared" ca="1" si="531"/>
        <v>14723794.109056748</v>
      </c>
      <c r="GI192" s="621">
        <f t="shared" ca="1" si="507"/>
        <v>541260</v>
      </c>
      <c r="GJ192" s="638">
        <f t="shared" si="463"/>
        <v>2.2380737551103733</v>
      </c>
      <c r="GK192" s="625">
        <f t="shared" ca="1" si="513"/>
        <v>1211379.8006910407</v>
      </c>
      <c r="GL192" s="640">
        <f t="shared" ca="1" si="566"/>
        <v>0</v>
      </c>
      <c r="GM192" s="530">
        <f t="shared" ca="1" si="567"/>
        <v>0</v>
      </c>
      <c r="GN192" s="530">
        <f t="shared" ca="1" si="568"/>
        <v>0</v>
      </c>
      <c r="GO192" s="622">
        <f t="shared" ca="1" si="569"/>
        <v>0</v>
      </c>
      <c r="GP192" s="530">
        <f t="shared" ca="1" si="464"/>
        <v>0</v>
      </c>
      <c r="GQ192" s="545">
        <f t="shared" ca="1" si="465"/>
        <v>0</v>
      </c>
      <c r="GR192" s="625">
        <f t="shared" ca="1" si="570"/>
        <v>0</v>
      </c>
      <c r="GS192" s="640">
        <f>IF($A192&gt;=BegDate,Assumptions!$C$56*24*($A193-$A192)*(1-VLOOKUP($B192,MAIN!$AA$7:$AM$28,$C192+1))*(1-VLOOKUP($B192,MAIN!$AA$33:$AM$54,$C192+1)),0)*80/168</f>
        <v>257742.85714285713</v>
      </c>
      <c r="GT192" s="1715">
        <f t="shared" si="508"/>
        <v>56.471579893070029</v>
      </c>
      <c r="GU192" s="1715">
        <f>IF($A192&gt;=BegDate,VLOOKUP($A192,GasTable,13)+Assumptions!$C$58,0)</f>
        <v>3.7797537520976379</v>
      </c>
      <c r="GV192" s="1715">
        <f>GU192*Assumptions!$C$57/1000</f>
        <v>27.403214702707874</v>
      </c>
      <c r="GW192" s="625">
        <f>IF(Assumptions!$C$60="Hourly",MAX(0,GS192*(GT192-GV192)),GS192*(GT192-GV192))</f>
        <v>7492163.4966359138</v>
      </c>
      <c r="GX192" s="640">
        <f>IF($A192&gt;=BegDate,Assumptions!$C$56*24*($A193-$A192)*(1-VLOOKUP($B192,MAIN!$AA$7:$AM$28,$C192+1))*(1-VLOOKUP($B192,MAIN!$AA$33:$AM$54,$C192+1)),0)*16/168</f>
        <v>51548.571428571428</v>
      </c>
      <c r="GY192" s="1715">
        <f t="shared" si="509"/>
        <v>56.471579893070029</v>
      </c>
      <c r="GZ192" s="1715">
        <f>IF($A192&gt;=BegDate,VLOOKUP($A192,GasTable,13)+Assumptions!$C$58,0)</f>
        <v>3.7797537520976379</v>
      </c>
      <c r="HA192" s="1715">
        <f>GZ192*Assumptions!$C$57/1000</f>
        <v>27.403214702707874</v>
      </c>
      <c r="HB192" s="625">
        <f>IF(Assumptions!$C$60="Hourly",MAX(0,GX192*(GY192-HA192)),GX192*(GY192-HA192))</f>
        <v>1498432.6993271827</v>
      </c>
      <c r="HC192" s="640">
        <f>IF($A192&gt;=BegDate,Assumptions!$C$56*24*($A193-$A192)*(1-VLOOKUP($B192,MAIN!$AA$7:$AM$28,$C192+1))*(1-VLOOKUP($B192,MAIN!$AA$33:$AM$54,$C192+1)),0)*16/168</f>
        <v>51548.571428571428</v>
      </c>
      <c r="HD192" s="1715">
        <f t="shared" si="510"/>
        <v>33.256142744236634</v>
      </c>
      <c r="HE192" s="1715">
        <f>IF($A192&gt;=BegDate,VLOOKUP($A192,GasTable,13)+Assumptions!$C$58,0)</f>
        <v>3.7797537520976379</v>
      </c>
      <c r="HF192" s="1715">
        <f>HE192*Assumptions!$C$57/1000</f>
        <v>27.403214702707874</v>
      </c>
      <c r="HG192" s="625">
        <f>IF(Assumptions!$C$60="Hourly",MAX(0,HC192*(HD192-HF192)),HC192*(HD192-HF192))</f>
        <v>301710.07921503391</v>
      </c>
      <c r="HH192" s="640">
        <f>IF($A192&gt;=BegDate,Assumptions!$C$56*24*($A193-$A192)*(1-VLOOKUP($B192,MAIN!$AA$7:$AM$28,$C192+1))*(1-VLOOKUP($B192,MAIN!$AA$33:$AM$54,$C192+1)),0)*56/168</f>
        <v>180420</v>
      </c>
      <c r="HI192" s="1715">
        <f t="shared" si="511"/>
        <v>33.256142744236634</v>
      </c>
      <c r="HJ192" s="1715">
        <f>IF($A192&gt;=BegDate,VLOOKUP($A192,GasTable,13)+Assumptions!$C$58,0)</f>
        <v>3.7797537520976379</v>
      </c>
      <c r="HK192" s="1715">
        <f>HJ192*Assumptions!$C$57/1000</f>
        <v>27.403214702707874</v>
      </c>
      <c r="HL192" s="625">
        <f>IF(Assumptions!$C$60="Hourly",MAX(0,HH192*(HI192-HK192)),HH192*(HI192-HK192))</f>
        <v>1055985.2772526187</v>
      </c>
      <c r="HM192" s="640">
        <f>IF(AND(Assumptions!$H$71="Yes",A192&gt;=Assumptions!$H$72,A192&lt;=Assumptions!$H$73),Assumptions!$H$74*Assumptions!$C$9*1000,0)</f>
        <v>0</v>
      </c>
      <c r="HN192" s="530"/>
      <c r="HO192" s="545"/>
      <c r="HP192" s="545"/>
      <c r="HQ192" s="545"/>
      <c r="HR192" s="545"/>
      <c r="HS192" s="545"/>
      <c r="HT192" s="545"/>
      <c r="HU192" s="545"/>
      <c r="HV192" s="545"/>
      <c r="HW192" s="545"/>
      <c r="HX192" s="545"/>
      <c r="HY192" s="545"/>
      <c r="HZ192" s="545"/>
      <c r="IA192" s="545"/>
      <c r="IB192" s="545"/>
      <c r="IC192" s="545"/>
      <c r="ID192" s="545"/>
      <c r="IE192" s="545"/>
      <c r="IF192" s="545"/>
      <c r="IG192" s="545"/>
      <c r="IH192" s="545"/>
      <c r="II192" s="1464"/>
      <c r="IJ192" s="1463"/>
      <c r="IK192" s="1463"/>
    </row>
    <row r="193" spans="1:245">
      <c r="A193" s="177">
        <f t="shared" si="466"/>
        <v>42005</v>
      </c>
      <c r="B193" s="349">
        <f t="shared" si="467"/>
        <v>2015</v>
      </c>
      <c r="C193" s="15">
        <f t="shared" ref="C193:C208" si="571">MONTH(A193)</f>
        <v>1</v>
      </c>
      <c r="D193" s="612">
        <f t="shared" si="468"/>
        <v>42005</v>
      </c>
      <c r="E193" s="609">
        <f t="shared" ref="E193:E208" si="572">IF(OR(BegDate&gt;=A194,EndDate&lt;A193,AND(VolumeMonthlyOverFlag,INDEX(VolumeMonthlyOver,C193)=0),NOT(INDEX(MonthKnockOutTable,C193))),"",MAX(A193,BegDate))</f>
        <v>42005</v>
      </c>
      <c r="F193" s="614">
        <f t="shared" ref="F193:F208" si="573">IF(E193="","",MIN(A194-1,EndDate))</f>
        <v>42035</v>
      </c>
      <c r="G193" s="1349">
        <v>0</v>
      </c>
      <c r="H193" s="152">
        <f t="shared" si="512"/>
        <v>1</v>
      </c>
      <c r="I193" s="154">
        <f>IF(Assumptions!$L$25=4,VLOOKUP($A193,'Henwood Reference'!$E$9:$R$320,10),(VLOOKUP($A193,PriceTable,2,0)+IF(BasisNumber&lt;&gt;1,VLOOKUP($A193,BasisTable,2,0),0)+I$1)/(1-I$2))</f>
        <v>57.808813562368663</v>
      </c>
      <c r="J193" s="154">
        <f>IF(Assumptions!$L$25=4,VLOOKUP($A193,'Henwood Reference'!$E$9:$R$320,10),(VLOOKUP($A193,PriceTable,3,0)+IF(BasisNumber&lt;&gt;1,VLOOKUP($A193,BasisTable,2,0),0)+J$1)/(1-J$2))</f>
        <v>57.808813562368663</v>
      </c>
      <c r="K193" s="154">
        <f>IF(Assumptions!$L$25=4,VLOOKUP($A193,'Henwood Reference'!$E$9:$R$320,10),(VLOOKUP($A193,PriceTable,4,0)+IF(BasisNumber&lt;&gt;1,VLOOKUP($A193,BasisTable,2,0),0)+K$1)/(1-K$2))</f>
        <v>57.808813562368663</v>
      </c>
      <c r="L193" s="474">
        <f>IF(Assumptions!$L$25=4,VLOOKUP($A193,'Henwood Reference'!$E$9:$R$320,10),(VLOOKUP($A193,PriceTableWeekend,2,0)+IF(BasisNumber&lt;&gt;1,VLOOKUP($A193,BasisTable,2,0),0)+L$1)/(1-L$2))</f>
        <v>57.808813562368663</v>
      </c>
      <c r="M193" s="154">
        <f>IF(Assumptions!$L$25=4,VLOOKUP($A193,'Henwood Reference'!$E$9:$R$320,10),(VLOOKUP($A193,PriceTableWeekend,3,0)+IF(BasisNumber&lt;&gt;1,VLOOKUP($A193,BasisTable,2,0),0)+M$1)/(1-M$2))</f>
        <v>57.808813562368663</v>
      </c>
      <c r="N193" s="156">
        <f>IF(Assumptions!$L$25=4,VLOOKUP($A193,'Henwood Reference'!$E$9:$R$320,10),(VLOOKUP($A193,PriceTableWeekend,4,0)+IF(BasisNumber&lt;&gt;1,VLOOKUP($A193,BasisTable,2,0),0)+N$1)/(1-N$2))</f>
        <v>57.808813562368663</v>
      </c>
      <c r="O193" s="154">
        <f>IF(Assumptions!$L$25=4,VLOOKUP($A193,'Henwood Reference'!$E$9:$R$320,11),(VLOOKUP($A193,PriceTableWeekend,6,0)+IF(BasisNumber&lt;&gt;1,VLOOKUP($A193,BasisTable,3,0),0)+O$1)/(1-O$2))</f>
        <v>32.642286917211933</v>
      </c>
      <c r="P193" s="154">
        <f>IF(Assumptions!$L$25=4,VLOOKUP($A193,'Henwood Reference'!$E$9:$R$320,11),(VLOOKUP($A193,PriceTableWeekend,7,0)+IF(BasisNumber&lt;&gt;1,VLOOKUP($A193,BasisTable,3,0),0)+P$1)/(1-P$2))</f>
        <v>32.642286917211933</v>
      </c>
      <c r="Q193" s="156">
        <f>IF(Assumptions!$L$25=4,VLOOKUP($A193,'Henwood Reference'!$E$9:$R$320,11),(VLOOKUP($A193,PriceTableWeekend,8,0)+IF(BasisNumber&lt;&gt;1,VLOOKUP($A193,BasisTable,3,0),0)+Q$1)/(1-Q$2))</f>
        <v>32.642286917211933</v>
      </c>
      <c r="R193" s="154">
        <f>IF(Assumptions!$L$25=4,VLOOKUP($A193,'Henwood Reference'!$E$9:$R$320,11),(VLOOKUP($A193,PriceTable,6,0)+IF(BasisNumber&lt;&gt;1,VLOOKUP($A193,BasisTable,3,0),0)+R$1)/(1-R$2))</f>
        <v>32.642286917211933</v>
      </c>
      <c r="S193" s="154">
        <f>IF(Assumptions!$L$25=4,VLOOKUP($A193,'Henwood Reference'!$E$9:$R$320,11),(VLOOKUP($A193,PriceTable,7,0)+IF(BasisNumber&lt;&gt;1,VLOOKUP($A193,BasisTable,3,0),0)+S$1)/(1-S$2))</f>
        <v>32.642286917211933</v>
      </c>
      <c r="T193" s="155">
        <f>IF(Assumptions!$L$25=4,VLOOKUP($A193,'Henwood Reference'!$E$9:$R$320,11),(VLOOKUP($A193,PriceTable,8,0)+IF(BasisNumber&lt;&gt;1,VLOOKUP($A193,BasisTable,3,0),0)+T$1)/(1-T$2))</f>
        <v>32.642286917211933</v>
      </c>
      <c r="U193" s="173">
        <f t="shared" si="469"/>
        <v>9.4999999999999932E-2</v>
      </c>
      <c r="V193" s="173">
        <f t="shared" si="470"/>
        <v>0.105</v>
      </c>
      <c r="W193" s="174">
        <f t="shared" si="471"/>
        <v>0.115</v>
      </c>
      <c r="X193" s="173">
        <f t="shared" si="472"/>
        <v>9.4999999999999932E-2</v>
      </c>
      <c r="Y193" s="173">
        <f t="shared" si="473"/>
        <v>0.105</v>
      </c>
      <c r="Z193" s="174">
        <f t="shared" si="474"/>
        <v>0.115</v>
      </c>
      <c r="AA193" s="173">
        <f t="shared" si="475"/>
        <v>0.09</v>
      </c>
      <c r="AB193" s="173">
        <f t="shared" si="476"/>
        <v>0.11</v>
      </c>
      <c r="AC193" s="174">
        <f t="shared" si="477"/>
        <v>0.13</v>
      </c>
      <c r="AD193" s="173">
        <f t="shared" si="478"/>
        <v>0.09</v>
      </c>
      <c r="AE193" s="173">
        <f t="shared" si="479"/>
        <v>0.11</v>
      </c>
      <c r="AF193" s="174">
        <f t="shared" si="480"/>
        <v>0.13</v>
      </c>
      <c r="AG193" s="173">
        <f t="shared" si="481"/>
        <v>-0.25</v>
      </c>
      <c r="AH193" s="173">
        <f t="shared" si="482"/>
        <v>0.6</v>
      </c>
      <c r="AI193" s="174">
        <f t="shared" si="483"/>
        <v>0.25</v>
      </c>
      <c r="AJ193" s="173">
        <f t="shared" si="484"/>
        <v>-0.25</v>
      </c>
      <c r="AK193" s="173">
        <f t="shared" si="485"/>
        <v>0.6</v>
      </c>
      <c r="AL193" s="174">
        <f t="shared" si="486"/>
        <v>0.25</v>
      </c>
      <c r="AM193" s="173">
        <f t="shared" si="487"/>
        <v>-0.01</v>
      </c>
      <c r="AN193" s="173">
        <f t="shared" si="488"/>
        <v>0.16</v>
      </c>
      <c r="AO193" s="174">
        <f t="shared" si="489"/>
        <v>0.01</v>
      </c>
      <c r="AP193" s="173">
        <f t="shared" si="490"/>
        <v>-0.01</v>
      </c>
      <c r="AQ193" s="173">
        <f t="shared" si="491"/>
        <v>0.16</v>
      </c>
      <c r="AR193" s="175">
        <f t="shared" si="492"/>
        <v>0.01</v>
      </c>
      <c r="AS193" s="521">
        <f t="shared" si="528"/>
        <v>0.5</v>
      </c>
      <c r="AT193" s="349">
        <f t="shared" ref="AT193:AT208" si="574">AX193-SUM(AU193:AW193)</f>
        <v>21</v>
      </c>
      <c r="AU193" s="159">
        <f t="shared" si="411"/>
        <v>5</v>
      </c>
      <c r="AV193" s="159">
        <f t="shared" si="412"/>
        <v>4</v>
      </c>
      <c r="AW193" s="159">
        <f t="shared" si="529"/>
        <v>1</v>
      </c>
      <c r="AX193" s="15">
        <f t="shared" ref="AX193:AX208" si="575">IF(E193="",0,F193-E193+1)</f>
        <v>31</v>
      </c>
      <c r="AY193" s="607">
        <f>IF(E193="",0,MIN((1-(1-VLOOKUP(B193,MAIN!$AA$7:$AM$28,C193+1))*(1-VLOOKUP(B193,MAIN!$AA$33:$AM$54,C193+1))),1))</f>
        <v>3.0000000000000027E-2</v>
      </c>
      <c r="AZ193" s="337">
        <v>48888</v>
      </c>
      <c r="BA193" s="509">
        <v>11640</v>
      </c>
      <c r="BB193" s="509">
        <v>11640</v>
      </c>
      <c r="BC193" s="511">
        <v>36084</v>
      </c>
      <c r="BD193" s="153">
        <v>0.96999999638646839</v>
      </c>
      <c r="BE193" s="474">
        <v>0.96999999638646839</v>
      </c>
      <c r="BF193" s="474">
        <v>0.96999999638646839</v>
      </c>
      <c r="BG193" s="515">
        <v>0.9699999927729368</v>
      </c>
      <c r="BH193" s="262">
        <v>195552</v>
      </c>
      <c r="BI193" s="509">
        <v>46560</v>
      </c>
      <c r="BJ193" s="509">
        <v>46560</v>
      </c>
      <c r="BK193" s="511">
        <v>144336</v>
      </c>
      <c r="BL193" s="153">
        <v>0.96999999638646839</v>
      </c>
      <c r="BM193" s="474">
        <v>0.96999999638646839</v>
      </c>
      <c r="BN193" s="474">
        <v>0.96999999638646839</v>
      </c>
      <c r="BO193" s="474">
        <v>0.9699999927729368</v>
      </c>
      <c r="BP193" s="261">
        <f t="shared" si="495"/>
        <v>72168</v>
      </c>
      <c r="BQ193" s="578">
        <f t="shared" si="496"/>
        <v>108252</v>
      </c>
      <c r="BR193" s="259">
        <f t="shared" si="497"/>
        <v>288672</v>
      </c>
      <c r="BS193" s="578">
        <f t="shared" si="498"/>
        <v>433008</v>
      </c>
      <c r="BT193" s="216">
        <f t="shared" si="499"/>
        <v>14.715947980835045</v>
      </c>
      <c r="BU193" s="218">
        <f t="shared" si="414"/>
        <v>57.808813347014045</v>
      </c>
      <c r="BV193" s="216">
        <f t="shared" si="415"/>
        <v>57.808813347014045</v>
      </c>
      <c r="BW193" s="216">
        <f t="shared" si="416"/>
        <v>32.642286795609941</v>
      </c>
      <c r="BX193" s="216">
        <f t="shared" si="500"/>
        <v>32.642286674007948</v>
      </c>
      <c r="BY193" s="216">
        <f t="shared" si="417"/>
        <v>53.74969616130371</v>
      </c>
      <c r="BZ193" s="216">
        <f t="shared" si="418"/>
        <v>46.713892998871792</v>
      </c>
      <c r="CA193" s="264">
        <f t="shared" si="419"/>
        <v>57.808813347014045</v>
      </c>
      <c r="CB193" s="216">
        <f t="shared" si="420"/>
        <v>57.808813347014045</v>
      </c>
      <c r="CC193" s="216">
        <f t="shared" si="421"/>
        <v>32.642286795609941</v>
      </c>
      <c r="CD193" s="216">
        <f t="shared" si="501"/>
        <v>32.642286674007948</v>
      </c>
      <c r="CE193" s="216">
        <f t="shared" si="422"/>
        <v>53.74969616130371</v>
      </c>
      <c r="CF193" s="571">
        <f t="shared" si="423"/>
        <v>46.713892998871792</v>
      </c>
      <c r="CG193" s="573">
        <f t="shared" si="424"/>
        <v>0.105</v>
      </c>
      <c r="CH193" s="219">
        <f t="shared" si="425"/>
        <v>0.105</v>
      </c>
      <c r="CI193" s="219">
        <f t="shared" si="426"/>
        <v>0.11</v>
      </c>
      <c r="CJ193" s="219">
        <f t="shared" si="427"/>
        <v>0.1054914778489595</v>
      </c>
      <c r="CK193" s="219">
        <f t="shared" si="428"/>
        <v>0.1054914778489595</v>
      </c>
      <c r="CL193" s="219">
        <f t="shared" si="429"/>
        <v>0.11</v>
      </c>
      <c r="CM193" s="219">
        <f t="shared" si="430"/>
        <v>9.6577515603904346E-2</v>
      </c>
      <c r="CN193" s="569">
        <f t="shared" si="431"/>
        <v>9.6577515603904346E-2</v>
      </c>
      <c r="CO193" s="264">
        <f t="shared" si="514"/>
        <v>26.538966737753313</v>
      </c>
      <c r="CP193" s="216">
        <f t="shared" si="502"/>
        <v>26.538966737753313</v>
      </c>
      <c r="CQ193" s="216">
        <f t="shared" ca="1" si="532"/>
        <v>26.538966737753313</v>
      </c>
      <c r="CR193" s="216">
        <f t="shared" ca="1" si="533"/>
        <v>26.538966737753313</v>
      </c>
      <c r="CS193" s="1626">
        <f t="shared" ca="1" si="534"/>
        <v>26.538966737753313</v>
      </c>
      <c r="CT193" s="216">
        <f t="shared" si="503"/>
        <v>26.538966737753313</v>
      </c>
      <c r="CU193" s="575">
        <f t="shared" si="432"/>
        <v>0.154</v>
      </c>
      <c r="CV193" s="154">
        <f t="shared" si="433"/>
        <v>0.5</v>
      </c>
      <c r="CW193" s="216">
        <f>IF(OR($BQ193,$BS193),SpreadOptPowerMargin,0)*((1+Assumptions!$C$26)^($B193-YEAR(Assumptions!$C$17)))</f>
        <v>2.2828352302125814</v>
      </c>
      <c r="CX193" s="216">
        <f>IF(OR($BQ193,$BS193),SpreadOptPowerMargin,0)*((1+Assumptions!$C$26)^($B193-YEAR(Assumptions!$C$17)))</f>
        <v>2.2828352302125814</v>
      </c>
      <c r="CY193" s="216">
        <f>IF(OR($BQ193,$BS193),SpreadOptPowerMargin,0)*((1+Assumptions!$C$26)^($B193-YEAR(Assumptions!$C$17)))</f>
        <v>2.2828352302125814</v>
      </c>
      <c r="CZ193" s="216">
        <f>IF(OR($BQ193,$BS193),SpreadOptPowerMargin,0)*((1+Assumptions!$C$26)^($B193-YEAR(Assumptions!$C$17)))</f>
        <v>2.2828352302125814</v>
      </c>
      <c r="DA193" s="440">
        <f t="shared" si="434"/>
        <v>2.2828352302125814</v>
      </c>
      <c r="DB193" s="479">
        <f t="shared" si="435"/>
        <v>0.105</v>
      </c>
      <c r="DC193" s="479">
        <f t="shared" si="436"/>
        <v>0.105</v>
      </c>
      <c r="DD193" s="479">
        <f t="shared" si="437"/>
        <v>0.11</v>
      </c>
      <c r="DE193" s="479">
        <f t="shared" si="438"/>
        <v>0.11</v>
      </c>
      <c r="DF193" s="479">
        <f t="shared" si="439"/>
        <v>9.6577515603904346E-2</v>
      </c>
      <c r="DG193" s="574">
        <f t="shared" si="440"/>
        <v>9.6577515603904346E-2</v>
      </c>
      <c r="DH193" s="216">
        <f t="shared" si="441"/>
        <v>29.708367503858195</v>
      </c>
      <c r="DI193" s="216">
        <f t="shared" si="442"/>
        <v>29.708367503858195</v>
      </c>
      <c r="DJ193" s="216">
        <f t="shared" ca="1" si="535"/>
        <v>8.104602496574433</v>
      </c>
      <c r="DK193" s="216">
        <f t="shared" ca="1" si="536"/>
        <v>8.1046024120543763</v>
      </c>
      <c r="DL193" s="216">
        <f t="shared" ca="1" si="537"/>
        <v>19.376647415753659</v>
      </c>
      <c r="DM193" s="216"/>
      <c r="DN193" s="216"/>
      <c r="DO193" s="216"/>
      <c r="DP193" s="216"/>
      <c r="DQ193" s="216"/>
      <c r="DR193" s="216"/>
      <c r="DS193" s="216"/>
      <c r="DT193" s="216"/>
      <c r="DU193" s="216"/>
      <c r="DV193" s="216"/>
      <c r="DW193" s="1371">
        <f t="shared" si="443"/>
        <v>8.104602496574433</v>
      </c>
      <c r="DX193" s="216">
        <f t="shared" si="444"/>
        <v>8.1046024120543763</v>
      </c>
      <c r="DY193" s="440">
        <f t="shared" si="445"/>
        <v>20.184126988602756</v>
      </c>
      <c r="DZ193" s="180">
        <f t="shared" si="446"/>
        <v>1452382.6705286196</v>
      </c>
      <c r="EA193" s="180">
        <f t="shared" si="447"/>
        <v>345805.39774490939</v>
      </c>
      <c r="EB193" s="180">
        <f t="shared" ca="1" si="538"/>
        <v>94337.573060126393</v>
      </c>
      <c r="EC193" s="180">
        <f t="shared" ca="1" si="539"/>
        <v>292446.47343657009</v>
      </c>
      <c r="ED193" s="180">
        <f t="shared" ca="1" si="540"/>
        <v>2097560.8360501654</v>
      </c>
      <c r="EE193" s="581">
        <f t="shared" si="448"/>
        <v>1417117.012298906</v>
      </c>
      <c r="EF193" s="554">
        <f t="shared" si="449"/>
        <v>337408.81245212047</v>
      </c>
      <c r="EG193" s="554">
        <f t="shared" ca="1" si="541"/>
        <v>44470.443393776717</v>
      </c>
      <c r="EH193" s="554">
        <f t="shared" ca="1" si="542"/>
        <v>137858.37013282152</v>
      </c>
      <c r="EI193" s="561">
        <f t="shared" ca="1" si="450"/>
        <v>1936854.6382776254</v>
      </c>
      <c r="EJ193" s="581">
        <f t="shared" si="504"/>
        <v>35265.658229713561</v>
      </c>
      <c r="EK193" s="554">
        <f t="shared" si="505"/>
        <v>8396.5852927889209</v>
      </c>
      <c r="EL193" s="554">
        <f t="shared" ca="1" si="543"/>
        <v>49867.129666349676</v>
      </c>
      <c r="EM193" s="554">
        <f t="shared" ca="1" si="544"/>
        <v>154588.10330374856</v>
      </c>
      <c r="EN193" s="561">
        <f t="shared" ca="1" si="545"/>
        <v>160706.19777253992</v>
      </c>
      <c r="EO193" s="180">
        <f t="shared" si="451"/>
        <v>5809530.6821144782</v>
      </c>
      <c r="EP193" s="180">
        <f t="shared" si="452"/>
        <v>1383221.5909796376</v>
      </c>
      <c r="EQ193" s="180">
        <f t="shared" si="453"/>
        <v>377350.29224050557</v>
      </c>
      <c r="ER193" s="180">
        <f t="shared" si="454"/>
        <v>1169785.8937462803</v>
      </c>
      <c r="ES193" s="180">
        <f t="shared" si="455"/>
        <v>8739888.4590809029</v>
      </c>
      <c r="ET193" s="1482">
        <f t="shared" ca="1" si="546"/>
        <v>5668468.049195624</v>
      </c>
      <c r="EU193" s="180">
        <f t="shared" ca="1" si="547"/>
        <v>1349635.2498084819</v>
      </c>
      <c r="EV193" s="180">
        <f t="shared" ca="1" si="548"/>
        <v>177881.77357510687</v>
      </c>
      <c r="EW193" s="180">
        <f t="shared" ca="1" si="549"/>
        <v>551433.4805312861</v>
      </c>
      <c r="EX193" s="555">
        <f t="shared" ca="1" si="522"/>
        <v>7747418.5531104989</v>
      </c>
      <c r="EY193" s="180">
        <f t="shared" ca="1" si="550"/>
        <v>141062.63291885424</v>
      </c>
      <c r="EZ193" s="180">
        <f t="shared" ca="1" si="551"/>
        <v>33586.341171155684</v>
      </c>
      <c r="FA193" s="180">
        <f t="shared" ca="1" si="552"/>
        <v>199468.5186653987</v>
      </c>
      <c r="FB193" s="180">
        <f t="shared" ca="1" si="553"/>
        <v>618352.41321499425</v>
      </c>
      <c r="FC193" s="180">
        <f t="shared" ca="1" si="554"/>
        <v>992469.90597040392</v>
      </c>
      <c r="FD193" s="262">
        <f>IF(AX193,IF(VLOOKUP(C193,MAIN!$L$17:$M$28,2)="Yes",VLOOKUP(CALC!B193,MAIN!$H$17:$I$20,2),0),0)</f>
        <v>0</v>
      </c>
      <c r="FE193" s="623">
        <f t="shared" si="456"/>
        <v>0</v>
      </c>
      <c r="FF193" s="535">
        <f t="shared" si="457"/>
        <v>0</v>
      </c>
      <c r="FG193" s="535">
        <f t="shared" si="458"/>
        <v>0</v>
      </c>
      <c r="FH193" s="624">
        <f t="shared" si="459"/>
        <v>0</v>
      </c>
      <c r="FI193" s="632">
        <f>IF(AX193,VLOOKUP(CALC!B193,MAIN!$H$17:$K$20,4),0)</f>
        <v>0</v>
      </c>
      <c r="FJ193" s="535">
        <f t="shared" si="460"/>
        <v>0</v>
      </c>
      <c r="FK193" s="648">
        <f t="shared" si="506"/>
        <v>0</v>
      </c>
      <c r="FL193" s="530">
        <f t="shared" ca="1" si="555"/>
        <v>0</v>
      </c>
      <c r="FM193" s="530">
        <f t="shared" ca="1" si="556"/>
        <v>0</v>
      </c>
      <c r="FN193" s="530">
        <f t="shared" ca="1" si="557"/>
        <v>0</v>
      </c>
      <c r="FO193" s="622">
        <f t="shared" ca="1" si="558"/>
        <v>0</v>
      </c>
      <c r="FP193" s="530">
        <f t="shared" ca="1" si="559"/>
        <v>0</v>
      </c>
      <c r="FQ193" s="530">
        <f t="shared" ca="1" si="560"/>
        <v>0</v>
      </c>
      <c r="FR193" s="530">
        <f t="shared" ca="1" si="561"/>
        <v>0</v>
      </c>
      <c r="FS193" s="625">
        <f t="shared" ca="1" si="562"/>
        <v>0</v>
      </c>
      <c r="FT193" s="640">
        <f ca="1">IF(AND(Assumptions!$H$71="Yes",A193&gt;=Assumptions!$H$72,A193&lt;=Assumptions!$H$73),0,IF(AND($A193&gt;=Assumptions!$C$17,$A193&lt;=Assumptions!$C$18),MAX(AZ193*(1+VLOOKUP($C193,WeatherCapacityAdjustment,2))-FL193,0),0))</f>
        <v>48888</v>
      </c>
      <c r="FU193" s="530">
        <f ca="1">IF(AND(Assumptions!$H$71="Yes",A193&gt;=Assumptions!$H$72,A193&lt;=Assumptions!$H$73),0,IF(AND($A193&gt;=Assumptions!$C$17,$A193&lt;=Assumptions!$C$18),MAX(BA193*(1+VLOOKUP($C193,WeatherCapacityAdjustment,2))-FM193,0),0))</f>
        <v>11640</v>
      </c>
      <c r="FV193" s="530">
        <f ca="1">IF(AND(Assumptions!$H$71="Yes",A193&gt;=Assumptions!$H$72,A193&lt;=Assumptions!$H$73),0,IF(AND($A193&gt;=Assumptions!$C$17,$A193&lt;=Assumptions!$C$18),MAX(BB193*(1+VLOOKUP($C193,WeatherCapacityAdjustment,2))-FN193,0),0))</f>
        <v>11640</v>
      </c>
      <c r="FW193" s="622">
        <f ca="1">IF(AND(Assumptions!$H$71="Yes",A193&gt;=Assumptions!$H$72,A193&lt;=Assumptions!$H$73),0,IF(AND($A193&gt;=Assumptions!$C$17,$A193&lt;=Assumptions!$C$18),MAX(BC193*(1+VLOOKUP($C193,WeatherCapacityAdjustment,3))-FO193,0),0))</f>
        <v>36084</v>
      </c>
      <c r="FX193" s="621">
        <f ca="1">IF(AND(Assumptions!$H$71="Yes",A193&gt;=Assumptions!$H$72,A193&lt;=Assumptions!$H$73),0,IF(ET193&gt;0,MAX(BH193*(1+VLOOKUP($C193,WeatherCapacityAdjustment,2))-FP193,0),0))</f>
        <v>195552</v>
      </c>
      <c r="FY193" s="530">
        <f ca="1">IF(AND(Assumptions!$H$71="Yes",A193&gt;=Assumptions!$H$72,A193&lt;=Assumptions!$H$73),0,IF(EU193&gt;0,MAX(BI193*(1+VLOOKUP($C193,WeatherCapacityAdjustment,3))-FQ193,0),0))</f>
        <v>46560</v>
      </c>
      <c r="FZ193" s="530">
        <f ca="1">IF(AND(Assumptions!$H$71="Yes",A193&gt;=Assumptions!$H$72,A193&lt;=Assumptions!$H$73),0,IF(EV193&gt;0,MAX(BJ193*(1+VLOOKUP($C193,WeatherCapacityAdjustment,2))-FR193,0),0))</f>
        <v>46560</v>
      </c>
      <c r="GA193" s="622">
        <f ca="1">IF(AND(Assumptions!$H$71="Yes",A193&gt;=Assumptions!$H$72,A193&lt;=Assumptions!$H$73),0,IF(EW193&gt;0,MAX(BK193*(1+VLOOKUP($C193,WeatherCapacityAdjustment,2))-FS193,0),0))</f>
        <v>144336</v>
      </c>
      <c r="GB193" s="530">
        <f t="shared" ca="1" si="461"/>
        <v>541260</v>
      </c>
      <c r="GC193" s="545">
        <f t="shared" ca="1" si="462"/>
        <v>46.713892998871792</v>
      </c>
      <c r="GD193" s="530">
        <f t="shared" ca="1" si="563"/>
        <v>25284361.724569347</v>
      </c>
      <c r="GE193" s="1485">
        <f t="shared" ca="1" si="564"/>
        <v>779405.73983999994</v>
      </c>
      <c r="GF193" s="1776">
        <f t="shared" ca="1" si="565"/>
        <v>3117622.9593599997</v>
      </c>
      <c r="GG193" s="545">
        <f t="shared" si="530"/>
        <v>3.6860085581163839</v>
      </c>
      <c r="GH193" s="622">
        <f t="shared" ca="1" si="531"/>
        <v>14364481.136476358</v>
      </c>
      <c r="GI193" s="621">
        <f t="shared" ca="1" si="507"/>
        <v>541260</v>
      </c>
      <c r="GJ193" s="638">
        <f t="shared" si="463"/>
        <v>2.2828352302125814</v>
      </c>
      <c r="GK193" s="625">
        <f t="shared" ca="1" si="513"/>
        <v>1235607.3967048619</v>
      </c>
      <c r="GL193" s="640">
        <f t="shared" ca="1" si="566"/>
        <v>0</v>
      </c>
      <c r="GM193" s="530">
        <f t="shared" ca="1" si="567"/>
        <v>0</v>
      </c>
      <c r="GN193" s="530">
        <f t="shared" ca="1" si="568"/>
        <v>0</v>
      </c>
      <c r="GO193" s="622">
        <f t="shared" ca="1" si="569"/>
        <v>0</v>
      </c>
      <c r="GP193" s="530">
        <f t="shared" ca="1" si="464"/>
        <v>0</v>
      </c>
      <c r="GQ193" s="545">
        <f t="shared" ca="1" si="465"/>
        <v>0</v>
      </c>
      <c r="GR193" s="625">
        <f t="shared" ca="1" si="570"/>
        <v>0</v>
      </c>
      <c r="GS193" s="640">
        <f>IF($A193&gt;=BegDate,Assumptions!$C$56*24*($A194-$A193)*(1-VLOOKUP($B193,MAIN!$AA$7:$AM$28,$C193+1))*(1-VLOOKUP($B193,MAIN!$AA$33:$AM$54,$C193+1)),0)*80/168</f>
        <v>257742.85714285713</v>
      </c>
      <c r="GT193" s="1715">
        <f t="shared" si="508"/>
        <v>57.808813562368663</v>
      </c>
      <c r="GU193" s="1715">
        <f>IF($A193&gt;=BegDate,VLOOKUP($A193,GasTable,13)+Assumptions!$C$58,0)</f>
        <v>3.6860085581163839</v>
      </c>
      <c r="GV193" s="1715">
        <f>GU193*Assumptions!$C$57/1000</f>
        <v>26.723562046343783</v>
      </c>
      <c r="GW193" s="625">
        <f>IF(Assumptions!$C$60="Hourly",MAX(0,GS193*(GT193-GV193)),GS193*(GT193-GV193))</f>
        <v>8012001.5407445831</v>
      </c>
      <c r="GX193" s="640">
        <f>IF($A193&gt;=BegDate,Assumptions!$C$56*24*($A194-$A193)*(1-VLOOKUP($B193,MAIN!$AA$7:$AM$28,$C193+1))*(1-VLOOKUP($B193,MAIN!$AA$33:$AM$54,$C193+1)),0)*16/168</f>
        <v>51548.571428571428</v>
      </c>
      <c r="GY193" s="1715">
        <f t="shared" si="509"/>
        <v>57.808813562368663</v>
      </c>
      <c r="GZ193" s="1715">
        <f>IF($A193&gt;=BegDate,VLOOKUP($A193,GasTable,13)+Assumptions!$C$58,0)</f>
        <v>3.6860085581163839</v>
      </c>
      <c r="HA193" s="1715">
        <f>GZ193*Assumptions!$C$57/1000</f>
        <v>26.723562046343783</v>
      </c>
      <c r="HB193" s="625">
        <f>IF(Assumptions!$C$60="Hourly",MAX(0,GX193*(GY193-HA193)),GX193*(GY193-HA193))</f>
        <v>1602400.3081489168</v>
      </c>
      <c r="HC193" s="640">
        <f>IF($A193&gt;=BegDate,Assumptions!$C$56*24*($A194-$A193)*(1-VLOOKUP($B193,MAIN!$AA$7:$AM$28,$C193+1))*(1-VLOOKUP($B193,MAIN!$AA$33:$AM$54,$C193+1)),0)*16/168</f>
        <v>51548.571428571428</v>
      </c>
      <c r="HD193" s="1715">
        <f t="shared" si="510"/>
        <v>32.642286917211933</v>
      </c>
      <c r="HE193" s="1715">
        <f>IF($A193&gt;=BegDate,VLOOKUP($A193,GasTable,13)+Assumptions!$C$58,0)</f>
        <v>3.6860085581163839</v>
      </c>
      <c r="HF193" s="1715">
        <f>HE193*Assumptions!$C$57/1000</f>
        <v>26.723562046343783</v>
      </c>
      <c r="HG193" s="625">
        <f>IF(Assumptions!$C$60="Hourly",MAX(0,HC193*(HD193-HF193)),HC193*(HD193-HF193))</f>
        <v>305101.81177200901</v>
      </c>
      <c r="HH193" s="640">
        <f>IF($A193&gt;=BegDate,Assumptions!$C$56*24*($A194-$A193)*(1-VLOOKUP($B193,MAIN!$AA$7:$AM$28,$C193+1))*(1-VLOOKUP($B193,MAIN!$AA$33:$AM$54,$C193+1)),0)*56/168</f>
        <v>180420</v>
      </c>
      <c r="HI193" s="1715">
        <f t="shared" si="511"/>
        <v>32.642286917211933</v>
      </c>
      <c r="HJ193" s="1715">
        <f>IF($A193&gt;=BegDate,VLOOKUP($A193,GasTable,13)+Assumptions!$C$58,0)</f>
        <v>3.6860085581163839</v>
      </c>
      <c r="HK193" s="1715">
        <f>HJ193*Assumptions!$C$57/1000</f>
        <v>26.723562046343783</v>
      </c>
      <c r="HL193" s="625">
        <f>IF(Assumptions!$C$60="Hourly",MAX(0,HH193*(HI193-HK193)),HH193*(HI193-HK193))</f>
        <v>1067856.3412020316</v>
      </c>
      <c r="HM193" s="640">
        <f>IF(AND(Assumptions!$H$71="Yes",A193&gt;=Assumptions!$H$72,A193&lt;=Assumptions!$H$73),Assumptions!$H$74*Assumptions!$C$9*1000,0)</f>
        <v>0</v>
      </c>
      <c r="HN193" s="530"/>
      <c r="HO193" s="545"/>
      <c r="HP193" s="545"/>
      <c r="HQ193" s="545"/>
      <c r="HR193" s="545"/>
      <c r="HS193" s="545"/>
      <c r="HT193" s="545"/>
      <c r="HU193" s="545"/>
      <c r="HV193" s="545"/>
      <c r="HW193" s="545"/>
      <c r="HX193" s="545"/>
      <c r="HY193" s="545"/>
      <c r="HZ193" s="545"/>
      <c r="IA193" s="545"/>
      <c r="IB193" s="545"/>
      <c r="IC193" s="545"/>
      <c r="ID193" s="545"/>
      <c r="IE193" s="545"/>
      <c r="IF193" s="545"/>
      <c r="IG193" s="545"/>
      <c r="IH193" s="545"/>
      <c r="II193" s="1464"/>
      <c r="IJ193" s="1463"/>
      <c r="IK193" s="1463"/>
    </row>
    <row r="194" spans="1:245">
      <c r="A194" s="177">
        <f t="shared" si="466"/>
        <v>42036</v>
      </c>
      <c r="B194" s="349">
        <f t="shared" si="467"/>
        <v>2015</v>
      </c>
      <c r="C194" s="15">
        <f t="shared" si="571"/>
        <v>2</v>
      </c>
      <c r="D194" s="612" t="str">
        <f t="shared" si="468"/>
        <v/>
      </c>
      <c r="E194" s="609">
        <f t="shared" si="572"/>
        <v>42036</v>
      </c>
      <c r="F194" s="614">
        <f t="shared" si="573"/>
        <v>42063</v>
      </c>
      <c r="G194" s="1349">
        <v>0</v>
      </c>
      <c r="H194" s="152">
        <f t="shared" si="512"/>
        <v>1</v>
      </c>
      <c r="I194" s="154">
        <f>IF(Assumptions!$L$25=4,VLOOKUP($A194,'Henwood Reference'!$E$9:$R$320,10),(VLOOKUP($A194,PriceTable,2,0)+IF(BasisNumber&lt;&gt;1,VLOOKUP($A194,BasisTable,2,0),0)+I$1)/(1-I$2))</f>
        <v>54.064473258317093</v>
      </c>
      <c r="J194" s="154">
        <f>IF(Assumptions!$L$25=4,VLOOKUP($A194,'Henwood Reference'!$E$9:$R$320,10),(VLOOKUP($A194,PriceTable,3,0)+IF(BasisNumber&lt;&gt;1,VLOOKUP($A194,BasisTable,2,0),0)+J$1)/(1-J$2))</f>
        <v>54.064473258317093</v>
      </c>
      <c r="K194" s="154">
        <f>IF(Assumptions!$L$25=4,VLOOKUP($A194,'Henwood Reference'!$E$9:$R$320,10),(VLOOKUP($A194,PriceTable,4,0)+IF(BasisNumber&lt;&gt;1,VLOOKUP($A194,BasisTable,2,0),0)+K$1)/(1-K$2))</f>
        <v>54.064473258317093</v>
      </c>
      <c r="L194" s="474">
        <f>IF(Assumptions!$L$25=4,VLOOKUP($A194,'Henwood Reference'!$E$9:$R$320,10),(VLOOKUP($A194,PriceTableWeekend,2,0)+IF(BasisNumber&lt;&gt;1,VLOOKUP($A194,BasisTable,2,0),0)+L$1)/(1-L$2))</f>
        <v>54.064473258317093</v>
      </c>
      <c r="M194" s="154">
        <f>IF(Assumptions!$L$25=4,VLOOKUP($A194,'Henwood Reference'!$E$9:$R$320,10),(VLOOKUP($A194,PriceTableWeekend,3,0)+IF(BasisNumber&lt;&gt;1,VLOOKUP($A194,BasisTable,2,0),0)+M$1)/(1-M$2))</f>
        <v>54.064473258317093</v>
      </c>
      <c r="N194" s="156">
        <f>IF(Assumptions!$L$25=4,VLOOKUP($A194,'Henwood Reference'!$E$9:$R$320,10),(VLOOKUP($A194,PriceTableWeekend,4,0)+IF(BasisNumber&lt;&gt;1,VLOOKUP($A194,BasisTable,2,0),0)+N$1)/(1-N$2))</f>
        <v>54.064473258317093</v>
      </c>
      <c r="O194" s="154">
        <f>IF(Assumptions!$L$25=4,VLOOKUP($A194,'Henwood Reference'!$E$9:$R$320,11),(VLOOKUP($A194,PriceTableWeekend,6,0)+IF(BasisNumber&lt;&gt;1,VLOOKUP($A194,BasisTable,3,0),0)+O$1)/(1-O$2))</f>
        <v>28.381133171243906</v>
      </c>
      <c r="P194" s="154">
        <f>IF(Assumptions!$L$25=4,VLOOKUP($A194,'Henwood Reference'!$E$9:$R$320,11),(VLOOKUP($A194,PriceTableWeekend,7,0)+IF(BasisNumber&lt;&gt;1,VLOOKUP($A194,BasisTable,3,0),0)+P$1)/(1-P$2))</f>
        <v>28.381133171243906</v>
      </c>
      <c r="Q194" s="156">
        <f>IF(Assumptions!$L$25=4,VLOOKUP($A194,'Henwood Reference'!$E$9:$R$320,11),(VLOOKUP($A194,PriceTableWeekend,8,0)+IF(BasisNumber&lt;&gt;1,VLOOKUP($A194,BasisTable,3,0),0)+Q$1)/(1-Q$2))</f>
        <v>28.381133171243906</v>
      </c>
      <c r="R194" s="154">
        <f>IF(Assumptions!$L$25=4,VLOOKUP($A194,'Henwood Reference'!$E$9:$R$320,11),(VLOOKUP($A194,PriceTable,6,0)+IF(BasisNumber&lt;&gt;1,VLOOKUP($A194,BasisTable,3,0),0)+R$1)/(1-R$2))</f>
        <v>28.381133171243906</v>
      </c>
      <c r="S194" s="154">
        <f>IF(Assumptions!$L$25=4,VLOOKUP($A194,'Henwood Reference'!$E$9:$R$320,11),(VLOOKUP($A194,PriceTable,7,0)+IF(BasisNumber&lt;&gt;1,VLOOKUP($A194,BasisTable,3,0),0)+S$1)/(1-S$2))</f>
        <v>28.381133171243906</v>
      </c>
      <c r="T194" s="155">
        <f>IF(Assumptions!$L$25=4,VLOOKUP($A194,'Henwood Reference'!$E$9:$R$320,11),(VLOOKUP($A194,PriceTable,8,0)+IF(BasisNumber&lt;&gt;1,VLOOKUP($A194,BasisTable,3,0),0)+T$1)/(1-T$2))</f>
        <v>28.381133171243906</v>
      </c>
      <c r="U194" s="173">
        <f t="shared" si="469"/>
        <v>9.4999999999999932E-2</v>
      </c>
      <c r="V194" s="173">
        <f t="shared" si="470"/>
        <v>0.105</v>
      </c>
      <c r="W194" s="174">
        <f t="shared" si="471"/>
        <v>0.115</v>
      </c>
      <c r="X194" s="173">
        <f t="shared" si="472"/>
        <v>9.4999999999999932E-2</v>
      </c>
      <c r="Y194" s="173">
        <f t="shared" si="473"/>
        <v>0.105</v>
      </c>
      <c r="Z194" s="174">
        <f t="shared" si="474"/>
        <v>0.115</v>
      </c>
      <c r="AA194" s="173">
        <f t="shared" si="475"/>
        <v>0.09</v>
      </c>
      <c r="AB194" s="173">
        <f t="shared" si="476"/>
        <v>0.11</v>
      </c>
      <c r="AC194" s="174">
        <f t="shared" si="477"/>
        <v>0.13</v>
      </c>
      <c r="AD194" s="173">
        <f t="shared" si="478"/>
        <v>0.09</v>
      </c>
      <c r="AE194" s="173">
        <f t="shared" si="479"/>
        <v>0.11</v>
      </c>
      <c r="AF194" s="174">
        <f t="shared" si="480"/>
        <v>0.13</v>
      </c>
      <c r="AG194" s="173">
        <f t="shared" si="481"/>
        <v>-0.25</v>
      </c>
      <c r="AH194" s="173">
        <f t="shared" si="482"/>
        <v>0.65</v>
      </c>
      <c r="AI194" s="174">
        <f t="shared" si="483"/>
        <v>0.25</v>
      </c>
      <c r="AJ194" s="173">
        <f t="shared" si="484"/>
        <v>-0.25</v>
      </c>
      <c r="AK194" s="173">
        <f t="shared" si="485"/>
        <v>0.65</v>
      </c>
      <c r="AL194" s="174">
        <f t="shared" si="486"/>
        <v>0.25</v>
      </c>
      <c r="AM194" s="173">
        <f t="shared" si="487"/>
        <v>-0.01</v>
      </c>
      <c r="AN194" s="173">
        <f t="shared" si="488"/>
        <v>0.16</v>
      </c>
      <c r="AO194" s="174">
        <f t="shared" si="489"/>
        <v>0.01</v>
      </c>
      <c r="AP194" s="173">
        <f t="shared" si="490"/>
        <v>-0.01</v>
      </c>
      <c r="AQ194" s="173">
        <f t="shared" si="491"/>
        <v>0.16</v>
      </c>
      <c r="AR194" s="175">
        <f t="shared" si="492"/>
        <v>0.01</v>
      </c>
      <c r="AS194" s="521">
        <f t="shared" ref="AS194:AS209" si="576">IF(CorrPeakOffPeakOverFlag,INDEX(CorrPeakOffPeakOver,C194),CorrPeakOffPeak)</f>
        <v>0.5</v>
      </c>
      <c r="AT194" s="349">
        <f t="shared" si="574"/>
        <v>20</v>
      </c>
      <c r="AU194" s="159">
        <f t="shared" si="411"/>
        <v>4</v>
      </c>
      <c r="AV194" s="159">
        <f t="shared" si="412"/>
        <v>4</v>
      </c>
      <c r="AW194" s="159">
        <f t="shared" ref="AW194:AW209" si="577">IF(OR(E194="",D194="",D194&lt;BegDate,D194&gt;EndDate),0,1)</f>
        <v>0</v>
      </c>
      <c r="AX194" s="15">
        <f t="shared" si="575"/>
        <v>28</v>
      </c>
      <c r="AY194" s="607">
        <f>IF(E194="",0,MIN((1-(1-VLOOKUP(B194,MAIN!$AA$7:$AM$28,C194+1))*(1-VLOOKUP(B194,MAIN!$AA$33:$AM$54,C194+1))),1))</f>
        <v>3.0000000000000027E-2</v>
      </c>
      <c r="AZ194" s="337">
        <v>46560</v>
      </c>
      <c r="BA194" s="509">
        <v>9312</v>
      </c>
      <c r="BB194" s="509">
        <v>9312</v>
      </c>
      <c r="BC194" s="511">
        <v>32592</v>
      </c>
      <c r="BD194" s="153">
        <v>0.97</v>
      </c>
      <c r="BE194" s="474">
        <v>0.97</v>
      </c>
      <c r="BF194" s="474">
        <v>0.97</v>
      </c>
      <c r="BG194" s="515">
        <v>0.9699999927729368</v>
      </c>
      <c r="BH194" s="262">
        <v>186240</v>
      </c>
      <c r="BI194" s="509">
        <v>37248</v>
      </c>
      <c r="BJ194" s="509">
        <v>37248</v>
      </c>
      <c r="BK194" s="511">
        <v>130368</v>
      </c>
      <c r="BL194" s="153">
        <v>0.97</v>
      </c>
      <c r="BM194" s="474">
        <v>0.97</v>
      </c>
      <c r="BN194" s="474">
        <v>0.97</v>
      </c>
      <c r="BO194" s="474">
        <v>0.9699999927729368</v>
      </c>
      <c r="BP194" s="261">
        <f t="shared" si="495"/>
        <v>65184</v>
      </c>
      <c r="BQ194" s="578">
        <f t="shared" si="496"/>
        <v>97776</v>
      </c>
      <c r="BR194" s="259">
        <f t="shared" si="497"/>
        <v>260736</v>
      </c>
      <c r="BS194" s="578">
        <f t="shared" si="498"/>
        <v>391104</v>
      </c>
      <c r="BT194" s="216">
        <f t="shared" si="499"/>
        <v>14.80082135523614</v>
      </c>
      <c r="BU194" s="218">
        <f t="shared" si="414"/>
        <v>54.064473258317093</v>
      </c>
      <c r="BV194" s="216">
        <f t="shared" si="415"/>
        <v>54.064473258317093</v>
      </c>
      <c r="BW194" s="216">
        <f t="shared" si="416"/>
        <v>28.381133171243906</v>
      </c>
      <c r="BX194" s="216">
        <f t="shared" si="500"/>
        <v>28.381132959787987</v>
      </c>
      <c r="BY194" s="216">
        <f t="shared" si="417"/>
        <v>50.395424674449494</v>
      </c>
      <c r="BZ194" s="216">
        <f t="shared" si="418"/>
        <v>43.057327436228995</v>
      </c>
      <c r="CA194" s="264">
        <f t="shared" si="419"/>
        <v>54.064473258317093</v>
      </c>
      <c r="CB194" s="216">
        <f t="shared" si="420"/>
        <v>54.064473258317093</v>
      </c>
      <c r="CC194" s="216">
        <f t="shared" si="421"/>
        <v>28.381133171243906</v>
      </c>
      <c r="CD194" s="216">
        <f t="shared" si="501"/>
        <v>28.381132959787987</v>
      </c>
      <c r="CE194" s="216">
        <f t="shared" si="422"/>
        <v>50.395424674449494</v>
      </c>
      <c r="CF194" s="571">
        <f t="shared" si="423"/>
        <v>43.057327436228995</v>
      </c>
      <c r="CG194" s="573">
        <f t="shared" si="424"/>
        <v>0.105</v>
      </c>
      <c r="CH194" s="219">
        <f t="shared" si="425"/>
        <v>0.105</v>
      </c>
      <c r="CI194" s="219">
        <f t="shared" si="426"/>
        <v>0.11</v>
      </c>
      <c r="CJ194" s="219">
        <f t="shared" si="427"/>
        <v>0.10540370941278945</v>
      </c>
      <c r="CK194" s="219">
        <f t="shared" si="428"/>
        <v>0.10540370941278945</v>
      </c>
      <c r="CL194" s="219">
        <f t="shared" si="429"/>
        <v>0.11</v>
      </c>
      <c r="CM194" s="219">
        <f t="shared" si="430"/>
        <v>9.687300747514066E-2</v>
      </c>
      <c r="CN194" s="569">
        <f t="shared" si="431"/>
        <v>9.687300747514066E-2</v>
      </c>
      <c r="CO194" s="264">
        <f t="shared" si="514"/>
        <v>24.480676497314292</v>
      </c>
      <c r="CP194" s="216">
        <f t="shared" si="502"/>
        <v>24.480676497314292</v>
      </c>
      <c r="CQ194" s="216">
        <f t="shared" ca="1" si="532"/>
        <v>24.480676497314292</v>
      </c>
      <c r="CR194" s="216">
        <f t="shared" ca="1" si="533"/>
        <v>24.480676497314292</v>
      </c>
      <c r="CS194" s="1626">
        <f t="shared" ca="1" si="534"/>
        <v>24.480676497314292</v>
      </c>
      <c r="CT194" s="216">
        <f t="shared" si="503"/>
        <v>24.480676497314292</v>
      </c>
      <c r="CU194" s="575">
        <f t="shared" si="432"/>
        <v>0.153</v>
      </c>
      <c r="CV194" s="154">
        <f t="shared" si="433"/>
        <v>0.5</v>
      </c>
      <c r="CW194" s="216">
        <f>IF(OR($BQ194,$BS194),SpreadOptPowerMargin,0)*((1+Assumptions!$C$26)^($B194-YEAR(Assumptions!$C$17)))</f>
        <v>2.2828352302125814</v>
      </c>
      <c r="CX194" s="216">
        <f>IF(OR($BQ194,$BS194),SpreadOptPowerMargin,0)*((1+Assumptions!$C$26)^($B194-YEAR(Assumptions!$C$17)))</f>
        <v>2.2828352302125814</v>
      </c>
      <c r="CY194" s="216">
        <f>IF(OR($BQ194,$BS194),SpreadOptPowerMargin,0)*((1+Assumptions!$C$26)^($B194-YEAR(Assumptions!$C$17)))</f>
        <v>2.2828352302125814</v>
      </c>
      <c r="CZ194" s="216">
        <f>IF(OR($BQ194,$BS194),SpreadOptPowerMargin,0)*((1+Assumptions!$C$26)^($B194-YEAR(Assumptions!$C$17)))</f>
        <v>2.2828352302125814</v>
      </c>
      <c r="DA194" s="440">
        <f t="shared" si="434"/>
        <v>2.2828352302125818</v>
      </c>
      <c r="DB194" s="479">
        <f t="shared" si="435"/>
        <v>0.105</v>
      </c>
      <c r="DC194" s="479">
        <f t="shared" si="436"/>
        <v>0.105</v>
      </c>
      <c r="DD194" s="479">
        <f t="shared" si="437"/>
        <v>0.11</v>
      </c>
      <c r="DE194" s="479">
        <f t="shared" si="438"/>
        <v>0.11</v>
      </c>
      <c r="DF194" s="479">
        <f t="shared" si="439"/>
        <v>9.687300747514066E-2</v>
      </c>
      <c r="DG194" s="574">
        <f t="shared" si="440"/>
        <v>9.687300747514066E-2</v>
      </c>
      <c r="DH194" s="216">
        <f t="shared" si="441"/>
        <v>27.935446666717741</v>
      </c>
      <c r="DI194" s="216">
        <f t="shared" si="442"/>
        <v>27.935446666717741</v>
      </c>
      <c r="DJ194" s="216">
        <f t="shared" ca="1" si="535"/>
        <v>6.1943246446766178</v>
      </c>
      <c r="DK194" s="216">
        <f t="shared" ca="1" si="536"/>
        <v>6.1943245078769724</v>
      </c>
      <c r="DL194" s="216">
        <f t="shared" ca="1" si="537"/>
        <v>17.679388188313528</v>
      </c>
      <c r="DM194" s="216"/>
      <c r="DN194" s="216"/>
      <c r="DO194" s="216"/>
      <c r="DP194" s="216"/>
      <c r="DQ194" s="216"/>
      <c r="DR194" s="216"/>
      <c r="DS194" s="216"/>
      <c r="DT194" s="216"/>
      <c r="DU194" s="216"/>
      <c r="DV194" s="216"/>
      <c r="DW194" s="1371">
        <f t="shared" si="443"/>
        <v>6.1943246446766178</v>
      </c>
      <c r="DX194" s="216">
        <f t="shared" si="444"/>
        <v>6.1943245078769724</v>
      </c>
      <c r="DY194" s="440">
        <f t="shared" si="445"/>
        <v>18.617822897385949</v>
      </c>
      <c r="DZ194" s="180">
        <f t="shared" si="446"/>
        <v>1300674.3968023781</v>
      </c>
      <c r="EA194" s="180">
        <f t="shared" si="447"/>
        <v>260134.87936047561</v>
      </c>
      <c r="EB194" s="180">
        <f t="shared" ca="1" si="538"/>
        <v>57681.551091228663</v>
      </c>
      <c r="EC194" s="180">
        <f t="shared" ca="1" si="539"/>
        <v>201885.42436072629</v>
      </c>
      <c r="ED194" s="180">
        <f t="shared" ca="1" si="540"/>
        <v>1728619.8595005434</v>
      </c>
      <c r="EE194" s="581">
        <f t="shared" si="448"/>
        <v>1271132.7688735926</v>
      </c>
      <c r="EF194" s="554">
        <f t="shared" si="449"/>
        <v>254226.55377471854</v>
      </c>
      <c r="EG194" s="554">
        <f t="shared" ca="1" si="541"/>
        <v>15063.290883893025</v>
      </c>
      <c r="EH194" s="554">
        <f t="shared" ca="1" si="542"/>
        <v>52721.511201854257</v>
      </c>
      <c r="EI194" s="561">
        <f t="shared" ca="1" si="450"/>
        <v>1593144.1247340585</v>
      </c>
      <c r="EJ194" s="581">
        <f t="shared" si="504"/>
        <v>29541.627928785514</v>
      </c>
      <c r="EK194" s="554">
        <f t="shared" si="505"/>
        <v>5908.3255857570621</v>
      </c>
      <c r="EL194" s="554">
        <f t="shared" ca="1" si="543"/>
        <v>42618.260207335639</v>
      </c>
      <c r="EM194" s="554">
        <f t="shared" ca="1" si="544"/>
        <v>149163.91315887205</v>
      </c>
      <c r="EN194" s="561">
        <f t="shared" ca="1" si="545"/>
        <v>135475.73476648494</v>
      </c>
      <c r="EO194" s="180">
        <f t="shared" si="451"/>
        <v>5202697.5872095125</v>
      </c>
      <c r="EP194" s="180">
        <f t="shared" si="452"/>
        <v>1040539.5174419024</v>
      </c>
      <c r="EQ194" s="180">
        <f t="shared" si="453"/>
        <v>230726.20436491465</v>
      </c>
      <c r="ER194" s="180">
        <f t="shared" si="454"/>
        <v>807541.69744290516</v>
      </c>
      <c r="ES194" s="180">
        <f t="shared" si="455"/>
        <v>7281505.0064592343</v>
      </c>
      <c r="ET194" s="1482">
        <f t="shared" ca="1" si="546"/>
        <v>5084531.0754943704</v>
      </c>
      <c r="EU194" s="180">
        <f t="shared" ca="1" si="547"/>
        <v>1016906.2150988742</v>
      </c>
      <c r="EV194" s="180">
        <f t="shared" ca="1" si="548"/>
        <v>60253.163535572101</v>
      </c>
      <c r="EW194" s="180">
        <f t="shared" ca="1" si="549"/>
        <v>210886.04480741703</v>
      </c>
      <c r="EX194" s="555">
        <f t="shared" ca="1" si="522"/>
        <v>6372576.4989362331</v>
      </c>
      <c r="EY194" s="180">
        <f t="shared" ca="1" si="550"/>
        <v>118166.51171514206</v>
      </c>
      <c r="EZ194" s="180">
        <f t="shared" ca="1" si="551"/>
        <v>23633.302343028248</v>
      </c>
      <c r="FA194" s="180">
        <f t="shared" ca="1" si="552"/>
        <v>170473.04082934256</v>
      </c>
      <c r="FB194" s="180">
        <f t="shared" ca="1" si="553"/>
        <v>596655.65263548819</v>
      </c>
      <c r="FC194" s="180">
        <f t="shared" ca="1" si="554"/>
        <v>908928.50752300117</v>
      </c>
      <c r="FD194" s="262">
        <f>IF(AX194,IF(VLOOKUP(C194,MAIN!$L$17:$M$28,2)="Yes",VLOOKUP(CALC!B194,MAIN!$H$17:$I$20,2),0),0)</f>
        <v>0</v>
      </c>
      <c r="FE194" s="623">
        <f t="shared" si="456"/>
        <v>0</v>
      </c>
      <c r="FF194" s="535">
        <f t="shared" si="457"/>
        <v>0</v>
      </c>
      <c r="FG194" s="535">
        <f t="shared" si="458"/>
        <v>0</v>
      </c>
      <c r="FH194" s="624">
        <f t="shared" si="459"/>
        <v>0</v>
      </c>
      <c r="FI194" s="632">
        <f>IF(AX194,VLOOKUP(CALC!B194,MAIN!$H$17:$K$20,4),0)</f>
        <v>0</v>
      </c>
      <c r="FJ194" s="535">
        <f t="shared" si="460"/>
        <v>0</v>
      </c>
      <c r="FK194" s="648">
        <f t="shared" si="506"/>
        <v>0</v>
      </c>
      <c r="FL194" s="530">
        <f t="shared" ca="1" si="555"/>
        <v>0</v>
      </c>
      <c r="FM194" s="530">
        <f t="shared" ca="1" si="556"/>
        <v>0</v>
      </c>
      <c r="FN194" s="530">
        <f t="shared" ca="1" si="557"/>
        <v>0</v>
      </c>
      <c r="FO194" s="622">
        <f t="shared" ca="1" si="558"/>
        <v>0</v>
      </c>
      <c r="FP194" s="530">
        <f t="shared" ca="1" si="559"/>
        <v>0</v>
      </c>
      <c r="FQ194" s="530">
        <f t="shared" ca="1" si="560"/>
        <v>0</v>
      </c>
      <c r="FR194" s="530">
        <f t="shared" ca="1" si="561"/>
        <v>0</v>
      </c>
      <c r="FS194" s="625">
        <f t="shared" ca="1" si="562"/>
        <v>0</v>
      </c>
      <c r="FT194" s="640">
        <f ca="1">IF(AND(Assumptions!$H$71="Yes",A194&gt;=Assumptions!$H$72,A194&lt;=Assumptions!$H$73),0,IF(AND($A194&gt;=Assumptions!$C$17,$A194&lt;=Assumptions!$C$18),MAX(AZ194*(1+VLOOKUP($C194,WeatherCapacityAdjustment,2))-FL194,0),0))</f>
        <v>46560</v>
      </c>
      <c r="FU194" s="530">
        <f ca="1">IF(AND(Assumptions!$H$71="Yes",A194&gt;=Assumptions!$H$72,A194&lt;=Assumptions!$H$73),0,IF(AND($A194&gt;=Assumptions!$C$17,$A194&lt;=Assumptions!$C$18),MAX(BA194*(1+VLOOKUP($C194,WeatherCapacityAdjustment,2))-FM194,0),0))</f>
        <v>9312</v>
      </c>
      <c r="FV194" s="530">
        <f ca="1">IF(AND(Assumptions!$H$71="Yes",A194&gt;=Assumptions!$H$72,A194&lt;=Assumptions!$H$73),0,IF(AND($A194&gt;=Assumptions!$C$17,$A194&lt;=Assumptions!$C$18),MAX(BB194*(1+VLOOKUP($C194,WeatherCapacityAdjustment,2))-FN194,0),0))</f>
        <v>9312</v>
      </c>
      <c r="FW194" s="622">
        <f ca="1">IF(AND(Assumptions!$H$71="Yes",A194&gt;=Assumptions!$H$72,A194&lt;=Assumptions!$H$73),0,IF(AND($A194&gt;=Assumptions!$C$17,$A194&lt;=Assumptions!$C$18),MAX(BC194*(1+VLOOKUP($C194,WeatherCapacityAdjustment,3))-FO194,0),0))</f>
        <v>32592</v>
      </c>
      <c r="FX194" s="621">
        <f ca="1">IF(AND(Assumptions!$H$71="Yes",A194&gt;=Assumptions!$H$72,A194&lt;=Assumptions!$H$73),0,IF(ET194&gt;0,MAX(BH194*(1+VLOOKUP($C194,WeatherCapacityAdjustment,2))-FP194,0),0))</f>
        <v>186240</v>
      </c>
      <c r="FY194" s="530">
        <f ca="1">IF(AND(Assumptions!$H$71="Yes",A194&gt;=Assumptions!$H$72,A194&lt;=Assumptions!$H$73),0,IF(EU194&gt;0,MAX(BI194*(1+VLOOKUP($C194,WeatherCapacityAdjustment,3))-FQ194,0),0))</f>
        <v>37248</v>
      </c>
      <c r="FZ194" s="530">
        <f ca="1">IF(AND(Assumptions!$H$71="Yes",A194&gt;=Assumptions!$H$72,A194&lt;=Assumptions!$H$73),0,IF(EV194&gt;0,MAX(BJ194*(1+VLOOKUP($C194,WeatherCapacityAdjustment,2))-FR194,0),0))</f>
        <v>37248</v>
      </c>
      <c r="GA194" s="622">
        <f ca="1">IF(AND(Assumptions!$H$71="Yes",A194&gt;=Assumptions!$H$72,A194&lt;=Assumptions!$H$73),0,IF(EW194&gt;0,MAX(BK194*(1+VLOOKUP($C194,WeatherCapacityAdjustment,2))-FS194,0),0))</f>
        <v>130368</v>
      </c>
      <c r="GB194" s="530">
        <f t="shared" ca="1" si="461"/>
        <v>488880</v>
      </c>
      <c r="GC194" s="545">
        <f t="shared" ca="1" si="462"/>
        <v>43.057327436228988</v>
      </c>
      <c r="GD194" s="530">
        <f t="shared" ca="1" si="563"/>
        <v>21049866.237023633</v>
      </c>
      <c r="GE194" s="1485">
        <f t="shared" ca="1" si="564"/>
        <v>704266.83935999998</v>
      </c>
      <c r="GF194" s="1776">
        <f t="shared" ca="1" si="565"/>
        <v>2817067.3574399999</v>
      </c>
      <c r="GG194" s="545">
        <f t="shared" si="530"/>
        <v>3.3987439013550578</v>
      </c>
      <c r="GH194" s="622">
        <f t="shared" ca="1" si="531"/>
        <v>11968113.126007011</v>
      </c>
      <c r="GI194" s="621">
        <f t="shared" ca="1" si="507"/>
        <v>488880</v>
      </c>
      <c r="GJ194" s="638">
        <f t="shared" si="463"/>
        <v>2.2828352302125818</v>
      </c>
      <c r="GK194" s="625">
        <f t="shared" ca="1" si="513"/>
        <v>1116032.4873463269</v>
      </c>
      <c r="GL194" s="640">
        <f t="shared" ca="1" si="566"/>
        <v>0</v>
      </c>
      <c r="GM194" s="530">
        <f t="shared" ca="1" si="567"/>
        <v>0</v>
      </c>
      <c r="GN194" s="530">
        <f t="shared" ca="1" si="568"/>
        <v>0</v>
      </c>
      <c r="GO194" s="622">
        <f t="shared" ca="1" si="569"/>
        <v>0</v>
      </c>
      <c r="GP194" s="530">
        <f t="shared" ca="1" si="464"/>
        <v>0</v>
      </c>
      <c r="GQ194" s="545">
        <f t="shared" ca="1" si="465"/>
        <v>0</v>
      </c>
      <c r="GR194" s="625">
        <f t="shared" ca="1" si="570"/>
        <v>0</v>
      </c>
      <c r="GS194" s="640">
        <f>IF($A194&gt;=BegDate,Assumptions!$C$56*24*($A195-$A194)*(1-VLOOKUP($B194,MAIN!$AA$7:$AM$28,$C194+1))*(1-VLOOKUP($B194,MAIN!$AA$33:$AM$54,$C194+1)),0)*80/168</f>
        <v>232800</v>
      </c>
      <c r="GT194" s="1715">
        <f t="shared" si="508"/>
        <v>54.064473258317093</v>
      </c>
      <c r="GU194" s="1715">
        <f>IF($A194&gt;=BegDate,VLOOKUP($A194,GasTable,13)+Assumptions!$C$58,0)</f>
        <v>3.3987439013550578</v>
      </c>
      <c r="GV194" s="1715">
        <f>GU194*Assumptions!$C$57/1000</f>
        <v>24.640893284824166</v>
      </c>
      <c r="GW194" s="625">
        <f>IF(Assumptions!$C$60="Hourly",MAX(0,GS194*(GT194-GV194)),GS194*(GT194-GV194))</f>
        <v>6849809.4178291531</v>
      </c>
      <c r="GX194" s="640">
        <f>IF($A194&gt;=BegDate,Assumptions!$C$56*24*($A195-$A194)*(1-VLOOKUP($B194,MAIN!$AA$7:$AM$28,$C194+1))*(1-VLOOKUP($B194,MAIN!$AA$33:$AM$54,$C194+1)),0)*16/168</f>
        <v>46560</v>
      </c>
      <c r="GY194" s="1715">
        <f t="shared" si="509"/>
        <v>54.064473258317093</v>
      </c>
      <c r="GZ194" s="1715">
        <f>IF($A194&gt;=BegDate,VLOOKUP($A194,GasTable,13)+Assumptions!$C$58,0)</f>
        <v>3.3987439013550578</v>
      </c>
      <c r="HA194" s="1715">
        <f>GZ194*Assumptions!$C$57/1000</f>
        <v>24.640893284824166</v>
      </c>
      <c r="HB194" s="625">
        <f>IF(Assumptions!$C$60="Hourly",MAX(0,GX194*(GY194-HA194)),GX194*(GY194-HA194))</f>
        <v>1369961.8835658308</v>
      </c>
      <c r="HC194" s="640">
        <f>IF($A194&gt;=BegDate,Assumptions!$C$56*24*($A195-$A194)*(1-VLOOKUP($B194,MAIN!$AA$7:$AM$28,$C194+1))*(1-VLOOKUP($B194,MAIN!$AA$33:$AM$54,$C194+1)),0)*16/168</f>
        <v>46560</v>
      </c>
      <c r="HD194" s="1715">
        <f t="shared" si="510"/>
        <v>28.381133171243906</v>
      </c>
      <c r="HE194" s="1715">
        <f>IF($A194&gt;=BegDate,VLOOKUP($A194,GasTable,13)+Assumptions!$C$58,0)</f>
        <v>3.3987439013550578</v>
      </c>
      <c r="HF194" s="1715">
        <f>HE194*Assumptions!$C$57/1000</f>
        <v>24.640893284824166</v>
      </c>
      <c r="HG194" s="625">
        <f>IF(Assumptions!$C$60="Hourly",MAX(0,HC194*(HD194-HF194)),HC194*(HD194-HF194))</f>
        <v>174145.56911170311</v>
      </c>
      <c r="HH194" s="640">
        <f>IF($A194&gt;=BegDate,Assumptions!$C$56*24*($A195-$A194)*(1-VLOOKUP($B194,MAIN!$AA$7:$AM$28,$C194+1))*(1-VLOOKUP($B194,MAIN!$AA$33:$AM$54,$C194+1)),0)*56/168</f>
        <v>162960</v>
      </c>
      <c r="HI194" s="1715">
        <f t="shared" si="511"/>
        <v>28.381133171243906</v>
      </c>
      <c r="HJ194" s="1715">
        <f>IF($A194&gt;=BegDate,VLOOKUP($A194,GasTable,13)+Assumptions!$C$58,0)</f>
        <v>3.3987439013550578</v>
      </c>
      <c r="HK194" s="1715">
        <f>HJ194*Assumptions!$C$57/1000</f>
        <v>24.640893284824166</v>
      </c>
      <c r="HL194" s="625">
        <f>IF(Assumptions!$C$60="Hourly",MAX(0,HH194*(HI194-HK194)),HH194*(HI194-HK194))</f>
        <v>609509.49189096084</v>
      </c>
      <c r="HM194" s="640">
        <f>IF(AND(Assumptions!$H$71="Yes",A194&gt;=Assumptions!$H$72,A194&lt;=Assumptions!$H$73),Assumptions!$H$74*Assumptions!$C$9*1000,0)</f>
        <v>0</v>
      </c>
      <c r="HN194" s="530"/>
      <c r="HO194" s="545"/>
      <c r="HP194" s="545"/>
      <c r="HQ194" s="545"/>
      <c r="HR194" s="545"/>
      <c r="HS194" s="545"/>
      <c r="HT194" s="545"/>
      <c r="HU194" s="545"/>
      <c r="HV194" s="545"/>
      <c r="HW194" s="545"/>
      <c r="HX194" s="545"/>
      <c r="HY194" s="545"/>
      <c r="HZ194" s="545"/>
      <c r="IA194" s="545"/>
      <c r="IB194" s="545"/>
      <c r="IC194" s="545"/>
      <c r="ID194" s="545"/>
      <c r="IE194" s="545"/>
      <c r="IF194" s="545"/>
      <c r="IG194" s="545"/>
      <c r="IH194" s="545"/>
      <c r="II194" s="1464"/>
      <c r="IJ194" s="1463"/>
      <c r="IK194" s="1463"/>
    </row>
    <row r="195" spans="1:245">
      <c r="A195" s="177">
        <f t="shared" si="466"/>
        <v>42064</v>
      </c>
      <c r="B195" s="349">
        <f t="shared" si="467"/>
        <v>2015</v>
      </c>
      <c r="C195" s="15">
        <f t="shared" si="571"/>
        <v>3</v>
      </c>
      <c r="D195" s="612" t="str">
        <f t="shared" si="468"/>
        <v/>
      </c>
      <c r="E195" s="609">
        <f t="shared" si="572"/>
        <v>42064</v>
      </c>
      <c r="F195" s="614">
        <f t="shared" si="573"/>
        <v>42094</v>
      </c>
      <c r="G195" s="1349">
        <v>0</v>
      </c>
      <c r="H195" s="152">
        <f t="shared" si="512"/>
        <v>1</v>
      </c>
      <c r="I195" s="154">
        <f>IF(Assumptions!$L$25=4,VLOOKUP($A195,'Henwood Reference'!$E$9:$R$320,10),(VLOOKUP($A195,PriceTable,2,0)+IF(BasisNumber&lt;&gt;1,VLOOKUP($A195,BasisTable,2,0),0)+I$1)/(1-I$2))</f>
        <v>40.643743362216547</v>
      </c>
      <c r="J195" s="154">
        <f>IF(Assumptions!$L$25=4,VLOOKUP($A195,'Henwood Reference'!$E$9:$R$320,10),(VLOOKUP($A195,PriceTable,3,0)+IF(BasisNumber&lt;&gt;1,VLOOKUP($A195,BasisTable,2,0),0)+J$1)/(1-J$2))</f>
        <v>40.643743362216547</v>
      </c>
      <c r="K195" s="154">
        <f>IF(Assumptions!$L$25=4,VLOOKUP($A195,'Henwood Reference'!$E$9:$R$320,10),(VLOOKUP($A195,PriceTable,4,0)+IF(BasisNumber&lt;&gt;1,VLOOKUP($A195,BasisTable,2,0),0)+K$1)/(1-K$2))</f>
        <v>40.643743362216547</v>
      </c>
      <c r="L195" s="474">
        <f>IF(Assumptions!$L$25=4,VLOOKUP($A195,'Henwood Reference'!$E$9:$R$320,10),(VLOOKUP($A195,PriceTableWeekend,2,0)+IF(BasisNumber&lt;&gt;1,VLOOKUP($A195,BasisTable,2,0),0)+L$1)/(1-L$2))</f>
        <v>40.643743362216547</v>
      </c>
      <c r="M195" s="154">
        <f>IF(Assumptions!$L$25=4,VLOOKUP($A195,'Henwood Reference'!$E$9:$R$320,10),(VLOOKUP($A195,PriceTableWeekend,3,0)+IF(BasisNumber&lt;&gt;1,VLOOKUP($A195,BasisTable,2,0),0)+M$1)/(1-M$2))</f>
        <v>40.643743362216547</v>
      </c>
      <c r="N195" s="156">
        <f>IF(Assumptions!$L$25=4,VLOOKUP($A195,'Henwood Reference'!$E$9:$R$320,10),(VLOOKUP($A195,PriceTableWeekend,4,0)+IF(BasisNumber&lt;&gt;1,VLOOKUP($A195,BasisTable,2,0),0)+N$1)/(1-N$2))</f>
        <v>40.643743362216547</v>
      </c>
      <c r="O195" s="154">
        <f>IF(Assumptions!$L$25=4,VLOOKUP($A195,'Henwood Reference'!$E$9:$R$320,11),(VLOOKUP($A195,PriceTableWeekend,6,0)+IF(BasisNumber&lt;&gt;1,VLOOKUP($A195,BasisTable,3,0),0)+O$1)/(1-O$2))</f>
        <v>28.799563637628879</v>
      </c>
      <c r="P195" s="154">
        <f>IF(Assumptions!$L$25=4,VLOOKUP($A195,'Henwood Reference'!$E$9:$R$320,11),(VLOOKUP($A195,PriceTableWeekend,7,0)+IF(BasisNumber&lt;&gt;1,VLOOKUP($A195,BasisTable,3,0),0)+P$1)/(1-P$2))</f>
        <v>28.799563637628879</v>
      </c>
      <c r="Q195" s="156">
        <f>IF(Assumptions!$L$25=4,VLOOKUP($A195,'Henwood Reference'!$E$9:$R$320,11),(VLOOKUP($A195,PriceTableWeekend,8,0)+IF(BasisNumber&lt;&gt;1,VLOOKUP($A195,BasisTable,3,0),0)+Q$1)/(1-Q$2))</f>
        <v>28.799563637628879</v>
      </c>
      <c r="R195" s="154">
        <f>IF(Assumptions!$L$25=4,VLOOKUP($A195,'Henwood Reference'!$E$9:$R$320,11),(VLOOKUP($A195,PriceTable,6,0)+IF(BasisNumber&lt;&gt;1,VLOOKUP($A195,BasisTable,3,0),0)+R$1)/(1-R$2))</f>
        <v>28.799563637628879</v>
      </c>
      <c r="S195" s="154">
        <f>IF(Assumptions!$L$25=4,VLOOKUP($A195,'Henwood Reference'!$E$9:$R$320,11),(VLOOKUP($A195,PriceTable,7,0)+IF(BasisNumber&lt;&gt;1,VLOOKUP($A195,BasisTable,3,0),0)+S$1)/(1-S$2))</f>
        <v>28.799563637628879</v>
      </c>
      <c r="T195" s="155">
        <f>IF(Assumptions!$L$25=4,VLOOKUP($A195,'Henwood Reference'!$E$9:$R$320,11),(VLOOKUP($A195,PriceTable,8,0)+IF(BasisNumber&lt;&gt;1,VLOOKUP($A195,BasisTable,3,0),0)+T$1)/(1-T$2))</f>
        <v>28.799563637628879</v>
      </c>
      <c r="U195" s="173">
        <f t="shared" si="469"/>
        <v>9.4999999999999932E-2</v>
      </c>
      <c r="V195" s="173">
        <f t="shared" si="470"/>
        <v>0.105</v>
      </c>
      <c r="W195" s="174">
        <f t="shared" si="471"/>
        <v>0.115</v>
      </c>
      <c r="X195" s="173">
        <f t="shared" si="472"/>
        <v>9.4999999999999932E-2</v>
      </c>
      <c r="Y195" s="173">
        <f t="shared" si="473"/>
        <v>0.105</v>
      </c>
      <c r="Z195" s="174">
        <f t="shared" si="474"/>
        <v>0.115</v>
      </c>
      <c r="AA195" s="173">
        <f t="shared" si="475"/>
        <v>0.09</v>
      </c>
      <c r="AB195" s="173">
        <f t="shared" si="476"/>
        <v>0.11</v>
      </c>
      <c r="AC195" s="174">
        <f t="shared" si="477"/>
        <v>0.13</v>
      </c>
      <c r="AD195" s="173">
        <f t="shared" si="478"/>
        <v>0.09</v>
      </c>
      <c r="AE195" s="173">
        <f t="shared" si="479"/>
        <v>0.11</v>
      </c>
      <c r="AF195" s="174">
        <f t="shared" si="480"/>
        <v>0.13</v>
      </c>
      <c r="AG195" s="173">
        <f t="shared" si="481"/>
        <v>-0.1</v>
      </c>
      <c r="AH195" s="173">
        <f t="shared" si="482"/>
        <v>0.65</v>
      </c>
      <c r="AI195" s="174">
        <f t="shared" si="483"/>
        <v>0.1</v>
      </c>
      <c r="AJ195" s="173">
        <f t="shared" si="484"/>
        <v>-0.1</v>
      </c>
      <c r="AK195" s="173">
        <f t="shared" si="485"/>
        <v>0.65</v>
      </c>
      <c r="AL195" s="174">
        <f t="shared" si="486"/>
        <v>0.1</v>
      </c>
      <c r="AM195" s="173">
        <f t="shared" si="487"/>
        <v>-0.01</v>
      </c>
      <c r="AN195" s="173">
        <f t="shared" si="488"/>
        <v>0.16</v>
      </c>
      <c r="AO195" s="174">
        <f t="shared" si="489"/>
        <v>0.01</v>
      </c>
      <c r="AP195" s="173">
        <f t="shared" si="490"/>
        <v>-0.01</v>
      </c>
      <c r="AQ195" s="173">
        <f t="shared" si="491"/>
        <v>0.16</v>
      </c>
      <c r="AR195" s="175">
        <f t="shared" si="492"/>
        <v>0.01</v>
      </c>
      <c r="AS195" s="521">
        <f t="shared" si="576"/>
        <v>0.5</v>
      </c>
      <c r="AT195" s="349">
        <f t="shared" si="574"/>
        <v>22</v>
      </c>
      <c r="AU195" s="159">
        <f t="shared" si="411"/>
        <v>4</v>
      </c>
      <c r="AV195" s="159">
        <f t="shared" si="412"/>
        <v>5</v>
      </c>
      <c r="AW195" s="159">
        <f t="shared" si="577"/>
        <v>0</v>
      </c>
      <c r="AX195" s="15">
        <f t="shared" si="575"/>
        <v>31</v>
      </c>
      <c r="AY195" s="607">
        <f>IF(E195="",0,MIN((1-(1-VLOOKUP(B195,MAIN!$AA$7:$AM$28,C195+1))*(1-VLOOKUP(B195,MAIN!$AA$33:$AM$54,C195+1))),1))</f>
        <v>3.0000000000000027E-2</v>
      </c>
      <c r="AZ195" s="337">
        <v>51216</v>
      </c>
      <c r="BA195" s="509">
        <v>9312</v>
      </c>
      <c r="BB195" s="509">
        <v>11640</v>
      </c>
      <c r="BC195" s="511">
        <v>36084</v>
      </c>
      <c r="BD195" s="153">
        <v>0.96999999638646839</v>
      </c>
      <c r="BE195" s="474">
        <v>0.96999999638646839</v>
      </c>
      <c r="BF195" s="474">
        <v>0.96999999638646839</v>
      </c>
      <c r="BG195" s="515">
        <v>0.97000000722706314</v>
      </c>
      <c r="BH195" s="262">
        <v>204864</v>
      </c>
      <c r="BI195" s="509">
        <v>37248</v>
      </c>
      <c r="BJ195" s="509">
        <v>46560</v>
      </c>
      <c r="BK195" s="511">
        <v>144336</v>
      </c>
      <c r="BL195" s="153">
        <v>0.96999999638646839</v>
      </c>
      <c r="BM195" s="474">
        <v>0.96999999638646839</v>
      </c>
      <c r="BN195" s="474">
        <v>0.96999999638646839</v>
      </c>
      <c r="BO195" s="474">
        <v>0.97000000722706314</v>
      </c>
      <c r="BP195" s="261">
        <f t="shared" si="495"/>
        <v>72168</v>
      </c>
      <c r="BQ195" s="578">
        <f t="shared" si="496"/>
        <v>108252</v>
      </c>
      <c r="BR195" s="259">
        <f t="shared" si="497"/>
        <v>288672</v>
      </c>
      <c r="BS195" s="578">
        <f t="shared" si="498"/>
        <v>433008</v>
      </c>
      <c r="BT195" s="216">
        <f t="shared" si="499"/>
        <v>14.877481177275838</v>
      </c>
      <c r="BU195" s="218">
        <f t="shared" si="414"/>
        <v>40.643743210806804</v>
      </c>
      <c r="BV195" s="216">
        <f t="shared" si="415"/>
        <v>40.643743210806804</v>
      </c>
      <c r="BW195" s="216">
        <f t="shared" si="416"/>
        <v>28.799563530342144</v>
      </c>
      <c r="BX195" s="216">
        <f t="shared" si="500"/>
        <v>28.79956385220235</v>
      </c>
      <c r="BY195" s="216">
        <f t="shared" si="417"/>
        <v>38.733391649441536</v>
      </c>
      <c r="BZ195" s="216">
        <f t="shared" si="418"/>
        <v>35.422115717028476</v>
      </c>
      <c r="CA195" s="264">
        <f t="shared" si="419"/>
        <v>40.643743210806804</v>
      </c>
      <c r="CB195" s="216">
        <f t="shared" si="420"/>
        <v>40.643743210806804</v>
      </c>
      <c r="CC195" s="216">
        <f t="shared" si="421"/>
        <v>28.799563530342144</v>
      </c>
      <c r="CD195" s="216">
        <f t="shared" si="501"/>
        <v>28.79956385220235</v>
      </c>
      <c r="CE195" s="216">
        <f t="shared" si="422"/>
        <v>38.733391649441536</v>
      </c>
      <c r="CF195" s="571">
        <f t="shared" si="423"/>
        <v>35.422115717028476</v>
      </c>
      <c r="CG195" s="573">
        <f t="shared" si="424"/>
        <v>0.105</v>
      </c>
      <c r="CH195" s="219">
        <f t="shared" si="425"/>
        <v>0.105</v>
      </c>
      <c r="CI195" s="219">
        <f t="shared" si="426"/>
        <v>0.11</v>
      </c>
      <c r="CJ195" s="219">
        <f t="shared" si="427"/>
        <v>0.10560170067656902</v>
      </c>
      <c r="CK195" s="219">
        <f t="shared" si="428"/>
        <v>0.10560170067656902</v>
      </c>
      <c r="CL195" s="219">
        <f t="shared" si="429"/>
        <v>0.11</v>
      </c>
      <c r="CM195" s="219">
        <f t="shared" si="430"/>
        <v>9.5723839167977429E-2</v>
      </c>
      <c r="CN195" s="569">
        <f t="shared" si="431"/>
        <v>9.5723839167977429E-2</v>
      </c>
      <c r="CO195" s="264">
        <f t="shared" si="514"/>
        <v>23.140769479385643</v>
      </c>
      <c r="CP195" s="216">
        <f t="shared" si="502"/>
        <v>23.140769479385643</v>
      </c>
      <c r="CQ195" s="216">
        <f t="shared" ca="1" si="532"/>
        <v>23.140769479385643</v>
      </c>
      <c r="CR195" s="216">
        <f t="shared" ca="1" si="533"/>
        <v>23.140769479385643</v>
      </c>
      <c r="CS195" s="1626">
        <f t="shared" ca="1" si="534"/>
        <v>23.140769479385639</v>
      </c>
      <c r="CT195" s="216">
        <f t="shared" si="503"/>
        <v>23.140769479385643</v>
      </c>
      <c r="CU195" s="575">
        <f t="shared" si="432"/>
        <v>0.153</v>
      </c>
      <c r="CV195" s="154">
        <f t="shared" si="433"/>
        <v>0.5</v>
      </c>
      <c r="CW195" s="216">
        <f>IF(OR($BQ195,$BS195),SpreadOptPowerMargin,0)*((1+Assumptions!$C$26)^($B195-YEAR(Assumptions!$C$17)))</f>
        <v>2.2828352302125814</v>
      </c>
      <c r="CX195" s="216">
        <f>IF(OR($BQ195,$BS195),SpreadOptPowerMargin,0)*((1+Assumptions!$C$26)^($B195-YEAR(Assumptions!$C$17)))</f>
        <v>2.2828352302125814</v>
      </c>
      <c r="CY195" s="216">
        <f>IF(OR($BQ195,$BS195),SpreadOptPowerMargin,0)*((1+Assumptions!$C$26)^($B195-YEAR(Assumptions!$C$17)))</f>
        <v>2.2828352302125814</v>
      </c>
      <c r="CZ195" s="216">
        <f>IF(OR($BQ195,$BS195),SpreadOptPowerMargin,0)*((1+Assumptions!$C$26)^($B195-YEAR(Assumptions!$C$17)))</f>
        <v>2.2828352302125814</v>
      </c>
      <c r="DA195" s="440">
        <f t="shared" si="434"/>
        <v>2.2828352302125814</v>
      </c>
      <c r="DB195" s="479">
        <f t="shared" si="435"/>
        <v>0.105</v>
      </c>
      <c r="DC195" s="479">
        <f t="shared" si="436"/>
        <v>0.105</v>
      </c>
      <c r="DD195" s="479">
        <f t="shared" si="437"/>
        <v>0.11</v>
      </c>
      <c r="DE195" s="479">
        <f t="shared" si="438"/>
        <v>0.11</v>
      </c>
      <c r="DF195" s="479">
        <f t="shared" si="439"/>
        <v>9.5723839167977429E-2</v>
      </c>
      <c r="DG195" s="574">
        <f t="shared" si="440"/>
        <v>9.5723839167977429E-2</v>
      </c>
      <c r="DH195" s="216">
        <f t="shared" si="441"/>
        <v>16.616494078854963</v>
      </c>
      <c r="DI195" s="216">
        <f t="shared" si="442"/>
        <v>16.616494078854963</v>
      </c>
      <c r="DJ195" s="216">
        <f t="shared" ca="1" si="535"/>
        <v>7.1150921884862699</v>
      </c>
      <c r="DK195" s="216">
        <f t="shared" ca="1" si="536"/>
        <v>7.1150924123636008</v>
      </c>
      <c r="DL195" s="216">
        <f t="shared" ca="1" si="537"/>
        <v>12.057306842898553</v>
      </c>
      <c r="DM195" s="216"/>
      <c r="DN195" s="216"/>
      <c r="DO195" s="216"/>
      <c r="DP195" s="216"/>
      <c r="DQ195" s="216"/>
      <c r="DR195" s="216"/>
      <c r="DS195" s="216"/>
      <c r="DT195" s="216"/>
      <c r="DU195" s="216"/>
      <c r="DV195" s="216"/>
      <c r="DW195" s="1371">
        <f t="shared" si="443"/>
        <v>7.1150921884862699</v>
      </c>
      <c r="DX195" s="216">
        <f t="shared" si="444"/>
        <v>7.1150924123636008</v>
      </c>
      <c r="DY195" s="440">
        <f t="shared" si="445"/>
        <v>12.427704072780562</v>
      </c>
      <c r="DZ195" s="180">
        <f t="shared" si="446"/>
        <v>851030.36074263579</v>
      </c>
      <c r="EA195" s="180">
        <f t="shared" si="447"/>
        <v>154732.79286229741</v>
      </c>
      <c r="EB195" s="180">
        <f t="shared" ca="1" si="538"/>
        <v>82819.673073980186</v>
      </c>
      <c r="EC195" s="180">
        <f t="shared" ca="1" si="539"/>
        <v>256740.99460772818</v>
      </c>
      <c r="ED195" s="180">
        <f t="shared" ca="1" si="540"/>
        <v>1305227.5803574543</v>
      </c>
      <c r="EE195" s="581">
        <f t="shared" si="448"/>
        <v>779514.61347789865</v>
      </c>
      <c r="EF195" s="554">
        <f t="shared" si="449"/>
        <v>141729.92972325432</v>
      </c>
      <c r="EG195" s="554">
        <f t="shared" ca="1" si="541"/>
        <v>39296.16067345925</v>
      </c>
      <c r="EH195" s="554">
        <f t="shared" ca="1" si="542"/>
        <v>121818.10970172734</v>
      </c>
      <c r="EI195" s="561">
        <f t="shared" ca="1" si="450"/>
        <v>1082358.81357634</v>
      </c>
      <c r="EJ195" s="581">
        <f t="shared" si="504"/>
        <v>71515.747264737147</v>
      </c>
      <c r="EK195" s="554">
        <f t="shared" si="505"/>
        <v>13002.863139043096</v>
      </c>
      <c r="EL195" s="554">
        <f t="shared" ca="1" si="543"/>
        <v>43523.512400520936</v>
      </c>
      <c r="EM195" s="554">
        <f t="shared" ca="1" si="544"/>
        <v>134922.88490600084</v>
      </c>
      <c r="EN195" s="561">
        <f t="shared" ca="1" si="545"/>
        <v>222868.76678111427</v>
      </c>
      <c r="EO195" s="180">
        <f t="shared" si="451"/>
        <v>3404121.4429705432</v>
      </c>
      <c r="EP195" s="180">
        <f t="shared" si="452"/>
        <v>618931.17144918966</v>
      </c>
      <c r="EQ195" s="180">
        <f t="shared" si="453"/>
        <v>331278.69229592074</v>
      </c>
      <c r="ER195" s="180">
        <f t="shared" si="454"/>
        <v>1026963.9784309127</v>
      </c>
      <c r="ES195" s="180">
        <f t="shared" si="455"/>
        <v>5381295.2851465661</v>
      </c>
      <c r="ET195" s="1482">
        <f t="shared" ca="1" si="546"/>
        <v>3118058.4539115946</v>
      </c>
      <c r="EU195" s="180">
        <f t="shared" ca="1" si="547"/>
        <v>566919.71889301727</v>
      </c>
      <c r="EV195" s="180">
        <f t="shared" ca="1" si="548"/>
        <v>157184.642693837</v>
      </c>
      <c r="EW195" s="180">
        <f t="shared" ca="1" si="549"/>
        <v>487272.43880690937</v>
      </c>
      <c r="EX195" s="555">
        <f t="shared" ca="1" si="522"/>
        <v>4329435.254305358</v>
      </c>
      <c r="EY195" s="180">
        <f t="shared" ca="1" si="550"/>
        <v>286062.98905894859</v>
      </c>
      <c r="EZ195" s="180">
        <f t="shared" ca="1" si="551"/>
        <v>52011.452556172386</v>
      </c>
      <c r="FA195" s="180">
        <f t="shared" ca="1" si="552"/>
        <v>174094.04960208375</v>
      </c>
      <c r="FB195" s="180">
        <f t="shared" ca="1" si="553"/>
        <v>539691.53962400334</v>
      </c>
      <c r="FC195" s="180">
        <f t="shared" ca="1" si="554"/>
        <v>1051860.0308412081</v>
      </c>
      <c r="FD195" s="262">
        <f>IF(AX195,IF(VLOOKUP(C195,MAIN!$L$17:$M$28,2)="Yes",VLOOKUP(CALC!B195,MAIN!$H$17:$I$20,2),0),0)</f>
        <v>0</v>
      </c>
      <c r="FE195" s="623">
        <f t="shared" si="456"/>
        <v>0</v>
      </c>
      <c r="FF195" s="535">
        <f t="shared" si="457"/>
        <v>0</v>
      </c>
      <c r="FG195" s="535">
        <f t="shared" si="458"/>
        <v>0</v>
      </c>
      <c r="FH195" s="624">
        <f t="shared" si="459"/>
        <v>0</v>
      </c>
      <c r="FI195" s="632">
        <f>IF(AX195,VLOOKUP(CALC!B195,MAIN!$H$17:$K$20,4),0)</f>
        <v>0</v>
      </c>
      <c r="FJ195" s="535">
        <f t="shared" si="460"/>
        <v>0</v>
      </c>
      <c r="FK195" s="648">
        <f t="shared" si="506"/>
        <v>0</v>
      </c>
      <c r="FL195" s="530">
        <f t="shared" ca="1" si="555"/>
        <v>0</v>
      </c>
      <c r="FM195" s="530">
        <f t="shared" ca="1" si="556"/>
        <v>0</v>
      </c>
      <c r="FN195" s="530">
        <f t="shared" ca="1" si="557"/>
        <v>0</v>
      </c>
      <c r="FO195" s="622">
        <f t="shared" ca="1" si="558"/>
        <v>0</v>
      </c>
      <c r="FP195" s="530">
        <f t="shared" ca="1" si="559"/>
        <v>0</v>
      </c>
      <c r="FQ195" s="530">
        <f t="shared" ca="1" si="560"/>
        <v>0</v>
      </c>
      <c r="FR195" s="530">
        <f t="shared" ca="1" si="561"/>
        <v>0</v>
      </c>
      <c r="FS195" s="625">
        <f t="shared" ca="1" si="562"/>
        <v>0</v>
      </c>
      <c r="FT195" s="640">
        <f ca="1">IF(AND(Assumptions!$H$71="Yes",A195&gt;=Assumptions!$H$72,A195&lt;=Assumptions!$H$73),0,IF(AND($A195&gt;=Assumptions!$C$17,$A195&lt;=Assumptions!$C$18),MAX(AZ195*(1+VLOOKUP($C195,WeatherCapacityAdjustment,2))-FL195,0),0))</f>
        <v>51216</v>
      </c>
      <c r="FU195" s="530">
        <f ca="1">IF(AND(Assumptions!$H$71="Yes",A195&gt;=Assumptions!$H$72,A195&lt;=Assumptions!$H$73),0,IF(AND($A195&gt;=Assumptions!$C$17,$A195&lt;=Assumptions!$C$18),MAX(BA195*(1+VLOOKUP($C195,WeatherCapacityAdjustment,2))-FM195,0),0))</f>
        <v>9312</v>
      </c>
      <c r="FV195" s="530">
        <f ca="1">IF(AND(Assumptions!$H$71="Yes",A195&gt;=Assumptions!$H$72,A195&lt;=Assumptions!$H$73),0,IF(AND($A195&gt;=Assumptions!$C$17,$A195&lt;=Assumptions!$C$18),MAX(BB195*(1+VLOOKUP($C195,WeatherCapacityAdjustment,2))-FN195,0),0))</f>
        <v>11640</v>
      </c>
      <c r="FW195" s="622">
        <f ca="1">IF(AND(Assumptions!$H$71="Yes",A195&gt;=Assumptions!$H$72,A195&lt;=Assumptions!$H$73),0,IF(AND($A195&gt;=Assumptions!$C$17,$A195&lt;=Assumptions!$C$18),MAX(BC195*(1+VLOOKUP($C195,WeatherCapacityAdjustment,3))-FO195,0),0))</f>
        <v>36084</v>
      </c>
      <c r="FX195" s="621">
        <f ca="1">IF(AND(Assumptions!$H$71="Yes",A195&gt;=Assumptions!$H$72,A195&lt;=Assumptions!$H$73),0,IF(ET195&gt;0,MAX(BH195*(1+VLOOKUP($C195,WeatherCapacityAdjustment,2))-FP195,0),0))</f>
        <v>204864</v>
      </c>
      <c r="FY195" s="530">
        <f ca="1">IF(AND(Assumptions!$H$71="Yes",A195&gt;=Assumptions!$H$72,A195&lt;=Assumptions!$H$73),0,IF(EU195&gt;0,MAX(BI195*(1+VLOOKUP($C195,WeatherCapacityAdjustment,3))-FQ195,0),0))</f>
        <v>37248</v>
      </c>
      <c r="FZ195" s="530">
        <f ca="1">IF(AND(Assumptions!$H$71="Yes",A195&gt;=Assumptions!$H$72,A195&lt;=Assumptions!$H$73),0,IF(EV195&gt;0,MAX(BJ195*(1+VLOOKUP($C195,WeatherCapacityAdjustment,2))-FR195,0),0))</f>
        <v>46560</v>
      </c>
      <c r="GA195" s="622">
        <f ca="1">IF(AND(Assumptions!$H$71="Yes",A195&gt;=Assumptions!$H$72,A195&lt;=Assumptions!$H$73),0,IF(EW195&gt;0,MAX(BK195*(1+VLOOKUP($C195,WeatherCapacityAdjustment,2))-FS195,0),0))</f>
        <v>144336</v>
      </c>
      <c r="GB195" s="530">
        <f t="shared" ca="1" si="461"/>
        <v>541260</v>
      </c>
      <c r="GC195" s="545">
        <f t="shared" ca="1" si="462"/>
        <v>35.422115717028468</v>
      </c>
      <c r="GD195" s="530">
        <f t="shared" ca="1" si="563"/>
        <v>19172574.35299883</v>
      </c>
      <c r="GE195" s="1485">
        <f t="shared" ca="1" si="564"/>
        <v>780042.26160000009</v>
      </c>
      <c r="GF195" s="1776">
        <f t="shared" ca="1" si="565"/>
        <v>3120169.0464000003</v>
      </c>
      <c r="GG195" s="545">
        <f t="shared" si="530"/>
        <v>3.2114087928315582</v>
      </c>
      <c r="GH195" s="622">
        <f t="shared" ca="1" si="531"/>
        <v>12525172.888412273</v>
      </c>
      <c r="GI195" s="621">
        <f t="shared" ca="1" si="507"/>
        <v>541260</v>
      </c>
      <c r="GJ195" s="638">
        <f t="shared" si="463"/>
        <v>2.2828352302125814</v>
      </c>
      <c r="GK195" s="625">
        <f t="shared" ca="1" si="513"/>
        <v>1235607.3967048619</v>
      </c>
      <c r="GL195" s="640">
        <f t="shared" ca="1" si="566"/>
        <v>0</v>
      </c>
      <c r="GM195" s="530">
        <f t="shared" ca="1" si="567"/>
        <v>0</v>
      </c>
      <c r="GN195" s="530">
        <f t="shared" ca="1" si="568"/>
        <v>0</v>
      </c>
      <c r="GO195" s="622">
        <f t="shared" ca="1" si="569"/>
        <v>0</v>
      </c>
      <c r="GP195" s="530">
        <f t="shared" ca="1" si="464"/>
        <v>0</v>
      </c>
      <c r="GQ195" s="545">
        <f t="shared" ca="1" si="465"/>
        <v>0</v>
      </c>
      <c r="GR195" s="625">
        <f t="shared" ca="1" si="570"/>
        <v>0</v>
      </c>
      <c r="GS195" s="640">
        <f>IF($A195&gt;=BegDate,Assumptions!$C$56*24*($A196-$A195)*(1-VLOOKUP($B195,MAIN!$AA$7:$AM$28,$C195+1))*(1-VLOOKUP($B195,MAIN!$AA$33:$AM$54,$C195+1)),0)*80/168</f>
        <v>257742.85714285713</v>
      </c>
      <c r="GT195" s="1715">
        <f t="shared" si="508"/>
        <v>40.643743362216547</v>
      </c>
      <c r="GU195" s="1715">
        <f>IF($A195&gt;=BegDate,VLOOKUP($A195,GasTable,13)+Assumptions!$C$58,0)</f>
        <v>3.2114087928315582</v>
      </c>
      <c r="GV195" s="1715">
        <f>GU195*Assumptions!$C$57/1000</f>
        <v>23.282713748028797</v>
      </c>
      <c r="GW195" s="625">
        <f>IF(Assumptions!$C$60="Hourly",MAX(0,GS195*(GT195-GV195)),GS195*(GT195-GV195))</f>
        <v>4474681.375702505</v>
      </c>
      <c r="GX195" s="640">
        <f>IF($A195&gt;=BegDate,Assumptions!$C$56*24*($A196-$A195)*(1-VLOOKUP($B195,MAIN!$AA$7:$AM$28,$C195+1))*(1-VLOOKUP($B195,MAIN!$AA$33:$AM$54,$C195+1)),0)*16/168</f>
        <v>51548.571428571428</v>
      </c>
      <c r="GY195" s="1715">
        <f t="shared" si="509"/>
        <v>40.643743362216547</v>
      </c>
      <c r="GZ195" s="1715">
        <f>IF($A195&gt;=BegDate,VLOOKUP($A195,GasTable,13)+Assumptions!$C$58,0)</f>
        <v>3.2114087928315582</v>
      </c>
      <c r="HA195" s="1715">
        <f>GZ195*Assumptions!$C$57/1000</f>
        <v>23.282713748028797</v>
      </c>
      <c r="HB195" s="625">
        <f>IF(Assumptions!$C$60="Hourly",MAX(0,GX195*(GY195-HA195)),GX195*(GY195-HA195))</f>
        <v>894936.27514050109</v>
      </c>
      <c r="HC195" s="640">
        <f>IF($A195&gt;=BegDate,Assumptions!$C$56*24*($A196-$A195)*(1-VLOOKUP($B195,MAIN!$AA$7:$AM$28,$C195+1))*(1-VLOOKUP($B195,MAIN!$AA$33:$AM$54,$C195+1)),0)*16/168</f>
        <v>51548.571428571428</v>
      </c>
      <c r="HD195" s="1715">
        <f t="shared" si="510"/>
        <v>28.799563637628879</v>
      </c>
      <c r="HE195" s="1715">
        <f>IF($A195&gt;=BegDate,VLOOKUP($A195,GasTable,13)+Assumptions!$C$58,0)</f>
        <v>3.2114087928315582</v>
      </c>
      <c r="HF195" s="1715">
        <f>HE195*Assumptions!$C$57/1000</f>
        <v>23.282713748028797</v>
      </c>
      <c r="HG195" s="625">
        <f>IF(Assumptions!$C$60="Hourly",MAX(0,HC195*(HD195-HF195)),HC195*(HD195-HF195))</f>
        <v>284385.7305947562</v>
      </c>
      <c r="HH195" s="640">
        <f>IF($A195&gt;=BegDate,Assumptions!$C$56*24*($A196-$A195)*(1-VLOOKUP($B195,MAIN!$AA$7:$AM$28,$C195+1))*(1-VLOOKUP($B195,MAIN!$AA$33:$AM$54,$C195+1)),0)*56/168</f>
        <v>180420</v>
      </c>
      <c r="HI195" s="1715">
        <f t="shared" si="511"/>
        <v>28.799563637628879</v>
      </c>
      <c r="HJ195" s="1715">
        <f>IF($A195&gt;=BegDate,VLOOKUP($A195,GasTable,13)+Assumptions!$C$58,0)</f>
        <v>3.2114087928315582</v>
      </c>
      <c r="HK195" s="1715">
        <f>HJ195*Assumptions!$C$57/1000</f>
        <v>23.282713748028797</v>
      </c>
      <c r="HL195" s="625">
        <f>IF(Assumptions!$C$60="Hourly",MAX(0,HH195*(HI195-HK195)),HH195*(HI195-HK195))</f>
        <v>995350.05708164664</v>
      </c>
      <c r="HM195" s="640">
        <f>IF(AND(Assumptions!$H$71="Yes",A195&gt;=Assumptions!$H$72,A195&lt;=Assumptions!$H$73),Assumptions!$H$74*Assumptions!$C$9*1000,0)</f>
        <v>0</v>
      </c>
      <c r="HN195" s="530"/>
      <c r="HO195" s="545"/>
      <c r="HP195" s="545"/>
      <c r="HQ195" s="545"/>
      <c r="HR195" s="545"/>
      <c r="HS195" s="545"/>
      <c r="HT195" s="545"/>
      <c r="HU195" s="545"/>
      <c r="HV195" s="545"/>
      <c r="HW195" s="545"/>
      <c r="HX195" s="545"/>
      <c r="HY195" s="545"/>
      <c r="HZ195" s="545"/>
      <c r="IA195" s="545"/>
      <c r="IB195" s="545"/>
      <c r="IC195" s="545"/>
      <c r="ID195" s="545"/>
      <c r="IE195" s="545"/>
      <c r="IF195" s="545"/>
      <c r="IG195" s="545"/>
      <c r="IH195" s="545"/>
      <c r="II195" s="1464"/>
      <c r="IJ195" s="1463"/>
      <c r="IK195" s="1463"/>
    </row>
    <row r="196" spans="1:245">
      <c r="A196" s="177">
        <f t="shared" si="466"/>
        <v>42095</v>
      </c>
      <c r="B196" s="349">
        <f t="shared" si="467"/>
        <v>2015</v>
      </c>
      <c r="C196" s="15">
        <f t="shared" si="571"/>
        <v>4</v>
      </c>
      <c r="D196" s="612" t="str">
        <f t="shared" si="468"/>
        <v/>
      </c>
      <c r="E196" s="609">
        <f t="shared" si="572"/>
        <v>42095</v>
      </c>
      <c r="F196" s="614">
        <f t="shared" si="573"/>
        <v>42124</v>
      </c>
      <c r="G196" s="1349">
        <v>0</v>
      </c>
      <c r="H196" s="152">
        <f t="shared" si="512"/>
        <v>1</v>
      </c>
      <c r="I196" s="154">
        <f>IF(Assumptions!$L$25=4,VLOOKUP($A196,'Henwood Reference'!$E$9:$R$320,10),(VLOOKUP($A196,PriceTable,2,0)+IF(BasisNumber&lt;&gt;1,VLOOKUP($A196,BasisTable,2,0),0)+I$1)/(1-I$2))</f>
        <v>41.770100574560004</v>
      </c>
      <c r="J196" s="154">
        <f>IF(Assumptions!$L$25=4,VLOOKUP($A196,'Henwood Reference'!$E$9:$R$320,10),(VLOOKUP($A196,PriceTable,3,0)+IF(BasisNumber&lt;&gt;1,VLOOKUP($A196,BasisTable,2,0),0)+J$1)/(1-J$2))</f>
        <v>41.770100574560004</v>
      </c>
      <c r="K196" s="154">
        <f>IF(Assumptions!$L$25=4,VLOOKUP($A196,'Henwood Reference'!$E$9:$R$320,10),(VLOOKUP($A196,PriceTable,4,0)+IF(BasisNumber&lt;&gt;1,VLOOKUP($A196,BasisTable,2,0),0)+K$1)/(1-K$2))</f>
        <v>41.770100574560004</v>
      </c>
      <c r="L196" s="474">
        <f>IF(Assumptions!$L$25=4,VLOOKUP($A196,'Henwood Reference'!$E$9:$R$320,10),(VLOOKUP($A196,PriceTableWeekend,2,0)+IF(BasisNumber&lt;&gt;1,VLOOKUP($A196,BasisTable,2,0),0)+L$1)/(1-L$2))</f>
        <v>41.770100574560004</v>
      </c>
      <c r="M196" s="154">
        <f>IF(Assumptions!$L$25=4,VLOOKUP($A196,'Henwood Reference'!$E$9:$R$320,10),(VLOOKUP($A196,PriceTableWeekend,3,0)+IF(BasisNumber&lt;&gt;1,VLOOKUP($A196,BasisTable,2,0),0)+M$1)/(1-M$2))</f>
        <v>41.770100574560004</v>
      </c>
      <c r="N196" s="156">
        <f>IF(Assumptions!$L$25=4,VLOOKUP($A196,'Henwood Reference'!$E$9:$R$320,10),(VLOOKUP($A196,PriceTableWeekend,4,0)+IF(BasisNumber&lt;&gt;1,VLOOKUP($A196,BasisTable,2,0),0)+N$1)/(1-N$2))</f>
        <v>41.770100574560004</v>
      </c>
      <c r="O196" s="154">
        <f>IF(Assumptions!$L$25=4,VLOOKUP($A196,'Henwood Reference'!$E$9:$R$320,11),(VLOOKUP($A196,PriceTableWeekend,6,0)+IF(BasisNumber&lt;&gt;1,VLOOKUP($A196,BasisTable,3,0),0)+O$1)/(1-O$2))</f>
        <v>27.19380812317436</v>
      </c>
      <c r="P196" s="154">
        <f>IF(Assumptions!$L$25=4,VLOOKUP($A196,'Henwood Reference'!$E$9:$R$320,11),(VLOOKUP($A196,PriceTableWeekend,7,0)+IF(BasisNumber&lt;&gt;1,VLOOKUP($A196,BasisTable,3,0),0)+P$1)/(1-P$2))</f>
        <v>27.19380812317436</v>
      </c>
      <c r="Q196" s="156">
        <f>IF(Assumptions!$L$25=4,VLOOKUP($A196,'Henwood Reference'!$E$9:$R$320,11),(VLOOKUP($A196,PriceTableWeekend,8,0)+IF(BasisNumber&lt;&gt;1,VLOOKUP($A196,BasisTable,3,0),0)+Q$1)/(1-Q$2))</f>
        <v>27.19380812317436</v>
      </c>
      <c r="R196" s="154">
        <f>IF(Assumptions!$L$25=4,VLOOKUP($A196,'Henwood Reference'!$E$9:$R$320,11),(VLOOKUP($A196,PriceTable,6,0)+IF(BasisNumber&lt;&gt;1,VLOOKUP($A196,BasisTable,3,0),0)+R$1)/(1-R$2))</f>
        <v>27.19380812317436</v>
      </c>
      <c r="S196" s="154">
        <f>IF(Assumptions!$L$25=4,VLOOKUP($A196,'Henwood Reference'!$E$9:$R$320,11),(VLOOKUP($A196,PriceTable,7,0)+IF(BasisNumber&lt;&gt;1,VLOOKUP($A196,BasisTable,3,0),0)+S$1)/(1-S$2))</f>
        <v>27.19380812317436</v>
      </c>
      <c r="T196" s="155">
        <f>IF(Assumptions!$L$25=4,VLOOKUP($A196,'Henwood Reference'!$E$9:$R$320,11),(VLOOKUP($A196,PriceTable,8,0)+IF(BasisNumber&lt;&gt;1,VLOOKUP($A196,BasisTable,3,0),0)+T$1)/(1-T$2))</f>
        <v>27.19380812317436</v>
      </c>
      <c r="U196" s="173">
        <f t="shared" si="469"/>
        <v>9.4999999999999932E-2</v>
      </c>
      <c r="V196" s="173">
        <f t="shared" si="470"/>
        <v>0.105</v>
      </c>
      <c r="W196" s="174">
        <f t="shared" si="471"/>
        <v>0.115</v>
      </c>
      <c r="X196" s="173">
        <f t="shared" si="472"/>
        <v>9.4999999999999932E-2</v>
      </c>
      <c r="Y196" s="173">
        <f t="shared" si="473"/>
        <v>0.105</v>
      </c>
      <c r="Z196" s="174">
        <f t="shared" si="474"/>
        <v>0.115</v>
      </c>
      <c r="AA196" s="173">
        <f t="shared" si="475"/>
        <v>0.09</v>
      </c>
      <c r="AB196" s="173">
        <f t="shared" si="476"/>
        <v>0.11</v>
      </c>
      <c r="AC196" s="174">
        <f t="shared" si="477"/>
        <v>0.13</v>
      </c>
      <c r="AD196" s="173">
        <f t="shared" si="478"/>
        <v>0.09</v>
      </c>
      <c r="AE196" s="173">
        <f t="shared" si="479"/>
        <v>0.11</v>
      </c>
      <c r="AF196" s="174">
        <f t="shared" si="480"/>
        <v>0.13</v>
      </c>
      <c r="AG196" s="173">
        <f t="shared" si="481"/>
        <v>-0.1</v>
      </c>
      <c r="AH196" s="173">
        <f t="shared" si="482"/>
        <v>0.65</v>
      </c>
      <c r="AI196" s="174">
        <f t="shared" si="483"/>
        <v>0.1</v>
      </c>
      <c r="AJ196" s="173">
        <f t="shared" si="484"/>
        <v>-0.1</v>
      </c>
      <c r="AK196" s="173">
        <f t="shared" si="485"/>
        <v>0.65</v>
      </c>
      <c r="AL196" s="174">
        <f t="shared" si="486"/>
        <v>0.1</v>
      </c>
      <c r="AM196" s="173">
        <f t="shared" si="487"/>
        <v>-0.01</v>
      </c>
      <c r="AN196" s="173">
        <f t="shared" si="488"/>
        <v>0.16</v>
      </c>
      <c r="AO196" s="174">
        <f t="shared" si="489"/>
        <v>0.01</v>
      </c>
      <c r="AP196" s="173">
        <f t="shared" si="490"/>
        <v>-0.01</v>
      </c>
      <c r="AQ196" s="173">
        <f t="shared" si="491"/>
        <v>0.16</v>
      </c>
      <c r="AR196" s="175">
        <f t="shared" si="492"/>
        <v>0.01</v>
      </c>
      <c r="AS196" s="521">
        <f t="shared" si="576"/>
        <v>0.5</v>
      </c>
      <c r="AT196" s="349">
        <f t="shared" si="574"/>
        <v>22</v>
      </c>
      <c r="AU196" s="159">
        <f t="shared" si="411"/>
        <v>4</v>
      </c>
      <c r="AV196" s="159">
        <f t="shared" si="412"/>
        <v>4</v>
      </c>
      <c r="AW196" s="159">
        <f t="shared" si="577"/>
        <v>0</v>
      </c>
      <c r="AX196" s="15">
        <f t="shared" si="575"/>
        <v>30</v>
      </c>
      <c r="AY196" s="607">
        <f>IF(E196="",0,MIN((1-(1-VLOOKUP(B196,MAIN!$AA$7:$AM$28,C196+1))*(1-VLOOKUP(B196,MAIN!$AA$33:$AM$54,C196+1))),1))</f>
        <v>0.70899999999999996</v>
      </c>
      <c r="AZ196" s="337">
        <v>15364.800000000001</v>
      </c>
      <c r="BA196" s="509">
        <v>2793.6000000000004</v>
      </c>
      <c r="BB196" s="509">
        <v>2793.6000000000004</v>
      </c>
      <c r="BC196" s="511">
        <v>10476.000000000002</v>
      </c>
      <c r="BD196" s="153">
        <v>0.29100000000000004</v>
      </c>
      <c r="BE196" s="474">
        <v>0.29100000000000004</v>
      </c>
      <c r="BF196" s="474">
        <v>0.29100000000000004</v>
      </c>
      <c r="BG196" s="515">
        <v>0.291000002168119</v>
      </c>
      <c r="BH196" s="262">
        <v>61459.200000000004</v>
      </c>
      <c r="BI196" s="509">
        <v>11174.400000000001</v>
      </c>
      <c r="BJ196" s="509">
        <v>11174.400000000001</v>
      </c>
      <c r="BK196" s="511">
        <v>41904.000000000007</v>
      </c>
      <c r="BL196" s="153">
        <v>0.29100000000000004</v>
      </c>
      <c r="BM196" s="474">
        <v>0.29100000000000004</v>
      </c>
      <c r="BN196" s="474">
        <v>0.29100000000000004</v>
      </c>
      <c r="BO196" s="474">
        <v>0.291000002168119</v>
      </c>
      <c r="BP196" s="261">
        <f t="shared" si="495"/>
        <v>20952</v>
      </c>
      <c r="BQ196" s="578">
        <f t="shared" si="496"/>
        <v>31428</v>
      </c>
      <c r="BR196" s="259">
        <f t="shared" si="497"/>
        <v>83808</v>
      </c>
      <c r="BS196" s="578">
        <f t="shared" si="498"/>
        <v>125712</v>
      </c>
      <c r="BT196" s="216">
        <f t="shared" si="499"/>
        <v>14.962354551676933</v>
      </c>
      <c r="BU196" s="218">
        <f t="shared" si="414"/>
        <v>41.770100574560004</v>
      </c>
      <c r="BV196" s="216">
        <f t="shared" si="415"/>
        <v>41.770100574560004</v>
      </c>
      <c r="BW196" s="216">
        <f t="shared" si="416"/>
        <v>27.19380812317436</v>
      </c>
      <c r="BX196" s="216">
        <f t="shared" si="500"/>
        <v>27.193808325784019</v>
      </c>
      <c r="BY196" s="216">
        <f t="shared" si="417"/>
        <v>39.826594914375256</v>
      </c>
      <c r="BZ196" s="216">
        <f t="shared" si="418"/>
        <v>35.615666051511511</v>
      </c>
      <c r="CA196" s="264">
        <f t="shared" si="419"/>
        <v>41.770100574560004</v>
      </c>
      <c r="CB196" s="216">
        <f t="shared" si="420"/>
        <v>41.770100574560004</v>
      </c>
      <c r="CC196" s="216">
        <f t="shared" si="421"/>
        <v>27.19380812317436</v>
      </c>
      <c r="CD196" s="216">
        <f t="shared" si="501"/>
        <v>27.193808325784019</v>
      </c>
      <c r="CE196" s="216">
        <f t="shared" si="422"/>
        <v>39.826594914375256</v>
      </c>
      <c r="CF196" s="571">
        <f t="shared" si="423"/>
        <v>35.615666051511511</v>
      </c>
      <c r="CG196" s="573">
        <f t="shared" si="424"/>
        <v>0.105</v>
      </c>
      <c r="CH196" s="219">
        <f t="shared" si="425"/>
        <v>0.105</v>
      </c>
      <c r="CI196" s="219">
        <f t="shared" si="426"/>
        <v>0.11</v>
      </c>
      <c r="CJ196" s="219">
        <f t="shared" si="427"/>
        <v>0.10545683934948935</v>
      </c>
      <c r="CK196" s="219">
        <f t="shared" si="428"/>
        <v>0.10545683934948935</v>
      </c>
      <c r="CL196" s="219">
        <f t="shared" si="429"/>
        <v>0.11</v>
      </c>
      <c r="CM196" s="219">
        <f t="shared" si="430"/>
        <v>9.6006620445163268E-2</v>
      </c>
      <c r="CN196" s="569">
        <f t="shared" si="431"/>
        <v>9.6006620445163268E-2</v>
      </c>
      <c r="CO196" s="264">
        <f t="shared" si="514"/>
        <v>21.877675830992608</v>
      </c>
      <c r="CP196" s="216">
        <f t="shared" si="502"/>
        <v>21.877675830992608</v>
      </c>
      <c r="CQ196" s="216">
        <f t="shared" ca="1" si="532"/>
        <v>21.877675830992608</v>
      </c>
      <c r="CR196" s="216">
        <f t="shared" ca="1" si="533"/>
        <v>21.877675830992608</v>
      </c>
      <c r="CS196" s="1626">
        <f t="shared" ca="1" si="534"/>
        <v>21.877675830992612</v>
      </c>
      <c r="CT196" s="216">
        <f t="shared" si="503"/>
        <v>21.877675830992608</v>
      </c>
      <c r="CU196" s="575">
        <f t="shared" si="432"/>
        <v>0.153</v>
      </c>
      <c r="CV196" s="154">
        <f t="shared" si="433"/>
        <v>0.5</v>
      </c>
      <c r="CW196" s="216">
        <f>IF(OR($BQ196,$BS196),SpreadOptPowerMargin,0)*((1+Assumptions!$C$26)^($B196-YEAR(Assumptions!$C$17)))</f>
        <v>2.2828352302125814</v>
      </c>
      <c r="CX196" s="216">
        <f>IF(OR($BQ196,$BS196),SpreadOptPowerMargin,0)*((1+Assumptions!$C$26)^($B196-YEAR(Assumptions!$C$17)))</f>
        <v>2.2828352302125814</v>
      </c>
      <c r="CY196" s="216">
        <f>IF(OR($BQ196,$BS196),SpreadOptPowerMargin,0)*((1+Assumptions!$C$26)^($B196-YEAR(Assumptions!$C$17)))</f>
        <v>2.2828352302125814</v>
      </c>
      <c r="CZ196" s="216">
        <f>IF(OR($BQ196,$BS196),SpreadOptPowerMargin,0)*((1+Assumptions!$C$26)^($B196-YEAR(Assumptions!$C$17)))</f>
        <v>2.2828352302125814</v>
      </c>
      <c r="DA196" s="440">
        <f t="shared" si="434"/>
        <v>2.2828352302125814</v>
      </c>
      <c r="DB196" s="479">
        <f t="shared" si="435"/>
        <v>0.105</v>
      </c>
      <c r="DC196" s="479">
        <f t="shared" si="436"/>
        <v>0.105</v>
      </c>
      <c r="DD196" s="479">
        <f t="shared" si="437"/>
        <v>0.11</v>
      </c>
      <c r="DE196" s="479">
        <f t="shared" si="438"/>
        <v>0.11</v>
      </c>
      <c r="DF196" s="479">
        <f t="shared" si="439"/>
        <v>9.6006620445163268E-2</v>
      </c>
      <c r="DG196" s="574">
        <f t="shared" si="440"/>
        <v>9.6006620445163268E-2</v>
      </c>
      <c r="DH196" s="216">
        <f t="shared" si="441"/>
        <v>18.626552460646892</v>
      </c>
      <c r="DI196" s="216">
        <f t="shared" si="442"/>
        <v>18.626552460646892</v>
      </c>
      <c r="DJ196" s="216">
        <f t="shared" ca="1" si="535"/>
        <v>6.6364768047015605</v>
      </c>
      <c r="DK196" s="216">
        <f t="shared" ca="1" si="536"/>
        <v>6.6364769447428058</v>
      </c>
      <c r="DL196" s="216">
        <f t="shared" ca="1" si="537"/>
        <v>13.101246302638902</v>
      </c>
      <c r="DM196" s="216"/>
      <c r="DN196" s="216"/>
      <c r="DO196" s="216"/>
      <c r="DP196" s="216"/>
      <c r="DQ196" s="216"/>
      <c r="DR196" s="216"/>
      <c r="DS196" s="216"/>
      <c r="DT196" s="216"/>
      <c r="DU196" s="216"/>
      <c r="DV196" s="216"/>
      <c r="DW196" s="1371">
        <f t="shared" si="443"/>
        <v>6.6364768047015605</v>
      </c>
      <c r="DX196" s="216">
        <f t="shared" si="444"/>
        <v>6.6364769447428058</v>
      </c>
      <c r="DY196" s="440">
        <f t="shared" si="445"/>
        <v>13.564076119261498</v>
      </c>
      <c r="DZ196" s="180">
        <f t="shared" si="446"/>
        <v>286193.25324734737</v>
      </c>
      <c r="EA196" s="180">
        <f t="shared" si="447"/>
        <v>52035.136954063164</v>
      </c>
      <c r="EB196" s="180">
        <f t="shared" ca="1" si="538"/>
        <v>18539.661601614283</v>
      </c>
      <c r="EC196" s="180">
        <f t="shared" ca="1" si="539"/>
        <v>69523.732473125652</v>
      </c>
      <c r="ED196" s="180">
        <f t="shared" ca="1" si="540"/>
        <v>411745.96879933542</v>
      </c>
      <c r="EE196" s="581">
        <f t="shared" si="448"/>
        <v>270567.82095479412</v>
      </c>
      <c r="EF196" s="554">
        <f t="shared" si="449"/>
        <v>49194.149264508022</v>
      </c>
      <c r="EG196" s="554">
        <f t="shared" ca="1" si="541"/>
        <v>8473.8186723170802</v>
      </c>
      <c r="EH196" s="554">
        <f t="shared" ca="1" si="542"/>
        <v>31776.822143727837</v>
      </c>
      <c r="EI196" s="561">
        <f t="shared" ca="1" si="450"/>
        <v>360012.61103534698</v>
      </c>
      <c r="EJ196" s="581">
        <f t="shared" si="504"/>
        <v>15625.432292553247</v>
      </c>
      <c r="EK196" s="554">
        <f t="shared" si="505"/>
        <v>2840.9876895551424</v>
      </c>
      <c r="EL196" s="554">
        <f t="shared" ca="1" si="543"/>
        <v>10065.842929297203</v>
      </c>
      <c r="EM196" s="554">
        <f t="shared" ca="1" si="544"/>
        <v>37746.910329397811</v>
      </c>
      <c r="EN196" s="561">
        <f t="shared" ca="1" si="545"/>
        <v>51733.357763988432</v>
      </c>
      <c r="EO196" s="180">
        <f t="shared" si="451"/>
        <v>1144773.0129893895</v>
      </c>
      <c r="EP196" s="180">
        <f t="shared" si="452"/>
        <v>208140.54781625266</v>
      </c>
      <c r="EQ196" s="180">
        <f t="shared" si="453"/>
        <v>74158.646406457134</v>
      </c>
      <c r="ER196" s="180">
        <f t="shared" si="454"/>
        <v>278094.92989250261</v>
      </c>
      <c r="ES196" s="180">
        <f t="shared" si="455"/>
        <v>1705167.1371046016</v>
      </c>
      <c r="ET196" s="1482">
        <f t="shared" ca="1" si="546"/>
        <v>1082271.2838191765</v>
      </c>
      <c r="EU196" s="180">
        <f t="shared" ca="1" si="547"/>
        <v>196776.59705803209</v>
      </c>
      <c r="EV196" s="180">
        <f t="shared" ca="1" si="548"/>
        <v>33895.274689268321</v>
      </c>
      <c r="EW196" s="180">
        <f t="shared" ca="1" si="549"/>
        <v>127107.28857491135</v>
      </c>
      <c r="EX196" s="555">
        <f t="shared" ca="1" si="522"/>
        <v>1440050.4441413884</v>
      </c>
      <c r="EY196" s="180">
        <f t="shared" ca="1" si="550"/>
        <v>62501.729170212988</v>
      </c>
      <c r="EZ196" s="180">
        <f t="shared" ca="1" si="551"/>
        <v>11363.95075822057</v>
      </c>
      <c r="FA196" s="180">
        <f t="shared" ca="1" si="552"/>
        <v>40263.371717188813</v>
      </c>
      <c r="FB196" s="180">
        <f t="shared" ca="1" si="553"/>
        <v>150987.64131759125</v>
      </c>
      <c r="FC196" s="180">
        <f t="shared" ca="1" si="554"/>
        <v>265116.69296321319</v>
      </c>
      <c r="FD196" s="262">
        <f>IF(AX196,IF(VLOOKUP(C196,MAIN!$L$17:$M$28,2)="Yes",VLOOKUP(CALC!B196,MAIN!$H$17:$I$20,2),0),0)</f>
        <v>0</v>
      </c>
      <c r="FE196" s="623">
        <f t="shared" si="456"/>
        <v>0</v>
      </c>
      <c r="FF196" s="535">
        <f t="shared" si="457"/>
        <v>0</v>
      </c>
      <c r="FG196" s="535">
        <f t="shared" si="458"/>
        <v>0</v>
      </c>
      <c r="FH196" s="624">
        <f t="shared" si="459"/>
        <v>0</v>
      </c>
      <c r="FI196" s="632">
        <f>IF(AX196,VLOOKUP(CALC!B196,MAIN!$H$17:$K$20,4),0)</f>
        <v>0</v>
      </c>
      <c r="FJ196" s="535">
        <f t="shared" si="460"/>
        <v>0</v>
      </c>
      <c r="FK196" s="648">
        <f t="shared" si="506"/>
        <v>0</v>
      </c>
      <c r="FL196" s="530">
        <f t="shared" ca="1" si="555"/>
        <v>0</v>
      </c>
      <c r="FM196" s="530">
        <f t="shared" ca="1" si="556"/>
        <v>0</v>
      </c>
      <c r="FN196" s="530">
        <f t="shared" ca="1" si="557"/>
        <v>0</v>
      </c>
      <c r="FO196" s="622">
        <f t="shared" ca="1" si="558"/>
        <v>0</v>
      </c>
      <c r="FP196" s="530">
        <f t="shared" ca="1" si="559"/>
        <v>0</v>
      </c>
      <c r="FQ196" s="530">
        <f t="shared" ca="1" si="560"/>
        <v>0</v>
      </c>
      <c r="FR196" s="530">
        <f t="shared" ca="1" si="561"/>
        <v>0</v>
      </c>
      <c r="FS196" s="625">
        <f t="shared" ca="1" si="562"/>
        <v>0</v>
      </c>
      <c r="FT196" s="640">
        <f ca="1">IF(AND(Assumptions!$H$71="Yes",A196&gt;=Assumptions!$H$72,A196&lt;=Assumptions!$H$73),0,IF(AND($A196&gt;=Assumptions!$C$17,$A196&lt;=Assumptions!$C$18),MAX(AZ196*(1+VLOOKUP($C196,WeatherCapacityAdjustment,2))-FL196,0),0))</f>
        <v>15364.800000000001</v>
      </c>
      <c r="FU196" s="530">
        <f ca="1">IF(AND(Assumptions!$H$71="Yes",A196&gt;=Assumptions!$H$72,A196&lt;=Assumptions!$H$73),0,IF(AND($A196&gt;=Assumptions!$C$17,$A196&lt;=Assumptions!$C$18),MAX(BA196*(1+VLOOKUP($C196,WeatherCapacityAdjustment,2))-FM196,0),0))</f>
        <v>2793.6000000000004</v>
      </c>
      <c r="FV196" s="530">
        <f ca="1">IF(AND(Assumptions!$H$71="Yes",A196&gt;=Assumptions!$H$72,A196&lt;=Assumptions!$H$73),0,IF(AND($A196&gt;=Assumptions!$C$17,$A196&lt;=Assumptions!$C$18),MAX(BB196*(1+VLOOKUP($C196,WeatherCapacityAdjustment,2))-FN196,0),0))</f>
        <v>2793.6000000000004</v>
      </c>
      <c r="FW196" s="622">
        <f ca="1">IF(AND(Assumptions!$H$71="Yes",A196&gt;=Assumptions!$H$72,A196&lt;=Assumptions!$H$73),0,IF(AND($A196&gt;=Assumptions!$C$17,$A196&lt;=Assumptions!$C$18),MAX(BC196*(1+VLOOKUP($C196,WeatherCapacityAdjustment,3))-FO196,0),0))</f>
        <v>10476.000000000002</v>
      </c>
      <c r="FX196" s="621">
        <f ca="1">IF(AND(Assumptions!$H$71="Yes",A196&gt;=Assumptions!$H$72,A196&lt;=Assumptions!$H$73),0,IF(ET196&gt;0,MAX(BH196*(1+VLOOKUP($C196,WeatherCapacityAdjustment,2))-FP196,0),0))</f>
        <v>61459.200000000004</v>
      </c>
      <c r="FY196" s="530">
        <f ca="1">IF(AND(Assumptions!$H$71="Yes",A196&gt;=Assumptions!$H$72,A196&lt;=Assumptions!$H$73),0,IF(EU196&gt;0,MAX(BI196*(1+VLOOKUP($C196,WeatherCapacityAdjustment,3))-FQ196,0),0))</f>
        <v>11174.400000000001</v>
      </c>
      <c r="FZ196" s="530">
        <f ca="1">IF(AND(Assumptions!$H$71="Yes",A196&gt;=Assumptions!$H$72,A196&lt;=Assumptions!$H$73),0,IF(EV196&gt;0,MAX(BJ196*(1+VLOOKUP($C196,WeatherCapacityAdjustment,2))-FR196,0),0))</f>
        <v>11174.400000000001</v>
      </c>
      <c r="GA196" s="622">
        <f ca="1">IF(AND(Assumptions!$H$71="Yes",A196&gt;=Assumptions!$H$72,A196&lt;=Assumptions!$H$73),0,IF(EW196&gt;0,MAX(BK196*(1+VLOOKUP($C196,WeatherCapacityAdjustment,2))-FS196,0),0))</f>
        <v>41904.000000000007</v>
      </c>
      <c r="GB196" s="530">
        <f t="shared" ca="1" si="461"/>
        <v>157140</v>
      </c>
      <c r="GC196" s="545">
        <f t="shared" ca="1" si="462"/>
        <v>35.615666051511511</v>
      </c>
      <c r="GD196" s="530">
        <f t="shared" ca="1" si="563"/>
        <v>5596645.7633345183</v>
      </c>
      <c r="GE196" s="1485">
        <f t="shared" ca="1" si="564"/>
        <v>221095.98000000004</v>
      </c>
      <c r="GF196" s="1776">
        <f t="shared" ca="1" si="565"/>
        <v>884383.91999999993</v>
      </c>
      <c r="GG196" s="545">
        <f t="shared" si="530"/>
        <v>3.1098330960899232</v>
      </c>
      <c r="GH196" s="622">
        <f t="shared" ca="1" si="531"/>
        <v>3437857.9800821785</v>
      </c>
      <c r="GI196" s="621">
        <f t="shared" ca="1" si="507"/>
        <v>157140</v>
      </c>
      <c r="GJ196" s="638">
        <f t="shared" si="463"/>
        <v>2.2828352302125814</v>
      </c>
      <c r="GK196" s="625">
        <f t="shared" ca="1" si="513"/>
        <v>358724.72807560506</v>
      </c>
      <c r="GL196" s="640">
        <f t="shared" ca="1" si="566"/>
        <v>0</v>
      </c>
      <c r="GM196" s="530">
        <f t="shared" ca="1" si="567"/>
        <v>0</v>
      </c>
      <c r="GN196" s="530">
        <f t="shared" ca="1" si="568"/>
        <v>0</v>
      </c>
      <c r="GO196" s="622">
        <f t="shared" ca="1" si="569"/>
        <v>0</v>
      </c>
      <c r="GP196" s="530">
        <f t="shared" ca="1" si="464"/>
        <v>0</v>
      </c>
      <c r="GQ196" s="545">
        <f t="shared" ca="1" si="465"/>
        <v>0</v>
      </c>
      <c r="GR196" s="625">
        <f t="shared" ca="1" si="570"/>
        <v>0</v>
      </c>
      <c r="GS196" s="640">
        <f>IF($A196&gt;=BegDate,Assumptions!$C$56*24*($A197-$A196)*(1-VLOOKUP($B196,MAIN!$AA$7:$AM$28,$C196+1))*(1-VLOOKUP($B196,MAIN!$AA$33:$AM$54,$C196+1)),0)*80/168</f>
        <v>74828.571428571435</v>
      </c>
      <c r="GT196" s="1715">
        <f t="shared" si="508"/>
        <v>41.770100574560004</v>
      </c>
      <c r="GU196" s="1715">
        <f>IF($A196&gt;=BegDate,VLOOKUP($A196,GasTable,13)+Assumptions!$C$58,0)</f>
        <v>3.1098330960899232</v>
      </c>
      <c r="GV196" s="1715">
        <f>GU196*Assumptions!$C$57/1000</f>
        <v>22.546289946651946</v>
      </c>
      <c r="GW196" s="625">
        <f>IF(Assumptions!$C$60="Hourly",MAX(0,GS196*(GT196-GV196)),GS196*(GT196-GV196))</f>
        <v>1438490.2866997488</v>
      </c>
      <c r="GX196" s="640">
        <f>IF($A196&gt;=BegDate,Assumptions!$C$56*24*($A197-$A196)*(1-VLOOKUP($B196,MAIN!$AA$7:$AM$28,$C196+1))*(1-VLOOKUP($B196,MAIN!$AA$33:$AM$54,$C196+1)),0)*16/168</f>
        <v>14965.714285714288</v>
      </c>
      <c r="GY196" s="1715">
        <f t="shared" si="509"/>
        <v>41.770100574560004</v>
      </c>
      <c r="GZ196" s="1715">
        <f>IF($A196&gt;=BegDate,VLOOKUP($A196,GasTable,13)+Assumptions!$C$58,0)</f>
        <v>3.1098330960899232</v>
      </c>
      <c r="HA196" s="1715">
        <f>GZ196*Assumptions!$C$57/1000</f>
        <v>22.546289946651946</v>
      </c>
      <c r="HB196" s="625">
        <f>IF(Assumptions!$C$60="Hourly",MAX(0,GX196*(GY196-HA196)),GX196*(GY196-HA196))</f>
        <v>287698.05733994977</v>
      </c>
      <c r="HC196" s="640">
        <f>IF($A196&gt;=BegDate,Assumptions!$C$56*24*($A197-$A196)*(1-VLOOKUP($B196,MAIN!$AA$7:$AM$28,$C196+1))*(1-VLOOKUP($B196,MAIN!$AA$33:$AM$54,$C196+1)),0)*16/168</f>
        <v>14965.714285714288</v>
      </c>
      <c r="HD196" s="1715">
        <f t="shared" si="510"/>
        <v>27.19380812317436</v>
      </c>
      <c r="HE196" s="1715">
        <f>IF($A196&gt;=BegDate,VLOOKUP($A196,GasTable,13)+Assumptions!$C$58,0)</f>
        <v>3.1098330960899232</v>
      </c>
      <c r="HF196" s="1715">
        <f>HE196*Assumptions!$C$57/1000</f>
        <v>22.546289946651946</v>
      </c>
      <c r="HG196" s="625">
        <f>IF(Assumptions!$C$60="Hourly",MAX(0,HC196*(HD196-HF196)),HC196*(HD196-HF196))</f>
        <v>69553.429167498311</v>
      </c>
      <c r="HH196" s="640">
        <f>IF($A196&gt;=BegDate,Assumptions!$C$56*24*($A197-$A196)*(1-VLOOKUP($B196,MAIN!$AA$7:$AM$28,$C196+1))*(1-VLOOKUP($B196,MAIN!$AA$33:$AM$54,$C196+1)),0)*56/168</f>
        <v>52380.000000000015</v>
      </c>
      <c r="HI196" s="1715">
        <f t="shared" si="511"/>
        <v>27.19380812317436</v>
      </c>
      <c r="HJ196" s="1715">
        <f>IF($A196&gt;=BegDate,VLOOKUP($A196,GasTable,13)+Assumptions!$C$58,0)</f>
        <v>3.1098330960899232</v>
      </c>
      <c r="HK196" s="1715">
        <f>HJ196*Assumptions!$C$57/1000</f>
        <v>22.546289946651946</v>
      </c>
      <c r="HL196" s="625">
        <f>IF(Assumptions!$C$60="Hourly",MAX(0,HH196*(HI196-HK196)),HH196*(HI196-HK196))</f>
        <v>243437.00208624412</v>
      </c>
      <c r="HM196" s="640">
        <f>IF(AND(Assumptions!$H$71="Yes",A196&gt;=Assumptions!$H$72,A196&lt;=Assumptions!$H$73),Assumptions!$H$74*Assumptions!$C$9*1000,0)</f>
        <v>0</v>
      </c>
      <c r="HN196" s="530"/>
      <c r="HO196" s="545"/>
      <c r="HP196" s="545"/>
      <c r="HQ196" s="545"/>
      <c r="HR196" s="545"/>
      <c r="HS196" s="545"/>
      <c r="HT196" s="545"/>
      <c r="HU196" s="545"/>
      <c r="HV196" s="545"/>
      <c r="HW196" s="545"/>
      <c r="HX196" s="545"/>
      <c r="HY196" s="545"/>
      <c r="HZ196" s="545"/>
      <c r="IA196" s="545"/>
      <c r="IB196" s="545"/>
      <c r="IC196" s="545"/>
      <c r="ID196" s="545"/>
      <c r="IE196" s="545"/>
      <c r="IF196" s="545"/>
      <c r="IG196" s="545"/>
      <c r="IH196" s="545"/>
      <c r="II196" s="1464"/>
      <c r="IJ196" s="1463"/>
      <c r="IK196" s="1463"/>
    </row>
    <row r="197" spans="1:245">
      <c r="A197" s="177">
        <f t="shared" si="466"/>
        <v>42125</v>
      </c>
      <c r="B197" s="349">
        <f t="shared" si="467"/>
        <v>2015</v>
      </c>
      <c r="C197" s="15">
        <f t="shared" si="571"/>
        <v>5</v>
      </c>
      <c r="D197" s="612">
        <f t="shared" si="468"/>
        <v>42149</v>
      </c>
      <c r="E197" s="609">
        <f t="shared" si="572"/>
        <v>42125</v>
      </c>
      <c r="F197" s="614">
        <f t="shared" si="573"/>
        <v>42155</v>
      </c>
      <c r="G197" s="1349">
        <v>0</v>
      </c>
      <c r="H197" s="152">
        <f t="shared" si="512"/>
        <v>1</v>
      </c>
      <c r="I197" s="154">
        <f>IF(Assumptions!$L$25=4,VLOOKUP($A197,'Henwood Reference'!$E$9:$R$320,10),(VLOOKUP($A197,PriceTable,2,0)+IF(BasisNumber&lt;&gt;1,VLOOKUP($A197,BasisTable,2,0),0)+I$1)/(1-I$2))</f>
        <v>46.815088040768011</v>
      </c>
      <c r="J197" s="154">
        <f>IF(Assumptions!$L$25=4,VLOOKUP($A197,'Henwood Reference'!$E$9:$R$320,10),(VLOOKUP($A197,PriceTable,3,0)+IF(BasisNumber&lt;&gt;1,VLOOKUP($A197,BasisTable,2,0),0)+J$1)/(1-J$2))</f>
        <v>46.815088040768011</v>
      </c>
      <c r="K197" s="154">
        <f>IF(Assumptions!$L$25=4,VLOOKUP($A197,'Henwood Reference'!$E$9:$R$320,10),(VLOOKUP($A197,PriceTable,4,0)+IF(BasisNumber&lt;&gt;1,VLOOKUP($A197,BasisTable,2,0),0)+K$1)/(1-K$2))</f>
        <v>46.815088040768011</v>
      </c>
      <c r="L197" s="474">
        <f>IF(Assumptions!$L$25=4,VLOOKUP($A197,'Henwood Reference'!$E$9:$R$320,10),(VLOOKUP($A197,PriceTableWeekend,2,0)+IF(BasisNumber&lt;&gt;1,VLOOKUP($A197,BasisTable,2,0),0)+L$1)/(1-L$2))</f>
        <v>46.815088040768011</v>
      </c>
      <c r="M197" s="154">
        <f>IF(Assumptions!$L$25=4,VLOOKUP($A197,'Henwood Reference'!$E$9:$R$320,10),(VLOOKUP($A197,PriceTableWeekend,3,0)+IF(BasisNumber&lt;&gt;1,VLOOKUP($A197,BasisTable,2,0),0)+M$1)/(1-M$2))</f>
        <v>46.815088040768011</v>
      </c>
      <c r="N197" s="156">
        <f>IF(Assumptions!$L$25=4,VLOOKUP($A197,'Henwood Reference'!$E$9:$R$320,10),(VLOOKUP($A197,PriceTableWeekend,4,0)+IF(BasisNumber&lt;&gt;1,VLOOKUP($A197,BasisTable,2,0),0)+N$1)/(1-N$2))</f>
        <v>46.815088040768011</v>
      </c>
      <c r="O197" s="154">
        <f>IF(Assumptions!$L$25=4,VLOOKUP($A197,'Henwood Reference'!$E$9:$R$320,11),(VLOOKUP($A197,PriceTableWeekend,6,0)+IF(BasisNumber&lt;&gt;1,VLOOKUP($A197,BasisTable,3,0),0)+O$1)/(1-O$2))</f>
        <v>26.969317284341894</v>
      </c>
      <c r="P197" s="154">
        <f>IF(Assumptions!$L$25=4,VLOOKUP($A197,'Henwood Reference'!$E$9:$R$320,11),(VLOOKUP($A197,PriceTableWeekend,7,0)+IF(BasisNumber&lt;&gt;1,VLOOKUP($A197,BasisTable,3,0),0)+P$1)/(1-P$2))</f>
        <v>26.969317284341894</v>
      </c>
      <c r="Q197" s="156">
        <f>IF(Assumptions!$L$25=4,VLOOKUP($A197,'Henwood Reference'!$E$9:$R$320,11),(VLOOKUP($A197,PriceTableWeekend,8,0)+IF(BasisNumber&lt;&gt;1,VLOOKUP($A197,BasisTable,3,0),0)+Q$1)/(1-Q$2))</f>
        <v>26.969317284341894</v>
      </c>
      <c r="R197" s="154">
        <f>IF(Assumptions!$L$25=4,VLOOKUP($A197,'Henwood Reference'!$E$9:$R$320,11),(VLOOKUP($A197,PriceTable,6,0)+IF(BasisNumber&lt;&gt;1,VLOOKUP($A197,BasisTable,3,0),0)+R$1)/(1-R$2))</f>
        <v>26.969317284341894</v>
      </c>
      <c r="S197" s="154">
        <f>IF(Assumptions!$L$25=4,VLOOKUP($A197,'Henwood Reference'!$E$9:$R$320,11),(VLOOKUP($A197,PriceTable,7,0)+IF(BasisNumber&lt;&gt;1,VLOOKUP($A197,BasisTable,3,0),0)+S$1)/(1-S$2))</f>
        <v>26.969317284341894</v>
      </c>
      <c r="T197" s="155">
        <f>IF(Assumptions!$L$25=4,VLOOKUP($A197,'Henwood Reference'!$E$9:$R$320,11),(VLOOKUP($A197,PriceTable,8,0)+IF(BasisNumber&lt;&gt;1,VLOOKUP($A197,BasisTable,3,0),0)+T$1)/(1-T$2))</f>
        <v>26.969317284341894</v>
      </c>
      <c r="U197" s="173">
        <f t="shared" si="469"/>
        <v>9.4999999999999932E-2</v>
      </c>
      <c r="V197" s="173">
        <f t="shared" si="470"/>
        <v>0.105</v>
      </c>
      <c r="W197" s="174">
        <f t="shared" si="471"/>
        <v>0.115</v>
      </c>
      <c r="X197" s="173">
        <f t="shared" si="472"/>
        <v>9.4999999999999932E-2</v>
      </c>
      <c r="Y197" s="173">
        <f t="shared" si="473"/>
        <v>0.105</v>
      </c>
      <c r="Z197" s="174">
        <f t="shared" si="474"/>
        <v>0.115</v>
      </c>
      <c r="AA197" s="173">
        <f t="shared" si="475"/>
        <v>0.09</v>
      </c>
      <c r="AB197" s="173">
        <f t="shared" si="476"/>
        <v>0.11</v>
      </c>
      <c r="AC197" s="174">
        <f t="shared" si="477"/>
        <v>0.13</v>
      </c>
      <c r="AD197" s="173">
        <f t="shared" si="478"/>
        <v>0.09</v>
      </c>
      <c r="AE197" s="173">
        <f t="shared" si="479"/>
        <v>0.11</v>
      </c>
      <c r="AF197" s="174">
        <f t="shared" si="480"/>
        <v>0.13</v>
      </c>
      <c r="AG197" s="173">
        <f t="shared" si="481"/>
        <v>-0.1</v>
      </c>
      <c r="AH197" s="173">
        <f t="shared" si="482"/>
        <v>0.65</v>
      </c>
      <c r="AI197" s="174">
        <f t="shared" si="483"/>
        <v>0.1</v>
      </c>
      <c r="AJ197" s="173">
        <f t="shared" si="484"/>
        <v>-0.1</v>
      </c>
      <c r="AK197" s="173">
        <f t="shared" si="485"/>
        <v>0.65</v>
      </c>
      <c r="AL197" s="174">
        <f t="shared" si="486"/>
        <v>0.1</v>
      </c>
      <c r="AM197" s="173">
        <f t="shared" si="487"/>
        <v>-0.01</v>
      </c>
      <c r="AN197" s="173">
        <f t="shared" si="488"/>
        <v>0.16</v>
      </c>
      <c r="AO197" s="174">
        <f t="shared" si="489"/>
        <v>0.01</v>
      </c>
      <c r="AP197" s="173">
        <f t="shared" si="490"/>
        <v>-0.01</v>
      </c>
      <c r="AQ197" s="173">
        <f t="shared" si="491"/>
        <v>0.16</v>
      </c>
      <c r="AR197" s="175">
        <f t="shared" si="492"/>
        <v>0.01</v>
      </c>
      <c r="AS197" s="521">
        <f t="shared" si="576"/>
        <v>0.5</v>
      </c>
      <c r="AT197" s="349">
        <f t="shared" si="574"/>
        <v>20</v>
      </c>
      <c r="AU197" s="159">
        <f t="shared" si="411"/>
        <v>5</v>
      </c>
      <c r="AV197" s="159">
        <f t="shared" si="412"/>
        <v>5</v>
      </c>
      <c r="AW197" s="159">
        <f t="shared" si="577"/>
        <v>1</v>
      </c>
      <c r="AX197" s="15">
        <f t="shared" si="575"/>
        <v>31</v>
      </c>
      <c r="AY197" s="607">
        <f>IF(E197="",0,MIN((1-(1-VLOOKUP(B197,MAIN!$AA$7:$AM$28,C197+1))*(1-VLOOKUP(B197,MAIN!$AA$33:$AM$54,C197+1))),1))</f>
        <v>3.0000000000000027E-2</v>
      </c>
      <c r="AZ197" s="337">
        <v>46560</v>
      </c>
      <c r="BA197" s="509">
        <v>11640</v>
      </c>
      <c r="BB197" s="509">
        <v>13968</v>
      </c>
      <c r="BC197" s="511">
        <v>36084</v>
      </c>
      <c r="BD197" s="153">
        <v>0.97</v>
      </c>
      <c r="BE197" s="474">
        <v>0.97</v>
      </c>
      <c r="BF197" s="474">
        <v>0.97</v>
      </c>
      <c r="BG197" s="515">
        <v>0.97</v>
      </c>
      <c r="BH197" s="262">
        <v>186240</v>
      </c>
      <c r="BI197" s="509">
        <v>46560</v>
      </c>
      <c r="BJ197" s="509">
        <v>55872</v>
      </c>
      <c r="BK197" s="511">
        <v>144336</v>
      </c>
      <c r="BL197" s="153">
        <v>0.97</v>
      </c>
      <c r="BM197" s="474">
        <v>0.97</v>
      </c>
      <c r="BN197" s="474">
        <v>0.97</v>
      </c>
      <c r="BO197" s="474">
        <v>0.97</v>
      </c>
      <c r="BP197" s="261">
        <f t="shared" si="495"/>
        <v>72168</v>
      </c>
      <c r="BQ197" s="578">
        <f t="shared" si="496"/>
        <v>108252</v>
      </c>
      <c r="BR197" s="259">
        <f t="shared" si="497"/>
        <v>288672</v>
      </c>
      <c r="BS197" s="578">
        <f t="shared" si="498"/>
        <v>433008</v>
      </c>
      <c r="BT197" s="216">
        <f t="shared" si="499"/>
        <v>15.044490075290897</v>
      </c>
      <c r="BU197" s="218">
        <f t="shared" si="414"/>
        <v>46.815088040768011</v>
      </c>
      <c r="BV197" s="216">
        <f t="shared" si="415"/>
        <v>46.815088040768011</v>
      </c>
      <c r="BW197" s="216">
        <f t="shared" si="416"/>
        <v>26.969317284341894</v>
      </c>
      <c r="BX197" s="216">
        <f t="shared" si="500"/>
        <v>26.969317284341894</v>
      </c>
      <c r="BY197" s="216">
        <f t="shared" si="417"/>
        <v>42.973971120169409</v>
      </c>
      <c r="BZ197" s="216">
        <f t="shared" si="418"/>
        <v>37.639086508226903</v>
      </c>
      <c r="CA197" s="264">
        <f t="shared" si="419"/>
        <v>46.815088040768011</v>
      </c>
      <c r="CB197" s="216">
        <f t="shared" si="420"/>
        <v>46.815088040768011</v>
      </c>
      <c r="CC197" s="216">
        <f t="shared" si="421"/>
        <v>26.969317284341894</v>
      </c>
      <c r="CD197" s="216">
        <f t="shared" si="501"/>
        <v>26.969317284341894</v>
      </c>
      <c r="CE197" s="216">
        <f t="shared" si="422"/>
        <v>42.973971120169409</v>
      </c>
      <c r="CF197" s="571">
        <f t="shared" si="423"/>
        <v>37.639086508226903</v>
      </c>
      <c r="CG197" s="573">
        <f t="shared" si="424"/>
        <v>0.105</v>
      </c>
      <c r="CH197" s="219">
        <f t="shared" si="425"/>
        <v>0.105</v>
      </c>
      <c r="CI197" s="219">
        <f t="shared" si="426"/>
        <v>0.11</v>
      </c>
      <c r="CJ197" s="219">
        <f t="shared" si="427"/>
        <v>0.10560945289152517</v>
      </c>
      <c r="CK197" s="219">
        <f t="shared" si="428"/>
        <v>0.10560945289152517</v>
      </c>
      <c r="CL197" s="219">
        <f t="shared" si="429"/>
        <v>0.11</v>
      </c>
      <c r="CM197" s="219">
        <f t="shared" si="430"/>
        <v>9.6515808338777334E-2</v>
      </c>
      <c r="CN197" s="569">
        <f t="shared" si="431"/>
        <v>9.6515808338777334E-2</v>
      </c>
      <c r="CO197" s="264">
        <f t="shared" si="514"/>
        <v>21.686453424069537</v>
      </c>
      <c r="CP197" s="216">
        <f t="shared" si="502"/>
        <v>21.686453424069537</v>
      </c>
      <c r="CQ197" s="216">
        <f t="shared" ca="1" si="532"/>
        <v>21.686453424069537</v>
      </c>
      <c r="CR197" s="216">
        <f t="shared" ca="1" si="533"/>
        <v>21.686453424069537</v>
      </c>
      <c r="CS197" s="1626">
        <f t="shared" ca="1" si="534"/>
        <v>21.686453424069537</v>
      </c>
      <c r="CT197" s="216">
        <f t="shared" si="503"/>
        <v>21.686453424069537</v>
      </c>
      <c r="CU197" s="575">
        <f t="shared" si="432"/>
        <v>0.153</v>
      </c>
      <c r="CV197" s="154">
        <f t="shared" si="433"/>
        <v>0.5</v>
      </c>
      <c r="CW197" s="216">
        <f>IF(OR($BQ197,$BS197),SpreadOptPowerMargin,0)*((1+Assumptions!$C$26)^($B197-YEAR(Assumptions!$C$17)))</f>
        <v>2.2828352302125814</v>
      </c>
      <c r="CX197" s="216">
        <f>IF(OR($BQ197,$BS197),SpreadOptPowerMargin,0)*((1+Assumptions!$C$26)^($B197-YEAR(Assumptions!$C$17)))</f>
        <v>2.2828352302125814</v>
      </c>
      <c r="CY197" s="216">
        <f>IF(OR($BQ197,$BS197),SpreadOptPowerMargin,0)*((1+Assumptions!$C$26)^($B197-YEAR(Assumptions!$C$17)))</f>
        <v>2.2828352302125814</v>
      </c>
      <c r="CZ197" s="216">
        <f>IF(OR($BQ197,$BS197),SpreadOptPowerMargin,0)*((1+Assumptions!$C$26)^($B197-YEAR(Assumptions!$C$17)))</f>
        <v>2.2828352302125814</v>
      </c>
      <c r="DA197" s="440">
        <f t="shared" si="434"/>
        <v>2.2828352302125814</v>
      </c>
      <c r="DB197" s="479">
        <f t="shared" si="435"/>
        <v>0.105</v>
      </c>
      <c r="DC197" s="479">
        <f t="shared" si="436"/>
        <v>0.105</v>
      </c>
      <c r="DD197" s="479">
        <f t="shared" si="437"/>
        <v>0.11</v>
      </c>
      <c r="DE197" s="479">
        <f t="shared" si="438"/>
        <v>0.11</v>
      </c>
      <c r="DF197" s="479">
        <f t="shared" si="439"/>
        <v>9.6515808338777334E-2</v>
      </c>
      <c r="DG197" s="574">
        <f t="shared" si="440"/>
        <v>9.6515808338777334E-2</v>
      </c>
      <c r="DH197" s="216">
        <f t="shared" si="441"/>
        <v>23.497091139881622</v>
      </c>
      <c r="DI197" s="216">
        <f t="shared" si="442"/>
        <v>23.497091139881622</v>
      </c>
      <c r="DJ197" s="216">
        <f t="shared" ca="1" si="535"/>
        <v>6.587627735354789</v>
      </c>
      <c r="DK197" s="216">
        <f t="shared" ca="1" si="536"/>
        <v>6.587627735354789</v>
      </c>
      <c r="DL197" s="216">
        <f t="shared" ca="1" si="537"/>
        <v>15.014025955423181</v>
      </c>
      <c r="DM197" s="216"/>
      <c r="DN197" s="216"/>
      <c r="DO197" s="216"/>
      <c r="DP197" s="216"/>
      <c r="DQ197" s="216"/>
      <c r="DR197" s="216"/>
      <c r="DS197" s="216"/>
      <c r="DT197" s="216"/>
      <c r="DU197" s="216"/>
      <c r="DV197" s="216"/>
      <c r="DW197" s="1371">
        <f t="shared" si="443"/>
        <v>6.587627735354789</v>
      </c>
      <c r="DX197" s="216">
        <f t="shared" si="444"/>
        <v>6.587627735354789</v>
      </c>
      <c r="DY197" s="440">
        <f t="shared" si="445"/>
        <v>15.678737092627282</v>
      </c>
      <c r="DZ197" s="180">
        <f t="shared" si="446"/>
        <v>1094024.5634728884</v>
      </c>
      <c r="EA197" s="180">
        <f t="shared" si="447"/>
        <v>273506.14086822211</v>
      </c>
      <c r="EB197" s="180">
        <f t="shared" ca="1" si="538"/>
        <v>92015.984207435686</v>
      </c>
      <c r="EC197" s="180">
        <f t="shared" ca="1" si="539"/>
        <v>237707.9592025422</v>
      </c>
      <c r="ED197" s="180">
        <f t="shared" ca="1" si="540"/>
        <v>1625298.3377264701</v>
      </c>
      <c r="EE197" s="581">
        <f t="shared" si="448"/>
        <v>1063700.4194347833</v>
      </c>
      <c r="EF197" s="554">
        <f t="shared" si="449"/>
        <v>265925.10485869582</v>
      </c>
      <c r="EG197" s="554">
        <f t="shared" ca="1" si="541"/>
        <v>41904.399904674967</v>
      </c>
      <c r="EH197" s="554">
        <f t="shared" ca="1" si="542"/>
        <v>108253.033087077</v>
      </c>
      <c r="EI197" s="561">
        <f t="shared" ca="1" si="450"/>
        <v>1479782.957285231</v>
      </c>
      <c r="EJ197" s="581">
        <f t="shared" si="504"/>
        <v>30324.144038105151</v>
      </c>
      <c r="EK197" s="554">
        <f t="shared" si="505"/>
        <v>7581.0360095262877</v>
      </c>
      <c r="EL197" s="554">
        <f t="shared" ca="1" si="543"/>
        <v>50111.584302760719</v>
      </c>
      <c r="EM197" s="554">
        <f t="shared" ca="1" si="544"/>
        <v>129454.9261154652</v>
      </c>
      <c r="EN197" s="561">
        <f t="shared" ca="1" si="545"/>
        <v>145515.3804412391</v>
      </c>
      <c r="EO197" s="180">
        <f t="shared" si="451"/>
        <v>4376098.2538915537</v>
      </c>
      <c r="EP197" s="180">
        <f t="shared" si="452"/>
        <v>1094024.5634728884</v>
      </c>
      <c r="EQ197" s="180">
        <f t="shared" si="453"/>
        <v>368063.93682974274</v>
      </c>
      <c r="ER197" s="180">
        <f t="shared" si="454"/>
        <v>950831.83681016881</v>
      </c>
      <c r="ES197" s="180">
        <f t="shared" si="455"/>
        <v>6789018.5910043539</v>
      </c>
      <c r="ET197" s="1482">
        <f t="shared" ca="1" si="546"/>
        <v>4254801.6777391331</v>
      </c>
      <c r="EU197" s="180">
        <f t="shared" ca="1" si="547"/>
        <v>1063700.4194347833</v>
      </c>
      <c r="EV197" s="180">
        <f t="shared" ca="1" si="548"/>
        <v>167617.59961869987</v>
      </c>
      <c r="EW197" s="180">
        <f t="shared" ca="1" si="549"/>
        <v>433012.13234830799</v>
      </c>
      <c r="EX197" s="555">
        <f t="shared" ca="1" si="522"/>
        <v>5919131.8291409239</v>
      </c>
      <c r="EY197" s="180">
        <f t="shared" ca="1" si="550"/>
        <v>121296.5761524206</v>
      </c>
      <c r="EZ197" s="180">
        <f t="shared" ca="1" si="551"/>
        <v>30324.144038105151</v>
      </c>
      <c r="FA197" s="180">
        <f t="shared" ca="1" si="552"/>
        <v>200446.33721104288</v>
      </c>
      <c r="FB197" s="180">
        <f t="shared" ca="1" si="553"/>
        <v>517819.70446186082</v>
      </c>
      <c r="FC197" s="180">
        <f t="shared" ca="1" si="554"/>
        <v>869886.76186343003</v>
      </c>
      <c r="FD197" s="262">
        <f>IF(AX197,IF(VLOOKUP(C197,MAIN!$L$17:$M$28,2)="Yes",VLOOKUP(CALC!B197,MAIN!$H$17:$I$20,2),0),0)</f>
        <v>0</v>
      </c>
      <c r="FE197" s="623">
        <f t="shared" si="456"/>
        <v>0</v>
      </c>
      <c r="FF197" s="535">
        <f t="shared" si="457"/>
        <v>0</v>
      </c>
      <c r="FG197" s="535">
        <f t="shared" si="458"/>
        <v>0</v>
      </c>
      <c r="FH197" s="624">
        <f t="shared" si="459"/>
        <v>0</v>
      </c>
      <c r="FI197" s="632">
        <f>IF(AX197,VLOOKUP(CALC!B197,MAIN!$H$17:$K$20,4),0)</f>
        <v>0</v>
      </c>
      <c r="FJ197" s="535">
        <f t="shared" si="460"/>
        <v>0</v>
      </c>
      <c r="FK197" s="648">
        <f t="shared" si="506"/>
        <v>0</v>
      </c>
      <c r="FL197" s="530">
        <f t="shared" ca="1" si="555"/>
        <v>0</v>
      </c>
      <c r="FM197" s="530">
        <f t="shared" ca="1" si="556"/>
        <v>0</v>
      </c>
      <c r="FN197" s="530">
        <f t="shared" ca="1" si="557"/>
        <v>0</v>
      </c>
      <c r="FO197" s="622">
        <f t="shared" ca="1" si="558"/>
        <v>0</v>
      </c>
      <c r="FP197" s="530">
        <f t="shared" ca="1" si="559"/>
        <v>0</v>
      </c>
      <c r="FQ197" s="530">
        <f t="shared" ca="1" si="560"/>
        <v>0</v>
      </c>
      <c r="FR197" s="530">
        <f t="shared" ca="1" si="561"/>
        <v>0</v>
      </c>
      <c r="FS197" s="625">
        <f t="shared" ca="1" si="562"/>
        <v>0</v>
      </c>
      <c r="FT197" s="640">
        <f ca="1">IF(AND(Assumptions!$H$71="Yes",A197&gt;=Assumptions!$H$72,A197&lt;=Assumptions!$H$73),0,IF(AND($A197&gt;=Assumptions!$C$17,$A197&lt;=Assumptions!$C$18),MAX(AZ197*(1+VLOOKUP($C197,WeatherCapacityAdjustment,2))-FL197,0),0))</f>
        <v>46560</v>
      </c>
      <c r="FU197" s="530">
        <f ca="1">IF(AND(Assumptions!$H$71="Yes",A197&gt;=Assumptions!$H$72,A197&lt;=Assumptions!$H$73),0,IF(AND($A197&gt;=Assumptions!$C$17,$A197&lt;=Assumptions!$C$18),MAX(BA197*(1+VLOOKUP($C197,WeatherCapacityAdjustment,2))-FM197,0),0))</f>
        <v>11640</v>
      </c>
      <c r="FV197" s="530">
        <f ca="1">IF(AND(Assumptions!$H$71="Yes",A197&gt;=Assumptions!$H$72,A197&lt;=Assumptions!$H$73),0,IF(AND($A197&gt;=Assumptions!$C$17,$A197&lt;=Assumptions!$C$18),MAX(BB197*(1+VLOOKUP($C197,WeatherCapacityAdjustment,2))-FN197,0),0))</f>
        <v>13968</v>
      </c>
      <c r="FW197" s="622">
        <f ca="1">IF(AND(Assumptions!$H$71="Yes",A197&gt;=Assumptions!$H$72,A197&lt;=Assumptions!$H$73),0,IF(AND($A197&gt;=Assumptions!$C$17,$A197&lt;=Assumptions!$C$18),MAX(BC197*(1+VLOOKUP($C197,WeatherCapacityAdjustment,3))-FO197,0),0))</f>
        <v>36084</v>
      </c>
      <c r="FX197" s="621">
        <f ca="1">IF(AND(Assumptions!$H$71="Yes",A197&gt;=Assumptions!$H$72,A197&lt;=Assumptions!$H$73),0,IF(ET197&gt;0,MAX(BH197*(1+VLOOKUP($C197,WeatherCapacityAdjustment,2))-FP197,0),0))</f>
        <v>186240</v>
      </c>
      <c r="FY197" s="530">
        <f ca="1">IF(AND(Assumptions!$H$71="Yes",A197&gt;=Assumptions!$H$72,A197&lt;=Assumptions!$H$73),0,IF(EU197&gt;0,MAX(BI197*(1+VLOOKUP($C197,WeatherCapacityAdjustment,3))-FQ197,0),0))</f>
        <v>46560</v>
      </c>
      <c r="FZ197" s="530">
        <f ca="1">IF(AND(Assumptions!$H$71="Yes",A197&gt;=Assumptions!$H$72,A197&lt;=Assumptions!$H$73),0,IF(EV197&gt;0,MAX(BJ197*(1+VLOOKUP($C197,WeatherCapacityAdjustment,2))-FR197,0),0))</f>
        <v>55872</v>
      </c>
      <c r="GA197" s="622">
        <f ca="1">IF(AND(Assumptions!$H$71="Yes",A197&gt;=Assumptions!$H$72,A197&lt;=Assumptions!$H$73),0,IF(EW197&gt;0,MAX(BK197*(1+VLOOKUP($C197,WeatherCapacityAdjustment,2))-FS197,0),0))</f>
        <v>144336</v>
      </c>
      <c r="GB197" s="530">
        <f t="shared" ca="1" si="461"/>
        <v>541260</v>
      </c>
      <c r="GC197" s="545">
        <f t="shared" ca="1" si="462"/>
        <v>37.63908650822691</v>
      </c>
      <c r="GD197" s="530">
        <f t="shared" ca="1" si="563"/>
        <v>20372531.963442892</v>
      </c>
      <c r="GE197" s="1485">
        <f t="shared" ca="1" si="564"/>
        <v>761871.08088000002</v>
      </c>
      <c r="GF197" s="1776">
        <f t="shared" ca="1" si="565"/>
        <v>3047484.3235200001</v>
      </c>
      <c r="GG197" s="545">
        <f t="shared" si="530"/>
        <v>3.0813637831623368</v>
      </c>
      <c r="GH197" s="622">
        <f t="shared" ca="1" si="531"/>
        <v>11738009.780311879</v>
      </c>
      <c r="GI197" s="621">
        <f t="shared" ca="1" si="507"/>
        <v>541260</v>
      </c>
      <c r="GJ197" s="638">
        <f t="shared" si="463"/>
        <v>2.2828352302125814</v>
      </c>
      <c r="GK197" s="625">
        <f t="shared" ca="1" si="513"/>
        <v>1235607.3967048619</v>
      </c>
      <c r="GL197" s="640">
        <f t="shared" ca="1" si="566"/>
        <v>0</v>
      </c>
      <c r="GM197" s="530">
        <f t="shared" ca="1" si="567"/>
        <v>0</v>
      </c>
      <c r="GN197" s="530">
        <f t="shared" ca="1" si="568"/>
        <v>0</v>
      </c>
      <c r="GO197" s="622">
        <f t="shared" ca="1" si="569"/>
        <v>0</v>
      </c>
      <c r="GP197" s="530">
        <f t="shared" ca="1" si="464"/>
        <v>0</v>
      </c>
      <c r="GQ197" s="545">
        <f t="shared" ca="1" si="465"/>
        <v>0</v>
      </c>
      <c r="GR197" s="625">
        <f t="shared" ca="1" si="570"/>
        <v>0</v>
      </c>
      <c r="GS197" s="640">
        <f>IF($A197&gt;=BegDate,Assumptions!$C$56*24*($A198-$A197)*(1-VLOOKUP($B197,MAIN!$AA$7:$AM$28,$C197+1))*(1-VLOOKUP($B197,MAIN!$AA$33:$AM$54,$C197+1)),0)*80/168</f>
        <v>257742.85714285713</v>
      </c>
      <c r="GT197" s="1715">
        <f t="shared" si="508"/>
        <v>46.815088040768011</v>
      </c>
      <c r="GU197" s="1715">
        <f>IF($A197&gt;=BegDate,VLOOKUP($A197,GasTable,13)+Assumptions!$C$58,0)</f>
        <v>3.0813637831623368</v>
      </c>
      <c r="GV197" s="1715">
        <f>GU197*Assumptions!$C$57/1000</f>
        <v>22.339887427926939</v>
      </c>
      <c r="GW197" s="625">
        <f>IF(Assumptions!$C$60="Hourly",MAX(0,GS197*(GT197-GV197)),GS197*(GT197-GV197))</f>
        <v>6308308.1350982655</v>
      </c>
      <c r="GX197" s="640">
        <f>IF($A197&gt;=BegDate,Assumptions!$C$56*24*($A198-$A197)*(1-VLOOKUP($B197,MAIN!$AA$7:$AM$28,$C197+1))*(1-VLOOKUP($B197,MAIN!$AA$33:$AM$54,$C197+1)),0)*16/168</f>
        <v>51548.571428571428</v>
      </c>
      <c r="GY197" s="1715">
        <f t="shared" si="509"/>
        <v>46.815088040768011</v>
      </c>
      <c r="GZ197" s="1715">
        <f>IF($A197&gt;=BegDate,VLOOKUP($A197,GasTable,13)+Assumptions!$C$58,0)</f>
        <v>3.0813637831623368</v>
      </c>
      <c r="HA197" s="1715">
        <f>GZ197*Assumptions!$C$57/1000</f>
        <v>22.339887427926939</v>
      </c>
      <c r="HB197" s="625">
        <f>IF(Assumptions!$C$60="Hourly",MAX(0,GX197*(GY197-HA197)),GX197*(GY197-HA197))</f>
        <v>1261661.6270196531</v>
      </c>
      <c r="HC197" s="640">
        <f>IF($A197&gt;=BegDate,Assumptions!$C$56*24*($A198-$A197)*(1-VLOOKUP($B197,MAIN!$AA$7:$AM$28,$C197+1))*(1-VLOOKUP($B197,MAIN!$AA$33:$AM$54,$C197+1)),0)*16/168</f>
        <v>51548.571428571428</v>
      </c>
      <c r="HD197" s="1715">
        <f t="shared" si="510"/>
        <v>26.969317284341894</v>
      </c>
      <c r="HE197" s="1715">
        <f>IF($A197&gt;=BegDate,VLOOKUP($A197,GasTable,13)+Assumptions!$C$58,0)</f>
        <v>3.0813637831623368</v>
      </c>
      <c r="HF197" s="1715">
        <f>HE197*Assumptions!$C$57/1000</f>
        <v>22.339887427926939</v>
      </c>
      <c r="HG197" s="625">
        <f>IF(Assumptions!$C$60="Hourly",MAX(0,HC197*(HD197-HF197)),HC197*(HD197-HF197))</f>
        <v>238640.49562696749</v>
      </c>
      <c r="HH197" s="640">
        <f>IF($A197&gt;=BegDate,Assumptions!$C$56*24*($A198-$A197)*(1-VLOOKUP($B197,MAIN!$AA$7:$AM$28,$C197+1))*(1-VLOOKUP($B197,MAIN!$AA$33:$AM$54,$C197+1)),0)*56/168</f>
        <v>180420</v>
      </c>
      <c r="HI197" s="1715">
        <f t="shared" si="511"/>
        <v>26.969317284341894</v>
      </c>
      <c r="HJ197" s="1715">
        <f>IF($A197&gt;=BegDate,VLOOKUP($A197,GasTable,13)+Assumptions!$C$58,0)</f>
        <v>3.0813637831623368</v>
      </c>
      <c r="HK197" s="1715">
        <f>HJ197*Assumptions!$C$57/1000</f>
        <v>22.339887427926939</v>
      </c>
      <c r="HL197" s="625">
        <f>IF(Assumptions!$C$60="Hourly",MAX(0,HH197*(HI197-HK197)),HH197*(HI197-HK197))</f>
        <v>835241.73469438613</v>
      </c>
      <c r="HM197" s="640">
        <f>IF(AND(Assumptions!$H$71="Yes",A197&gt;=Assumptions!$H$72,A197&lt;=Assumptions!$H$73),Assumptions!$H$74*Assumptions!$C$9*1000,0)</f>
        <v>0</v>
      </c>
      <c r="HN197" s="530"/>
      <c r="HO197" s="545"/>
      <c r="HP197" s="545"/>
      <c r="HQ197" s="545"/>
      <c r="HR197" s="545"/>
      <c r="HS197" s="545"/>
      <c r="HT197" s="545"/>
      <c r="HU197" s="545"/>
      <c r="HV197" s="545"/>
      <c r="HW197" s="545"/>
      <c r="HX197" s="545"/>
      <c r="HY197" s="545"/>
      <c r="HZ197" s="545"/>
      <c r="IA197" s="545"/>
      <c r="IB197" s="545"/>
      <c r="IC197" s="545"/>
      <c r="ID197" s="545"/>
      <c r="IE197" s="545"/>
      <c r="IF197" s="545"/>
      <c r="IG197" s="545"/>
      <c r="IH197" s="545"/>
      <c r="II197" s="1464"/>
      <c r="IJ197" s="1463"/>
      <c r="IK197" s="1463"/>
    </row>
    <row r="198" spans="1:245">
      <c r="A198" s="177">
        <f t="shared" si="466"/>
        <v>42156</v>
      </c>
      <c r="B198" s="349">
        <f t="shared" si="467"/>
        <v>2015</v>
      </c>
      <c r="C198" s="15">
        <f t="shared" si="571"/>
        <v>6</v>
      </c>
      <c r="D198" s="612" t="str">
        <f t="shared" si="468"/>
        <v/>
      </c>
      <c r="E198" s="609">
        <f t="shared" si="572"/>
        <v>42156</v>
      </c>
      <c r="F198" s="614">
        <f t="shared" si="573"/>
        <v>42185</v>
      </c>
      <c r="G198" s="1349">
        <v>0</v>
      </c>
      <c r="H198" s="152">
        <f t="shared" si="512"/>
        <v>1</v>
      </c>
      <c r="I198" s="154">
        <f>IF(Assumptions!$L$25=4,VLOOKUP($A198,'Henwood Reference'!$E$9:$R$320,10),(VLOOKUP($A198,PriceTable,2,0)+IF(BasisNumber&lt;&gt;1,VLOOKUP($A198,BasisTable,2,0),0)+I$1)/(1-I$2))</f>
        <v>44.291988666911763</v>
      </c>
      <c r="J198" s="154">
        <f>IF(Assumptions!$L$25=4,VLOOKUP($A198,'Henwood Reference'!$E$9:$R$320,10),(VLOOKUP($A198,PriceTable,3,0)+IF(BasisNumber&lt;&gt;1,VLOOKUP($A198,BasisTable,2,0),0)+J$1)/(1-J$2))</f>
        <v>44.291988666911763</v>
      </c>
      <c r="K198" s="154">
        <f>IF(Assumptions!$L$25=4,VLOOKUP($A198,'Henwood Reference'!$E$9:$R$320,10),(VLOOKUP($A198,PriceTable,4,0)+IF(BasisNumber&lt;&gt;1,VLOOKUP($A198,BasisTable,2,0),0)+K$1)/(1-K$2))</f>
        <v>44.291988666911763</v>
      </c>
      <c r="L198" s="474">
        <f>IF(Assumptions!$L$25=4,VLOOKUP($A198,'Henwood Reference'!$E$9:$R$320,10),(VLOOKUP($A198,PriceTableWeekend,2,0)+IF(BasisNumber&lt;&gt;1,VLOOKUP($A198,BasisTable,2,0),0)+L$1)/(1-L$2))</f>
        <v>44.291988666911763</v>
      </c>
      <c r="M198" s="154">
        <f>IF(Assumptions!$L$25=4,VLOOKUP($A198,'Henwood Reference'!$E$9:$R$320,10),(VLOOKUP($A198,PriceTableWeekend,3,0)+IF(BasisNumber&lt;&gt;1,VLOOKUP($A198,BasisTable,2,0),0)+M$1)/(1-M$2))</f>
        <v>44.291988666911763</v>
      </c>
      <c r="N198" s="156">
        <f>IF(Assumptions!$L$25=4,VLOOKUP($A198,'Henwood Reference'!$E$9:$R$320,10),(VLOOKUP($A198,PriceTableWeekend,4,0)+IF(BasisNumber&lt;&gt;1,VLOOKUP($A198,BasisTable,2,0),0)+N$1)/(1-N$2))</f>
        <v>44.291988666911763</v>
      </c>
      <c r="O198" s="154">
        <f>IF(Assumptions!$L$25=4,VLOOKUP($A198,'Henwood Reference'!$E$9:$R$320,11),(VLOOKUP($A198,PriceTableWeekend,6,0)+IF(BasisNumber&lt;&gt;1,VLOOKUP($A198,BasisTable,3,0),0)+O$1)/(1-O$2))</f>
        <v>25.521162952305129</v>
      </c>
      <c r="P198" s="154">
        <f>IF(Assumptions!$L$25=4,VLOOKUP($A198,'Henwood Reference'!$E$9:$R$320,11),(VLOOKUP($A198,PriceTableWeekend,7,0)+IF(BasisNumber&lt;&gt;1,VLOOKUP($A198,BasisTable,3,0),0)+P$1)/(1-P$2))</f>
        <v>25.521162952305129</v>
      </c>
      <c r="Q198" s="156">
        <f>IF(Assumptions!$L$25=4,VLOOKUP($A198,'Henwood Reference'!$E$9:$R$320,11),(VLOOKUP($A198,PriceTableWeekend,8,0)+IF(BasisNumber&lt;&gt;1,VLOOKUP($A198,BasisTable,3,0),0)+Q$1)/(1-Q$2))</f>
        <v>25.521162952305129</v>
      </c>
      <c r="R198" s="154">
        <f>IF(Assumptions!$L$25=4,VLOOKUP($A198,'Henwood Reference'!$E$9:$R$320,11),(VLOOKUP($A198,PriceTable,6,0)+IF(BasisNumber&lt;&gt;1,VLOOKUP($A198,BasisTable,3,0),0)+R$1)/(1-R$2))</f>
        <v>25.521162952305129</v>
      </c>
      <c r="S198" s="154">
        <f>IF(Assumptions!$L$25=4,VLOOKUP($A198,'Henwood Reference'!$E$9:$R$320,11),(VLOOKUP($A198,PriceTable,7,0)+IF(BasisNumber&lt;&gt;1,VLOOKUP($A198,BasisTable,3,0),0)+S$1)/(1-S$2))</f>
        <v>25.521162952305129</v>
      </c>
      <c r="T198" s="155">
        <f>IF(Assumptions!$L$25=4,VLOOKUP($A198,'Henwood Reference'!$E$9:$R$320,11),(VLOOKUP($A198,PriceTable,8,0)+IF(BasisNumber&lt;&gt;1,VLOOKUP($A198,BasisTable,3,0),0)+T$1)/(1-T$2))</f>
        <v>25.521162952305129</v>
      </c>
      <c r="U198" s="173">
        <f t="shared" si="469"/>
        <v>9.4999999999999932E-2</v>
      </c>
      <c r="V198" s="173">
        <f t="shared" si="470"/>
        <v>0.105</v>
      </c>
      <c r="W198" s="174">
        <f t="shared" si="471"/>
        <v>0.115</v>
      </c>
      <c r="X198" s="173">
        <f t="shared" si="472"/>
        <v>9.4999999999999932E-2</v>
      </c>
      <c r="Y198" s="173">
        <f t="shared" si="473"/>
        <v>0.105</v>
      </c>
      <c r="Z198" s="174">
        <f t="shared" si="474"/>
        <v>0.115</v>
      </c>
      <c r="AA198" s="173">
        <f t="shared" si="475"/>
        <v>0.09</v>
      </c>
      <c r="AB198" s="173">
        <f t="shared" si="476"/>
        <v>0.11</v>
      </c>
      <c r="AC198" s="174">
        <f t="shared" si="477"/>
        <v>0.13</v>
      </c>
      <c r="AD198" s="173">
        <f t="shared" si="478"/>
        <v>0.09</v>
      </c>
      <c r="AE198" s="173">
        <f t="shared" si="479"/>
        <v>0.11</v>
      </c>
      <c r="AF198" s="174">
        <f t="shared" si="480"/>
        <v>0.13</v>
      </c>
      <c r="AG198" s="173">
        <f t="shared" si="481"/>
        <v>-0.35</v>
      </c>
      <c r="AH198" s="173">
        <f t="shared" si="482"/>
        <v>0.65</v>
      </c>
      <c r="AI198" s="174">
        <f t="shared" si="483"/>
        <v>0.2</v>
      </c>
      <c r="AJ198" s="173">
        <f t="shared" si="484"/>
        <v>-0.35</v>
      </c>
      <c r="AK198" s="173">
        <f t="shared" si="485"/>
        <v>0.65</v>
      </c>
      <c r="AL198" s="174">
        <f t="shared" si="486"/>
        <v>0.2</v>
      </c>
      <c r="AM198" s="173">
        <f t="shared" si="487"/>
        <v>-0.01</v>
      </c>
      <c r="AN198" s="173">
        <f t="shared" si="488"/>
        <v>0.16</v>
      </c>
      <c r="AO198" s="174">
        <f t="shared" si="489"/>
        <v>0.01</v>
      </c>
      <c r="AP198" s="173">
        <f t="shared" si="490"/>
        <v>-0.01</v>
      </c>
      <c r="AQ198" s="173">
        <f t="shared" si="491"/>
        <v>0.16</v>
      </c>
      <c r="AR198" s="175">
        <f t="shared" si="492"/>
        <v>0.01</v>
      </c>
      <c r="AS198" s="521">
        <f t="shared" si="576"/>
        <v>0.5</v>
      </c>
      <c r="AT198" s="349">
        <f t="shared" si="574"/>
        <v>22</v>
      </c>
      <c r="AU198" s="159">
        <f t="shared" si="411"/>
        <v>4</v>
      </c>
      <c r="AV198" s="159">
        <f t="shared" si="412"/>
        <v>4</v>
      </c>
      <c r="AW198" s="159">
        <f t="shared" si="577"/>
        <v>0</v>
      </c>
      <c r="AX198" s="15">
        <f t="shared" si="575"/>
        <v>30</v>
      </c>
      <c r="AY198" s="607">
        <f>IF(E198="",0,MIN((1-(1-VLOOKUP(B198,MAIN!$AA$7:$AM$28,C198+1))*(1-VLOOKUP(B198,MAIN!$AA$33:$AM$54,C198+1))),1))</f>
        <v>3.0000000000000027E-2</v>
      </c>
      <c r="AZ198" s="337">
        <v>51216</v>
      </c>
      <c r="BA198" s="509">
        <v>9312</v>
      </c>
      <c r="BB198" s="509">
        <v>9312</v>
      </c>
      <c r="BC198" s="511">
        <v>34920</v>
      </c>
      <c r="BD198" s="153">
        <v>0.97000000722706314</v>
      </c>
      <c r="BE198" s="474">
        <v>0.97000000722706314</v>
      </c>
      <c r="BF198" s="474">
        <v>0.97000000722706314</v>
      </c>
      <c r="BG198" s="515">
        <v>0.97000000722706314</v>
      </c>
      <c r="BH198" s="262">
        <v>204864</v>
      </c>
      <c r="BI198" s="509">
        <v>37248</v>
      </c>
      <c r="BJ198" s="509">
        <v>37248</v>
      </c>
      <c r="BK198" s="511">
        <v>139680</v>
      </c>
      <c r="BL198" s="153">
        <v>0.97000000722706314</v>
      </c>
      <c r="BM198" s="474">
        <v>0.97000000722706314</v>
      </c>
      <c r="BN198" s="474">
        <v>0.97000000722706314</v>
      </c>
      <c r="BO198" s="474">
        <v>0.97000000722706314</v>
      </c>
      <c r="BP198" s="261">
        <f t="shared" si="495"/>
        <v>69840</v>
      </c>
      <c r="BQ198" s="578">
        <f t="shared" si="496"/>
        <v>104760</v>
      </c>
      <c r="BR198" s="259">
        <f t="shared" si="497"/>
        <v>279360</v>
      </c>
      <c r="BS198" s="578">
        <f t="shared" si="498"/>
        <v>419040</v>
      </c>
      <c r="BT198" s="216">
        <f t="shared" si="499"/>
        <v>15.129363449691992</v>
      </c>
      <c r="BU198" s="218">
        <f t="shared" si="414"/>
        <v>44.291988996912792</v>
      </c>
      <c r="BV198" s="216">
        <f t="shared" si="415"/>
        <v>44.291988996912792</v>
      </c>
      <c r="BW198" s="216">
        <f t="shared" si="416"/>
        <v>25.521163142452611</v>
      </c>
      <c r="BX198" s="216">
        <f t="shared" si="500"/>
        <v>25.521163142452611</v>
      </c>
      <c r="BY198" s="216">
        <f t="shared" si="417"/>
        <v>41.789212216318099</v>
      </c>
      <c r="BZ198" s="216">
        <f t="shared" si="418"/>
        <v>36.366529191696273</v>
      </c>
      <c r="CA198" s="264">
        <f t="shared" si="419"/>
        <v>44.291988996912792</v>
      </c>
      <c r="CB198" s="216">
        <f t="shared" si="420"/>
        <v>44.291988996912792</v>
      </c>
      <c r="CC198" s="216">
        <f t="shared" si="421"/>
        <v>25.521163142452611</v>
      </c>
      <c r="CD198" s="216">
        <f t="shared" si="501"/>
        <v>25.521163142452611</v>
      </c>
      <c r="CE198" s="216">
        <f t="shared" si="422"/>
        <v>41.789212216318099</v>
      </c>
      <c r="CF198" s="571">
        <f t="shared" si="423"/>
        <v>36.366529191696273</v>
      </c>
      <c r="CG198" s="573">
        <f t="shared" si="424"/>
        <v>0.105</v>
      </c>
      <c r="CH198" s="219">
        <f t="shared" si="425"/>
        <v>0.105</v>
      </c>
      <c r="CI198" s="219">
        <f t="shared" si="426"/>
        <v>0.11</v>
      </c>
      <c r="CJ198" s="219">
        <f t="shared" si="427"/>
        <v>0.1054086356895278</v>
      </c>
      <c r="CK198" s="219">
        <f t="shared" si="428"/>
        <v>0.1054086356895278</v>
      </c>
      <c r="CL198" s="219">
        <f t="shared" si="429"/>
        <v>0.11</v>
      </c>
      <c r="CM198" s="219">
        <f t="shared" si="430"/>
        <v>9.6495388938298621E-2</v>
      </c>
      <c r="CN198" s="569">
        <f t="shared" si="431"/>
        <v>9.6495388938298621E-2</v>
      </c>
      <c r="CO198" s="264">
        <f t="shared" si="514"/>
        <v>21.920708441697077</v>
      </c>
      <c r="CP198" s="216">
        <f t="shared" si="502"/>
        <v>21.920708441697077</v>
      </c>
      <c r="CQ198" s="216">
        <f t="shared" ca="1" si="532"/>
        <v>21.920708441697077</v>
      </c>
      <c r="CR198" s="216">
        <f t="shared" ca="1" si="533"/>
        <v>21.920708441697077</v>
      </c>
      <c r="CS198" s="1626">
        <f t="shared" ca="1" si="534"/>
        <v>21.920708441697073</v>
      </c>
      <c r="CT198" s="216">
        <f t="shared" si="503"/>
        <v>21.920708441697077</v>
      </c>
      <c r="CU198" s="575">
        <f t="shared" si="432"/>
        <v>0.153</v>
      </c>
      <c r="CV198" s="154">
        <f t="shared" si="433"/>
        <v>0.5</v>
      </c>
      <c r="CW198" s="216">
        <f>IF(OR($BQ198,$BS198),SpreadOptPowerMargin,0)*((1+Assumptions!$C$26)^($B198-YEAR(Assumptions!$C$17)))</f>
        <v>2.2828352302125814</v>
      </c>
      <c r="CX198" s="216">
        <f>IF(OR($BQ198,$BS198),SpreadOptPowerMargin,0)*((1+Assumptions!$C$26)^($B198-YEAR(Assumptions!$C$17)))</f>
        <v>2.2828352302125814</v>
      </c>
      <c r="CY198" s="216">
        <f>IF(OR($BQ198,$BS198),SpreadOptPowerMargin,0)*((1+Assumptions!$C$26)^($B198-YEAR(Assumptions!$C$17)))</f>
        <v>2.2828352302125814</v>
      </c>
      <c r="CZ198" s="216">
        <f>IF(OR($BQ198,$BS198),SpreadOptPowerMargin,0)*((1+Assumptions!$C$26)^($B198-YEAR(Assumptions!$C$17)))</f>
        <v>2.2828352302125814</v>
      </c>
      <c r="DA198" s="440">
        <f t="shared" si="434"/>
        <v>2.2828352302125814</v>
      </c>
      <c r="DB198" s="479">
        <f t="shared" si="435"/>
        <v>0.105</v>
      </c>
      <c r="DC198" s="479">
        <f t="shared" si="436"/>
        <v>0.105</v>
      </c>
      <c r="DD198" s="479">
        <f t="shared" si="437"/>
        <v>0.11</v>
      </c>
      <c r="DE198" s="479">
        <f t="shared" si="438"/>
        <v>0.11</v>
      </c>
      <c r="DF198" s="479">
        <f t="shared" si="439"/>
        <v>9.6495388938298621E-2</v>
      </c>
      <c r="DG198" s="574">
        <f t="shared" si="440"/>
        <v>9.6495388938298621E-2</v>
      </c>
      <c r="DH198" s="216">
        <f t="shared" si="441"/>
        <v>20.936889998183844</v>
      </c>
      <c r="DI198" s="216">
        <f t="shared" si="442"/>
        <v>20.936889998183844</v>
      </c>
      <c r="DJ198" s="216">
        <f t="shared" ca="1" si="535"/>
        <v>5.5259964117976859</v>
      </c>
      <c r="DK198" s="216">
        <f t="shared" ca="1" si="536"/>
        <v>5.5259964117976859</v>
      </c>
      <c r="DL198" s="216">
        <f t="shared" ca="1" si="537"/>
        <v>13.74099104471329</v>
      </c>
      <c r="DM198" s="216"/>
      <c r="DN198" s="216"/>
      <c r="DO198" s="216"/>
      <c r="DP198" s="216"/>
      <c r="DQ198" s="216"/>
      <c r="DR198" s="216"/>
      <c r="DS198" s="216"/>
      <c r="DT198" s="216"/>
      <c r="DU198" s="216"/>
      <c r="DV198" s="216"/>
      <c r="DW198" s="1371">
        <f t="shared" si="443"/>
        <v>5.5259964117976859</v>
      </c>
      <c r="DX198" s="216">
        <f t="shared" si="444"/>
        <v>5.5259964117976859</v>
      </c>
      <c r="DY198" s="440">
        <f t="shared" si="445"/>
        <v>14.430068261709691</v>
      </c>
      <c r="DZ198" s="180">
        <f t="shared" si="446"/>
        <v>1072303.7581469838</v>
      </c>
      <c r="EA198" s="180">
        <f t="shared" si="447"/>
        <v>194964.31966308795</v>
      </c>
      <c r="EB198" s="180">
        <f t="shared" ca="1" si="538"/>
        <v>51458.078586660049</v>
      </c>
      <c r="EC198" s="180">
        <f t="shared" ca="1" si="539"/>
        <v>192967.7946999752</v>
      </c>
      <c r="ED198" s="180">
        <f t="shared" ca="1" si="540"/>
        <v>1439506.2218441642</v>
      </c>
      <c r="EE198" s="581">
        <f t="shared" si="448"/>
        <v>1028849.8157653606</v>
      </c>
      <c r="EF198" s="554">
        <f t="shared" si="449"/>
        <v>187063.6028664292</v>
      </c>
      <c r="EG198" s="554">
        <f t="shared" ca="1" si="541"/>
        <v>12269.672509695993</v>
      </c>
      <c r="EH198" s="554">
        <f t="shared" ca="1" si="542"/>
        <v>46011.271911359967</v>
      </c>
      <c r="EI198" s="561">
        <f t="shared" ca="1" si="450"/>
        <v>1274194.3630528464</v>
      </c>
      <c r="EJ198" s="581">
        <f t="shared" si="504"/>
        <v>43453.942381623201</v>
      </c>
      <c r="EK198" s="554">
        <f t="shared" si="505"/>
        <v>7900.7167966587585</v>
      </c>
      <c r="EL198" s="554">
        <f t="shared" ca="1" si="543"/>
        <v>39188.406076964056</v>
      </c>
      <c r="EM198" s="554">
        <f t="shared" ca="1" si="544"/>
        <v>146956.52278861523</v>
      </c>
      <c r="EN198" s="561">
        <f t="shared" ca="1" si="545"/>
        <v>165311.85879131779</v>
      </c>
      <c r="EO198" s="180">
        <f t="shared" si="451"/>
        <v>4289215.0325879352</v>
      </c>
      <c r="EP198" s="180">
        <f t="shared" si="452"/>
        <v>779857.27865235182</v>
      </c>
      <c r="EQ198" s="180">
        <f t="shared" si="453"/>
        <v>205832.3143466402</v>
      </c>
      <c r="ER198" s="180">
        <f t="shared" si="454"/>
        <v>771871.17879990081</v>
      </c>
      <c r="ES198" s="180">
        <f t="shared" si="455"/>
        <v>6046775.804386829</v>
      </c>
      <c r="ET198" s="1482">
        <f t="shared" ca="1" si="546"/>
        <v>4115399.2630614424</v>
      </c>
      <c r="EU198" s="180">
        <f t="shared" ca="1" si="547"/>
        <v>748254.41146571678</v>
      </c>
      <c r="EV198" s="180">
        <f t="shared" ca="1" si="548"/>
        <v>49078.690038783971</v>
      </c>
      <c r="EW198" s="180">
        <f t="shared" ca="1" si="549"/>
        <v>184045.08764543987</v>
      </c>
      <c r="EX198" s="555">
        <f t="shared" ca="1" si="522"/>
        <v>5096777.4522113828</v>
      </c>
      <c r="EY198" s="180">
        <f t="shared" ca="1" si="550"/>
        <v>173815.7695264928</v>
      </c>
      <c r="EZ198" s="180">
        <f t="shared" ca="1" si="551"/>
        <v>31602.867186635034</v>
      </c>
      <c r="FA198" s="180">
        <f t="shared" ca="1" si="552"/>
        <v>156753.62430785623</v>
      </c>
      <c r="FB198" s="180">
        <f t="shared" ca="1" si="553"/>
        <v>587826.09115446091</v>
      </c>
      <c r="FC198" s="180">
        <f t="shared" ca="1" si="554"/>
        <v>949998.35217544623</v>
      </c>
      <c r="FD198" s="262">
        <f>IF(AX198,IF(VLOOKUP(C198,MAIN!$L$17:$M$28,2)="Yes",VLOOKUP(CALC!B198,MAIN!$H$17:$I$20,2),0),0)</f>
        <v>0</v>
      </c>
      <c r="FE198" s="623">
        <f t="shared" si="456"/>
        <v>0</v>
      </c>
      <c r="FF198" s="535">
        <f t="shared" si="457"/>
        <v>0</v>
      </c>
      <c r="FG198" s="535">
        <f t="shared" si="458"/>
        <v>0</v>
      </c>
      <c r="FH198" s="624">
        <f t="shared" si="459"/>
        <v>0</v>
      </c>
      <c r="FI198" s="632">
        <f>IF(AX198,VLOOKUP(CALC!B198,MAIN!$H$17:$K$20,4),0)</f>
        <v>0</v>
      </c>
      <c r="FJ198" s="535">
        <f t="shared" si="460"/>
        <v>0</v>
      </c>
      <c r="FK198" s="648">
        <f t="shared" si="506"/>
        <v>0</v>
      </c>
      <c r="FL198" s="530">
        <f t="shared" ca="1" si="555"/>
        <v>0</v>
      </c>
      <c r="FM198" s="530">
        <f t="shared" ca="1" si="556"/>
        <v>0</v>
      </c>
      <c r="FN198" s="530">
        <f t="shared" ca="1" si="557"/>
        <v>0</v>
      </c>
      <c r="FO198" s="622">
        <f t="shared" ca="1" si="558"/>
        <v>0</v>
      </c>
      <c r="FP198" s="530">
        <f t="shared" ca="1" si="559"/>
        <v>0</v>
      </c>
      <c r="FQ198" s="530">
        <f t="shared" ca="1" si="560"/>
        <v>0</v>
      </c>
      <c r="FR198" s="530">
        <f t="shared" ca="1" si="561"/>
        <v>0</v>
      </c>
      <c r="FS198" s="625">
        <f t="shared" ca="1" si="562"/>
        <v>0</v>
      </c>
      <c r="FT198" s="640">
        <f ca="1">IF(AND(Assumptions!$H$71="Yes",A198&gt;=Assumptions!$H$72,A198&lt;=Assumptions!$H$73),0,IF(AND($A198&gt;=Assumptions!$C$17,$A198&lt;=Assumptions!$C$18),MAX(AZ198*(1+VLOOKUP($C198,WeatherCapacityAdjustment,2))-FL198,0),0))</f>
        <v>51216</v>
      </c>
      <c r="FU198" s="530">
        <f ca="1">IF(AND(Assumptions!$H$71="Yes",A198&gt;=Assumptions!$H$72,A198&lt;=Assumptions!$H$73),0,IF(AND($A198&gt;=Assumptions!$C$17,$A198&lt;=Assumptions!$C$18),MAX(BA198*(1+VLOOKUP($C198,WeatherCapacityAdjustment,2))-FM198,0),0))</f>
        <v>9312</v>
      </c>
      <c r="FV198" s="530">
        <f ca="1">IF(AND(Assumptions!$H$71="Yes",A198&gt;=Assumptions!$H$72,A198&lt;=Assumptions!$H$73),0,IF(AND($A198&gt;=Assumptions!$C$17,$A198&lt;=Assumptions!$C$18),MAX(BB198*(1+VLOOKUP($C198,WeatherCapacityAdjustment,2))-FN198,0),0))</f>
        <v>9312</v>
      </c>
      <c r="FW198" s="622">
        <f ca="1">IF(AND(Assumptions!$H$71="Yes",A198&gt;=Assumptions!$H$72,A198&lt;=Assumptions!$H$73),0,IF(AND($A198&gt;=Assumptions!$C$17,$A198&lt;=Assumptions!$C$18),MAX(BC198*(1+VLOOKUP($C198,WeatherCapacityAdjustment,3))-FO198,0),0))</f>
        <v>34920</v>
      </c>
      <c r="FX198" s="621">
        <f ca="1">IF(AND(Assumptions!$H$71="Yes",A198&gt;=Assumptions!$H$72,A198&lt;=Assumptions!$H$73),0,IF(ET198&gt;0,MAX(BH198*(1+VLOOKUP($C198,WeatherCapacityAdjustment,2))-FP198,0),0))</f>
        <v>204864</v>
      </c>
      <c r="FY198" s="530">
        <f ca="1">IF(AND(Assumptions!$H$71="Yes",A198&gt;=Assumptions!$H$72,A198&lt;=Assumptions!$H$73),0,IF(EU198&gt;0,MAX(BI198*(1+VLOOKUP($C198,WeatherCapacityAdjustment,3))-FQ198,0),0))</f>
        <v>37248</v>
      </c>
      <c r="FZ198" s="530">
        <f ca="1">IF(AND(Assumptions!$H$71="Yes",A198&gt;=Assumptions!$H$72,A198&lt;=Assumptions!$H$73),0,IF(EV198&gt;0,MAX(BJ198*(1+VLOOKUP($C198,WeatherCapacityAdjustment,2))-FR198,0),0))</f>
        <v>37248</v>
      </c>
      <c r="GA198" s="622">
        <f ca="1">IF(AND(Assumptions!$H$71="Yes",A198&gt;=Assumptions!$H$72,A198&lt;=Assumptions!$H$73),0,IF(EW198&gt;0,MAX(BK198*(1+VLOOKUP($C198,WeatherCapacityAdjustment,2))-FS198,0),0))</f>
        <v>139680</v>
      </c>
      <c r="GB198" s="530">
        <f t="shared" ca="1" si="461"/>
        <v>523800</v>
      </c>
      <c r="GC198" s="545">
        <f t="shared" ca="1" si="462"/>
        <v>36.366529191696273</v>
      </c>
      <c r="GD198" s="530">
        <f t="shared" ca="1" si="563"/>
        <v>19048787.99061051</v>
      </c>
      <c r="GE198" s="1485">
        <f t="shared" ca="1" si="564"/>
        <v>737602.58880000003</v>
      </c>
      <c r="GF198" s="1776">
        <f t="shared" ca="1" si="565"/>
        <v>2950410.3552000001</v>
      </c>
      <c r="GG198" s="545">
        <f t="shared" si="530"/>
        <v>3.1133478260809837</v>
      </c>
      <c r="GH198" s="622">
        <f t="shared" ca="1" si="531"/>
        <v>11482067.08176093</v>
      </c>
      <c r="GI198" s="621">
        <f t="shared" ca="1" si="507"/>
        <v>523800</v>
      </c>
      <c r="GJ198" s="638">
        <f t="shared" si="463"/>
        <v>2.2828352302125814</v>
      </c>
      <c r="GK198" s="625">
        <f t="shared" ca="1" si="513"/>
        <v>1195749.0935853501</v>
      </c>
      <c r="GL198" s="640">
        <f t="shared" ca="1" si="566"/>
        <v>0</v>
      </c>
      <c r="GM198" s="530">
        <f t="shared" ca="1" si="567"/>
        <v>0</v>
      </c>
      <c r="GN198" s="530">
        <f t="shared" ca="1" si="568"/>
        <v>0</v>
      </c>
      <c r="GO198" s="622">
        <f t="shared" ca="1" si="569"/>
        <v>0</v>
      </c>
      <c r="GP198" s="530">
        <f t="shared" ca="1" si="464"/>
        <v>0</v>
      </c>
      <c r="GQ198" s="545">
        <f t="shared" ca="1" si="465"/>
        <v>0</v>
      </c>
      <c r="GR198" s="625">
        <f t="shared" ca="1" si="570"/>
        <v>0</v>
      </c>
      <c r="GS198" s="640">
        <f>IF($A198&gt;=BegDate,Assumptions!$C$56*24*($A199-$A198)*(1-VLOOKUP($B198,MAIN!$AA$7:$AM$28,$C198+1))*(1-VLOOKUP($B198,MAIN!$AA$33:$AM$54,$C198+1)),0)*80/168</f>
        <v>249428.57142857142</v>
      </c>
      <c r="GT198" s="1715">
        <f t="shared" si="508"/>
        <v>44.291988666911763</v>
      </c>
      <c r="GU198" s="1715">
        <f>IF($A198&gt;=BegDate,VLOOKUP($A198,GasTable,13)+Assumptions!$C$58,0)</f>
        <v>3.1133478260809837</v>
      </c>
      <c r="GV198" s="1715">
        <f>GU198*Assumptions!$C$57/1000</f>
        <v>22.571771739087133</v>
      </c>
      <c r="GW198" s="625">
        <f>IF(Assumptions!$C$60="Hourly",MAX(0,GS198*(GT198-GV198)),GS198*(GT198-GV198))</f>
        <v>5417642.6794259716</v>
      </c>
      <c r="GX198" s="640">
        <f>IF($A198&gt;=BegDate,Assumptions!$C$56*24*($A199-$A198)*(1-VLOOKUP($B198,MAIN!$AA$7:$AM$28,$C198+1))*(1-VLOOKUP($B198,MAIN!$AA$33:$AM$54,$C198+1)),0)*16/168</f>
        <v>49885.714285714283</v>
      </c>
      <c r="GY198" s="1715">
        <f t="shared" si="509"/>
        <v>44.291988666911763</v>
      </c>
      <c r="GZ198" s="1715">
        <f>IF($A198&gt;=BegDate,VLOOKUP($A198,GasTable,13)+Assumptions!$C$58,0)</f>
        <v>3.1133478260809837</v>
      </c>
      <c r="HA198" s="1715">
        <f>GZ198*Assumptions!$C$57/1000</f>
        <v>22.571771739087133</v>
      </c>
      <c r="HB198" s="625">
        <f>IF(Assumptions!$C$60="Hourly",MAX(0,GX198*(GY198-HA198)),GX198*(GY198-HA198))</f>
        <v>1083528.5358851943</v>
      </c>
      <c r="HC198" s="640">
        <f>IF($A198&gt;=BegDate,Assumptions!$C$56*24*($A199-$A198)*(1-VLOOKUP($B198,MAIN!$AA$7:$AM$28,$C198+1))*(1-VLOOKUP($B198,MAIN!$AA$33:$AM$54,$C198+1)),0)*16/168</f>
        <v>49885.714285714283</v>
      </c>
      <c r="HD198" s="1715">
        <f t="shared" si="510"/>
        <v>25.521162952305129</v>
      </c>
      <c r="HE198" s="1715">
        <f>IF($A198&gt;=BegDate,VLOOKUP($A198,GasTable,13)+Assumptions!$C$58,0)</f>
        <v>3.1133478260809837</v>
      </c>
      <c r="HF198" s="1715">
        <f>HE198*Assumptions!$C$57/1000</f>
        <v>22.571771739087133</v>
      </c>
      <c r="HG198" s="625">
        <f>IF(Assumptions!$C$60="Hourly",MAX(0,HC198*(HD198-HF198)),HC198*(HD198-HF198))</f>
        <v>147132.48737938917</v>
      </c>
      <c r="HH198" s="640">
        <f>IF($A198&gt;=BegDate,Assumptions!$C$56*24*($A199-$A198)*(1-VLOOKUP($B198,MAIN!$AA$7:$AM$28,$C198+1))*(1-VLOOKUP($B198,MAIN!$AA$33:$AM$54,$C198+1)),0)*56/168</f>
        <v>174600</v>
      </c>
      <c r="HI198" s="1715">
        <f t="shared" si="511"/>
        <v>25.521162952305129</v>
      </c>
      <c r="HJ198" s="1715">
        <f>IF($A198&gt;=BegDate,VLOOKUP($A198,GasTable,13)+Assumptions!$C$58,0)</f>
        <v>3.1133478260809837</v>
      </c>
      <c r="HK198" s="1715">
        <f>HJ198*Assumptions!$C$57/1000</f>
        <v>22.571771739087133</v>
      </c>
      <c r="HL198" s="625">
        <f>IF(Assumptions!$C$60="Hourly",MAX(0,HH198*(HI198-HK198)),HH198*(HI198-HK198))</f>
        <v>514963.7058278622</v>
      </c>
      <c r="HM198" s="640">
        <f>IF(AND(Assumptions!$H$71="Yes",A198&gt;=Assumptions!$H$72,A198&lt;=Assumptions!$H$73),Assumptions!$H$74*Assumptions!$C$9*1000,0)</f>
        <v>0</v>
      </c>
      <c r="HN198" s="530"/>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1464"/>
      <c r="IJ198" s="1463"/>
      <c r="IK198" s="1463"/>
    </row>
    <row r="199" spans="1:245">
      <c r="A199" s="177">
        <f t="shared" si="466"/>
        <v>42186</v>
      </c>
      <c r="B199" s="349">
        <f t="shared" si="467"/>
        <v>2015</v>
      </c>
      <c r="C199" s="15">
        <f t="shared" si="571"/>
        <v>7</v>
      </c>
      <c r="D199" s="612">
        <f t="shared" si="468"/>
        <v>42189</v>
      </c>
      <c r="E199" s="609">
        <f t="shared" si="572"/>
        <v>42186</v>
      </c>
      <c r="F199" s="614">
        <f t="shared" si="573"/>
        <v>42216</v>
      </c>
      <c r="G199" s="1349">
        <v>0</v>
      </c>
      <c r="H199" s="152">
        <f t="shared" si="512"/>
        <v>1</v>
      </c>
      <c r="I199" s="154">
        <f>IF(Assumptions!$L$25=4,VLOOKUP($A199,'Henwood Reference'!$E$9:$R$320,10),(VLOOKUP($A199,PriceTable,2,0)+IF(BasisNumber&lt;&gt;1,VLOOKUP($A199,BasisTable,2,0),0)+I$1)/(1-I$2))</f>
        <v>68.061773150555709</v>
      </c>
      <c r="J199" s="154">
        <f>IF(Assumptions!$L$25=4,VLOOKUP($A199,'Henwood Reference'!$E$9:$R$320,10),(VLOOKUP($A199,PriceTable,3,0)+IF(BasisNumber&lt;&gt;1,VLOOKUP($A199,BasisTable,2,0),0)+J$1)/(1-J$2))</f>
        <v>68.061773150555709</v>
      </c>
      <c r="K199" s="154">
        <f>IF(Assumptions!$L$25=4,VLOOKUP($A199,'Henwood Reference'!$E$9:$R$320,10),(VLOOKUP($A199,PriceTable,4,0)+IF(BasisNumber&lt;&gt;1,VLOOKUP($A199,BasisTable,2,0),0)+K$1)/(1-K$2))</f>
        <v>68.061773150555709</v>
      </c>
      <c r="L199" s="474">
        <f>IF(Assumptions!$L$25=4,VLOOKUP($A199,'Henwood Reference'!$E$9:$R$320,10),(VLOOKUP($A199,PriceTableWeekend,2,0)+IF(BasisNumber&lt;&gt;1,VLOOKUP($A199,BasisTable,2,0),0)+L$1)/(1-L$2))</f>
        <v>68.061773150555709</v>
      </c>
      <c r="M199" s="154">
        <f>IF(Assumptions!$L$25=4,VLOOKUP($A199,'Henwood Reference'!$E$9:$R$320,10),(VLOOKUP($A199,PriceTableWeekend,3,0)+IF(BasisNumber&lt;&gt;1,VLOOKUP($A199,BasisTable,2,0),0)+M$1)/(1-M$2))</f>
        <v>68.061773150555709</v>
      </c>
      <c r="N199" s="156">
        <f>IF(Assumptions!$L$25=4,VLOOKUP($A199,'Henwood Reference'!$E$9:$R$320,10),(VLOOKUP($A199,PriceTableWeekend,4,0)+IF(BasisNumber&lt;&gt;1,VLOOKUP($A199,BasisTable,2,0),0)+N$1)/(1-N$2))</f>
        <v>68.061773150555709</v>
      </c>
      <c r="O199" s="154">
        <f>IF(Assumptions!$L$25=4,VLOOKUP($A199,'Henwood Reference'!$E$9:$R$320,11),(VLOOKUP($A199,PriceTableWeekend,6,0)+IF(BasisNumber&lt;&gt;1,VLOOKUP($A199,BasisTable,3,0),0)+O$1)/(1-O$2))</f>
        <v>32.28415135238388</v>
      </c>
      <c r="P199" s="154">
        <f>IF(Assumptions!$L$25=4,VLOOKUP($A199,'Henwood Reference'!$E$9:$R$320,11),(VLOOKUP($A199,PriceTableWeekend,7,0)+IF(BasisNumber&lt;&gt;1,VLOOKUP($A199,BasisTable,3,0),0)+P$1)/(1-P$2))</f>
        <v>32.28415135238388</v>
      </c>
      <c r="Q199" s="156">
        <f>IF(Assumptions!$L$25=4,VLOOKUP($A199,'Henwood Reference'!$E$9:$R$320,11),(VLOOKUP($A199,PriceTableWeekend,8,0)+IF(BasisNumber&lt;&gt;1,VLOOKUP($A199,BasisTable,3,0),0)+Q$1)/(1-Q$2))</f>
        <v>32.28415135238388</v>
      </c>
      <c r="R199" s="154">
        <f>IF(Assumptions!$L$25=4,VLOOKUP($A199,'Henwood Reference'!$E$9:$R$320,11),(VLOOKUP($A199,PriceTable,6,0)+IF(BasisNumber&lt;&gt;1,VLOOKUP($A199,BasisTable,3,0),0)+R$1)/(1-R$2))</f>
        <v>32.28415135238388</v>
      </c>
      <c r="S199" s="154">
        <f>IF(Assumptions!$L$25=4,VLOOKUP($A199,'Henwood Reference'!$E$9:$R$320,11),(VLOOKUP($A199,PriceTable,7,0)+IF(BasisNumber&lt;&gt;1,VLOOKUP($A199,BasisTable,3,0),0)+S$1)/(1-S$2))</f>
        <v>32.28415135238388</v>
      </c>
      <c r="T199" s="155">
        <f>IF(Assumptions!$L$25=4,VLOOKUP($A199,'Henwood Reference'!$E$9:$R$320,11),(VLOOKUP($A199,PriceTable,8,0)+IF(BasisNumber&lt;&gt;1,VLOOKUP($A199,BasisTable,3,0),0)+T$1)/(1-T$2))</f>
        <v>32.28415135238388</v>
      </c>
      <c r="U199" s="173">
        <f t="shared" si="469"/>
        <v>9.4999999999999932E-2</v>
      </c>
      <c r="V199" s="173">
        <f t="shared" si="470"/>
        <v>0.105</v>
      </c>
      <c r="W199" s="174">
        <f t="shared" si="471"/>
        <v>0.115</v>
      </c>
      <c r="X199" s="173">
        <f t="shared" si="472"/>
        <v>9.4999999999999932E-2</v>
      </c>
      <c r="Y199" s="173">
        <f t="shared" si="473"/>
        <v>0.105</v>
      </c>
      <c r="Z199" s="174">
        <f t="shared" si="474"/>
        <v>0.115</v>
      </c>
      <c r="AA199" s="173">
        <f t="shared" si="475"/>
        <v>0.09</v>
      </c>
      <c r="AB199" s="173">
        <f t="shared" si="476"/>
        <v>0.11</v>
      </c>
      <c r="AC199" s="174">
        <f t="shared" si="477"/>
        <v>0.13</v>
      </c>
      <c r="AD199" s="173">
        <f t="shared" si="478"/>
        <v>0.09</v>
      </c>
      <c r="AE199" s="173">
        <f t="shared" si="479"/>
        <v>0.11</v>
      </c>
      <c r="AF199" s="174">
        <f t="shared" si="480"/>
        <v>0.13</v>
      </c>
      <c r="AG199" s="173">
        <f t="shared" si="481"/>
        <v>-0.35</v>
      </c>
      <c r="AH199" s="173">
        <f t="shared" si="482"/>
        <v>0.65</v>
      </c>
      <c r="AI199" s="174">
        <f t="shared" si="483"/>
        <v>0.35</v>
      </c>
      <c r="AJ199" s="173">
        <f t="shared" si="484"/>
        <v>-0.35</v>
      </c>
      <c r="AK199" s="173">
        <f t="shared" si="485"/>
        <v>0.65</v>
      </c>
      <c r="AL199" s="174">
        <f t="shared" si="486"/>
        <v>0.35</v>
      </c>
      <c r="AM199" s="173">
        <f t="shared" si="487"/>
        <v>-0.01</v>
      </c>
      <c r="AN199" s="173">
        <f t="shared" si="488"/>
        <v>0.16</v>
      </c>
      <c r="AO199" s="174">
        <f t="shared" si="489"/>
        <v>0.01</v>
      </c>
      <c r="AP199" s="173">
        <f t="shared" si="490"/>
        <v>-0.01</v>
      </c>
      <c r="AQ199" s="173">
        <f t="shared" si="491"/>
        <v>0.16</v>
      </c>
      <c r="AR199" s="175">
        <f t="shared" si="492"/>
        <v>0.01</v>
      </c>
      <c r="AS199" s="521">
        <f t="shared" si="576"/>
        <v>0.5</v>
      </c>
      <c r="AT199" s="349">
        <f t="shared" si="574"/>
        <v>23</v>
      </c>
      <c r="AU199" s="159">
        <f t="shared" si="411"/>
        <v>3</v>
      </c>
      <c r="AV199" s="159">
        <f t="shared" si="412"/>
        <v>4</v>
      </c>
      <c r="AW199" s="159">
        <f t="shared" si="577"/>
        <v>1</v>
      </c>
      <c r="AX199" s="15">
        <f t="shared" si="575"/>
        <v>31</v>
      </c>
      <c r="AY199" s="607">
        <f>IF(E199="",0,MIN((1-(1-VLOOKUP(B199,MAIN!$AA$7:$AM$28,C199+1))*(1-VLOOKUP(B199,MAIN!$AA$33:$AM$54,C199+1))),1))</f>
        <v>3.0000000000000027E-2</v>
      </c>
      <c r="AZ199" s="337">
        <v>53544</v>
      </c>
      <c r="BA199" s="509">
        <v>6984</v>
      </c>
      <c r="BB199" s="509">
        <v>11640</v>
      </c>
      <c r="BC199" s="511">
        <v>36084</v>
      </c>
      <c r="BD199" s="153">
        <v>0.97000000361353156</v>
      </c>
      <c r="BE199" s="474">
        <v>0.97000000361353156</v>
      </c>
      <c r="BF199" s="474">
        <v>0.97000000361353156</v>
      </c>
      <c r="BG199" s="515">
        <v>0.96999998554587363</v>
      </c>
      <c r="BH199" s="262">
        <v>214176</v>
      </c>
      <c r="BI199" s="509">
        <v>27936</v>
      </c>
      <c r="BJ199" s="509">
        <v>46560</v>
      </c>
      <c r="BK199" s="511">
        <v>144336</v>
      </c>
      <c r="BL199" s="153">
        <v>0.97000000361353156</v>
      </c>
      <c r="BM199" s="474">
        <v>0.97000000361353156</v>
      </c>
      <c r="BN199" s="474">
        <v>0.97000000361353156</v>
      </c>
      <c r="BO199" s="474">
        <v>0.96999998554587363</v>
      </c>
      <c r="BP199" s="261">
        <f t="shared" si="495"/>
        <v>72168</v>
      </c>
      <c r="BQ199" s="578">
        <f t="shared" si="496"/>
        <v>108252</v>
      </c>
      <c r="BR199" s="259">
        <f t="shared" si="497"/>
        <v>288672</v>
      </c>
      <c r="BS199" s="578">
        <f t="shared" si="498"/>
        <v>433008</v>
      </c>
      <c r="BT199" s="216">
        <f t="shared" si="499"/>
        <v>15.211498973305956</v>
      </c>
      <c r="BU199" s="218">
        <f t="shared" si="414"/>
        <v>68.06177340410558</v>
      </c>
      <c r="BV199" s="216">
        <f t="shared" si="415"/>
        <v>68.06177340410558</v>
      </c>
      <c r="BW199" s="216">
        <f t="shared" si="416"/>
        <v>32.284151472651715</v>
      </c>
      <c r="BX199" s="216">
        <f t="shared" si="500"/>
        <v>32.284150871312541</v>
      </c>
      <c r="BY199" s="216">
        <f t="shared" si="417"/>
        <v>62.291189221613024</v>
      </c>
      <c r="BZ199" s="216">
        <f t="shared" si="418"/>
        <v>52.288843104846194</v>
      </c>
      <c r="CA199" s="264">
        <f t="shared" si="419"/>
        <v>68.06177340410558</v>
      </c>
      <c r="CB199" s="216">
        <f t="shared" si="420"/>
        <v>68.06177340410558</v>
      </c>
      <c r="CC199" s="216">
        <f t="shared" si="421"/>
        <v>32.284151472651715</v>
      </c>
      <c r="CD199" s="216">
        <f t="shared" si="501"/>
        <v>32.284150871312541</v>
      </c>
      <c r="CE199" s="216">
        <f t="shared" si="422"/>
        <v>62.291189221613024</v>
      </c>
      <c r="CF199" s="571">
        <f t="shared" si="423"/>
        <v>52.288843104846194</v>
      </c>
      <c r="CG199" s="573">
        <f t="shared" si="424"/>
        <v>0.105</v>
      </c>
      <c r="CH199" s="219">
        <f t="shared" si="425"/>
        <v>0.105</v>
      </c>
      <c r="CI199" s="219">
        <f t="shared" si="426"/>
        <v>0.11</v>
      </c>
      <c r="CJ199" s="219">
        <f t="shared" si="427"/>
        <v>0.1054195052216694</v>
      </c>
      <c r="CK199" s="219">
        <f t="shared" si="428"/>
        <v>0.1054195052216694</v>
      </c>
      <c r="CL199" s="219">
        <f t="shared" si="429"/>
        <v>0.11</v>
      </c>
      <c r="CM199" s="219">
        <f t="shared" si="430"/>
        <v>9.7292108593852331E-2</v>
      </c>
      <c r="CN199" s="569">
        <f t="shared" si="431"/>
        <v>9.7292108593852331E-2</v>
      </c>
      <c r="CO199" s="264">
        <f t="shared" si="514"/>
        <v>22.491848431013519</v>
      </c>
      <c r="CP199" s="216">
        <f t="shared" si="502"/>
        <v>22.491848431013519</v>
      </c>
      <c r="CQ199" s="216">
        <f t="shared" ca="1" si="532"/>
        <v>22.491848431013519</v>
      </c>
      <c r="CR199" s="216">
        <f t="shared" ca="1" si="533"/>
        <v>22.491848431013519</v>
      </c>
      <c r="CS199" s="1626">
        <f t="shared" ca="1" si="534"/>
        <v>22.491848431013523</v>
      </c>
      <c r="CT199" s="216">
        <f t="shared" si="503"/>
        <v>22.491848431013519</v>
      </c>
      <c r="CU199" s="575">
        <f t="shared" si="432"/>
        <v>0.153</v>
      </c>
      <c r="CV199" s="154">
        <f t="shared" si="433"/>
        <v>0.5</v>
      </c>
      <c r="CW199" s="216">
        <f>IF(OR($BQ199,$BS199),SpreadOptPowerMargin,0)*((1+Assumptions!$C$26)^($B199-YEAR(Assumptions!$C$17)))</f>
        <v>2.2828352302125814</v>
      </c>
      <c r="CX199" s="216">
        <f>IF(OR($BQ199,$BS199),SpreadOptPowerMargin,0)*((1+Assumptions!$C$26)^($B199-YEAR(Assumptions!$C$17)))</f>
        <v>2.2828352302125814</v>
      </c>
      <c r="CY199" s="216">
        <f>IF(OR($BQ199,$BS199),SpreadOptPowerMargin,0)*((1+Assumptions!$C$26)^($B199-YEAR(Assumptions!$C$17)))</f>
        <v>2.2828352302125814</v>
      </c>
      <c r="CZ199" s="216">
        <f>IF(OR($BQ199,$BS199),SpreadOptPowerMargin,0)*((1+Assumptions!$C$26)^($B199-YEAR(Assumptions!$C$17)))</f>
        <v>2.2828352302125814</v>
      </c>
      <c r="DA199" s="440">
        <f t="shared" si="434"/>
        <v>2.2828352302125814</v>
      </c>
      <c r="DB199" s="479">
        <f t="shared" si="435"/>
        <v>0.105</v>
      </c>
      <c r="DC199" s="479">
        <f t="shared" si="436"/>
        <v>0.105</v>
      </c>
      <c r="DD199" s="479">
        <f t="shared" si="437"/>
        <v>0.11</v>
      </c>
      <c r="DE199" s="479">
        <f t="shared" si="438"/>
        <v>0.11</v>
      </c>
      <c r="DF199" s="479">
        <f t="shared" si="439"/>
        <v>9.7292108593852331E-2</v>
      </c>
      <c r="DG199" s="574">
        <f t="shared" si="440"/>
        <v>9.7292108593852331E-2</v>
      </c>
      <c r="DH199" s="216">
        <f t="shared" si="441"/>
        <v>43.44885884326056</v>
      </c>
      <c r="DI199" s="216">
        <f t="shared" si="442"/>
        <v>43.44885884326056</v>
      </c>
      <c r="DJ199" s="216">
        <f t="shared" ca="1" si="535"/>
        <v>10.115364189097876</v>
      </c>
      <c r="DK199" s="216">
        <f t="shared" ca="1" si="536"/>
        <v>10.115363716400164</v>
      </c>
      <c r="DL199" s="216">
        <f t="shared" ca="1" si="537"/>
        <v>27.998243213493431</v>
      </c>
      <c r="DM199" s="216"/>
      <c r="DN199" s="216"/>
      <c r="DO199" s="216"/>
      <c r="DP199" s="216"/>
      <c r="DQ199" s="216"/>
      <c r="DR199" s="216"/>
      <c r="DS199" s="216"/>
      <c r="DT199" s="216"/>
      <c r="DU199" s="216"/>
      <c r="DV199" s="216"/>
      <c r="DW199" s="1371">
        <f t="shared" si="443"/>
        <v>10.115364189097876</v>
      </c>
      <c r="DX199" s="216">
        <f t="shared" si="444"/>
        <v>10.115363716400164</v>
      </c>
      <c r="DY199" s="440">
        <f t="shared" si="445"/>
        <v>28.753447063967023</v>
      </c>
      <c r="DZ199" s="180">
        <f t="shared" si="446"/>
        <v>2326425.6979035432</v>
      </c>
      <c r="EA199" s="180">
        <f t="shared" si="447"/>
        <v>303446.83016133175</v>
      </c>
      <c r="EB199" s="180">
        <f t="shared" ca="1" si="538"/>
        <v>117742.83916109928</v>
      </c>
      <c r="EC199" s="180">
        <f t="shared" ca="1" si="539"/>
        <v>365002.78434258356</v>
      </c>
      <c r="ED199" s="180">
        <f t="shared" ca="1" si="540"/>
        <v>3030865.8243470909</v>
      </c>
      <c r="EE199" s="581">
        <f t="shared" si="448"/>
        <v>2317763.9331927388</v>
      </c>
      <c r="EF199" s="554">
        <f t="shared" si="449"/>
        <v>302317.0347642703</v>
      </c>
      <c r="EG199" s="554">
        <f t="shared" ca="1" si="541"/>
        <v>87410.205324994167</v>
      </c>
      <c r="EH199" s="554">
        <f t="shared" ca="1" si="542"/>
        <v>270971.61480875913</v>
      </c>
      <c r="EI199" s="561">
        <f t="shared" ca="1" si="450"/>
        <v>2978462.7880907622</v>
      </c>
      <c r="EJ199" s="581">
        <f t="shared" si="504"/>
        <v>8661.7647108044475</v>
      </c>
      <c r="EK199" s="554">
        <f t="shared" si="505"/>
        <v>1129.7953970614471</v>
      </c>
      <c r="EL199" s="554">
        <f t="shared" ca="1" si="543"/>
        <v>30332.633836105117</v>
      </c>
      <c r="EM199" s="554">
        <f t="shared" ca="1" si="544"/>
        <v>94031.169533824432</v>
      </c>
      <c r="EN199" s="561">
        <f t="shared" ca="1" si="545"/>
        <v>52403.036256328691</v>
      </c>
      <c r="EO199" s="180">
        <f t="shared" si="451"/>
        <v>9305702.791614173</v>
      </c>
      <c r="EP199" s="180">
        <f t="shared" si="452"/>
        <v>1213787.320645327</v>
      </c>
      <c r="EQ199" s="180">
        <f t="shared" si="453"/>
        <v>470971.35664439714</v>
      </c>
      <c r="ER199" s="180">
        <f t="shared" si="454"/>
        <v>1460011.1373703342</v>
      </c>
      <c r="ES199" s="180">
        <f t="shared" si="455"/>
        <v>12450472.606274232</v>
      </c>
      <c r="ET199" s="1482">
        <f t="shared" ca="1" si="546"/>
        <v>9271055.7327709552</v>
      </c>
      <c r="EU199" s="180">
        <f t="shared" ca="1" si="547"/>
        <v>1209268.1390570812</v>
      </c>
      <c r="EV199" s="180">
        <f t="shared" ca="1" si="548"/>
        <v>349640.82129997667</v>
      </c>
      <c r="EW199" s="180">
        <f t="shared" ca="1" si="549"/>
        <v>1083886.4592350365</v>
      </c>
      <c r="EX199" s="555">
        <f t="shared" ca="1" si="522"/>
        <v>11913851.152363049</v>
      </c>
      <c r="EY199" s="180">
        <f t="shared" ca="1" si="550"/>
        <v>34647.05884321779</v>
      </c>
      <c r="EZ199" s="180">
        <f t="shared" ca="1" si="551"/>
        <v>4519.1815882457886</v>
      </c>
      <c r="FA199" s="180">
        <f t="shared" ca="1" si="552"/>
        <v>121330.53534442047</v>
      </c>
      <c r="FB199" s="180">
        <f t="shared" ca="1" si="553"/>
        <v>376124.67813529773</v>
      </c>
      <c r="FC199" s="180">
        <f t="shared" ca="1" si="554"/>
        <v>536621.4539111834</v>
      </c>
      <c r="FD199" s="262">
        <f>IF(AX199,IF(VLOOKUP(C199,MAIN!$L$17:$M$28,2)="Yes",VLOOKUP(CALC!B199,MAIN!$H$17:$I$20,2),0),0)</f>
        <v>0</v>
      </c>
      <c r="FE199" s="623">
        <f t="shared" si="456"/>
        <v>0</v>
      </c>
      <c r="FF199" s="535">
        <f t="shared" si="457"/>
        <v>0</v>
      </c>
      <c r="FG199" s="535">
        <f t="shared" si="458"/>
        <v>0</v>
      </c>
      <c r="FH199" s="624">
        <f t="shared" si="459"/>
        <v>0</v>
      </c>
      <c r="FI199" s="632">
        <f>IF(AX199,VLOOKUP(CALC!B199,MAIN!$H$17:$K$20,4),0)</f>
        <v>0</v>
      </c>
      <c r="FJ199" s="535">
        <f t="shared" si="460"/>
        <v>0</v>
      </c>
      <c r="FK199" s="648">
        <f t="shared" si="506"/>
        <v>0</v>
      </c>
      <c r="FL199" s="530">
        <f t="shared" ca="1" si="555"/>
        <v>0</v>
      </c>
      <c r="FM199" s="530">
        <f t="shared" ca="1" si="556"/>
        <v>0</v>
      </c>
      <c r="FN199" s="530">
        <f t="shared" ca="1" si="557"/>
        <v>0</v>
      </c>
      <c r="FO199" s="622">
        <f t="shared" ca="1" si="558"/>
        <v>0</v>
      </c>
      <c r="FP199" s="530">
        <f t="shared" ca="1" si="559"/>
        <v>0</v>
      </c>
      <c r="FQ199" s="530">
        <f t="shared" ca="1" si="560"/>
        <v>0</v>
      </c>
      <c r="FR199" s="530">
        <f t="shared" ca="1" si="561"/>
        <v>0</v>
      </c>
      <c r="FS199" s="625">
        <f t="shared" ca="1" si="562"/>
        <v>0</v>
      </c>
      <c r="FT199" s="640">
        <f ca="1">IF(AND(Assumptions!$H$71="Yes",A199&gt;=Assumptions!$H$72,A199&lt;=Assumptions!$H$73),0,IF(AND($A199&gt;=Assumptions!$C$17,$A199&lt;=Assumptions!$C$18),MAX(AZ199*(1+VLOOKUP($C199,WeatherCapacityAdjustment,2))-FL199,0),0))</f>
        <v>53544</v>
      </c>
      <c r="FU199" s="530">
        <f ca="1">IF(AND(Assumptions!$H$71="Yes",A199&gt;=Assumptions!$H$72,A199&lt;=Assumptions!$H$73),0,IF(AND($A199&gt;=Assumptions!$C$17,$A199&lt;=Assumptions!$C$18),MAX(BA199*(1+VLOOKUP($C199,WeatherCapacityAdjustment,2))-FM199,0),0))</f>
        <v>6984</v>
      </c>
      <c r="FV199" s="530">
        <f ca="1">IF(AND(Assumptions!$H$71="Yes",A199&gt;=Assumptions!$H$72,A199&lt;=Assumptions!$H$73),0,IF(AND($A199&gt;=Assumptions!$C$17,$A199&lt;=Assumptions!$C$18),MAX(BB199*(1+VLOOKUP($C199,WeatherCapacityAdjustment,2))-FN199,0),0))</f>
        <v>11640</v>
      </c>
      <c r="FW199" s="622">
        <f ca="1">IF(AND(Assumptions!$H$71="Yes",A199&gt;=Assumptions!$H$72,A199&lt;=Assumptions!$H$73),0,IF(AND($A199&gt;=Assumptions!$C$17,$A199&lt;=Assumptions!$C$18),MAX(BC199*(1+VLOOKUP($C199,WeatherCapacityAdjustment,3))-FO199,0),0))</f>
        <v>36084</v>
      </c>
      <c r="FX199" s="621">
        <f ca="1">IF(AND(Assumptions!$H$71="Yes",A199&gt;=Assumptions!$H$72,A199&lt;=Assumptions!$H$73),0,IF(ET199&gt;0,MAX(BH199*(1+VLOOKUP($C199,WeatherCapacityAdjustment,2))-FP199,0),0))</f>
        <v>214176</v>
      </c>
      <c r="FY199" s="530">
        <f ca="1">IF(AND(Assumptions!$H$71="Yes",A199&gt;=Assumptions!$H$72,A199&lt;=Assumptions!$H$73),0,IF(EU199&gt;0,MAX(BI199*(1+VLOOKUP($C199,WeatherCapacityAdjustment,3))-FQ199,0),0))</f>
        <v>27936</v>
      </c>
      <c r="FZ199" s="530">
        <f ca="1">IF(AND(Assumptions!$H$71="Yes",A199&gt;=Assumptions!$H$72,A199&lt;=Assumptions!$H$73),0,IF(EV199&gt;0,MAX(BJ199*(1+VLOOKUP($C199,WeatherCapacityAdjustment,2))-FR199,0),0))</f>
        <v>46560</v>
      </c>
      <c r="GA199" s="622">
        <f ca="1">IF(AND(Assumptions!$H$71="Yes",A199&gt;=Assumptions!$H$72,A199&lt;=Assumptions!$H$73),0,IF(EW199&gt;0,MAX(BK199*(1+VLOOKUP($C199,WeatherCapacityAdjustment,2))-FS199,0),0))</f>
        <v>144336</v>
      </c>
      <c r="GB199" s="530">
        <f t="shared" ca="1" si="461"/>
        <v>541260</v>
      </c>
      <c r="GC199" s="545">
        <f t="shared" ca="1" si="462"/>
        <v>52.288843104846194</v>
      </c>
      <c r="GD199" s="530">
        <f t="shared" ca="1" si="563"/>
        <v>28301859.218929056</v>
      </c>
      <c r="GE199" s="1485">
        <f t="shared" ca="1" si="564"/>
        <v>762507.60263999994</v>
      </c>
      <c r="GF199" s="1776">
        <f t="shared" ca="1" si="565"/>
        <v>3050030.4105599998</v>
      </c>
      <c r="GG199" s="545">
        <f t="shared" si="530"/>
        <v>3.1931321968780466</v>
      </c>
      <c r="GH199" s="622">
        <f t="shared" ca="1" si="531"/>
        <v>12173937.881770378</v>
      </c>
      <c r="GI199" s="621">
        <f t="shared" ca="1" si="507"/>
        <v>541260</v>
      </c>
      <c r="GJ199" s="638">
        <f t="shared" si="463"/>
        <v>2.2828352302125814</v>
      </c>
      <c r="GK199" s="625">
        <f t="shared" ca="1" si="513"/>
        <v>1235607.3967048619</v>
      </c>
      <c r="GL199" s="640">
        <f t="shared" ca="1" si="566"/>
        <v>0</v>
      </c>
      <c r="GM199" s="530">
        <f t="shared" ca="1" si="567"/>
        <v>0</v>
      </c>
      <c r="GN199" s="530">
        <f t="shared" ca="1" si="568"/>
        <v>0</v>
      </c>
      <c r="GO199" s="622">
        <f t="shared" ca="1" si="569"/>
        <v>0</v>
      </c>
      <c r="GP199" s="530">
        <f t="shared" ca="1" si="464"/>
        <v>0</v>
      </c>
      <c r="GQ199" s="545">
        <f t="shared" ca="1" si="465"/>
        <v>0</v>
      </c>
      <c r="GR199" s="625">
        <f t="shared" ca="1" si="570"/>
        <v>0</v>
      </c>
      <c r="GS199" s="640">
        <f>IF($A199&gt;=BegDate,Assumptions!$C$56*24*($A200-$A199)*(1-VLOOKUP($B199,MAIN!$AA$7:$AM$28,$C199+1))*(1-VLOOKUP($B199,MAIN!$AA$33:$AM$54,$C199+1)),0)*80/168</f>
        <v>257742.85714285713</v>
      </c>
      <c r="GT199" s="1715">
        <f t="shared" si="508"/>
        <v>68.061773150555709</v>
      </c>
      <c r="GU199" s="1715">
        <f>IF($A199&gt;=BegDate,VLOOKUP($A199,GasTable,13)+Assumptions!$C$58,0)</f>
        <v>3.1931321968780466</v>
      </c>
      <c r="GV199" s="1715">
        <f>GU199*Assumptions!$C$57/1000</f>
        <v>23.150208427365836</v>
      </c>
      <c r="GW199" s="625">
        <f>IF(Assumptions!$C$60="Hourly",MAX(0,GS199*(GT199-GV199)),GS199*(GT199-GV199))</f>
        <v>11575635.010511309</v>
      </c>
      <c r="GX199" s="640">
        <f>IF($A199&gt;=BegDate,Assumptions!$C$56*24*($A200-$A199)*(1-VLOOKUP($B199,MAIN!$AA$7:$AM$28,$C199+1))*(1-VLOOKUP($B199,MAIN!$AA$33:$AM$54,$C199+1)),0)*16/168</f>
        <v>51548.571428571428</v>
      </c>
      <c r="GY199" s="1715">
        <f t="shared" si="509"/>
        <v>68.061773150555709</v>
      </c>
      <c r="GZ199" s="1715">
        <f>IF($A199&gt;=BegDate,VLOOKUP($A199,GasTable,13)+Assumptions!$C$58,0)</f>
        <v>3.1931321968780466</v>
      </c>
      <c r="HA199" s="1715">
        <f>GZ199*Assumptions!$C$57/1000</f>
        <v>23.150208427365836</v>
      </c>
      <c r="HB199" s="625">
        <f>IF(Assumptions!$C$60="Hourly",MAX(0,GX199*(GY199-HA199)),GX199*(GY199-HA199))</f>
        <v>2315127.0021022619</v>
      </c>
      <c r="HC199" s="640">
        <f>IF($A199&gt;=BegDate,Assumptions!$C$56*24*($A200-$A199)*(1-VLOOKUP($B199,MAIN!$AA$7:$AM$28,$C199+1))*(1-VLOOKUP($B199,MAIN!$AA$33:$AM$54,$C199+1)),0)*16/168</f>
        <v>51548.571428571428</v>
      </c>
      <c r="HD199" s="1715">
        <f t="shared" si="510"/>
        <v>32.28415135238388</v>
      </c>
      <c r="HE199" s="1715">
        <f>IF($A199&gt;=BegDate,VLOOKUP($A199,GasTable,13)+Assumptions!$C$58,0)</f>
        <v>3.1931321968780466</v>
      </c>
      <c r="HF199" s="1715">
        <f>HE199*Assumptions!$C$57/1000</f>
        <v>23.150208427365836</v>
      </c>
      <c r="HG199" s="625">
        <f>IF(Assumptions!$C$60="Hourly",MAX(0,HC199*(HD199-HF199)),HC199*(HD199-HF199))</f>
        <v>470841.70929478726</v>
      </c>
      <c r="HH199" s="640">
        <f>IF($A199&gt;=BegDate,Assumptions!$C$56*24*($A200-$A199)*(1-VLOOKUP($B199,MAIN!$AA$7:$AM$28,$C199+1))*(1-VLOOKUP($B199,MAIN!$AA$33:$AM$54,$C199+1)),0)*56/168</f>
        <v>180420</v>
      </c>
      <c r="HI199" s="1715">
        <f t="shared" si="511"/>
        <v>32.28415135238388</v>
      </c>
      <c r="HJ199" s="1715">
        <f>IF($A199&gt;=BegDate,VLOOKUP($A199,GasTable,13)+Assumptions!$C$58,0)</f>
        <v>3.1931321968780466</v>
      </c>
      <c r="HK199" s="1715">
        <f>HJ199*Assumptions!$C$57/1000</f>
        <v>23.150208427365836</v>
      </c>
      <c r="HL199" s="625">
        <f>IF(Assumptions!$C$60="Hourly",MAX(0,HH199*(HI199-HK199)),HH199*(HI199-HK199))</f>
        <v>1647945.9825317555</v>
      </c>
      <c r="HM199" s="640">
        <f>IF(AND(Assumptions!$H$71="Yes",A199&gt;=Assumptions!$H$72,A199&lt;=Assumptions!$H$73),Assumptions!$H$74*Assumptions!$C$9*1000,0)</f>
        <v>0</v>
      </c>
      <c r="HN199" s="530"/>
      <c r="HO199" s="545"/>
      <c r="HP199" s="545"/>
      <c r="HQ199" s="545"/>
      <c r="HR199" s="545"/>
      <c r="HS199" s="545"/>
      <c r="HT199" s="545"/>
      <c r="HU199" s="545"/>
      <c r="HV199" s="545"/>
      <c r="HW199" s="545"/>
      <c r="HX199" s="545"/>
      <c r="HY199" s="545"/>
      <c r="HZ199" s="545"/>
      <c r="IA199" s="545"/>
      <c r="IB199" s="545"/>
      <c r="IC199" s="545"/>
      <c r="ID199" s="545"/>
      <c r="IE199" s="545"/>
      <c r="IF199" s="545"/>
      <c r="IG199" s="545"/>
      <c r="IH199" s="545"/>
      <c r="II199" s="1464"/>
      <c r="IJ199" s="1463"/>
      <c r="IK199" s="1463"/>
    </row>
    <row r="200" spans="1:245">
      <c r="A200" s="177">
        <f t="shared" si="466"/>
        <v>42217</v>
      </c>
      <c r="B200" s="349">
        <f t="shared" si="467"/>
        <v>2015</v>
      </c>
      <c r="C200" s="15">
        <f t="shared" si="571"/>
        <v>8</v>
      </c>
      <c r="D200" s="612" t="str">
        <f t="shared" si="468"/>
        <v/>
      </c>
      <c r="E200" s="609">
        <f t="shared" si="572"/>
        <v>42217</v>
      </c>
      <c r="F200" s="614">
        <f t="shared" si="573"/>
        <v>42247</v>
      </c>
      <c r="G200" s="1349">
        <v>0</v>
      </c>
      <c r="H200" s="152">
        <f t="shared" si="512"/>
        <v>1</v>
      </c>
      <c r="I200" s="154">
        <f>IF(Assumptions!$L$25=4,VLOOKUP($A200,'Henwood Reference'!$E$9:$R$320,10),(VLOOKUP($A200,PriceTable,2,0)+IF(BasisNumber&lt;&gt;1,VLOOKUP($A200,BasisTable,2,0),0)+I$1)/(1-I$2))</f>
        <v>115.6648671034125</v>
      </c>
      <c r="J200" s="154">
        <f>IF(Assumptions!$L$25=4,VLOOKUP($A200,'Henwood Reference'!$E$9:$R$320,10),(VLOOKUP($A200,PriceTable,3,0)+IF(BasisNumber&lt;&gt;1,VLOOKUP($A200,BasisTable,2,0),0)+J$1)/(1-J$2))</f>
        <v>115.6648671034125</v>
      </c>
      <c r="K200" s="154">
        <f>IF(Assumptions!$L$25=4,VLOOKUP($A200,'Henwood Reference'!$E$9:$R$320,10),(VLOOKUP($A200,PriceTable,4,0)+IF(BasisNumber&lt;&gt;1,VLOOKUP($A200,BasisTable,2,0),0)+K$1)/(1-K$2))</f>
        <v>115.6648671034125</v>
      </c>
      <c r="L200" s="474">
        <f>IF(Assumptions!$L$25=4,VLOOKUP($A200,'Henwood Reference'!$E$9:$R$320,10),(VLOOKUP($A200,PriceTableWeekend,2,0)+IF(BasisNumber&lt;&gt;1,VLOOKUP($A200,BasisTable,2,0),0)+L$1)/(1-L$2))</f>
        <v>115.6648671034125</v>
      </c>
      <c r="M200" s="154">
        <f>IF(Assumptions!$L$25=4,VLOOKUP($A200,'Henwood Reference'!$E$9:$R$320,10),(VLOOKUP($A200,PriceTableWeekend,3,0)+IF(BasisNumber&lt;&gt;1,VLOOKUP($A200,BasisTable,2,0),0)+M$1)/(1-M$2))</f>
        <v>115.6648671034125</v>
      </c>
      <c r="N200" s="156">
        <f>IF(Assumptions!$L$25=4,VLOOKUP($A200,'Henwood Reference'!$E$9:$R$320,10),(VLOOKUP($A200,PriceTableWeekend,4,0)+IF(BasisNumber&lt;&gt;1,VLOOKUP($A200,BasisTable,2,0),0)+N$1)/(1-N$2))</f>
        <v>115.6648671034125</v>
      </c>
      <c r="O200" s="154">
        <f>IF(Assumptions!$L$25=4,VLOOKUP($A200,'Henwood Reference'!$E$9:$R$320,11),(VLOOKUP($A200,PriceTableWeekend,6,0)+IF(BasisNumber&lt;&gt;1,VLOOKUP($A200,BasisTable,3,0),0)+O$1)/(1-O$2))</f>
        <v>37.366150197895792</v>
      </c>
      <c r="P200" s="154">
        <f>IF(Assumptions!$L$25=4,VLOOKUP($A200,'Henwood Reference'!$E$9:$R$320,11),(VLOOKUP($A200,PriceTableWeekend,7,0)+IF(BasisNumber&lt;&gt;1,VLOOKUP($A200,BasisTable,3,0),0)+P$1)/(1-P$2))</f>
        <v>37.366150197895792</v>
      </c>
      <c r="Q200" s="156">
        <f>IF(Assumptions!$L$25=4,VLOOKUP($A200,'Henwood Reference'!$E$9:$R$320,11),(VLOOKUP($A200,PriceTableWeekend,8,0)+IF(BasisNumber&lt;&gt;1,VLOOKUP($A200,BasisTable,3,0),0)+Q$1)/(1-Q$2))</f>
        <v>37.366150197895792</v>
      </c>
      <c r="R200" s="154">
        <f>IF(Assumptions!$L$25=4,VLOOKUP($A200,'Henwood Reference'!$E$9:$R$320,11),(VLOOKUP($A200,PriceTable,6,0)+IF(BasisNumber&lt;&gt;1,VLOOKUP($A200,BasisTable,3,0),0)+R$1)/(1-R$2))</f>
        <v>37.366150197895792</v>
      </c>
      <c r="S200" s="154">
        <f>IF(Assumptions!$L$25=4,VLOOKUP($A200,'Henwood Reference'!$E$9:$R$320,11),(VLOOKUP($A200,PriceTable,7,0)+IF(BasisNumber&lt;&gt;1,VLOOKUP($A200,BasisTable,3,0),0)+S$1)/(1-S$2))</f>
        <v>37.366150197895792</v>
      </c>
      <c r="T200" s="155">
        <f>IF(Assumptions!$L$25=4,VLOOKUP($A200,'Henwood Reference'!$E$9:$R$320,11),(VLOOKUP($A200,PriceTable,8,0)+IF(BasisNumber&lt;&gt;1,VLOOKUP($A200,BasisTable,3,0),0)+T$1)/(1-T$2))</f>
        <v>37.366150197895792</v>
      </c>
      <c r="U200" s="173">
        <f t="shared" si="469"/>
        <v>9.4999999999999932E-2</v>
      </c>
      <c r="V200" s="173">
        <f t="shared" si="470"/>
        <v>0.105</v>
      </c>
      <c r="W200" s="174">
        <f t="shared" si="471"/>
        <v>0.115</v>
      </c>
      <c r="X200" s="173">
        <f t="shared" si="472"/>
        <v>9.4999999999999932E-2</v>
      </c>
      <c r="Y200" s="173">
        <f t="shared" si="473"/>
        <v>0.105</v>
      </c>
      <c r="Z200" s="174">
        <f t="shared" si="474"/>
        <v>0.115</v>
      </c>
      <c r="AA200" s="173">
        <f t="shared" si="475"/>
        <v>0.09</v>
      </c>
      <c r="AB200" s="173">
        <f t="shared" si="476"/>
        <v>0.11</v>
      </c>
      <c r="AC200" s="174">
        <f t="shared" si="477"/>
        <v>0.13</v>
      </c>
      <c r="AD200" s="173">
        <f t="shared" si="478"/>
        <v>0.09</v>
      </c>
      <c r="AE200" s="173">
        <f t="shared" si="479"/>
        <v>0.11</v>
      </c>
      <c r="AF200" s="174">
        <f t="shared" si="480"/>
        <v>0.13</v>
      </c>
      <c r="AG200" s="173">
        <f t="shared" si="481"/>
        <v>-0.35</v>
      </c>
      <c r="AH200" s="173">
        <f t="shared" si="482"/>
        <v>3</v>
      </c>
      <c r="AI200" s="174">
        <f t="shared" si="483"/>
        <v>0.35</v>
      </c>
      <c r="AJ200" s="173">
        <f t="shared" si="484"/>
        <v>-0.35</v>
      </c>
      <c r="AK200" s="173">
        <f t="shared" si="485"/>
        <v>3</v>
      </c>
      <c r="AL200" s="174">
        <f t="shared" si="486"/>
        <v>0.35</v>
      </c>
      <c r="AM200" s="173">
        <f t="shared" si="487"/>
        <v>-0.01</v>
      </c>
      <c r="AN200" s="173">
        <f t="shared" si="488"/>
        <v>0.16</v>
      </c>
      <c r="AO200" s="174">
        <f t="shared" si="489"/>
        <v>0.01</v>
      </c>
      <c r="AP200" s="173">
        <f t="shared" si="490"/>
        <v>-0.01</v>
      </c>
      <c r="AQ200" s="173">
        <f t="shared" si="491"/>
        <v>0.16</v>
      </c>
      <c r="AR200" s="175">
        <f t="shared" si="492"/>
        <v>0.01</v>
      </c>
      <c r="AS200" s="521">
        <f t="shared" si="576"/>
        <v>0.5</v>
      </c>
      <c r="AT200" s="349">
        <f t="shared" si="574"/>
        <v>21</v>
      </c>
      <c r="AU200" s="159">
        <f t="shared" si="411"/>
        <v>5</v>
      </c>
      <c r="AV200" s="159">
        <f t="shared" si="412"/>
        <v>5</v>
      </c>
      <c r="AW200" s="159">
        <f t="shared" si="577"/>
        <v>0</v>
      </c>
      <c r="AX200" s="15">
        <f t="shared" si="575"/>
        <v>31</v>
      </c>
      <c r="AY200" s="607">
        <f>IF(E200="",0,MIN((1-(1-VLOOKUP(B200,MAIN!$AA$7:$AM$28,C200+1))*(1-VLOOKUP(B200,MAIN!$AA$33:$AM$54,C200+1))),1))</f>
        <v>3.0000000000000027E-2</v>
      </c>
      <c r="AZ200" s="337">
        <v>48888</v>
      </c>
      <c r="BA200" s="509">
        <v>11640</v>
      </c>
      <c r="BB200" s="509">
        <v>11640</v>
      </c>
      <c r="BC200" s="511">
        <v>36084</v>
      </c>
      <c r="BD200" s="153">
        <v>0.96999998915940522</v>
      </c>
      <c r="BE200" s="474">
        <v>0.96999998915940522</v>
      </c>
      <c r="BF200" s="474">
        <v>0.96999998915940522</v>
      </c>
      <c r="BG200" s="515">
        <v>0.97000000722706314</v>
      </c>
      <c r="BH200" s="262">
        <v>195552</v>
      </c>
      <c r="BI200" s="509">
        <v>46560</v>
      </c>
      <c r="BJ200" s="509">
        <v>46560</v>
      </c>
      <c r="BK200" s="511">
        <v>144336</v>
      </c>
      <c r="BL200" s="153">
        <v>0.96999998915940522</v>
      </c>
      <c r="BM200" s="474">
        <v>0.96999998915940522</v>
      </c>
      <c r="BN200" s="474">
        <v>0.96999998915940522</v>
      </c>
      <c r="BO200" s="474">
        <v>0.97000000722706314</v>
      </c>
      <c r="BP200" s="261">
        <f t="shared" si="495"/>
        <v>72168</v>
      </c>
      <c r="BQ200" s="578">
        <f t="shared" si="496"/>
        <v>108252</v>
      </c>
      <c r="BR200" s="259">
        <f t="shared" si="497"/>
        <v>288672</v>
      </c>
      <c r="BS200" s="578">
        <f t="shared" si="498"/>
        <v>433008</v>
      </c>
      <c r="BT200" s="216">
        <f t="shared" si="499"/>
        <v>15.296372347707051</v>
      </c>
      <c r="BU200" s="218">
        <f t="shared" si="414"/>
        <v>115.66486581075689</v>
      </c>
      <c r="BV200" s="216">
        <f t="shared" si="415"/>
        <v>115.66486581075689</v>
      </c>
      <c r="BW200" s="216">
        <f t="shared" si="416"/>
        <v>37.366149780296524</v>
      </c>
      <c r="BX200" s="216">
        <f t="shared" si="500"/>
        <v>37.366150476295303</v>
      </c>
      <c r="BY200" s="216">
        <f t="shared" si="417"/>
        <v>103.03604064455361</v>
      </c>
      <c r="BZ200" s="216">
        <f t="shared" si="418"/>
        <v>81.146077255134173</v>
      </c>
      <c r="CA200" s="264">
        <f t="shared" si="419"/>
        <v>115.66486581075689</v>
      </c>
      <c r="CB200" s="216">
        <f t="shared" si="420"/>
        <v>115.66486581075689</v>
      </c>
      <c r="CC200" s="216">
        <f t="shared" si="421"/>
        <v>37.366149780296524</v>
      </c>
      <c r="CD200" s="216">
        <f t="shared" si="501"/>
        <v>37.366150476295303</v>
      </c>
      <c r="CE200" s="216">
        <f t="shared" si="422"/>
        <v>103.03604064455361</v>
      </c>
      <c r="CF200" s="571">
        <f t="shared" si="423"/>
        <v>81.146077255134173</v>
      </c>
      <c r="CG200" s="573">
        <f t="shared" si="424"/>
        <v>0.105</v>
      </c>
      <c r="CH200" s="219">
        <f t="shared" si="425"/>
        <v>0.105</v>
      </c>
      <c r="CI200" s="219">
        <f t="shared" si="426"/>
        <v>0.11</v>
      </c>
      <c r="CJ200" s="219">
        <f t="shared" si="427"/>
        <v>0.10529357211957836</v>
      </c>
      <c r="CK200" s="219">
        <f t="shared" si="428"/>
        <v>0.10529357211957836</v>
      </c>
      <c r="CL200" s="219">
        <f t="shared" si="429"/>
        <v>0.11</v>
      </c>
      <c r="CM200" s="219">
        <f t="shared" si="430"/>
        <v>9.8872926711874934E-2</v>
      </c>
      <c r="CN200" s="569">
        <f t="shared" si="431"/>
        <v>9.8872926711874934E-2</v>
      </c>
      <c r="CO200" s="264">
        <f t="shared" si="514"/>
        <v>23.311132139548281</v>
      </c>
      <c r="CP200" s="216">
        <f t="shared" si="502"/>
        <v>23.311132139548281</v>
      </c>
      <c r="CQ200" s="216">
        <f t="shared" ca="1" si="532"/>
        <v>23.311132139548281</v>
      </c>
      <c r="CR200" s="216">
        <f t="shared" ca="1" si="533"/>
        <v>23.311132139548281</v>
      </c>
      <c r="CS200" s="1626">
        <f t="shared" ca="1" si="534"/>
        <v>23.311132139548281</v>
      </c>
      <c r="CT200" s="216">
        <f t="shared" si="503"/>
        <v>23.311132139548281</v>
      </c>
      <c r="CU200" s="575">
        <f t="shared" si="432"/>
        <v>0.153</v>
      </c>
      <c r="CV200" s="154">
        <f t="shared" si="433"/>
        <v>0.5</v>
      </c>
      <c r="CW200" s="216">
        <f>IF(OR($BQ200,$BS200),SpreadOptPowerMargin,0)*((1+Assumptions!$C$26)^($B200-YEAR(Assumptions!$C$17)))</f>
        <v>2.2828352302125814</v>
      </c>
      <c r="CX200" s="216">
        <f>IF(OR($BQ200,$BS200),SpreadOptPowerMargin,0)*((1+Assumptions!$C$26)^($B200-YEAR(Assumptions!$C$17)))</f>
        <v>2.2828352302125814</v>
      </c>
      <c r="CY200" s="216">
        <f>IF(OR($BQ200,$BS200),SpreadOptPowerMargin,0)*((1+Assumptions!$C$26)^($B200-YEAR(Assumptions!$C$17)))</f>
        <v>2.2828352302125814</v>
      </c>
      <c r="CZ200" s="216">
        <f>IF(OR($BQ200,$BS200),SpreadOptPowerMargin,0)*((1+Assumptions!$C$26)^($B200-YEAR(Assumptions!$C$17)))</f>
        <v>2.2828352302125814</v>
      </c>
      <c r="DA200" s="440">
        <f t="shared" si="434"/>
        <v>2.2828352302125814</v>
      </c>
      <c r="DB200" s="479">
        <f t="shared" si="435"/>
        <v>0.105</v>
      </c>
      <c r="DC200" s="479">
        <f t="shared" si="436"/>
        <v>0.105</v>
      </c>
      <c r="DD200" s="479">
        <f t="shared" si="437"/>
        <v>0.11</v>
      </c>
      <c r="DE200" s="479">
        <f t="shared" si="438"/>
        <v>0.11</v>
      </c>
      <c r="DF200" s="479">
        <f t="shared" si="439"/>
        <v>9.8872926711874934E-2</v>
      </c>
      <c r="DG200" s="574">
        <f t="shared" si="440"/>
        <v>9.8872926711874934E-2</v>
      </c>
      <c r="DH200" s="216">
        <f t="shared" si="441"/>
        <v>90.082092788204037</v>
      </c>
      <c r="DI200" s="216">
        <f t="shared" si="442"/>
        <v>90.082092788204037</v>
      </c>
      <c r="DJ200" s="216">
        <f t="shared" ca="1" si="535"/>
        <v>13.754194073703591</v>
      </c>
      <c r="DK200" s="216">
        <f t="shared" ca="1" si="536"/>
        <v>13.754194662053919</v>
      </c>
      <c r="DL200" s="216">
        <f t="shared" ca="1" si="537"/>
        <v>55.630482696665318</v>
      </c>
      <c r="DM200" s="216"/>
      <c r="DN200" s="216"/>
      <c r="DO200" s="216"/>
      <c r="DP200" s="216"/>
      <c r="DQ200" s="216"/>
      <c r="DR200" s="216"/>
      <c r="DS200" s="216"/>
      <c r="DT200" s="216"/>
      <c r="DU200" s="216"/>
      <c r="DV200" s="216"/>
      <c r="DW200" s="1371">
        <f t="shared" si="443"/>
        <v>13.754194073703591</v>
      </c>
      <c r="DX200" s="216">
        <f t="shared" si="444"/>
        <v>13.754194662053919</v>
      </c>
      <c r="DY200" s="440">
        <f t="shared" si="445"/>
        <v>56.43215914244427</v>
      </c>
      <c r="DZ200" s="180">
        <f t="shared" si="446"/>
        <v>4403933.3522297191</v>
      </c>
      <c r="EA200" s="180">
        <f t="shared" si="447"/>
        <v>1048555.560054695</v>
      </c>
      <c r="EB200" s="180">
        <f t="shared" ca="1" si="538"/>
        <v>160098.81901790979</v>
      </c>
      <c r="EC200" s="180">
        <f t="shared" ca="1" si="539"/>
        <v>496306.36018555361</v>
      </c>
      <c r="ED200" s="180">
        <f t="shared" ca="1" si="540"/>
        <v>6022111.0128794136</v>
      </c>
      <c r="EE200" s="581">
        <f t="shared" si="448"/>
        <v>4403386.0829834137</v>
      </c>
      <c r="EF200" s="554">
        <f t="shared" si="449"/>
        <v>1048425.2578531938</v>
      </c>
      <c r="EG200" s="554">
        <f t="shared" ca="1" si="541"/>
        <v>137028.20325863513</v>
      </c>
      <c r="EH200" s="554">
        <f t="shared" ca="1" si="542"/>
        <v>424787.4552161888</v>
      </c>
      <c r="EI200" s="561">
        <f t="shared" ca="1" si="450"/>
        <v>6013626.9993114322</v>
      </c>
      <c r="EJ200" s="581">
        <f t="shared" si="504"/>
        <v>547.26924630533904</v>
      </c>
      <c r="EK200" s="554">
        <f t="shared" si="505"/>
        <v>130.30220150121022</v>
      </c>
      <c r="EL200" s="554">
        <f t="shared" ca="1" si="543"/>
        <v>23070.61575927466</v>
      </c>
      <c r="EM200" s="554">
        <f t="shared" ca="1" si="544"/>
        <v>71518.904969364812</v>
      </c>
      <c r="EN200" s="561">
        <f t="shared" ca="1" si="545"/>
        <v>8484.0135679813102</v>
      </c>
      <c r="EO200" s="180">
        <f t="shared" si="451"/>
        <v>17615733.408918876</v>
      </c>
      <c r="EP200" s="180">
        <f t="shared" si="452"/>
        <v>4194222.24021878</v>
      </c>
      <c r="EQ200" s="180">
        <f t="shared" si="453"/>
        <v>640395.27607163915</v>
      </c>
      <c r="ER200" s="180">
        <f t="shared" si="454"/>
        <v>1985225.4407422144</v>
      </c>
      <c r="ES200" s="180">
        <f t="shared" si="455"/>
        <v>24435576.365951508</v>
      </c>
      <c r="ET200" s="1482">
        <f t="shared" ca="1" si="546"/>
        <v>17613544.331933655</v>
      </c>
      <c r="EU200" s="180">
        <f t="shared" ca="1" si="547"/>
        <v>4193701.0314127752</v>
      </c>
      <c r="EV200" s="180">
        <f t="shared" ca="1" si="548"/>
        <v>548112.81303454051</v>
      </c>
      <c r="EW200" s="180">
        <f t="shared" ca="1" si="549"/>
        <v>1699149.8208647552</v>
      </c>
      <c r="EX200" s="555">
        <f t="shared" ca="1" si="522"/>
        <v>24054507.997245729</v>
      </c>
      <c r="EY200" s="180">
        <f t="shared" ca="1" si="550"/>
        <v>2189.0769852213562</v>
      </c>
      <c r="EZ200" s="180">
        <f t="shared" ca="1" si="551"/>
        <v>521.20880600484088</v>
      </c>
      <c r="FA200" s="180">
        <f t="shared" ca="1" si="552"/>
        <v>92282.463037098642</v>
      </c>
      <c r="FB200" s="180">
        <f t="shared" ca="1" si="553"/>
        <v>286075.61987745925</v>
      </c>
      <c r="FC200" s="180">
        <f t="shared" ca="1" si="554"/>
        <v>381068.36870577931</v>
      </c>
      <c r="FD200" s="262">
        <f>IF(AX200,IF(VLOOKUP(C200,MAIN!$L$17:$M$28,2)="Yes",VLOOKUP(CALC!B200,MAIN!$H$17:$I$20,2),0),0)</f>
        <v>0</v>
      </c>
      <c r="FE200" s="623">
        <f t="shared" si="456"/>
        <v>0</v>
      </c>
      <c r="FF200" s="535">
        <f t="shared" si="457"/>
        <v>0</v>
      </c>
      <c r="FG200" s="535">
        <f t="shared" si="458"/>
        <v>0</v>
      </c>
      <c r="FH200" s="624">
        <f t="shared" si="459"/>
        <v>0</v>
      </c>
      <c r="FI200" s="632">
        <f>IF(AX200,VLOOKUP(CALC!B200,MAIN!$H$17:$K$20,4),0)</f>
        <v>0</v>
      </c>
      <c r="FJ200" s="535">
        <f t="shared" si="460"/>
        <v>0</v>
      </c>
      <c r="FK200" s="648">
        <f t="shared" si="506"/>
        <v>0</v>
      </c>
      <c r="FL200" s="530">
        <f t="shared" ca="1" si="555"/>
        <v>0</v>
      </c>
      <c r="FM200" s="530">
        <f t="shared" ca="1" si="556"/>
        <v>0</v>
      </c>
      <c r="FN200" s="530">
        <f t="shared" ca="1" si="557"/>
        <v>0</v>
      </c>
      <c r="FO200" s="622">
        <f t="shared" ca="1" si="558"/>
        <v>0</v>
      </c>
      <c r="FP200" s="530">
        <f t="shared" ca="1" si="559"/>
        <v>0</v>
      </c>
      <c r="FQ200" s="530">
        <f t="shared" ca="1" si="560"/>
        <v>0</v>
      </c>
      <c r="FR200" s="530">
        <f t="shared" ca="1" si="561"/>
        <v>0</v>
      </c>
      <c r="FS200" s="625">
        <f t="shared" ca="1" si="562"/>
        <v>0</v>
      </c>
      <c r="FT200" s="640">
        <f ca="1">IF(AND(Assumptions!$H$71="Yes",A200&gt;=Assumptions!$H$72,A200&lt;=Assumptions!$H$73),0,IF(AND($A200&gt;=Assumptions!$C$17,$A200&lt;=Assumptions!$C$18),MAX(AZ200*(1+VLOOKUP($C200,WeatherCapacityAdjustment,2))-FL200,0),0))</f>
        <v>48888</v>
      </c>
      <c r="FU200" s="530">
        <f ca="1">IF(AND(Assumptions!$H$71="Yes",A200&gt;=Assumptions!$H$72,A200&lt;=Assumptions!$H$73),0,IF(AND($A200&gt;=Assumptions!$C$17,$A200&lt;=Assumptions!$C$18),MAX(BA200*(1+VLOOKUP($C200,WeatherCapacityAdjustment,2))-FM200,0),0))</f>
        <v>11640</v>
      </c>
      <c r="FV200" s="530">
        <f ca="1">IF(AND(Assumptions!$H$71="Yes",A200&gt;=Assumptions!$H$72,A200&lt;=Assumptions!$H$73),0,IF(AND($A200&gt;=Assumptions!$C$17,$A200&lt;=Assumptions!$C$18),MAX(BB200*(1+VLOOKUP($C200,WeatherCapacityAdjustment,2))-FN200,0),0))</f>
        <v>11640</v>
      </c>
      <c r="FW200" s="622">
        <f ca="1">IF(AND(Assumptions!$H$71="Yes",A200&gt;=Assumptions!$H$72,A200&lt;=Assumptions!$H$73),0,IF(AND($A200&gt;=Assumptions!$C$17,$A200&lt;=Assumptions!$C$18),MAX(BC200*(1+VLOOKUP($C200,WeatherCapacityAdjustment,3))-FO200,0),0))</f>
        <v>36084</v>
      </c>
      <c r="FX200" s="621">
        <f ca="1">IF(AND(Assumptions!$H$71="Yes",A200&gt;=Assumptions!$H$72,A200&lt;=Assumptions!$H$73),0,IF(ET200&gt;0,MAX(BH200*(1+VLOOKUP($C200,WeatherCapacityAdjustment,2))-FP200,0),0))</f>
        <v>195552</v>
      </c>
      <c r="FY200" s="530">
        <f ca="1">IF(AND(Assumptions!$H$71="Yes",A200&gt;=Assumptions!$H$72,A200&lt;=Assumptions!$H$73),0,IF(EU200&gt;0,MAX(BI200*(1+VLOOKUP($C200,WeatherCapacityAdjustment,3))-FQ200,0),0))</f>
        <v>46560</v>
      </c>
      <c r="FZ200" s="530">
        <f ca="1">IF(AND(Assumptions!$H$71="Yes",A200&gt;=Assumptions!$H$72,A200&lt;=Assumptions!$H$73),0,IF(EV200&gt;0,MAX(BJ200*(1+VLOOKUP($C200,WeatherCapacityAdjustment,2))-FR200,0),0))</f>
        <v>46560</v>
      </c>
      <c r="GA200" s="622">
        <f ca="1">IF(AND(Assumptions!$H$71="Yes",A200&gt;=Assumptions!$H$72,A200&lt;=Assumptions!$H$73),0,IF(EW200&gt;0,MAX(BK200*(1+VLOOKUP($C200,WeatherCapacityAdjustment,2))-FS200,0),0))</f>
        <v>144336</v>
      </c>
      <c r="GB200" s="530">
        <f t="shared" ca="1" si="461"/>
        <v>541260</v>
      </c>
      <c r="GC200" s="545">
        <f t="shared" ca="1" si="462"/>
        <v>81.146077255134173</v>
      </c>
      <c r="GD200" s="530">
        <f t="shared" ca="1" si="563"/>
        <v>43921125.775113925</v>
      </c>
      <c r="GE200" s="1485">
        <f t="shared" ca="1" si="564"/>
        <v>762825.86352000001</v>
      </c>
      <c r="GF200" s="1776">
        <f t="shared" ca="1" si="565"/>
        <v>3051303.4540800001</v>
      </c>
      <c r="GG200" s="545">
        <f t="shared" si="530"/>
        <v>3.3080638675857101</v>
      </c>
      <c r="GH200" s="622">
        <f t="shared" ca="1" si="531"/>
        <v>12617383.381851902</v>
      </c>
      <c r="GI200" s="621">
        <f t="shared" ca="1" si="507"/>
        <v>541260</v>
      </c>
      <c r="GJ200" s="638">
        <f t="shared" si="463"/>
        <v>2.2828352302125814</v>
      </c>
      <c r="GK200" s="625">
        <f t="shared" ca="1" si="513"/>
        <v>1235607.3967048619</v>
      </c>
      <c r="GL200" s="640">
        <f t="shared" ca="1" si="566"/>
        <v>0</v>
      </c>
      <c r="GM200" s="530">
        <f t="shared" ca="1" si="567"/>
        <v>0</v>
      </c>
      <c r="GN200" s="530">
        <f t="shared" ca="1" si="568"/>
        <v>0</v>
      </c>
      <c r="GO200" s="622">
        <f t="shared" ca="1" si="569"/>
        <v>0</v>
      </c>
      <c r="GP200" s="530">
        <f t="shared" ca="1" si="464"/>
        <v>0</v>
      </c>
      <c r="GQ200" s="545">
        <f t="shared" ca="1" si="465"/>
        <v>0</v>
      </c>
      <c r="GR200" s="625">
        <f t="shared" ca="1" si="570"/>
        <v>0</v>
      </c>
      <c r="GS200" s="640">
        <f>IF($A200&gt;=BegDate,Assumptions!$C$56*24*($A201-$A200)*(1-VLOOKUP($B200,MAIN!$AA$7:$AM$28,$C200+1))*(1-VLOOKUP($B200,MAIN!$AA$33:$AM$54,$C200+1)),0)*80/168</f>
        <v>257742.85714285713</v>
      </c>
      <c r="GT200" s="1715">
        <f t="shared" si="508"/>
        <v>115.6648671034125</v>
      </c>
      <c r="GU200" s="1715">
        <f>IF($A200&gt;=BegDate,VLOOKUP($A200,GasTable,13)+Assumptions!$C$58,0)</f>
        <v>3.3080638675857101</v>
      </c>
      <c r="GV200" s="1715">
        <f>GU200*Assumptions!$C$57/1000</f>
        <v>23.983463039996398</v>
      </c>
      <c r="GW200" s="625">
        <f>IF(Assumptions!$C$60="Hourly",MAX(0,GS200*(GT200-GV200)),GS200*(GT200-GV200))</f>
        <v>23630227.030173618</v>
      </c>
      <c r="GX200" s="640">
        <f>IF($A200&gt;=BegDate,Assumptions!$C$56*24*($A201-$A200)*(1-VLOOKUP($B200,MAIN!$AA$7:$AM$28,$C200+1))*(1-VLOOKUP($B200,MAIN!$AA$33:$AM$54,$C200+1)),0)*16/168</f>
        <v>51548.571428571428</v>
      </c>
      <c r="GY200" s="1715">
        <f t="shared" si="509"/>
        <v>115.6648671034125</v>
      </c>
      <c r="GZ200" s="1715">
        <f>IF($A200&gt;=BegDate,VLOOKUP($A200,GasTable,13)+Assumptions!$C$58,0)</f>
        <v>3.3080638675857101</v>
      </c>
      <c r="HA200" s="1715">
        <f>GZ200*Assumptions!$C$57/1000</f>
        <v>23.983463039996398</v>
      </c>
      <c r="HB200" s="625">
        <f>IF(Assumptions!$C$60="Hourly",MAX(0,GX200*(GY200-HA200)),GX200*(GY200-HA200))</f>
        <v>4726045.4060347239</v>
      </c>
      <c r="HC200" s="640">
        <f>IF($A200&gt;=BegDate,Assumptions!$C$56*24*($A201-$A200)*(1-VLOOKUP($B200,MAIN!$AA$7:$AM$28,$C200+1))*(1-VLOOKUP($B200,MAIN!$AA$33:$AM$54,$C200+1)),0)*16/168</f>
        <v>51548.571428571428</v>
      </c>
      <c r="HD200" s="1715">
        <f t="shared" si="510"/>
        <v>37.366150197895792</v>
      </c>
      <c r="HE200" s="1715">
        <f>IF($A200&gt;=BegDate,VLOOKUP($A200,GasTable,13)+Assumptions!$C$58,0)</f>
        <v>3.3080638675857101</v>
      </c>
      <c r="HF200" s="1715">
        <f>HE200*Assumptions!$C$57/1000</f>
        <v>23.983463039996398</v>
      </c>
      <c r="HG200" s="625">
        <f>IF(Assumptions!$C$60="Hourly",MAX(0,HC200*(HD200-HF200)),HC200*(HD200-HF200))</f>
        <v>689858.40486520249</v>
      </c>
      <c r="HH200" s="640">
        <f>IF($A200&gt;=BegDate,Assumptions!$C$56*24*($A201-$A200)*(1-VLOOKUP($B200,MAIN!$AA$7:$AM$28,$C200+1))*(1-VLOOKUP($B200,MAIN!$AA$33:$AM$54,$C200+1)),0)*56/168</f>
        <v>180420</v>
      </c>
      <c r="HI200" s="1715">
        <f t="shared" si="511"/>
        <v>37.366150197895792</v>
      </c>
      <c r="HJ200" s="1715">
        <f>IF($A200&gt;=BegDate,VLOOKUP($A200,GasTable,13)+Assumptions!$C$58,0)</f>
        <v>3.3080638675857101</v>
      </c>
      <c r="HK200" s="1715">
        <f>HJ200*Assumptions!$C$57/1000</f>
        <v>23.983463039996398</v>
      </c>
      <c r="HL200" s="625">
        <f>IF(Assumptions!$C$60="Hourly",MAX(0,HH200*(HI200-HK200)),HH200*(HI200-HK200))</f>
        <v>2414504.4170282087</v>
      </c>
      <c r="HM200" s="640">
        <f>IF(AND(Assumptions!$H$71="Yes",A200&gt;=Assumptions!$H$72,A200&lt;=Assumptions!$H$73),Assumptions!$H$74*Assumptions!$C$9*1000,0)</f>
        <v>0</v>
      </c>
      <c r="HN200" s="530"/>
      <c r="HO200" s="545"/>
      <c r="HP200" s="545"/>
      <c r="HQ200" s="545"/>
      <c r="HR200" s="545"/>
      <c r="HS200" s="545"/>
      <c r="HT200" s="545"/>
      <c r="HU200" s="545"/>
      <c r="HV200" s="545"/>
      <c r="HW200" s="545"/>
      <c r="HX200" s="545"/>
      <c r="HY200" s="545"/>
      <c r="HZ200" s="545"/>
      <c r="IA200" s="545"/>
      <c r="IB200" s="545"/>
      <c r="IC200" s="545"/>
      <c r="ID200" s="545"/>
      <c r="IE200" s="545"/>
      <c r="IF200" s="545"/>
      <c r="IG200" s="545"/>
      <c r="IH200" s="545"/>
      <c r="II200" s="1464"/>
      <c r="IJ200" s="1463"/>
      <c r="IK200" s="1463"/>
    </row>
    <row r="201" spans="1:245">
      <c r="A201" s="177">
        <f t="shared" si="466"/>
        <v>42248</v>
      </c>
      <c r="B201" s="349">
        <f t="shared" si="467"/>
        <v>2015</v>
      </c>
      <c r="C201" s="15">
        <f t="shared" si="571"/>
        <v>9</v>
      </c>
      <c r="D201" s="612">
        <f t="shared" si="468"/>
        <v>42254</v>
      </c>
      <c r="E201" s="609">
        <f t="shared" si="572"/>
        <v>42248</v>
      </c>
      <c r="F201" s="614">
        <f t="shared" si="573"/>
        <v>42277</v>
      </c>
      <c r="G201" s="1349">
        <v>0</v>
      </c>
      <c r="H201" s="152">
        <f t="shared" si="512"/>
        <v>1</v>
      </c>
      <c r="I201" s="154">
        <f>IF(Assumptions!$L$25=4,VLOOKUP($A201,'Henwood Reference'!$E$9:$R$320,10),(VLOOKUP($A201,PriceTable,2,0)+IF(BasisNumber&lt;&gt;1,VLOOKUP($A201,BasisTable,2,0),0)+I$1)/(1-I$2))</f>
        <v>75.19756708035024</v>
      </c>
      <c r="J201" s="154">
        <f>IF(Assumptions!$L$25=4,VLOOKUP($A201,'Henwood Reference'!$E$9:$R$320,10),(VLOOKUP($A201,PriceTable,3,0)+IF(BasisNumber&lt;&gt;1,VLOOKUP($A201,BasisTable,2,0),0)+J$1)/(1-J$2))</f>
        <v>75.19756708035024</v>
      </c>
      <c r="K201" s="154">
        <f>IF(Assumptions!$L$25=4,VLOOKUP($A201,'Henwood Reference'!$E$9:$R$320,10),(VLOOKUP($A201,PriceTable,4,0)+IF(BasisNumber&lt;&gt;1,VLOOKUP($A201,BasisTable,2,0),0)+K$1)/(1-K$2))</f>
        <v>75.19756708035024</v>
      </c>
      <c r="L201" s="474">
        <f>IF(Assumptions!$L$25=4,VLOOKUP($A201,'Henwood Reference'!$E$9:$R$320,10),(VLOOKUP($A201,PriceTableWeekend,2,0)+IF(BasisNumber&lt;&gt;1,VLOOKUP($A201,BasisTable,2,0),0)+L$1)/(1-L$2))</f>
        <v>75.19756708035024</v>
      </c>
      <c r="M201" s="154">
        <f>IF(Assumptions!$L$25=4,VLOOKUP($A201,'Henwood Reference'!$E$9:$R$320,10),(VLOOKUP($A201,PriceTableWeekend,3,0)+IF(BasisNumber&lt;&gt;1,VLOOKUP($A201,BasisTable,2,0),0)+M$1)/(1-M$2))</f>
        <v>75.19756708035024</v>
      </c>
      <c r="N201" s="156">
        <f>IF(Assumptions!$L$25=4,VLOOKUP($A201,'Henwood Reference'!$E$9:$R$320,10),(VLOOKUP($A201,PriceTableWeekend,4,0)+IF(BasisNumber&lt;&gt;1,VLOOKUP($A201,BasisTable,2,0),0)+N$1)/(1-N$2))</f>
        <v>75.19756708035024</v>
      </c>
      <c r="O201" s="154">
        <f>IF(Assumptions!$L$25=4,VLOOKUP($A201,'Henwood Reference'!$E$9:$R$320,11),(VLOOKUP($A201,PriceTableWeekend,6,0)+IF(BasisNumber&lt;&gt;1,VLOOKUP($A201,BasisTable,3,0),0)+O$1)/(1-O$2))</f>
        <v>35.618674747415746</v>
      </c>
      <c r="P201" s="154">
        <f>IF(Assumptions!$L$25=4,VLOOKUP($A201,'Henwood Reference'!$E$9:$R$320,11),(VLOOKUP($A201,PriceTableWeekend,7,0)+IF(BasisNumber&lt;&gt;1,VLOOKUP($A201,BasisTable,3,0),0)+P$1)/(1-P$2))</f>
        <v>35.618674747415746</v>
      </c>
      <c r="Q201" s="156">
        <f>IF(Assumptions!$L$25=4,VLOOKUP($A201,'Henwood Reference'!$E$9:$R$320,11),(VLOOKUP($A201,PriceTableWeekend,8,0)+IF(BasisNumber&lt;&gt;1,VLOOKUP($A201,BasisTable,3,0),0)+Q$1)/(1-Q$2))</f>
        <v>35.618674747415746</v>
      </c>
      <c r="R201" s="154">
        <f>IF(Assumptions!$L$25=4,VLOOKUP($A201,'Henwood Reference'!$E$9:$R$320,11),(VLOOKUP($A201,PriceTable,6,0)+IF(BasisNumber&lt;&gt;1,VLOOKUP($A201,BasisTable,3,0),0)+R$1)/(1-R$2))</f>
        <v>35.618674747415746</v>
      </c>
      <c r="S201" s="154">
        <f>IF(Assumptions!$L$25=4,VLOOKUP($A201,'Henwood Reference'!$E$9:$R$320,11),(VLOOKUP($A201,PriceTable,7,0)+IF(BasisNumber&lt;&gt;1,VLOOKUP($A201,BasisTable,3,0),0)+S$1)/(1-S$2))</f>
        <v>35.618674747415746</v>
      </c>
      <c r="T201" s="155">
        <f>IF(Assumptions!$L$25=4,VLOOKUP($A201,'Henwood Reference'!$E$9:$R$320,11),(VLOOKUP($A201,PriceTable,8,0)+IF(BasisNumber&lt;&gt;1,VLOOKUP($A201,BasisTable,3,0),0)+T$1)/(1-T$2))</f>
        <v>35.618674747415746</v>
      </c>
      <c r="U201" s="173">
        <f t="shared" si="469"/>
        <v>9.4999999999999932E-2</v>
      </c>
      <c r="V201" s="173">
        <f t="shared" si="470"/>
        <v>0.105</v>
      </c>
      <c r="W201" s="174">
        <f t="shared" si="471"/>
        <v>0.115</v>
      </c>
      <c r="X201" s="173">
        <f t="shared" si="472"/>
        <v>9.4999999999999932E-2</v>
      </c>
      <c r="Y201" s="173">
        <f t="shared" si="473"/>
        <v>0.105</v>
      </c>
      <c r="Z201" s="174">
        <f t="shared" si="474"/>
        <v>0.115</v>
      </c>
      <c r="AA201" s="173">
        <f t="shared" si="475"/>
        <v>0.09</v>
      </c>
      <c r="AB201" s="173">
        <f t="shared" si="476"/>
        <v>0.11</v>
      </c>
      <c r="AC201" s="174">
        <f t="shared" si="477"/>
        <v>0.13</v>
      </c>
      <c r="AD201" s="173">
        <f t="shared" si="478"/>
        <v>0.09</v>
      </c>
      <c r="AE201" s="173">
        <f t="shared" si="479"/>
        <v>0.11</v>
      </c>
      <c r="AF201" s="174">
        <f t="shared" si="480"/>
        <v>0.13</v>
      </c>
      <c r="AG201" s="173">
        <f t="shared" si="481"/>
        <v>-0.35</v>
      </c>
      <c r="AH201" s="173">
        <f t="shared" si="482"/>
        <v>3</v>
      </c>
      <c r="AI201" s="174">
        <f t="shared" si="483"/>
        <v>0.2</v>
      </c>
      <c r="AJ201" s="173">
        <f t="shared" si="484"/>
        <v>-0.35</v>
      </c>
      <c r="AK201" s="173">
        <f t="shared" si="485"/>
        <v>3</v>
      </c>
      <c r="AL201" s="174">
        <f t="shared" si="486"/>
        <v>0.2</v>
      </c>
      <c r="AM201" s="173">
        <f t="shared" si="487"/>
        <v>-0.01</v>
      </c>
      <c r="AN201" s="173">
        <f t="shared" si="488"/>
        <v>0.16</v>
      </c>
      <c r="AO201" s="174">
        <f t="shared" si="489"/>
        <v>0.01</v>
      </c>
      <c r="AP201" s="173">
        <f t="shared" si="490"/>
        <v>-0.01</v>
      </c>
      <c r="AQ201" s="173">
        <f t="shared" si="491"/>
        <v>0.16</v>
      </c>
      <c r="AR201" s="175">
        <f t="shared" si="492"/>
        <v>0.01</v>
      </c>
      <c r="AS201" s="521">
        <f t="shared" si="576"/>
        <v>0.5</v>
      </c>
      <c r="AT201" s="349">
        <f t="shared" si="574"/>
        <v>21</v>
      </c>
      <c r="AU201" s="159">
        <f t="shared" si="411"/>
        <v>4</v>
      </c>
      <c r="AV201" s="159">
        <f t="shared" si="412"/>
        <v>4</v>
      </c>
      <c r="AW201" s="159">
        <f t="shared" si="577"/>
        <v>1</v>
      </c>
      <c r="AX201" s="15">
        <f t="shared" si="575"/>
        <v>30</v>
      </c>
      <c r="AY201" s="607">
        <f>IF(E201="",0,MIN((1-(1-VLOOKUP(B201,MAIN!$AA$7:$AM$28,C201+1))*(1-VLOOKUP(B201,MAIN!$AA$33:$AM$54,C201+1))),1))</f>
        <v>3.0000000000000027E-2</v>
      </c>
      <c r="AZ201" s="337">
        <v>48888</v>
      </c>
      <c r="BA201" s="509">
        <v>9312</v>
      </c>
      <c r="BB201" s="509">
        <v>11640</v>
      </c>
      <c r="BC201" s="511">
        <v>34920</v>
      </c>
      <c r="BD201" s="153">
        <v>0.9699999927729368</v>
      </c>
      <c r="BE201" s="474">
        <v>0.9699999927729368</v>
      </c>
      <c r="BF201" s="474">
        <v>0.9699999927729368</v>
      </c>
      <c r="BG201" s="515">
        <v>0.9699999927729368</v>
      </c>
      <c r="BH201" s="262">
        <v>195552</v>
      </c>
      <c r="BI201" s="509">
        <v>37248</v>
      </c>
      <c r="BJ201" s="509">
        <v>46560</v>
      </c>
      <c r="BK201" s="511">
        <v>139680</v>
      </c>
      <c r="BL201" s="153">
        <v>0.9699999927729368</v>
      </c>
      <c r="BM201" s="474">
        <v>0.9699999927729368</v>
      </c>
      <c r="BN201" s="474">
        <v>0.9699999927729368</v>
      </c>
      <c r="BO201" s="474">
        <v>0.9699999927729368</v>
      </c>
      <c r="BP201" s="261">
        <f t="shared" si="495"/>
        <v>69840</v>
      </c>
      <c r="BQ201" s="578">
        <f t="shared" si="496"/>
        <v>104760</v>
      </c>
      <c r="BR201" s="259">
        <f t="shared" si="497"/>
        <v>279360</v>
      </c>
      <c r="BS201" s="578">
        <f t="shared" si="498"/>
        <v>419040</v>
      </c>
      <c r="BT201" s="216">
        <f t="shared" si="499"/>
        <v>15.381245722108146</v>
      </c>
      <c r="BU201" s="218">
        <f t="shared" si="414"/>
        <v>75.197566520084706</v>
      </c>
      <c r="BV201" s="216">
        <f t="shared" si="415"/>
        <v>75.197566520084706</v>
      </c>
      <c r="BW201" s="216">
        <f t="shared" si="416"/>
        <v>35.618674482035942</v>
      </c>
      <c r="BX201" s="216">
        <f t="shared" si="500"/>
        <v>35.618674482035942</v>
      </c>
      <c r="BY201" s="216">
        <f t="shared" si="417"/>
        <v>68.601084513743245</v>
      </c>
      <c r="BZ201" s="216">
        <f t="shared" si="418"/>
        <v>57.606947836507473</v>
      </c>
      <c r="CA201" s="264">
        <f t="shared" si="419"/>
        <v>75.197566520084706</v>
      </c>
      <c r="CB201" s="216">
        <f t="shared" si="420"/>
        <v>75.197566520084706</v>
      </c>
      <c r="CC201" s="216">
        <f t="shared" si="421"/>
        <v>35.618674482035942</v>
      </c>
      <c r="CD201" s="216">
        <f t="shared" si="501"/>
        <v>35.618674482035942</v>
      </c>
      <c r="CE201" s="216">
        <f t="shared" si="422"/>
        <v>68.601084513743245</v>
      </c>
      <c r="CF201" s="571">
        <f t="shared" si="423"/>
        <v>57.606947836507473</v>
      </c>
      <c r="CG201" s="573">
        <f t="shared" si="424"/>
        <v>0.105</v>
      </c>
      <c r="CH201" s="219">
        <f t="shared" si="425"/>
        <v>0.105</v>
      </c>
      <c r="CI201" s="219">
        <f t="shared" si="426"/>
        <v>0.11</v>
      </c>
      <c r="CJ201" s="219">
        <f t="shared" si="427"/>
        <v>0.10543428485072569</v>
      </c>
      <c r="CK201" s="219">
        <f t="shared" si="428"/>
        <v>0.10543428485072569</v>
      </c>
      <c r="CL201" s="219">
        <f t="shared" si="429"/>
        <v>0.11</v>
      </c>
      <c r="CM201" s="219">
        <f t="shared" si="430"/>
        <v>9.7297788494336124E-2</v>
      </c>
      <c r="CN201" s="569">
        <f t="shared" si="431"/>
        <v>9.7297788494336124E-2</v>
      </c>
      <c r="CO201" s="264">
        <f t="shared" si="514"/>
        <v>24.289669515221838</v>
      </c>
      <c r="CP201" s="216">
        <f t="shared" si="502"/>
        <v>24.289669515221838</v>
      </c>
      <c r="CQ201" s="216">
        <f t="shared" ca="1" si="532"/>
        <v>24.289669515221838</v>
      </c>
      <c r="CR201" s="216">
        <f t="shared" ca="1" si="533"/>
        <v>24.289669515221838</v>
      </c>
      <c r="CS201" s="1626">
        <f t="shared" ca="1" si="534"/>
        <v>24.289669515221838</v>
      </c>
      <c r="CT201" s="216">
        <f t="shared" si="503"/>
        <v>24.289669515221838</v>
      </c>
      <c r="CU201" s="575">
        <f t="shared" si="432"/>
        <v>0.153</v>
      </c>
      <c r="CV201" s="154">
        <f t="shared" si="433"/>
        <v>0.5</v>
      </c>
      <c r="CW201" s="216">
        <f>IF(OR($BQ201,$BS201),SpreadOptPowerMargin,0)*((1+Assumptions!$C$26)^($B201-YEAR(Assumptions!$C$17)))</f>
        <v>2.2828352302125814</v>
      </c>
      <c r="CX201" s="216">
        <f>IF(OR($BQ201,$BS201),SpreadOptPowerMargin,0)*((1+Assumptions!$C$26)^($B201-YEAR(Assumptions!$C$17)))</f>
        <v>2.2828352302125814</v>
      </c>
      <c r="CY201" s="216">
        <f>IF(OR($BQ201,$BS201),SpreadOptPowerMargin,0)*((1+Assumptions!$C$26)^($B201-YEAR(Assumptions!$C$17)))</f>
        <v>2.2828352302125814</v>
      </c>
      <c r="CZ201" s="216">
        <f>IF(OR($BQ201,$BS201),SpreadOptPowerMargin,0)*((1+Assumptions!$C$26)^($B201-YEAR(Assumptions!$C$17)))</f>
        <v>2.2828352302125814</v>
      </c>
      <c r="DA201" s="440">
        <f t="shared" si="434"/>
        <v>2.2828352302125814</v>
      </c>
      <c r="DB201" s="479">
        <f t="shared" si="435"/>
        <v>0.105</v>
      </c>
      <c r="DC201" s="479">
        <f t="shared" si="436"/>
        <v>0.105</v>
      </c>
      <c r="DD201" s="479">
        <f t="shared" si="437"/>
        <v>0.11</v>
      </c>
      <c r="DE201" s="479">
        <f t="shared" si="438"/>
        <v>0.11</v>
      </c>
      <c r="DF201" s="479">
        <f t="shared" si="439"/>
        <v>9.7297788494336124E-2</v>
      </c>
      <c r="DG201" s="574">
        <f t="shared" si="440"/>
        <v>9.7297788494336124E-2</v>
      </c>
      <c r="DH201" s="216">
        <f t="shared" si="441"/>
        <v>48.785001593267239</v>
      </c>
      <c r="DI201" s="216">
        <f t="shared" si="442"/>
        <v>48.785001593267239</v>
      </c>
      <c r="DJ201" s="216">
        <f t="shared" ca="1" si="535"/>
        <v>11.687882148839389</v>
      </c>
      <c r="DK201" s="216">
        <f t="shared" ca="1" si="536"/>
        <v>11.687882148839389</v>
      </c>
      <c r="DL201" s="216">
        <f t="shared" ca="1" si="537"/>
        <v>31.521027046726822</v>
      </c>
      <c r="DM201" s="216"/>
      <c r="DN201" s="216"/>
      <c r="DO201" s="216"/>
      <c r="DP201" s="216"/>
      <c r="DQ201" s="216"/>
      <c r="DR201" s="216"/>
      <c r="DS201" s="216"/>
      <c r="DT201" s="216"/>
      <c r="DU201" s="216"/>
      <c r="DV201" s="216"/>
      <c r="DW201" s="1371">
        <f t="shared" si="443"/>
        <v>11.687882148839389</v>
      </c>
      <c r="DX201" s="216">
        <f t="shared" si="444"/>
        <v>11.687882148839389</v>
      </c>
      <c r="DY201" s="440">
        <f t="shared" si="445"/>
        <v>32.297392951299308</v>
      </c>
      <c r="DZ201" s="180">
        <f t="shared" si="446"/>
        <v>2385001.1578916488</v>
      </c>
      <c r="EA201" s="180">
        <f t="shared" si="447"/>
        <v>454285.93483650452</v>
      </c>
      <c r="EB201" s="180">
        <f t="shared" ca="1" si="538"/>
        <v>136046.94821249048</v>
      </c>
      <c r="EC201" s="180">
        <f t="shared" ca="1" si="539"/>
        <v>408140.84463747148</v>
      </c>
      <c r="ED201" s="180">
        <f t="shared" ca="1" si="540"/>
        <v>3302142.7934151017</v>
      </c>
      <c r="EE201" s="581">
        <f t="shared" si="448"/>
        <v>2377182.0200391035</v>
      </c>
      <c r="EF201" s="554">
        <f t="shared" si="449"/>
        <v>452796.5752455435</v>
      </c>
      <c r="EG201" s="554">
        <f t="shared" ca="1" si="541"/>
        <v>105297.41573404173</v>
      </c>
      <c r="EH201" s="554">
        <f t="shared" ca="1" si="542"/>
        <v>315892.2472021252</v>
      </c>
      <c r="EI201" s="561">
        <f t="shared" ca="1" si="450"/>
        <v>3251168.2582208132</v>
      </c>
      <c r="EJ201" s="581">
        <f t="shared" si="504"/>
        <v>7819.137852545362</v>
      </c>
      <c r="EK201" s="554">
        <f t="shared" si="505"/>
        <v>1489.3595909610158</v>
      </c>
      <c r="EL201" s="554">
        <f t="shared" ca="1" si="543"/>
        <v>30749.532478448746</v>
      </c>
      <c r="EM201" s="554">
        <f t="shared" ca="1" si="544"/>
        <v>92248.597435346281</v>
      </c>
      <c r="EN201" s="561">
        <f t="shared" ca="1" si="545"/>
        <v>50974.535194288474</v>
      </c>
      <c r="EO201" s="180">
        <f t="shared" si="451"/>
        <v>9540004.6315665953</v>
      </c>
      <c r="EP201" s="180">
        <f t="shared" si="452"/>
        <v>1817143.7393460181</v>
      </c>
      <c r="EQ201" s="180">
        <f t="shared" si="453"/>
        <v>544187.7928499619</v>
      </c>
      <c r="ER201" s="180">
        <f t="shared" si="454"/>
        <v>1632563.3785498859</v>
      </c>
      <c r="ES201" s="180">
        <f t="shared" si="455"/>
        <v>13533899.542312462</v>
      </c>
      <c r="ET201" s="1482">
        <f t="shared" ca="1" si="546"/>
        <v>9508728.0801564138</v>
      </c>
      <c r="EU201" s="180">
        <f t="shared" ca="1" si="547"/>
        <v>1811186.300982174</v>
      </c>
      <c r="EV201" s="180">
        <f t="shared" ca="1" si="548"/>
        <v>421189.66293616692</v>
      </c>
      <c r="EW201" s="180">
        <f t="shared" ca="1" si="549"/>
        <v>1263568.9888085008</v>
      </c>
      <c r="EX201" s="555">
        <f t="shared" ca="1" si="522"/>
        <v>13004673.032883257</v>
      </c>
      <c r="EY201" s="180">
        <f t="shared" ca="1" si="550"/>
        <v>31276.551410181448</v>
      </c>
      <c r="EZ201" s="180">
        <f t="shared" ca="1" si="551"/>
        <v>5957.4383638440631</v>
      </c>
      <c r="FA201" s="180">
        <f t="shared" ca="1" si="552"/>
        <v>122998.12991379498</v>
      </c>
      <c r="FB201" s="180">
        <f t="shared" ca="1" si="553"/>
        <v>368994.38974138512</v>
      </c>
      <c r="FC201" s="180">
        <f t="shared" ca="1" si="554"/>
        <v>529226.50942920521</v>
      </c>
      <c r="FD201" s="262">
        <f>IF(AX201,IF(VLOOKUP(C201,MAIN!$L$17:$M$28,2)="Yes",VLOOKUP(CALC!B201,MAIN!$H$17:$I$20,2),0),0)</f>
        <v>0</v>
      </c>
      <c r="FE201" s="623">
        <f t="shared" si="456"/>
        <v>0</v>
      </c>
      <c r="FF201" s="535">
        <f t="shared" si="457"/>
        <v>0</v>
      </c>
      <c r="FG201" s="535">
        <f t="shared" si="458"/>
        <v>0</v>
      </c>
      <c r="FH201" s="624">
        <f t="shared" si="459"/>
        <v>0</v>
      </c>
      <c r="FI201" s="632">
        <f>IF(AX201,VLOOKUP(CALC!B201,MAIN!$H$17:$K$20,4),0)</f>
        <v>0</v>
      </c>
      <c r="FJ201" s="535">
        <f t="shared" si="460"/>
        <v>0</v>
      </c>
      <c r="FK201" s="648">
        <f t="shared" si="506"/>
        <v>0</v>
      </c>
      <c r="FL201" s="530">
        <f t="shared" ca="1" si="555"/>
        <v>0</v>
      </c>
      <c r="FM201" s="530">
        <f t="shared" ca="1" si="556"/>
        <v>0</v>
      </c>
      <c r="FN201" s="530">
        <f t="shared" ca="1" si="557"/>
        <v>0</v>
      </c>
      <c r="FO201" s="622">
        <f t="shared" ca="1" si="558"/>
        <v>0</v>
      </c>
      <c r="FP201" s="530">
        <f t="shared" ca="1" si="559"/>
        <v>0</v>
      </c>
      <c r="FQ201" s="530">
        <f t="shared" ca="1" si="560"/>
        <v>0</v>
      </c>
      <c r="FR201" s="530">
        <f t="shared" ca="1" si="561"/>
        <v>0</v>
      </c>
      <c r="FS201" s="625">
        <f t="shared" ca="1" si="562"/>
        <v>0</v>
      </c>
      <c r="FT201" s="640">
        <f ca="1">IF(AND(Assumptions!$H$71="Yes",A201&gt;=Assumptions!$H$72,A201&lt;=Assumptions!$H$73),0,IF(AND($A201&gt;=Assumptions!$C$17,$A201&lt;=Assumptions!$C$18),MAX(AZ201*(1+VLOOKUP($C201,WeatherCapacityAdjustment,2))-FL201,0),0))</f>
        <v>48888</v>
      </c>
      <c r="FU201" s="530">
        <f ca="1">IF(AND(Assumptions!$H$71="Yes",A201&gt;=Assumptions!$H$72,A201&lt;=Assumptions!$H$73),0,IF(AND($A201&gt;=Assumptions!$C$17,$A201&lt;=Assumptions!$C$18),MAX(BA201*(1+VLOOKUP($C201,WeatherCapacityAdjustment,2))-FM201,0),0))</f>
        <v>9312</v>
      </c>
      <c r="FV201" s="530">
        <f ca="1">IF(AND(Assumptions!$H$71="Yes",A201&gt;=Assumptions!$H$72,A201&lt;=Assumptions!$H$73),0,IF(AND($A201&gt;=Assumptions!$C$17,$A201&lt;=Assumptions!$C$18),MAX(BB201*(1+VLOOKUP($C201,WeatherCapacityAdjustment,2))-FN201,0),0))</f>
        <v>11640</v>
      </c>
      <c r="FW201" s="622">
        <f ca="1">IF(AND(Assumptions!$H$71="Yes",A201&gt;=Assumptions!$H$72,A201&lt;=Assumptions!$H$73),0,IF(AND($A201&gt;=Assumptions!$C$17,$A201&lt;=Assumptions!$C$18),MAX(BC201*(1+VLOOKUP($C201,WeatherCapacityAdjustment,3))-FO201,0),0))</f>
        <v>34920</v>
      </c>
      <c r="FX201" s="621">
        <f ca="1">IF(AND(Assumptions!$H$71="Yes",A201&gt;=Assumptions!$H$72,A201&lt;=Assumptions!$H$73),0,IF(ET201&gt;0,MAX(BH201*(1+VLOOKUP($C201,WeatherCapacityAdjustment,2))-FP201,0),0))</f>
        <v>195552</v>
      </c>
      <c r="FY201" s="530">
        <f ca="1">IF(AND(Assumptions!$H$71="Yes",A201&gt;=Assumptions!$H$72,A201&lt;=Assumptions!$H$73),0,IF(EU201&gt;0,MAX(BI201*(1+VLOOKUP($C201,WeatherCapacityAdjustment,3))-FQ201,0),0))</f>
        <v>37248</v>
      </c>
      <c r="FZ201" s="530">
        <f ca="1">IF(AND(Assumptions!$H$71="Yes",A201&gt;=Assumptions!$H$72,A201&lt;=Assumptions!$H$73),0,IF(EV201&gt;0,MAX(BJ201*(1+VLOOKUP($C201,WeatherCapacityAdjustment,2))-FR201,0),0))</f>
        <v>46560</v>
      </c>
      <c r="GA201" s="622">
        <f ca="1">IF(AND(Assumptions!$H$71="Yes",A201&gt;=Assumptions!$H$72,A201&lt;=Assumptions!$H$73),0,IF(EW201&gt;0,MAX(BK201*(1+VLOOKUP($C201,WeatherCapacityAdjustment,2))-FS201,0),0))</f>
        <v>139680</v>
      </c>
      <c r="GB201" s="530">
        <f t="shared" ca="1" si="461"/>
        <v>523800</v>
      </c>
      <c r="GC201" s="545">
        <f t="shared" ca="1" si="462"/>
        <v>57.606947836507466</v>
      </c>
      <c r="GD201" s="530">
        <f t="shared" ca="1" si="563"/>
        <v>30174519.276762616</v>
      </c>
      <c r="GE201" s="1485">
        <f t="shared" ca="1" si="564"/>
        <v>738526.57200000004</v>
      </c>
      <c r="GF201" s="1776">
        <f t="shared" ca="1" si="565"/>
        <v>2954106.2880000002</v>
      </c>
      <c r="GG201" s="545">
        <f t="shared" si="530"/>
        <v>3.4454898102361571</v>
      </c>
      <c r="GH201" s="622">
        <f t="shared" ca="1" si="531"/>
        <v>12722928.892073199</v>
      </c>
      <c r="GI201" s="621">
        <f t="shared" ca="1" si="507"/>
        <v>523800</v>
      </c>
      <c r="GJ201" s="638">
        <f t="shared" si="463"/>
        <v>2.2828352302125814</v>
      </c>
      <c r="GK201" s="625">
        <f t="shared" ca="1" si="513"/>
        <v>1195749.0935853501</v>
      </c>
      <c r="GL201" s="640">
        <f t="shared" ca="1" si="566"/>
        <v>0</v>
      </c>
      <c r="GM201" s="530">
        <f t="shared" ca="1" si="567"/>
        <v>0</v>
      </c>
      <c r="GN201" s="530">
        <f t="shared" ca="1" si="568"/>
        <v>0</v>
      </c>
      <c r="GO201" s="622">
        <f t="shared" ca="1" si="569"/>
        <v>0</v>
      </c>
      <c r="GP201" s="530">
        <f t="shared" ca="1" si="464"/>
        <v>0</v>
      </c>
      <c r="GQ201" s="545">
        <f t="shared" ca="1" si="465"/>
        <v>0</v>
      </c>
      <c r="GR201" s="625">
        <f t="shared" ca="1" si="570"/>
        <v>0</v>
      </c>
      <c r="GS201" s="640">
        <f>IF($A201&gt;=BegDate,Assumptions!$C$56*24*($A202-$A201)*(1-VLOOKUP($B201,MAIN!$AA$7:$AM$28,$C201+1))*(1-VLOOKUP($B201,MAIN!$AA$33:$AM$54,$C201+1)),0)*80/168</f>
        <v>249428.57142857142</v>
      </c>
      <c r="GT201" s="1715">
        <f t="shared" si="508"/>
        <v>75.19756708035024</v>
      </c>
      <c r="GU201" s="1715">
        <f>IF($A201&gt;=BegDate,VLOOKUP($A201,GasTable,13)+Assumptions!$C$58,0)</f>
        <v>3.4454898102361571</v>
      </c>
      <c r="GV201" s="1715">
        <f>GU201*Assumptions!$C$57/1000</f>
        <v>24.979801124212138</v>
      </c>
      <c r="GW201" s="625">
        <f>IF(Assumptions!$C$60="Hourly",MAX(0,GS201*(GT201-GV201)),GS201*(GT201-GV201))</f>
        <v>12525745.622773875</v>
      </c>
      <c r="GX201" s="640">
        <f>IF($A201&gt;=BegDate,Assumptions!$C$56*24*($A202-$A201)*(1-VLOOKUP($B201,MAIN!$AA$7:$AM$28,$C201+1))*(1-VLOOKUP($B201,MAIN!$AA$33:$AM$54,$C201+1)),0)*16/168</f>
        <v>49885.714285714283</v>
      </c>
      <c r="GY201" s="1715">
        <f t="shared" si="509"/>
        <v>75.19756708035024</v>
      </c>
      <c r="GZ201" s="1715">
        <f>IF($A201&gt;=BegDate,VLOOKUP($A201,GasTable,13)+Assumptions!$C$58,0)</f>
        <v>3.4454898102361571</v>
      </c>
      <c r="HA201" s="1715">
        <f>GZ201*Assumptions!$C$57/1000</f>
        <v>24.979801124212138</v>
      </c>
      <c r="HB201" s="625">
        <f>IF(Assumptions!$C$60="Hourly",MAX(0,GX201*(GY201-HA201)),GX201*(GY201-HA201))</f>
        <v>2505149.1245547747</v>
      </c>
      <c r="HC201" s="640">
        <f>IF($A201&gt;=BegDate,Assumptions!$C$56*24*($A202-$A201)*(1-VLOOKUP($B201,MAIN!$AA$7:$AM$28,$C201+1))*(1-VLOOKUP($B201,MAIN!$AA$33:$AM$54,$C201+1)),0)*16/168</f>
        <v>49885.714285714283</v>
      </c>
      <c r="HD201" s="1715">
        <f t="shared" si="510"/>
        <v>35.618674747415746</v>
      </c>
      <c r="HE201" s="1715">
        <f>IF($A201&gt;=BegDate,VLOOKUP($A201,GasTable,13)+Assumptions!$C$58,0)</f>
        <v>3.4454898102361571</v>
      </c>
      <c r="HF201" s="1715">
        <f>HE201*Assumptions!$C$57/1000</f>
        <v>24.979801124212138</v>
      </c>
      <c r="HG201" s="625">
        <f>IF(Assumptions!$C$60="Hourly",MAX(0,HC201*(HD201-HF201)),HC201*(HD201-HF201))</f>
        <v>530727.80988895707</v>
      </c>
      <c r="HH201" s="640">
        <f>IF($A201&gt;=BegDate,Assumptions!$C$56*24*($A202-$A201)*(1-VLOOKUP($B201,MAIN!$AA$7:$AM$28,$C201+1))*(1-VLOOKUP($B201,MAIN!$AA$33:$AM$54,$C201+1)),0)*56/168</f>
        <v>174600</v>
      </c>
      <c r="HI201" s="1715">
        <f t="shared" si="511"/>
        <v>35.618674747415746</v>
      </c>
      <c r="HJ201" s="1715">
        <f>IF($A201&gt;=BegDate,VLOOKUP($A201,GasTable,13)+Assumptions!$C$58,0)</f>
        <v>3.4454898102361571</v>
      </c>
      <c r="HK201" s="1715">
        <f>HJ201*Assumptions!$C$57/1000</f>
        <v>24.979801124212138</v>
      </c>
      <c r="HL201" s="625">
        <f>IF(Assumptions!$C$60="Hourly",MAX(0,HH201*(HI201-HK201)),HH201*(HI201-HK201))</f>
        <v>1857547.33461135</v>
      </c>
      <c r="HM201" s="640">
        <f>IF(AND(Assumptions!$H$71="Yes",A201&gt;=Assumptions!$H$72,A201&lt;=Assumptions!$H$73),Assumptions!$H$74*Assumptions!$C$9*1000,0)</f>
        <v>0</v>
      </c>
      <c r="HN201" s="530"/>
      <c r="HO201" s="545"/>
      <c r="HP201" s="545"/>
      <c r="HQ201" s="545"/>
      <c r="HR201" s="545"/>
      <c r="HS201" s="545"/>
      <c r="HT201" s="545"/>
      <c r="HU201" s="545"/>
      <c r="HV201" s="545"/>
      <c r="HW201" s="545"/>
      <c r="HX201" s="545"/>
      <c r="HY201" s="545"/>
      <c r="HZ201" s="545"/>
      <c r="IA201" s="545"/>
      <c r="IB201" s="545"/>
      <c r="IC201" s="545"/>
      <c r="ID201" s="545"/>
      <c r="IE201" s="545"/>
      <c r="IF201" s="545"/>
      <c r="IG201" s="545"/>
      <c r="IH201" s="545"/>
      <c r="II201" s="1464"/>
      <c r="IJ201" s="1463"/>
      <c r="IK201" s="1463"/>
    </row>
    <row r="202" spans="1:245">
      <c r="A202" s="177">
        <f t="shared" si="466"/>
        <v>42278</v>
      </c>
      <c r="B202" s="349">
        <f t="shared" si="467"/>
        <v>2015</v>
      </c>
      <c r="C202" s="15">
        <f t="shared" si="571"/>
        <v>10</v>
      </c>
      <c r="D202" s="612" t="str">
        <f t="shared" si="468"/>
        <v/>
      </c>
      <c r="E202" s="609">
        <f t="shared" si="572"/>
        <v>42278</v>
      </c>
      <c r="F202" s="614">
        <f t="shared" si="573"/>
        <v>42308</v>
      </c>
      <c r="G202" s="1349">
        <v>0</v>
      </c>
      <c r="H202" s="152">
        <f t="shared" si="512"/>
        <v>1</v>
      </c>
      <c r="I202" s="154">
        <f>IF(Assumptions!$L$25=4,VLOOKUP($A202,'Henwood Reference'!$E$9:$R$320,10),(VLOOKUP($A202,PriceTable,2,0)+IF(BasisNumber&lt;&gt;1,VLOOKUP($A202,BasisTable,2,0),0)+I$1)/(1-I$2))</f>
        <v>54.669979423729124</v>
      </c>
      <c r="J202" s="154">
        <f>IF(Assumptions!$L$25=4,VLOOKUP($A202,'Henwood Reference'!$E$9:$R$320,10),(VLOOKUP($A202,PriceTable,3,0)+IF(BasisNumber&lt;&gt;1,VLOOKUP($A202,BasisTable,2,0),0)+J$1)/(1-J$2))</f>
        <v>54.669979423729124</v>
      </c>
      <c r="K202" s="154">
        <f>IF(Assumptions!$L$25=4,VLOOKUP($A202,'Henwood Reference'!$E$9:$R$320,10),(VLOOKUP($A202,PriceTable,4,0)+IF(BasisNumber&lt;&gt;1,VLOOKUP($A202,BasisTable,2,0),0)+K$1)/(1-K$2))</f>
        <v>54.669979423729124</v>
      </c>
      <c r="L202" s="474">
        <f>IF(Assumptions!$L$25=4,VLOOKUP($A202,'Henwood Reference'!$E$9:$R$320,10),(VLOOKUP($A202,PriceTableWeekend,2,0)+IF(BasisNumber&lt;&gt;1,VLOOKUP($A202,BasisTable,2,0),0)+L$1)/(1-L$2))</f>
        <v>54.669979423729124</v>
      </c>
      <c r="M202" s="154">
        <f>IF(Assumptions!$L$25=4,VLOOKUP($A202,'Henwood Reference'!$E$9:$R$320,10),(VLOOKUP($A202,PriceTableWeekend,3,0)+IF(BasisNumber&lt;&gt;1,VLOOKUP($A202,BasisTable,2,0),0)+M$1)/(1-M$2))</f>
        <v>54.669979423729124</v>
      </c>
      <c r="N202" s="156">
        <f>IF(Assumptions!$L$25=4,VLOOKUP($A202,'Henwood Reference'!$E$9:$R$320,10),(VLOOKUP($A202,PriceTableWeekend,4,0)+IF(BasisNumber&lt;&gt;1,VLOOKUP($A202,BasisTable,2,0),0)+N$1)/(1-N$2))</f>
        <v>54.669979423729124</v>
      </c>
      <c r="O202" s="154">
        <f>IF(Assumptions!$L$25=4,VLOOKUP($A202,'Henwood Reference'!$E$9:$R$320,11),(VLOOKUP($A202,PriceTableWeekend,6,0)+IF(BasisNumber&lt;&gt;1,VLOOKUP($A202,BasisTable,3,0),0)+O$1)/(1-O$2))</f>
        <v>29.42485406761427</v>
      </c>
      <c r="P202" s="154">
        <f>IF(Assumptions!$L$25=4,VLOOKUP($A202,'Henwood Reference'!$E$9:$R$320,11),(VLOOKUP($A202,PriceTableWeekend,7,0)+IF(BasisNumber&lt;&gt;1,VLOOKUP($A202,BasisTable,3,0),0)+P$1)/(1-P$2))</f>
        <v>29.42485406761427</v>
      </c>
      <c r="Q202" s="156">
        <f>IF(Assumptions!$L$25=4,VLOOKUP($A202,'Henwood Reference'!$E$9:$R$320,11),(VLOOKUP($A202,PriceTableWeekend,8,0)+IF(BasisNumber&lt;&gt;1,VLOOKUP($A202,BasisTable,3,0),0)+Q$1)/(1-Q$2))</f>
        <v>29.42485406761427</v>
      </c>
      <c r="R202" s="154">
        <f>IF(Assumptions!$L$25=4,VLOOKUP($A202,'Henwood Reference'!$E$9:$R$320,11),(VLOOKUP($A202,PriceTable,6,0)+IF(BasisNumber&lt;&gt;1,VLOOKUP($A202,BasisTable,3,0),0)+R$1)/(1-R$2))</f>
        <v>29.42485406761427</v>
      </c>
      <c r="S202" s="154">
        <f>IF(Assumptions!$L$25=4,VLOOKUP($A202,'Henwood Reference'!$E$9:$R$320,11),(VLOOKUP($A202,PriceTable,7,0)+IF(BasisNumber&lt;&gt;1,VLOOKUP($A202,BasisTable,3,0),0)+S$1)/(1-S$2))</f>
        <v>29.42485406761427</v>
      </c>
      <c r="T202" s="155">
        <f>IF(Assumptions!$L$25=4,VLOOKUP($A202,'Henwood Reference'!$E$9:$R$320,11),(VLOOKUP($A202,PriceTable,8,0)+IF(BasisNumber&lt;&gt;1,VLOOKUP($A202,BasisTable,3,0),0)+T$1)/(1-T$2))</f>
        <v>29.42485406761427</v>
      </c>
      <c r="U202" s="173">
        <f t="shared" si="469"/>
        <v>9.4999999999999932E-2</v>
      </c>
      <c r="V202" s="173">
        <f t="shared" si="470"/>
        <v>0.105</v>
      </c>
      <c r="W202" s="174">
        <f t="shared" si="471"/>
        <v>0.115</v>
      </c>
      <c r="X202" s="173">
        <f t="shared" si="472"/>
        <v>9.4999999999999932E-2</v>
      </c>
      <c r="Y202" s="173">
        <f t="shared" si="473"/>
        <v>0.105</v>
      </c>
      <c r="Z202" s="174">
        <f t="shared" si="474"/>
        <v>0.115</v>
      </c>
      <c r="AA202" s="173">
        <f t="shared" si="475"/>
        <v>0.09</v>
      </c>
      <c r="AB202" s="173">
        <f t="shared" si="476"/>
        <v>0.11</v>
      </c>
      <c r="AC202" s="174">
        <f t="shared" si="477"/>
        <v>0.13</v>
      </c>
      <c r="AD202" s="173">
        <f t="shared" si="478"/>
        <v>0.09</v>
      </c>
      <c r="AE202" s="173">
        <f t="shared" si="479"/>
        <v>0.11</v>
      </c>
      <c r="AF202" s="174">
        <f t="shared" si="480"/>
        <v>0.13</v>
      </c>
      <c r="AG202" s="173">
        <f t="shared" si="481"/>
        <v>-0.1</v>
      </c>
      <c r="AH202" s="173">
        <f t="shared" si="482"/>
        <v>3</v>
      </c>
      <c r="AI202" s="174">
        <f t="shared" si="483"/>
        <v>0.1</v>
      </c>
      <c r="AJ202" s="173">
        <f t="shared" si="484"/>
        <v>-0.1</v>
      </c>
      <c r="AK202" s="173">
        <f t="shared" si="485"/>
        <v>3</v>
      </c>
      <c r="AL202" s="174">
        <f t="shared" si="486"/>
        <v>0.1</v>
      </c>
      <c r="AM202" s="173">
        <f t="shared" si="487"/>
        <v>-0.01</v>
      </c>
      <c r="AN202" s="173">
        <f t="shared" si="488"/>
        <v>0.16</v>
      </c>
      <c r="AO202" s="174">
        <f t="shared" si="489"/>
        <v>0.01</v>
      </c>
      <c r="AP202" s="173">
        <f t="shared" si="490"/>
        <v>-0.01</v>
      </c>
      <c r="AQ202" s="173">
        <f t="shared" si="491"/>
        <v>0.16</v>
      </c>
      <c r="AR202" s="175">
        <f t="shared" si="492"/>
        <v>0.01</v>
      </c>
      <c r="AS202" s="521">
        <f t="shared" si="576"/>
        <v>0.5</v>
      </c>
      <c r="AT202" s="349">
        <f t="shared" si="574"/>
        <v>22</v>
      </c>
      <c r="AU202" s="159">
        <f t="shared" si="411"/>
        <v>5</v>
      </c>
      <c r="AV202" s="159">
        <f t="shared" si="412"/>
        <v>4</v>
      </c>
      <c r="AW202" s="159">
        <f t="shared" si="577"/>
        <v>0</v>
      </c>
      <c r="AX202" s="15">
        <f t="shared" si="575"/>
        <v>31</v>
      </c>
      <c r="AY202" s="607">
        <f>IF(E202="",0,MIN((1-(1-VLOOKUP(B202,MAIN!$AA$7:$AM$28,C202+1))*(1-VLOOKUP(B202,MAIN!$AA$33:$AM$54,C202+1))),1))</f>
        <v>3.0000000000000027E-2</v>
      </c>
      <c r="AZ202" s="337">
        <v>51216</v>
      </c>
      <c r="BA202" s="509">
        <v>11640</v>
      </c>
      <c r="BB202" s="509">
        <v>9312</v>
      </c>
      <c r="BC202" s="511">
        <v>36084</v>
      </c>
      <c r="BD202" s="153">
        <v>0.97000001445412631</v>
      </c>
      <c r="BE202" s="474">
        <v>0.97000001445412631</v>
      </c>
      <c r="BF202" s="474">
        <v>0.97000001445412631</v>
      </c>
      <c r="BG202" s="515">
        <v>0.9699999927729368</v>
      </c>
      <c r="BH202" s="262">
        <v>204864</v>
      </c>
      <c r="BI202" s="509">
        <v>46560</v>
      </c>
      <c r="BJ202" s="509">
        <v>37248</v>
      </c>
      <c r="BK202" s="511">
        <v>144336</v>
      </c>
      <c r="BL202" s="153">
        <v>0.97000001445412631</v>
      </c>
      <c r="BM202" s="474">
        <v>0.97000001445412631</v>
      </c>
      <c r="BN202" s="474">
        <v>0.97000001445412631</v>
      </c>
      <c r="BO202" s="474">
        <v>0.9699999927729368</v>
      </c>
      <c r="BP202" s="261">
        <f t="shared" si="495"/>
        <v>72168</v>
      </c>
      <c r="BQ202" s="578">
        <f t="shared" si="496"/>
        <v>108252</v>
      </c>
      <c r="BR202" s="259">
        <f t="shared" si="497"/>
        <v>288672</v>
      </c>
      <c r="BS202" s="578">
        <f t="shared" si="498"/>
        <v>433008</v>
      </c>
      <c r="BT202" s="216">
        <f t="shared" si="499"/>
        <v>15.463381245722108</v>
      </c>
      <c r="BU202" s="218">
        <f t="shared" si="414"/>
        <v>54.669980238375302</v>
      </c>
      <c r="BV202" s="216">
        <f t="shared" si="415"/>
        <v>54.669980238375302</v>
      </c>
      <c r="BW202" s="216">
        <f t="shared" si="416"/>
        <v>29.424854506078763</v>
      </c>
      <c r="BX202" s="216">
        <f t="shared" si="500"/>
        <v>29.424853848382021</v>
      </c>
      <c r="BY202" s="216">
        <f t="shared" si="417"/>
        <v>51.412544660014454</v>
      </c>
      <c r="BZ202" s="216">
        <f t="shared" si="418"/>
        <v>44.08331438947031</v>
      </c>
      <c r="CA202" s="264">
        <f t="shared" si="419"/>
        <v>54.669980238375302</v>
      </c>
      <c r="CB202" s="216">
        <f t="shared" si="420"/>
        <v>54.669980238375302</v>
      </c>
      <c r="CC202" s="216">
        <f t="shared" si="421"/>
        <v>29.424854506078763</v>
      </c>
      <c r="CD202" s="216">
        <f t="shared" si="501"/>
        <v>29.424853848382021</v>
      </c>
      <c r="CE202" s="216">
        <f t="shared" si="422"/>
        <v>51.412544660014454</v>
      </c>
      <c r="CF202" s="571">
        <f t="shared" si="423"/>
        <v>44.08331438947031</v>
      </c>
      <c r="CG202" s="573">
        <f t="shared" si="424"/>
        <v>0.105</v>
      </c>
      <c r="CH202" s="219">
        <f t="shared" si="425"/>
        <v>0.105</v>
      </c>
      <c r="CI202" s="219">
        <f t="shared" si="426"/>
        <v>0.11</v>
      </c>
      <c r="CJ202" s="219">
        <f t="shared" si="427"/>
        <v>0.10537064044105281</v>
      </c>
      <c r="CK202" s="219">
        <f t="shared" si="428"/>
        <v>0.10537064044105281</v>
      </c>
      <c r="CL202" s="219">
        <f t="shared" si="429"/>
        <v>0.11</v>
      </c>
      <c r="CM202" s="219">
        <f t="shared" si="430"/>
        <v>9.6781296951870183E-2</v>
      </c>
      <c r="CN202" s="569">
        <f t="shared" si="431"/>
        <v>9.6781296951870183E-2</v>
      </c>
      <c r="CO202" s="264">
        <f t="shared" si="514"/>
        <v>25.338421706345805</v>
      </c>
      <c r="CP202" s="216">
        <f t="shared" si="502"/>
        <v>25.338421706345805</v>
      </c>
      <c r="CQ202" s="216">
        <f t="shared" ca="1" si="532"/>
        <v>25.338421706345805</v>
      </c>
      <c r="CR202" s="216">
        <f t="shared" ca="1" si="533"/>
        <v>25.338421706345805</v>
      </c>
      <c r="CS202" s="1626">
        <f t="shared" ca="1" si="534"/>
        <v>25.338421706345805</v>
      </c>
      <c r="CT202" s="216">
        <f t="shared" si="503"/>
        <v>25.338421706345805</v>
      </c>
      <c r="CU202" s="575">
        <f t="shared" si="432"/>
        <v>0.153</v>
      </c>
      <c r="CV202" s="154">
        <f t="shared" si="433"/>
        <v>0.5</v>
      </c>
      <c r="CW202" s="216">
        <f>IF(OR($BQ202,$BS202),SpreadOptPowerMargin,0)*((1+Assumptions!$C$26)^($B202-YEAR(Assumptions!$C$17)))</f>
        <v>2.2828352302125814</v>
      </c>
      <c r="CX202" s="216">
        <f>IF(OR($BQ202,$BS202),SpreadOptPowerMargin,0)*((1+Assumptions!$C$26)^($B202-YEAR(Assumptions!$C$17)))</f>
        <v>2.2828352302125814</v>
      </c>
      <c r="CY202" s="216">
        <f>IF(OR($BQ202,$BS202),SpreadOptPowerMargin,0)*((1+Assumptions!$C$26)^($B202-YEAR(Assumptions!$C$17)))</f>
        <v>2.2828352302125814</v>
      </c>
      <c r="CZ202" s="216">
        <f>IF(OR($BQ202,$BS202),SpreadOptPowerMargin,0)*((1+Assumptions!$C$26)^($B202-YEAR(Assumptions!$C$17)))</f>
        <v>2.2828352302125814</v>
      </c>
      <c r="DA202" s="440">
        <f t="shared" si="434"/>
        <v>2.2828352302125814</v>
      </c>
      <c r="DB202" s="479">
        <f t="shared" si="435"/>
        <v>0.105</v>
      </c>
      <c r="DC202" s="479">
        <f t="shared" si="436"/>
        <v>0.105</v>
      </c>
      <c r="DD202" s="479">
        <f t="shared" si="437"/>
        <v>0.11</v>
      </c>
      <c r="DE202" s="479">
        <f t="shared" si="438"/>
        <v>0.11</v>
      </c>
      <c r="DF202" s="479">
        <f t="shared" si="439"/>
        <v>9.6781296951870183E-2</v>
      </c>
      <c r="DG202" s="574">
        <f t="shared" si="440"/>
        <v>9.6781296951870183E-2</v>
      </c>
      <c r="DH202" s="216">
        <f t="shared" si="441"/>
        <v>27.82719491087569</v>
      </c>
      <c r="DI202" s="216">
        <f t="shared" si="442"/>
        <v>27.82719491087569</v>
      </c>
      <c r="DJ202" s="216">
        <f t="shared" ca="1" si="535"/>
        <v>6.6100021672622358</v>
      </c>
      <c r="DK202" s="216">
        <f t="shared" ca="1" si="536"/>
        <v>6.610001738804387</v>
      </c>
      <c r="DL202" s="216">
        <f t="shared" ca="1" si="537"/>
        <v>18.030168913665648</v>
      </c>
      <c r="DM202" s="216"/>
      <c r="DN202" s="216"/>
      <c r="DO202" s="216"/>
      <c r="DP202" s="216"/>
      <c r="DQ202" s="216"/>
      <c r="DR202" s="216"/>
      <c r="DS202" s="216"/>
      <c r="DT202" s="216"/>
      <c r="DU202" s="216"/>
      <c r="DV202" s="216"/>
      <c r="DW202" s="1371">
        <f t="shared" si="443"/>
        <v>6.6100021672622358</v>
      </c>
      <c r="DX202" s="216">
        <f t="shared" si="444"/>
        <v>6.610001738804387</v>
      </c>
      <c r="DY202" s="440">
        <f t="shared" si="445"/>
        <v>18.92966232718625</v>
      </c>
      <c r="DZ202" s="180">
        <f t="shared" si="446"/>
        <v>1425197.6145554094</v>
      </c>
      <c r="EA202" s="180">
        <f t="shared" si="447"/>
        <v>323908.54876259301</v>
      </c>
      <c r="EB202" s="180">
        <f t="shared" ca="1" si="538"/>
        <v>61552.340181545937</v>
      </c>
      <c r="EC202" s="180">
        <f t="shared" ca="1" si="539"/>
        <v>238515.3027430175</v>
      </c>
      <c r="ED202" s="180">
        <f t="shared" ca="1" si="540"/>
        <v>1951801.8452421336</v>
      </c>
      <c r="EE202" s="581">
        <f t="shared" si="448"/>
        <v>1385327.4126258553</v>
      </c>
      <c r="EF202" s="554">
        <f t="shared" si="449"/>
        <v>314847.13923314889</v>
      </c>
      <c r="EG202" s="554">
        <f t="shared" ca="1" si="541"/>
        <v>16795.100567373753</v>
      </c>
      <c r="EH202" s="554">
        <f t="shared" ca="1" si="542"/>
        <v>65080.990966244077</v>
      </c>
      <c r="EI202" s="561">
        <f t="shared" ca="1" si="450"/>
        <v>1782050.6433926218</v>
      </c>
      <c r="EJ202" s="581">
        <f t="shared" si="504"/>
        <v>39870.20192955411</v>
      </c>
      <c r="EK202" s="554">
        <f t="shared" si="505"/>
        <v>9061.4095294441213</v>
      </c>
      <c r="EL202" s="554">
        <f t="shared" ca="1" si="543"/>
        <v>44757.239614172184</v>
      </c>
      <c r="EM202" s="554">
        <f t="shared" ca="1" si="544"/>
        <v>173434.31177677342</v>
      </c>
      <c r="EN202" s="561">
        <f t="shared" ca="1" si="545"/>
        <v>169751.20184951182</v>
      </c>
      <c r="EO202" s="180">
        <f t="shared" si="451"/>
        <v>5700790.4582216376</v>
      </c>
      <c r="EP202" s="180">
        <f t="shared" si="452"/>
        <v>1295634.195050372</v>
      </c>
      <c r="EQ202" s="180">
        <f t="shared" si="453"/>
        <v>246209.36072618375</v>
      </c>
      <c r="ER202" s="180">
        <f t="shared" si="454"/>
        <v>954061.21097207</v>
      </c>
      <c r="ES202" s="180">
        <f t="shared" si="455"/>
        <v>8196695.2249702634</v>
      </c>
      <c r="ET202" s="1482">
        <f t="shared" ca="1" si="546"/>
        <v>5541309.6505034212</v>
      </c>
      <c r="EU202" s="180">
        <f t="shared" ca="1" si="547"/>
        <v>1259388.5569325956</v>
      </c>
      <c r="EV202" s="180">
        <f t="shared" ca="1" si="548"/>
        <v>67180.402269495011</v>
      </c>
      <c r="EW202" s="180">
        <f t="shared" ca="1" si="549"/>
        <v>260323.96386497631</v>
      </c>
      <c r="EX202" s="555">
        <f t="shared" ca="1" si="522"/>
        <v>7128202.573570488</v>
      </c>
      <c r="EY202" s="180">
        <f t="shared" ca="1" si="550"/>
        <v>159480.80771821644</v>
      </c>
      <c r="EZ202" s="180">
        <f t="shared" ca="1" si="551"/>
        <v>36245.638117776485</v>
      </c>
      <c r="FA202" s="180">
        <f t="shared" ca="1" si="552"/>
        <v>179028.95845668874</v>
      </c>
      <c r="FB202" s="180">
        <f t="shared" ca="1" si="553"/>
        <v>693737.24710709369</v>
      </c>
      <c r="FC202" s="180">
        <f t="shared" ca="1" si="554"/>
        <v>1068492.6513997754</v>
      </c>
      <c r="FD202" s="262">
        <f>IF(AX202,IF(VLOOKUP(C202,MAIN!$L$17:$M$28,2)="Yes",VLOOKUP(CALC!B202,MAIN!$H$17:$I$20,2),0),0)</f>
        <v>0</v>
      </c>
      <c r="FE202" s="623">
        <f t="shared" si="456"/>
        <v>0</v>
      </c>
      <c r="FF202" s="535">
        <f t="shared" si="457"/>
        <v>0</v>
      </c>
      <c r="FG202" s="535">
        <f t="shared" si="458"/>
        <v>0</v>
      </c>
      <c r="FH202" s="624">
        <f t="shared" si="459"/>
        <v>0</v>
      </c>
      <c r="FI202" s="632">
        <f>IF(AX202,VLOOKUP(CALC!B202,MAIN!$H$17:$K$20,4),0)</f>
        <v>0</v>
      </c>
      <c r="FJ202" s="535">
        <f t="shared" si="460"/>
        <v>0</v>
      </c>
      <c r="FK202" s="648">
        <f t="shared" si="506"/>
        <v>0</v>
      </c>
      <c r="FL202" s="530">
        <f t="shared" ca="1" si="555"/>
        <v>0</v>
      </c>
      <c r="FM202" s="530">
        <f t="shared" ca="1" si="556"/>
        <v>0</v>
      </c>
      <c r="FN202" s="530">
        <f t="shared" ca="1" si="557"/>
        <v>0</v>
      </c>
      <c r="FO202" s="622">
        <f t="shared" ca="1" si="558"/>
        <v>0</v>
      </c>
      <c r="FP202" s="530">
        <f t="shared" ca="1" si="559"/>
        <v>0</v>
      </c>
      <c r="FQ202" s="530">
        <f t="shared" ca="1" si="560"/>
        <v>0</v>
      </c>
      <c r="FR202" s="530">
        <f t="shared" ca="1" si="561"/>
        <v>0</v>
      </c>
      <c r="FS202" s="625">
        <f t="shared" ca="1" si="562"/>
        <v>0</v>
      </c>
      <c r="FT202" s="640">
        <f ca="1">IF(AND(Assumptions!$H$71="Yes",A202&gt;=Assumptions!$H$72,A202&lt;=Assumptions!$H$73),0,IF(AND($A202&gt;=Assumptions!$C$17,$A202&lt;=Assumptions!$C$18),MAX(AZ202*(1+VLOOKUP($C202,WeatherCapacityAdjustment,2))-FL202,0),0))</f>
        <v>51216</v>
      </c>
      <c r="FU202" s="530">
        <f ca="1">IF(AND(Assumptions!$H$71="Yes",A202&gt;=Assumptions!$H$72,A202&lt;=Assumptions!$H$73),0,IF(AND($A202&gt;=Assumptions!$C$17,$A202&lt;=Assumptions!$C$18),MAX(BA202*(1+VLOOKUP($C202,WeatherCapacityAdjustment,2))-FM202,0),0))</f>
        <v>11640</v>
      </c>
      <c r="FV202" s="530">
        <f ca="1">IF(AND(Assumptions!$H$71="Yes",A202&gt;=Assumptions!$H$72,A202&lt;=Assumptions!$H$73),0,IF(AND($A202&gt;=Assumptions!$C$17,$A202&lt;=Assumptions!$C$18),MAX(BB202*(1+VLOOKUP($C202,WeatherCapacityAdjustment,2))-FN202,0),0))</f>
        <v>9312</v>
      </c>
      <c r="FW202" s="622">
        <f ca="1">IF(AND(Assumptions!$H$71="Yes",A202&gt;=Assumptions!$H$72,A202&lt;=Assumptions!$H$73),0,IF(AND($A202&gt;=Assumptions!$C$17,$A202&lt;=Assumptions!$C$18),MAX(BC202*(1+VLOOKUP($C202,WeatherCapacityAdjustment,3))-FO202,0),0))</f>
        <v>36084</v>
      </c>
      <c r="FX202" s="621">
        <f ca="1">IF(AND(Assumptions!$H$71="Yes",A202&gt;=Assumptions!$H$72,A202&lt;=Assumptions!$H$73),0,IF(ET202&gt;0,MAX(BH202*(1+VLOOKUP($C202,WeatherCapacityAdjustment,2))-FP202,0),0))</f>
        <v>204864</v>
      </c>
      <c r="FY202" s="530">
        <f ca="1">IF(AND(Assumptions!$H$71="Yes",A202&gt;=Assumptions!$H$72,A202&lt;=Assumptions!$H$73),0,IF(EU202&gt;0,MAX(BI202*(1+VLOOKUP($C202,WeatherCapacityAdjustment,3))-FQ202,0),0))</f>
        <v>46560</v>
      </c>
      <c r="FZ202" s="530">
        <f ca="1">IF(AND(Assumptions!$H$71="Yes",A202&gt;=Assumptions!$H$72,A202&lt;=Assumptions!$H$73),0,IF(EV202&gt;0,MAX(BJ202*(1+VLOOKUP($C202,WeatherCapacityAdjustment,2))-FR202,0),0))</f>
        <v>37248</v>
      </c>
      <c r="GA202" s="622">
        <f ca="1">IF(AND(Assumptions!$H$71="Yes",A202&gt;=Assumptions!$H$72,A202&lt;=Assumptions!$H$73),0,IF(EW202&gt;0,MAX(BK202*(1+VLOOKUP($C202,WeatherCapacityAdjustment,2))-FS202,0),0))</f>
        <v>144336</v>
      </c>
      <c r="GB202" s="530">
        <f t="shared" ca="1" si="461"/>
        <v>541260</v>
      </c>
      <c r="GC202" s="545">
        <f t="shared" ca="1" si="462"/>
        <v>44.083314389470317</v>
      </c>
      <c r="GD202" s="530">
        <f t="shared" ca="1" si="563"/>
        <v>23860534.746444702</v>
      </c>
      <c r="GE202" s="1485">
        <f t="shared" ca="1" si="564"/>
        <v>763462.38527999993</v>
      </c>
      <c r="GF202" s="1776">
        <f t="shared" ca="1" si="565"/>
        <v>3053849.5411199997</v>
      </c>
      <c r="GG202" s="545">
        <f t="shared" si="530"/>
        <v>3.5927569968615733</v>
      </c>
      <c r="GH202" s="622">
        <f t="shared" ca="1" si="531"/>
        <v>13714674.13277673</v>
      </c>
      <c r="GI202" s="621">
        <f t="shared" ca="1" si="507"/>
        <v>541260</v>
      </c>
      <c r="GJ202" s="638">
        <f t="shared" si="463"/>
        <v>2.2828352302125814</v>
      </c>
      <c r="GK202" s="625">
        <f t="shared" ca="1" si="513"/>
        <v>1235607.3967048619</v>
      </c>
      <c r="GL202" s="640">
        <f t="shared" ca="1" si="566"/>
        <v>0</v>
      </c>
      <c r="GM202" s="530">
        <f t="shared" ca="1" si="567"/>
        <v>0</v>
      </c>
      <c r="GN202" s="530">
        <f t="shared" ca="1" si="568"/>
        <v>0</v>
      </c>
      <c r="GO202" s="622">
        <f t="shared" ca="1" si="569"/>
        <v>0</v>
      </c>
      <c r="GP202" s="530">
        <f t="shared" ca="1" si="464"/>
        <v>0</v>
      </c>
      <c r="GQ202" s="545">
        <f t="shared" ca="1" si="465"/>
        <v>0</v>
      </c>
      <c r="GR202" s="625">
        <f t="shared" ca="1" si="570"/>
        <v>0</v>
      </c>
      <c r="GS202" s="640">
        <f>IF($A202&gt;=BegDate,Assumptions!$C$56*24*($A203-$A202)*(1-VLOOKUP($B202,MAIN!$AA$7:$AM$28,$C202+1))*(1-VLOOKUP($B202,MAIN!$AA$33:$AM$54,$C202+1)),0)*80/168</f>
        <v>257742.85714285713</v>
      </c>
      <c r="GT202" s="1715">
        <f t="shared" si="508"/>
        <v>54.669979423729124</v>
      </c>
      <c r="GU202" s="1715">
        <f>IF($A202&gt;=BegDate,VLOOKUP($A202,GasTable,13)+Assumptions!$C$58,0)</f>
        <v>3.5927569968615733</v>
      </c>
      <c r="GV202" s="1715">
        <f>GU202*Assumptions!$C$57/1000</f>
        <v>26.047488227246404</v>
      </c>
      <c r="GW202" s="625">
        <f>IF(Assumptions!$C$60="Hourly",MAX(0,GS202*(GT202-GV202)),GS202*(GT202-GV202))</f>
        <v>7377242.6595277311</v>
      </c>
      <c r="GX202" s="640">
        <f>IF($A202&gt;=BegDate,Assumptions!$C$56*24*($A203-$A202)*(1-VLOOKUP($B202,MAIN!$AA$7:$AM$28,$C202+1))*(1-VLOOKUP($B202,MAIN!$AA$33:$AM$54,$C202+1)),0)*16/168</f>
        <v>51548.571428571428</v>
      </c>
      <c r="GY202" s="1715">
        <f t="shared" si="509"/>
        <v>54.669979423729124</v>
      </c>
      <c r="GZ202" s="1715">
        <f>IF($A202&gt;=BegDate,VLOOKUP($A202,GasTable,13)+Assumptions!$C$58,0)</f>
        <v>3.5927569968615733</v>
      </c>
      <c r="HA202" s="1715">
        <f>GZ202*Assumptions!$C$57/1000</f>
        <v>26.047488227246404</v>
      </c>
      <c r="HB202" s="625">
        <f>IF(Assumptions!$C$60="Hourly",MAX(0,GX202*(GY202-HA202)),GX202*(GY202-HA202))</f>
        <v>1475448.5319055463</v>
      </c>
      <c r="HC202" s="640">
        <f>IF($A202&gt;=BegDate,Assumptions!$C$56*24*($A203-$A202)*(1-VLOOKUP($B202,MAIN!$AA$7:$AM$28,$C202+1))*(1-VLOOKUP($B202,MAIN!$AA$33:$AM$54,$C202+1)),0)*16/168</f>
        <v>51548.571428571428</v>
      </c>
      <c r="HD202" s="1715">
        <f t="shared" si="510"/>
        <v>29.42485406761427</v>
      </c>
      <c r="HE202" s="1715">
        <f>IF($A202&gt;=BegDate,VLOOKUP($A202,GasTable,13)+Assumptions!$C$58,0)</f>
        <v>3.5927569968615733</v>
      </c>
      <c r="HF202" s="1715">
        <f>HE202*Assumptions!$C$57/1000</f>
        <v>26.047488227246404</v>
      </c>
      <c r="HG202" s="625">
        <f>IF(Assumptions!$C$60="Hourly",MAX(0,HC202*(HD202-HF202)),HC202*(HD202-HF202))</f>
        <v>174098.38426262006</v>
      </c>
      <c r="HH202" s="640">
        <f>IF($A202&gt;=BegDate,Assumptions!$C$56*24*($A203-$A202)*(1-VLOOKUP($B202,MAIN!$AA$7:$AM$28,$C202+1))*(1-VLOOKUP($B202,MAIN!$AA$33:$AM$54,$C202+1)),0)*56/168</f>
        <v>180420</v>
      </c>
      <c r="HI202" s="1715">
        <f t="shared" si="511"/>
        <v>29.42485406761427</v>
      </c>
      <c r="HJ202" s="1715">
        <f>IF($A202&gt;=BegDate,VLOOKUP($A202,GasTable,13)+Assumptions!$C$58,0)</f>
        <v>3.5927569968615733</v>
      </c>
      <c r="HK202" s="1715">
        <f>HJ202*Assumptions!$C$57/1000</f>
        <v>26.047488227246404</v>
      </c>
      <c r="HL202" s="625">
        <f>IF(Assumptions!$C$60="Hourly",MAX(0,HH202*(HI202-HK202)),HH202*(HI202-HK202))</f>
        <v>609344.34491917025</v>
      </c>
      <c r="HM202" s="640">
        <f>IF(AND(Assumptions!$H$71="Yes",A202&gt;=Assumptions!$H$72,A202&lt;=Assumptions!$H$73),Assumptions!$H$74*Assumptions!$C$9*1000,0)</f>
        <v>0</v>
      </c>
      <c r="HN202" s="530"/>
      <c r="HO202" s="545"/>
      <c r="HP202" s="545"/>
      <c r="HQ202" s="545"/>
      <c r="HR202" s="545"/>
      <c r="HS202" s="545"/>
      <c r="HT202" s="545"/>
      <c r="HU202" s="545"/>
      <c r="HV202" s="545"/>
      <c r="HW202" s="545"/>
      <c r="HX202" s="545"/>
      <c r="HY202" s="545"/>
      <c r="HZ202" s="545"/>
      <c r="IA202" s="545"/>
      <c r="IB202" s="545"/>
      <c r="IC202" s="545"/>
      <c r="ID202" s="545"/>
      <c r="IE202" s="545"/>
      <c r="IF202" s="545"/>
      <c r="IG202" s="545"/>
      <c r="IH202" s="545"/>
      <c r="II202" s="1464"/>
      <c r="IJ202" s="1463"/>
      <c r="IK202" s="1463"/>
    </row>
    <row r="203" spans="1:245">
      <c r="A203" s="177">
        <f t="shared" si="466"/>
        <v>42309</v>
      </c>
      <c r="B203" s="349">
        <f t="shared" si="467"/>
        <v>2015</v>
      </c>
      <c r="C203" s="15">
        <f t="shared" si="571"/>
        <v>11</v>
      </c>
      <c r="D203" s="612">
        <f t="shared" si="468"/>
        <v>42334</v>
      </c>
      <c r="E203" s="609">
        <f t="shared" si="572"/>
        <v>42309</v>
      </c>
      <c r="F203" s="614">
        <f t="shared" si="573"/>
        <v>42338</v>
      </c>
      <c r="G203" s="1349">
        <v>0</v>
      </c>
      <c r="H203" s="152">
        <f t="shared" si="512"/>
        <v>1</v>
      </c>
      <c r="I203" s="154">
        <f>IF(Assumptions!$L$25=4,VLOOKUP($A203,'Henwood Reference'!$E$9:$R$320,10),(VLOOKUP($A203,PriceTable,2,0)+IF(BasisNumber&lt;&gt;1,VLOOKUP($A203,BasisTable,2,0),0)+I$1)/(1-I$2))</f>
        <v>56.274119896177652</v>
      </c>
      <c r="J203" s="154">
        <f>IF(Assumptions!$L$25=4,VLOOKUP($A203,'Henwood Reference'!$E$9:$R$320,10),(VLOOKUP($A203,PriceTable,3,0)+IF(BasisNumber&lt;&gt;1,VLOOKUP($A203,BasisTable,2,0),0)+J$1)/(1-J$2))</f>
        <v>56.274119896177652</v>
      </c>
      <c r="K203" s="154">
        <f>IF(Assumptions!$L$25=4,VLOOKUP($A203,'Henwood Reference'!$E$9:$R$320,10),(VLOOKUP($A203,PriceTable,4,0)+IF(BasisNumber&lt;&gt;1,VLOOKUP($A203,BasisTable,2,0),0)+K$1)/(1-K$2))</f>
        <v>56.274119896177652</v>
      </c>
      <c r="L203" s="474">
        <f>IF(Assumptions!$L$25=4,VLOOKUP($A203,'Henwood Reference'!$E$9:$R$320,10),(VLOOKUP($A203,PriceTableWeekend,2,0)+IF(BasisNumber&lt;&gt;1,VLOOKUP($A203,BasisTable,2,0),0)+L$1)/(1-L$2))</f>
        <v>56.274119896177652</v>
      </c>
      <c r="M203" s="154">
        <f>IF(Assumptions!$L$25=4,VLOOKUP($A203,'Henwood Reference'!$E$9:$R$320,10),(VLOOKUP($A203,PriceTableWeekend,3,0)+IF(BasisNumber&lt;&gt;1,VLOOKUP($A203,BasisTable,2,0),0)+M$1)/(1-M$2))</f>
        <v>56.274119896177652</v>
      </c>
      <c r="N203" s="156">
        <f>IF(Assumptions!$L$25=4,VLOOKUP($A203,'Henwood Reference'!$E$9:$R$320,10),(VLOOKUP($A203,PriceTableWeekend,4,0)+IF(BasisNumber&lt;&gt;1,VLOOKUP($A203,BasisTable,2,0),0)+N$1)/(1-N$2))</f>
        <v>56.274119896177652</v>
      </c>
      <c r="O203" s="154">
        <f>IF(Assumptions!$L$25=4,VLOOKUP($A203,'Henwood Reference'!$E$9:$R$320,11),(VLOOKUP($A203,PriceTableWeekend,6,0)+IF(BasisNumber&lt;&gt;1,VLOOKUP($A203,BasisTable,3,0),0)+O$1)/(1-O$2))</f>
        <v>32.995711942855849</v>
      </c>
      <c r="P203" s="154">
        <f>IF(Assumptions!$L$25=4,VLOOKUP($A203,'Henwood Reference'!$E$9:$R$320,11),(VLOOKUP($A203,PriceTableWeekend,7,0)+IF(BasisNumber&lt;&gt;1,VLOOKUP($A203,BasisTable,3,0),0)+P$1)/(1-P$2))</f>
        <v>32.995711942855849</v>
      </c>
      <c r="Q203" s="156">
        <f>IF(Assumptions!$L$25=4,VLOOKUP($A203,'Henwood Reference'!$E$9:$R$320,11),(VLOOKUP($A203,PriceTableWeekend,8,0)+IF(BasisNumber&lt;&gt;1,VLOOKUP($A203,BasisTable,3,0),0)+Q$1)/(1-Q$2))</f>
        <v>32.995711942855849</v>
      </c>
      <c r="R203" s="154">
        <f>IF(Assumptions!$L$25=4,VLOOKUP($A203,'Henwood Reference'!$E$9:$R$320,11),(VLOOKUP($A203,PriceTable,6,0)+IF(BasisNumber&lt;&gt;1,VLOOKUP($A203,BasisTable,3,0),0)+R$1)/(1-R$2))</f>
        <v>32.995711942855849</v>
      </c>
      <c r="S203" s="154">
        <f>IF(Assumptions!$L$25=4,VLOOKUP($A203,'Henwood Reference'!$E$9:$R$320,11),(VLOOKUP($A203,PriceTable,7,0)+IF(BasisNumber&lt;&gt;1,VLOOKUP($A203,BasisTable,3,0),0)+S$1)/(1-S$2))</f>
        <v>32.995711942855849</v>
      </c>
      <c r="T203" s="155">
        <f>IF(Assumptions!$L$25=4,VLOOKUP($A203,'Henwood Reference'!$E$9:$R$320,11),(VLOOKUP($A203,PriceTable,8,0)+IF(BasisNumber&lt;&gt;1,VLOOKUP($A203,BasisTable,3,0),0)+T$1)/(1-T$2))</f>
        <v>32.995711942855849</v>
      </c>
      <c r="U203" s="173">
        <f t="shared" si="469"/>
        <v>9.4999999999999932E-2</v>
      </c>
      <c r="V203" s="173">
        <f t="shared" si="470"/>
        <v>0.105</v>
      </c>
      <c r="W203" s="174">
        <f t="shared" si="471"/>
        <v>0.115</v>
      </c>
      <c r="X203" s="173">
        <f t="shared" si="472"/>
        <v>9.4999999999999932E-2</v>
      </c>
      <c r="Y203" s="173">
        <f t="shared" si="473"/>
        <v>0.105</v>
      </c>
      <c r="Z203" s="174">
        <f t="shared" si="474"/>
        <v>0.115</v>
      </c>
      <c r="AA203" s="173">
        <f t="shared" si="475"/>
        <v>0.09</v>
      </c>
      <c r="AB203" s="173">
        <f t="shared" si="476"/>
        <v>0.11</v>
      </c>
      <c r="AC203" s="174">
        <f t="shared" si="477"/>
        <v>0.13</v>
      </c>
      <c r="AD203" s="173">
        <f t="shared" si="478"/>
        <v>0.09</v>
      </c>
      <c r="AE203" s="173">
        <f t="shared" si="479"/>
        <v>0.11</v>
      </c>
      <c r="AF203" s="174">
        <f t="shared" si="480"/>
        <v>0.13</v>
      </c>
      <c r="AG203" s="173">
        <f t="shared" si="481"/>
        <v>-0.1</v>
      </c>
      <c r="AH203" s="173">
        <f t="shared" si="482"/>
        <v>0.6</v>
      </c>
      <c r="AI203" s="174">
        <f t="shared" si="483"/>
        <v>0.1</v>
      </c>
      <c r="AJ203" s="173">
        <f t="shared" si="484"/>
        <v>-0.1</v>
      </c>
      <c r="AK203" s="173">
        <f t="shared" si="485"/>
        <v>0.6</v>
      </c>
      <c r="AL203" s="174">
        <f t="shared" si="486"/>
        <v>0.1</v>
      </c>
      <c r="AM203" s="173">
        <f t="shared" si="487"/>
        <v>-0.01</v>
      </c>
      <c r="AN203" s="173">
        <f t="shared" si="488"/>
        <v>0.16</v>
      </c>
      <c r="AO203" s="174">
        <f t="shared" si="489"/>
        <v>0.01</v>
      </c>
      <c r="AP203" s="173">
        <f t="shared" si="490"/>
        <v>-0.01</v>
      </c>
      <c r="AQ203" s="173">
        <f t="shared" si="491"/>
        <v>0.16</v>
      </c>
      <c r="AR203" s="175">
        <f t="shared" si="492"/>
        <v>0.01</v>
      </c>
      <c r="AS203" s="521">
        <f t="shared" si="576"/>
        <v>0.5</v>
      </c>
      <c r="AT203" s="349">
        <f t="shared" si="574"/>
        <v>20</v>
      </c>
      <c r="AU203" s="159">
        <f t="shared" si="411"/>
        <v>4</v>
      </c>
      <c r="AV203" s="159">
        <f t="shared" si="412"/>
        <v>5</v>
      </c>
      <c r="AW203" s="159">
        <f t="shared" si="577"/>
        <v>1</v>
      </c>
      <c r="AX203" s="15">
        <f t="shared" si="575"/>
        <v>30</v>
      </c>
      <c r="AY203" s="607">
        <f>IF(E203="",0,MIN((1-(1-VLOOKUP(B203,MAIN!$AA$7:$AM$28,C203+1))*(1-VLOOKUP(B203,MAIN!$AA$33:$AM$54,C203+1))),1))</f>
        <v>3.0000000000000027E-2</v>
      </c>
      <c r="AZ203" s="337">
        <v>46560</v>
      </c>
      <c r="BA203" s="509">
        <v>9312</v>
      </c>
      <c r="BB203" s="509">
        <v>13968</v>
      </c>
      <c r="BC203" s="511">
        <v>34920</v>
      </c>
      <c r="BD203" s="153">
        <v>0.97</v>
      </c>
      <c r="BE203" s="474">
        <v>0.97</v>
      </c>
      <c r="BF203" s="474">
        <v>0.97</v>
      </c>
      <c r="BG203" s="515">
        <v>0.9699999927729368</v>
      </c>
      <c r="BH203" s="262">
        <v>186240</v>
      </c>
      <c r="BI203" s="509">
        <v>37248</v>
      </c>
      <c r="BJ203" s="509">
        <v>55872</v>
      </c>
      <c r="BK203" s="511">
        <v>139680</v>
      </c>
      <c r="BL203" s="153">
        <v>0.97</v>
      </c>
      <c r="BM203" s="474">
        <v>0.97</v>
      </c>
      <c r="BN203" s="474">
        <v>0.97</v>
      </c>
      <c r="BO203" s="474">
        <v>0.9699999927729368</v>
      </c>
      <c r="BP203" s="261">
        <f t="shared" si="495"/>
        <v>69840</v>
      </c>
      <c r="BQ203" s="578">
        <f t="shared" si="496"/>
        <v>104760</v>
      </c>
      <c r="BR203" s="259">
        <f t="shared" si="497"/>
        <v>279360</v>
      </c>
      <c r="BS203" s="578">
        <f t="shared" si="498"/>
        <v>419040</v>
      </c>
      <c r="BT203" s="216">
        <f t="shared" si="499"/>
        <v>15.548254620123203</v>
      </c>
      <c r="BU203" s="218">
        <f t="shared" si="414"/>
        <v>56.274119896177652</v>
      </c>
      <c r="BV203" s="216">
        <f t="shared" si="415"/>
        <v>56.274119896177652</v>
      </c>
      <c r="BW203" s="216">
        <f t="shared" si="416"/>
        <v>32.995711942855849</v>
      </c>
      <c r="BX203" s="216">
        <f t="shared" si="500"/>
        <v>32.995711697018635</v>
      </c>
      <c r="BY203" s="216">
        <f t="shared" si="417"/>
        <v>51.618438305513294</v>
      </c>
      <c r="BZ203" s="216">
        <f t="shared" si="418"/>
        <v>45.410862769348405</v>
      </c>
      <c r="CA203" s="264">
        <f t="shared" si="419"/>
        <v>56.274119896177652</v>
      </c>
      <c r="CB203" s="216">
        <f t="shared" si="420"/>
        <v>56.274119896177652</v>
      </c>
      <c r="CC203" s="216">
        <f t="shared" si="421"/>
        <v>32.995711942855849</v>
      </c>
      <c r="CD203" s="216">
        <f t="shared" si="501"/>
        <v>32.995711697018635</v>
      </c>
      <c r="CE203" s="216">
        <f t="shared" si="422"/>
        <v>51.618438305513294</v>
      </c>
      <c r="CF203" s="571">
        <f t="shared" si="423"/>
        <v>45.410862769348405</v>
      </c>
      <c r="CG203" s="573">
        <f t="shared" si="424"/>
        <v>0.105</v>
      </c>
      <c r="CH203" s="219">
        <f t="shared" si="425"/>
        <v>0.105</v>
      </c>
      <c r="CI203" s="219">
        <f t="shared" si="426"/>
        <v>0.11</v>
      </c>
      <c r="CJ203" s="219">
        <f t="shared" si="427"/>
        <v>0.10564151765086313</v>
      </c>
      <c r="CK203" s="219">
        <f t="shared" si="428"/>
        <v>0.10564151765086313</v>
      </c>
      <c r="CL203" s="219">
        <f t="shared" si="429"/>
        <v>0.11</v>
      </c>
      <c r="CM203" s="219">
        <f t="shared" si="430"/>
        <v>9.6461401504240638E-2</v>
      </c>
      <c r="CN203" s="569">
        <f t="shared" si="431"/>
        <v>9.6461401504240638E-2</v>
      </c>
      <c r="CO203" s="264">
        <f t="shared" si="514"/>
        <v>26.368201061622869</v>
      </c>
      <c r="CP203" s="216">
        <f t="shared" si="502"/>
        <v>26.368201061622869</v>
      </c>
      <c r="CQ203" s="216">
        <f t="shared" ca="1" si="532"/>
        <v>26.368201061622869</v>
      </c>
      <c r="CR203" s="216">
        <f t="shared" ca="1" si="533"/>
        <v>26.368201061622869</v>
      </c>
      <c r="CS203" s="1626">
        <f t="shared" ca="1" si="534"/>
        <v>26.368201061622869</v>
      </c>
      <c r="CT203" s="216">
        <f t="shared" si="503"/>
        <v>26.368201061622869</v>
      </c>
      <c r="CU203" s="575">
        <f t="shared" si="432"/>
        <v>0.153</v>
      </c>
      <c r="CV203" s="154">
        <f t="shared" si="433"/>
        <v>0.5</v>
      </c>
      <c r="CW203" s="216">
        <f>IF(OR($BQ203,$BS203),SpreadOptPowerMargin,0)*((1+Assumptions!$C$26)^($B203-YEAR(Assumptions!$C$17)))</f>
        <v>2.2828352302125814</v>
      </c>
      <c r="CX203" s="216">
        <f>IF(OR($BQ203,$BS203),SpreadOptPowerMargin,0)*((1+Assumptions!$C$26)^($B203-YEAR(Assumptions!$C$17)))</f>
        <v>2.2828352302125814</v>
      </c>
      <c r="CY203" s="216">
        <f>IF(OR($BQ203,$BS203),SpreadOptPowerMargin,0)*((1+Assumptions!$C$26)^($B203-YEAR(Assumptions!$C$17)))</f>
        <v>2.2828352302125814</v>
      </c>
      <c r="CZ203" s="216">
        <f>IF(OR($BQ203,$BS203),SpreadOptPowerMargin,0)*((1+Assumptions!$C$26)^($B203-YEAR(Assumptions!$C$17)))</f>
        <v>2.2828352302125814</v>
      </c>
      <c r="DA203" s="440">
        <f t="shared" si="434"/>
        <v>2.2828352302125814</v>
      </c>
      <c r="DB203" s="479">
        <f t="shared" si="435"/>
        <v>0.105</v>
      </c>
      <c r="DC203" s="479">
        <f t="shared" si="436"/>
        <v>0.105</v>
      </c>
      <c r="DD203" s="479">
        <f t="shared" si="437"/>
        <v>0.11</v>
      </c>
      <c r="DE203" s="479">
        <f t="shared" si="438"/>
        <v>0.11</v>
      </c>
      <c r="DF203" s="479">
        <f t="shared" si="439"/>
        <v>9.6461401504240638E-2</v>
      </c>
      <c r="DG203" s="574">
        <f t="shared" si="440"/>
        <v>9.6461401504240638E-2</v>
      </c>
      <c r="DH203" s="216">
        <f t="shared" si="441"/>
        <v>28.46921809262253</v>
      </c>
      <c r="DI203" s="216">
        <f t="shared" si="442"/>
        <v>28.46921809262253</v>
      </c>
      <c r="DJ203" s="216">
        <f t="shared" ca="1" si="535"/>
        <v>8.5671511691220132</v>
      </c>
      <c r="DK203" s="216">
        <f t="shared" ca="1" si="536"/>
        <v>8.5671509954248446</v>
      </c>
      <c r="DL203" s="216">
        <f t="shared" ca="1" si="537"/>
        <v>18.443385246472552</v>
      </c>
      <c r="DM203" s="216"/>
      <c r="DN203" s="216"/>
      <c r="DO203" s="216"/>
      <c r="DP203" s="216"/>
      <c r="DQ203" s="216"/>
      <c r="DR203" s="216"/>
      <c r="DS203" s="216"/>
      <c r="DT203" s="216"/>
      <c r="DU203" s="216"/>
      <c r="DV203" s="216"/>
      <c r="DW203" s="1371">
        <f t="shared" si="443"/>
        <v>8.5671511691220132</v>
      </c>
      <c r="DX203" s="216">
        <f t="shared" si="444"/>
        <v>8.5671509954248446</v>
      </c>
      <c r="DY203" s="440">
        <f t="shared" si="445"/>
        <v>19.181586803756566</v>
      </c>
      <c r="DZ203" s="180">
        <f t="shared" si="446"/>
        <v>1325526.794392505</v>
      </c>
      <c r="EA203" s="180">
        <f t="shared" si="447"/>
        <v>265105.35887850099</v>
      </c>
      <c r="EB203" s="180">
        <f t="shared" ca="1" si="538"/>
        <v>119665.96753029629</v>
      </c>
      <c r="EC203" s="180">
        <f t="shared" ca="1" si="539"/>
        <v>299164.9127602356</v>
      </c>
      <c r="ED203" s="180">
        <f t="shared" ca="1" si="540"/>
        <v>1932129.0384204646</v>
      </c>
      <c r="EE203" s="581">
        <f t="shared" si="448"/>
        <v>1286130.7726181729</v>
      </c>
      <c r="EF203" s="554">
        <f t="shared" si="449"/>
        <v>257226.15452363458</v>
      </c>
      <c r="EG203" s="554">
        <f t="shared" ca="1" si="541"/>
        <v>60686.429493452932</v>
      </c>
      <c r="EH203" s="554">
        <f t="shared" ca="1" si="542"/>
        <v>151716.06514899683</v>
      </c>
      <c r="EI203" s="561">
        <f t="shared" ca="1" si="450"/>
        <v>1755759.4217842573</v>
      </c>
      <c r="EJ203" s="581">
        <f t="shared" si="504"/>
        <v>39396.021774332039</v>
      </c>
      <c r="EK203" s="554">
        <f t="shared" si="505"/>
        <v>7879.2043548664078</v>
      </c>
      <c r="EL203" s="554">
        <f t="shared" ca="1" si="543"/>
        <v>58979.538036843354</v>
      </c>
      <c r="EM203" s="554">
        <f t="shared" ca="1" si="544"/>
        <v>147448.84761123877</v>
      </c>
      <c r="EN203" s="561">
        <f t="shared" ca="1" si="545"/>
        <v>176369.61663620733</v>
      </c>
      <c r="EO203" s="180">
        <f t="shared" si="451"/>
        <v>5302107.1775700198</v>
      </c>
      <c r="EP203" s="180">
        <f t="shared" si="452"/>
        <v>1060421.435514004</v>
      </c>
      <c r="EQ203" s="180">
        <f t="shared" si="453"/>
        <v>478663.87012118514</v>
      </c>
      <c r="ER203" s="180">
        <f t="shared" si="454"/>
        <v>1196659.6510409424</v>
      </c>
      <c r="ES203" s="180">
        <f t="shared" si="455"/>
        <v>8037852.1342461519</v>
      </c>
      <c r="ET203" s="1482">
        <f t="shared" ca="1" si="546"/>
        <v>5144523.0904726917</v>
      </c>
      <c r="EU203" s="180">
        <f t="shared" ca="1" si="547"/>
        <v>1028904.6180945383</v>
      </c>
      <c r="EV203" s="180">
        <f t="shared" ca="1" si="548"/>
        <v>242745.71797381173</v>
      </c>
      <c r="EW203" s="180">
        <f t="shared" ca="1" si="549"/>
        <v>606864.26059598732</v>
      </c>
      <c r="EX203" s="555">
        <f t="shared" ca="1" si="522"/>
        <v>7023037.6871370291</v>
      </c>
      <c r="EY203" s="180">
        <f t="shared" ca="1" si="550"/>
        <v>157584.08709732816</v>
      </c>
      <c r="EZ203" s="180">
        <f t="shared" ca="1" si="551"/>
        <v>31516.817419465631</v>
      </c>
      <c r="FA203" s="180">
        <f t="shared" ca="1" si="552"/>
        <v>235918.15214737342</v>
      </c>
      <c r="FB203" s="180">
        <f t="shared" ca="1" si="553"/>
        <v>589795.39044495509</v>
      </c>
      <c r="FC203" s="180">
        <f t="shared" ca="1" si="554"/>
        <v>1014814.4471091228</v>
      </c>
      <c r="FD203" s="262">
        <f>IF(AX203,IF(VLOOKUP(C203,MAIN!$L$17:$M$28,2)="Yes",VLOOKUP(CALC!B203,MAIN!$H$17:$I$20,2),0),0)</f>
        <v>0</v>
      </c>
      <c r="FE203" s="623">
        <f t="shared" si="456"/>
        <v>0</v>
      </c>
      <c r="FF203" s="535">
        <f t="shared" si="457"/>
        <v>0</v>
      </c>
      <c r="FG203" s="535">
        <f t="shared" si="458"/>
        <v>0</v>
      </c>
      <c r="FH203" s="624">
        <f t="shared" si="459"/>
        <v>0</v>
      </c>
      <c r="FI203" s="632">
        <f>IF(AX203,VLOOKUP(CALC!B203,MAIN!$H$17:$K$20,4),0)</f>
        <v>0</v>
      </c>
      <c r="FJ203" s="535">
        <f t="shared" si="460"/>
        <v>0</v>
      </c>
      <c r="FK203" s="648">
        <f t="shared" si="506"/>
        <v>0</v>
      </c>
      <c r="FL203" s="530">
        <f t="shared" ca="1" si="555"/>
        <v>0</v>
      </c>
      <c r="FM203" s="530">
        <f t="shared" ca="1" si="556"/>
        <v>0</v>
      </c>
      <c r="FN203" s="530">
        <f t="shared" ca="1" si="557"/>
        <v>0</v>
      </c>
      <c r="FO203" s="622">
        <f t="shared" ca="1" si="558"/>
        <v>0</v>
      </c>
      <c r="FP203" s="530">
        <f t="shared" ca="1" si="559"/>
        <v>0</v>
      </c>
      <c r="FQ203" s="530">
        <f t="shared" ca="1" si="560"/>
        <v>0</v>
      </c>
      <c r="FR203" s="530">
        <f t="shared" ca="1" si="561"/>
        <v>0</v>
      </c>
      <c r="FS203" s="625">
        <f t="shared" ca="1" si="562"/>
        <v>0</v>
      </c>
      <c r="FT203" s="640">
        <f ca="1">IF(AND(Assumptions!$H$71="Yes",A203&gt;=Assumptions!$H$72,A203&lt;=Assumptions!$H$73),0,IF(AND($A203&gt;=Assumptions!$C$17,$A203&lt;=Assumptions!$C$18),MAX(AZ203*(1+VLOOKUP($C203,WeatherCapacityAdjustment,2))-FL203,0),0))</f>
        <v>46560</v>
      </c>
      <c r="FU203" s="530">
        <f ca="1">IF(AND(Assumptions!$H$71="Yes",A203&gt;=Assumptions!$H$72,A203&lt;=Assumptions!$H$73),0,IF(AND($A203&gt;=Assumptions!$C$17,$A203&lt;=Assumptions!$C$18),MAX(BA203*(1+VLOOKUP($C203,WeatherCapacityAdjustment,2))-FM203,0),0))</f>
        <v>9312</v>
      </c>
      <c r="FV203" s="530">
        <f ca="1">IF(AND(Assumptions!$H$71="Yes",A203&gt;=Assumptions!$H$72,A203&lt;=Assumptions!$H$73),0,IF(AND($A203&gt;=Assumptions!$C$17,$A203&lt;=Assumptions!$C$18),MAX(BB203*(1+VLOOKUP($C203,WeatherCapacityAdjustment,2))-FN203,0),0))</f>
        <v>13968</v>
      </c>
      <c r="FW203" s="622">
        <f ca="1">IF(AND(Assumptions!$H$71="Yes",A203&gt;=Assumptions!$H$72,A203&lt;=Assumptions!$H$73),0,IF(AND($A203&gt;=Assumptions!$C$17,$A203&lt;=Assumptions!$C$18),MAX(BC203*(1+VLOOKUP($C203,WeatherCapacityAdjustment,3))-FO203,0),0))</f>
        <v>34920</v>
      </c>
      <c r="FX203" s="621">
        <f ca="1">IF(AND(Assumptions!$H$71="Yes",A203&gt;=Assumptions!$H$72,A203&lt;=Assumptions!$H$73),0,IF(ET203&gt;0,MAX(BH203*(1+VLOOKUP($C203,WeatherCapacityAdjustment,2))-FP203,0),0))</f>
        <v>186240</v>
      </c>
      <c r="FY203" s="530">
        <f ca="1">IF(AND(Assumptions!$H$71="Yes",A203&gt;=Assumptions!$H$72,A203&lt;=Assumptions!$H$73),0,IF(EU203&gt;0,MAX(BI203*(1+VLOOKUP($C203,WeatherCapacityAdjustment,3))-FQ203,0),0))</f>
        <v>37248</v>
      </c>
      <c r="FZ203" s="530">
        <f ca="1">IF(AND(Assumptions!$H$71="Yes",A203&gt;=Assumptions!$H$72,A203&lt;=Assumptions!$H$73),0,IF(EV203&gt;0,MAX(BJ203*(1+VLOOKUP($C203,WeatherCapacityAdjustment,2))-FR203,0),0))</f>
        <v>55872</v>
      </c>
      <c r="GA203" s="622">
        <f ca="1">IF(AND(Assumptions!$H$71="Yes",A203&gt;=Assumptions!$H$72,A203&lt;=Assumptions!$H$73),0,IF(EW203&gt;0,MAX(BK203*(1+VLOOKUP($C203,WeatherCapacityAdjustment,2))-FS203,0),0))</f>
        <v>139680</v>
      </c>
      <c r="GB203" s="530">
        <f t="shared" ca="1" si="461"/>
        <v>523800</v>
      </c>
      <c r="GC203" s="545">
        <f t="shared" ca="1" si="462"/>
        <v>45.410862769348405</v>
      </c>
      <c r="GD203" s="530">
        <f t="shared" ca="1" si="563"/>
        <v>23786209.918584697</v>
      </c>
      <c r="GE203" s="1485">
        <f t="shared" ca="1" si="564"/>
        <v>739142.56080000009</v>
      </c>
      <c r="GF203" s="1776">
        <f t="shared" ca="1" si="565"/>
        <v>2956570.2432000004</v>
      </c>
      <c r="GG203" s="545">
        <f t="shared" si="530"/>
        <v>3.7372123994941404</v>
      </c>
      <c r="GH203" s="622">
        <f t="shared" ca="1" si="531"/>
        <v>13811663.71607806</v>
      </c>
      <c r="GI203" s="621">
        <f t="shared" ca="1" si="507"/>
        <v>523800</v>
      </c>
      <c r="GJ203" s="638">
        <f t="shared" si="463"/>
        <v>2.2828352302125814</v>
      </c>
      <c r="GK203" s="625">
        <f t="shared" ca="1" si="513"/>
        <v>1195749.0935853501</v>
      </c>
      <c r="GL203" s="640">
        <f t="shared" ca="1" si="566"/>
        <v>0</v>
      </c>
      <c r="GM203" s="530">
        <f t="shared" ca="1" si="567"/>
        <v>0</v>
      </c>
      <c r="GN203" s="530">
        <f t="shared" ca="1" si="568"/>
        <v>0</v>
      </c>
      <c r="GO203" s="622">
        <f t="shared" ca="1" si="569"/>
        <v>0</v>
      </c>
      <c r="GP203" s="530">
        <f t="shared" ca="1" si="464"/>
        <v>0</v>
      </c>
      <c r="GQ203" s="545">
        <f t="shared" ca="1" si="465"/>
        <v>0</v>
      </c>
      <c r="GR203" s="625">
        <f t="shared" ca="1" si="570"/>
        <v>0</v>
      </c>
      <c r="GS203" s="640">
        <f>IF($A203&gt;=BegDate,Assumptions!$C$56*24*($A204-$A203)*(1-VLOOKUP($B203,MAIN!$AA$7:$AM$28,$C203+1))*(1-VLOOKUP($B203,MAIN!$AA$33:$AM$54,$C203+1)),0)*80/168</f>
        <v>249428.57142857142</v>
      </c>
      <c r="GT203" s="1715">
        <f t="shared" si="508"/>
        <v>56.274119896177652</v>
      </c>
      <c r="GU203" s="1715">
        <f>IF($A203&gt;=BegDate,VLOOKUP($A203,GasTable,13)+Assumptions!$C$58,0)</f>
        <v>3.7372123994941404</v>
      </c>
      <c r="GV203" s="1715">
        <f>GU203*Assumptions!$C$57/1000</f>
        <v>27.094789896332518</v>
      </c>
      <c r="GW203" s="625">
        <f>IF(Assumptions!$C$60="Hourly",MAX(0,GS203*(GT203-GV203)),GS203*(GT203-GV203))</f>
        <v>7278158.597104229</v>
      </c>
      <c r="GX203" s="640">
        <f>IF($A203&gt;=BegDate,Assumptions!$C$56*24*($A204-$A203)*(1-VLOOKUP($B203,MAIN!$AA$7:$AM$28,$C203+1))*(1-VLOOKUP($B203,MAIN!$AA$33:$AM$54,$C203+1)),0)*16/168</f>
        <v>49885.714285714283</v>
      </c>
      <c r="GY203" s="1715">
        <f t="shared" si="509"/>
        <v>56.274119896177652</v>
      </c>
      <c r="GZ203" s="1715">
        <f>IF($A203&gt;=BegDate,VLOOKUP($A203,GasTable,13)+Assumptions!$C$58,0)</f>
        <v>3.7372123994941404</v>
      </c>
      <c r="HA203" s="1715">
        <f>GZ203*Assumptions!$C$57/1000</f>
        <v>27.094789896332518</v>
      </c>
      <c r="HB203" s="625">
        <f>IF(Assumptions!$C$60="Hourly",MAX(0,GX203*(GY203-HA203)),GX203*(GY203-HA203))</f>
        <v>1455631.7194208456</v>
      </c>
      <c r="HC203" s="640">
        <f>IF($A203&gt;=BegDate,Assumptions!$C$56*24*($A204-$A203)*(1-VLOOKUP($B203,MAIN!$AA$7:$AM$28,$C203+1))*(1-VLOOKUP($B203,MAIN!$AA$33:$AM$54,$C203+1)),0)*16/168</f>
        <v>49885.714285714283</v>
      </c>
      <c r="HD203" s="1715">
        <f t="shared" si="510"/>
        <v>32.995711942855849</v>
      </c>
      <c r="HE203" s="1715">
        <f>IF($A203&gt;=BegDate,VLOOKUP($A203,GasTable,13)+Assumptions!$C$58,0)</f>
        <v>3.7372123994941404</v>
      </c>
      <c r="HF203" s="1715">
        <f>HE203*Assumptions!$C$57/1000</f>
        <v>27.094789896332518</v>
      </c>
      <c r="HG203" s="625">
        <f>IF(Assumptions!$C$60="Hourly",MAX(0,HC203*(HD203-HF203)),HC203*(HD203-HF203))</f>
        <v>294371.71123513527</v>
      </c>
      <c r="HH203" s="640">
        <f>IF($A203&gt;=BegDate,Assumptions!$C$56*24*($A204-$A203)*(1-VLOOKUP($B203,MAIN!$AA$7:$AM$28,$C203+1))*(1-VLOOKUP($B203,MAIN!$AA$33:$AM$54,$C203+1)),0)*56/168</f>
        <v>174600</v>
      </c>
      <c r="HI203" s="1715">
        <f t="shared" si="511"/>
        <v>32.995711942855849</v>
      </c>
      <c r="HJ203" s="1715">
        <f>IF($A203&gt;=BegDate,VLOOKUP($A203,GasTable,13)+Assumptions!$C$58,0)</f>
        <v>3.7372123994941404</v>
      </c>
      <c r="HK203" s="1715">
        <f>HJ203*Assumptions!$C$57/1000</f>
        <v>27.094789896332518</v>
      </c>
      <c r="HL203" s="625">
        <f>IF(Assumptions!$C$60="Hourly",MAX(0,HH203*(HI203-HK203)),HH203*(HI203-HK203))</f>
        <v>1030300.9893229735</v>
      </c>
      <c r="HM203" s="640">
        <f>IF(AND(Assumptions!$H$71="Yes",A203&gt;=Assumptions!$H$72,A203&lt;=Assumptions!$H$73),Assumptions!$H$74*Assumptions!$C$9*1000,0)</f>
        <v>0</v>
      </c>
      <c r="HN203" s="530"/>
      <c r="HO203" s="545"/>
      <c r="HP203" s="545"/>
      <c r="HQ203" s="545"/>
      <c r="HR203" s="545"/>
      <c r="HS203" s="545"/>
      <c r="HT203" s="545"/>
      <c r="HU203" s="545"/>
      <c r="HV203" s="545"/>
      <c r="HW203" s="545"/>
      <c r="HX203" s="545"/>
      <c r="HY203" s="545"/>
      <c r="HZ203" s="545"/>
      <c r="IA203" s="545"/>
      <c r="IB203" s="545"/>
      <c r="IC203" s="545"/>
      <c r="ID203" s="545"/>
      <c r="IE203" s="545"/>
      <c r="IF203" s="545"/>
      <c r="IG203" s="545"/>
      <c r="IH203" s="545"/>
      <c r="II203" s="1464"/>
      <c r="IJ203" s="1463"/>
      <c r="IK203" s="1463"/>
    </row>
    <row r="204" spans="1:245">
      <c r="A204" s="177">
        <f t="shared" si="466"/>
        <v>42339</v>
      </c>
      <c r="B204" s="349">
        <f t="shared" si="467"/>
        <v>2015</v>
      </c>
      <c r="C204" s="15">
        <f t="shared" si="571"/>
        <v>12</v>
      </c>
      <c r="D204" s="612">
        <f t="shared" si="468"/>
        <v>42363</v>
      </c>
      <c r="E204" s="609">
        <f t="shared" si="572"/>
        <v>42339</v>
      </c>
      <c r="F204" s="614">
        <f t="shared" si="573"/>
        <v>42369</v>
      </c>
      <c r="G204" s="1349">
        <v>0</v>
      </c>
      <c r="H204" s="152">
        <f t="shared" si="512"/>
        <v>1</v>
      </c>
      <c r="I204" s="154">
        <f>IF(Assumptions!$L$25=4,VLOOKUP($A204,'Henwood Reference'!$E$9:$R$320,10),(VLOOKUP($A204,PriceTable,2,0)+IF(BasisNumber&lt;&gt;1,VLOOKUP($A204,BasisTable,2,0),0)+I$1)/(1-I$2))</f>
        <v>56.148012032876686</v>
      </c>
      <c r="J204" s="154">
        <f>IF(Assumptions!$L$25=4,VLOOKUP($A204,'Henwood Reference'!$E$9:$R$320,10),(VLOOKUP($A204,PriceTable,3,0)+IF(BasisNumber&lt;&gt;1,VLOOKUP($A204,BasisTable,2,0),0)+J$1)/(1-J$2))</f>
        <v>56.148012032876686</v>
      </c>
      <c r="K204" s="154">
        <f>IF(Assumptions!$L$25=4,VLOOKUP($A204,'Henwood Reference'!$E$9:$R$320,10),(VLOOKUP($A204,PriceTable,4,0)+IF(BasisNumber&lt;&gt;1,VLOOKUP($A204,BasisTable,2,0),0)+K$1)/(1-K$2))</f>
        <v>56.148012032876686</v>
      </c>
      <c r="L204" s="474">
        <f>IF(Assumptions!$L$25=4,VLOOKUP($A204,'Henwood Reference'!$E$9:$R$320,10),(VLOOKUP($A204,PriceTableWeekend,2,0)+IF(BasisNumber&lt;&gt;1,VLOOKUP($A204,BasisTable,2,0),0)+L$1)/(1-L$2))</f>
        <v>56.148012032876686</v>
      </c>
      <c r="M204" s="154">
        <f>IF(Assumptions!$L$25=4,VLOOKUP($A204,'Henwood Reference'!$E$9:$R$320,10),(VLOOKUP($A204,PriceTableWeekend,3,0)+IF(BasisNumber&lt;&gt;1,VLOOKUP($A204,BasisTable,2,0),0)+M$1)/(1-M$2))</f>
        <v>56.148012032876686</v>
      </c>
      <c r="N204" s="156">
        <f>IF(Assumptions!$L$25=4,VLOOKUP($A204,'Henwood Reference'!$E$9:$R$320,10),(VLOOKUP($A204,PriceTableWeekend,4,0)+IF(BasisNumber&lt;&gt;1,VLOOKUP($A204,BasisTable,2,0),0)+N$1)/(1-N$2))</f>
        <v>56.148012032876686</v>
      </c>
      <c r="O204" s="154">
        <f>IF(Assumptions!$L$25=4,VLOOKUP($A204,'Henwood Reference'!$E$9:$R$320,11),(VLOOKUP($A204,PriceTableWeekend,6,0)+IF(BasisNumber&lt;&gt;1,VLOOKUP($A204,BasisTable,3,0),0)+O$1)/(1-O$2))</f>
        <v>34.552074089293868</v>
      </c>
      <c r="P204" s="154">
        <f>IF(Assumptions!$L$25=4,VLOOKUP($A204,'Henwood Reference'!$E$9:$R$320,11),(VLOOKUP($A204,PriceTableWeekend,7,0)+IF(BasisNumber&lt;&gt;1,VLOOKUP($A204,BasisTable,3,0),0)+P$1)/(1-P$2))</f>
        <v>34.552074089293868</v>
      </c>
      <c r="Q204" s="156">
        <f>IF(Assumptions!$L$25=4,VLOOKUP($A204,'Henwood Reference'!$E$9:$R$320,11),(VLOOKUP($A204,PriceTableWeekend,8,0)+IF(BasisNumber&lt;&gt;1,VLOOKUP($A204,BasisTable,3,0),0)+Q$1)/(1-Q$2))</f>
        <v>34.552074089293868</v>
      </c>
      <c r="R204" s="154">
        <f>IF(Assumptions!$L$25=4,VLOOKUP($A204,'Henwood Reference'!$E$9:$R$320,11),(VLOOKUP($A204,PriceTable,6,0)+IF(BasisNumber&lt;&gt;1,VLOOKUP($A204,BasisTable,3,0),0)+R$1)/(1-R$2))</f>
        <v>34.552074089293868</v>
      </c>
      <c r="S204" s="154">
        <f>IF(Assumptions!$L$25=4,VLOOKUP($A204,'Henwood Reference'!$E$9:$R$320,11),(VLOOKUP($A204,PriceTable,7,0)+IF(BasisNumber&lt;&gt;1,VLOOKUP($A204,BasisTable,3,0),0)+S$1)/(1-S$2))</f>
        <v>34.552074089293868</v>
      </c>
      <c r="T204" s="155">
        <f>IF(Assumptions!$L$25=4,VLOOKUP($A204,'Henwood Reference'!$E$9:$R$320,11),(VLOOKUP($A204,PriceTable,8,0)+IF(BasisNumber&lt;&gt;1,VLOOKUP($A204,BasisTable,3,0),0)+T$1)/(1-T$2))</f>
        <v>34.552074089293868</v>
      </c>
      <c r="U204" s="173">
        <f t="shared" si="469"/>
        <v>9.4999999999999932E-2</v>
      </c>
      <c r="V204" s="173">
        <f t="shared" si="470"/>
        <v>0.105</v>
      </c>
      <c r="W204" s="174">
        <f t="shared" si="471"/>
        <v>0.115</v>
      </c>
      <c r="X204" s="173">
        <f t="shared" si="472"/>
        <v>9.4999999999999932E-2</v>
      </c>
      <c r="Y204" s="173">
        <f t="shared" si="473"/>
        <v>0.105</v>
      </c>
      <c r="Z204" s="174">
        <f t="shared" si="474"/>
        <v>0.115</v>
      </c>
      <c r="AA204" s="173">
        <f t="shared" si="475"/>
        <v>0.09</v>
      </c>
      <c r="AB204" s="173">
        <f t="shared" si="476"/>
        <v>0.11</v>
      </c>
      <c r="AC204" s="174">
        <f t="shared" si="477"/>
        <v>0.13</v>
      </c>
      <c r="AD204" s="173">
        <f t="shared" si="478"/>
        <v>0.09</v>
      </c>
      <c r="AE204" s="173">
        <f t="shared" si="479"/>
        <v>0.11</v>
      </c>
      <c r="AF204" s="174">
        <f t="shared" si="480"/>
        <v>0.13</v>
      </c>
      <c r="AG204" s="173">
        <f t="shared" si="481"/>
        <v>-0.25</v>
      </c>
      <c r="AH204" s="173">
        <f t="shared" si="482"/>
        <v>0.6</v>
      </c>
      <c r="AI204" s="174">
        <f t="shared" si="483"/>
        <v>0.25</v>
      </c>
      <c r="AJ204" s="173">
        <f t="shared" si="484"/>
        <v>-0.25</v>
      </c>
      <c r="AK204" s="173">
        <f t="shared" si="485"/>
        <v>0.6</v>
      </c>
      <c r="AL204" s="174">
        <f t="shared" si="486"/>
        <v>0.25</v>
      </c>
      <c r="AM204" s="173">
        <f t="shared" si="487"/>
        <v>-0.01</v>
      </c>
      <c r="AN204" s="173">
        <f t="shared" si="488"/>
        <v>0.16</v>
      </c>
      <c r="AO204" s="174">
        <f t="shared" si="489"/>
        <v>0.01</v>
      </c>
      <c r="AP204" s="173">
        <f t="shared" si="490"/>
        <v>-0.01</v>
      </c>
      <c r="AQ204" s="173">
        <f t="shared" si="491"/>
        <v>0.16</v>
      </c>
      <c r="AR204" s="175">
        <f t="shared" si="492"/>
        <v>0.01</v>
      </c>
      <c r="AS204" s="521">
        <f t="shared" si="576"/>
        <v>0.5</v>
      </c>
      <c r="AT204" s="349">
        <f t="shared" si="574"/>
        <v>22</v>
      </c>
      <c r="AU204" s="159">
        <f t="shared" si="411"/>
        <v>4</v>
      </c>
      <c r="AV204" s="159">
        <f t="shared" si="412"/>
        <v>4</v>
      </c>
      <c r="AW204" s="159">
        <f t="shared" si="577"/>
        <v>1</v>
      </c>
      <c r="AX204" s="15">
        <f t="shared" si="575"/>
        <v>31</v>
      </c>
      <c r="AY204" s="607">
        <f>IF(E204="",0,MIN((1-(1-VLOOKUP(B204,MAIN!$AA$7:$AM$28,C204+1))*(1-VLOOKUP(B204,MAIN!$AA$33:$AM$54,C204+1))),1))</f>
        <v>3.0000000000000027E-2</v>
      </c>
      <c r="AZ204" s="337">
        <v>51216</v>
      </c>
      <c r="BA204" s="509">
        <v>9312</v>
      </c>
      <c r="BB204" s="509">
        <v>11640</v>
      </c>
      <c r="BC204" s="511">
        <v>36084</v>
      </c>
      <c r="BD204" s="153">
        <v>0.97</v>
      </c>
      <c r="BE204" s="474">
        <v>0.97</v>
      </c>
      <c r="BF204" s="474">
        <v>0.97</v>
      </c>
      <c r="BG204" s="515">
        <v>0.97</v>
      </c>
      <c r="BH204" s="262">
        <v>204864</v>
      </c>
      <c r="BI204" s="509">
        <v>37248</v>
      </c>
      <c r="BJ204" s="509">
        <v>46560</v>
      </c>
      <c r="BK204" s="511">
        <v>144336</v>
      </c>
      <c r="BL204" s="153">
        <v>0.97</v>
      </c>
      <c r="BM204" s="474">
        <v>0.97</v>
      </c>
      <c r="BN204" s="474">
        <v>0.97</v>
      </c>
      <c r="BO204" s="474">
        <v>0.97</v>
      </c>
      <c r="BP204" s="261">
        <f t="shared" si="495"/>
        <v>72168</v>
      </c>
      <c r="BQ204" s="578">
        <f t="shared" si="496"/>
        <v>108252</v>
      </c>
      <c r="BR204" s="259">
        <f t="shared" si="497"/>
        <v>288672</v>
      </c>
      <c r="BS204" s="578">
        <f t="shared" si="498"/>
        <v>433008</v>
      </c>
      <c r="BT204" s="216">
        <f t="shared" si="499"/>
        <v>15.630390143737166</v>
      </c>
      <c r="BU204" s="218">
        <f t="shared" si="414"/>
        <v>56.148012032876686</v>
      </c>
      <c r="BV204" s="216">
        <f t="shared" si="415"/>
        <v>56.148012032876686</v>
      </c>
      <c r="BW204" s="216">
        <f t="shared" si="416"/>
        <v>34.552074089293868</v>
      </c>
      <c r="BX204" s="216">
        <f t="shared" si="500"/>
        <v>34.552074089293868</v>
      </c>
      <c r="BY204" s="216">
        <f t="shared" si="417"/>
        <v>52.664796235524619</v>
      </c>
      <c r="BZ204" s="216">
        <f t="shared" si="418"/>
        <v>46.62722218678104</v>
      </c>
      <c r="CA204" s="264">
        <f t="shared" si="419"/>
        <v>56.148012032876686</v>
      </c>
      <c r="CB204" s="216">
        <f t="shared" si="420"/>
        <v>56.148012032876686</v>
      </c>
      <c r="CC204" s="216">
        <f t="shared" si="421"/>
        <v>34.552074089293868</v>
      </c>
      <c r="CD204" s="216">
        <f t="shared" si="501"/>
        <v>34.552074089293868</v>
      </c>
      <c r="CE204" s="216">
        <f t="shared" si="422"/>
        <v>52.664796235524619</v>
      </c>
      <c r="CF204" s="571">
        <f t="shared" si="423"/>
        <v>46.62722218678104</v>
      </c>
      <c r="CG204" s="573">
        <f t="shared" si="424"/>
        <v>0.105</v>
      </c>
      <c r="CH204" s="219">
        <f t="shared" si="425"/>
        <v>0.105</v>
      </c>
      <c r="CI204" s="219">
        <f t="shared" si="426"/>
        <v>0.11</v>
      </c>
      <c r="CJ204" s="219">
        <f t="shared" si="427"/>
        <v>0.10553104843446588</v>
      </c>
      <c r="CK204" s="219">
        <f t="shared" si="428"/>
        <v>0.10553104843446588</v>
      </c>
      <c r="CL204" s="219">
        <f t="shared" si="429"/>
        <v>0.11</v>
      </c>
      <c r="CM204" s="219">
        <f t="shared" si="430"/>
        <v>9.62582907019396E-2</v>
      </c>
      <c r="CN204" s="569">
        <f t="shared" si="431"/>
        <v>9.62582907019396E-2</v>
      </c>
      <c r="CO204" s="264">
        <f t="shared" si="514"/>
        <v>27.456535549440389</v>
      </c>
      <c r="CP204" s="216">
        <f t="shared" si="502"/>
        <v>27.456535549440389</v>
      </c>
      <c r="CQ204" s="216">
        <f t="shared" ca="1" si="532"/>
        <v>27.456535549440389</v>
      </c>
      <c r="CR204" s="216">
        <f t="shared" ca="1" si="533"/>
        <v>27.456535549440389</v>
      </c>
      <c r="CS204" s="1626">
        <f t="shared" ca="1" si="534"/>
        <v>27.456535549440392</v>
      </c>
      <c r="CT204" s="216">
        <f t="shared" si="503"/>
        <v>27.456535549440389</v>
      </c>
      <c r="CU204" s="575">
        <f t="shared" si="432"/>
        <v>0.153</v>
      </c>
      <c r="CV204" s="154">
        <f t="shared" si="433"/>
        <v>0.5</v>
      </c>
      <c r="CW204" s="216">
        <f>IF(OR($BQ204,$BS204),SpreadOptPowerMargin,0)*((1+Assumptions!$C$26)^($B204-YEAR(Assumptions!$C$17)))</f>
        <v>2.2828352302125814</v>
      </c>
      <c r="CX204" s="216">
        <f>IF(OR($BQ204,$BS204),SpreadOptPowerMargin,0)*((1+Assumptions!$C$26)^($B204-YEAR(Assumptions!$C$17)))</f>
        <v>2.2828352302125814</v>
      </c>
      <c r="CY204" s="216">
        <f>IF(OR($BQ204,$BS204),SpreadOptPowerMargin,0)*((1+Assumptions!$C$26)^($B204-YEAR(Assumptions!$C$17)))</f>
        <v>2.2828352302125814</v>
      </c>
      <c r="CZ204" s="216">
        <f>IF(OR($BQ204,$BS204),SpreadOptPowerMargin,0)*((1+Assumptions!$C$26)^($B204-YEAR(Assumptions!$C$17)))</f>
        <v>2.2828352302125814</v>
      </c>
      <c r="DA204" s="440">
        <f t="shared" si="434"/>
        <v>2.2828352302125814</v>
      </c>
      <c r="DB204" s="479">
        <f t="shared" si="435"/>
        <v>0.105</v>
      </c>
      <c r="DC204" s="479">
        <f t="shared" si="436"/>
        <v>0.105</v>
      </c>
      <c r="DD204" s="479">
        <f t="shared" si="437"/>
        <v>0.11</v>
      </c>
      <c r="DE204" s="479">
        <f t="shared" si="438"/>
        <v>0.11</v>
      </c>
      <c r="DF204" s="479">
        <f t="shared" si="439"/>
        <v>9.62582907019396E-2</v>
      </c>
      <c r="DG204" s="574">
        <f t="shared" si="440"/>
        <v>9.62582907019396E-2</v>
      </c>
      <c r="DH204" s="216">
        <f t="shared" si="441"/>
        <v>27.439165814931993</v>
      </c>
      <c r="DI204" s="216">
        <f t="shared" si="442"/>
        <v>27.439165814931993</v>
      </c>
      <c r="DJ204" s="216">
        <f t="shared" ca="1" si="535"/>
        <v>9.1369420218783866</v>
      </c>
      <c r="DK204" s="216">
        <f t="shared" ca="1" si="536"/>
        <v>9.1369420218783866</v>
      </c>
      <c r="DL204" s="216">
        <f t="shared" ca="1" si="537"/>
        <v>18.718208719449638</v>
      </c>
      <c r="DM204" s="216"/>
      <c r="DN204" s="216"/>
      <c r="DO204" s="216"/>
      <c r="DP204" s="216"/>
      <c r="DQ204" s="216"/>
      <c r="DR204" s="216"/>
      <c r="DS204" s="216"/>
      <c r="DT204" s="216"/>
      <c r="DU204" s="216"/>
      <c r="DV204" s="216"/>
      <c r="DW204" s="1371">
        <f t="shared" si="443"/>
        <v>9.1369420218783866</v>
      </c>
      <c r="DX204" s="216">
        <f t="shared" si="444"/>
        <v>9.1369420218783866</v>
      </c>
      <c r="DY204" s="440">
        <f t="shared" si="445"/>
        <v>19.370443497564274</v>
      </c>
      <c r="DZ204" s="180">
        <f t="shared" si="446"/>
        <v>1405324.3163775569</v>
      </c>
      <c r="EA204" s="180">
        <f t="shared" si="447"/>
        <v>255513.51206864673</v>
      </c>
      <c r="EB204" s="180">
        <f t="shared" ca="1" si="538"/>
        <v>106354.00513466442</v>
      </c>
      <c r="EC204" s="180">
        <f t="shared" ca="1" si="539"/>
        <v>329697.4159174597</v>
      </c>
      <c r="ED204" s="180">
        <f t="shared" ca="1" si="540"/>
        <v>2026283.5302978621</v>
      </c>
      <c r="EE204" s="581">
        <f t="shared" si="448"/>
        <v>1352544.9704251059</v>
      </c>
      <c r="EF204" s="554">
        <f t="shared" si="449"/>
        <v>245917.26735001925</v>
      </c>
      <c r="EG204" s="554">
        <f t="shared" ca="1" si="541"/>
        <v>56019.866524220059</v>
      </c>
      <c r="EH204" s="554">
        <f t="shared" ca="1" si="542"/>
        <v>173661.5862250822</v>
      </c>
      <c r="EI204" s="561">
        <f t="shared" ca="1" si="450"/>
        <v>1828143.6905244277</v>
      </c>
      <c r="EJ204" s="581">
        <f t="shared" si="504"/>
        <v>52779.345952450996</v>
      </c>
      <c r="EK204" s="554">
        <f t="shared" si="505"/>
        <v>9596.2447186274803</v>
      </c>
      <c r="EL204" s="554">
        <f t="shared" ca="1" si="543"/>
        <v>50334.138610444359</v>
      </c>
      <c r="EM204" s="554">
        <f t="shared" ca="1" si="544"/>
        <v>156035.82969237751</v>
      </c>
      <c r="EN204" s="561">
        <f t="shared" ca="1" si="545"/>
        <v>198139.83977343445</v>
      </c>
      <c r="EO204" s="180">
        <f t="shared" si="451"/>
        <v>5621297.2655102275</v>
      </c>
      <c r="EP204" s="180">
        <f t="shared" si="452"/>
        <v>1022054.0482745869</v>
      </c>
      <c r="EQ204" s="180">
        <f t="shared" si="453"/>
        <v>425416.02053865767</v>
      </c>
      <c r="ER204" s="180">
        <f t="shared" si="454"/>
        <v>1318789.6636698388</v>
      </c>
      <c r="ES204" s="180">
        <f t="shared" si="455"/>
        <v>8387556.9979933109</v>
      </c>
      <c r="ET204" s="1482">
        <f t="shared" ca="1" si="546"/>
        <v>5410179.8817004235</v>
      </c>
      <c r="EU204" s="180">
        <f t="shared" ca="1" si="547"/>
        <v>983669.06940007699</v>
      </c>
      <c r="EV204" s="180">
        <f t="shared" ca="1" si="548"/>
        <v>224079.46609688023</v>
      </c>
      <c r="EW204" s="180">
        <f t="shared" ca="1" si="549"/>
        <v>694646.34490032878</v>
      </c>
      <c r="EX204" s="555">
        <f t="shared" ca="1" si="522"/>
        <v>7312574.7620977089</v>
      </c>
      <c r="EY204" s="180">
        <f t="shared" ca="1" si="550"/>
        <v>211117.38380980399</v>
      </c>
      <c r="EZ204" s="180">
        <f t="shared" ca="1" si="551"/>
        <v>38384.978874509921</v>
      </c>
      <c r="FA204" s="180">
        <f t="shared" ca="1" si="552"/>
        <v>201336.55444177744</v>
      </c>
      <c r="FB204" s="180">
        <f t="shared" ca="1" si="553"/>
        <v>624143.31876951002</v>
      </c>
      <c r="FC204" s="180">
        <f t="shared" ca="1" si="554"/>
        <v>1074982.235895602</v>
      </c>
      <c r="FD204" s="262">
        <f>IF(AX204,IF(VLOOKUP(C204,MAIN!$L$17:$M$28,2)="Yes",VLOOKUP(CALC!B204,MAIN!$H$17:$I$20,2),0),0)</f>
        <v>0</v>
      </c>
      <c r="FE204" s="623">
        <f t="shared" si="456"/>
        <v>0</v>
      </c>
      <c r="FF204" s="535">
        <f t="shared" si="457"/>
        <v>0</v>
      </c>
      <c r="FG204" s="535">
        <f t="shared" si="458"/>
        <v>0</v>
      </c>
      <c r="FH204" s="624">
        <f t="shared" si="459"/>
        <v>0</v>
      </c>
      <c r="FI204" s="632">
        <f>IF(AX204,VLOOKUP(CALC!B204,MAIN!$H$17:$K$20,4),0)</f>
        <v>0</v>
      </c>
      <c r="FJ204" s="535">
        <f t="shared" si="460"/>
        <v>0</v>
      </c>
      <c r="FK204" s="648">
        <f t="shared" si="506"/>
        <v>0</v>
      </c>
      <c r="FL204" s="530">
        <f t="shared" ca="1" si="555"/>
        <v>0</v>
      </c>
      <c r="FM204" s="530">
        <f t="shared" ca="1" si="556"/>
        <v>0</v>
      </c>
      <c r="FN204" s="530">
        <f t="shared" ca="1" si="557"/>
        <v>0</v>
      </c>
      <c r="FO204" s="622">
        <f t="shared" ca="1" si="558"/>
        <v>0</v>
      </c>
      <c r="FP204" s="530">
        <f t="shared" ca="1" si="559"/>
        <v>0</v>
      </c>
      <c r="FQ204" s="530">
        <f t="shared" ca="1" si="560"/>
        <v>0</v>
      </c>
      <c r="FR204" s="530">
        <f t="shared" ca="1" si="561"/>
        <v>0</v>
      </c>
      <c r="FS204" s="625">
        <f t="shared" ca="1" si="562"/>
        <v>0</v>
      </c>
      <c r="FT204" s="640">
        <f ca="1">IF(AND(Assumptions!$H$71="Yes",A204&gt;=Assumptions!$H$72,A204&lt;=Assumptions!$H$73),0,IF(AND($A204&gt;=Assumptions!$C$17,$A204&lt;=Assumptions!$C$18),MAX(AZ204*(1+VLOOKUP($C204,WeatherCapacityAdjustment,2))-FL204,0),0))</f>
        <v>51216</v>
      </c>
      <c r="FU204" s="530">
        <f ca="1">IF(AND(Assumptions!$H$71="Yes",A204&gt;=Assumptions!$H$72,A204&lt;=Assumptions!$H$73),0,IF(AND($A204&gt;=Assumptions!$C$17,$A204&lt;=Assumptions!$C$18),MAX(BA204*(1+VLOOKUP($C204,WeatherCapacityAdjustment,2))-FM204,0),0))</f>
        <v>9312</v>
      </c>
      <c r="FV204" s="530">
        <f ca="1">IF(AND(Assumptions!$H$71="Yes",A204&gt;=Assumptions!$H$72,A204&lt;=Assumptions!$H$73),0,IF(AND($A204&gt;=Assumptions!$C$17,$A204&lt;=Assumptions!$C$18),MAX(BB204*(1+VLOOKUP($C204,WeatherCapacityAdjustment,2))-FN204,0),0))</f>
        <v>11640</v>
      </c>
      <c r="FW204" s="622">
        <f ca="1">IF(AND(Assumptions!$H$71="Yes",A204&gt;=Assumptions!$H$72,A204&lt;=Assumptions!$H$73),0,IF(AND($A204&gt;=Assumptions!$C$17,$A204&lt;=Assumptions!$C$18),MAX(BC204*(1+VLOOKUP($C204,WeatherCapacityAdjustment,3))-FO204,0),0))</f>
        <v>36084</v>
      </c>
      <c r="FX204" s="621">
        <f ca="1">IF(AND(Assumptions!$H$71="Yes",A204&gt;=Assumptions!$H$72,A204&lt;=Assumptions!$H$73),0,IF(ET204&gt;0,MAX(BH204*(1+VLOOKUP($C204,WeatherCapacityAdjustment,2))-FP204,0),0))</f>
        <v>204864</v>
      </c>
      <c r="FY204" s="530">
        <f ca="1">IF(AND(Assumptions!$H$71="Yes",A204&gt;=Assumptions!$H$72,A204&lt;=Assumptions!$H$73),0,IF(EU204&gt;0,MAX(BI204*(1+VLOOKUP($C204,WeatherCapacityAdjustment,3))-FQ204,0),0))</f>
        <v>37248</v>
      </c>
      <c r="FZ204" s="530">
        <f ca="1">IF(AND(Assumptions!$H$71="Yes",A204&gt;=Assumptions!$H$72,A204&lt;=Assumptions!$H$73),0,IF(EV204&gt;0,MAX(BJ204*(1+VLOOKUP($C204,WeatherCapacityAdjustment,2))-FR204,0),0))</f>
        <v>46560</v>
      </c>
      <c r="GA204" s="622">
        <f ca="1">IF(AND(Assumptions!$H$71="Yes",A204&gt;=Assumptions!$H$72,A204&lt;=Assumptions!$H$73),0,IF(EW204&gt;0,MAX(BK204*(1+VLOOKUP($C204,WeatherCapacityAdjustment,2))-FS204,0),0))</f>
        <v>144336</v>
      </c>
      <c r="GB204" s="530">
        <f t="shared" ca="1" si="461"/>
        <v>541260</v>
      </c>
      <c r="GC204" s="545">
        <f t="shared" ca="1" si="462"/>
        <v>46.62722218678104</v>
      </c>
      <c r="GD204" s="530">
        <f t="shared" ca="1" si="563"/>
        <v>25237450.280817106</v>
      </c>
      <c r="GE204" s="1485">
        <f t="shared" ca="1" si="564"/>
        <v>764098.90703999996</v>
      </c>
      <c r="GF204" s="1776">
        <f t="shared" ca="1" si="565"/>
        <v>3056395.6281599998</v>
      </c>
      <c r="GG204" s="545">
        <f t="shared" si="530"/>
        <v>3.8898431327587644</v>
      </c>
      <c r="GH204" s="622">
        <f t="shared" ca="1" si="531"/>
        <v>14861124.431490107</v>
      </c>
      <c r="GI204" s="621">
        <f t="shared" ca="1" si="507"/>
        <v>541260</v>
      </c>
      <c r="GJ204" s="638">
        <f t="shared" si="463"/>
        <v>2.2828352302125814</v>
      </c>
      <c r="GK204" s="625">
        <f t="shared" ca="1" si="513"/>
        <v>1235607.3967048619</v>
      </c>
      <c r="GL204" s="640">
        <f t="shared" ca="1" si="566"/>
        <v>0</v>
      </c>
      <c r="GM204" s="530">
        <f t="shared" ca="1" si="567"/>
        <v>0</v>
      </c>
      <c r="GN204" s="530">
        <f t="shared" ca="1" si="568"/>
        <v>0</v>
      </c>
      <c r="GO204" s="622">
        <f t="shared" ca="1" si="569"/>
        <v>0</v>
      </c>
      <c r="GP204" s="530">
        <f t="shared" ca="1" si="464"/>
        <v>0</v>
      </c>
      <c r="GQ204" s="545">
        <f t="shared" ca="1" si="465"/>
        <v>0</v>
      </c>
      <c r="GR204" s="625">
        <f t="shared" ca="1" si="570"/>
        <v>0</v>
      </c>
      <c r="GS204" s="640">
        <f>IF($A204&gt;=BegDate,Assumptions!$C$56*24*($A205-$A204)*(1-VLOOKUP($B204,MAIN!$AA$7:$AM$28,$C204+1))*(1-VLOOKUP($B204,MAIN!$AA$33:$AM$54,$C204+1)),0)*80/168</f>
        <v>257742.85714285713</v>
      </c>
      <c r="GT204" s="1715">
        <f t="shared" si="508"/>
        <v>56.148012032876686</v>
      </c>
      <c r="GU204" s="1715">
        <f>IF($A204&gt;=BegDate,VLOOKUP($A204,GasTable,13)+Assumptions!$C$58,0)</f>
        <v>3.8898431327587644</v>
      </c>
      <c r="GV204" s="1715">
        <f>GU204*Assumptions!$C$57/1000</f>
        <v>28.201362712501041</v>
      </c>
      <c r="GW204" s="625">
        <f>IF(Assumptions!$C$60="Hourly",MAX(0,GS204*(GT204-GV204)),GS204*(GT204-GV204))</f>
        <v>7203049.2434031051</v>
      </c>
      <c r="GX204" s="640">
        <f>IF($A204&gt;=BegDate,Assumptions!$C$56*24*($A205-$A204)*(1-VLOOKUP($B204,MAIN!$AA$7:$AM$28,$C204+1))*(1-VLOOKUP($B204,MAIN!$AA$33:$AM$54,$C204+1)),0)*16/168</f>
        <v>51548.571428571428</v>
      </c>
      <c r="GY204" s="1715">
        <f t="shared" si="509"/>
        <v>56.148012032876686</v>
      </c>
      <c r="GZ204" s="1715">
        <f>IF($A204&gt;=BegDate,VLOOKUP($A204,GasTable,13)+Assumptions!$C$58,0)</f>
        <v>3.8898431327587644</v>
      </c>
      <c r="HA204" s="1715">
        <f>GZ204*Assumptions!$C$57/1000</f>
        <v>28.201362712501041</v>
      </c>
      <c r="HB204" s="625">
        <f>IF(Assumptions!$C$60="Hourly",MAX(0,GX204*(GY204-HA204)),GX204*(GY204-HA204))</f>
        <v>1440609.848680621</v>
      </c>
      <c r="HC204" s="640">
        <f>IF($A204&gt;=BegDate,Assumptions!$C$56*24*($A205-$A204)*(1-VLOOKUP($B204,MAIN!$AA$7:$AM$28,$C204+1))*(1-VLOOKUP($B204,MAIN!$AA$33:$AM$54,$C204+1)),0)*16/168</f>
        <v>51548.571428571428</v>
      </c>
      <c r="HD204" s="1715">
        <f t="shared" si="510"/>
        <v>34.552074089293868</v>
      </c>
      <c r="HE204" s="1715">
        <f>IF($A204&gt;=BegDate,VLOOKUP($A204,GasTable,13)+Assumptions!$C$58,0)</f>
        <v>3.8898431327587644</v>
      </c>
      <c r="HF204" s="1715">
        <f>HE204*Assumptions!$C$57/1000</f>
        <v>28.201362712501041</v>
      </c>
      <c r="HG204" s="625">
        <f>IF(Assumptions!$C$60="Hourly",MAX(0,HC204*(HD204-HF204)),HC204*(HD204-HF204))</f>
        <v>327370.09902884625</v>
      </c>
      <c r="HH204" s="640">
        <f>IF($A204&gt;=BegDate,Assumptions!$C$56*24*($A205-$A204)*(1-VLOOKUP($B204,MAIN!$AA$7:$AM$28,$C204+1))*(1-VLOOKUP($B204,MAIN!$AA$33:$AM$54,$C204+1)),0)*56/168</f>
        <v>180420</v>
      </c>
      <c r="HI204" s="1715">
        <f t="shared" si="511"/>
        <v>34.552074089293868</v>
      </c>
      <c r="HJ204" s="1715">
        <f>IF($A204&gt;=BegDate,VLOOKUP($A204,GasTable,13)+Assumptions!$C$58,0)</f>
        <v>3.8898431327587644</v>
      </c>
      <c r="HK204" s="1715">
        <f>HJ204*Assumptions!$C$57/1000</f>
        <v>28.201362712501041</v>
      </c>
      <c r="HL204" s="625">
        <f>IF(Assumptions!$C$60="Hourly",MAX(0,HH204*(HI204-HK204)),HH204*(HI204-HK204))</f>
        <v>1145795.3466009619</v>
      </c>
      <c r="HM204" s="640">
        <f>IF(AND(Assumptions!$H$71="Yes",A204&gt;=Assumptions!$H$72,A204&lt;=Assumptions!$H$73),Assumptions!$H$74*Assumptions!$C$9*1000,0)</f>
        <v>0</v>
      </c>
      <c r="HN204" s="530"/>
      <c r="HO204" s="545"/>
      <c r="HP204" s="545"/>
      <c r="HQ204" s="545"/>
      <c r="HR204" s="545"/>
      <c r="HS204" s="545"/>
      <c r="HT204" s="545"/>
      <c r="HU204" s="545"/>
      <c r="HV204" s="545"/>
      <c r="HW204" s="545"/>
      <c r="HX204" s="545"/>
      <c r="HY204" s="545"/>
      <c r="HZ204" s="545"/>
      <c r="IA204" s="545"/>
      <c r="IB204" s="545"/>
      <c r="IC204" s="545"/>
      <c r="ID204" s="545"/>
      <c r="IE204" s="545"/>
      <c r="IF204" s="545"/>
      <c r="IG204" s="545"/>
      <c r="IH204" s="545"/>
      <c r="II204" s="1464"/>
      <c r="IJ204" s="1463"/>
      <c r="IK204" s="1463"/>
    </row>
    <row r="205" spans="1:245">
      <c r="A205" s="177">
        <f t="shared" si="466"/>
        <v>42370</v>
      </c>
      <c r="B205" s="349">
        <f t="shared" si="467"/>
        <v>2016</v>
      </c>
      <c r="C205" s="15">
        <f t="shared" si="571"/>
        <v>1</v>
      </c>
      <c r="D205" s="612">
        <f t="shared" si="468"/>
        <v>42370</v>
      </c>
      <c r="E205" s="609">
        <f t="shared" si="572"/>
        <v>42370</v>
      </c>
      <c r="F205" s="614">
        <f t="shared" si="573"/>
        <v>42400</v>
      </c>
      <c r="G205" s="1349">
        <v>0</v>
      </c>
      <c r="H205" s="152">
        <f t="shared" si="512"/>
        <v>1</v>
      </c>
      <c r="I205" s="154">
        <f>IF(Assumptions!$L$25=4,VLOOKUP($A205,'Henwood Reference'!$E$9:$R$320,10),(VLOOKUP($A205,PriceTable,2,0)+IF(BasisNumber&lt;&gt;1,VLOOKUP($A205,BasisTable,2,0),0)+I$1)/(1-I$2))</f>
        <v>57.606343821287858</v>
      </c>
      <c r="J205" s="154">
        <f>IF(Assumptions!$L$25=4,VLOOKUP($A205,'Henwood Reference'!$E$9:$R$320,10),(VLOOKUP($A205,PriceTable,3,0)+IF(BasisNumber&lt;&gt;1,VLOOKUP($A205,BasisTable,2,0),0)+J$1)/(1-J$2))</f>
        <v>57.606343821287858</v>
      </c>
      <c r="K205" s="154">
        <f>IF(Assumptions!$L$25=4,VLOOKUP($A205,'Henwood Reference'!$E$9:$R$320,10),(VLOOKUP($A205,PriceTable,4,0)+IF(BasisNumber&lt;&gt;1,VLOOKUP($A205,BasisTable,2,0),0)+K$1)/(1-K$2))</f>
        <v>57.606343821287858</v>
      </c>
      <c r="L205" s="474">
        <f>IF(Assumptions!$L$25=4,VLOOKUP($A205,'Henwood Reference'!$E$9:$R$320,10),(VLOOKUP($A205,PriceTableWeekend,2,0)+IF(BasisNumber&lt;&gt;1,VLOOKUP($A205,BasisTable,2,0),0)+L$1)/(1-L$2))</f>
        <v>57.606343821287858</v>
      </c>
      <c r="M205" s="154">
        <f>IF(Assumptions!$L$25=4,VLOOKUP($A205,'Henwood Reference'!$E$9:$R$320,10),(VLOOKUP($A205,PriceTableWeekend,3,0)+IF(BasisNumber&lt;&gt;1,VLOOKUP($A205,BasisTable,2,0),0)+M$1)/(1-M$2))</f>
        <v>57.606343821287858</v>
      </c>
      <c r="N205" s="156">
        <f>IF(Assumptions!$L$25=4,VLOOKUP($A205,'Henwood Reference'!$E$9:$R$320,10),(VLOOKUP($A205,PriceTableWeekend,4,0)+IF(BasisNumber&lt;&gt;1,VLOOKUP($A205,BasisTable,2,0),0)+N$1)/(1-N$2))</f>
        <v>57.606343821287858</v>
      </c>
      <c r="O205" s="154">
        <f>IF(Assumptions!$L$25=4,VLOOKUP($A205,'Henwood Reference'!$E$9:$R$320,11),(VLOOKUP($A205,PriceTableWeekend,6,0)+IF(BasisNumber&lt;&gt;1,VLOOKUP($A205,BasisTable,3,0),0)+O$1)/(1-O$2))</f>
        <v>32.526235382134928</v>
      </c>
      <c r="P205" s="154">
        <f>IF(Assumptions!$L$25=4,VLOOKUP($A205,'Henwood Reference'!$E$9:$R$320,11),(VLOOKUP($A205,PriceTableWeekend,7,0)+IF(BasisNumber&lt;&gt;1,VLOOKUP($A205,BasisTable,3,0),0)+P$1)/(1-P$2))</f>
        <v>32.526235382134928</v>
      </c>
      <c r="Q205" s="156">
        <f>IF(Assumptions!$L$25=4,VLOOKUP($A205,'Henwood Reference'!$E$9:$R$320,11),(VLOOKUP($A205,PriceTableWeekend,8,0)+IF(BasisNumber&lt;&gt;1,VLOOKUP($A205,BasisTable,3,0),0)+Q$1)/(1-Q$2))</f>
        <v>32.526235382134928</v>
      </c>
      <c r="R205" s="154">
        <f>IF(Assumptions!$L$25=4,VLOOKUP($A205,'Henwood Reference'!$E$9:$R$320,11),(VLOOKUP($A205,PriceTable,6,0)+IF(BasisNumber&lt;&gt;1,VLOOKUP($A205,BasisTable,3,0),0)+R$1)/(1-R$2))</f>
        <v>32.526235382134928</v>
      </c>
      <c r="S205" s="154">
        <f>IF(Assumptions!$L$25=4,VLOOKUP($A205,'Henwood Reference'!$E$9:$R$320,11),(VLOOKUP($A205,PriceTable,7,0)+IF(BasisNumber&lt;&gt;1,VLOOKUP($A205,BasisTable,3,0),0)+S$1)/(1-S$2))</f>
        <v>32.526235382134928</v>
      </c>
      <c r="T205" s="155">
        <f>IF(Assumptions!$L$25=4,VLOOKUP($A205,'Henwood Reference'!$E$9:$R$320,11),(VLOOKUP($A205,PriceTable,8,0)+IF(BasisNumber&lt;&gt;1,VLOOKUP($A205,BasisTable,3,0),0)+T$1)/(1-T$2))</f>
        <v>32.526235382134928</v>
      </c>
      <c r="U205" s="173">
        <f t="shared" si="469"/>
        <v>0.09</v>
      </c>
      <c r="V205" s="173">
        <f t="shared" si="470"/>
        <v>0.1</v>
      </c>
      <c r="W205" s="174">
        <f t="shared" si="471"/>
        <v>0.11</v>
      </c>
      <c r="X205" s="173">
        <f t="shared" si="472"/>
        <v>0.09</v>
      </c>
      <c r="Y205" s="173">
        <f t="shared" si="473"/>
        <v>0.1</v>
      </c>
      <c r="Z205" s="174">
        <f t="shared" si="474"/>
        <v>0.11</v>
      </c>
      <c r="AA205" s="173">
        <f t="shared" si="475"/>
        <v>0.09</v>
      </c>
      <c r="AB205" s="173">
        <f t="shared" si="476"/>
        <v>0.11</v>
      </c>
      <c r="AC205" s="174">
        <f t="shared" si="477"/>
        <v>0.13</v>
      </c>
      <c r="AD205" s="173">
        <f t="shared" si="478"/>
        <v>0.09</v>
      </c>
      <c r="AE205" s="173">
        <f t="shared" si="479"/>
        <v>0.11</v>
      </c>
      <c r="AF205" s="174">
        <f t="shared" si="480"/>
        <v>0.13</v>
      </c>
      <c r="AG205" s="173">
        <f t="shared" si="481"/>
        <v>-0.25</v>
      </c>
      <c r="AH205" s="173">
        <f t="shared" si="482"/>
        <v>0.6</v>
      </c>
      <c r="AI205" s="174">
        <f t="shared" si="483"/>
        <v>0.25</v>
      </c>
      <c r="AJ205" s="173">
        <f t="shared" si="484"/>
        <v>-0.25</v>
      </c>
      <c r="AK205" s="173">
        <f t="shared" si="485"/>
        <v>0.6</v>
      </c>
      <c r="AL205" s="174">
        <f t="shared" si="486"/>
        <v>0.25</v>
      </c>
      <c r="AM205" s="173">
        <f t="shared" si="487"/>
        <v>-0.01</v>
      </c>
      <c r="AN205" s="173">
        <f t="shared" si="488"/>
        <v>0.16</v>
      </c>
      <c r="AO205" s="174">
        <f t="shared" si="489"/>
        <v>0.01</v>
      </c>
      <c r="AP205" s="173">
        <f t="shared" si="490"/>
        <v>-0.01</v>
      </c>
      <c r="AQ205" s="173">
        <f t="shared" si="491"/>
        <v>0.16</v>
      </c>
      <c r="AR205" s="175">
        <f t="shared" si="492"/>
        <v>0.01</v>
      </c>
      <c r="AS205" s="521">
        <f t="shared" si="576"/>
        <v>0.5</v>
      </c>
      <c r="AT205" s="349">
        <f t="shared" si="574"/>
        <v>20</v>
      </c>
      <c r="AU205" s="159">
        <f t="shared" si="411"/>
        <v>5</v>
      </c>
      <c r="AV205" s="159">
        <f t="shared" si="412"/>
        <v>5</v>
      </c>
      <c r="AW205" s="159">
        <f t="shared" si="577"/>
        <v>1</v>
      </c>
      <c r="AX205" s="15">
        <f t="shared" si="575"/>
        <v>31</v>
      </c>
      <c r="AY205" s="607">
        <f>IF(E205="",0,MIN((1-(1-VLOOKUP(B205,MAIN!$AA$7:$AM$28,C205+1))*(1-VLOOKUP(B205,MAIN!$AA$33:$AM$54,C205+1))),1))</f>
        <v>3.0000000000000027E-2</v>
      </c>
      <c r="AZ205" s="337">
        <v>46560</v>
      </c>
      <c r="BA205" s="509">
        <v>11640</v>
      </c>
      <c r="BB205" s="509">
        <v>13968</v>
      </c>
      <c r="BC205" s="511">
        <v>36084</v>
      </c>
      <c r="BD205" s="153">
        <v>0.96999999638646839</v>
      </c>
      <c r="BE205" s="474">
        <v>0.96999999638646839</v>
      </c>
      <c r="BF205" s="474">
        <v>0.96999999638646839</v>
      </c>
      <c r="BG205" s="515">
        <v>0.9699999927729368</v>
      </c>
      <c r="BH205" s="262">
        <v>186240</v>
      </c>
      <c r="BI205" s="509">
        <v>46560</v>
      </c>
      <c r="BJ205" s="509">
        <v>55872</v>
      </c>
      <c r="BK205" s="511">
        <v>144336</v>
      </c>
      <c r="BL205" s="153">
        <v>0.96999999638646839</v>
      </c>
      <c r="BM205" s="474">
        <v>0.96999999638646839</v>
      </c>
      <c r="BN205" s="474">
        <v>0.96999999638646839</v>
      </c>
      <c r="BO205" s="474">
        <v>0.9699999927729368</v>
      </c>
      <c r="BP205" s="261">
        <f t="shared" si="495"/>
        <v>72168</v>
      </c>
      <c r="BQ205" s="578">
        <f t="shared" si="496"/>
        <v>108252</v>
      </c>
      <c r="BR205" s="259">
        <f t="shared" si="497"/>
        <v>288672</v>
      </c>
      <c r="BS205" s="578">
        <f t="shared" si="498"/>
        <v>433008</v>
      </c>
      <c r="BT205" s="216">
        <f t="shared" si="499"/>
        <v>15.715263518138261</v>
      </c>
      <c r="BU205" s="218">
        <f t="shared" si="414"/>
        <v>57.606343606687503</v>
      </c>
      <c r="BV205" s="216">
        <f t="shared" si="415"/>
        <v>57.606343606687503</v>
      </c>
      <c r="BW205" s="216">
        <f t="shared" si="416"/>
        <v>32.526235260965258</v>
      </c>
      <c r="BX205" s="216">
        <f t="shared" si="500"/>
        <v>32.526235139795588</v>
      </c>
      <c r="BY205" s="216">
        <f t="shared" si="417"/>
        <v>52.752129088160615</v>
      </c>
      <c r="BZ205" s="216">
        <f t="shared" si="418"/>
        <v>46.010164438705608</v>
      </c>
      <c r="CA205" s="264">
        <f t="shared" si="419"/>
        <v>57.606343606687503</v>
      </c>
      <c r="CB205" s="216">
        <f t="shared" si="420"/>
        <v>57.606343606687503</v>
      </c>
      <c r="CC205" s="216">
        <f t="shared" si="421"/>
        <v>32.526235260965258</v>
      </c>
      <c r="CD205" s="216">
        <f t="shared" si="501"/>
        <v>32.526235139795588</v>
      </c>
      <c r="CE205" s="216">
        <f t="shared" si="422"/>
        <v>52.752129088160615</v>
      </c>
      <c r="CF205" s="571">
        <f t="shared" si="423"/>
        <v>46.010164438705608</v>
      </c>
      <c r="CG205" s="573">
        <f t="shared" si="424"/>
        <v>0.1</v>
      </c>
      <c r="CH205" s="219">
        <f t="shared" si="425"/>
        <v>0.1</v>
      </c>
      <c r="CI205" s="219">
        <f t="shared" si="426"/>
        <v>0.11</v>
      </c>
      <c r="CJ205" s="219">
        <f t="shared" si="427"/>
        <v>0.10120178861481423</v>
      </c>
      <c r="CK205" s="219">
        <f t="shared" si="428"/>
        <v>0.10120178861481423</v>
      </c>
      <c r="CL205" s="219">
        <f t="shared" si="429"/>
        <v>0.11</v>
      </c>
      <c r="CM205" s="219">
        <f t="shared" si="430"/>
        <v>9.3295913157878108E-2</v>
      </c>
      <c r="CN205" s="569">
        <f t="shared" si="431"/>
        <v>9.3295913157878108E-2</v>
      </c>
      <c r="CO205" s="264">
        <f t="shared" si="514"/>
        <v>26.711879394840981</v>
      </c>
      <c r="CP205" s="216">
        <f t="shared" si="502"/>
        <v>26.711879394840981</v>
      </c>
      <c r="CQ205" s="216">
        <f t="shared" ca="1" si="532"/>
        <v>26.711879394840981</v>
      </c>
      <c r="CR205" s="216">
        <f t="shared" ca="1" si="533"/>
        <v>26.711879394840981</v>
      </c>
      <c r="CS205" s="1626">
        <f t="shared" ca="1" si="534"/>
        <v>26.711879394840985</v>
      </c>
      <c r="CT205" s="216">
        <f t="shared" si="503"/>
        <v>26.711879394840981</v>
      </c>
      <c r="CU205" s="575">
        <f t="shared" si="432"/>
        <v>0.153</v>
      </c>
      <c r="CV205" s="154">
        <f t="shared" si="433"/>
        <v>0.5</v>
      </c>
      <c r="CW205" s="216">
        <f>IF(OR($BQ205,$BS205),SpreadOptPowerMargin,0)*((1+Assumptions!$C$26)^($B205-YEAR(Assumptions!$C$17)))</f>
        <v>2.3284919348168329</v>
      </c>
      <c r="CX205" s="216">
        <f>IF(OR($BQ205,$BS205),SpreadOptPowerMargin,0)*((1+Assumptions!$C$26)^($B205-YEAR(Assumptions!$C$17)))</f>
        <v>2.3284919348168329</v>
      </c>
      <c r="CY205" s="216">
        <f>IF(OR($BQ205,$BS205),SpreadOptPowerMargin,0)*((1+Assumptions!$C$26)^($B205-YEAR(Assumptions!$C$17)))</f>
        <v>2.3284919348168329</v>
      </c>
      <c r="CZ205" s="216">
        <f>IF(OR($BQ205,$BS205),SpreadOptPowerMargin,0)*((1+Assumptions!$C$26)^($B205-YEAR(Assumptions!$C$17)))</f>
        <v>2.3284919348168329</v>
      </c>
      <c r="DA205" s="440">
        <f t="shared" si="434"/>
        <v>2.3284919348168329</v>
      </c>
      <c r="DB205" s="479">
        <f t="shared" si="435"/>
        <v>0.1</v>
      </c>
      <c r="DC205" s="479">
        <f t="shared" si="436"/>
        <v>0.1</v>
      </c>
      <c r="DD205" s="479">
        <f t="shared" si="437"/>
        <v>0.11</v>
      </c>
      <c r="DE205" s="479">
        <f t="shared" si="438"/>
        <v>0.11</v>
      </c>
      <c r="DF205" s="479">
        <f t="shared" si="439"/>
        <v>9.3295913157878108E-2</v>
      </c>
      <c r="DG205" s="574">
        <f t="shared" si="440"/>
        <v>9.3295913157878108E-2</v>
      </c>
      <c r="DH205" s="216">
        <f t="shared" si="441"/>
        <v>29.380708209677259</v>
      </c>
      <c r="DI205" s="216">
        <f t="shared" si="442"/>
        <v>29.380708209677259</v>
      </c>
      <c r="DJ205" s="216">
        <f t="shared" ca="1" si="535"/>
        <v>8.0727566235589734</v>
      </c>
      <c r="DK205" s="216">
        <f t="shared" ca="1" si="536"/>
        <v>8.0727565402549821</v>
      </c>
      <c r="DL205" s="216">
        <f t="shared" ca="1" si="537"/>
        <v>18.680763052876301</v>
      </c>
      <c r="DM205" s="216"/>
      <c r="DN205" s="216"/>
      <c r="DO205" s="216"/>
      <c r="DP205" s="216"/>
      <c r="DQ205" s="216"/>
      <c r="DR205" s="216"/>
      <c r="DS205" s="216"/>
      <c r="DT205" s="216"/>
      <c r="DU205" s="216"/>
      <c r="DV205" s="216"/>
      <c r="DW205" s="1371">
        <f t="shared" si="443"/>
        <v>8.0727566235589734</v>
      </c>
      <c r="DX205" s="216">
        <f t="shared" si="444"/>
        <v>8.0727565402549821</v>
      </c>
      <c r="DY205" s="440">
        <f t="shared" si="445"/>
        <v>19.528644545316936</v>
      </c>
      <c r="DZ205" s="180">
        <f t="shared" si="446"/>
        <v>1367965.7742425732</v>
      </c>
      <c r="EA205" s="180">
        <f t="shared" si="447"/>
        <v>341991.4435606433</v>
      </c>
      <c r="EB205" s="180">
        <f t="shared" ca="1" si="538"/>
        <v>112760.26451787174</v>
      </c>
      <c r="EC205" s="180">
        <f t="shared" ca="1" si="539"/>
        <v>291297.34699856077</v>
      </c>
      <c r="ED205" s="180">
        <f t="shared" ca="1" si="540"/>
        <v>2022229.9619999654</v>
      </c>
      <c r="EE205" s="581">
        <f t="shared" si="448"/>
        <v>1330031.6692185025</v>
      </c>
      <c r="EF205" s="554">
        <f t="shared" si="449"/>
        <v>332507.91730462562</v>
      </c>
      <c r="EG205" s="554">
        <f t="shared" ca="1" si="541"/>
        <v>48690.547392502398</v>
      </c>
      <c r="EH205" s="554">
        <f t="shared" ca="1" si="542"/>
        <v>125783.9097250115</v>
      </c>
      <c r="EI205" s="561">
        <f t="shared" ca="1" si="450"/>
        <v>1837014.0436406415</v>
      </c>
      <c r="EJ205" s="581">
        <f t="shared" si="504"/>
        <v>37934.105024070712</v>
      </c>
      <c r="EK205" s="554">
        <f t="shared" si="505"/>
        <v>9483.526256017678</v>
      </c>
      <c r="EL205" s="554">
        <f t="shared" ca="1" si="543"/>
        <v>64069.717125369338</v>
      </c>
      <c r="EM205" s="554">
        <f t="shared" ca="1" si="544"/>
        <v>165513.43727354927</v>
      </c>
      <c r="EN205" s="561">
        <f t="shared" ca="1" si="545"/>
        <v>185215.91835932387</v>
      </c>
      <c r="EO205" s="180">
        <f t="shared" si="451"/>
        <v>5471863.0969702927</v>
      </c>
      <c r="EP205" s="180">
        <f t="shared" si="452"/>
        <v>1367965.7742425732</v>
      </c>
      <c r="EQ205" s="180">
        <f t="shared" si="453"/>
        <v>451041.05807148694</v>
      </c>
      <c r="ER205" s="180">
        <f t="shared" si="454"/>
        <v>1165189.3879942431</v>
      </c>
      <c r="ES205" s="180">
        <f t="shared" si="455"/>
        <v>8456059.3172785956</v>
      </c>
      <c r="ET205" s="1482">
        <f t="shared" ca="1" si="546"/>
        <v>5320126.6768740099</v>
      </c>
      <c r="EU205" s="180">
        <f t="shared" ca="1" si="547"/>
        <v>1330031.6692185025</v>
      </c>
      <c r="EV205" s="180">
        <f t="shared" ca="1" si="548"/>
        <v>194762.18957000959</v>
      </c>
      <c r="EW205" s="180">
        <f t="shared" ca="1" si="549"/>
        <v>503135.638900046</v>
      </c>
      <c r="EX205" s="555">
        <f t="shared" ca="1" si="522"/>
        <v>7348056.1745625688</v>
      </c>
      <c r="EY205" s="180">
        <f t="shared" ca="1" si="550"/>
        <v>151736.42009628285</v>
      </c>
      <c r="EZ205" s="180">
        <f t="shared" ca="1" si="551"/>
        <v>37934.105024070712</v>
      </c>
      <c r="FA205" s="180">
        <f t="shared" ca="1" si="552"/>
        <v>256278.86850147735</v>
      </c>
      <c r="FB205" s="180">
        <f t="shared" ca="1" si="553"/>
        <v>662053.74909419706</v>
      </c>
      <c r="FC205" s="180">
        <f t="shared" ca="1" si="554"/>
        <v>1108003.1427160269</v>
      </c>
      <c r="FD205" s="262">
        <f>IF(AX205,IF(VLOOKUP(C205,MAIN!$L$17:$M$28,2)="Yes",VLOOKUP(CALC!B205,MAIN!$H$17:$I$20,2),0),0)</f>
        <v>0</v>
      </c>
      <c r="FE205" s="623">
        <f t="shared" si="456"/>
        <v>0</v>
      </c>
      <c r="FF205" s="535">
        <f t="shared" si="457"/>
        <v>0</v>
      </c>
      <c r="FG205" s="535">
        <f t="shared" si="458"/>
        <v>0</v>
      </c>
      <c r="FH205" s="624">
        <f t="shared" si="459"/>
        <v>0</v>
      </c>
      <c r="FI205" s="632">
        <f>IF(AX205,VLOOKUP(CALC!B205,MAIN!$H$17:$K$20,4),0)</f>
        <v>0</v>
      </c>
      <c r="FJ205" s="535">
        <f t="shared" si="460"/>
        <v>0</v>
      </c>
      <c r="FK205" s="648">
        <f t="shared" si="506"/>
        <v>0</v>
      </c>
      <c r="FL205" s="530">
        <f t="shared" ca="1" si="555"/>
        <v>0</v>
      </c>
      <c r="FM205" s="530">
        <f t="shared" ca="1" si="556"/>
        <v>0</v>
      </c>
      <c r="FN205" s="530">
        <f t="shared" ca="1" si="557"/>
        <v>0</v>
      </c>
      <c r="FO205" s="622">
        <f t="shared" ca="1" si="558"/>
        <v>0</v>
      </c>
      <c r="FP205" s="530">
        <f t="shared" ca="1" si="559"/>
        <v>0</v>
      </c>
      <c r="FQ205" s="530">
        <f t="shared" ca="1" si="560"/>
        <v>0</v>
      </c>
      <c r="FR205" s="530">
        <f t="shared" ca="1" si="561"/>
        <v>0</v>
      </c>
      <c r="FS205" s="625">
        <f t="shared" ca="1" si="562"/>
        <v>0</v>
      </c>
      <c r="FT205" s="640">
        <f ca="1">IF(AND(Assumptions!$H$71="Yes",A205&gt;=Assumptions!$H$72,A205&lt;=Assumptions!$H$73),0,IF(AND($A205&gt;=Assumptions!$C$17,$A205&lt;=Assumptions!$C$18),MAX(AZ205*(1+VLOOKUP($C205,WeatherCapacityAdjustment,2))-FL205,0),0))</f>
        <v>46560</v>
      </c>
      <c r="FU205" s="530">
        <f ca="1">IF(AND(Assumptions!$H$71="Yes",A205&gt;=Assumptions!$H$72,A205&lt;=Assumptions!$H$73),0,IF(AND($A205&gt;=Assumptions!$C$17,$A205&lt;=Assumptions!$C$18),MAX(BA205*(1+VLOOKUP($C205,WeatherCapacityAdjustment,2))-FM205,0),0))</f>
        <v>11640</v>
      </c>
      <c r="FV205" s="530">
        <f ca="1">IF(AND(Assumptions!$H$71="Yes",A205&gt;=Assumptions!$H$72,A205&lt;=Assumptions!$H$73),0,IF(AND($A205&gt;=Assumptions!$C$17,$A205&lt;=Assumptions!$C$18),MAX(BB205*(1+VLOOKUP($C205,WeatherCapacityAdjustment,2))-FN205,0),0))</f>
        <v>13968</v>
      </c>
      <c r="FW205" s="622">
        <f ca="1">IF(AND(Assumptions!$H$71="Yes",A205&gt;=Assumptions!$H$72,A205&lt;=Assumptions!$H$73),0,IF(AND($A205&gt;=Assumptions!$C$17,$A205&lt;=Assumptions!$C$18),MAX(BC205*(1+VLOOKUP($C205,WeatherCapacityAdjustment,3))-FO205,0),0))</f>
        <v>36084</v>
      </c>
      <c r="FX205" s="621">
        <f ca="1">IF(AND(Assumptions!$H$71="Yes",A205&gt;=Assumptions!$H$72,A205&lt;=Assumptions!$H$73),0,IF(ET205&gt;0,MAX(BH205*(1+VLOOKUP($C205,WeatherCapacityAdjustment,2))-FP205,0),0))</f>
        <v>186240</v>
      </c>
      <c r="FY205" s="530">
        <f ca="1">IF(AND(Assumptions!$H$71="Yes",A205&gt;=Assumptions!$H$72,A205&lt;=Assumptions!$H$73),0,IF(EU205&gt;0,MAX(BI205*(1+VLOOKUP($C205,WeatherCapacityAdjustment,3))-FQ205,0),0))</f>
        <v>46560</v>
      </c>
      <c r="FZ205" s="530">
        <f ca="1">IF(AND(Assumptions!$H$71="Yes",A205&gt;=Assumptions!$H$72,A205&lt;=Assumptions!$H$73),0,IF(EV205&gt;0,MAX(BJ205*(1+VLOOKUP($C205,WeatherCapacityAdjustment,2))-FR205,0),0))</f>
        <v>55872</v>
      </c>
      <c r="GA205" s="622">
        <f ca="1">IF(AND(Assumptions!$H$71="Yes",A205&gt;=Assumptions!$H$72,A205&lt;=Assumptions!$H$73),0,IF(EW205&gt;0,MAX(BK205*(1+VLOOKUP($C205,WeatherCapacityAdjustment,2))-FS205,0),0))</f>
        <v>144336</v>
      </c>
      <c r="GB205" s="530">
        <f t="shared" ca="1" si="461"/>
        <v>541260</v>
      </c>
      <c r="GC205" s="545">
        <f t="shared" ca="1" si="462"/>
        <v>46.010164438705608</v>
      </c>
      <c r="GD205" s="530">
        <f t="shared" ca="1" si="563"/>
        <v>24903461.604093798</v>
      </c>
      <c r="GE205" s="1485">
        <f t="shared" ca="1" si="564"/>
        <v>764417.16792000004</v>
      </c>
      <c r="GF205" s="1776">
        <f t="shared" ca="1" si="565"/>
        <v>3057668.6716800001</v>
      </c>
      <c r="GG205" s="545">
        <f t="shared" si="530"/>
        <v>3.7827700496555923</v>
      </c>
      <c r="GH205" s="622">
        <f t="shared" ca="1" si="531"/>
        <v>14458071.841251628</v>
      </c>
      <c r="GI205" s="621">
        <f t="shared" ca="1" si="507"/>
        <v>541260</v>
      </c>
      <c r="GJ205" s="638">
        <f t="shared" si="463"/>
        <v>2.3284919348168329</v>
      </c>
      <c r="GK205" s="625">
        <f t="shared" ca="1" si="513"/>
        <v>1260319.544638959</v>
      </c>
      <c r="GL205" s="640">
        <f t="shared" ca="1" si="566"/>
        <v>0</v>
      </c>
      <c r="GM205" s="530">
        <f t="shared" ca="1" si="567"/>
        <v>0</v>
      </c>
      <c r="GN205" s="530">
        <f t="shared" ca="1" si="568"/>
        <v>0</v>
      </c>
      <c r="GO205" s="622">
        <f t="shared" ca="1" si="569"/>
        <v>0</v>
      </c>
      <c r="GP205" s="530">
        <f t="shared" ca="1" si="464"/>
        <v>0</v>
      </c>
      <c r="GQ205" s="545">
        <f t="shared" ca="1" si="465"/>
        <v>0</v>
      </c>
      <c r="GR205" s="625">
        <f t="shared" ca="1" si="570"/>
        <v>0</v>
      </c>
      <c r="GS205" s="640">
        <f>IF($A205&gt;=BegDate,Assumptions!$C$56*24*($A206-$A205)*(1-VLOOKUP($B205,MAIN!$AA$7:$AM$28,$C205+1))*(1-VLOOKUP($B205,MAIN!$AA$33:$AM$54,$C205+1)),0)*80/168</f>
        <v>257742.85714285713</v>
      </c>
      <c r="GT205" s="1715">
        <f t="shared" si="508"/>
        <v>57.606343821287858</v>
      </c>
      <c r="GU205" s="1715">
        <f>IF($A205&gt;=BegDate,VLOOKUP($A205,GasTable,13)+Assumptions!$C$58,0)</f>
        <v>3.7827700496555923</v>
      </c>
      <c r="GV205" s="1715">
        <f>GU205*Assumptions!$C$57/1000</f>
        <v>27.425082860003045</v>
      </c>
      <c r="GW205" s="625">
        <f>IF(Assumptions!$C$60="Hourly",MAX(0,GS205*(GT205-GV205)),GS205*(GT205-GV205))</f>
        <v>7779004.4323357223</v>
      </c>
      <c r="GX205" s="640">
        <f>IF($A205&gt;=BegDate,Assumptions!$C$56*24*($A206-$A205)*(1-VLOOKUP($B205,MAIN!$AA$7:$AM$28,$C205+1))*(1-VLOOKUP($B205,MAIN!$AA$33:$AM$54,$C205+1)),0)*16/168</f>
        <v>51548.571428571428</v>
      </c>
      <c r="GY205" s="1715">
        <f t="shared" si="509"/>
        <v>57.606343821287858</v>
      </c>
      <c r="GZ205" s="1715">
        <f>IF($A205&gt;=BegDate,VLOOKUP($A205,GasTable,13)+Assumptions!$C$58,0)</f>
        <v>3.7827700496555923</v>
      </c>
      <c r="HA205" s="1715">
        <f>GZ205*Assumptions!$C$57/1000</f>
        <v>27.425082860003045</v>
      </c>
      <c r="HB205" s="625">
        <f>IF(Assumptions!$C$60="Hourly",MAX(0,GX205*(GY205-HA205)),GX205*(GY205-HA205))</f>
        <v>1555800.8864671446</v>
      </c>
      <c r="HC205" s="640">
        <f>IF($A205&gt;=BegDate,Assumptions!$C$56*24*($A206-$A205)*(1-VLOOKUP($B205,MAIN!$AA$7:$AM$28,$C205+1))*(1-VLOOKUP($B205,MAIN!$AA$33:$AM$54,$C205+1)),0)*16/168</f>
        <v>51548.571428571428</v>
      </c>
      <c r="HD205" s="1715">
        <f t="shared" si="510"/>
        <v>32.526235382134928</v>
      </c>
      <c r="HE205" s="1715">
        <f>IF($A205&gt;=BegDate,VLOOKUP($A205,GasTable,13)+Assumptions!$C$58,0)</f>
        <v>3.7827700496555923</v>
      </c>
      <c r="HF205" s="1715">
        <f>HE205*Assumptions!$C$57/1000</f>
        <v>27.425082860003045</v>
      </c>
      <c r="HG205" s="625">
        <f>IF(Assumptions!$C$60="Hourly",MAX(0,HC205*(HD205-HF205)),HC205*(HD205-HF205))</f>
        <v>262957.12515515269</v>
      </c>
      <c r="HH205" s="640">
        <f>IF($A205&gt;=BegDate,Assumptions!$C$56*24*($A206-$A205)*(1-VLOOKUP($B205,MAIN!$AA$7:$AM$28,$C205+1))*(1-VLOOKUP($B205,MAIN!$AA$33:$AM$54,$C205+1)),0)*56/168</f>
        <v>180420</v>
      </c>
      <c r="HI205" s="1715">
        <f t="shared" si="511"/>
        <v>32.526235382134928</v>
      </c>
      <c r="HJ205" s="1715">
        <f>IF($A205&gt;=BegDate,VLOOKUP($A205,GasTable,13)+Assumptions!$C$58,0)</f>
        <v>3.7827700496555923</v>
      </c>
      <c r="HK205" s="1715">
        <f>HJ205*Assumptions!$C$57/1000</f>
        <v>27.425082860003045</v>
      </c>
      <c r="HL205" s="625">
        <f>IF(Assumptions!$C$60="Hourly",MAX(0,HH205*(HI205-HK205)),HH205*(HI205-HK205))</f>
        <v>920349.9380430344</v>
      </c>
      <c r="HM205" s="640">
        <f>IF(AND(Assumptions!$H$71="Yes",A205&gt;=Assumptions!$H$72,A205&lt;=Assumptions!$H$73),Assumptions!$H$74*Assumptions!$C$9*1000,0)</f>
        <v>0</v>
      </c>
      <c r="HN205" s="530"/>
      <c r="HO205" s="545"/>
      <c r="HP205" s="545"/>
      <c r="HQ205" s="545"/>
      <c r="HR205" s="545"/>
      <c r="HS205" s="545"/>
      <c r="HT205" s="545"/>
      <c r="HU205" s="545"/>
      <c r="HV205" s="545"/>
      <c r="HW205" s="545"/>
      <c r="HX205" s="545"/>
      <c r="HY205" s="545"/>
      <c r="HZ205" s="545"/>
      <c r="IA205" s="545"/>
      <c r="IB205" s="545"/>
      <c r="IC205" s="545"/>
      <c r="ID205" s="545"/>
      <c r="IE205" s="545"/>
      <c r="IF205" s="545"/>
      <c r="IG205" s="545"/>
      <c r="IH205" s="545"/>
      <c r="II205" s="1464"/>
      <c r="IJ205" s="1463"/>
      <c r="IK205" s="1463"/>
    </row>
    <row r="206" spans="1:245">
      <c r="A206" s="177">
        <f t="shared" si="466"/>
        <v>42401</v>
      </c>
      <c r="B206" s="349">
        <f t="shared" si="467"/>
        <v>2016</v>
      </c>
      <c r="C206" s="15">
        <f t="shared" si="571"/>
        <v>2</v>
      </c>
      <c r="D206" s="612" t="str">
        <f t="shared" si="468"/>
        <v/>
      </c>
      <c r="E206" s="609">
        <f t="shared" si="572"/>
        <v>42401</v>
      </c>
      <c r="F206" s="614">
        <f t="shared" si="573"/>
        <v>42429</v>
      </c>
      <c r="G206" s="1349">
        <v>0</v>
      </c>
      <c r="H206" s="152">
        <f t="shared" si="512"/>
        <v>1</v>
      </c>
      <c r="I206" s="154">
        <f>IF(Assumptions!$L$25=4,VLOOKUP($A206,'Henwood Reference'!$E$9:$R$320,10),(VLOOKUP($A206,PriceTable,2,0)+IF(BasisNumber&lt;&gt;1,VLOOKUP($A206,BasisTable,2,0),0)+I$1)/(1-I$2))</f>
        <v>43.697690893021303</v>
      </c>
      <c r="J206" s="154">
        <f>IF(Assumptions!$L$25=4,VLOOKUP($A206,'Henwood Reference'!$E$9:$R$320,10),(VLOOKUP($A206,PriceTable,3,0)+IF(BasisNumber&lt;&gt;1,VLOOKUP($A206,BasisTable,2,0),0)+J$1)/(1-J$2))</f>
        <v>43.697690893021303</v>
      </c>
      <c r="K206" s="154">
        <f>IF(Assumptions!$L$25=4,VLOOKUP($A206,'Henwood Reference'!$E$9:$R$320,10),(VLOOKUP($A206,PriceTable,4,0)+IF(BasisNumber&lt;&gt;1,VLOOKUP($A206,BasisTable,2,0),0)+K$1)/(1-K$2))</f>
        <v>43.697690893021303</v>
      </c>
      <c r="L206" s="474">
        <f>IF(Assumptions!$L$25=4,VLOOKUP($A206,'Henwood Reference'!$E$9:$R$320,10),(VLOOKUP($A206,PriceTableWeekend,2,0)+IF(BasisNumber&lt;&gt;1,VLOOKUP($A206,BasisTable,2,0),0)+L$1)/(1-L$2))</f>
        <v>43.697690893021303</v>
      </c>
      <c r="M206" s="154">
        <f>IF(Assumptions!$L$25=4,VLOOKUP($A206,'Henwood Reference'!$E$9:$R$320,10),(VLOOKUP($A206,PriceTableWeekend,3,0)+IF(BasisNumber&lt;&gt;1,VLOOKUP($A206,BasisTable,2,0),0)+M$1)/(1-M$2))</f>
        <v>43.697690893021303</v>
      </c>
      <c r="N206" s="156">
        <f>IF(Assumptions!$L$25=4,VLOOKUP($A206,'Henwood Reference'!$E$9:$R$320,10),(VLOOKUP($A206,PriceTableWeekend,4,0)+IF(BasisNumber&lt;&gt;1,VLOOKUP($A206,BasisTable,2,0),0)+N$1)/(1-N$2))</f>
        <v>43.697690893021303</v>
      </c>
      <c r="O206" s="154">
        <f>IF(Assumptions!$L$25=4,VLOOKUP($A206,'Henwood Reference'!$E$9:$R$320,11),(VLOOKUP($A206,PriceTableWeekend,6,0)+IF(BasisNumber&lt;&gt;1,VLOOKUP($A206,BasisTable,3,0),0)+O$1)/(1-O$2))</f>
        <v>27.546592515489237</v>
      </c>
      <c r="P206" s="154">
        <f>IF(Assumptions!$L$25=4,VLOOKUP($A206,'Henwood Reference'!$E$9:$R$320,11),(VLOOKUP($A206,PriceTableWeekend,7,0)+IF(BasisNumber&lt;&gt;1,VLOOKUP($A206,BasisTable,3,0),0)+P$1)/(1-P$2))</f>
        <v>27.546592515489237</v>
      </c>
      <c r="Q206" s="156">
        <f>IF(Assumptions!$L$25=4,VLOOKUP($A206,'Henwood Reference'!$E$9:$R$320,11),(VLOOKUP($A206,PriceTableWeekend,8,0)+IF(BasisNumber&lt;&gt;1,VLOOKUP($A206,BasisTable,3,0),0)+Q$1)/(1-Q$2))</f>
        <v>27.546592515489237</v>
      </c>
      <c r="R206" s="154">
        <f>IF(Assumptions!$L$25=4,VLOOKUP($A206,'Henwood Reference'!$E$9:$R$320,11),(VLOOKUP($A206,PriceTable,6,0)+IF(BasisNumber&lt;&gt;1,VLOOKUP($A206,BasisTable,3,0),0)+R$1)/(1-R$2))</f>
        <v>27.546592515489237</v>
      </c>
      <c r="S206" s="154">
        <f>IF(Assumptions!$L$25=4,VLOOKUP($A206,'Henwood Reference'!$E$9:$R$320,11),(VLOOKUP($A206,PriceTable,7,0)+IF(BasisNumber&lt;&gt;1,VLOOKUP($A206,BasisTable,3,0),0)+S$1)/(1-S$2))</f>
        <v>27.546592515489237</v>
      </c>
      <c r="T206" s="155">
        <f>IF(Assumptions!$L$25=4,VLOOKUP($A206,'Henwood Reference'!$E$9:$R$320,11),(VLOOKUP($A206,PriceTable,8,0)+IF(BasisNumber&lt;&gt;1,VLOOKUP($A206,BasisTable,3,0),0)+T$1)/(1-T$2))</f>
        <v>27.546592515489237</v>
      </c>
      <c r="U206" s="173">
        <f t="shared" si="469"/>
        <v>0.09</v>
      </c>
      <c r="V206" s="173">
        <f t="shared" si="470"/>
        <v>0.1</v>
      </c>
      <c r="W206" s="174">
        <f t="shared" si="471"/>
        <v>0.11</v>
      </c>
      <c r="X206" s="173">
        <f t="shared" si="472"/>
        <v>0.09</v>
      </c>
      <c r="Y206" s="173">
        <f t="shared" si="473"/>
        <v>0.1</v>
      </c>
      <c r="Z206" s="174">
        <f t="shared" si="474"/>
        <v>0.11</v>
      </c>
      <c r="AA206" s="173">
        <f t="shared" si="475"/>
        <v>0.09</v>
      </c>
      <c r="AB206" s="173">
        <f t="shared" si="476"/>
        <v>0.11</v>
      </c>
      <c r="AC206" s="174">
        <f t="shared" si="477"/>
        <v>0.13</v>
      </c>
      <c r="AD206" s="173">
        <f t="shared" si="478"/>
        <v>0.09</v>
      </c>
      <c r="AE206" s="173">
        <f t="shared" si="479"/>
        <v>0.11</v>
      </c>
      <c r="AF206" s="174">
        <f t="shared" si="480"/>
        <v>0.13</v>
      </c>
      <c r="AG206" s="173">
        <f t="shared" si="481"/>
        <v>-0.25</v>
      </c>
      <c r="AH206" s="173">
        <f t="shared" si="482"/>
        <v>0.65</v>
      </c>
      <c r="AI206" s="174">
        <f t="shared" si="483"/>
        <v>0.25</v>
      </c>
      <c r="AJ206" s="173">
        <f t="shared" si="484"/>
        <v>-0.25</v>
      </c>
      <c r="AK206" s="173">
        <f t="shared" si="485"/>
        <v>0.65</v>
      </c>
      <c r="AL206" s="174">
        <f t="shared" si="486"/>
        <v>0.25</v>
      </c>
      <c r="AM206" s="173">
        <f t="shared" si="487"/>
        <v>-0.01</v>
      </c>
      <c r="AN206" s="173">
        <f t="shared" si="488"/>
        <v>0.16</v>
      </c>
      <c r="AO206" s="174">
        <f t="shared" si="489"/>
        <v>0.01</v>
      </c>
      <c r="AP206" s="173">
        <f t="shared" si="490"/>
        <v>-0.01</v>
      </c>
      <c r="AQ206" s="173">
        <f t="shared" si="491"/>
        <v>0.16</v>
      </c>
      <c r="AR206" s="175">
        <f t="shared" si="492"/>
        <v>0.01</v>
      </c>
      <c r="AS206" s="521">
        <f t="shared" si="576"/>
        <v>0.5</v>
      </c>
      <c r="AT206" s="349">
        <f t="shared" si="574"/>
        <v>21</v>
      </c>
      <c r="AU206" s="159">
        <f t="shared" si="411"/>
        <v>4</v>
      </c>
      <c r="AV206" s="159">
        <f t="shared" si="412"/>
        <v>4</v>
      </c>
      <c r="AW206" s="159">
        <f t="shared" si="577"/>
        <v>0</v>
      </c>
      <c r="AX206" s="15">
        <f t="shared" si="575"/>
        <v>29</v>
      </c>
      <c r="AY206" s="607">
        <f>IF(E206="",0,MIN((1-(1-VLOOKUP(B206,MAIN!$AA$7:$AM$28,C206+1))*(1-VLOOKUP(B206,MAIN!$AA$33:$AM$54,C206+1))),1))</f>
        <v>3.0000000000000027E-2</v>
      </c>
      <c r="AZ206" s="337">
        <v>48888</v>
      </c>
      <c r="BA206" s="509">
        <v>9312</v>
      </c>
      <c r="BB206" s="509">
        <v>9312</v>
      </c>
      <c r="BC206" s="511">
        <v>33756</v>
      </c>
      <c r="BD206" s="153">
        <v>0.97</v>
      </c>
      <c r="BE206" s="474">
        <v>0.97</v>
      </c>
      <c r="BF206" s="474">
        <v>0.97</v>
      </c>
      <c r="BG206" s="515">
        <v>0.9699999927729368</v>
      </c>
      <c r="BH206" s="262">
        <v>195552</v>
      </c>
      <c r="BI206" s="509">
        <v>37248</v>
      </c>
      <c r="BJ206" s="509">
        <v>37248</v>
      </c>
      <c r="BK206" s="511">
        <v>135024</v>
      </c>
      <c r="BL206" s="153">
        <v>0.97</v>
      </c>
      <c r="BM206" s="474">
        <v>0.97</v>
      </c>
      <c r="BN206" s="474">
        <v>0.97</v>
      </c>
      <c r="BO206" s="474">
        <v>0.9699999927729368</v>
      </c>
      <c r="BP206" s="261">
        <f t="shared" si="495"/>
        <v>67512</v>
      </c>
      <c r="BQ206" s="578">
        <f t="shared" si="496"/>
        <v>101268</v>
      </c>
      <c r="BR206" s="259">
        <f t="shared" si="497"/>
        <v>270048</v>
      </c>
      <c r="BS206" s="578">
        <f t="shared" si="498"/>
        <v>405072</v>
      </c>
      <c r="BT206" s="216">
        <f t="shared" si="499"/>
        <v>15.800136892539356</v>
      </c>
      <c r="BU206" s="218">
        <f t="shared" si="414"/>
        <v>43.697690893021303</v>
      </c>
      <c r="BV206" s="216">
        <f t="shared" si="415"/>
        <v>43.697690893021303</v>
      </c>
      <c r="BW206" s="216">
        <f t="shared" si="416"/>
        <v>27.546592515489237</v>
      </c>
      <c r="BX206" s="216">
        <f t="shared" si="500"/>
        <v>27.546592310251132</v>
      </c>
      <c r="BY206" s="216">
        <f t="shared" si="417"/>
        <v>41.469953185775502</v>
      </c>
      <c r="BZ206" s="216">
        <f t="shared" si="418"/>
        <v>36.828832893934049</v>
      </c>
      <c r="CA206" s="264">
        <f t="shared" si="419"/>
        <v>43.697690893021303</v>
      </c>
      <c r="CB206" s="216">
        <f t="shared" si="420"/>
        <v>43.697690893021303</v>
      </c>
      <c r="CC206" s="216">
        <f t="shared" si="421"/>
        <v>27.546592515489237</v>
      </c>
      <c r="CD206" s="216">
        <f t="shared" si="501"/>
        <v>27.546592310251132</v>
      </c>
      <c r="CE206" s="216">
        <f t="shared" si="422"/>
        <v>41.469953185775502</v>
      </c>
      <c r="CF206" s="571">
        <f t="shared" si="423"/>
        <v>36.828832893934049</v>
      </c>
      <c r="CG206" s="573">
        <f t="shared" si="424"/>
        <v>0.1</v>
      </c>
      <c r="CH206" s="219">
        <f t="shared" si="425"/>
        <v>0.1</v>
      </c>
      <c r="CI206" s="219">
        <f t="shared" si="426"/>
        <v>0.11</v>
      </c>
      <c r="CJ206" s="219">
        <f t="shared" si="427"/>
        <v>0.10092288029197971</v>
      </c>
      <c r="CK206" s="219">
        <f t="shared" si="428"/>
        <v>0.10092288029197971</v>
      </c>
      <c r="CL206" s="219">
        <f t="shared" si="429"/>
        <v>0.11</v>
      </c>
      <c r="CM206" s="219">
        <f t="shared" si="430"/>
        <v>9.2811958347354465E-2</v>
      </c>
      <c r="CN206" s="569">
        <f t="shared" si="431"/>
        <v>9.2811958347354465E-2</v>
      </c>
      <c r="CO206" s="264">
        <f t="shared" si="514"/>
        <v>24.640375722098685</v>
      </c>
      <c r="CP206" s="216">
        <f t="shared" si="502"/>
        <v>24.640375722098685</v>
      </c>
      <c r="CQ206" s="216">
        <f t="shared" ca="1" si="532"/>
        <v>24.640375722098685</v>
      </c>
      <c r="CR206" s="216">
        <f t="shared" ca="1" si="533"/>
        <v>24.640375722098685</v>
      </c>
      <c r="CS206" s="1626">
        <f t="shared" ca="1" si="534"/>
        <v>24.640375722098685</v>
      </c>
      <c r="CT206" s="216">
        <f t="shared" si="503"/>
        <v>24.640375722098685</v>
      </c>
      <c r="CU206" s="575">
        <f t="shared" si="432"/>
        <v>0.152</v>
      </c>
      <c r="CV206" s="154">
        <f t="shared" si="433"/>
        <v>0.5</v>
      </c>
      <c r="CW206" s="216">
        <f>IF(OR($BQ206,$BS206),SpreadOptPowerMargin,0)*((1+Assumptions!$C$26)^($B206-YEAR(Assumptions!$C$17)))</f>
        <v>2.3284919348168329</v>
      </c>
      <c r="CX206" s="216">
        <f>IF(OR($BQ206,$BS206),SpreadOptPowerMargin,0)*((1+Assumptions!$C$26)^($B206-YEAR(Assumptions!$C$17)))</f>
        <v>2.3284919348168329</v>
      </c>
      <c r="CY206" s="216">
        <f>IF(OR($BQ206,$BS206),SpreadOptPowerMargin,0)*((1+Assumptions!$C$26)^($B206-YEAR(Assumptions!$C$17)))</f>
        <v>2.3284919348168329</v>
      </c>
      <c r="CZ206" s="216">
        <f>IF(OR($BQ206,$BS206),SpreadOptPowerMargin,0)*((1+Assumptions!$C$26)^($B206-YEAR(Assumptions!$C$17)))</f>
        <v>2.3284919348168329</v>
      </c>
      <c r="DA206" s="440">
        <f t="shared" si="434"/>
        <v>2.3284919348168329</v>
      </c>
      <c r="DB206" s="479">
        <f t="shared" si="435"/>
        <v>0.1</v>
      </c>
      <c r="DC206" s="479">
        <f t="shared" si="436"/>
        <v>0.1</v>
      </c>
      <c r="DD206" s="479">
        <f t="shared" si="437"/>
        <v>0.11</v>
      </c>
      <c r="DE206" s="479">
        <f t="shared" si="438"/>
        <v>0.11</v>
      </c>
      <c r="DF206" s="479">
        <f t="shared" si="439"/>
        <v>9.2811958347354465E-2</v>
      </c>
      <c r="DG206" s="574">
        <f t="shared" si="440"/>
        <v>9.2811958347354465E-2</v>
      </c>
      <c r="DH206" s="216">
        <f t="shared" si="441"/>
        <v>18.21874651076762</v>
      </c>
      <c r="DI206" s="216">
        <f t="shared" si="442"/>
        <v>18.21874651076762</v>
      </c>
      <c r="DJ206" s="216">
        <f t="shared" ca="1" si="535"/>
        <v>5.7174978442345843</v>
      </c>
      <c r="DK206" s="216">
        <f t="shared" ca="1" si="536"/>
        <v>5.7174977169046475</v>
      </c>
      <c r="DL206" s="216">
        <f t="shared" ca="1" si="537"/>
        <v>12.287128853695929</v>
      </c>
      <c r="DM206" s="216"/>
      <c r="DN206" s="216"/>
      <c r="DO206" s="216"/>
      <c r="DP206" s="216"/>
      <c r="DQ206" s="216"/>
      <c r="DR206" s="216"/>
      <c r="DS206" s="216"/>
      <c r="DT206" s="216"/>
      <c r="DU206" s="216"/>
      <c r="DV206" s="216"/>
      <c r="DW206" s="1371">
        <f t="shared" si="443"/>
        <v>5.7174978442345843</v>
      </c>
      <c r="DX206" s="216">
        <f t="shared" si="444"/>
        <v>5.7174977169046475</v>
      </c>
      <c r="DY206" s="440">
        <f t="shared" si="445"/>
        <v>12.902123472212557</v>
      </c>
      <c r="DZ206" s="180">
        <f t="shared" si="446"/>
        <v>890678.0794184074</v>
      </c>
      <c r="EA206" s="180">
        <f t="shared" si="447"/>
        <v>169652.96750826808</v>
      </c>
      <c r="EB206" s="180">
        <f t="shared" ca="1" si="538"/>
        <v>53241.339925512446</v>
      </c>
      <c r="EC206" s="180">
        <f t="shared" ca="1" si="539"/>
        <v>192999.85293183327</v>
      </c>
      <c r="ED206" s="180">
        <f t="shared" ca="1" si="540"/>
        <v>1244292.9647560793</v>
      </c>
      <c r="EE206" s="581">
        <f t="shared" si="448"/>
        <v>817838.71036673966</v>
      </c>
      <c r="EF206" s="554">
        <f t="shared" si="449"/>
        <v>155778.80197461709</v>
      </c>
      <c r="EG206" s="554">
        <f t="shared" ca="1" si="541"/>
        <v>5379.7738830384851</v>
      </c>
      <c r="EH206" s="554">
        <f t="shared" ca="1" si="542"/>
        <v>19501.673397997016</v>
      </c>
      <c r="EI206" s="561">
        <f t="shared" ca="1" si="450"/>
        <v>998498.95962239266</v>
      </c>
      <c r="EJ206" s="581">
        <f t="shared" si="504"/>
        <v>72839.369051667745</v>
      </c>
      <c r="EK206" s="554">
        <f t="shared" si="505"/>
        <v>13874.165533650987</v>
      </c>
      <c r="EL206" s="554">
        <f t="shared" ca="1" si="543"/>
        <v>47861.566042473962</v>
      </c>
      <c r="EM206" s="554">
        <f t="shared" ca="1" si="544"/>
        <v>173498.17953383626</v>
      </c>
      <c r="EN206" s="561">
        <f t="shared" ca="1" si="545"/>
        <v>245794.00513368659</v>
      </c>
      <c r="EO206" s="180">
        <f t="shared" si="451"/>
        <v>3562712.3176736296</v>
      </c>
      <c r="EP206" s="180">
        <f t="shared" si="452"/>
        <v>678611.87003307231</v>
      </c>
      <c r="EQ206" s="180">
        <f t="shared" si="453"/>
        <v>212965.35970204978</v>
      </c>
      <c r="ER206" s="180">
        <f t="shared" si="454"/>
        <v>771999.41172733309</v>
      </c>
      <c r="ES206" s="180">
        <f t="shared" si="455"/>
        <v>5226288.9591360847</v>
      </c>
      <c r="ET206" s="1482">
        <f t="shared" ca="1" si="546"/>
        <v>3271354.8414669586</v>
      </c>
      <c r="EU206" s="180">
        <f t="shared" ca="1" si="547"/>
        <v>623115.20789846836</v>
      </c>
      <c r="EV206" s="180">
        <f t="shared" ca="1" si="548"/>
        <v>21519.09553215394</v>
      </c>
      <c r="EW206" s="180">
        <f t="shared" ca="1" si="549"/>
        <v>78006.693591988063</v>
      </c>
      <c r="EX206" s="555">
        <f t="shared" ca="1" si="522"/>
        <v>3993995.8384895688</v>
      </c>
      <c r="EY206" s="180">
        <f t="shared" ca="1" si="550"/>
        <v>291357.47620667098</v>
      </c>
      <c r="EZ206" s="180">
        <f t="shared" ca="1" si="551"/>
        <v>55496.662134603946</v>
      </c>
      <c r="FA206" s="180">
        <f t="shared" ca="1" si="552"/>
        <v>191446.26416989585</v>
      </c>
      <c r="FB206" s="180">
        <f t="shared" ca="1" si="553"/>
        <v>693992.71813534503</v>
      </c>
      <c r="FC206" s="180">
        <f t="shared" ca="1" si="554"/>
        <v>1232293.1206465159</v>
      </c>
      <c r="FD206" s="262">
        <f>IF(AX206,IF(VLOOKUP(C206,MAIN!$L$17:$M$28,2)="Yes",VLOOKUP(CALC!B206,MAIN!$H$17:$I$20,2),0),0)</f>
        <v>0</v>
      </c>
      <c r="FE206" s="623">
        <f t="shared" si="456"/>
        <v>0</v>
      </c>
      <c r="FF206" s="535">
        <f t="shared" si="457"/>
        <v>0</v>
      </c>
      <c r="FG206" s="535">
        <f t="shared" si="458"/>
        <v>0</v>
      </c>
      <c r="FH206" s="624">
        <f t="shared" si="459"/>
        <v>0</v>
      </c>
      <c r="FI206" s="632">
        <f>IF(AX206,VLOOKUP(CALC!B206,MAIN!$H$17:$K$20,4),0)</f>
        <v>0</v>
      </c>
      <c r="FJ206" s="535">
        <f t="shared" si="460"/>
        <v>0</v>
      </c>
      <c r="FK206" s="648">
        <f t="shared" si="506"/>
        <v>0</v>
      </c>
      <c r="FL206" s="530">
        <f t="shared" ca="1" si="555"/>
        <v>0</v>
      </c>
      <c r="FM206" s="530">
        <f t="shared" ca="1" si="556"/>
        <v>0</v>
      </c>
      <c r="FN206" s="530">
        <f t="shared" ca="1" si="557"/>
        <v>0</v>
      </c>
      <c r="FO206" s="622">
        <f t="shared" ca="1" si="558"/>
        <v>0</v>
      </c>
      <c r="FP206" s="530">
        <f t="shared" ca="1" si="559"/>
        <v>0</v>
      </c>
      <c r="FQ206" s="530">
        <f t="shared" ca="1" si="560"/>
        <v>0</v>
      </c>
      <c r="FR206" s="530">
        <f t="shared" ca="1" si="561"/>
        <v>0</v>
      </c>
      <c r="FS206" s="625">
        <f t="shared" ca="1" si="562"/>
        <v>0</v>
      </c>
      <c r="FT206" s="640">
        <f ca="1">IF(AND(Assumptions!$H$71="Yes",A206&gt;=Assumptions!$H$72,A206&lt;=Assumptions!$H$73),0,IF(AND($A206&gt;=Assumptions!$C$17,$A206&lt;=Assumptions!$C$18),MAX(AZ206*(1+VLOOKUP($C206,WeatherCapacityAdjustment,2))-FL206,0),0))</f>
        <v>48888</v>
      </c>
      <c r="FU206" s="530">
        <f ca="1">IF(AND(Assumptions!$H$71="Yes",A206&gt;=Assumptions!$H$72,A206&lt;=Assumptions!$H$73),0,IF(AND($A206&gt;=Assumptions!$C$17,$A206&lt;=Assumptions!$C$18),MAX(BA206*(1+VLOOKUP($C206,WeatherCapacityAdjustment,2))-FM206,0),0))</f>
        <v>9312</v>
      </c>
      <c r="FV206" s="530">
        <f ca="1">IF(AND(Assumptions!$H$71="Yes",A206&gt;=Assumptions!$H$72,A206&lt;=Assumptions!$H$73),0,IF(AND($A206&gt;=Assumptions!$C$17,$A206&lt;=Assumptions!$C$18),MAX(BB206*(1+VLOOKUP($C206,WeatherCapacityAdjustment,2))-FN206,0),0))</f>
        <v>9312</v>
      </c>
      <c r="FW206" s="622">
        <f ca="1">IF(AND(Assumptions!$H$71="Yes",A206&gt;=Assumptions!$H$72,A206&lt;=Assumptions!$H$73),0,IF(AND($A206&gt;=Assumptions!$C$17,$A206&lt;=Assumptions!$C$18),MAX(BC206*(1+VLOOKUP($C206,WeatherCapacityAdjustment,3))-FO206,0),0))</f>
        <v>33756</v>
      </c>
      <c r="FX206" s="621">
        <f ca="1">IF(AND(Assumptions!$H$71="Yes",A206&gt;=Assumptions!$H$72,A206&lt;=Assumptions!$H$73),0,IF(ET206&gt;0,MAX(BH206*(1+VLOOKUP($C206,WeatherCapacityAdjustment,2))-FP206,0),0))</f>
        <v>195552</v>
      </c>
      <c r="FY206" s="530">
        <f ca="1">IF(AND(Assumptions!$H$71="Yes",A206&gt;=Assumptions!$H$72,A206&lt;=Assumptions!$H$73),0,IF(EU206&gt;0,MAX(BI206*(1+VLOOKUP($C206,WeatherCapacityAdjustment,3))-FQ206,0),0))</f>
        <v>37248</v>
      </c>
      <c r="FZ206" s="530">
        <f ca="1">IF(AND(Assumptions!$H$71="Yes",A206&gt;=Assumptions!$H$72,A206&lt;=Assumptions!$H$73),0,IF(EV206&gt;0,MAX(BJ206*(1+VLOOKUP($C206,WeatherCapacityAdjustment,2))-FR206,0),0))</f>
        <v>37248</v>
      </c>
      <c r="GA206" s="622">
        <f ca="1">IF(AND(Assumptions!$H$71="Yes",A206&gt;=Assumptions!$H$72,A206&lt;=Assumptions!$H$73),0,IF(EW206&gt;0,MAX(BK206*(1+VLOOKUP($C206,WeatherCapacityAdjustment,2))-FS206,0),0))</f>
        <v>135024</v>
      </c>
      <c r="GB206" s="530">
        <f t="shared" ca="1" si="461"/>
        <v>506340</v>
      </c>
      <c r="GC206" s="545">
        <f t="shared" ca="1" si="462"/>
        <v>36.828832893934049</v>
      </c>
      <c r="GD206" s="530">
        <f t="shared" ca="1" si="563"/>
        <v>18647911.247514565</v>
      </c>
      <c r="GE206" s="1485">
        <f t="shared" ca="1" si="564"/>
        <v>715397.65920000011</v>
      </c>
      <c r="GF206" s="1776">
        <f t="shared" ca="1" si="565"/>
        <v>2861590.6368000004</v>
      </c>
      <c r="GG206" s="545">
        <f t="shared" si="530"/>
        <v>3.4879644020863316</v>
      </c>
      <c r="GH206" s="622">
        <f t="shared" ca="1" si="531"/>
        <v>12476407.843127448</v>
      </c>
      <c r="GI206" s="621">
        <f t="shared" ca="1" si="507"/>
        <v>506340</v>
      </c>
      <c r="GJ206" s="638">
        <f t="shared" si="463"/>
        <v>2.3284919348168329</v>
      </c>
      <c r="GK206" s="625">
        <f t="shared" ca="1" si="513"/>
        <v>1179008.6062751552</v>
      </c>
      <c r="GL206" s="640">
        <f t="shared" ca="1" si="566"/>
        <v>0</v>
      </c>
      <c r="GM206" s="530">
        <f t="shared" ca="1" si="567"/>
        <v>0</v>
      </c>
      <c r="GN206" s="530">
        <f t="shared" ca="1" si="568"/>
        <v>0</v>
      </c>
      <c r="GO206" s="622">
        <f t="shared" ca="1" si="569"/>
        <v>0</v>
      </c>
      <c r="GP206" s="530">
        <f t="shared" ca="1" si="464"/>
        <v>0</v>
      </c>
      <c r="GQ206" s="545">
        <f t="shared" ca="1" si="465"/>
        <v>0</v>
      </c>
      <c r="GR206" s="625">
        <f t="shared" ca="1" si="570"/>
        <v>0</v>
      </c>
      <c r="GS206" s="640">
        <f>IF($A206&gt;=BegDate,Assumptions!$C$56*24*($A207-$A206)*(1-VLOOKUP($B206,MAIN!$AA$7:$AM$28,$C206+1))*(1-VLOOKUP($B206,MAIN!$AA$33:$AM$54,$C206+1)),0)*80/168</f>
        <v>241114.28571428571</v>
      </c>
      <c r="GT206" s="1715">
        <f t="shared" si="508"/>
        <v>43.697690893021303</v>
      </c>
      <c r="GU206" s="1715">
        <f>IF($A206&gt;=BegDate,VLOOKUP($A206,GasTable,13)+Assumptions!$C$58,0)</f>
        <v>3.4879644020863316</v>
      </c>
      <c r="GV206" s="1715">
        <f>GU206*Assumptions!$C$57/1000</f>
        <v>25.287741915125906</v>
      </c>
      <c r="GW206" s="625">
        <f>IF(Assumptions!$C$60="Hourly",MAX(0,GS206*(GT206-GV206)),GS206*(GT206-GV206))</f>
        <v>4438901.6978416927</v>
      </c>
      <c r="GX206" s="640">
        <f>IF($A206&gt;=BegDate,Assumptions!$C$56*24*($A207-$A206)*(1-VLOOKUP($B206,MAIN!$AA$7:$AM$28,$C206+1))*(1-VLOOKUP($B206,MAIN!$AA$33:$AM$54,$C206+1)),0)*16/168</f>
        <v>48222.857142857145</v>
      </c>
      <c r="GY206" s="1715">
        <f t="shared" si="509"/>
        <v>43.697690893021303</v>
      </c>
      <c r="GZ206" s="1715">
        <f>IF($A206&gt;=BegDate,VLOOKUP($A206,GasTable,13)+Assumptions!$C$58,0)</f>
        <v>3.4879644020863316</v>
      </c>
      <c r="HA206" s="1715">
        <f>GZ206*Assumptions!$C$57/1000</f>
        <v>25.287741915125906</v>
      </c>
      <c r="HB206" s="625">
        <f>IF(Assumptions!$C$60="Hourly",MAX(0,GX206*(GY206-HA206)),GX206*(GY206-HA206))</f>
        <v>887780.33956833859</v>
      </c>
      <c r="HC206" s="640">
        <f>IF($A206&gt;=BegDate,Assumptions!$C$56*24*($A207-$A206)*(1-VLOOKUP($B206,MAIN!$AA$7:$AM$28,$C206+1))*(1-VLOOKUP($B206,MAIN!$AA$33:$AM$54,$C206+1)),0)*16/168</f>
        <v>48222.857142857145</v>
      </c>
      <c r="HD206" s="1715">
        <f t="shared" si="510"/>
        <v>27.546592515489237</v>
      </c>
      <c r="HE206" s="1715">
        <f>IF($A206&gt;=BegDate,VLOOKUP($A206,GasTable,13)+Assumptions!$C$58,0)</f>
        <v>3.4879644020863316</v>
      </c>
      <c r="HF206" s="1715">
        <f>HE206*Assumptions!$C$57/1000</f>
        <v>25.287741915125906</v>
      </c>
      <c r="HG206" s="625">
        <f>IF(Assumptions!$C$60="Hourly",MAX(0,HC206*(HD206-HF206)),HC206*(HD206-HF206))</f>
        <v>108928.22980837802</v>
      </c>
      <c r="HH206" s="640">
        <f>IF($A206&gt;=BegDate,Assumptions!$C$56*24*($A207-$A206)*(1-VLOOKUP($B206,MAIN!$AA$7:$AM$28,$C206+1))*(1-VLOOKUP($B206,MAIN!$AA$33:$AM$54,$C206+1)),0)*56/168</f>
        <v>168780</v>
      </c>
      <c r="HI206" s="1715">
        <f t="shared" si="511"/>
        <v>27.546592515489237</v>
      </c>
      <c r="HJ206" s="1715">
        <f>IF($A206&gt;=BegDate,VLOOKUP($A206,GasTable,13)+Assumptions!$C$58,0)</f>
        <v>3.4879644020863316</v>
      </c>
      <c r="HK206" s="1715">
        <f>HJ206*Assumptions!$C$57/1000</f>
        <v>25.287741915125906</v>
      </c>
      <c r="HL206" s="625">
        <f>IF(Assumptions!$C$60="Hourly",MAX(0,HH206*(HI206-HK206)),HH206*(HI206-HK206))</f>
        <v>381248.80432932306</v>
      </c>
      <c r="HM206" s="640">
        <f>IF(AND(Assumptions!$H$71="Yes",A206&gt;=Assumptions!$H$72,A206&lt;=Assumptions!$H$73),Assumptions!$H$74*Assumptions!$C$9*1000,0)</f>
        <v>0</v>
      </c>
      <c r="HN206" s="530"/>
      <c r="HO206" s="545"/>
      <c r="HP206" s="545"/>
      <c r="HQ206" s="545"/>
      <c r="HR206" s="545"/>
      <c r="HS206" s="545"/>
      <c r="HT206" s="545"/>
      <c r="HU206" s="545"/>
      <c r="HV206" s="545"/>
      <c r="HW206" s="545"/>
      <c r="HX206" s="545"/>
      <c r="HY206" s="545"/>
      <c r="HZ206" s="545"/>
      <c r="IA206" s="545"/>
      <c r="IB206" s="545"/>
      <c r="IC206" s="545"/>
      <c r="ID206" s="545"/>
      <c r="IE206" s="545"/>
      <c r="IF206" s="545"/>
      <c r="IG206" s="545"/>
      <c r="IH206" s="545"/>
      <c r="II206" s="1464"/>
      <c r="IJ206" s="1463"/>
      <c r="IK206" s="1463"/>
    </row>
    <row r="207" spans="1:245">
      <c r="A207" s="177">
        <f t="shared" si="466"/>
        <v>42430</v>
      </c>
      <c r="B207" s="349">
        <f t="shared" si="467"/>
        <v>2016</v>
      </c>
      <c r="C207" s="15">
        <f t="shared" si="571"/>
        <v>3</v>
      </c>
      <c r="D207" s="612" t="str">
        <f t="shared" si="468"/>
        <v/>
      </c>
      <c r="E207" s="609">
        <f t="shared" si="572"/>
        <v>42430</v>
      </c>
      <c r="F207" s="614">
        <f t="shared" si="573"/>
        <v>42460</v>
      </c>
      <c r="G207" s="1349">
        <v>0</v>
      </c>
      <c r="H207" s="152">
        <f t="shared" si="512"/>
        <v>1</v>
      </c>
      <c r="I207" s="154">
        <f>IF(Assumptions!$L$25=4,VLOOKUP($A207,'Henwood Reference'!$E$9:$R$320,10),(VLOOKUP($A207,PriceTable,2,0)+IF(BasisNumber&lt;&gt;1,VLOOKUP($A207,BasisTable,2,0),0)+I$1)/(1-I$2))</f>
        <v>41.48736862925491</v>
      </c>
      <c r="J207" s="154">
        <f>IF(Assumptions!$L$25=4,VLOOKUP($A207,'Henwood Reference'!$E$9:$R$320,10),(VLOOKUP($A207,PriceTable,3,0)+IF(BasisNumber&lt;&gt;1,VLOOKUP($A207,BasisTable,2,0),0)+J$1)/(1-J$2))</f>
        <v>41.48736862925491</v>
      </c>
      <c r="K207" s="154">
        <f>IF(Assumptions!$L$25=4,VLOOKUP($A207,'Henwood Reference'!$E$9:$R$320,10),(VLOOKUP($A207,PriceTable,4,0)+IF(BasisNumber&lt;&gt;1,VLOOKUP($A207,BasisTable,2,0),0)+K$1)/(1-K$2))</f>
        <v>41.48736862925491</v>
      </c>
      <c r="L207" s="474">
        <f>IF(Assumptions!$L$25=4,VLOOKUP($A207,'Henwood Reference'!$E$9:$R$320,10),(VLOOKUP($A207,PriceTableWeekend,2,0)+IF(BasisNumber&lt;&gt;1,VLOOKUP($A207,BasisTable,2,0),0)+L$1)/(1-L$2))</f>
        <v>41.48736862925491</v>
      </c>
      <c r="M207" s="154">
        <f>IF(Assumptions!$L$25=4,VLOOKUP($A207,'Henwood Reference'!$E$9:$R$320,10),(VLOOKUP($A207,PriceTableWeekend,3,0)+IF(BasisNumber&lt;&gt;1,VLOOKUP($A207,BasisTable,2,0),0)+M$1)/(1-M$2))</f>
        <v>41.48736862925491</v>
      </c>
      <c r="N207" s="156">
        <f>IF(Assumptions!$L$25=4,VLOOKUP($A207,'Henwood Reference'!$E$9:$R$320,10),(VLOOKUP($A207,PriceTableWeekend,4,0)+IF(BasisNumber&lt;&gt;1,VLOOKUP($A207,BasisTable,2,0),0)+N$1)/(1-N$2))</f>
        <v>41.48736862925491</v>
      </c>
      <c r="O207" s="154">
        <f>IF(Assumptions!$L$25=4,VLOOKUP($A207,'Henwood Reference'!$E$9:$R$320,11),(VLOOKUP($A207,PriceTableWeekend,6,0)+IF(BasisNumber&lt;&gt;1,VLOOKUP($A207,BasisTable,3,0),0)+O$1)/(1-O$2))</f>
        <v>26.551322879298546</v>
      </c>
      <c r="P207" s="154">
        <f>IF(Assumptions!$L$25=4,VLOOKUP($A207,'Henwood Reference'!$E$9:$R$320,11),(VLOOKUP($A207,PriceTableWeekend,7,0)+IF(BasisNumber&lt;&gt;1,VLOOKUP($A207,BasisTable,3,0),0)+P$1)/(1-P$2))</f>
        <v>26.551322879298546</v>
      </c>
      <c r="Q207" s="156">
        <f>IF(Assumptions!$L$25=4,VLOOKUP($A207,'Henwood Reference'!$E$9:$R$320,11),(VLOOKUP($A207,PriceTableWeekend,8,0)+IF(BasisNumber&lt;&gt;1,VLOOKUP($A207,BasisTable,3,0),0)+Q$1)/(1-Q$2))</f>
        <v>26.551322879298546</v>
      </c>
      <c r="R207" s="154">
        <f>IF(Assumptions!$L$25=4,VLOOKUP($A207,'Henwood Reference'!$E$9:$R$320,11),(VLOOKUP($A207,PriceTable,6,0)+IF(BasisNumber&lt;&gt;1,VLOOKUP($A207,BasisTable,3,0),0)+R$1)/(1-R$2))</f>
        <v>26.551322879298546</v>
      </c>
      <c r="S207" s="154">
        <f>IF(Assumptions!$L$25=4,VLOOKUP($A207,'Henwood Reference'!$E$9:$R$320,11),(VLOOKUP($A207,PriceTable,7,0)+IF(BasisNumber&lt;&gt;1,VLOOKUP($A207,BasisTable,3,0),0)+S$1)/(1-S$2))</f>
        <v>26.551322879298546</v>
      </c>
      <c r="T207" s="155">
        <f>IF(Assumptions!$L$25=4,VLOOKUP($A207,'Henwood Reference'!$E$9:$R$320,11),(VLOOKUP($A207,PriceTable,8,0)+IF(BasisNumber&lt;&gt;1,VLOOKUP($A207,BasisTable,3,0),0)+T$1)/(1-T$2))</f>
        <v>26.551322879298546</v>
      </c>
      <c r="U207" s="173">
        <f t="shared" si="469"/>
        <v>0.09</v>
      </c>
      <c r="V207" s="173">
        <f t="shared" si="470"/>
        <v>0.1</v>
      </c>
      <c r="W207" s="174">
        <f t="shared" si="471"/>
        <v>0.11</v>
      </c>
      <c r="X207" s="173">
        <f t="shared" si="472"/>
        <v>0.09</v>
      </c>
      <c r="Y207" s="173">
        <f t="shared" si="473"/>
        <v>0.1</v>
      </c>
      <c r="Z207" s="174">
        <f t="shared" si="474"/>
        <v>0.11</v>
      </c>
      <c r="AA207" s="173">
        <f t="shared" si="475"/>
        <v>0.09</v>
      </c>
      <c r="AB207" s="173">
        <f t="shared" si="476"/>
        <v>0.11</v>
      </c>
      <c r="AC207" s="174">
        <f t="shared" si="477"/>
        <v>0.13</v>
      </c>
      <c r="AD207" s="173">
        <f t="shared" si="478"/>
        <v>0.09</v>
      </c>
      <c r="AE207" s="173">
        <f t="shared" si="479"/>
        <v>0.11</v>
      </c>
      <c r="AF207" s="174">
        <f t="shared" si="480"/>
        <v>0.13</v>
      </c>
      <c r="AG207" s="173">
        <f t="shared" si="481"/>
        <v>-0.1</v>
      </c>
      <c r="AH207" s="173">
        <f t="shared" si="482"/>
        <v>0.65</v>
      </c>
      <c r="AI207" s="174">
        <f t="shared" si="483"/>
        <v>0.1</v>
      </c>
      <c r="AJ207" s="173">
        <f t="shared" si="484"/>
        <v>-0.1</v>
      </c>
      <c r="AK207" s="173">
        <f t="shared" si="485"/>
        <v>0.65</v>
      </c>
      <c r="AL207" s="174">
        <f t="shared" si="486"/>
        <v>0.1</v>
      </c>
      <c r="AM207" s="173">
        <f t="shared" si="487"/>
        <v>-0.01</v>
      </c>
      <c r="AN207" s="173">
        <f t="shared" si="488"/>
        <v>0.16</v>
      </c>
      <c r="AO207" s="174">
        <f t="shared" si="489"/>
        <v>0.01</v>
      </c>
      <c r="AP207" s="173">
        <f t="shared" si="490"/>
        <v>-0.01</v>
      </c>
      <c r="AQ207" s="173">
        <f t="shared" si="491"/>
        <v>0.16</v>
      </c>
      <c r="AR207" s="175">
        <f t="shared" si="492"/>
        <v>0.01</v>
      </c>
      <c r="AS207" s="521">
        <f t="shared" si="576"/>
        <v>0.5</v>
      </c>
      <c r="AT207" s="349">
        <f t="shared" si="574"/>
        <v>23</v>
      </c>
      <c r="AU207" s="159">
        <f t="shared" si="411"/>
        <v>4</v>
      </c>
      <c r="AV207" s="159">
        <f t="shared" si="412"/>
        <v>4</v>
      </c>
      <c r="AW207" s="159">
        <f t="shared" si="577"/>
        <v>0</v>
      </c>
      <c r="AX207" s="15">
        <f t="shared" si="575"/>
        <v>31</v>
      </c>
      <c r="AY207" s="607">
        <f>IF(E207="",0,MIN((1-(1-VLOOKUP(B207,MAIN!$AA$7:$AM$28,C207+1))*(1-VLOOKUP(B207,MAIN!$AA$33:$AM$54,C207+1))),1))</f>
        <v>3.0000000000000027E-2</v>
      </c>
      <c r="AZ207" s="337">
        <v>53544</v>
      </c>
      <c r="BA207" s="509">
        <v>9312</v>
      </c>
      <c r="BB207" s="509">
        <v>9312</v>
      </c>
      <c r="BC207" s="511">
        <v>36084</v>
      </c>
      <c r="BD207" s="153">
        <v>0.96999999638646839</v>
      </c>
      <c r="BE207" s="474">
        <v>0.96999999638646839</v>
      </c>
      <c r="BF207" s="474">
        <v>0.96999999638646839</v>
      </c>
      <c r="BG207" s="515">
        <v>0.97000000722706314</v>
      </c>
      <c r="BH207" s="262">
        <v>214176</v>
      </c>
      <c r="BI207" s="509">
        <v>37248</v>
      </c>
      <c r="BJ207" s="509">
        <v>37248</v>
      </c>
      <c r="BK207" s="511">
        <v>144336</v>
      </c>
      <c r="BL207" s="153">
        <v>0.96999999638646839</v>
      </c>
      <c r="BM207" s="474">
        <v>0.96999999638646839</v>
      </c>
      <c r="BN207" s="474">
        <v>0.96999999638646839</v>
      </c>
      <c r="BO207" s="474">
        <v>0.97000000722706314</v>
      </c>
      <c r="BP207" s="261">
        <f t="shared" si="495"/>
        <v>72168</v>
      </c>
      <c r="BQ207" s="578">
        <f t="shared" si="496"/>
        <v>108252</v>
      </c>
      <c r="BR207" s="259">
        <f t="shared" si="497"/>
        <v>288672</v>
      </c>
      <c r="BS207" s="578">
        <f t="shared" si="498"/>
        <v>433008</v>
      </c>
      <c r="BT207" s="216">
        <f t="shared" si="499"/>
        <v>15.879534565366187</v>
      </c>
      <c r="BU207" s="218">
        <f t="shared" si="414"/>
        <v>41.487368474702414</v>
      </c>
      <c r="BV207" s="216">
        <f t="shared" si="415"/>
        <v>41.487368474702414</v>
      </c>
      <c r="BW207" s="216">
        <f t="shared" si="416"/>
        <v>26.55132278038716</v>
      </c>
      <c r="BX207" s="216">
        <f t="shared" si="500"/>
        <v>26.551323077121317</v>
      </c>
      <c r="BY207" s="216">
        <f t="shared" si="417"/>
        <v>39.560136772210122</v>
      </c>
      <c r="BZ207" s="216">
        <f t="shared" si="418"/>
        <v>35.223865540513856</v>
      </c>
      <c r="CA207" s="264">
        <f t="shared" si="419"/>
        <v>41.487368474702414</v>
      </c>
      <c r="CB207" s="216">
        <f t="shared" si="420"/>
        <v>41.487368474702414</v>
      </c>
      <c r="CC207" s="216">
        <f t="shared" si="421"/>
        <v>26.55132278038716</v>
      </c>
      <c r="CD207" s="216">
        <f t="shared" si="501"/>
        <v>26.551323077121317</v>
      </c>
      <c r="CE207" s="216">
        <f t="shared" si="422"/>
        <v>39.560136772210122</v>
      </c>
      <c r="CF207" s="571">
        <f t="shared" si="423"/>
        <v>35.223865540513856</v>
      </c>
      <c r="CG207" s="573">
        <f t="shared" si="424"/>
        <v>0.1</v>
      </c>
      <c r="CH207" s="219">
        <f t="shared" si="425"/>
        <v>0.1</v>
      </c>
      <c r="CI207" s="219">
        <f t="shared" si="426"/>
        <v>0.11</v>
      </c>
      <c r="CJ207" s="219">
        <f t="shared" si="427"/>
        <v>0.10087238358114968</v>
      </c>
      <c r="CK207" s="219">
        <f t="shared" si="428"/>
        <v>0.10087238358114968</v>
      </c>
      <c r="CL207" s="219">
        <f t="shared" si="429"/>
        <v>0.11</v>
      </c>
      <c r="CM207" s="219">
        <f t="shared" si="430"/>
        <v>9.2738778072061309E-2</v>
      </c>
      <c r="CN207" s="569">
        <f t="shared" si="431"/>
        <v>9.2738778072061309E-2</v>
      </c>
      <c r="CO207" s="264">
        <f t="shared" si="514"/>
        <v>23.29191410477733</v>
      </c>
      <c r="CP207" s="216">
        <f t="shared" si="502"/>
        <v>23.29191410477733</v>
      </c>
      <c r="CQ207" s="216">
        <f t="shared" ca="1" si="532"/>
        <v>23.29191410477733</v>
      </c>
      <c r="CR207" s="216">
        <f t="shared" ca="1" si="533"/>
        <v>23.29191410477733</v>
      </c>
      <c r="CS207" s="1626">
        <f t="shared" ca="1" si="534"/>
        <v>23.291914104777334</v>
      </c>
      <c r="CT207" s="216">
        <f t="shared" si="503"/>
        <v>23.29191410477733</v>
      </c>
      <c r="CU207" s="575">
        <f t="shared" si="432"/>
        <v>0.152</v>
      </c>
      <c r="CV207" s="154">
        <f t="shared" si="433"/>
        <v>0.5</v>
      </c>
      <c r="CW207" s="216">
        <f>IF(OR($BQ207,$BS207),SpreadOptPowerMargin,0)*((1+Assumptions!$C$26)^($B207-YEAR(Assumptions!$C$17)))</f>
        <v>2.3284919348168329</v>
      </c>
      <c r="CX207" s="216">
        <f>IF(OR($BQ207,$BS207),SpreadOptPowerMargin,0)*((1+Assumptions!$C$26)^($B207-YEAR(Assumptions!$C$17)))</f>
        <v>2.3284919348168329</v>
      </c>
      <c r="CY207" s="216">
        <f>IF(OR($BQ207,$BS207),SpreadOptPowerMargin,0)*((1+Assumptions!$C$26)^($B207-YEAR(Assumptions!$C$17)))</f>
        <v>2.3284919348168329</v>
      </c>
      <c r="CZ207" s="216">
        <f>IF(OR($BQ207,$BS207),SpreadOptPowerMargin,0)*((1+Assumptions!$C$26)^($B207-YEAR(Assumptions!$C$17)))</f>
        <v>2.3284919348168329</v>
      </c>
      <c r="DA207" s="440">
        <f t="shared" si="434"/>
        <v>2.3284919348168325</v>
      </c>
      <c r="DB207" s="479">
        <f t="shared" si="435"/>
        <v>0.1</v>
      </c>
      <c r="DC207" s="479">
        <f t="shared" si="436"/>
        <v>0.1</v>
      </c>
      <c r="DD207" s="479">
        <f t="shared" si="437"/>
        <v>0.11</v>
      </c>
      <c r="DE207" s="479">
        <f t="shared" si="438"/>
        <v>0.11</v>
      </c>
      <c r="DF207" s="479">
        <f t="shared" si="439"/>
        <v>9.2738778072061309E-2</v>
      </c>
      <c r="DG207" s="574">
        <f t="shared" si="440"/>
        <v>9.2738778072061309E-2</v>
      </c>
      <c r="DH207" s="216">
        <f t="shared" si="441"/>
        <v>17.281611442548591</v>
      </c>
      <c r="DI207" s="216">
        <f t="shared" si="442"/>
        <v>17.281611442548591</v>
      </c>
      <c r="DJ207" s="216">
        <f t="shared" ca="1" si="535"/>
        <v>5.6651851433763056</v>
      </c>
      <c r="DK207" s="216">
        <f t="shared" ca="1" si="536"/>
        <v>5.6651853307410907</v>
      </c>
      <c r="DL207" s="216">
        <f t="shared" ca="1" si="537"/>
        <v>11.859264000236715</v>
      </c>
      <c r="DM207" s="216"/>
      <c r="DN207" s="216"/>
      <c r="DO207" s="216"/>
      <c r="DP207" s="216"/>
      <c r="DQ207" s="216"/>
      <c r="DR207" s="216"/>
      <c r="DS207" s="216"/>
      <c r="DT207" s="216"/>
      <c r="DU207" s="216"/>
      <c r="DV207" s="216"/>
      <c r="DW207" s="1371">
        <f t="shared" si="443"/>
        <v>5.6651851433763056</v>
      </c>
      <c r="DX207" s="216">
        <f t="shared" si="444"/>
        <v>5.6651853307410907</v>
      </c>
      <c r="DY207" s="440">
        <f t="shared" si="445"/>
        <v>12.410206927931272</v>
      </c>
      <c r="DZ207" s="180">
        <f t="shared" si="446"/>
        <v>925326.6030798218</v>
      </c>
      <c r="EA207" s="180">
        <f t="shared" si="447"/>
        <v>160926.36575301248</v>
      </c>
      <c r="EB207" s="180">
        <f t="shared" ca="1" si="538"/>
        <v>52754.204055120157</v>
      </c>
      <c r="EC207" s="180">
        <f t="shared" ca="1" si="539"/>
        <v>204422.54747446152</v>
      </c>
      <c r="ED207" s="180">
        <f t="shared" ca="1" si="540"/>
        <v>1283789.0465536248</v>
      </c>
      <c r="EE207" s="581">
        <f t="shared" si="448"/>
        <v>849580.63662543625</v>
      </c>
      <c r="EF207" s="554">
        <f t="shared" si="449"/>
        <v>147753.15419572804</v>
      </c>
      <c r="EG207" s="554">
        <f t="shared" ca="1" si="541"/>
        <v>8668.6966902643999</v>
      </c>
      <c r="EH207" s="554">
        <f t="shared" ca="1" si="542"/>
        <v>33591.210382129881</v>
      </c>
      <c r="EI207" s="561">
        <f t="shared" ca="1" si="450"/>
        <v>1039593.6978935583</v>
      </c>
      <c r="EJ207" s="581">
        <f t="shared" si="504"/>
        <v>75745.966454385547</v>
      </c>
      <c r="EK207" s="554">
        <f t="shared" si="505"/>
        <v>13173.211557284434</v>
      </c>
      <c r="EL207" s="554">
        <f t="shared" ca="1" si="543"/>
        <v>44085.507364855759</v>
      </c>
      <c r="EM207" s="554">
        <f t="shared" ca="1" si="544"/>
        <v>170831.33709233164</v>
      </c>
      <c r="EN207" s="561">
        <f t="shared" ca="1" si="545"/>
        <v>244195.34866006649</v>
      </c>
      <c r="EO207" s="180">
        <f t="shared" si="451"/>
        <v>3701306.4123192872</v>
      </c>
      <c r="EP207" s="180">
        <f t="shared" si="452"/>
        <v>643705.46301204991</v>
      </c>
      <c r="EQ207" s="180">
        <f t="shared" si="453"/>
        <v>211016.81622048063</v>
      </c>
      <c r="ER207" s="180">
        <f t="shared" si="454"/>
        <v>817690.18989784608</v>
      </c>
      <c r="ES207" s="180">
        <f t="shared" si="455"/>
        <v>5373718.881449664</v>
      </c>
      <c r="ET207" s="1482">
        <f t="shared" ca="1" si="546"/>
        <v>3398322.546501745</v>
      </c>
      <c r="EU207" s="180">
        <f t="shared" ca="1" si="547"/>
        <v>591012.61678291217</v>
      </c>
      <c r="EV207" s="180">
        <f t="shared" ca="1" si="548"/>
        <v>34674.7867610576</v>
      </c>
      <c r="EW207" s="180">
        <f t="shared" ca="1" si="549"/>
        <v>134364.84152851952</v>
      </c>
      <c r="EX207" s="555">
        <f t="shared" ca="1" si="522"/>
        <v>4158374.7915742341</v>
      </c>
      <c r="EY207" s="180">
        <f t="shared" ca="1" si="550"/>
        <v>302983.86581754219</v>
      </c>
      <c r="EZ207" s="180">
        <f t="shared" ca="1" si="551"/>
        <v>52692.846229137736</v>
      </c>
      <c r="FA207" s="180">
        <f t="shared" ca="1" si="552"/>
        <v>176342.02945942304</v>
      </c>
      <c r="FB207" s="180">
        <f t="shared" ca="1" si="553"/>
        <v>683325.34836932656</v>
      </c>
      <c r="FC207" s="180">
        <f t="shared" ca="1" si="554"/>
        <v>1215344.0898754299</v>
      </c>
      <c r="FD207" s="262">
        <f>IF(AX207,IF(VLOOKUP(C207,MAIN!$L$17:$M$28,2)="Yes",VLOOKUP(CALC!B207,MAIN!$H$17:$I$20,2),0),0)</f>
        <v>0</v>
      </c>
      <c r="FE207" s="623">
        <f t="shared" si="456"/>
        <v>0</v>
      </c>
      <c r="FF207" s="535">
        <f t="shared" si="457"/>
        <v>0</v>
      </c>
      <c r="FG207" s="535">
        <f t="shared" si="458"/>
        <v>0</v>
      </c>
      <c r="FH207" s="624">
        <f t="shared" si="459"/>
        <v>0</v>
      </c>
      <c r="FI207" s="632">
        <f>IF(AX207,VLOOKUP(CALC!B207,MAIN!$H$17:$K$20,4),0)</f>
        <v>0</v>
      </c>
      <c r="FJ207" s="535">
        <f t="shared" si="460"/>
        <v>0</v>
      </c>
      <c r="FK207" s="648">
        <f t="shared" si="506"/>
        <v>0</v>
      </c>
      <c r="FL207" s="530">
        <f t="shared" ca="1" si="555"/>
        <v>0</v>
      </c>
      <c r="FM207" s="530">
        <f t="shared" ca="1" si="556"/>
        <v>0</v>
      </c>
      <c r="FN207" s="530">
        <f t="shared" ca="1" si="557"/>
        <v>0</v>
      </c>
      <c r="FO207" s="622">
        <f t="shared" ca="1" si="558"/>
        <v>0</v>
      </c>
      <c r="FP207" s="530">
        <f t="shared" ca="1" si="559"/>
        <v>0</v>
      </c>
      <c r="FQ207" s="530">
        <f t="shared" ca="1" si="560"/>
        <v>0</v>
      </c>
      <c r="FR207" s="530">
        <f t="shared" ca="1" si="561"/>
        <v>0</v>
      </c>
      <c r="FS207" s="625">
        <f t="shared" ca="1" si="562"/>
        <v>0</v>
      </c>
      <c r="FT207" s="640">
        <f ca="1">IF(AND(Assumptions!$H$71="Yes",A207&gt;=Assumptions!$H$72,A207&lt;=Assumptions!$H$73),0,IF(AND($A207&gt;=Assumptions!$C$17,$A207&lt;=Assumptions!$C$18),MAX(AZ207*(1+VLOOKUP($C207,WeatherCapacityAdjustment,2))-FL207,0),0))</f>
        <v>53544</v>
      </c>
      <c r="FU207" s="530">
        <f ca="1">IF(AND(Assumptions!$H$71="Yes",A207&gt;=Assumptions!$H$72,A207&lt;=Assumptions!$H$73),0,IF(AND($A207&gt;=Assumptions!$C$17,$A207&lt;=Assumptions!$C$18),MAX(BA207*(1+VLOOKUP($C207,WeatherCapacityAdjustment,2))-FM207,0),0))</f>
        <v>9312</v>
      </c>
      <c r="FV207" s="530">
        <f ca="1">IF(AND(Assumptions!$H$71="Yes",A207&gt;=Assumptions!$H$72,A207&lt;=Assumptions!$H$73),0,IF(AND($A207&gt;=Assumptions!$C$17,$A207&lt;=Assumptions!$C$18),MAX(BB207*(1+VLOOKUP($C207,WeatherCapacityAdjustment,2))-FN207,0),0))</f>
        <v>9312</v>
      </c>
      <c r="FW207" s="622">
        <f ca="1">IF(AND(Assumptions!$H$71="Yes",A207&gt;=Assumptions!$H$72,A207&lt;=Assumptions!$H$73),0,IF(AND($A207&gt;=Assumptions!$C$17,$A207&lt;=Assumptions!$C$18),MAX(BC207*(1+VLOOKUP($C207,WeatherCapacityAdjustment,3))-FO207,0),0))</f>
        <v>36084</v>
      </c>
      <c r="FX207" s="621">
        <f ca="1">IF(AND(Assumptions!$H$71="Yes",A207&gt;=Assumptions!$H$72,A207&lt;=Assumptions!$H$73),0,IF(ET207&gt;0,MAX(BH207*(1+VLOOKUP($C207,WeatherCapacityAdjustment,2))-FP207,0),0))</f>
        <v>214176</v>
      </c>
      <c r="FY207" s="530">
        <f ca="1">IF(AND(Assumptions!$H$71="Yes",A207&gt;=Assumptions!$H$72,A207&lt;=Assumptions!$H$73),0,IF(EU207&gt;0,MAX(BI207*(1+VLOOKUP($C207,WeatherCapacityAdjustment,3))-FQ207,0),0))</f>
        <v>37248</v>
      </c>
      <c r="FZ207" s="530">
        <f ca="1">IF(AND(Assumptions!$H$71="Yes",A207&gt;=Assumptions!$H$72,A207&lt;=Assumptions!$H$73),0,IF(EV207&gt;0,MAX(BJ207*(1+VLOOKUP($C207,WeatherCapacityAdjustment,2))-FR207,0),0))</f>
        <v>37248</v>
      </c>
      <c r="GA207" s="622">
        <f ca="1">IF(AND(Assumptions!$H$71="Yes",A207&gt;=Assumptions!$H$72,A207&lt;=Assumptions!$H$73),0,IF(EW207&gt;0,MAX(BK207*(1+VLOOKUP($C207,WeatherCapacityAdjustment,2))-FS207,0),0))</f>
        <v>144336</v>
      </c>
      <c r="GB207" s="530">
        <f t="shared" ca="1" si="461"/>
        <v>541260</v>
      </c>
      <c r="GC207" s="545">
        <f t="shared" ca="1" si="462"/>
        <v>35.223865540513856</v>
      </c>
      <c r="GD207" s="530">
        <f t="shared" ca="1" si="563"/>
        <v>19065269.462458529</v>
      </c>
      <c r="GE207" s="1485">
        <f t="shared" ca="1" si="564"/>
        <v>765053.68967999995</v>
      </c>
      <c r="GF207" s="1776">
        <f t="shared" ca="1" si="565"/>
        <v>3060214.7587199998</v>
      </c>
      <c r="GG207" s="545">
        <f t="shared" si="530"/>
        <v>3.2957115555183885</v>
      </c>
      <c r="GH207" s="622">
        <f t="shared" ca="1" si="531"/>
        <v>12606981.428351775</v>
      </c>
      <c r="GI207" s="621">
        <f t="shared" ca="1" si="507"/>
        <v>541260</v>
      </c>
      <c r="GJ207" s="638">
        <f t="shared" si="463"/>
        <v>2.3284919348168325</v>
      </c>
      <c r="GK207" s="625">
        <f t="shared" ca="1" si="513"/>
        <v>1260319.5446389588</v>
      </c>
      <c r="GL207" s="640">
        <f t="shared" ca="1" si="566"/>
        <v>0</v>
      </c>
      <c r="GM207" s="530">
        <f t="shared" ca="1" si="567"/>
        <v>0</v>
      </c>
      <c r="GN207" s="530">
        <f t="shared" ca="1" si="568"/>
        <v>0</v>
      </c>
      <c r="GO207" s="622">
        <f t="shared" ca="1" si="569"/>
        <v>0</v>
      </c>
      <c r="GP207" s="530">
        <f t="shared" ca="1" si="464"/>
        <v>0</v>
      </c>
      <c r="GQ207" s="545">
        <f t="shared" ca="1" si="465"/>
        <v>0</v>
      </c>
      <c r="GR207" s="625">
        <f t="shared" ca="1" si="570"/>
        <v>0</v>
      </c>
      <c r="GS207" s="640">
        <f>IF($A207&gt;=BegDate,Assumptions!$C$56*24*($A208-$A207)*(1-VLOOKUP($B207,MAIN!$AA$7:$AM$28,$C207+1))*(1-VLOOKUP($B207,MAIN!$AA$33:$AM$54,$C207+1)),0)*80/168</f>
        <v>257742.85714285713</v>
      </c>
      <c r="GT207" s="1715">
        <f t="shared" si="508"/>
        <v>41.48736862925491</v>
      </c>
      <c r="GU207" s="1715">
        <f>IF($A207&gt;=BegDate,VLOOKUP($A207,GasTable,13)+Assumptions!$C$58,0)</f>
        <v>3.2957115555183885</v>
      </c>
      <c r="GV207" s="1715">
        <f>GU207*Assumptions!$C$57/1000</f>
        <v>23.893908777508319</v>
      </c>
      <c r="GW207" s="625">
        <f>IF(Assumptions!$C$60="Hourly",MAX(0,GS207*(GT207-GV207)),GS207*(GT207-GV207))</f>
        <v>4534588.609217314</v>
      </c>
      <c r="GX207" s="640">
        <f>IF($A207&gt;=BegDate,Assumptions!$C$56*24*($A208-$A207)*(1-VLOOKUP($B207,MAIN!$AA$7:$AM$28,$C207+1))*(1-VLOOKUP($B207,MAIN!$AA$33:$AM$54,$C207+1)),0)*16/168</f>
        <v>51548.571428571428</v>
      </c>
      <c r="GY207" s="1715">
        <f t="shared" si="509"/>
        <v>41.48736862925491</v>
      </c>
      <c r="GZ207" s="1715">
        <f>IF($A207&gt;=BegDate,VLOOKUP($A207,GasTable,13)+Assumptions!$C$58,0)</f>
        <v>3.2957115555183885</v>
      </c>
      <c r="HA207" s="1715">
        <f>GZ207*Assumptions!$C$57/1000</f>
        <v>23.893908777508319</v>
      </c>
      <c r="HB207" s="625">
        <f>IF(Assumptions!$C$60="Hourly",MAX(0,GX207*(GY207-HA207)),GX207*(GY207-HA207))</f>
        <v>906917.72184346279</v>
      </c>
      <c r="HC207" s="640">
        <f>IF($A207&gt;=BegDate,Assumptions!$C$56*24*($A208-$A207)*(1-VLOOKUP($B207,MAIN!$AA$7:$AM$28,$C207+1))*(1-VLOOKUP($B207,MAIN!$AA$33:$AM$54,$C207+1)),0)*16/168</f>
        <v>51548.571428571428</v>
      </c>
      <c r="HD207" s="1715">
        <f t="shared" si="510"/>
        <v>26.551322879298546</v>
      </c>
      <c r="HE207" s="1715">
        <f>IF($A207&gt;=BegDate,VLOOKUP($A207,GasTable,13)+Assumptions!$C$58,0)</f>
        <v>3.2957115555183885</v>
      </c>
      <c r="HF207" s="1715">
        <f>HE207*Assumptions!$C$57/1000</f>
        <v>23.893908777508319</v>
      </c>
      <c r="HG207" s="625">
        <f>IF(Assumptions!$C$60="Hourly",MAX(0,HC207*(HD207-HF207)),HC207*(HD207-HF207))</f>
        <v>136985.9006414265</v>
      </c>
      <c r="HH207" s="640">
        <f>IF($A207&gt;=BegDate,Assumptions!$C$56*24*($A208-$A207)*(1-VLOOKUP($B207,MAIN!$AA$7:$AM$28,$C207+1))*(1-VLOOKUP($B207,MAIN!$AA$33:$AM$54,$C207+1)),0)*56/168</f>
        <v>180420</v>
      </c>
      <c r="HI207" s="1715">
        <f t="shared" si="511"/>
        <v>26.551322879298546</v>
      </c>
      <c r="HJ207" s="1715">
        <f>IF($A207&gt;=BegDate,VLOOKUP($A207,GasTable,13)+Assumptions!$C$58,0)</f>
        <v>3.2957115555183885</v>
      </c>
      <c r="HK207" s="1715">
        <f>HJ207*Assumptions!$C$57/1000</f>
        <v>23.893908777508319</v>
      </c>
      <c r="HL207" s="625">
        <f>IF(Assumptions!$C$60="Hourly",MAX(0,HH207*(HI207-HK207)),HH207*(HI207-HK207))</f>
        <v>479450.65224499279</v>
      </c>
      <c r="HM207" s="640">
        <f>IF(AND(Assumptions!$H$71="Yes",A207&gt;=Assumptions!$H$72,A207&lt;=Assumptions!$H$73),Assumptions!$H$74*Assumptions!$C$9*1000,0)</f>
        <v>0</v>
      </c>
      <c r="HN207" s="530"/>
      <c r="HO207" s="545"/>
      <c r="HP207" s="545"/>
      <c r="HQ207" s="545"/>
      <c r="HR207" s="545"/>
      <c r="HS207" s="545"/>
      <c r="HT207" s="545"/>
      <c r="HU207" s="545"/>
      <c r="HV207" s="545"/>
      <c r="HW207" s="545"/>
      <c r="HX207" s="545"/>
      <c r="HY207" s="545"/>
      <c r="HZ207" s="545"/>
      <c r="IA207" s="545"/>
      <c r="IB207" s="545"/>
      <c r="IC207" s="545"/>
      <c r="ID207" s="545"/>
      <c r="IE207" s="545"/>
      <c r="IF207" s="545"/>
      <c r="IG207" s="545"/>
      <c r="IH207" s="545"/>
      <c r="II207" s="1464"/>
      <c r="IJ207" s="1463"/>
      <c r="IK207" s="1463"/>
    </row>
    <row r="208" spans="1:245">
      <c r="A208" s="177">
        <f t="shared" si="466"/>
        <v>42461</v>
      </c>
      <c r="B208" s="349">
        <f t="shared" si="467"/>
        <v>2016</v>
      </c>
      <c r="C208" s="15">
        <f t="shared" si="571"/>
        <v>4</v>
      </c>
      <c r="D208" s="612" t="str">
        <f t="shared" si="468"/>
        <v/>
      </c>
      <c r="E208" s="609">
        <f t="shared" si="572"/>
        <v>42461</v>
      </c>
      <c r="F208" s="614">
        <f t="shared" si="573"/>
        <v>42490</v>
      </c>
      <c r="G208" s="1349">
        <v>0</v>
      </c>
      <c r="H208" s="152">
        <f t="shared" si="512"/>
        <v>1</v>
      </c>
      <c r="I208" s="154">
        <f>IF(Assumptions!$L$25=4,VLOOKUP($A208,'Henwood Reference'!$E$9:$R$320,10),(VLOOKUP($A208,PriceTable,2,0)+IF(BasisNumber&lt;&gt;1,VLOOKUP($A208,BasisTable,2,0),0)+I$1)/(1-I$2))</f>
        <v>40.415909386431693</v>
      </c>
      <c r="J208" s="154">
        <f>IF(Assumptions!$L$25=4,VLOOKUP($A208,'Henwood Reference'!$E$9:$R$320,10),(VLOOKUP($A208,PriceTable,3,0)+IF(BasisNumber&lt;&gt;1,VLOOKUP($A208,BasisTable,2,0),0)+J$1)/(1-J$2))</f>
        <v>40.415909386431693</v>
      </c>
      <c r="K208" s="154">
        <f>IF(Assumptions!$L$25=4,VLOOKUP($A208,'Henwood Reference'!$E$9:$R$320,10),(VLOOKUP($A208,PriceTable,4,0)+IF(BasisNumber&lt;&gt;1,VLOOKUP($A208,BasisTable,2,0),0)+K$1)/(1-K$2))</f>
        <v>40.415909386431693</v>
      </c>
      <c r="L208" s="474">
        <f>IF(Assumptions!$L$25=4,VLOOKUP($A208,'Henwood Reference'!$E$9:$R$320,10),(VLOOKUP($A208,PriceTableWeekend,2,0)+IF(BasisNumber&lt;&gt;1,VLOOKUP($A208,BasisTable,2,0),0)+L$1)/(1-L$2))</f>
        <v>40.415909386431693</v>
      </c>
      <c r="M208" s="154">
        <f>IF(Assumptions!$L$25=4,VLOOKUP($A208,'Henwood Reference'!$E$9:$R$320,10),(VLOOKUP($A208,PriceTableWeekend,3,0)+IF(BasisNumber&lt;&gt;1,VLOOKUP($A208,BasisTable,2,0),0)+M$1)/(1-M$2))</f>
        <v>40.415909386431693</v>
      </c>
      <c r="N208" s="156">
        <f>IF(Assumptions!$L$25=4,VLOOKUP($A208,'Henwood Reference'!$E$9:$R$320,10),(VLOOKUP($A208,PriceTableWeekend,4,0)+IF(BasisNumber&lt;&gt;1,VLOOKUP($A208,BasisTable,2,0),0)+N$1)/(1-N$2))</f>
        <v>40.415909386431693</v>
      </c>
      <c r="O208" s="154">
        <f>IF(Assumptions!$L$25=4,VLOOKUP($A208,'Henwood Reference'!$E$9:$R$320,11),(VLOOKUP($A208,PriceTableWeekend,6,0)+IF(BasisNumber&lt;&gt;1,VLOOKUP($A208,BasisTable,3,0),0)+O$1)/(1-O$2))</f>
        <v>27.040309147451818</v>
      </c>
      <c r="P208" s="154">
        <f>IF(Assumptions!$L$25=4,VLOOKUP($A208,'Henwood Reference'!$E$9:$R$320,11),(VLOOKUP($A208,PriceTableWeekend,7,0)+IF(BasisNumber&lt;&gt;1,VLOOKUP($A208,BasisTable,3,0),0)+P$1)/(1-P$2))</f>
        <v>27.040309147451818</v>
      </c>
      <c r="Q208" s="156">
        <f>IF(Assumptions!$L$25=4,VLOOKUP($A208,'Henwood Reference'!$E$9:$R$320,11),(VLOOKUP($A208,PriceTableWeekend,8,0)+IF(BasisNumber&lt;&gt;1,VLOOKUP($A208,BasisTable,3,0),0)+Q$1)/(1-Q$2))</f>
        <v>27.040309147451818</v>
      </c>
      <c r="R208" s="154">
        <f>IF(Assumptions!$L$25=4,VLOOKUP($A208,'Henwood Reference'!$E$9:$R$320,11),(VLOOKUP($A208,PriceTable,6,0)+IF(BasisNumber&lt;&gt;1,VLOOKUP($A208,BasisTable,3,0),0)+R$1)/(1-R$2))</f>
        <v>27.040309147451818</v>
      </c>
      <c r="S208" s="154">
        <f>IF(Assumptions!$L$25=4,VLOOKUP($A208,'Henwood Reference'!$E$9:$R$320,11),(VLOOKUP($A208,PriceTable,7,0)+IF(BasisNumber&lt;&gt;1,VLOOKUP($A208,BasisTable,3,0),0)+S$1)/(1-S$2))</f>
        <v>27.040309147451818</v>
      </c>
      <c r="T208" s="155">
        <f>IF(Assumptions!$L$25=4,VLOOKUP($A208,'Henwood Reference'!$E$9:$R$320,11),(VLOOKUP($A208,PriceTable,8,0)+IF(BasisNumber&lt;&gt;1,VLOOKUP($A208,BasisTable,3,0),0)+T$1)/(1-T$2))</f>
        <v>27.040309147451818</v>
      </c>
      <c r="U208" s="173">
        <f t="shared" si="469"/>
        <v>0.09</v>
      </c>
      <c r="V208" s="173">
        <f t="shared" si="470"/>
        <v>0.1</v>
      </c>
      <c r="W208" s="174">
        <f t="shared" si="471"/>
        <v>0.11</v>
      </c>
      <c r="X208" s="173">
        <f t="shared" si="472"/>
        <v>0.09</v>
      </c>
      <c r="Y208" s="173">
        <f t="shared" si="473"/>
        <v>0.1</v>
      </c>
      <c r="Z208" s="174">
        <f t="shared" si="474"/>
        <v>0.11</v>
      </c>
      <c r="AA208" s="173">
        <f t="shared" si="475"/>
        <v>0.09</v>
      </c>
      <c r="AB208" s="173">
        <f t="shared" si="476"/>
        <v>0.11</v>
      </c>
      <c r="AC208" s="174">
        <f t="shared" si="477"/>
        <v>0.13</v>
      </c>
      <c r="AD208" s="173">
        <f t="shared" si="478"/>
        <v>0.09</v>
      </c>
      <c r="AE208" s="173">
        <f t="shared" si="479"/>
        <v>0.11</v>
      </c>
      <c r="AF208" s="174">
        <f t="shared" si="480"/>
        <v>0.13</v>
      </c>
      <c r="AG208" s="173">
        <f t="shared" si="481"/>
        <v>-0.1</v>
      </c>
      <c r="AH208" s="173">
        <f t="shared" si="482"/>
        <v>0.65</v>
      </c>
      <c r="AI208" s="174">
        <f t="shared" si="483"/>
        <v>0.1</v>
      </c>
      <c r="AJ208" s="173">
        <f t="shared" si="484"/>
        <v>-0.1</v>
      </c>
      <c r="AK208" s="173">
        <f t="shared" si="485"/>
        <v>0.65</v>
      </c>
      <c r="AL208" s="174">
        <f t="shared" si="486"/>
        <v>0.1</v>
      </c>
      <c r="AM208" s="173">
        <f t="shared" si="487"/>
        <v>-0.01</v>
      </c>
      <c r="AN208" s="173">
        <f t="shared" si="488"/>
        <v>0.16</v>
      </c>
      <c r="AO208" s="174">
        <f t="shared" si="489"/>
        <v>0.01</v>
      </c>
      <c r="AP208" s="173">
        <f t="shared" si="490"/>
        <v>-0.01</v>
      </c>
      <c r="AQ208" s="173">
        <f t="shared" si="491"/>
        <v>0.16</v>
      </c>
      <c r="AR208" s="175">
        <f t="shared" si="492"/>
        <v>0.01</v>
      </c>
      <c r="AS208" s="521">
        <f t="shared" si="576"/>
        <v>0.5</v>
      </c>
      <c r="AT208" s="349">
        <f t="shared" si="574"/>
        <v>21</v>
      </c>
      <c r="AU208" s="159">
        <f t="shared" si="411"/>
        <v>5</v>
      </c>
      <c r="AV208" s="159">
        <f t="shared" si="412"/>
        <v>4</v>
      </c>
      <c r="AW208" s="159">
        <f t="shared" si="577"/>
        <v>0</v>
      </c>
      <c r="AX208" s="15">
        <f t="shared" si="575"/>
        <v>30</v>
      </c>
      <c r="AY208" s="607">
        <f>IF(E208="",0,MIN((1-(1-VLOOKUP(B208,MAIN!$AA$7:$AM$28,C208+1))*(1-VLOOKUP(B208,MAIN!$AA$33:$AM$54,C208+1))),1))</f>
        <v>0.127</v>
      </c>
      <c r="AZ208" s="337">
        <v>43999.199999999997</v>
      </c>
      <c r="BA208" s="509">
        <v>10476</v>
      </c>
      <c r="BB208" s="509">
        <v>8380.7999999999993</v>
      </c>
      <c r="BC208" s="511">
        <v>31428</v>
      </c>
      <c r="BD208" s="153">
        <v>0.873</v>
      </c>
      <c r="BE208" s="474">
        <v>0.873</v>
      </c>
      <c r="BF208" s="474">
        <v>0.873</v>
      </c>
      <c r="BG208" s="515">
        <v>0.87300000650435683</v>
      </c>
      <c r="BH208" s="262">
        <v>175996.79999999999</v>
      </c>
      <c r="BI208" s="509">
        <v>41904</v>
      </c>
      <c r="BJ208" s="509">
        <v>33523.199999999997</v>
      </c>
      <c r="BK208" s="511">
        <v>125712</v>
      </c>
      <c r="BL208" s="153">
        <v>0.873</v>
      </c>
      <c r="BM208" s="474">
        <v>0.873</v>
      </c>
      <c r="BN208" s="474">
        <v>0.873</v>
      </c>
      <c r="BO208" s="474">
        <v>0.87300000650435683</v>
      </c>
      <c r="BP208" s="261">
        <f t="shared" si="495"/>
        <v>62856</v>
      </c>
      <c r="BQ208" s="578">
        <f t="shared" si="496"/>
        <v>94284</v>
      </c>
      <c r="BR208" s="259">
        <f t="shared" si="497"/>
        <v>251424</v>
      </c>
      <c r="BS208" s="578">
        <f t="shared" si="498"/>
        <v>377136</v>
      </c>
      <c r="BT208" s="216">
        <f t="shared" si="499"/>
        <v>15.964407939767282</v>
      </c>
      <c r="BU208" s="218">
        <f t="shared" si="414"/>
        <v>40.415909386431693</v>
      </c>
      <c r="BV208" s="216">
        <f t="shared" si="415"/>
        <v>40.415909386431693</v>
      </c>
      <c r="BW208" s="216">
        <f t="shared" si="416"/>
        <v>27.040309147451818</v>
      </c>
      <c r="BX208" s="216">
        <f t="shared" si="500"/>
        <v>27.04030934891782</v>
      </c>
      <c r="BY208" s="216">
        <f t="shared" si="417"/>
        <v>38.632496021234367</v>
      </c>
      <c r="BZ208" s="216">
        <f t="shared" si="418"/>
        <v>34.76843379712885</v>
      </c>
      <c r="CA208" s="264">
        <f t="shared" si="419"/>
        <v>40.415909386431693</v>
      </c>
      <c r="CB208" s="216">
        <f t="shared" si="420"/>
        <v>40.415909386431693</v>
      </c>
      <c r="CC208" s="216">
        <f t="shared" si="421"/>
        <v>27.040309147451818</v>
      </c>
      <c r="CD208" s="216">
        <f t="shared" si="501"/>
        <v>27.04030934891782</v>
      </c>
      <c r="CE208" s="216">
        <f t="shared" si="422"/>
        <v>38.632496021234367</v>
      </c>
      <c r="CF208" s="571">
        <f t="shared" si="423"/>
        <v>34.76843379712885</v>
      </c>
      <c r="CG208" s="573">
        <f t="shared" si="424"/>
        <v>0.1</v>
      </c>
      <c r="CH208" s="219">
        <f t="shared" si="425"/>
        <v>0.1</v>
      </c>
      <c r="CI208" s="219">
        <f t="shared" si="426"/>
        <v>0.11</v>
      </c>
      <c r="CJ208" s="219">
        <f t="shared" si="427"/>
        <v>0.10094009985523153</v>
      </c>
      <c r="CK208" s="219">
        <f t="shared" si="428"/>
        <v>0.10094009985523153</v>
      </c>
      <c r="CL208" s="219">
        <f t="shared" si="429"/>
        <v>0.11</v>
      </c>
      <c r="CM208" s="219">
        <f t="shared" si="430"/>
        <v>9.2640182390476736E-2</v>
      </c>
      <c r="CN208" s="569">
        <f t="shared" si="431"/>
        <v>9.2640182390476736E-2</v>
      </c>
      <c r="CO208" s="264">
        <f t="shared" si="514"/>
        <v>22.564582219464693</v>
      </c>
      <c r="CP208" s="216">
        <f t="shared" si="502"/>
        <v>22.564582219464693</v>
      </c>
      <c r="CQ208" s="216">
        <f t="shared" ca="1" si="532"/>
        <v>22.564582219464693</v>
      </c>
      <c r="CR208" s="216">
        <f t="shared" ca="1" si="533"/>
        <v>22.564582219464693</v>
      </c>
      <c r="CS208" s="1626">
        <f t="shared" ca="1" si="534"/>
        <v>22.564582219464693</v>
      </c>
      <c r="CT208" s="216">
        <f t="shared" si="503"/>
        <v>22.564582219464693</v>
      </c>
      <c r="CU208" s="575">
        <f t="shared" si="432"/>
        <v>0.152</v>
      </c>
      <c r="CV208" s="154">
        <f t="shared" si="433"/>
        <v>0.5</v>
      </c>
      <c r="CW208" s="216">
        <f>IF(OR($BQ208,$BS208),SpreadOptPowerMargin,0)*((1+Assumptions!$C$26)^($B208-YEAR(Assumptions!$C$17)))</f>
        <v>2.3284919348168329</v>
      </c>
      <c r="CX208" s="216">
        <f>IF(OR($BQ208,$BS208),SpreadOptPowerMargin,0)*((1+Assumptions!$C$26)^($B208-YEAR(Assumptions!$C$17)))</f>
        <v>2.3284919348168329</v>
      </c>
      <c r="CY208" s="216">
        <f>IF(OR($BQ208,$BS208),SpreadOptPowerMargin,0)*((1+Assumptions!$C$26)^($B208-YEAR(Assumptions!$C$17)))</f>
        <v>2.3284919348168329</v>
      </c>
      <c r="CZ208" s="216">
        <f>IF(OR($BQ208,$BS208),SpreadOptPowerMargin,0)*((1+Assumptions!$C$26)^($B208-YEAR(Assumptions!$C$17)))</f>
        <v>2.3284919348168329</v>
      </c>
      <c r="DA208" s="440">
        <f t="shared" si="434"/>
        <v>2.3284919348168329</v>
      </c>
      <c r="DB208" s="479">
        <f t="shared" si="435"/>
        <v>0.1</v>
      </c>
      <c r="DC208" s="479">
        <f t="shared" si="436"/>
        <v>0.1</v>
      </c>
      <c r="DD208" s="479">
        <f t="shared" si="437"/>
        <v>0.11</v>
      </c>
      <c r="DE208" s="479">
        <f t="shared" si="438"/>
        <v>0.11</v>
      </c>
      <c r="DF208" s="479">
        <f t="shared" si="439"/>
        <v>9.2640182390476736E-2</v>
      </c>
      <c r="DG208" s="574">
        <f t="shared" si="440"/>
        <v>9.2640182390476736E-2</v>
      </c>
      <c r="DH208" s="216">
        <f t="shared" si="441"/>
        <v>16.888280580659227</v>
      </c>
      <c r="DI208" s="216">
        <f t="shared" si="442"/>
        <v>16.888280580659227</v>
      </c>
      <c r="DJ208" s="216">
        <f t="shared" ca="1" si="535"/>
        <v>6.313787182249686</v>
      </c>
      <c r="DK208" s="216">
        <f t="shared" ca="1" si="536"/>
        <v>6.3137873164566454</v>
      </c>
      <c r="DL208" s="216">
        <f t="shared" ca="1" si="537"/>
        <v>11.971882509853472</v>
      </c>
      <c r="DM208" s="216"/>
      <c r="DN208" s="216"/>
      <c r="DO208" s="216"/>
      <c r="DP208" s="216"/>
      <c r="DQ208" s="216"/>
      <c r="DR208" s="216"/>
      <c r="DS208" s="216"/>
      <c r="DT208" s="216"/>
      <c r="DU208" s="216"/>
      <c r="DV208" s="216"/>
      <c r="DW208" s="1371">
        <f t="shared" si="443"/>
        <v>6.313787182249686</v>
      </c>
      <c r="DX208" s="216">
        <f t="shared" si="444"/>
        <v>6.3137873164566454</v>
      </c>
      <c r="DY208" s="440">
        <f t="shared" si="445"/>
        <v>12.423494523844186</v>
      </c>
      <c r="DZ208" s="180">
        <f t="shared" si="446"/>
        <v>743070.83492454141</v>
      </c>
      <c r="EA208" s="180">
        <f t="shared" si="447"/>
        <v>176921.62736298607</v>
      </c>
      <c r="EB208" s="180">
        <f t="shared" ca="1" si="538"/>
        <v>52914.587616998164</v>
      </c>
      <c r="EC208" s="180">
        <f t="shared" ca="1" si="539"/>
        <v>198429.70778159946</v>
      </c>
      <c r="ED208" s="180">
        <f t="shared" ca="1" si="540"/>
        <v>1128756.9705590247</v>
      </c>
      <c r="EE208" s="581">
        <f t="shared" si="448"/>
        <v>682992.33194642165</v>
      </c>
      <c r="EF208" s="554">
        <f t="shared" si="449"/>
        <v>162617.22189200515</v>
      </c>
      <c r="EG208" s="554">
        <f t="shared" ca="1" si="541"/>
        <v>17995.547030761594</v>
      </c>
      <c r="EH208" s="554">
        <f t="shared" ca="1" si="542"/>
        <v>67483.307697029479</v>
      </c>
      <c r="EI208" s="561">
        <f t="shared" ca="1" si="450"/>
        <v>931088.40856621717</v>
      </c>
      <c r="EJ208" s="581">
        <f t="shared" si="504"/>
        <v>60078.502978119766</v>
      </c>
      <c r="EK208" s="554">
        <f t="shared" si="505"/>
        <v>14304.405470980913</v>
      </c>
      <c r="EL208" s="554">
        <f t="shared" ca="1" si="543"/>
        <v>34919.040586236573</v>
      </c>
      <c r="EM208" s="554">
        <f t="shared" ca="1" si="544"/>
        <v>130946.40008456998</v>
      </c>
      <c r="EN208" s="561">
        <f t="shared" ca="1" si="545"/>
        <v>197668.56199280755</v>
      </c>
      <c r="EO208" s="180">
        <f t="shared" si="451"/>
        <v>2972283.3396981657</v>
      </c>
      <c r="EP208" s="180">
        <f t="shared" si="452"/>
        <v>707686.50945194426</v>
      </c>
      <c r="EQ208" s="180">
        <f t="shared" si="453"/>
        <v>211658.35046799266</v>
      </c>
      <c r="ER208" s="180">
        <f t="shared" si="454"/>
        <v>793718.83112639782</v>
      </c>
      <c r="ES208" s="180">
        <f t="shared" si="455"/>
        <v>4685347.0307445005</v>
      </c>
      <c r="ET208" s="1482">
        <f t="shared" ca="1" si="546"/>
        <v>2731969.3277856866</v>
      </c>
      <c r="EU208" s="180">
        <f t="shared" ca="1" si="547"/>
        <v>650468.88756802061</v>
      </c>
      <c r="EV208" s="180">
        <f t="shared" ca="1" si="548"/>
        <v>71982.188123046377</v>
      </c>
      <c r="EW208" s="180">
        <f t="shared" ca="1" si="549"/>
        <v>269933.23078811791</v>
      </c>
      <c r="EX208" s="555">
        <f t="shared" ca="1" si="522"/>
        <v>3724353.6342648715</v>
      </c>
      <c r="EY208" s="180">
        <f t="shared" ca="1" si="550"/>
        <v>240314.01191247907</v>
      </c>
      <c r="EZ208" s="180">
        <f t="shared" ca="1" si="551"/>
        <v>57217.621883923654</v>
      </c>
      <c r="FA208" s="180">
        <f t="shared" ca="1" si="552"/>
        <v>139676.16234494629</v>
      </c>
      <c r="FB208" s="180">
        <f t="shared" ca="1" si="553"/>
        <v>523785.60033827991</v>
      </c>
      <c r="FC208" s="180">
        <f t="shared" ca="1" si="554"/>
        <v>960993.39647962898</v>
      </c>
      <c r="FD208" s="262">
        <f>IF(AX208,IF(VLOOKUP(C208,MAIN!$L$17:$M$28,2)="Yes",VLOOKUP(CALC!B208,MAIN!$H$17:$I$20,2),0),0)</f>
        <v>0</v>
      </c>
      <c r="FE208" s="623">
        <f t="shared" si="456"/>
        <v>0</v>
      </c>
      <c r="FF208" s="535">
        <f t="shared" si="457"/>
        <v>0</v>
      </c>
      <c r="FG208" s="535">
        <f t="shared" si="458"/>
        <v>0</v>
      </c>
      <c r="FH208" s="624">
        <f t="shared" si="459"/>
        <v>0</v>
      </c>
      <c r="FI208" s="632">
        <f>IF(AX208,VLOOKUP(CALC!B208,MAIN!$H$17:$K$20,4),0)</f>
        <v>0</v>
      </c>
      <c r="FJ208" s="535">
        <f t="shared" si="460"/>
        <v>0</v>
      </c>
      <c r="FK208" s="648">
        <f t="shared" si="506"/>
        <v>0</v>
      </c>
      <c r="FL208" s="530">
        <f t="shared" ca="1" si="555"/>
        <v>0</v>
      </c>
      <c r="FM208" s="530">
        <f t="shared" ca="1" si="556"/>
        <v>0</v>
      </c>
      <c r="FN208" s="530">
        <f t="shared" ca="1" si="557"/>
        <v>0</v>
      </c>
      <c r="FO208" s="622">
        <f t="shared" ca="1" si="558"/>
        <v>0</v>
      </c>
      <c r="FP208" s="530">
        <f t="shared" ca="1" si="559"/>
        <v>0</v>
      </c>
      <c r="FQ208" s="530">
        <f t="shared" ca="1" si="560"/>
        <v>0</v>
      </c>
      <c r="FR208" s="530">
        <f t="shared" ca="1" si="561"/>
        <v>0</v>
      </c>
      <c r="FS208" s="625">
        <f t="shared" ca="1" si="562"/>
        <v>0</v>
      </c>
      <c r="FT208" s="640">
        <f ca="1">IF(AND(Assumptions!$H$71="Yes",A208&gt;=Assumptions!$H$72,A208&lt;=Assumptions!$H$73),0,IF(AND($A208&gt;=Assumptions!$C$17,$A208&lt;=Assumptions!$C$18),MAX(AZ208*(1+VLOOKUP($C208,WeatherCapacityAdjustment,2))-FL208,0),0))</f>
        <v>43999.199999999997</v>
      </c>
      <c r="FU208" s="530">
        <f ca="1">IF(AND(Assumptions!$H$71="Yes",A208&gt;=Assumptions!$H$72,A208&lt;=Assumptions!$H$73),0,IF(AND($A208&gt;=Assumptions!$C$17,$A208&lt;=Assumptions!$C$18),MAX(BA208*(1+VLOOKUP($C208,WeatherCapacityAdjustment,2))-FM208,0),0))</f>
        <v>10476</v>
      </c>
      <c r="FV208" s="530">
        <f ca="1">IF(AND(Assumptions!$H$71="Yes",A208&gt;=Assumptions!$H$72,A208&lt;=Assumptions!$H$73),0,IF(AND($A208&gt;=Assumptions!$C$17,$A208&lt;=Assumptions!$C$18),MAX(BB208*(1+VLOOKUP($C208,WeatherCapacityAdjustment,2))-FN208,0),0))</f>
        <v>8380.7999999999993</v>
      </c>
      <c r="FW208" s="622">
        <f ca="1">IF(AND(Assumptions!$H$71="Yes",A208&gt;=Assumptions!$H$72,A208&lt;=Assumptions!$H$73),0,IF(AND($A208&gt;=Assumptions!$C$17,$A208&lt;=Assumptions!$C$18),MAX(BC208*(1+VLOOKUP($C208,WeatherCapacityAdjustment,3))-FO208,0),0))</f>
        <v>31428</v>
      </c>
      <c r="FX208" s="621">
        <f ca="1">IF(AND(Assumptions!$H$71="Yes",A208&gt;=Assumptions!$H$72,A208&lt;=Assumptions!$H$73),0,IF(ET208&gt;0,MAX(BH208*(1+VLOOKUP($C208,WeatherCapacityAdjustment,2))-FP208,0),0))</f>
        <v>175996.79999999999</v>
      </c>
      <c r="FY208" s="530">
        <f ca="1">IF(AND(Assumptions!$H$71="Yes",A208&gt;=Assumptions!$H$72,A208&lt;=Assumptions!$H$73),0,IF(EU208&gt;0,MAX(BI208*(1+VLOOKUP($C208,WeatherCapacityAdjustment,3))-FQ208,0),0))</f>
        <v>41904</v>
      </c>
      <c r="FZ208" s="530">
        <f ca="1">IF(AND(Assumptions!$H$71="Yes",A208&gt;=Assumptions!$H$72,A208&lt;=Assumptions!$H$73),0,IF(EV208&gt;0,MAX(BJ208*(1+VLOOKUP($C208,WeatherCapacityAdjustment,2))-FR208,0),0))</f>
        <v>33523.199999999997</v>
      </c>
      <c r="GA208" s="622">
        <f ca="1">IF(AND(Assumptions!$H$71="Yes",A208&gt;=Assumptions!$H$72,A208&lt;=Assumptions!$H$73),0,IF(EW208&gt;0,MAX(BK208*(1+VLOOKUP($C208,WeatherCapacityAdjustment,2))-FS208,0),0))</f>
        <v>125712</v>
      </c>
      <c r="GB208" s="530">
        <f t="shared" ca="1" si="461"/>
        <v>471420</v>
      </c>
      <c r="GC208" s="545">
        <f t="shared" ca="1" si="462"/>
        <v>34.76843379712885</v>
      </c>
      <c r="GD208" s="530">
        <f t="shared" ca="1" si="563"/>
        <v>16390535.060642485</v>
      </c>
      <c r="GE208" s="1485">
        <f t="shared" ca="1" si="564"/>
        <v>666614.27951999998</v>
      </c>
      <c r="GF208" s="1776">
        <f t="shared" ca="1" si="565"/>
        <v>2666457.1180799999</v>
      </c>
      <c r="GG208" s="545">
        <f t="shared" si="530"/>
        <v>3.1914693929327678</v>
      </c>
      <c r="GH208" s="622">
        <f t="shared" ca="1" si="531"/>
        <v>10637395.349900043</v>
      </c>
      <c r="GI208" s="621">
        <f t="shared" ca="1" si="507"/>
        <v>471420</v>
      </c>
      <c r="GJ208" s="638">
        <f t="shared" si="463"/>
        <v>2.3284919348168329</v>
      </c>
      <c r="GK208" s="625">
        <f t="shared" ca="1" si="513"/>
        <v>1097697.6679113514</v>
      </c>
      <c r="GL208" s="640">
        <f t="shared" ca="1" si="566"/>
        <v>0</v>
      </c>
      <c r="GM208" s="530">
        <f t="shared" ca="1" si="567"/>
        <v>0</v>
      </c>
      <c r="GN208" s="530">
        <f t="shared" ca="1" si="568"/>
        <v>0</v>
      </c>
      <c r="GO208" s="622">
        <f t="shared" ca="1" si="569"/>
        <v>0</v>
      </c>
      <c r="GP208" s="530">
        <f t="shared" ca="1" si="464"/>
        <v>0</v>
      </c>
      <c r="GQ208" s="545">
        <f t="shared" ca="1" si="465"/>
        <v>0</v>
      </c>
      <c r="GR208" s="625">
        <f t="shared" ca="1" si="570"/>
        <v>0</v>
      </c>
      <c r="GS208" s="640">
        <f>IF($A208&gt;=BegDate,Assumptions!$C$56*24*($A209-$A208)*(1-VLOOKUP($B208,MAIN!$AA$7:$AM$28,$C208+1))*(1-VLOOKUP($B208,MAIN!$AA$33:$AM$54,$C208+1)),0)*80/168</f>
        <v>224485.71428571429</v>
      </c>
      <c r="GT208" s="1715">
        <f t="shared" si="508"/>
        <v>40.415909386431693</v>
      </c>
      <c r="GU208" s="1715">
        <f>IF($A208&gt;=BegDate,VLOOKUP($A208,GasTable,13)+Assumptions!$C$58,0)</f>
        <v>3.1914693929327678</v>
      </c>
      <c r="GV208" s="1715">
        <f>GU208*Assumptions!$C$57/1000</f>
        <v>23.138153098762565</v>
      </c>
      <c r="GW208" s="625">
        <f>IF(Assumptions!$C$60="Hourly",MAX(0,GS208*(GT208-GV208)),GS208*(GT208-GV208))</f>
        <v>3878609.4614918954</v>
      </c>
      <c r="GX208" s="640">
        <f>IF($A208&gt;=BegDate,Assumptions!$C$56*24*($A209-$A208)*(1-VLOOKUP($B208,MAIN!$AA$7:$AM$28,$C208+1))*(1-VLOOKUP($B208,MAIN!$AA$33:$AM$54,$C208+1)),0)*16/168</f>
        <v>44897.142857142855</v>
      </c>
      <c r="GY208" s="1715">
        <f t="shared" si="509"/>
        <v>40.415909386431693</v>
      </c>
      <c r="GZ208" s="1715">
        <f>IF($A208&gt;=BegDate,VLOOKUP($A208,GasTable,13)+Assumptions!$C$58,0)</f>
        <v>3.1914693929327678</v>
      </c>
      <c r="HA208" s="1715">
        <f>GZ208*Assumptions!$C$57/1000</f>
        <v>23.138153098762565</v>
      </c>
      <c r="HB208" s="625">
        <f>IF(Assumptions!$C$60="Hourly",MAX(0,GX208*(GY208-HA208)),GX208*(GY208-HA208))</f>
        <v>775721.89229837898</v>
      </c>
      <c r="HC208" s="640">
        <f>IF($A208&gt;=BegDate,Assumptions!$C$56*24*($A209-$A208)*(1-VLOOKUP($B208,MAIN!$AA$7:$AM$28,$C208+1))*(1-VLOOKUP($B208,MAIN!$AA$33:$AM$54,$C208+1)),0)*16/168</f>
        <v>44897.142857142855</v>
      </c>
      <c r="HD208" s="1715">
        <f t="shared" si="510"/>
        <v>27.040309147451818</v>
      </c>
      <c r="HE208" s="1715">
        <f>IF($A208&gt;=BegDate,VLOOKUP($A208,GasTable,13)+Assumptions!$C$58,0)</f>
        <v>3.1914693929327678</v>
      </c>
      <c r="HF208" s="1715">
        <f>HE208*Assumptions!$C$57/1000</f>
        <v>23.138153098762565</v>
      </c>
      <c r="HG208" s="625">
        <f>IF(Assumptions!$C$60="Hourly",MAX(0,HC208*(HD208-HF208)),HC208*(HD208-HF208))</f>
        <v>175195.65756886548</v>
      </c>
      <c r="HH208" s="640">
        <f>IF($A208&gt;=BegDate,Assumptions!$C$56*24*($A209-$A208)*(1-VLOOKUP($B208,MAIN!$AA$7:$AM$28,$C208+1))*(1-VLOOKUP($B208,MAIN!$AA$33:$AM$54,$C208+1)),0)*56/168</f>
        <v>157140</v>
      </c>
      <c r="HI208" s="1715">
        <f t="shared" si="511"/>
        <v>27.040309147451818</v>
      </c>
      <c r="HJ208" s="1715">
        <f>IF($A208&gt;=BegDate,VLOOKUP($A208,GasTable,13)+Assumptions!$C$58,0)</f>
        <v>3.1914693929327678</v>
      </c>
      <c r="HK208" s="1715">
        <f>HJ208*Assumptions!$C$57/1000</f>
        <v>23.138153098762565</v>
      </c>
      <c r="HL208" s="625">
        <f>IF(Assumptions!$C$60="Hourly",MAX(0,HH208*(HI208-HK208)),HH208*(HI208-HK208))</f>
        <v>613184.80149102921</v>
      </c>
      <c r="HM208" s="640">
        <f>IF(AND(Assumptions!$H$71="Yes",A208&gt;=Assumptions!$H$72,A208&lt;=Assumptions!$H$73),Assumptions!$H$74*Assumptions!$C$9*1000,0)</f>
        <v>0</v>
      </c>
      <c r="HN208" s="530"/>
      <c r="HO208" s="545"/>
      <c r="HP208" s="545"/>
      <c r="HQ208" s="545"/>
      <c r="HR208" s="545"/>
      <c r="HS208" s="545"/>
      <c r="HT208" s="545"/>
      <c r="HU208" s="545"/>
      <c r="HV208" s="545"/>
      <c r="HW208" s="545"/>
      <c r="HX208" s="545"/>
      <c r="HY208" s="545"/>
      <c r="HZ208" s="545"/>
      <c r="IA208" s="545"/>
      <c r="IB208" s="545"/>
      <c r="IC208" s="545"/>
      <c r="ID208" s="545"/>
      <c r="IE208" s="545"/>
      <c r="IF208" s="545"/>
      <c r="IG208" s="545"/>
      <c r="IH208" s="545"/>
      <c r="II208" s="1464"/>
      <c r="IJ208" s="1463"/>
      <c r="IK208" s="1463"/>
    </row>
    <row r="209" spans="1:245">
      <c r="A209" s="177">
        <f t="shared" si="466"/>
        <v>42491</v>
      </c>
      <c r="B209" s="349">
        <f t="shared" si="467"/>
        <v>2016</v>
      </c>
      <c r="C209" s="15">
        <f t="shared" ref="C209:C224" si="578">MONTH(A209)</f>
        <v>5</v>
      </c>
      <c r="D209" s="612">
        <f t="shared" si="468"/>
        <v>42520</v>
      </c>
      <c r="E209" s="609">
        <f t="shared" ref="E209:E224" si="579">IF(OR(BegDate&gt;=A210,EndDate&lt;A209,AND(VolumeMonthlyOverFlag,INDEX(VolumeMonthlyOver,C209)=0),NOT(INDEX(MonthKnockOutTable,C209))),"",MAX(A209,BegDate))</f>
        <v>42491</v>
      </c>
      <c r="F209" s="614">
        <f t="shared" ref="F209:F224" si="580">IF(E209="","",MIN(A210-1,EndDate))</f>
        <v>42521</v>
      </c>
      <c r="G209" s="1349">
        <v>0</v>
      </c>
      <c r="H209" s="152">
        <f t="shared" si="512"/>
        <v>1</v>
      </c>
      <c r="I209" s="154">
        <f>IF(Assumptions!$L$25=4,VLOOKUP($A209,'Henwood Reference'!$E$9:$R$320,10),(VLOOKUP($A209,PriceTable,2,0)+IF(BasisNumber&lt;&gt;1,VLOOKUP($A209,BasisTable,2,0),0)+I$1)/(1-I$2))</f>
        <v>46.311612154084344</v>
      </c>
      <c r="J209" s="154">
        <f>IF(Assumptions!$L$25=4,VLOOKUP($A209,'Henwood Reference'!$E$9:$R$320,10),(VLOOKUP($A209,PriceTable,3,0)+IF(BasisNumber&lt;&gt;1,VLOOKUP($A209,BasisTable,2,0),0)+J$1)/(1-J$2))</f>
        <v>46.311612154084344</v>
      </c>
      <c r="K209" s="154">
        <f>IF(Assumptions!$L$25=4,VLOOKUP($A209,'Henwood Reference'!$E$9:$R$320,10),(VLOOKUP($A209,PriceTable,4,0)+IF(BasisNumber&lt;&gt;1,VLOOKUP($A209,BasisTable,2,0),0)+K$1)/(1-K$2))</f>
        <v>46.311612154084344</v>
      </c>
      <c r="L209" s="474">
        <f>IF(Assumptions!$L$25=4,VLOOKUP($A209,'Henwood Reference'!$E$9:$R$320,10),(VLOOKUP($A209,PriceTableWeekend,2,0)+IF(BasisNumber&lt;&gt;1,VLOOKUP($A209,BasisTable,2,0),0)+L$1)/(1-L$2))</f>
        <v>46.311612154084344</v>
      </c>
      <c r="M209" s="154">
        <f>IF(Assumptions!$L$25=4,VLOOKUP($A209,'Henwood Reference'!$E$9:$R$320,10),(VLOOKUP($A209,PriceTableWeekend,3,0)+IF(BasisNumber&lt;&gt;1,VLOOKUP($A209,BasisTable,2,0),0)+M$1)/(1-M$2))</f>
        <v>46.311612154084344</v>
      </c>
      <c r="N209" s="156">
        <f>IF(Assumptions!$L$25=4,VLOOKUP($A209,'Henwood Reference'!$E$9:$R$320,10),(VLOOKUP($A209,PriceTableWeekend,4,0)+IF(BasisNumber&lt;&gt;1,VLOOKUP($A209,BasisTable,2,0),0)+N$1)/(1-N$2))</f>
        <v>46.311612154084344</v>
      </c>
      <c r="O209" s="154">
        <f>IF(Assumptions!$L$25=4,VLOOKUP($A209,'Henwood Reference'!$E$9:$R$320,11),(VLOOKUP($A209,PriceTableWeekend,6,0)+IF(BasisNumber&lt;&gt;1,VLOOKUP($A209,BasisTable,3,0),0)+O$1)/(1-O$2))</f>
        <v>27.476717723100126</v>
      </c>
      <c r="P209" s="154">
        <f>IF(Assumptions!$L$25=4,VLOOKUP($A209,'Henwood Reference'!$E$9:$R$320,11),(VLOOKUP($A209,PriceTableWeekend,7,0)+IF(BasisNumber&lt;&gt;1,VLOOKUP($A209,BasisTable,3,0),0)+P$1)/(1-P$2))</f>
        <v>27.476717723100126</v>
      </c>
      <c r="Q209" s="156">
        <f>IF(Assumptions!$L$25=4,VLOOKUP($A209,'Henwood Reference'!$E$9:$R$320,11),(VLOOKUP($A209,PriceTableWeekend,8,0)+IF(BasisNumber&lt;&gt;1,VLOOKUP($A209,BasisTable,3,0),0)+Q$1)/(1-Q$2))</f>
        <v>27.476717723100126</v>
      </c>
      <c r="R209" s="154">
        <f>IF(Assumptions!$L$25=4,VLOOKUP($A209,'Henwood Reference'!$E$9:$R$320,11),(VLOOKUP($A209,PriceTable,6,0)+IF(BasisNumber&lt;&gt;1,VLOOKUP($A209,BasisTable,3,0),0)+R$1)/(1-R$2))</f>
        <v>27.476717723100126</v>
      </c>
      <c r="S209" s="154">
        <f>IF(Assumptions!$L$25=4,VLOOKUP($A209,'Henwood Reference'!$E$9:$R$320,11),(VLOOKUP($A209,PriceTable,7,0)+IF(BasisNumber&lt;&gt;1,VLOOKUP($A209,BasisTable,3,0),0)+S$1)/(1-S$2))</f>
        <v>27.476717723100126</v>
      </c>
      <c r="T209" s="155">
        <f>IF(Assumptions!$L$25=4,VLOOKUP($A209,'Henwood Reference'!$E$9:$R$320,11),(VLOOKUP($A209,PriceTable,8,0)+IF(BasisNumber&lt;&gt;1,VLOOKUP($A209,BasisTable,3,0),0)+T$1)/(1-T$2))</f>
        <v>27.476717723100126</v>
      </c>
      <c r="U209" s="173">
        <f t="shared" si="469"/>
        <v>0.09</v>
      </c>
      <c r="V209" s="173">
        <f t="shared" si="470"/>
        <v>0.1</v>
      </c>
      <c r="W209" s="174">
        <f t="shared" si="471"/>
        <v>0.11</v>
      </c>
      <c r="X209" s="173">
        <f t="shared" si="472"/>
        <v>0.09</v>
      </c>
      <c r="Y209" s="173">
        <f t="shared" si="473"/>
        <v>0.1</v>
      </c>
      <c r="Z209" s="174">
        <f t="shared" si="474"/>
        <v>0.11</v>
      </c>
      <c r="AA209" s="173">
        <f t="shared" si="475"/>
        <v>0.09</v>
      </c>
      <c r="AB209" s="173">
        <f t="shared" si="476"/>
        <v>0.11</v>
      </c>
      <c r="AC209" s="174">
        <f t="shared" si="477"/>
        <v>0.13</v>
      </c>
      <c r="AD209" s="173">
        <f t="shared" si="478"/>
        <v>0.09</v>
      </c>
      <c r="AE209" s="173">
        <f t="shared" si="479"/>
        <v>0.11</v>
      </c>
      <c r="AF209" s="174">
        <f t="shared" si="480"/>
        <v>0.13</v>
      </c>
      <c r="AG209" s="173">
        <f t="shared" si="481"/>
        <v>-0.1</v>
      </c>
      <c r="AH209" s="173">
        <f t="shared" si="482"/>
        <v>0.65</v>
      </c>
      <c r="AI209" s="174">
        <f t="shared" si="483"/>
        <v>0.1</v>
      </c>
      <c r="AJ209" s="173">
        <f t="shared" si="484"/>
        <v>-0.1</v>
      </c>
      <c r="AK209" s="173">
        <f t="shared" si="485"/>
        <v>0.65</v>
      </c>
      <c r="AL209" s="174">
        <f t="shared" si="486"/>
        <v>0.1</v>
      </c>
      <c r="AM209" s="173">
        <f t="shared" si="487"/>
        <v>-0.01</v>
      </c>
      <c r="AN209" s="173">
        <f t="shared" si="488"/>
        <v>0.16</v>
      </c>
      <c r="AO209" s="174">
        <f t="shared" si="489"/>
        <v>0.01</v>
      </c>
      <c r="AP209" s="173">
        <f t="shared" si="490"/>
        <v>-0.01</v>
      </c>
      <c r="AQ209" s="173">
        <f t="shared" si="491"/>
        <v>0.16</v>
      </c>
      <c r="AR209" s="175">
        <f t="shared" si="492"/>
        <v>0.01</v>
      </c>
      <c r="AS209" s="521">
        <f t="shared" si="576"/>
        <v>0.5</v>
      </c>
      <c r="AT209" s="349">
        <f t="shared" ref="AT209:AT224" si="581">AX209-SUM(AU209:AW209)</f>
        <v>21</v>
      </c>
      <c r="AU209" s="159">
        <f t="shared" ref="AU209:AU272" si="582">IF(E209="",0,INT((F209-MOD(F209,7)-E209)/7)+1-IF(AW209,IF(WEEKDAY(D209)=7,1,0),0))</f>
        <v>4</v>
      </c>
      <c r="AV209" s="159">
        <f t="shared" ref="AV209:AV272" si="583">IF(E209="",0,INT((F209-MOD(F209-1,7)-E209)/7)+1-IF(AW209,IF(WEEKDAY(D209)=1,1,0),0))</f>
        <v>5</v>
      </c>
      <c r="AW209" s="159">
        <f t="shared" si="577"/>
        <v>1</v>
      </c>
      <c r="AX209" s="15">
        <f t="shared" ref="AX209:AX224" si="584">IF(E209="",0,F209-E209+1)</f>
        <v>31</v>
      </c>
      <c r="AY209" s="607">
        <f>IF(E209="",0,MIN((1-(1-VLOOKUP(B209,MAIN!$AA$7:$AM$28,C209+1))*(1-VLOOKUP(B209,MAIN!$AA$33:$AM$54,C209+1))),1))</f>
        <v>3.0000000000000027E-2</v>
      </c>
      <c r="AZ209" s="337">
        <v>48888</v>
      </c>
      <c r="BA209" s="509">
        <v>9312</v>
      </c>
      <c r="BB209" s="509">
        <v>13968</v>
      </c>
      <c r="BC209" s="511">
        <v>36084</v>
      </c>
      <c r="BD209" s="153">
        <v>0.97</v>
      </c>
      <c r="BE209" s="474">
        <v>0.97</v>
      </c>
      <c r="BF209" s="474">
        <v>0.97</v>
      </c>
      <c r="BG209" s="515">
        <v>0.97</v>
      </c>
      <c r="BH209" s="262">
        <v>195552</v>
      </c>
      <c r="BI209" s="509">
        <v>37248</v>
      </c>
      <c r="BJ209" s="509">
        <v>55872</v>
      </c>
      <c r="BK209" s="511">
        <v>144336</v>
      </c>
      <c r="BL209" s="153">
        <v>0.97</v>
      </c>
      <c r="BM209" s="474">
        <v>0.97</v>
      </c>
      <c r="BN209" s="474">
        <v>0.97</v>
      </c>
      <c r="BO209" s="474">
        <v>0.97</v>
      </c>
      <c r="BP209" s="261">
        <f t="shared" si="495"/>
        <v>72168</v>
      </c>
      <c r="BQ209" s="578">
        <f t="shared" si="496"/>
        <v>108252</v>
      </c>
      <c r="BR209" s="259">
        <f t="shared" si="497"/>
        <v>288672</v>
      </c>
      <c r="BS209" s="578">
        <f t="shared" si="498"/>
        <v>433008</v>
      </c>
      <c r="BT209" s="216">
        <f t="shared" si="499"/>
        <v>16.046543463381244</v>
      </c>
      <c r="BU209" s="218">
        <f t="shared" ref="BU209:BU272" si="585">IF(BQ209,IF(OPriceCurve,IF(OBuySell=OCallPut,I209/(1-AY209),K209/(1-AY209)),J209/(1-AY209))*BD209,0)</f>
        <v>46.311612154084344</v>
      </c>
      <c r="BV209" s="216">
        <f t="shared" ref="BV209:BV272" si="586">IF(BQ209,IF(OPriceCurve,IF(OBuySell=OCallPut,L209/(1-AY209),N209/(1-AY209)),M209/(1-AY209))*BE209,0)</f>
        <v>46.311612154084344</v>
      </c>
      <c r="BW209" s="216">
        <f t="shared" ref="BW209:BW272" si="587">IF(BQ209,IF(OPriceCurve,IF(OBuySell=OCallPut,O209/(1-AY209),Q209/(1-AY209)),P209/(1-AY209))*BF209,0)</f>
        <v>27.476717723100126</v>
      </c>
      <c r="BX209" s="216">
        <f t="shared" si="500"/>
        <v>27.476717723100126</v>
      </c>
      <c r="BY209" s="216">
        <f t="shared" ref="BY209:BY272" si="588">IF(BP209,(BU209*AZ209+BV209*BA209+BW209*BB209)/BP209,0)</f>
        <v>42.666148715829337</v>
      </c>
      <c r="BZ209" s="216">
        <f t="shared" ref="BZ209:BZ272" si="589">IF(BQ209,(BY209*BP209+BX209*BC209)/BQ209,0)</f>
        <v>37.603005051586265</v>
      </c>
      <c r="CA209" s="264">
        <f t="shared" ref="CA209:CA272" si="590">IF(BS209,IF(OPriceCurve,IF(OBuySell=OCallPut,I209/(1-AY209),K209/(1-AY209)),J209/(1-AY209))*BL209,0)</f>
        <v>46.311612154084344</v>
      </c>
      <c r="CB209" s="216">
        <f t="shared" ref="CB209:CB272" si="591">IF(BS209,IF(OPriceCurve,IF(OBuySell=OCallPut,L209/(1-AY209),N209/(1-AY209)),M209/(1-AY209))*BM209,0)</f>
        <v>46.311612154084344</v>
      </c>
      <c r="CC209" s="216">
        <f t="shared" ref="CC209:CC272" si="592">IF(BS209,IF(OPriceCurve,IF(OBuySell=OCallPut,O209/(1-AY209),Q209/(1-AY209)),P209/(1-AY209))*BN209,0)</f>
        <v>27.476717723100126</v>
      </c>
      <c r="CD209" s="216">
        <f t="shared" si="501"/>
        <v>27.476717723100126</v>
      </c>
      <c r="CE209" s="216">
        <f t="shared" ref="CE209:CE272" si="593">IF(BR209,(BU209*BH209+BV209*BI209+BW209*BJ209)/BR209,0)</f>
        <v>42.666148715829337</v>
      </c>
      <c r="CF209" s="571">
        <f t="shared" ref="CF209:CF272" si="594">IF(BS209,(CE209*BR209+CD209*BK209)/BS209,0)</f>
        <v>37.603005051586265</v>
      </c>
      <c r="CG209" s="573">
        <f t="shared" ref="CG209:CG272" si="595">IF(OR(BQ209,BS209),IF(OVolType&lt;&gt;2,SQRT(IF(OVolOverMonthlyPeak,OVolOverMonthlyPeak,IF(OVolCurve,IF(OBuySell,U209,W209),V209))^2*(1-15/365.25/BT209)+IF(OVolOverDailyPeak,OVolOverDailyPeak,IF(OVolCurve,IF(OBuySell,AG209,AI209),AH209))^2*15/365.25/BT209),IF(OVolOverMonthlyPeak,OVolOverMonthlyPeak,IF(OVolCurve,IF(OBuySell,U209,W209),V209))),"")</f>
        <v>0.1</v>
      </c>
      <c r="CH209" s="219">
        <f t="shared" ref="CH209:CH272" si="596">IF(OR(BQ209,BS209),IF(OVolType&lt;&gt;2,SQRT(IF(OVolOverMonthlyPeak,OVolOverMonthlyPeak,IF(OVolCurve,IF(OBuySell,X209,Z209),Y209))^2*(1-15/365.25/BT209)+IF(OVolOverDailyPeak,OVolOverDailyPeak,IF(OVolCurve,IF(OBuySell,AJ209,AL209),AK209))^2*15/365.25/BT209),IF(OVolOverMonthlyPeak,OVolOverMonthlyPeak,IF(OVolCurve,IF(OBuySell,X209,Z209),Y209))),"")</f>
        <v>0.1</v>
      </c>
      <c r="CI209" s="219">
        <f t="shared" ref="CI209:CI272" si="597">IF(OR(BQ209,BS209),IF(OVolType&lt;&gt;2,SQRT(IF(OVolOverMonthlyPeak,OVolOverMonthlyPeak,IF(OVolCurve,IF(OBuySell,AA209,AC209),AB209))^2*(1-15/365.25/BT209)+IF(OVolOverDailyPeak,OVolOverDailyPeak,IF(OVolCurve,IF(OBuySell,AM209,AO209),AN209))^2*15/365.25/BT209),IF(OVolOverMonthlyPeak,OVolOverMonthlyPeak,IF(OVolCurve,IF(OBuySell,AA209,AC209),AB209))),"")</f>
        <v>0.11</v>
      </c>
      <c r="CJ209" s="219">
        <f t="shared" ref="CJ209:CJ272" si="598">IF(BQ209,IF(BP209,SQRT(LN(1+((BU209*AZ209)^2*(EXP(CG209^2*BT209)-1)+(BV209*BA209)^2*(EXP(CH209^2*BT209)-1)+(BW209*BB209)^2*(EXP(CI209^2*BT209)-1)+2*BU209*AZ209*BV209*BA209*(EXP(CG209*CH209*BT209)-1)+2*BV209*BA209*BW209*BB209*(EXP(CH209*CI209*BT209)-1)+2*BW209*BB209*BU209*AZ209*(EXP(CI209*CG209*BT209)-1))/(BY209*BP209)^2)/BT209),0),"")</f>
        <v>0.10125534405974697</v>
      </c>
      <c r="CK209" s="219">
        <f t="shared" ref="CK209:CK272" si="599">IF(BS209,IF(BR209,SQRT(LN(1+((CA209*BH209)^2*(EXP(CG209^2*BT209)-1)+(CB209*BI209)^2*(EXP(CH209^2*BT209)-1)+(CC209*BJ209)^2*(EXP(CI209^2*BT209)-1)+2*CA209*BH209*CB209*BI209*(EXP(CG209*CH209*BT209)-1)+2*CB209*BI209*CC209*BJ209*(EXP(CH209*CI209*BT209)-1)+2*CC209*BJ209*CA209*BH209*(EXP(CI209*CG209*BT209)-1))/(CE209*BR209)^2)/BT209),0),"")</f>
        <v>0.10125534405974697</v>
      </c>
      <c r="CL209" s="219">
        <f t="shared" ref="CL209:CL272" si="600">IF(OR(BQ209,BS209),IF(OVolType&lt;&gt;2,SQRT(IF(OVolOverMonthlyOffPeak,OVolOverMonthlyOffPeak,IF(OVolCurve,IF(OBuySell,AD209,AF209),AE209))^2*(1-15/365.25/BT209)+IF(OVolOverDailyOffPeak,OVolOverDailyOffPeak,IF(OVolCurve,IF(OBuySell,AP209,AR209),AQ209))^2*15/365.25/BT209),IF(OVolOverMonthlyOffPeak,OVolOverMonthlyOffPeak,IF(OVolCurve,IF(OBuySell,AD209,AF209),AE209))),"")</f>
        <v>0.11</v>
      </c>
      <c r="CM209" s="219">
        <f t="shared" ref="CM209:CM272" si="601">IF(BQ209,SQRT(LN(1+((BY209*BP209)^2*(EXP(CJ209^2*BT209)-1)+(BX209*BC209)^2*(EXP(CL209^2*BT209)-1)+2*BY209*BP209*BX209*BC209*(EXP(AS209*CJ209*CL209*BT209)-1))/(BY209*BP209+BX209*BC209)^2)/BT209),"")</f>
        <v>9.3175444151789993E-2</v>
      </c>
      <c r="CN209" s="569">
        <f t="shared" ref="CN209:CN272" si="602">IF(BS209,SQRT(LN(1+((CE209*BR209)^2*(EXP(CK209^2*BT209)-1)+(CD209*BK209)^2*(EXP(CL209^2*BT209)-1)+2*CE209*BR209*CD209*BK209*(EXP(AS209*CK209*CL209*BT209)-1))/(CE209*BR209+CD209*BK209)^2)/BT209),"")</f>
        <v>9.3175444151789993E-2</v>
      </c>
      <c r="CO209" s="264">
        <f t="shared" si="514"/>
        <v>22.367309265124366</v>
      </c>
      <c r="CP209" s="216">
        <f t="shared" si="502"/>
        <v>22.367309265124366</v>
      </c>
      <c r="CQ209" s="216">
        <f t="shared" ca="1" si="532"/>
        <v>22.367309265124366</v>
      </c>
      <c r="CR209" s="216">
        <f t="shared" ca="1" si="533"/>
        <v>22.367309265124366</v>
      </c>
      <c r="CS209" s="1626">
        <f t="shared" ca="1" si="534"/>
        <v>22.367309265124369</v>
      </c>
      <c r="CT209" s="216">
        <f t="shared" si="503"/>
        <v>22.367309265124366</v>
      </c>
      <c r="CU209" s="575">
        <f t="shared" ref="CU209:CU272" si="603">IF(OR(BQ209,BS209),VLOOKUP(A209,GasTable,14),"")</f>
        <v>0.152</v>
      </c>
      <c r="CV209" s="154">
        <f t="shared" ref="CV209:CV272" si="604">IF(OR(BQ209,BS209),IF(CorrPowerGasOverFlag,INDEX(CorrPowerGasOver,C209),CorrPowerGas),"")</f>
        <v>0.5</v>
      </c>
      <c r="CW209" s="216">
        <f>IF(OR($BQ209,$BS209),SpreadOptPowerMargin,0)*((1+Assumptions!$C$26)^($B209-YEAR(Assumptions!$C$17)))</f>
        <v>2.3284919348168329</v>
      </c>
      <c r="CX209" s="216">
        <f>IF(OR($BQ209,$BS209),SpreadOptPowerMargin,0)*((1+Assumptions!$C$26)^($B209-YEAR(Assumptions!$C$17)))</f>
        <v>2.3284919348168329</v>
      </c>
      <c r="CY209" s="216">
        <f>IF(OR($BQ209,$BS209),SpreadOptPowerMargin,0)*((1+Assumptions!$C$26)^($B209-YEAR(Assumptions!$C$17)))</f>
        <v>2.3284919348168329</v>
      </c>
      <c r="CZ209" s="216">
        <f>IF(OR($BQ209,$BS209),SpreadOptPowerMargin,0)*((1+Assumptions!$C$26)^($B209-YEAR(Assumptions!$C$17)))</f>
        <v>2.3284919348168329</v>
      </c>
      <c r="DA209" s="440">
        <f t="shared" ref="DA209:DA272" si="605">IF(OR(BQ209,BS209),(CW209*(AZ209+BH209)+CX209*(BA209+BI209)+CY209*(BB209+BJ209)+CZ209*(BC209+BK209))/(BQ209+BS209),0)</f>
        <v>2.3284919348168329</v>
      </c>
      <c r="DB209" s="479">
        <f t="shared" ref="DB209:DB272" si="606">IF(OR(BQ209,BS209),CG209+IF(OVolSmile,VLOOKUP(MAX(-5,CO209+CW209-BU209),IF(OVolSmile=1,VolSmileBook,VolSmileModel),2),0),"")</f>
        <v>0.1</v>
      </c>
      <c r="DC209" s="479">
        <f t="shared" ref="DC209:DC272" si="607">IF(OR(BQ209,BS209),CH209+IF(OVolSmile,VLOOKUP(MAX(-5,CP209+CW209-BV209),IF(OVolSmile=1,VolSmileBook,VolSmileModel),2),0),"")</f>
        <v>0.1</v>
      </c>
      <c r="DD209" s="479">
        <f t="shared" ref="DD209:DD272" si="608">IF(OR(BQ209,BS209),CI209+IF(OVolSmile,VLOOKUP(MAX(-5,CQ209+CW209-BW209),IF(OVolSmile=1,VolSmileBook,VolSmileModel),2),0),"")</f>
        <v>0.11</v>
      </c>
      <c r="DE209" s="479">
        <f t="shared" ref="DE209:DE272" si="609">IF(OR(BQ209,BS209),CL209+IF(OVolSmile,VLOOKUP(MAX(-5,CR209+CZ209-BX209),IF(OVolSmile=1,VolSmileBook,VolSmileModel),2),0),"")</f>
        <v>0.11</v>
      </c>
      <c r="DF209" s="479">
        <f t="shared" ref="DF209:DF272" si="610">IF(BQ209,CM209+IF(OVolSmile,VLOOKUP(MAX(-5,CS209+DA209-BZ209),IF(OVolSmile=1,VolSmileBook,VolSmileModel),2),0),"")</f>
        <v>9.3175444151789993E-2</v>
      </c>
      <c r="DG209" s="574">
        <f t="shared" ref="DG209:DG272" si="611">IF(BS209,CN209+IF(OVolSmile,VLOOKUP(MAX(-5,CT209+DA209-CF209),IF(OVolSmile=1,VolSmileBook,VolSmileModel),2),0),"")</f>
        <v>9.3175444151789993E-2</v>
      </c>
      <c r="DH209" s="216">
        <f t="shared" ref="DH209:DH272" si="612">IF(AND(BU209&gt;0,CO209&gt;0,DB209&gt;0,CU209&gt;0),newSPRDOPT(BU209,CO209,CW209,0,DB209,CU209,CV209,BT209*365.25,OCallPut,0),0)</f>
        <v>22.450965054591716</v>
      </c>
      <c r="DI209" s="216">
        <f t="shared" ref="DI209:DI272" si="613">IF(AND(BV209&gt;0,CP209&gt;0,DC209&gt;0,CU209&gt;0),newSPRDOPT(BV209,CP209,CX209,0,DC209,CU209,CV209,BT209*365.25,OCallPut,0),0)</f>
        <v>22.450965054591716</v>
      </c>
      <c r="DJ209" s="216">
        <f t="shared" ca="1" si="535"/>
        <v>6.7126649288662357</v>
      </c>
      <c r="DK209" s="216">
        <f t="shared" ca="1" si="536"/>
        <v>6.7126649288662357</v>
      </c>
      <c r="DL209" s="216">
        <f t="shared" ca="1" si="537"/>
        <v>14.525895774679023</v>
      </c>
      <c r="DM209" s="216"/>
      <c r="DN209" s="216"/>
      <c r="DO209" s="216"/>
      <c r="DP209" s="216"/>
      <c r="DQ209" s="216"/>
      <c r="DR209" s="216"/>
      <c r="DS209" s="216"/>
      <c r="DT209" s="216"/>
      <c r="DU209" s="216"/>
      <c r="DV209" s="216"/>
      <c r="DW209" s="1371">
        <f t="shared" ref="DW209:DW272" si="614">IF(AND(BW209&gt;0,CT209&gt;0,DD209&gt;0,CU209&gt;0),newSPRDOPT(BW209,CT209,CY209,0,DD209,CU209,CV209,BT209*365.25,OCallPut,0),0)</f>
        <v>6.7126649288662357</v>
      </c>
      <c r="DX209" s="216">
        <f t="shared" ref="DX209:DX272" si="615">IF(AND(BX209&gt;0,CT209&gt;0,DE209&gt;0,CU209&gt;0),newSPRDOPT(BX209,CT209,CZ209,0,DE209,CU209,CV209,BT209*365.25,OCallPut,0),0)</f>
        <v>6.7126649288662357</v>
      </c>
      <c r="DY209" s="440">
        <f t="shared" ref="DY209:DY272" si="616">IF(BS209,(DH209*BH209+DI209*BI209+DW209*BJ209+DX209*BK209)/BS209,0)</f>
        <v>15.174116609363807</v>
      </c>
      <c r="DZ209" s="180">
        <f t="shared" ref="DZ209:DZ272" si="617">DH209*AZ209</f>
        <v>1097582.7795888798</v>
      </c>
      <c r="EA209" s="180">
        <f t="shared" ref="EA209:EA272" si="618">DI209*BA209</f>
        <v>209063.38658835806</v>
      </c>
      <c r="EB209" s="180">
        <f t="shared" ca="1" si="538"/>
        <v>93762.503726403578</v>
      </c>
      <c r="EC209" s="180">
        <f t="shared" ca="1" si="539"/>
        <v>242219.80129320925</v>
      </c>
      <c r="ED209" s="180">
        <f t="shared" ca="1" si="540"/>
        <v>1572457.2694005535</v>
      </c>
      <c r="EE209" s="581">
        <f t="shared" ref="EE209:EE272" si="619">IF(BQ209,IF(OCallPut,IF(BU209&gt;(CO209+CW209),BU209-(CO209+CW209),0),IF((CO209+CW209)&gt;BU209,(CO209+CW209)-BU209,0))*AZ209,0)</f>
        <v>1056753.7659261501</v>
      </c>
      <c r="EF209" s="554">
        <f t="shared" ref="EF209:EF272" si="620">IF(BQ209,IF(OCallPut,IF(BV209&gt;(CP209+CX209),BV209-(CP209+CX209),0),IF((CP209+CX209)&gt;BV209,(CP209+CX209)-BV209,0))*BA209,0)</f>
        <v>201286.43160498099</v>
      </c>
      <c r="EG209" s="554">
        <f t="shared" ca="1" si="541"/>
        <v>38843.841995483919</v>
      </c>
      <c r="EH209" s="554">
        <f t="shared" ca="1" si="542"/>
        <v>100346.59182166679</v>
      </c>
      <c r="EI209" s="561">
        <f t="shared" ref="EI209:EI272" ca="1" si="621">IF(BQ209,IF(OVolType,IF(OCallPut,IF(BZ209&gt;(CS209+DA209),BZ209-(CS209+DA209),0),IF((CS209+DA209)&gt;BZ209,(CS209+DA209)-BZ209,0))*BQ209,SUM(EE209:EH209)),0)</f>
        <v>1397230.6313482816</v>
      </c>
      <c r="EJ209" s="581">
        <f t="shared" si="504"/>
        <v>40829.013662729645</v>
      </c>
      <c r="EK209" s="554">
        <f t="shared" si="505"/>
        <v>7776.9549833770725</v>
      </c>
      <c r="EL209" s="554">
        <f t="shared" ca="1" si="543"/>
        <v>54918.661730919659</v>
      </c>
      <c r="EM209" s="554">
        <f t="shared" ca="1" si="544"/>
        <v>141873.20947154245</v>
      </c>
      <c r="EN209" s="561">
        <f t="shared" ca="1" si="545"/>
        <v>175226.63805227191</v>
      </c>
      <c r="EO209" s="180">
        <f t="shared" ref="EO209:EO272" si="622">DH209*BH209</f>
        <v>4390331.1183555191</v>
      </c>
      <c r="EP209" s="180">
        <f t="shared" ref="EP209:EP272" si="623">DI209*BI209</f>
        <v>836253.54635343223</v>
      </c>
      <c r="EQ209" s="180">
        <f t="shared" ref="EQ209:EQ272" si="624">DW209*BJ209</f>
        <v>375050.01490561431</v>
      </c>
      <c r="ER209" s="180">
        <f t="shared" ref="ER209:ER272" si="625">DX209*BK209</f>
        <v>968879.20517283701</v>
      </c>
      <c r="ES209" s="180">
        <f t="shared" ref="ES209:ES272" si="626">DY209*BS209</f>
        <v>6570513.884787403</v>
      </c>
      <c r="ET209" s="1482">
        <f t="shared" ca="1" si="546"/>
        <v>4227015.0637046006</v>
      </c>
      <c r="EU209" s="180">
        <f t="shared" ca="1" si="547"/>
        <v>805145.72641992394</v>
      </c>
      <c r="EV209" s="180">
        <f t="shared" ca="1" si="548"/>
        <v>155375.36798193568</v>
      </c>
      <c r="EW209" s="180">
        <f t="shared" ca="1" si="549"/>
        <v>401386.36728666717</v>
      </c>
      <c r="EX209" s="555">
        <f t="shared" ca="1" si="522"/>
        <v>5588922.5253931275</v>
      </c>
      <c r="EY209" s="180">
        <f t="shared" ca="1" si="550"/>
        <v>163316.05465091858</v>
      </c>
      <c r="EZ209" s="180">
        <f t="shared" ca="1" si="551"/>
        <v>31107.81993350829</v>
      </c>
      <c r="FA209" s="180">
        <f t="shared" ca="1" si="552"/>
        <v>219674.64692367864</v>
      </c>
      <c r="FB209" s="180">
        <f t="shared" ca="1" si="553"/>
        <v>567492.83788616979</v>
      </c>
      <c r="FC209" s="180">
        <f t="shared" ca="1" si="554"/>
        <v>981591.35939427558</v>
      </c>
      <c r="FD209" s="262">
        <f>IF(AX209,IF(VLOOKUP(C209,MAIN!$L$17:$M$28,2)="Yes",VLOOKUP(CALC!B209,MAIN!$H$17:$I$20,2),0),0)</f>
        <v>0</v>
      </c>
      <c r="FE209" s="623">
        <f t="shared" ref="FE209:FE272" si="627">$FD209*16*AT209*(1-$AY209)</f>
        <v>0</v>
      </c>
      <c r="FF209" s="535">
        <f t="shared" ref="FF209:FF272" si="628">$FD209*16*AU209*(1-$AY209)</f>
        <v>0</v>
      </c>
      <c r="FG209" s="535">
        <f t="shared" ref="FG209:FG272" si="629">$FD209*16*(AV209+AW209)*(1-$AY209)</f>
        <v>0</v>
      </c>
      <c r="FH209" s="624">
        <f t="shared" ref="FH209:FH272" si="630">$FD209*8*AX209*(1-$AY209)</f>
        <v>0</v>
      </c>
      <c r="FI209" s="632">
        <f>IF(AX209,VLOOKUP(CALC!B209,MAIN!$H$17:$K$20,4),0)</f>
        <v>0</v>
      </c>
      <c r="FJ209" s="535">
        <f t="shared" ref="FJ209:FJ272" si="631">SUM(FE209:FH209)</f>
        <v>0</v>
      </c>
      <c r="FK209" s="648">
        <f t="shared" si="506"/>
        <v>0</v>
      </c>
      <c r="FL209" s="530">
        <f t="shared" ca="1" si="555"/>
        <v>0</v>
      </c>
      <c r="FM209" s="530">
        <f t="shared" ca="1" si="556"/>
        <v>0</v>
      </c>
      <c r="FN209" s="530">
        <f t="shared" ca="1" si="557"/>
        <v>0</v>
      </c>
      <c r="FO209" s="622">
        <f t="shared" ca="1" si="558"/>
        <v>0</v>
      </c>
      <c r="FP209" s="530">
        <f t="shared" ca="1" si="559"/>
        <v>0</v>
      </c>
      <c r="FQ209" s="530">
        <f t="shared" ca="1" si="560"/>
        <v>0</v>
      </c>
      <c r="FR209" s="530">
        <f t="shared" ca="1" si="561"/>
        <v>0</v>
      </c>
      <c r="FS209" s="625">
        <f t="shared" ca="1" si="562"/>
        <v>0</v>
      </c>
      <c r="FT209" s="640">
        <f ca="1">IF(AND(Assumptions!$H$71="Yes",A209&gt;=Assumptions!$H$72,A209&lt;=Assumptions!$H$73),0,IF(AND($A209&gt;=Assumptions!$C$17,$A209&lt;=Assumptions!$C$18),MAX(AZ209*(1+VLOOKUP($C209,WeatherCapacityAdjustment,2))-FL209,0),0))</f>
        <v>48888</v>
      </c>
      <c r="FU209" s="530">
        <f ca="1">IF(AND(Assumptions!$H$71="Yes",A209&gt;=Assumptions!$H$72,A209&lt;=Assumptions!$H$73),0,IF(AND($A209&gt;=Assumptions!$C$17,$A209&lt;=Assumptions!$C$18),MAX(BA209*(1+VLOOKUP($C209,WeatherCapacityAdjustment,2))-FM209,0),0))</f>
        <v>9312</v>
      </c>
      <c r="FV209" s="530">
        <f ca="1">IF(AND(Assumptions!$H$71="Yes",A209&gt;=Assumptions!$H$72,A209&lt;=Assumptions!$H$73),0,IF(AND($A209&gt;=Assumptions!$C$17,$A209&lt;=Assumptions!$C$18),MAX(BB209*(1+VLOOKUP($C209,WeatherCapacityAdjustment,2))-FN209,0),0))</f>
        <v>13968</v>
      </c>
      <c r="FW209" s="622">
        <f ca="1">IF(AND(Assumptions!$H$71="Yes",A209&gt;=Assumptions!$H$72,A209&lt;=Assumptions!$H$73),0,IF(AND($A209&gt;=Assumptions!$C$17,$A209&lt;=Assumptions!$C$18),MAX(BC209*(1+VLOOKUP($C209,WeatherCapacityAdjustment,3))-FO209,0),0))</f>
        <v>36084</v>
      </c>
      <c r="FX209" s="621">
        <f ca="1">IF(AND(Assumptions!$H$71="Yes",A209&gt;=Assumptions!$H$72,A209&lt;=Assumptions!$H$73),0,IF(ET209&gt;0,MAX(BH209*(1+VLOOKUP($C209,WeatherCapacityAdjustment,2))-FP209,0),0))</f>
        <v>195552</v>
      </c>
      <c r="FY209" s="530">
        <f ca="1">IF(AND(Assumptions!$H$71="Yes",A209&gt;=Assumptions!$H$72,A209&lt;=Assumptions!$H$73),0,IF(EU209&gt;0,MAX(BI209*(1+VLOOKUP($C209,WeatherCapacityAdjustment,3))-FQ209,0),0))</f>
        <v>37248</v>
      </c>
      <c r="FZ209" s="530">
        <f ca="1">IF(AND(Assumptions!$H$71="Yes",A209&gt;=Assumptions!$H$72,A209&lt;=Assumptions!$H$73),0,IF(EV209&gt;0,MAX(BJ209*(1+VLOOKUP($C209,WeatherCapacityAdjustment,2))-FR209,0),0))</f>
        <v>55872</v>
      </c>
      <c r="GA209" s="622">
        <f ca="1">IF(AND(Assumptions!$H$71="Yes",A209&gt;=Assumptions!$H$72,A209&lt;=Assumptions!$H$73),0,IF(EW209&gt;0,MAX(BK209*(1+VLOOKUP($C209,WeatherCapacityAdjustment,2))-FS209,0),0))</f>
        <v>144336</v>
      </c>
      <c r="GB209" s="530">
        <f t="shared" ref="GB209:GB272" ca="1" si="632">SUM(FT209:GA209)</f>
        <v>541260</v>
      </c>
      <c r="GC209" s="545">
        <f t="shared" ref="GC209:GC272" ca="1" si="633">+IF(SUM(FT209:GA209)=0,0,(SUMPRODUCT(BU209:BX209,FT209:FW209)+SUMPRODUCT(CA209:CD209,FX209:GA209))/SUM(FT209:GA209))</f>
        <v>37.603005051586265</v>
      </c>
      <c r="GD209" s="530">
        <f t="shared" ca="1" si="563"/>
        <v>20353002.514221579</v>
      </c>
      <c r="GE209" s="1485">
        <f t="shared" ca="1" si="564"/>
        <v>765690.21143999998</v>
      </c>
      <c r="GF209" s="1776">
        <f t="shared" ca="1" si="565"/>
        <v>3062760.8457599999</v>
      </c>
      <c r="GG209" s="545">
        <f t="shared" si="530"/>
        <v>3.1622527314468325</v>
      </c>
      <c r="GH209" s="622">
        <f t="shared" ca="1" si="531"/>
        <v>12106529.812841212</v>
      </c>
      <c r="GI209" s="621">
        <f t="shared" ca="1" si="507"/>
        <v>541260</v>
      </c>
      <c r="GJ209" s="638">
        <f t="shared" ref="GJ209:GJ272" si="634">+DA209</f>
        <v>2.3284919348168329</v>
      </c>
      <c r="GK209" s="625">
        <f t="shared" ca="1" si="513"/>
        <v>1260319.544638959</v>
      </c>
      <c r="GL209" s="640">
        <f t="shared" ca="1" si="566"/>
        <v>0</v>
      </c>
      <c r="GM209" s="530">
        <f t="shared" ca="1" si="567"/>
        <v>0</v>
      </c>
      <c r="GN209" s="530">
        <f t="shared" ca="1" si="568"/>
        <v>0</v>
      </c>
      <c r="GO209" s="622">
        <f t="shared" ca="1" si="569"/>
        <v>0</v>
      </c>
      <c r="GP209" s="530">
        <f t="shared" ref="GP209:GP272" ca="1" si="635">SUM(GL209:GO209)</f>
        <v>0</v>
      </c>
      <c r="GQ209" s="545">
        <f t="shared" ref="GQ209:GQ272" ca="1" si="636">IF(SUM(GL209:GO209)=0,0,((GL209*BU209+GM209*BV209+GN209*BW209+GO209*BX209)/SUM(GL209:GO209)))</f>
        <v>0</v>
      </c>
      <c r="GR209" s="625">
        <f t="shared" ca="1" si="570"/>
        <v>0</v>
      </c>
      <c r="GS209" s="640">
        <f>IF($A209&gt;=BegDate,Assumptions!$C$56*24*($A210-$A209)*(1-VLOOKUP($B209,MAIN!$AA$7:$AM$28,$C209+1))*(1-VLOOKUP($B209,MAIN!$AA$33:$AM$54,$C209+1)),0)*80/168</f>
        <v>257742.85714285713</v>
      </c>
      <c r="GT209" s="1715">
        <f t="shared" si="508"/>
        <v>46.311612154084344</v>
      </c>
      <c r="GU209" s="1715">
        <f>IF($A209&gt;=BegDate,VLOOKUP($A209,GasTable,13)+Assumptions!$C$58,0)</f>
        <v>3.1622527314468325</v>
      </c>
      <c r="GV209" s="1715">
        <f>GU209*Assumptions!$C$57/1000</f>
        <v>22.926332302989536</v>
      </c>
      <c r="GW209" s="625">
        <f>IF(Assumptions!$C$60="Hourly",MAX(0,GS209*(GT209-GV209)),GS209*(GT209-GV209))</f>
        <v>6027388.8439064641</v>
      </c>
      <c r="GX209" s="640">
        <f>IF($A209&gt;=BegDate,Assumptions!$C$56*24*($A210-$A209)*(1-VLOOKUP($B209,MAIN!$AA$7:$AM$28,$C209+1))*(1-VLOOKUP($B209,MAIN!$AA$33:$AM$54,$C209+1)),0)*16/168</f>
        <v>51548.571428571428</v>
      </c>
      <c r="GY209" s="1715">
        <f t="shared" si="509"/>
        <v>46.311612154084344</v>
      </c>
      <c r="GZ209" s="1715">
        <f>IF($A209&gt;=BegDate,VLOOKUP($A209,GasTable,13)+Assumptions!$C$58,0)</f>
        <v>3.1622527314468325</v>
      </c>
      <c r="HA209" s="1715">
        <f>GZ209*Assumptions!$C$57/1000</f>
        <v>22.926332302989536</v>
      </c>
      <c r="HB209" s="625">
        <f>IF(Assumptions!$C$60="Hourly",MAX(0,GX209*(GY209-HA209)),GX209*(GY209-HA209))</f>
        <v>1205477.768781293</v>
      </c>
      <c r="HC209" s="640">
        <f>IF($A209&gt;=BegDate,Assumptions!$C$56*24*($A210-$A209)*(1-VLOOKUP($B209,MAIN!$AA$7:$AM$28,$C209+1))*(1-VLOOKUP($B209,MAIN!$AA$33:$AM$54,$C209+1)),0)*16/168</f>
        <v>51548.571428571428</v>
      </c>
      <c r="HD209" s="1715">
        <f t="shared" si="510"/>
        <v>27.476717723100126</v>
      </c>
      <c r="HE209" s="1715">
        <f>IF($A209&gt;=BegDate,VLOOKUP($A209,GasTable,13)+Assumptions!$C$58,0)</f>
        <v>3.1622527314468325</v>
      </c>
      <c r="HF209" s="1715">
        <f>HE209*Assumptions!$C$57/1000</f>
        <v>22.926332302989536</v>
      </c>
      <c r="HG209" s="625">
        <f>IF(Assumptions!$C$60="Hourly",MAX(0,HC209*(HD209-HF209)),HC209*(HD209-HF209))</f>
        <v>234565.86785610075</v>
      </c>
      <c r="HH209" s="640">
        <f>IF($A209&gt;=BegDate,Assumptions!$C$56*24*($A210-$A209)*(1-VLOOKUP($B209,MAIN!$AA$7:$AM$28,$C209+1))*(1-VLOOKUP($B209,MAIN!$AA$33:$AM$54,$C209+1)),0)*56/168</f>
        <v>180420</v>
      </c>
      <c r="HI209" s="1715">
        <f t="shared" si="511"/>
        <v>27.476717723100126</v>
      </c>
      <c r="HJ209" s="1715">
        <f>IF($A209&gt;=BegDate,VLOOKUP($A209,GasTable,13)+Assumptions!$C$58,0)</f>
        <v>3.1622527314468325</v>
      </c>
      <c r="HK209" s="1715">
        <f>HJ209*Assumptions!$C$57/1000</f>
        <v>22.926332302989536</v>
      </c>
      <c r="HL209" s="625">
        <f>IF(Assumptions!$C$60="Hourly",MAX(0,HH209*(HI209-HK209)),HH209*(HI209-HK209))</f>
        <v>820980.53749635268</v>
      </c>
      <c r="HM209" s="640">
        <f>IF(AND(Assumptions!$H$71="Yes",A209&gt;=Assumptions!$H$72,A209&lt;=Assumptions!$H$73),Assumptions!$H$74*Assumptions!$C$9*1000,0)</f>
        <v>0</v>
      </c>
      <c r="HN209" s="530"/>
      <c r="HO209" s="545"/>
      <c r="HP209" s="545"/>
      <c r="HQ209" s="545"/>
      <c r="HR209" s="545"/>
      <c r="HS209" s="545"/>
      <c r="HT209" s="545"/>
      <c r="HU209" s="545"/>
      <c r="HV209" s="545"/>
      <c r="HW209" s="545"/>
      <c r="HX209" s="545"/>
      <c r="HY209" s="545"/>
      <c r="HZ209" s="545"/>
      <c r="IA209" s="545"/>
      <c r="IB209" s="545"/>
      <c r="IC209" s="545"/>
      <c r="ID209" s="545"/>
      <c r="IE209" s="545"/>
      <c r="IF209" s="545"/>
      <c r="IG209" s="545"/>
      <c r="IH209" s="545"/>
      <c r="II209" s="1464"/>
      <c r="IJ209" s="1463"/>
      <c r="IK209" s="1463"/>
    </row>
    <row r="210" spans="1:245">
      <c r="A210" s="177">
        <f t="shared" ref="A210:A273" si="637">EOMONTH(A209,0)+1</f>
        <v>42522</v>
      </c>
      <c r="B210" s="349">
        <f t="shared" ref="B210:B273" si="638">+YEAR(A210)</f>
        <v>2016</v>
      </c>
      <c r="C210" s="15">
        <f t="shared" si="578"/>
        <v>6</v>
      </c>
      <c r="D210" s="612" t="str">
        <f t="shared" ref="D210:D273" si="639">IF(E210="","",Holiday(B210,C210))</f>
        <v/>
      </c>
      <c r="E210" s="609">
        <f t="shared" si="579"/>
        <v>42522</v>
      </c>
      <c r="F210" s="614">
        <f t="shared" si="580"/>
        <v>42551</v>
      </c>
      <c r="G210" s="1349">
        <v>0</v>
      </c>
      <c r="H210" s="152">
        <f t="shared" si="512"/>
        <v>1</v>
      </c>
      <c r="I210" s="154">
        <f>IF(Assumptions!$L$25=4,VLOOKUP($A210,'Henwood Reference'!$E$9:$R$320,10),(VLOOKUP($A210,PriceTable,2,0)+IF(BasisNumber&lt;&gt;1,VLOOKUP($A210,BasisTable,2,0),0)+I$1)/(1-I$2))</f>
        <v>44.310639710344269</v>
      </c>
      <c r="J210" s="154">
        <f>IF(Assumptions!$L$25=4,VLOOKUP($A210,'Henwood Reference'!$E$9:$R$320,10),(VLOOKUP($A210,PriceTable,3,0)+IF(BasisNumber&lt;&gt;1,VLOOKUP($A210,BasisTable,2,0),0)+J$1)/(1-J$2))</f>
        <v>44.310639710344269</v>
      </c>
      <c r="K210" s="154">
        <f>IF(Assumptions!$L$25=4,VLOOKUP($A210,'Henwood Reference'!$E$9:$R$320,10),(VLOOKUP($A210,PriceTable,4,0)+IF(BasisNumber&lt;&gt;1,VLOOKUP($A210,BasisTable,2,0),0)+K$1)/(1-K$2))</f>
        <v>44.310639710344269</v>
      </c>
      <c r="L210" s="474">
        <f>IF(Assumptions!$L$25=4,VLOOKUP($A210,'Henwood Reference'!$E$9:$R$320,10),(VLOOKUP($A210,PriceTableWeekend,2,0)+IF(BasisNumber&lt;&gt;1,VLOOKUP($A210,BasisTable,2,0),0)+L$1)/(1-L$2))</f>
        <v>44.310639710344269</v>
      </c>
      <c r="M210" s="154">
        <f>IF(Assumptions!$L$25=4,VLOOKUP($A210,'Henwood Reference'!$E$9:$R$320,10),(VLOOKUP($A210,PriceTableWeekend,3,0)+IF(BasisNumber&lt;&gt;1,VLOOKUP($A210,BasisTable,2,0),0)+M$1)/(1-M$2))</f>
        <v>44.310639710344269</v>
      </c>
      <c r="N210" s="156">
        <f>IF(Assumptions!$L$25=4,VLOOKUP($A210,'Henwood Reference'!$E$9:$R$320,10),(VLOOKUP($A210,PriceTableWeekend,4,0)+IF(BasisNumber&lt;&gt;1,VLOOKUP($A210,BasisTable,2,0),0)+N$1)/(1-N$2))</f>
        <v>44.310639710344269</v>
      </c>
      <c r="O210" s="154">
        <f>IF(Assumptions!$L$25=4,VLOOKUP($A210,'Henwood Reference'!$E$9:$R$320,11),(VLOOKUP($A210,PriceTableWeekend,6,0)+IF(BasisNumber&lt;&gt;1,VLOOKUP($A210,BasisTable,3,0),0)+O$1)/(1-O$2))</f>
        <v>25.888541940880799</v>
      </c>
      <c r="P210" s="154">
        <f>IF(Assumptions!$L$25=4,VLOOKUP($A210,'Henwood Reference'!$E$9:$R$320,11),(VLOOKUP($A210,PriceTableWeekend,7,0)+IF(BasisNumber&lt;&gt;1,VLOOKUP($A210,BasisTable,3,0),0)+P$1)/(1-P$2))</f>
        <v>25.888541940880799</v>
      </c>
      <c r="Q210" s="156">
        <f>IF(Assumptions!$L$25=4,VLOOKUP($A210,'Henwood Reference'!$E$9:$R$320,11),(VLOOKUP($A210,PriceTableWeekend,8,0)+IF(BasisNumber&lt;&gt;1,VLOOKUP($A210,BasisTable,3,0),0)+Q$1)/(1-Q$2))</f>
        <v>25.888541940880799</v>
      </c>
      <c r="R210" s="154">
        <f>IF(Assumptions!$L$25=4,VLOOKUP($A210,'Henwood Reference'!$E$9:$R$320,11),(VLOOKUP($A210,PriceTable,6,0)+IF(BasisNumber&lt;&gt;1,VLOOKUP($A210,BasisTable,3,0),0)+R$1)/(1-R$2))</f>
        <v>25.888541940880799</v>
      </c>
      <c r="S210" s="154">
        <f>IF(Assumptions!$L$25=4,VLOOKUP($A210,'Henwood Reference'!$E$9:$R$320,11),(VLOOKUP($A210,PriceTable,7,0)+IF(BasisNumber&lt;&gt;1,VLOOKUP($A210,BasisTable,3,0),0)+S$1)/(1-S$2))</f>
        <v>25.888541940880799</v>
      </c>
      <c r="T210" s="155">
        <f>IF(Assumptions!$L$25=4,VLOOKUP($A210,'Henwood Reference'!$E$9:$R$320,11),(VLOOKUP($A210,PriceTable,8,0)+IF(BasisNumber&lt;&gt;1,VLOOKUP($A210,BasisTable,3,0),0)+T$1)/(1-T$2))</f>
        <v>25.888541940880799</v>
      </c>
      <c r="U210" s="173">
        <f t="shared" ref="U210:U273" si="640">VLOOKUP($A210,VolatilityTable,14)</f>
        <v>0.09</v>
      </c>
      <c r="V210" s="173">
        <f t="shared" ref="V210:V273" si="641">VLOOKUP($A210,VolatilityTable,15)</f>
        <v>0.1</v>
      </c>
      <c r="W210" s="174">
        <f t="shared" ref="W210:W273" si="642">VLOOKUP($A210,VolatilityTable,16)</f>
        <v>0.11</v>
      </c>
      <c r="X210" s="173">
        <f t="shared" ref="X210:X273" si="643">VLOOKUP($A210,VolatilityTable,14)</f>
        <v>0.09</v>
      </c>
      <c r="Y210" s="173">
        <f t="shared" ref="Y210:Y273" si="644">VLOOKUP($A210,VolatilityTable,15)</f>
        <v>0.1</v>
      </c>
      <c r="Z210" s="174">
        <f t="shared" ref="Z210:Z273" si="645">VLOOKUP($A210,VolatilityTable,16)</f>
        <v>0.11</v>
      </c>
      <c r="AA210" s="173">
        <f t="shared" ref="AA210:AA273" si="646">VLOOKUP($A210,VolatilityTable,18)</f>
        <v>0.09</v>
      </c>
      <c r="AB210" s="173">
        <f t="shared" ref="AB210:AB273" si="647">VLOOKUP($A210,VolatilityTable,19)</f>
        <v>0.11</v>
      </c>
      <c r="AC210" s="174">
        <f t="shared" ref="AC210:AC273" si="648">VLOOKUP($A210,VolatilityTable,20)</f>
        <v>0.13</v>
      </c>
      <c r="AD210" s="173">
        <f t="shared" ref="AD210:AD273" si="649">VLOOKUP($A210,VolatilityTable,18)</f>
        <v>0.09</v>
      </c>
      <c r="AE210" s="173">
        <f t="shared" ref="AE210:AE273" si="650">VLOOKUP($A210,VolatilityTable,19)</f>
        <v>0.11</v>
      </c>
      <c r="AF210" s="174">
        <f t="shared" ref="AF210:AF273" si="651">VLOOKUP($A210,VolatilityTable,20)</f>
        <v>0.13</v>
      </c>
      <c r="AG210" s="173">
        <f t="shared" ref="AG210:AG273" si="652">VLOOKUP($A210,VolatilityTable,22)</f>
        <v>-0.35</v>
      </c>
      <c r="AH210" s="173">
        <f t="shared" ref="AH210:AH273" si="653">VLOOKUP($A210,VolatilityTable,23)</f>
        <v>0.65</v>
      </c>
      <c r="AI210" s="174">
        <f t="shared" ref="AI210:AI273" si="654">VLOOKUP($A210,VolatilityTable,24)</f>
        <v>0.2</v>
      </c>
      <c r="AJ210" s="173">
        <f t="shared" ref="AJ210:AJ273" si="655">VLOOKUP($A210,VolatilityTable,22)</f>
        <v>-0.35</v>
      </c>
      <c r="AK210" s="173">
        <f t="shared" ref="AK210:AK273" si="656">VLOOKUP($A210,VolatilityTable,23)</f>
        <v>0.65</v>
      </c>
      <c r="AL210" s="174">
        <f t="shared" ref="AL210:AL273" si="657">VLOOKUP($A210,VolatilityTable,24)</f>
        <v>0.2</v>
      </c>
      <c r="AM210" s="173">
        <f t="shared" ref="AM210:AM273" si="658">VLOOKUP($A210,VolatilityTable,26)</f>
        <v>-0.01</v>
      </c>
      <c r="AN210" s="173">
        <f t="shared" ref="AN210:AN273" si="659">VLOOKUP($A210,VolatilityTable,27)</f>
        <v>0.16</v>
      </c>
      <c r="AO210" s="174">
        <f t="shared" ref="AO210:AO273" si="660">VLOOKUP($A210,VolatilityTable,28)</f>
        <v>0.01</v>
      </c>
      <c r="AP210" s="173">
        <f t="shared" ref="AP210:AP273" si="661">VLOOKUP($A210,VolatilityTable,26)</f>
        <v>-0.01</v>
      </c>
      <c r="AQ210" s="173">
        <f t="shared" ref="AQ210:AQ273" si="662">VLOOKUP($A210,VolatilityTable,27)</f>
        <v>0.16</v>
      </c>
      <c r="AR210" s="175">
        <f t="shared" ref="AR210:AR273" si="663">VLOOKUP($A210,VolatilityTable,28)</f>
        <v>0.01</v>
      </c>
      <c r="AS210" s="521">
        <f t="shared" ref="AS210:AS225" si="664">IF(CorrPeakOffPeakOverFlag,INDEX(CorrPeakOffPeakOver,C210),CorrPeakOffPeak)</f>
        <v>0.5</v>
      </c>
      <c r="AT210" s="349">
        <f t="shared" si="581"/>
        <v>22</v>
      </c>
      <c r="AU210" s="159">
        <f t="shared" si="582"/>
        <v>4</v>
      </c>
      <c r="AV210" s="159">
        <f t="shared" si="583"/>
        <v>4</v>
      </c>
      <c r="AW210" s="159">
        <f t="shared" ref="AW210:AW225" si="665">IF(OR(E210="",D210="",D210&lt;BegDate,D210&gt;EndDate),0,1)</f>
        <v>0</v>
      </c>
      <c r="AX210" s="15">
        <f t="shared" si="584"/>
        <v>30</v>
      </c>
      <c r="AY210" s="607">
        <f>IF(E210="",0,MIN((1-(1-VLOOKUP(B210,MAIN!$AA$7:$AM$28,C210+1))*(1-VLOOKUP(B210,MAIN!$AA$33:$AM$54,C210+1))),1))</f>
        <v>3.0000000000000027E-2</v>
      </c>
      <c r="AZ210" s="337">
        <v>51216</v>
      </c>
      <c r="BA210" s="509">
        <v>9312</v>
      </c>
      <c r="BB210" s="509">
        <v>9312</v>
      </c>
      <c r="BC210" s="511">
        <v>34920</v>
      </c>
      <c r="BD210" s="153">
        <v>0.97000000722706314</v>
      </c>
      <c r="BE210" s="474">
        <v>0.97000000722706314</v>
      </c>
      <c r="BF210" s="474">
        <v>0.97000000722706314</v>
      </c>
      <c r="BG210" s="515">
        <v>0.97000000722706314</v>
      </c>
      <c r="BH210" s="262">
        <v>204864</v>
      </c>
      <c r="BI210" s="509">
        <v>37248</v>
      </c>
      <c r="BJ210" s="509">
        <v>37248</v>
      </c>
      <c r="BK210" s="511">
        <v>139680</v>
      </c>
      <c r="BL210" s="153">
        <v>0.97000000722706314</v>
      </c>
      <c r="BM210" s="474">
        <v>0.97000000722706314</v>
      </c>
      <c r="BN210" s="474">
        <v>0.97000000722706314</v>
      </c>
      <c r="BO210" s="474">
        <v>0.97000000722706314</v>
      </c>
      <c r="BP210" s="261">
        <f t="shared" ref="BP210:BP273" si="666">SUM(AZ210:BB210)</f>
        <v>69840</v>
      </c>
      <c r="BQ210" s="578">
        <f t="shared" ref="BQ210:BQ273" si="667">SUM(AZ210:BC210)</f>
        <v>104760</v>
      </c>
      <c r="BR210" s="259">
        <f t="shared" ref="BR210:BR273" si="668">SUM(BH210:BJ210)</f>
        <v>279360</v>
      </c>
      <c r="BS210" s="578">
        <f t="shared" ref="BS210:BS273" si="669">SUM(BH210:BK210)</f>
        <v>419040</v>
      </c>
      <c r="BT210" s="216">
        <f t="shared" ref="BT210:BT273" si="670">(IF(OVolType&lt;&gt;2,A210+14,IF(OptExpDateShift,ShiftBack(A210,OptExpDateShift,D209),A210))-DateToday)/365.25</f>
        <v>16.131416837782339</v>
      </c>
      <c r="BU210" s="218">
        <f t="shared" si="585"/>
        <v>44.310640040484259</v>
      </c>
      <c r="BV210" s="216">
        <f t="shared" si="586"/>
        <v>44.310640040484259</v>
      </c>
      <c r="BW210" s="216">
        <f t="shared" si="587"/>
        <v>25.888542133765466</v>
      </c>
      <c r="BX210" s="216">
        <f t="shared" ref="BX210:BX273" si="671">IF(BQ210,IF(OPriceCurve,IF(OBuySell=OCallPut,R210/(1-AY210),T210/(1-AY210)),S210/(1-AY210))*BG210,0)</f>
        <v>25.888542133765466</v>
      </c>
      <c r="BY210" s="216">
        <f t="shared" si="588"/>
        <v>41.854360319588423</v>
      </c>
      <c r="BZ210" s="216">
        <f t="shared" si="589"/>
        <v>36.532420924314103</v>
      </c>
      <c r="CA210" s="264">
        <f t="shared" si="590"/>
        <v>44.310640040484259</v>
      </c>
      <c r="CB210" s="216">
        <f t="shared" si="591"/>
        <v>44.310640040484259</v>
      </c>
      <c r="CC210" s="216">
        <f t="shared" si="592"/>
        <v>25.888542133765466</v>
      </c>
      <c r="CD210" s="216">
        <f t="shared" ref="CD210:CD273" si="672">IF(BS210,IF(OPriceCurve,IF(OBuySell=OCallPut,R210/(1-AY210),T210/(1-AY210)),S210/(1-AY210))*BO210,0)</f>
        <v>25.888542133765466</v>
      </c>
      <c r="CE210" s="216">
        <f t="shared" si="593"/>
        <v>41.854360319588423</v>
      </c>
      <c r="CF210" s="571">
        <f t="shared" si="594"/>
        <v>36.532420924314103</v>
      </c>
      <c r="CG210" s="573">
        <f t="shared" si="595"/>
        <v>0.1</v>
      </c>
      <c r="CH210" s="219">
        <f t="shared" si="596"/>
        <v>0.1</v>
      </c>
      <c r="CI210" s="219">
        <f t="shared" si="597"/>
        <v>0.11</v>
      </c>
      <c r="CJ210" s="219">
        <f t="shared" si="598"/>
        <v>0.10083090281744123</v>
      </c>
      <c r="CK210" s="219">
        <f t="shared" si="599"/>
        <v>0.10083090281744123</v>
      </c>
      <c r="CL210" s="219">
        <f t="shared" si="600"/>
        <v>0.11</v>
      </c>
      <c r="CM210" s="219">
        <f t="shared" si="601"/>
        <v>9.3011884055862498E-2</v>
      </c>
      <c r="CN210" s="569">
        <f t="shared" si="602"/>
        <v>9.3011884055862498E-2</v>
      </c>
      <c r="CO210" s="264">
        <f t="shared" si="514"/>
        <v>22.608871734969256</v>
      </c>
      <c r="CP210" s="216">
        <f t="shared" ref="CP210:CP273" si="673">IF(OR(BQ210,BS210),VLOOKUP(A210,GasTable,13)*HeatRatePeak*(1+VLOOKUP($B210,HeatRateDegradation,$C210+1))/1000,0)</f>
        <v>22.608871734969256</v>
      </c>
      <c r="CQ210" s="216">
        <f t="shared" ca="1" si="532"/>
        <v>22.608871734969256</v>
      </c>
      <c r="CR210" s="216">
        <f t="shared" ca="1" si="533"/>
        <v>22.608871734969256</v>
      </c>
      <c r="CS210" s="1626">
        <f t="shared" ca="1" si="534"/>
        <v>22.608871734969256</v>
      </c>
      <c r="CT210" s="216">
        <f t="shared" ref="CT210:CT273" si="674">IF(BS210,CO210,0)</f>
        <v>22.608871734969256</v>
      </c>
      <c r="CU210" s="575">
        <f t="shared" si="603"/>
        <v>0.152</v>
      </c>
      <c r="CV210" s="154">
        <f t="shared" si="604"/>
        <v>0.5</v>
      </c>
      <c r="CW210" s="216">
        <f>IF(OR($BQ210,$BS210),SpreadOptPowerMargin,0)*((1+Assumptions!$C$26)^($B210-YEAR(Assumptions!$C$17)))</f>
        <v>2.3284919348168329</v>
      </c>
      <c r="CX210" s="216">
        <f>IF(OR($BQ210,$BS210),SpreadOptPowerMargin,0)*((1+Assumptions!$C$26)^($B210-YEAR(Assumptions!$C$17)))</f>
        <v>2.3284919348168329</v>
      </c>
      <c r="CY210" s="216">
        <f>IF(OR($BQ210,$BS210),SpreadOptPowerMargin,0)*((1+Assumptions!$C$26)^($B210-YEAR(Assumptions!$C$17)))</f>
        <v>2.3284919348168329</v>
      </c>
      <c r="CZ210" s="216">
        <f>IF(OR($BQ210,$BS210),SpreadOptPowerMargin,0)*((1+Assumptions!$C$26)^($B210-YEAR(Assumptions!$C$17)))</f>
        <v>2.3284919348168329</v>
      </c>
      <c r="DA210" s="440">
        <f t="shared" si="605"/>
        <v>2.3284919348168329</v>
      </c>
      <c r="DB210" s="479">
        <f t="shared" si="606"/>
        <v>0.1</v>
      </c>
      <c r="DC210" s="479">
        <f t="shared" si="607"/>
        <v>0.1</v>
      </c>
      <c r="DD210" s="479">
        <f t="shared" si="608"/>
        <v>0.11</v>
      </c>
      <c r="DE210" s="479">
        <f t="shared" si="609"/>
        <v>0.11</v>
      </c>
      <c r="DF210" s="479">
        <f t="shared" si="610"/>
        <v>9.3011884055862498E-2</v>
      </c>
      <c r="DG210" s="574">
        <f t="shared" si="611"/>
        <v>9.3011884055862498E-2</v>
      </c>
      <c r="DH210" s="216">
        <f t="shared" si="612"/>
        <v>20.403549927316057</v>
      </c>
      <c r="DI210" s="216">
        <f t="shared" si="613"/>
        <v>20.403549927316057</v>
      </c>
      <c r="DJ210" s="216">
        <f t="shared" ca="1" si="535"/>
        <v>5.5717251370227237</v>
      </c>
      <c r="DK210" s="216">
        <f t="shared" ca="1" si="536"/>
        <v>5.5717251370227237</v>
      </c>
      <c r="DL210" s="216">
        <f t="shared" ca="1" si="537"/>
        <v>13.446046790243351</v>
      </c>
      <c r="DM210" s="216"/>
      <c r="DN210" s="216"/>
      <c r="DO210" s="216"/>
      <c r="DP210" s="216"/>
      <c r="DQ210" s="216"/>
      <c r="DR210" s="216"/>
      <c r="DS210" s="216"/>
      <c r="DT210" s="216"/>
      <c r="DU210" s="216"/>
      <c r="DV210" s="216"/>
      <c r="DW210" s="1371">
        <f t="shared" si="614"/>
        <v>5.5717251370227237</v>
      </c>
      <c r="DX210" s="216">
        <f t="shared" si="615"/>
        <v>5.5717251370227237</v>
      </c>
      <c r="DY210" s="440">
        <f t="shared" si="616"/>
        <v>14.141223904747759</v>
      </c>
      <c r="DZ210" s="180">
        <f t="shared" si="617"/>
        <v>1044988.2130774192</v>
      </c>
      <c r="EA210" s="180">
        <f t="shared" si="618"/>
        <v>189997.85692316713</v>
      </c>
      <c r="EB210" s="180">
        <f t="shared" ca="1" si="538"/>
        <v>51883.904475955605</v>
      </c>
      <c r="EC210" s="180">
        <f t="shared" ca="1" si="539"/>
        <v>194564.64178483351</v>
      </c>
      <c r="ED210" s="180">
        <f t="shared" ca="1" si="540"/>
        <v>1408607.8617458935</v>
      </c>
      <c r="EE210" s="581">
        <f t="shared" si="619"/>
        <v>992221.72260167752</v>
      </c>
      <c r="EF210" s="554">
        <f t="shared" si="620"/>
        <v>180403.94956394137</v>
      </c>
      <c r="EG210" s="554">
        <f t="shared" ca="1" si="541"/>
        <v>8857.3738565759686</v>
      </c>
      <c r="EH210" s="554">
        <f t="shared" ca="1" si="542"/>
        <v>33215.151962159885</v>
      </c>
      <c r="EI210" s="561">
        <f t="shared" ca="1" si="621"/>
        <v>1214698.1979843548</v>
      </c>
      <c r="EJ210" s="581">
        <f t="shared" ref="EJ210:EJ273" si="675">DZ210-EE210</f>
        <v>52766.490475741681</v>
      </c>
      <c r="EK210" s="554">
        <f t="shared" ref="EK210:EK273" si="676">EA210-EF210</f>
        <v>9593.9073592257628</v>
      </c>
      <c r="EL210" s="554">
        <f t="shared" ca="1" si="543"/>
        <v>43026.530619379635</v>
      </c>
      <c r="EM210" s="554">
        <f t="shared" ca="1" si="544"/>
        <v>161349.48982267361</v>
      </c>
      <c r="EN210" s="561">
        <f t="shared" ca="1" si="545"/>
        <v>193909.66376153869</v>
      </c>
      <c r="EO210" s="180">
        <f t="shared" si="622"/>
        <v>4179952.8523096768</v>
      </c>
      <c r="EP210" s="180">
        <f t="shared" si="623"/>
        <v>759991.42769266851</v>
      </c>
      <c r="EQ210" s="180">
        <f t="shared" si="624"/>
        <v>207535.61790382242</v>
      </c>
      <c r="ER210" s="180">
        <f t="shared" si="625"/>
        <v>778258.56713933405</v>
      </c>
      <c r="ES210" s="180">
        <f t="shared" si="626"/>
        <v>5925738.4650455015</v>
      </c>
      <c r="ET210" s="1482">
        <f t="shared" ca="1" si="546"/>
        <v>3968886.8904067101</v>
      </c>
      <c r="EU210" s="180">
        <f t="shared" ca="1" si="547"/>
        <v>721615.79825576546</v>
      </c>
      <c r="EV210" s="180">
        <f t="shared" ca="1" si="548"/>
        <v>35429.495426303874</v>
      </c>
      <c r="EW210" s="180">
        <f t="shared" ca="1" si="549"/>
        <v>132860.60784863954</v>
      </c>
      <c r="EX210" s="555">
        <f t="shared" ca="1" si="522"/>
        <v>4858792.7919374192</v>
      </c>
      <c r="EY210" s="180">
        <f t="shared" ca="1" si="550"/>
        <v>211065.96190296672</v>
      </c>
      <c r="EZ210" s="180">
        <f t="shared" ca="1" si="551"/>
        <v>38375.629436903051</v>
      </c>
      <c r="FA210" s="180">
        <f t="shared" ca="1" si="552"/>
        <v>172106.12247751854</v>
      </c>
      <c r="FB210" s="180">
        <f t="shared" ca="1" si="553"/>
        <v>645397.95929069445</v>
      </c>
      <c r="FC210" s="180">
        <f t="shared" ca="1" si="554"/>
        <v>1066945.6731080823</v>
      </c>
      <c r="FD210" s="262">
        <f>IF(AX210,IF(VLOOKUP(C210,MAIN!$L$17:$M$28,2)="Yes",VLOOKUP(CALC!B210,MAIN!$H$17:$I$20,2),0),0)</f>
        <v>0</v>
      </c>
      <c r="FE210" s="623">
        <f t="shared" si="627"/>
        <v>0</v>
      </c>
      <c r="FF210" s="535">
        <f t="shared" si="628"/>
        <v>0</v>
      </c>
      <c r="FG210" s="535">
        <f t="shared" si="629"/>
        <v>0</v>
      </c>
      <c r="FH210" s="624">
        <f t="shared" si="630"/>
        <v>0</v>
      </c>
      <c r="FI210" s="632">
        <f>IF(AX210,VLOOKUP(CALC!B210,MAIN!$H$17:$K$20,4),0)</f>
        <v>0</v>
      </c>
      <c r="FJ210" s="535">
        <f t="shared" si="631"/>
        <v>0</v>
      </c>
      <c r="FK210" s="648">
        <f t="shared" ref="FK210:FK273" si="677">FI210*FJ210</f>
        <v>0</v>
      </c>
      <c r="FL210" s="530">
        <f t="shared" ca="1" si="555"/>
        <v>0</v>
      </c>
      <c r="FM210" s="530">
        <f t="shared" ca="1" si="556"/>
        <v>0</v>
      </c>
      <c r="FN210" s="530">
        <f t="shared" ca="1" si="557"/>
        <v>0</v>
      </c>
      <c r="FO210" s="622">
        <f t="shared" ca="1" si="558"/>
        <v>0</v>
      </c>
      <c r="FP210" s="530">
        <f t="shared" ca="1" si="559"/>
        <v>0</v>
      </c>
      <c r="FQ210" s="530">
        <f t="shared" ca="1" si="560"/>
        <v>0</v>
      </c>
      <c r="FR210" s="530">
        <f t="shared" ca="1" si="561"/>
        <v>0</v>
      </c>
      <c r="FS210" s="625">
        <f t="shared" ca="1" si="562"/>
        <v>0</v>
      </c>
      <c r="FT210" s="640">
        <f ca="1">IF(AND(Assumptions!$H$71="Yes",A210&gt;=Assumptions!$H$72,A210&lt;=Assumptions!$H$73),0,IF(AND($A210&gt;=Assumptions!$C$17,$A210&lt;=Assumptions!$C$18),MAX(AZ210*(1+VLOOKUP($C210,WeatherCapacityAdjustment,2))-FL210,0),0))</f>
        <v>51216</v>
      </c>
      <c r="FU210" s="530">
        <f ca="1">IF(AND(Assumptions!$H$71="Yes",A210&gt;=Assumptions!$H$72,A210&lt;=Assumptions!$H$73),0,IF(AND($A210&gt;=Assumptions!$C$17,$A210&lt;=Assumptions!$C$18),MAX(BA210*(1+VLOOKUP($C210,WeatherCapacityAdjustment,2))-FM210,0),0))</f>
        <v>9312</v>
      </c>
      <c r="FV210" s="530">
        <f ca="1">IF(AND(Assumptions!$H$71="Yes",A210&gt;=Assumptions!$H$72,A210&lt;=Assumptions!$H$73),0,IF(AND($A210&gt;=Assumptions!$C$17,$A210&lt;=Assumptions!$C$18),MAX(BB210*(1+VLOOKUP($C210,WeatherCapacityAdjustment,2))-FN210,0),0))</f>
        <v>9312</v>
      </c>
      <c r="FW210" s="622">
        <f ca="1">IF(AND(Assumptions!$H$71="Yes",A210&gt;=Assumptions!$H$72,A210&lt;=Assumptions!$H$73),0,IF(AND($A210&gt;=Assumptions!$C$17,$A210&lt;=Assumptions!$C$18),MAX(BC210*(1+VLOOKUP($C210,WeatherCapacityAdjustment,3))-FO210,0),0))</f>
        <v>34920</v>
      </c>
      <c r="FX210" s="621">
        <f ca="1">IF(AND(Assumptions!$H$71="Yes",A210&gt;=Assumptions!$H$72,A210&lt;=Assumptions!$H$73),0,IF(ET210&gt;0,MAX(BH210*(1+VLOOKUP($C210,WeatherCapacityAdjustment,2))-FP210,0),0))</f>
        <v>204864</v>
      </c>
      <c r="FY210" s="530">
        <f ca="1">IF(AND(Assumptions!$H$71="Yes",A210&gt;=Assumptions!$H$72,A210&lt;=Assumptions!$H$73),0,IF(EU210&gt;0,MAX(BI210*(1+VLOOKUP($C210,WeatherCapacityAdjustment,3))-FQ210,0),0))</f>
        <v>37248</v>
      </c>
      <c r="FZ210" s="530">
        <f ca="1">IF(AND(Assumptions!$H$71="Yes",A210&gt;=Assumptions!$H$72,A210&lt;=Assumptions!$H$73),0,IF(EV210&gt;0,MAX(BJ210*(1+VLOOKUP($C210,WeatherCapacityAdjustment,2))-FR210,0),0))</f>
        <v>37248</v>
      </c>
      <c r="GA210" s="622">
        <f ca="1">IF(AND(Assumptions!$H$71="Yes",A210&gt;=Assumptions!$H$72,A210&lt;=Assumptions!$H$73),0,IF(EW210&gt;0,MAX(BK210*(1+VLOOKUP($C210,WeatherCapacityAdjustment,2))-FS210,0),0))</f>
        <v>139680</v>
      </c>
      <c r="GB210" s="530">
        <f t="shared" ca="1" si="632"/>
        <v>523800</v>
      </c>
      <c r="GC210" s="545">
        <f t="shared" ca="1" si="633"/>
        <v>36.532420924314103</v>
      </c>
      <c r="GD210" s="530">
        <f t="shared" ca="1" si="563"/>
        <v>19135682.080155727</v>
      </c>
      <c r="GE210" s="1485">
        <f t="shared" ca="1" si="564"/>
        <v>741298.52159999998</v>
      </c>
      <c r="GF210" s="1776">
        <f t="shared" ca="1" si="565"/>
        <v>2965194.0863999999</v>
      </c>
      <c r="GG210" s="545">
        <f t="shared" si="530"/>
        <v>3.195076388177946</v>
      </c>
      <c r="GH210" s="622">
        <f t="shared" ca="1" si="531"/>
        <v>11842527.014776895</v>
      </c>
      <c r="GI210" s="621">
        <f t="shared" ref="GI210:GI273" ca="1" si="678">GB210</f>
        <v>523800</v>
      </c>
      <c r="GJ210" s="638">
        <f t="shared" si="634"/>
        <v>2.3284919348168329</v>
      </c>
      <c r="GK210" s="625">
        <f t="shared" ca="1" si="513"/>
        <v>1219664.075457057</v>
      </c>
      <c r="GL210" s="640">
        <f t="shared" ca="1" si="566"/>
        <v>0</v>
      </c>
      <c r="GM210" s="530">
        <f t="shared" ca="1" si="567"/>
        <v>0</v>
      </c>
      <c r="GN210" s="530">
        <f t="shared" ca="1" si="568"/>
        <v>0</v>
      </c>
      <c r="GO210" s="622">
        <f t="shared" ca="1" si="569"/>
        <v>0</v>
      </c>
      <c r="GP210" s="530">
        <f t="shared" ca="1" si="635"/>
        <v>0</v>
      </c>
      <c r="GQ210" s="545">
        <f t="shared" ca="1" si="636"/>
        <v>0</v>
      </c>
      <c r="GR210" s="625">
        <f t="shared" ca="1" si="570"/>
        <v>0</v>
      </c>
      <c r="GS210" s="640">
        <f>IF($A210&gt;=BegDate,Assumptions!$C$56*24*($A211-$A210)*(1-VLOOKUP($B210,MAIN!$AA$7:$AM$28,$C210+1))*(1-VLOOKUP($B210,MAIN!$AA$33:$AM$54,$C210+1)),0)*80/168</f>
        <v>249428.57142857142</v>
      </c>
      <c r="GT210" s="1715">
        <f t="shared" ref="GT210:GT273" si="679">J210</f>
        <v>44.310639710344269</v>
      </c>
      <c r="GU210" s="1715">
        <f>IF($A210&gt;=BegDate,VLOOKUP($A210,GasTable,13)+Assumptions!$C$58,0)</f>
        <v>3.195076388177946</v>
      </c>
      <c r="GV210" s="1715">
        <f>GU210*Assumptions!$C$57/1000</f>
        <v>23.164303814290111</v>
      </c>
      <c r="GW210" s="625">
        <f>IF(Assumptions!$C$60="Hourly",MAX(0,GS210*(GT210-GV210)),GS210*(GT210-GV210))</f>
        <v>5274500.353501508</v>
      </c>
      <c r="GX210" s="640">
        <f>IF($A210&gt;=BegDate,Assumptions!$C$56*24*($A211-$A210)*(1-VLOOKUP($B210,MAIN!$AA$7:$AM$28,$C210+1))*(1-VLOOKUP($B210,MAIN!$AA$33:$AM$54,$C210+1)),0)*16/168</f>
        <v>49885.714285714283</v>
      </c>
      <c r="GY210" s="1715">
        <f t="shared" ref="GY210:GY273" si="680">M210</f>
        <v>44.310639710344269</v>
      </c>
      <c r="GZ210" s="1715">
        <f>IF($A210&gt;=BegDate,VLOOKUP($A210,GasTable,13)+Assumptions!$C$58,0)</f>
        <v>3.195076388177946</v>
      </c>
      <c r="HA210" s="1715">
        <f>GZ210*Assumptions!$C$57/1000</f>
        <v>23.164303814290111</v>
      </c>
      <c r="HB210" s="625">
        <f>IF(Assumptions!$C$60="Hourly",MAX(0,GX210*(GY210-HA210)),GX210*(GY210-HA210))</f>
        <v>1054900.0707003016</v>
      </c>
      <c r="HC210" s="640">
        <f>IF($A210&gt;=BegDate,Assumptions!$C$56*24*($A211-$A210)*(1-VLOOKUP($B210,MAIN!$AA$7:$AM$28,$C210+1))*(1-VLOOKUP($B210,MAIN!$AA$33:$AM$54,$C210+1)),0)*16/168</f>
        <v>49885.714285714283</v>
      </c>
      <c r="HD210" s="1715">
        <f t="shared" ref="HD210:HD273" si="681">P210</f>
        <v>25.888541940880799</v>
      </c>
      <c r="HE210" s="1715">
        <f>IF($A210&gt;=BegDate,VLOOKUP($A210,GasTable,13)+Assumptions!$C$58,0)</f>
        <v>3.195076388177946</v>
      </c>
      <c r="HF210" s="1715">
        <f>HE210*Assumptions!$C$57/1000</f>
        <v>23.164303814290111</v>
      </c>
      <c r="HG210" s="625">
        <f>IF(Assumptions!$C$60="Hourly",MAX(0,HC210*(HD210-HF210)),HC210*(HD210-HF210))</f>
        <v>135900.5648293526</v>
      </c>
      <c r="HH210" s="640">
        <f>IF($A210&gt;=BegDate,Assumptions!$C$56*24*($A211-$A210)*(1-VLOOKUP($B210,MAIN!$AA$7:$AM$28,$C210+1))*(1-VLOOKUP($B210,MAIN!$AA$33:$AM$54,$C210+1)),0)*56/168</f>
        <v>174600</v>
      </c>
      <c r="HI210" s="1715">
        <f t="shared" ref="HI210:HI273" si="682">S210</f>
        <v>25.888541940880799</v>
      </c>
      <c r="HJ210" s="1715">
        <f>IF($A210&gt;=BegDate,VLOOKUP($A210,GasTable,13)+Assumptions!$C$58,0)</f>
        <v>3.195076388177946</v>
      </c>
      <c r="HK210" s="1715">
        <f>HJ210*Assumptions!$C$57/1000</f>
        <v>23.164303814290111</v>
      </c>
      <c r="HL210" s="625">
        <f>IF(Assumptions!$C$60="Hourly",MAX(0,HH210*(HI210-HK210)),HH210*(HI210-HK210))</f>
        <v>475651.97690273408</v>
      </c>
      <c r="HM210" s="640">
        <f>IF(AND(Assumptions!$H$71="Yes",A210&gt;=Assumptions!$H$72,A210&lt;=Assumptions!$H$73),Assumptions!$H$74*Assumptions!$C$9*1000,0)</f>
        <v>0</v>
      </c>
      <c r="HN210" s="530"/>
      <c r="HO210" s="545"/>
      <c r="HP210" s="545"/>
      <c r="HQ210" s="545"/>
      <c r="HR210" s="545"/>
      <c r="HS210" s="545"/>
      <c r="HT210" s="545"/>
      <c r="HU210" s="545"/>
      <c r="HV210" s="545"/>
      <c r="HW210" s="545"/>
      <c r="HX210" s="545"/>
      <c r="HY210" s="545"/>
      <c r="HZ210" s="545"/>
      <c r="IA210" s="545"/>
      <c r="IB210" s="545"/>
      <c r="IC210" s="545"/>
      <c r="ID210" s="545"/>
      <c r="IE210" s="545"/>
      <c r="IF210" s="545"/>
      <c r="IG210" s="545"/>
      <c r="IH210" s="545"/>
      <c r="II210" s="1464"/>
      <c r="IJ210" s="1463"/>
      <c r="IK210" s="1463"/>
    </row>
    <row r="211" spans="1:245">
      <c r="A211" s="177">
        <f t="shared" si="637"/>
        <v>42552</v>
      </c>
      <c r="B211" s="349">
        <f t="shared" si="638"/>
        <v>2016</v>
      </c>
      <c r="C211" s="15">
        <f t="shared" si="578"/>
        <v>7</v>
      </c>
      <c r="D211" s="612">
        <f t="shared" si="639"/>
        <v>42555</v>
      </c>
      <c r="E211" s="609">
        <f t="shared" si="579"/>
        <v>42552</v>
      </c>
      <c r="F211" s="614">
        <f t="shared" si="580"/>
        <v>42582</v>
      </c>
      <c r="G211" s="1349">
        <v>0</v>
      </c>
      <c r="H211" s="152">
        <f t="shared" ref="H211:H274" si="683">(1+G211/2)^(-2*(DATE(B212,C212,20)-DateToday)/365.25)</f>
        <v>1</v>
      </c>
      <c r="I211" s="154">
        <f>IF(Assumptions!$L$25=4,VLOOKUP($A211,'Henwood Reference'!$E$9:$R$320,10),(VLOOKUP($A211,PriceTable,2,0)+IF(BasisNumber&lt;&gt;1,VLOOKUP($A211,BasisTable,2,0),0)+I$1)/(1-I$2))</f>
        <v>64.903935350979054</v>
      </c>
      <c r="J211" s="154">
        <f>IF(Assumptions!$L$25=4,VLOOKUP($A211,'Henwood Reference'!$E$9:$R$320,10),(VLOOKUP($A211,PriceTable,3,0)+IF(BasisNumber&lt;&gt;1,VLOOKUP($A211,BasisTable,2,0),0)+J$1)/(1-J$2))</f>
        <v>64.903935350979054</v>
      </c>
      <c r="K211" s="154">
        <f>IF(Assumptions!$L$25=4,VLOOKUP($A211,'Henwood Reference'!$E$9:$R$320,10),(VLOOKUP($A211,PriceTable,4,0)+IF(BasisNumber&lt;&gt;1,VLOOKUP($A211,BasisTable,2,0),0)+K$1)/(1-K$2))</f>
        <v>64.903935350979054</v>
      </c>
      <c r="L211" s="474">
        <f>IF(Assumptions!$L$25=4,VLOOKUP($A211,'Henwood Reference'!$E$9:$R$320,10),(VLOOKUP($A211,PriceTableWeekend,2,0)+IF(BasisNumber&lt;&gt;1,VLOOKUP($A211,BasisTable,2,0),0)+L$1)/(1-L$2))</f>
        <v>64.903935350979054</v>
      </c>
      <c r="M211" s="154">
        <f>IF(Assumptions!$L$25=4,VLOOKUP($A211,'Henwood Reference'!$E$9:$R$320,10),(VLOOKUP($A211,PriceTableWeekend,3,0)+IF(BasisNumber&lt;&gt;1,VLOOKUP($A211,BasisTable,2,0),0)+M$1)/(1-M$2))</f>
        <v>64.903935350979054</v>
      </c>
      <c r="N211" s="156">
        <f>IF(Assumptions!$L$25=4,VLOOKUP($A211,'Henwood Reference'!$E$9:$R$320,10),(VLOOKUP($A211,PriceTableWeekend,4,0)+IF(BasisNumber&lt;&gt;1,VLOOKUP($A211,BasisTable,2,0),0)+N$1)/(1-N$2))</f>
        <v>64.903935350979054</v>
      </c>
      <c r="O211" s="154">
        <f>IF(Assumptions!$L$25=4,VLOOKUP($A211,'Henwood Reference'!$E$9:$R$320,11),(VLOOKUP($A211,PriceTableWeekend,6,0)+IF(BasisNumber&lt;&gt;1,VLOOKUP($A211,BasisTable,3,0),0)+O$1)/(1-O$2))</f>
        <v>32.540786910608887</v>
      </c>
      <c r="P211" s="154">
        <f>IF(Assumptions!$L$25=4,VLOOKUP($A211,'Henwood Reference'!$E$9:$R$320,11),(VLOOKUP($A211,PriceTableWeekend,7,0)+IF(BasisNumber&lt;&gt;1,VLOOKUP($A211,BasisTable,3,0),0)+P$1)/(1-P$2))</f>
        <v>32.540786910608887</v>
      </c>
      <c r="Q211" s="156">
        <f>IF(Assumptions!$L$25=4,VLOOKUP($A211,'Henwood Reference'!$E$9:$R$320,11),(VLOOKUP($A211,PriceTableWeekend,8,0)+IF(BasisNumber&lt;&gt;1,VLOOKUP($A211,BasisTable,3,0),0)+Q$1)/(1-Q$2))</f>
        <v>32.540786910608887</v>
      </c>
      <c r="R211" s="154">
        <f>IF(Assumptions!$L$25=4,VLOOKUP($A211,'Henwood Reference'!$E$9:$R$320,11),(VLOOKUP($A211,PriceTable,6,0)+IF(BasisNumber&lt;&gt;1,VLOOKUP($A211,BasisTable,3,0),0)+R$1)/(1-R$2))</f>
        <v>32.540786910608887</v>
      </c>
      <c r="S211" s="154">
        <f>IF(Assumptions!$L$25=4,VLOOKUP($A211,'Henwood Reference'!$E$9:$R$320,11),(VLOOKUP($A211,PriceTable,7,0)+IF(BasisNumber&lt;&gt;1,VLOOKUP($A211,BasisTable,3,0),0)+S$1)/(1-S$2))</f>
        <v>32.540786910608887</v>
      </c>
      <c r="T211" s="155">
        <f>IF(Assumptions!$L$25=4,VLOOKUP($A211,'Henwood Reference'!$E$9:$R$320,11),(VLOOKUP($A211,PriceTable,8,0)+IF(BasisNumber&lt;&gt;1,VLOOKUP($A211,BasisTable,3,0),0)+T$1)/(1-T$2))</f>
        <v>32.540786910608887</v>
      </c>
      <c r="U211" s="173">
        <f t="shared" si="640"/>
        <v>0.09</v>
      </c>
      <c r="V211" s="173">
        <f t="shared" si="641"/>
        <v>0.1</v>
      </c>
      <c r="W211" s="174">
        <f t="shared" si="642"/>
        <v>0.11</v>
      </c>
      <c r="X211" s="173">
        <f t="shared" si="643"/>
        <v>0.09</v>
      </c>
      <c r="Y211" s="173">
        <f t="shared" si="644"/>
        <v>0.1</v>
      </c>
      <c r="Z211" s="174">
        <f t="shared" si="645"/>
        <v>0.11</v>
      </c>
      <c r="AA211" s="173">
        <f t="shared" si="646"/>
        <v>0.09</v>
      </c>
      <c r="AB211" s="173">
        <f t="shared" si="647"/>
        <v>0.11</v>
      </c>
      <c r="AC211" s="174">
        <f t="shared" si="648"/>
        <v>0.13</v>
      </c>
      <c r="AD211" s="173">
        <f t="shared" si="649"/>
        <v>0.09</v>
      </c>
      <c r="AE211" s="173">
        <f t="shared" si="650"/>
        <v>0.11</v>
      </c>
      <c r="AF211" s="174">
        <f t="shared" si="651"/>
        <v>0.13</v>
      </c>
      <c r="AG211" s="173">
        <f t="shared" si="652"/>
        <v>-0.35</v>
      </c>
      <c r="AH211" s="173">
        <f t="shared" si="653"/>
        <v>0.65</v>
      </c>
      <c r="AI211" s="174">
        <f t="shared" si="654"/>
        <v>0.35</v>
      </c>
      <c r="AJ211" s="173">
        <f t="shared" si="655"/>
        <v>-0.35</v>
      </c>
      <c r="AK211" s="173">
        <f t="shared" si="656"/>
        <v>0.65</v>
      </c>
      <c r="AL211" s="174">
        <f t="shared" si="657"/>
        <v>0.35</v>
      </c>
      <c r="AM211" s="173">
        <f t="shared" si="658"/>
        <v>-0.01</v>
      </c>
      <c r="AN211" s="173">
        <f t="shared" si="659"/>
        <v>0.16</v>
      </c>
      <c r="AO211" s="174">
        <f t="shared" si="660"/>
        <v>0.01</v>
      </c>
      <c r="AP211" s="173">
        <f t="shared" si="661"/>
        <v>-0.01</v>
      </c>
      <c r="AQ211" s="173">
        <f t="shared" si="662"/>
        <v>0.16</v>
      </c>
      <c r="AR211" s="175">
        <f t="shared" si="663"/>
        <v>0.01</v>
      </c>
      <c r="AS211" s="521">
        <f t="shared" si="664"/>
        <v>0.5</v>
      </c>
      <c r="AT211" s="349">
        <f t="shared" si="581"/>
        <v>20</v>
      </c>
      <c r="AU211" s="159">
        <f t="shared" si="582"/>
        <v>5</v>
      </c>
      <c r="AV211" s="159">
        <f t="shared" si="583"/>
        <v>5</v>
      </c>
      <c r="AW211" s="159">
        <f t="shared" si="665"/>
        <v>1</v>
      </c>
      <c r="AX211" s="15">
        <f t="shared" si="584"/>
        <v>31</v>
      </c>
      <c r="AY211" s="607">
        <f>IF(E211="",0,MIN((1-(1-VLOOKUP(B211,MAIN!$AA$7:$AM$28,C211+1))*(1-VLOOKUP(B211,MAIN!$AA$33:$AM$54,C211+1))),1))</f>
        <v>3.0000000000000027E-2</v>
      </c>
      <c r="AZ211" s="337">
        <v>46560</v>
      </c>
      <c r="BA211" s="509">
        <v>11640</v>
      </c>
      <c r="BB211" s="509">
        <v>13968</v>
      </c>
      <c r="BC211" s="511">
        <v>36084</v>
      </c>
      <c r="BD211" s="153">
        <v>0.97000000361353156</v>
      </c>
      <c r="BE211" s="474">
        <v>0.97000000361353156</v>
      </c>
      <c r="BF211" s="474">
        <v>0.97000000361353156</v>
      </c>
      <c r="BG211" s="515">
        <v>0.96999998554587363</v>
      </c>
      <c r="BH211" s="262">
        <v>186240</v>
      </c>
      <c r="BI211" s="509">
        <v>46560</v>
      </c>
      <c r="BJ211" s="509">
        <v>55872</v>
      </c>
      <c r="BK211" s="511">
        <v>144336</v>
      </c>
      <c r="BL211" s="153">
        <v>0.97000000361353156</v>
      </c>
      <c r="BM211" s="474">
        <v>0.97000000361353156</v>
      </c>
      <c r="BN211" s="474">
        <v>0.97000000361353156</v>
      </c>
      <c r="BO211" s="474">
        <v>0.96999998554587363</v>
      </c>
      <c r="BP211" s="261">
        <f t="shared" si="666"/>
        <v>72168</v>
      </c>
      <c r="BQ211" s="578">
        <f t="shared" si="667"/>
        <v>108252</v>
      </c>
      <c r="BR211" s="259">
        <f t="shared" si="668"/>
        <v>288672</v>
      </c>
      <c r="BS211" s="578">
        <f t="shared" si="669"/>
        <v>433008</v>
      </c>
      <c r="BT211" s="216">
        <f t="shared" si="670"/>
        <v>16.213552361396303</v>
      </c>
      <c r="BU211" s="218">
        <f t="shared" si="585"/>
        <v>64.903935592765066</v>
      </c>
      <c r="BV211" s="216">
        <f t="shared" si="586"/>
        <v>64.903935592765066</v>
      </c>
      <c r="BW211" s="216">
        <f t="shared" si="587"/>
        <v>32.540787031832764</v>
      </c>
      <c r="BX211" s="216">
        <f t="shared" si="671"/>
        <v>32.540786425713378</v>
      </c>
      <c r="BY211" s="216">
        <f t="shared" si="588"/>
        <v>58.640100387423324</v>
      </c>
      <c r="BZ211" s="216">
        <f t="shared" si="589"/>
        <v>49.940329066853344</v>
      </c>
      <c r="CA211" s="264">
        <f t="shared" si="590"/>
        <v>64.903935592765066</v>
      </c>
      <c r="CB211" s="216">
        <f t="shared" si="591"/>
        <v>64.903935592765066</v>
      </c>
      <c r="CC211" s="216">
        <f t="shared" si="592"/>
        <v>32.540787031832764</v>
      </c>
      <c r="CD211" s="216">
        <f t="shared" si="672"/>
        <v>32.540786425713378</v>
      </c>
      <c r="CE211" s="216">
        <f t="shared" si="593"/>
        <v>58.640100387423324</v>
      </c>
      <c r="CF211" s="571">
        <f t="shared" si="594"/>
        <v>49.940329066853344</v>
      </c>
      <c r="CG211" s="573">
        <f t="shared" si="595"/>
        <v>0.1</v>
      </c>
      <c r="CH211" s="219">
        <f t="shared" si="596"/>
        <v>0.1</v>
      </c>
      <c r="CI211" s="219">
        <f t="shared" si="597"/>
        <v>0.11</v>
      </c>
      <c r="CJ211" s="219">
        <f t="shared" si="598"/>
        <v>0.10108193988061369</v>
      </c>
      <c r="CK211" s="219">
        <f t="shared" si="599"/>
        <v>0.10108193988061369</v>
      </c>
      <c r="CL211" s="219">
        <f t="shared" si="600"/>
        <v>0.11</v>
      </c>
      <c r="CM211" s="219">
        <f t="shared" si="601"/>
        <v>9.3622368369182293E-2</v>
      </c>
      <c r="CN211" s="569">
        <f t="shared" si="602"/>
        <v>9.3622368369182293E-2</v>
      </c>
      <c r="CO211" s="264">
        <f t="shared" si="514"/>
        <v>23.197893416461532</v>
      </c>
      <c r="CP211" s="216">
        <f t="shared" si="673"/>
        <v>23.197893416461532</v>
      </c>
      <c r="CQ211" s="216">
        <f t="shared" ca="1" si="532"/>
        <v>23.197893416461532</v>
      </c>
      <c r="CR211" s="216">
        <f t="shared" ca="1" si="533"/>
        <v>23.197893416461532</v>
      </c>
      <c r="CS211" s="1626">
        <f t="shared" ca="1" si="534"/>
        <v>23.197893416461529</v>
      </c>
      <c r="CT211" s="216">
        <f t="shared" si="674"/>
        <v>23.197893416461532</v>
      </c>
      <c r="CU211" s="575">
        <f t="shared" si="603"/>
        <v>0.152</v>
      </c>
      <c r="CV211" s="154">
        <f t="shared" si="604"/>
        <v>0.5</v>
      </c>
      <c r="CW211" s="216">
        <f>IF(OR($BQ211,$BS211),SpreadOptPowerMargin,0)*((1+Assumptions!$C$26)^($B211-YEAR(Assumptions!$C$17)))</f>
        <v>2.3284919348168329</v>
      </c>
      <c r="CX211" s="216">
        <f>IF(OR($BQ211,$BS211),SpreadOptPowerMargin,0)*((1+Assumptions!$C$26)^($B211-YEAR(Assumptions!$C$17)))</f>
        <v>2.3284919348168329</v>
      </c>
      <c r="CY211" s="216">
        <f>IF(OR($BQ211,$BS211),SpreadOptPowerMargin,0)*((1+Assumptions!$C$26)^($B211-YEAR(Assumptions!$C$17)))</f>
        <v>2.3284919348168329</v>
      </c>
      <c r="CZ211" s="216">
        <f>IF(OR($BQ211,$BS211),SpreadOptPowerMargin,0)*((1+Assumptions!$C$26)^($B211-YEAR(Assumptions!$C$17)))</f>
        <v>2.3284919348168329</v>
      </c>
      <c r="DA211" s="440">
        <f t="shared" si="605"/>
        <v>2.3284919348168329</v>
      </c>
      <c r="DB211" s="479">
        <f t="shared" si="606"/>
        <v>0.1</v>
      </c>
      <c r="DC211" s="479">
        <f t="shared" si="607"/>
        <v>0.1</v>
      </c>
      <c r="DD211" s="479">
        <f t="shared" si="608"/>
        <v>0.11</v>
      </c>
      <c r="DE211" s="479">
        <f t="shared" si="609"/>
        <v>0.11</v>
      </c>
      <c r="DF211" s="479">
        <f t="shared" si="610"/>
        <v>9.3622368369182293E-2</v>
      </c>
      <c r="DG211" s="574">
        <f t="shared" si="611"/>
        <v>9.3622368369182293E-2</v>
      </c>
      <c r="DH211" s="216">
        <f t="shared" si="612"/>
        <v>39.64265919226095</v>
      </c>
      <c r="DI211" s="216">
        <f t="shared" si="613"/>
        <v>39.64265919226095</v>
      </c>
      <c r="DJ211" s="216">
        <f t="shared" ca="1" si="535"/>
        <v>9.9973147173759056</v>
      </c>
      <c r="DK211" s="216">
        <f t="shared" ca="1" si="536"/>
        <v>9.9973142499645302</v>
      </c>
      <c r="DL211" s="216">
        <f t="shared" ca="1" si="537"/>
        <v>25.146722773440906</v>
      </c>
      <c r="DM211" s="216"/>
      <c r="DN211" s="216"/>
      <c r="DO211" s="216"/>
      <c r="DP211" s="216"/>
      <c r="DQ211" s="216"/>
      <c r="DR211" s="216"/>
      <c r="DS211" s="216"/>
      <c r="DT211" s="216"/>
      <c r="DU211" s="216"/>
      <c r="DV211" s="216"/>
      <c r="DW211" s="1371">
        <f t="shared" si="614"/>
        <v>9.9973147173759056</v>
      </c>
      <c r="DX211" s="216">
        <f t="shared" si="615"/>
        <v>9.9973142499645302</v>
      </c>
      <c r="DY211" s="440">
        <f t="shared" si="616"/>
        <v>25.935671806133968</v>
      </c>
      <c r="DZ211" s="180">
        <f t="shared" si="617"/>
        <v>1845762.2119916698</v>
      </c>
      <c r="EA211" s="180">
        <f t="shared" si="618"/>
        <v>461440.55299791746</v>
      </c>
      <c r="EB211" s="180">
        <f t="shared" ca="1" si="538"/>
        <v>139642.49197230666</v>
      </c>
      <c r="EC211" s="180">
        <f t="shared" ca="1" si="539"/>
        <v>360743.08739572013</v>
      </c>
      <c r="ED211" s="180">
        <f t="shared" ca="1" si="540"/>
        <v>2722183.0336705251</v>
      </c>
      <c r="EE211" s="581">
        <f t="shared" si="619"/>
        <v>1833418.7392436208</v>
      </c>
      <c r="EF211" s="554">
        <f t="shared" si="620"/>
        <v>458354.68481090519</v>
      </c>
      <c r="EG211" s="554">
        <f t="shared" ca="1" si="541"/>
        <v>97977.162673983854</v>
      </c>
      <c r="EH211" s="554">
        <f t="shared" ca="1" si="542"/>
        <v>253107.64836991305</v>
      </c>
      <c r="EI211" s="561">
        <f t="shared" ca="1" si="621"/>
        <v>2642858.235098423</v>
      </c>
      <c r="EJ211" s="581">
        <f t="shared" si="675"/>
        <v>12343.472748049069</v>
      </c>
      <c r="EK211" s="554">
        <f t="shared" si="676"/>
        <v>3085.8681870122673</v>
      </c>
      <c r="EL211" s="554">
        <f t="shared" ca="1" si="543"/>
        <v>41665.329298322802</v>
      </c>
      <c r="EM211" s="554">
        <f t="shared" ca="1" si="544"/>
        <v>107635.43902580708</v>
      </c>
      <c r="EN211" s="561">
        <f t="shared" ca="1" si="545"/>
        <v>79324.798572102096</v>
      </c>
      <c r="EO211" s="180">
        <f t="shared" si="622"/>
        <v>7383048.8479666794</v>
      </c>
      <c r="EP211" s="180">
        <f t="shared" si="623"/>
        <v>1845762.2119916698</v>
      </c>
      <c r="EQ211" s="180">
        <f t="shared" si="624"/>
        <v>558569.96788922662</v>
      </c>
      <c r="ER211" s="180">
        <f t="shared" si="625"/>
        <v>1442972.3495828805</v>
      </c>
      <c r="ES211" s="180">
        <f t="shared" si="626"/>
        <v>11230353.377430458</v>
      </c>
      <c r="ET211" s="1482">
        <f t="shared" ca="1" si="546"/>
        <v>7333674.9569744831</v>
      </c>
      <c r="EU211" s="180">
        <f t="shared" ca="1" si="547"/>
        <v>1833418.7392436208</v>
      </c>
      <c r="EV211" s="180">
        <f t="shared" ca="1" si="548"/>
        <v>391908.65069593542</v>
      </c>
      <c r="EW211" s="180">
        <f t="shared" ca="1" si="549"/>
        <v>1012430.5934796522</v>
      </c>
      <c r="EX211" s="555">
        <f t="shared" ca="1" si="522"/>
        <v>10571432.94039369</v>
      </c>
      <c r="EY211" s="180">
        <f t="shared" ca="1" si="550"/>
        <v>49373.890992196277</v>
      </c>
      <c r="EZ211" s="180">
        <f t="shared" ca="1" si="551"/>
        <v>12343.472748049069</v>
      </c>
      <c r="FA211" s="180">
        <f t="shared" ca="1" si="552"/>
        <v>166661.31719329121</v>
      </c>
      <c r="FB211" s="180">
        <f t="shared" ca="1" si="553"/>
        <v>430541.75610322831</v>
      </c>
      <c r="FC211" s="180">
        <f t="shared" ca="1" si="554"/>
        <v>658920.4370367676</v>
      </c>
      <c r="FD211" s="262">
        <f>IF(AX211,IF(VLOOKUP(C211,MAIN!$L$17:$M$28,2)="Yes",VLOOKUP(CALC!B211,MAIN!$H$17:$I$20,2),0),0)</f>
        <v>0</v>
      </c>
      <c r="FE211" s="623">
        <f t="shared" si="627"/>
        <v>0</v>
      </c>
      <c r="FF211" s="535">
        <f t="shared" si="628"/>
        <v>0</v>
      </c>
      <c r="FG211" s="535">
        <f t="shared" si="629"/>
        <v>0</v>
      </c>
      <c r="FH211" s="624">
        <f t="shared" si="630"/>
        <v>0</v>
      </c>
      <c r="FI211" s="632">
        <f>IF(AX211,VLOOKUP(CALC!B211,MAIN!$H$17:$K$20,4),0)</f>
        <v>0</v>
      </c>
      <c r="FJ211" s="535">
        <f t="shared" si="631"/>
        <v>0</v>
      </c>
      <c r="FK211" s="648">
        <f t="shared" si="677"/>
        <v>0</v>
      </c>
      <c r="FL211" s="530">
        <f t="shared" ca="1" si="555"/>
        <v>0</v>
      </c>
      <c r="FM211" s="530">
        <f t="shared" ca="1" si="556"/>
        <v>0</v>
      </c>
      <c r="FN211" s="530">
        <f t="shared" ca="1" si="557"/>
        <v>0</v>
      </c>
      <c r="FO211" s="622">
        <f t="shared" ca="1" si="558"/>
        <v>0</v>
      </c>
      <c r="FP211" s="530">
        <f t="shared" ca="1" si="559"/>
        <v>0</v>
      </c>
      <c r="FQ211" s="530">
        <f t="shared" ca="1" si="560"/>
        <v>0</v>
      </c>
      <c r="FR211" s="530">
        <f t="shared" ca="1" si="561"/>
        <v>0</v>
      </c>
      <c r="FS211" s="625">
        <f t="shared" ca="1" si="562"/>
        <v>0</v>
      </c>
      <c r="FT211" s="640">
        <f ca="1">IF(AND(Assumptions!$H$71="Yes",A211&gt;=Assumptions!$H$72,A211&lt;=Assumptions!$H$73),0,IF(AND($A211&gt;=Assumptions!$C$17,$A211&lt;=Assumptions!$C$18),MAX(AZ211*(1+VLOOKUP($C211,WeatherCapacityAdjustment,2))-FL211,0),0))</f>
        <v>46560</v>
      </c>
      <c r="FU211" s="530">
        <f ca="1">IF(AND(Assumptions!$H$71="Yes",A211&gt;=Assumptions!$H$72,A211&lt;=Assumptions!$H$73),0,IF(AND($A211&gt;=Assumptions!$C$17,$A211&lt;=Assumptions!$C$18),MAX(BA211*(1+VLOOKUP($C211,WeatherCapacityAdjustment,2))-FM211,0),0))</f>
        <v>11640</v>
      </c>
      <c r="FV211" s="530">
        <f ca="1">IF(AND(Assumptions!$H$71="Yes",A211&gt;=Assumptions!$H$72,A211&lt;=Assumptions!$H$73),0,IF(AND($A211&gt;=Assumptions!$C$17,$A211&lt;=Assumptions!$C$18),MAX(BB211*(1+VLOOKUP($C211,WeatherCapacityAdjustment,2))-FN211,0),0))</f>
        <v>13968</v>
      </c>
      <c r="FW211" s="622">
        <f ca="1">IF(AND(Assumptions!$H$71="Yes",A211&gt;=Assumptions!$H$72,A211&lt;=Assumptions!$H$73),0,IF(AND($A211&gt;=Assumptions!$C$17,$A211&lt;=Assumptions!$C$18),MAX(BC211*(1+VLOOKUP($C211,WeatherCapacityAdjustment,3))-FO211,0),0))</f>
        <v>36084</v>
      </c>
      <c r="FX211" s="621">
        <f ca="1">IF(AND(Assumptions!$H$71="Yes",A211&gt;=Assumptions!$H$72,A211&lt;=Assumptions!$H$73),0,IF(ET211&gt;0,MAX(BH211*(1+VLOOKUP($C211,WeatherCapacityAdjustment,2))-FP211,0),0))</f>
        <v>186240</v>
      </c>
      <c r="FY211" s="530">
        <f ca="1">IF(AND(Assumptions!$H$71="Yes",A211&gt;=Assumptions!$H$72,A211&lt;=Assumptions!$H$73),0,IF(EU211&gt;0,MAX(BI211*(1+VLOOKUP($C211,WeatherCapacityAdjustment,3))-FQ211,0),0))</f>
        <v>46560</v>
      </c>
      <c r="FZ211" s="530">
        <f ca="1">IF(AND(Assumptions!$H$71="Yes",A211&gt;=Assumptions!$H$72,A211&lt;=Assumptions!$H$73),0,IF(EV211&gt;0,MAX(BJ211*(1+VLOOKUP($C211,WeatherCapacityAdjustment,2))-FR211,0),0))</f>
        <v>55872</v>
      </c>
      <c r="GA211" s="622">
        <f ca="1">IF(AND(Assumptions!$H$71="Yes",A211&gt;=Assumptions!$H$72,A211&lt;=Assumptions!$H$73),0,IF(EW211&gt;0,MAX(BK211*(1+VLOOKUP($C211,WeatherCapacityAdjustment,2))-FS211,0),0))</f>
        <v>144336</v>
      </c>
      <c r="GB211" s="530">
        <f t="shared" ca="1" si="632"/>
        <v>541260</v>
      </c>
      <c r="GC211" s="545">
        <f t="shared" ca="1" si="633"/>
        <v>49.940329066853344</v>
      </c>
      <c r="GD211" s="530">
        <f t="shared" ca="1" si="563"/>
        <v>27030702.510725044</v>
      </c>
      <c r="GE211" s="1485">
        <f t="shared" ca="1" si="564"/>
        <v>766326.73320000002</v>
      </c>
      <c r="GF211" s="1776">
        <f t="shared" ca="1" si="565"/>
        <v>3065306.9328000001</v>
      </c>
      <c r="GG211" s="545">
        <f t="shared" si="530"/>
        <v>3.2769551802434673</v>
      </c>
      <c r="GH211" s="622">
        <f t="shared" ca="1" si="531"/>
        <v>12556091.790593969</v>
      </c>
      <c r="GI211" s="621">
        <f t="shared" ca="1" si="678"/>
        <v>541260</v>
      </c>
      <c r="GJ211" s="638">
        <f t="shared" si="634"/>
        <v>2.3284919348168329</v>
      </c>
      <c r="GK211" s="625">
        <f t="shared" ref="GK211:GK274" ca="1" si="684">+GI211*GJ211</f>
        <v>1260319.544638959</v>
      </c>
      <c r="GL211" s="640">
        <f t="shared" ca="1" si="566"/>
        <v>0</v>
      </c>
      <c r="GM211" s="530">
        <f t="shared" ca="1" si="567"/>
        <v>0</v>
      </c>
      <c r="GN211" s="530">
        <f t="shared" ca="1" si="568"/>
        <v>0</v>
      </c>
      <c r="GO211" s="622">
        <f t="shared" ca="1" si="569"/>
        <v>0</v>
      </c>
      <c r="GP211" s="530">
        <f t="shared" ca="1" si="635"/>
        <v>0</v>
      </c>
      <c r="GQ211" s="545">
        <f t="shared" ca="1" si="636"/>
        <v>0</v>
      </c>
      <c r="GR211" s="625">
        <f t="shared" ca="1" si="570"/>
        <v>0</v>
      </c>
      <c r="GS211" s="640">
        <f>IF($A211&gt;=BegDate,Assumptions!$C$56*24*($A212-$A211)*(1-VLOOKUP($B211,MAIN!$AA$7:$AM$28,$C211+1))*(1-VLOOKUP($B211,MAIN!$AA$33:$AM$54,$C211+1)),0)*80/168</f>
        <v>257742.85714285713</v>
      </c>
      <c r="GT211" s="1715">
        <f t="shared" si="679"/>
        <v>64.903935350979054</v>
      </c>
      <c r="GU211" s="1715">
        <f>IF($A211&gt;=BegDate,VLOOKUP($A211,GasTable,13)+Assumptions!$C$58,0)</f>
        <v>3.2769551802434673</v>
      </c>
      <c r="GV211" s="1715">
        <f>GU211*Assumptions!$C$57/1000</f>
        <v>23.757925056765139</v>
      </c>
      <c r="GW211" s="625">
        <f>IF(Assumptions!$C$60="Hourly",MAX(0,GS211*(GT211-GV211)),GS211*(GT211-GV211))</f>
        <v>10605090.253260106</v>
      </c>
      <c r="GX211" s="640">
        <f>IF($A211&gt;=BegDate,Assumptions!$C$56*24*($A212-$A211)*(1-VLOOKUP($B211,MAIN!$AA$7:$AM$28,$C211+1))*(1-VLOOKUP($B211,MAIN!$AA$33:$AM$54,$C211+1)),0)*16/168</f>
        <v>51548.571428571428</v>
      </c>
      <c r="GY211" s="1715">
        <f t="shared" si="680"/>
        <v>64.903935350979054</v>
      </c>
      <c r="GZ211" s="1715">
        <f>IF($A211&gt;=BegDate,VLOOKUP($A211,GasTable,13)+Assumptions!$C$58,0)</f>
        <v>3.2769551802434673</v>
      </c>
      <c r="HA211" s="1715">
        <f>GZ211*Assumptions!$C$57/1000</f>
        <v>23.757925056765139</v>
      </c>
      <c r="HB211" s="625">
        <f>IF(Assumptions!$C$60="Hourly",MAX(0,GX211*(GY211-HA211)),GX211*(GY211-HA211))</f>
        <v>2121018.0506520211</v>
      </c>
      <c r="HC211" s="640">
        <f>IF($A211&gt;=BegDate,Assumptions!$C$56*24*($A212-$A211)*(1-VLOOKUP($B211,MAIN!$AA$7:$AM$28,$C211+1))*(1-VLOOKUP($B211,MAIN!$AA$33:$AM$54,$C211+1)),0)*16/168</f>
        <v>51548.571428571428</v>
      </c>
      <c r="HD211" s="1715">
        <f t="shared" si="681"/>
        <v>32.540786910608887</v>
      </c>
      <c r="HE211" s="1715">
        <f>IF($A211&gt;=BegDate,VLOOKUP($A211,GasTable,13)+Assumptions!$C$58,0)</f>
        <v>3.2769551802434673</v>
      </c>
      <c r="HF211" s="1715">
        <f>HE211*Assumptions!$C$57/1000</f>
        <v>23.757925056765139</v>
      </c>
      <c r="HG211" s="625">
        <f>IF(Assumptions!$C$60="Hourly",MAX(0,HC211*(HD211-HF211)),HC211*(HD211-HF211))</f>
        <v>452743.98162013973</v>
      </c>
      <c r="HH211" s="640">
        <f>IF($A211&gt;=BegDate,Assumptions!$C$56*24*($A212-$A211)*(1-VLOOKUP($B211,MAIN!$AA$7:$AM$28,$C211+1))*(1-VLOOKUP($B211,MAIN!$AA$33:$AM$54,$C211+1)),0)*56/168</f>
        <v>180420</v>
      </c>
      <c r="HI211" s="1715">
        <f t="shared" si="682"/>
        <v>32.540786910608887</v>
      </c>
      <c r="HJ211" s="1715">
        <f>IF($A211&gt;=BegDate,VLOOKUP($A211,GasTable,13)+Assumptions!$C$58,0)</f>
        <v>3.2769551802434673</v>
      </c>
      <c r="HK211" s="1715">
        <f>HJ211*Assumptions!$C$57/1000</f>
        <v>23.757925056765139</v>
      </c>
      <c r="HL211" s="625">
        <f>IF(Assumptions!$C$60="Hourly",MAX(0,HH211*(HI211-HK211)),HH211*(HI211-HK211))</f>
        <v>1584603.935670489</v>
      </c>
      <c r="HM211" s="640">
        <f>IF(AND(Assumptions!$H$71="Yes",A211&gt;=Assumptions!$H$72,A211&lt;=Assumptions!$H$73),Assumptions!$H$74*Assumptions!$C$9*1000,0)</f>
        <v>0</v>
      </c>
      <c r="HN211" s="530"/>
      <c r="HO211" s="545"/>
      <c r="HP211" s="545"/>
      <c r="HQ211" s="545"/>
      <c r="HR211" s="545"/>
      <c r="HS211" s="545"/>
      <c r="HT211" s="545"/>
      <c r="HU211" s="545"/>
      <c r="HV211" s="545"/>
      <c r="HW211" s="545"/>
      <c r="HX211" s="545"/>
      <c r="HY211" s="545"/>
      <c r="HZ211" s="545"/>
      <c r="IA211" s="545"/>
      <c r="IB211" s="545"/>
      <c r="IC211" s="545"/>
      <c r="ID211" s="545"/>
      <c r="IE211" s="545"/>
      <c r="IF211" s="545"/>
      <c r="IG211" s="545"/>
      <c r="IH211" s="545"/>
      <c r="II211" s="1464"/>
      <c r="IJ211" s="1463"/>
      <c r="IK211" s="1463"/>
    </row>
    <row r="212" spans="1:245">
      <c r="A212" s="177">
        <f t="shared" si="637"/>
        <v>42583</v>
      </c>
      <c r="B212" s="349">
        <f t="shared" si="638"/>
        <v>2016</v>
      </c>
      <c r="C212" s="15">
        <f t="shared" si="578"/>
        <v>8</v>
      </c>
      <c r="D212" s="612" t="str">
        <f t="shared" si="639"/>
        <v/>
      </c>
      <c r="E212" s="609">
        <f t="shared" si="579"/>
        <v>42583</v>
      </c>
      <c r="F212" s="614">
        <f t="shared" si="580"/>
        <v>42613</v>
      </c>
      <c r="G212" s="1349">
        <v>0</v>
      </c>
      <c r="H212" s="152">
        <f t="shared" si="683"/>
        <v>1</v>
      </c>
      <c r="I212" s="154">
        <f>IF(Assumptions!$L$25=4,VLOOKUP($A212,'Henwood Reference'!$E$9:$R$320,10),(VLOOKUP($A212,PriceTable,2,0)+IF(BasisNumber&lt;&gt;1,VLOOKUP($A212,BasisTable,2,0),0)+I$1)/(1-I$2))</f>
        <v>106.03794893974364</v>
      </c>
      <c r="J212" s="154">
        <f>IF(Assumptions!$L$25=4,VLOOKUP($A212,'Henwood Reference'!$E$9:$R$320,10),(VLOOKUP($A212,PriceTable,3,0)+IF(BasisNumber&lt;&gt;1,VLOOKUP($A212,BasisTable,2,0),0)+J$1)/(1-J$2))</f>
        <v>106.03794893974364</v>
      </c>
      <c r="K212" s="154">
        <f>IF(Assumptions!$L$25=4,VLOOKUP($A212,'Henwood Reference'!$E$9:$R$320,10),(VLOOKUP($A212,PriceTable,4,0)+IF(BasisNumber&lt;&gt;1,VLOOKUP($A212,BasisTable,2,0),0)+K$1)/(1-K$2))</f>
        <v>106.03794893974364</v>
      </c>
      <c r="L212" s="474">
        <f>IF(Assumptions!$L$25=4,VLOOKUP($A212,'Henwood Reference'!$E$9:$R$320,10),(VLOOKUP($A212,PriceTableWeekend,2,0)+IF(BasisNumber&lt;&gt;1,VLOOKUP($A212,BasisTable,2,0),0)+L$1)/(1-L$2))</f>
        <v>106.03794893974364</v>
      </c>
      <c r="M212" s="154">
        <f>IF(Assumptions!$L$25=4,VLOOKUP($A212,'Henwood Reference'!$E$9:$R$320,10),(VLOOKUP($A212,PriceTableWeekend,3,0)+IF(BasisNumber&lt;&gt;1,VLOOKUP($A212,BasisTable,2,0),0)+M$1)/(1-M$2))</f>
        <v>106.03794893974364</v>
      </c>
      <c r="N212" s="156">
        <f>IF(Assumptions!$L$25=4,VLOOKUP($A212,'Henwood Reference'!$E$9:$R$320,10),(VLOOKUP($A212,PriceTableWeekend,4,0)+IF(BasisNumber&lt;&gt;1,VLOOKUP($A212,BasisTable,2,0),0)+N$1)/(1-N$2))</f>
        <v>106.03794893974364</v>
      </c>
      <c r="O212" s="154">
        <f>IF(Assumptions!$L$25=4,VLOOKUP($A212,'Henwood Reference'!$E$9:$R$320,11),(VLOOKUP($A212,PriceTableWeekend,6,0)+IF(BasisNumber&lt;&gt;1,VLOOKUP($A212,BasisTable,3,0),0)+O$1)/(1-O$2))</f>
        <v>36.846117438914064</v>
      </c>
      <c r="P212" s="154">
        <f>IF(Assumptions!$L$25=4,VLOOKUP($A212,'Henwood Reference'!$E$9:$R$320,11),(VLOOKUP($A212,PriceTableWeekend,7,0)+IF(BasisNumber&lt;&gt;1,VLOOKUP($A212,BasisTable,3,0),0)+P$1)/(1-P$2))</f>
        <v>36.846117438914064</v>
      </c>
      <c r="Q212" s="156">
        <f>IF(Assumptions!$L$25=4,VLOOKUP($A212,'Henwood Reference'!$E$9:$R$320,11),(VLOOKUP($A212,PriceTableWeekend,8,0)+IF(BasisNumber&lt;&gt;1,VLOOKUP($A212,BasisTable,3,0),0)+Q$1)/(1-Q$2))</f>
        <v>36.846117438914064</v>
      </c>
      <c r="R212" s="154">
        <f>IF(Assumptions!$L$25=4,VLOOKUP($A212,'Henwood Reference'!$E$9:$R$320,11),(VLOOKUP($A212,PriceTable,6,0)+IF(BasisNumber&lt;&gt;1,VLOOKUP($A212,BasisTable,3,0),0)+R$1)/(1-R$2))</f>
        <v>36.846117438914064</v>
      </c>
      <c r="S212" s="154">
        <f>IF(Assumptions!$L$25=4,VLOOKUP($A212,'Henwood Reference'!$E$9:$R$320,11),(VLOOKUP($A212,PriceTable,7,0)+IF(BasisNumber&lt;&gt;1,VLOOKUP($A212,BasisTable,3,0),0)+S$1)/(1-S$2))</f>
        <v>36.846117438914064</v>
      </c>
      <c r="T212" s="155">
        <f>IF(Assumptions!$L$25=4,VLOOKUP($A212,'Henwood Reference'!$E$9:$R$320,11),(VLOOKUP($A212,PriceTable,8,0)+IF(BasisNumber&lt;&gt;1,VLOOKUP($A212,BasisTable,3,0),0)+T$1)/(1-T$2))</f>
        <v>36.846117438914064</v>
      </c>
      <c r="U212" s="173">
        <f t="shared" si="640"/>
        <v>0.09</v>
      </c>
      <c r="V212" s="173">
        <f t="shared" si="641"/>
        <v>0.1</v>
      </c>
      <c r="W212" s="174">
        <f t="shared" si="642"/>
        <v>0.11</v>
      </c>
      <c r="X212" s="173">
        <f t="shared" si="643"/>
        <v>0.09</v>
      </c>
      <c r="Y212" s="173">
        <f t="shared" si="644"/>
        <v>0.1</v>
      </c>
      <c r="Z212" s="174">
        <f t="shared" si="645"/>
        <v>0.11</v>
      </c>
      <c r="AA212" s="173">
        <f t="shared" si="646"/>
        <v>0.09</v>
      </c>
      <c r="AB212" s="173">
        <f t="shared" si="647"/>
        <v>0.11</v>
      </c>
      <c r="AC212" s="174">
        <f t="shared" si="648"/>
        <v>0.13</v>
      </c>
      <c r="AD212" s="173">
        <f t="shared" si="649"/>
        <v>0.09</v>
      </c>
      <c r="AE212" s="173">
        <f t="shared" si="650"/>
        <v>0.11</v>
      </c>
      <c r="AF212" s="174">
        <f t="shared" si="651"/>
        <v>0.13</v>
      </c>
      <c r="AG212" s="173">
        <f t="shared" si="652"/>
        <v>-0.35</v>
      </c>
      <c r="AH212" s="173">
        <f t="shared" si="653"/>
        <v>3</v>
      </c>
      <c r="AI212" s="174">
        <f t="shared" si="654"/>
        <v>0.35</v>
      </c>
      <c r="AJ212" s="173">
        <f t="shared" si="655"/>
        <v>-0.35</v>
      </c>
      <c r="AK212" s="173">
        <f t="shared" si="656"/>
        <v>3</v>
      </c>
      <c r="AL212" s="174">
        <f t="shared" si="657"/>
        <v>0.35</v>
      </c>
      <c r="AM212" s="173">
        <f t="shared" si="658"/>
        <v>-0.01</v>
      </c>
      <c r="AN212" s="173">
        <f t="shared" si="659"/>
        <v>0.16</v>
      </c>
      <c r="AO212" s="174">
        <f t="shared" si="660"/>
        <v>0.01</v>
      </c>
      <c r="AP212" s="173">
        <f t="shared" si="661"/>
        <v>-0.01</v>
      </c>
      <c r="AQ212" s="173">
        <f t="shared" si="662"/>
        <v>0.16</v>
      </c>
      <c r="AR212" s="175">
        <f t="shared" si="663"/>
        <v>0.01</v>
      </c>
      <c r="AS212" s="521">
        <f t="shared" si="664"/>
        <v>0.5</v>
      </c>
      <c r="AT212" s="349">
        <f t="shared" si="581"/>
        <v>23</v>
      </c>
      <c r="AU212" s="159">
        <f t="shared" si="582"/>
        <v>4</v>
      </c>
      <c r="AV212" s="159">
        <f t="shared" si="583"/>
        <v>4</v>
      </c>
      <c r="AW212" s="159">
        <f t="shared" si="665"/>
        <v>0</v>
      </c>
      <c r="AX212" s="15">
        <f t="shared" si="584"/>
        <v>31</v>
      </c>
      <c r="AY212" s="607">
        <f>IF(E212="",0,MIN((1-(1-VLOOKUP(B212,MAIN!$AA$7:$AM$28,C212+1))*(1-VLOOKUP(B212,MAIN!$AA$33:$AM$54,C212+1))),1))</f>
        <v>3.0000000000000027E-2</v>
      </c>
      <c r="AZ212" s="337">
        <v>53544</v>
      </c>
      <c r="BA212" s="509">
        <v>9312</v>
      </c>
      <c r="BB212" s="509">
        <v>9312</v>
      </c>
      <c r="BC212" s="511">
        <v>36084</v>
      </c>
      <c r="BD212" s="153">
        <v>0.96999998915940522</v>
      </c>
      <c r="BE212" s="474">
        <v>0.96999998915940522</v>
      </c>
      <c r="BF212" s="474">
        <v>0.96999998915940522</v>
      </c>
      <c r="BG212" s="515">
        <v>0.97000000722706314</v>
      </c>
      <c r="BH212" s="262">
        <v>214176</v>
      </c>
      <c r="BI212" s="509">
        <v>37248</v>
      </c>
      <c r="BJ212" s="509">
        <v>37248</v>
      </c>
      <c r="BK212" s="511">
        <v>144336</v>
      </c>
      <c r="BL212" s="153">
        <v>0.96999998915940522</v>
      </c>
      <c r="BM212" s="474">
        <v>0.96999998915940522</v>
      </c>
      <c r="BN212" s="474">
        <v>0.96999998915940522</v>
      </c>
      <c r="BO212" s="474">
        <v>0.97000000722706314</v>
      </c>
      <c r="BP212" s="261">
        <f t="shared" si="666"/>
        <v>72168</v>
      </c>
      <c r="BQ212" s="578">
        <f t="shared" si="667"/>
        <v>108252</v>
      </c>
      <c r="BR212" s="259">
        <f t="shared" si="668"/>
        <v>288672</v>
      </c>
      <c r="BS212" s="578">
        <f t="shared" si="669"/>
        <v>433008</v>
      </c>
      <c r="BT212" s="216">
        <f t="shared" si="670"/>
        <v>16.298425735797398</v>
      </c>
      <c r="BU212" s="218">
        <f t="shared" si="585"/>
        <v>106.03794775467722</v>
      </c>
      <c r="BV212" s="216">
        <f t="shared" si="586"/>
        <v>106.03794775467722</v>
      </c>
      <c r="BW212" s="216">
        <f t="shared" si="587"/>
        <v>36.846117027126617</v>
      </c>
      <c r="BX212" s="216">
        <f t="shared" si="671"/>
        <v>36.846117713439035</v>
      </c>
      <c r="BY212" s="216">
        <f t="shared" si="588"/>
        <v>97.109969596283591</v>
      </c>
      <c r="BZ212" s="216">
        <f t="shared" si="589"/>
        <v>77.022018968668732</v>
      </c>
      <c r="CA212" s="264">
        <f t="shared" si="590"/>
        <v>106.03794775467722</v>
      </c>
      <c r="CB212" s="216">
        <f t="shared" si="591"/>
        <v>106.03794775467722</v>
      </c>
      <c r="CC212" s="216">
        <f t="shared" si="592"/>
        <v>36.846117027126617</v>
      </c>
      <c r="CD212" s="216">
        <f t="shared" si="672"/>
        <v>36.846117713439035</v>
      </c>
      <c r="CE212" s="216">
        <f t="shared" si="593"/>
        <v>97.109969596283591</v>
      </c>
      <c r="CF212" s="571">
        <f t="shared" si="594"/>
        <v>77.022018968668732</v>
      </c>
      <c r="CG212" s="573">
        <f t="shared" si="595"/>
        <v>0.1</v>
      </c>
      <c r="CH212" s="219">
        <f t="shared" si="596"/>
        <v>0.1</v>
      </c>
      <c r="CI212" s="219">
        <f t="shared" si="597"/>
        <v>0.11</v>
      </c>
      <c r="CJ212" s="219">
        <f t="shared" si="598"/>
        <v>0.10049341578980418</v>
      </c>
      <c r="CK212" s="219">
        <f t="shared" si="599"/>
        <v>0.10049341578980418</v>
      </c>
      <c r="CL212" s="219">
        <f t="shared" si="600"/>
        <v>0.11</v>
      </c>
      <c r="CM212" s="219">
        <f t="shared" si="601"/>
        <v>9.4652669262388536E-2</v>
      </c>
      <c r="CN212" s="569">
        <f t="shared" si="602"/>
        <v>9.4652669262388536E-2</v>
      </c>
      <c r="CO212" s="264">
        <f t="shared" si="514"/>
        <v>24.042845391312699</v>
      </c>
      <c r="CP212" s="216">
        <f t="shared" si="673"/>
        <v>24.042845391312699</v>
      </c>
      <c r="CQ212" s="216">
        <f t="shared" ca="1" si="532"/>
        <v>24.042845391312699</v>
      </c>
      <c r="CR212" s="216">
        <f t="shared" ca="1" si="533"/>
        <v>24.042845391312699</v>
      </c>
      <c r="CS212" s="1626">
        <f t="shared" ca="1" si="534"/>
        <v>24.042845391312703</v>
      </c>
      <c r="CT212" s="216">
        <f t="shared" si="674"/>
        <v>24.042845391312699</v>
      </c>
      <c r="CU212" s="575">
        <f t="shared" si="603"/>
        <v>0.152</v>
      </c>
      <c r="CV212" s="154">
        <f t="shared" si="604"/>
        <v>0.5</v>
      </c>
      <c r="CW212" s="216">
        <f>IF(OR($BQ212,$BS212),SpreadOptPowerMargin,0)*((1+Assumptions!$C$26)^($B212-YEAR(Assumptions!$C$17)))</f>
        <v>2.3284919348168329</v>
      </c>
      <c r="CX212" s="216">
        <f>IF(OR($BQ212,$BS212),SpreadOptPowerMargin,0)*((1+Assumptions!$C$26)^($B212-YEAR(Assumptions!$C$17)))</f>
        <v>2.3284919348168329</v>
      </c>
      <c r="CY212" s="216">
        <f>IF(OR($BQ212,$BS212),SpreadOptPowerMargin,0)*((1+Assumptions!$C$26)^($B212-YEAR(Assumptions!$C$17)))</f>
        <v>2.3284919348168329</v>
      </c>
      <c r="CZ212" s="216">
        <f>IF(OR($BQ212,$BS212),SpreadOptPowerMargin,0)*((1+Assumptions!$C$26)^($B212-YEAR(Assumptions!$C$17)))</f>
        <v>2.3284919348168329</v>
      </c>
      <c r="DA212" s="440">
        <f t="shared" si="605"/>
        <v>2.3284919348168325</v>
      </c>
      <c r="DB212" s="479">
        <f t="shared" si="606"/>
        <v>0.1</v>
      </c>
      <c r="DC212" s="479">
        <f t="shared" si="607"/>
        <v>0.1</v>
      </c>
      <c r="DD212" s="479">
        <f t="shared" si="608"/>
        <v>0.11</v>
      </c>
      <c r="DE212" s="479">
        <f t="shared" si="609"/>
        <v>0.11</v>
      </c>
      <c r="DF212" s="479">
        <f t="shared" si="610"/>
        <v>9.4652669262388536E-2</v>
      </c>
      <c r="DG212" s="574">
        <f t="shared" si="611"/>
        <v>9.4652669262388536E-2</v>
      </c>
      <c r="DH212" s="216">
        <f t="shared" si="612"/>
        <v>79.694779432139896</v>
      </c>
      <c r="DI212" s="216">
        <f t="shared" si="613"/>
        <v>79.694779432139896</v>
      </c>
      <c r="DJ212" s="216">
        <f t="shared" ca="1" si="535"/>
        <v>12.92564536379076</v>
      </c>
      <c r="DK212" s="216">
        <f t="shared" ca="1" si="536"/>
        <v>12.925645927140364</v>
      </c>
      <c r="DL212" s="216">
        <f t="shared" ca="1" si="537"/>
        <v>50.792491384768873</v>
      </c>
      <c r="DM212" s="216"/>
      <c r="DN212" s="216"/>
      <c r="DO212" s="216"/>
      <c r="DP212" s="216"/>
      <c r="DQ212" s="216"/>
      <c r="DR212" s="216"/>
      <c r="DS212" s="216"/>
      <c r="DT212" s="216"/>
      <c r="DU212" s="216"/>
      <c r="DV212" s="216"/>
      <c r="DW212" s="1371">
        <f t="shared" si="614"/>
        <v>12.92564536379076</v>
      </c>
      <c r="DX212" s="216">
        <f t="shared" si="615"/>
        <v>12.925645927140364</v>
      </c>
      <c r="DY212" s="440">
        <f t="shared" si="616"/>
        <v>51.694820171905718</v>
      </c>
      <c r="DZ212" s="180">
        <f t="shared" si="617"/>
        <v>4267177.2699144986</v>
      </c>
      <c r="EA212" s="180">
        <f t="shared" si="618"/>
        <v>742117.78607208666</v>
      </c>
      <c r="EB212" s="180">
        <f t="shared" ca="1" si="538"/>
        <v>120363.60962761956</v>
      </c>
      <c r="EC212" s="180">
        <f t="shared" ca="1" si="539"/>
        <v>466409.00763493287</v>
      </c>
      <c r="ED212" s="180">
        <f t="shared" ca="1" si="540"/>
        <v>5498388.7773839999</v>
      </c>
      <c r="EE212" s="581">
        <f t="shared" si="619"/>
        <v>4265668.9887861572</v>
      </c>
      <c r="EF212" s="554">
        <f t="shared" si="620"/>
        <v>741855.47631063603</v>
      </c>
      <c r="EG212" s="554">
        <f t="shared" ca="1" si="541"/>
        <v>97541.148575684871</v>
      </c>
      <c r="EH212" s="554">
        <f t="shared" ca="1" si="542"/>
        <v>377971.97549567616</v>
      </c>
      <c r="EI212" s="561">
        <f t="shared" ca="1" si="621"/>
        <v>5483037.5891681528</v>
      </c>
      <c r="EJ212" s="581">
        <f t="shared" si="675"/>
        <v>1508.2811283413321</v>
      </c>
      <c r="EK212" s="554">
        <f t="shared" si="676"/>
        <v>262.30976145062596</v>
      </c>
      <c r="EL212" s="554">
        <f t="shared" ca="1" si="543"/>
        <v>22822.46105193469</v>
      </c>
      <c r="EM212" s="554">
        <f t="shared" ca="1" si="544"/>
        <v>88437.032139256713</v>
      </c>
      <c r="EN212" s="561">
        <f t="shared" ca="1" si="545"/>
        <v>15351.188215847127</v>
      </c>
      <c r="EO212" s="180">
        <f t="shared" si="622"/>
        <v>17068709.079657994</v>
      </c>
      <c r="EP212" s="180">
        <f t="shared" si="623"/>
        <v>2968471.1442883466</v>
      </c>
      <c r="EQ212" s="180">
        <f t="shared" si="624"/>
        <v>481454.43851047824</v>
      </c>
      <c r="ER212" s="180">
        <f t="shared" si="625"/>
        <v>1865636.0305397315</v>
      </c>
      <c r="ES212" s="180">
        <f t="shared" si="626"/>
        <v>22384270.69299655</v>
      </c>
      <c r="ET212" s="1482">
        <f t="shared" ca="1" si="546"/>
        <v>17062675.955144629</v>
      </c>
      <c r="EU212" s="180">
        <f t="shared" ca="1" si="547"/>
        <v>2967421.9052425441</v>
      </c>
      <c r="EV212" s="180">
        <f t="shared" ca="1" si="548"/>
        <v>390164.59430273948</v>
      </c>
      <c r="EW212" s="180">
        <f t="shared" ca="1" si="549"/>
        <v>1511887.9019827046</v>
      </c>
      <c r="EX212" s="555">
        <f t="shared" ca="1" si="522"/>
        <v>21932150.356672619</v>
      </c>
      <c r="EY212" s="180">
        <f t="shared" ca="1" si="550"/>
        <v>6033.1245133653283</v>
      </c>
      <c r="EZ212" s="180">
        <f t="shared" ca="1" si="551"/>
        <v>1049.2390458025038</v>
      </c>
      <c r="FA212" s="180">
        <f t="shared" ca="1" si="552"/>
        <v>91289.844207738759</v>
      </c>
      <c r="FB212" s="180">
        <f t="shared" ca="1" si="553"/>
        <v>353748.12855702685</v>
      </c>
      <c r="FC212" s="180">
        <f t="shared" ca="1" si="554"/>
        <v>452120.33632393181</v>
      </c>
      <c r="FD212" s="262">
        <f>IF(AX212,IF(VLOOKUP(C212,MAIN!$L$17:$M$28,2)="Yes",VLOOKUP(CALC!B212,MAIN!$H$17:$I$20,2),0),0)</f>
        <v>0</v>
      </c>
      <c r="FE212" s="623">
        <f t="shared" si="627"/>
        <v>0</v>
      </c>
      <c r="FF212" s="535">
        <f t="shared" si="628"/>
        <v>0</v>
      </c>
      <c r="FG212" s="535">
        <f t="shared" si="629"/>
        <v>0</v>
      </c>
      <c r="FH212" s="624">
        <f t="shared" si="630"/>
        <v>0</v>
      </c>
      <c r="FI212" s="632">
        <f>IF(AX212,VLOOKUP(CALC!B212,MAIN!$H$17:$K$20,4),0)</f>
        <v>0</v>
      </c>
      <c r="FJ212" s="535">
        <f t="shared" si="631"/>
        <v>0</v>
      </c>
      <c r="FK212" s="648">
        <f t="shared" si="677"/>
        <v>0</v>
      </c>
      <c r="FL212" s="530">
        <f t="shared" ca="1" si="555"/>
        <v>0</v>
      </c>
      <c r="FM212" s="530">
        <f t="shared" ca="1" si="556"/>
        <v>0</v>
      </c>
      <c r="FN212" s="530">
        <f t="shared" ca="1" si="557"/>
        <v>0</v>
      </c>
      <c r="FO212" s="622">
        <f t="shared" ca="1" si="558"/>
        <v>0</v>
      </c>
      <c r="FP212" s="530">
        <f t="shared" ca="1" si="559"/>
        <v>0</v>
      </c>
      <c r="FQ212" s="530">
        <f t="shared" ca="1" si="560"/>
        <v>0</v>
      </c>
      <c r="FR212" s="530">
        <f t="shared" ca="1" si="561"/>
        <v>0</v>
      </c>
      <c r="FS212" s="625">
        <f t="shared" ca="1" si="562"/>
        <v>0</v>
      </c>
      <c r="FT212" s="640">
        <f ca="1">IF(AND(Assumptions!$H$71="Yes",A212&gt;=Assumptions!$H$72,A212&lt;=Assumptions!$H$73),0,IF(AND($A212&gt;=Assumptions!$C$17,$A212&lt;=Assumptions!$C$18),MAX(AZ212*(1+VLOOKUP($C212,WeatherCapacityAdjustment,2))-FL212,0),0))</f>
        <v>53544</v>
      </c>
      <c r="FU212" s="530">
        <f ca="1">IF(AND(Assumptions!$H$71="Yes",A212&gt;=Assumptions!$H$72,A212&lt;=Assumptions!$H$73),0,IF(AND($A212&gt;=Assumptions!$C$17,$A212&lt;=Assumptions!$C$18),MAX(BA212*(1+VLOOKUP($C212,WeatherCapacityAdjustment,2))-FM212,0),0))</f>
        <v>9312</v>
      </c>
      <c r="FV212" s="530">
        <f ca="1">IF(AND(Assumptions!$H$71="Yes",A212&gt;=Assumptions!$H$72,A212&lt;=Assumptions!$H$73),0,IF(AND($A212&gt;=Assumptions!$C$17,$A212&lt;=Assumptions!$C$18),MAX(BB212*(1+VLOOKUP($C212,WeatherCapacityAdjustment,2))-FN212,0),0))</f>
        <v>9312</v>
      </c>
      <c r="FW212" s="622">
        <f ca="1">IF(AND(Assumptions!$H$71="Yes",A212&gt;=Assumptions!$H$72,A212&lt;=Assumptions!$H$73),0,IF(AND($A212&gt;=Assumptions!$C$17,$A212&lt;=Assumptions!$C$18),MAX(BC212*(1+VLOOKUP($C212,WeatherCapacityAdjustment,3))-FO212,0),0))</f>
        <v>36084</v>
      </c>
      <c r="FX212" s="621">
        <f ca="1">IF(AND(Assumptions!$H$71="Yes",A212&gt;=Assumptions!$H$72,A212&lt;=Assumptions!$H$73),0,IF(ET212&gt;0,MAX(BH212*(1+VLOOKUP($C212,WeatherCapacityAdjustment,2))-FP212,0),0))</f>
        <v>214176</v>
      </c>
      <c r="FY212" s="530">
        <f ca="1">IF(AND(Assumptions!$H$71="Yes",A212&gt;=Assumptions!$H$72,A212&lt;=Assumptions!$H$73),0,IF(EU212&gt;0,MAX(BI212*(1+VLOOKUP($C212,WeatherCapacityAdjustment,3))-FQ212,0),0))</f>
        <v>37248</v>
      </c>
      <c r="FZ212" s="530">
        <f ca="1">IF(AND(Assumptions!$H$71="Yes",A212&gt;=Assumptions!$H$72,A212&lt;=Assumptions!$H$73),0,IF(EV212&gt;0,MAX(BJ212*(1+VLOOKUP($C212,WeatherCapacityAdjustment,2))-FR212,0),0))</f>
        <v>37248</v>
      </c>
      <c r="GA212" s="622">
        <f ca="1">IF(AND(Assumptions!$H$71="Yes",A212&gt;=Assumptions!$H$72,A212&lt;=Assumptions!$H$73),0,IF(EW212&gt;0,MAX(BK212*(1+VLOOKUP($C212,WeatherCapacityAdjustment,2))-FS212,0),0))</f>
        <v>144336</v>
      </c>
      <c r="GB212" s="530">
        <f t="shared" ca="1" si="632"/>
        <v>541260</v>
      </c>
      <c r="GC212" s="545">
        <f t="shared" ca="1" si="633"/>
        <v>77.022018968668732</v>
      </c>
      <c r="GD212" s="530">
        <f t="shared" ca="1" si="563"/>
        <v>41688937.986981645</v>
      </c>
      <c r="GE212" s="1485">
        <f t="shared" ca="1" si="564"/>
        <v>766644.99407999997</v>
      </c>
      <c r="GF212" s="1776">
        <f t="shared" ca="1" si="565"/>
        <v>3066579.9763199999</v>
      </c>
      <c r="GG212" s="545">
        <f t="shared" si="530"/>
        <v>3.3949039247607611</v>
      </c>
      <c r="GH212" s="622">
        <f t="shared" ca="1" si="531"/>
        <v>13013430.496501911</v>
      </c>
      <c r="GI212" s="621">
        <f t="shared" ca="1" si="678"/>
        <v>541260</v>
      </c>
      <c r="GJ212" s="638">
        <f t="shared" si="634"/>
        <v>2.3284919348168325</v>
      </c>
      <c r="GK212" s="625">
        <f t="shared" ca="1" si="684"/>
        <v>1260319.5446389588</v>
      </c>
      <c r="GL212" s="640">
        <f t="shared" ca="1" si="566"/>
        <v>0</v>
      </c>
      <c r="GM212" s="530">
        <f t="shared" ca="1" si="567"/>
        <v>0</v>
      </c>
      <c r="GN212" s="530">
        <f t="shared" ca="1" si="568"/>
        <v>0</v>
      </c>
      <c r="GO212" s="622">
        <f t="shared" ca="1" si="569"/>
        <v>0</v>
      </c>
      <c r="GP212" s="530">
        <f t="shared" ca="1" si="635"/>
        <v>0</v>
      </c>
      <c r="GQ212" s="545">
        <f t="shared" ca="1" si="636"/>
        <v>0</v>
      </c>
      <c r="GR212" s="625">
        <f t="shared" ca="1" si="570"/>
        <v>0</v>
      </c>
      <c r="GS212" s="640">
        <f>IF($A212&gt;=BegDate,Assumptions!$C$56*24*($A213-$A212)*(1-VLOOKUP($B212,MAIN!$AA$7:$AM$28,$C212+1))*(1-VLOOKUP($B212,MAIN!$AA$33:$AM$54,$C212+1)),0)*80/168</f>
        <v>257742.85714285713</v>
      </c>
      <c r="GT212" s="1715">
        <f t="shared" si="679"/>
        <v>106.03794893974364</v>
      </c>
      <c r="GU212" s="1715">
        <f>IF($A212&gt;=BegDate,VLOOKUP($A212,GasTable,13)+Assumptions!$C$58,0)</f>
        <v>3.3949039247607611</v>
      </c>
      <c r="GV212" s="1715">
        <f>GU212*Assumptions!$C$57/1000</f>
        <v>24.613053454515516</v>
      </c>
      <c r="GW212" s="625">
        <f>IF(Assumptions!$C$60="Hourly",MAX(0,GS212*(GT212-GV212)),GS212*(GT212-GV212))</f>
        <v>20986685.204921223</v>
      </c>
      <c r="GX212" s="640">
        <f>IF($A212&gt;=BegDate,Assumptions!$C$56*24*($A213-$A212)*(1-VLOOKUP($B212,MAIN!$AA$7:$AM$28,$C212+1))*(1-VLOOKUP($B212,MAIN!$AA$33:$AM$54,$C212+1)),0)*16/168</f>
        <v>51548.571428571428</v>
      </c>
      <c r="GY212" s="1715">
        <f t="shared" si="680"/>
        <v>106.03794893974364</v>
      </c>
      <c r="GZ212" s="1715">
        <f>IF($A212&gt;=BegDate,VLOOKUP($A212,GasTable,13)+Assumptions!$C$58,0)</f>
        <v>3.3949039247607611</v>
      </c>
      <c r="HA212" s="1715">
        <f>GZ212*Assumptions!$C$57/1000</f>
        <v>24.613053454515516</v>
      </c>
      <c r="HB212" s="625">
        <f>IF(Assumptions!$C$60="Hourly",MAX(0,GX212*(GY212-HA212)),GX212*(GY212-HA212))</f>
        <v>4197337.040984245</v>
      </c>
      <c r="HC212" s="640">
        <f>IF($A212&gt;=BegDate,Assumptions!$C$56*24*($A213-$A212)*(1-VLOOKUP($B212,MAIN!$AA$7:$AM$28,$C212+1))*(1-VLOOKUP($B212,MAIN!$AA$33:$AM$54,$C212+1)),0)*16/168</f>
        <v>51548.571428571428</v>
      </c>
      <c r="HD212" s="1715">
        <f t="shared" si="681"/>
        <v>36.846117438914064</v>
      </c>
      <c r="HE212" s="1715">
        <f>IF($A212&gt;=BegDate,VLOOKUP($A212,GasTable,13)+Assumptions!$C$58,0)</f>
        <v>3.3949039247607611</v>
      </c>
      <c r="HF212" s="1715">
        <f>HE212*Assumptions!$C$57/1000</f>
        <v>24.613053454515516</v>
      </c>
      <c r="HG212" s="625">
        <f>IF(Assumptions!$C$60="Hourly",MAX(0,HC212*(HD212-HF212)),HC212*(HD212-HF212))</f>
        <v>630596.9725900531</v>
      </c>
      <c r="HH212" s="640">
        <f>IF($A212&gt;=BegDate,Assumptions!$C$56*24*($A213-$A212)*(1-VLOOKUP($B212,MAIN!$AA$7:$AM$28,$C212+1))*(1-VLOOKUP($B212,MAIN!$AA$33:$AM$54,$C212+1)),0)*56/168</f>
        <v>180420</v>
      </c>
      <c r="HI212" s="1715">
        <f t="shared" si="682"/>
        <v>36.846117438914064</v>
      </c>
      <c r="HJ212" s="1715">
        <f>IF($A212&gt;=BegDate,VLOOKUP($A212,GasTable,13)+Assumptions!$C$58,0)</f>
        <v>3.3949039247607611</v>
      </c>
      <c r="HK212" s="1715">
        <f>HJ212*Assumptions!$C$57/1000</f>
        <v>24.613053454515516</v>
      </c>
      <c r="HL212" s="625">
        <f>IF(Assumptions!$C$60="Hourly",MAX(0,HH212*(HI212-HK212)),HH212*(HI212-HK212))</f>
        <v>2207089.4040651862</v>
      </c>
      <c r="HM212" s="640">
        <f>IF(AND(Assumptions!$H$71="Yes",A212&gt;=Assumptions!$H$72,A212&lt;=Assumptions!$H$73),Assumptions!$H$74*Assumptions!$C$9*1000,0)</f>
        <v>0</v>
      </c>
      <c r="HN212" s="530"/>
      <c r="HO212" s="545"/>
      <c r="HP212" s="545"/>
      <c r="HQ212" s="545"/>
      <c r="HR212" s="545"/>
      <c r="HS212" s="545"/>
      <c r="HT212" s="545"/>
      <c r="HU212" s="545"/>
      <c r="HV212" s="545"/>
      <c r="HW212" s="545"/>
      <c r="HX212" s="545"/>
      <c r="HY212" s="545"/>
      <c r="HZ212" s="545"/>
      <c r="IA212" s="545"/>
      <c r="IB212" s="545"/>
      <c r="IC212" s="545"/>
      <c r="ID212" s="545"/>
      <c r="IE212" s="545"/>
      <c r="IF212" s="545"/>
      <c r="IG212" s="545"/>
      <c r="IH212" s="545"/>
      <c r="II212" s="1464"/>
      <c r="IJ212" s="1463"/>
      <c r="IK212" s="1463"/>
    </row>
    <row r="213" spans="1:245">
      <c r="A213" s="177">
        <f t="shared" si="637"/>
        <v>42614</v>
      </c>
      <c r="B213" s="349">
        <f t="shared" si="638"/>
        <v>2016</v>
      </c>
      <c r="C213" s="15">
        <f t="shared" si="578"/>
        <v>9</v>
      </c>
      <c r="D213" s="612">
        <f t="shared" si="639"/>
        <v>42618</v>
      </c>
      <c r="E213" s="609">
        <f t="shared" si="579"/>
        <v>42614</v>
      </c>
      <c r="F213" s="614">
        <f t="shared" si="580"/>
        <v>42643</v>
      </c>
      <c r="G213" s="1349">
        <v>0</v>
      </c>
      <c r="H213" s="152">
        <f t="shared" si="683"/>
        <v>1</v>
      </c>
      <c r="I213" s="154">
        <f>IF(Assumptions!$L$25=4,VLOOKUP($A213,'Henwood Reference'!$E$9:$R$320,10),(VLOOKUP($A213,PriceTable,2,0)+IF(BasisNumber&lt;&gt;1,VLOOKUP($A213,BasisTable,2,0),0)+I$1)/(1-I$2))</f>
        <v>70.554733148843525</v>
      </c>
      <c r="J213" s="154">
        <f>IF(Assumptions!$L$25=4,VLOOKUP($A213,'Henwood Reference'!$E$9:$R$320,10),(VLOOKUP($A213,PriceTable,3,0)+IF(BasisNumber&lt;&gt;1,VLOOKUP($A213,BasisTable,2,0),0)+J$1)/(1-J$2))</f>
        <v>70.554733148843525</v>
      </c>
      <c r="K213" s="154">
        <f>IF(Assumptions!$L$25=4,VLOOKUP($A213,'Henwood Reference'!$E$9:$R$320,10),(VLOOKUP($A213,PriceTable,4,0)+IF(BasisNumber&lt;&gt;1,VLOOKUP($A213,BasisTable,2,0),0)+K$1)/(1-K$2))</f>
        <v>70.554733148843525</v>
      </c>
      <c r="L213" s="474">
        <f>IF(Assumptions!$L$25=4,VLOOKUP($A213,'Henwood Reference'!$E$9:$R$320,10),(VLOOKUP($A213,PriceTableWeekend,2,0)+IF(BasisNumber&lt;&gt;1,VLOOKUP($A213,BasisTable,2,0),0)+L$1)/(1-L$2))</f>
        <v>70.554733148843525</v>
      </c>
      <c r="M213" s="154">
        <f>IF(Assumptions!$L$25=4,VLOOKUP($A213,'Henwood Reference'!$E$9:$R$320,10),(VLOOKUP($A213,PriceTableWeekend,3,0)+IF(BasisNumber&lt;&gt;1,VLOOKUP($A213,BasisTable,2,0),0)+M$1)/(1-M$2))</f>
        <v>70.554733148843525</v>
      </c>
      <c r="N213" s="156">
        <f>IF(Assumptions!$L$25=4,VLOOKUP($A213,'Henwood Reference'!$E$9:$R$320,10),(VLOOKUP($A213,PriceTableWeekend,4,0)+IF(BasisNumber&lt;&gt;1,VLOOKUP($A213,BasisTable,2,0),0)+N$1)/(1-N$2))</f>
        <v>70.554733148843525</v>
      </c>
      <c r="O213" s="154">
        <f>IF(Assumptions!$L$25=4,VLOOKUP($A213,'Henwood Reference'!$E$9:$R$320,11),(VLOOKUP($A213,PriceTableWeekend,6,0)+IF(BasisNumber&lt;&gt;1,VLOOKUP($A213,BasisTable,3,0),0)+O$1)/(1-O$2))</f>
        <v>33.383128219252484</v>
      </c>
      <c r="P213" s="154">
        <f>IF(Assumptions!$L$25=4,VLOOKUP($A213,'Henwood Reference'!$E$9:$R$320,11),(VLOOKUP($A213,PriceTableWeekend,7,0)+IF(BasisNumber&lt;&gt;1,VLOOKUP($A213,BasisTable,3,0),0)+P$1)/(1-P$2))</f>
        <v>33.383128219252484</v>
      </c>
      <c r="Q213" s="156">
        <f>IF(Assumptions!$L$25=4,VLOOKUP($A213,'Henwood Reference'!$E$9:$R$320,11),(VLOOKUP($A213,PriceTableWeekend,8,0)+IF(BasisNumber&lt;&gt;1,VLOOKUP($A213,BasisTable,3,0),0)+Q$1)/(1-Q$2))</f>
        <v>33.383128219252484</v>
      </c>
      <c r="R213" s="154">
        <f>IF(Assumptions!$L$25=4,VLOOKUP($A213,'Henwood Reference'!$E$9:$R$320,11),(VLOOKUP($A213,PriceTable,6,0)+IF(BasisNumber&lt;&gt;1,VLOOKUP($A213,BasisTable,3,0),0)+R$1)/(1-R$2))</f>
        <v>33.383128219252484</v>
      </c>
      <c r="S213" s="154">
        <f>IF(Assumptions!$L$25=4,VLOOKUP($A213,'Henwood Reference'!$E$9:$R$320,11),(VLOOKUP($A213,PriceTable,7,0)+IF(BasisNumber&lt;&gt;1,VLOOKUP($A213,BasisTable,3,0),0)+S$1)/(1-S$2))</f>
        <v>33.383128219252484</v>
      </c>
      <c r="T213" s="155">
        <f>IF(Assumptions!$L$25=4,VLOOKUP($A213,'Henwood Reference'!$E$9:$R$320,11),(VLOOKUP($A213,PriceTable,8,0)+IF(BasisNumber&lt;&gt;1,VLOOKUP($A213,BasisTable,3,0),0)+T$1)/(1-T$2))</f>
        <v>33.383128219252484</v>
      </c>
      <c r="U213" s="173">
        <f t="shared" si="640"/>
        <v>0.09</v>
      </c>
      <c r="V213" s="173">
        <f t="shared" si="641"/>
        <v>0.1</v>
      </c>
      <c r="W213" s="174">
        <f t="shared" si="642"/>
        <v>0.11</v>
      </c>
      <c r="X213" s="173">
        <f t="shared" si="643"/>
        <v>0.09</v>
      </c>
      <c r="Y213" s="173">
        <f t="shared" si="644"/>
        <v>0.1</v>
      </c>
      <c r="Z213" s="174">
        <f t="shared" si="645"/>
        <v>0.11</v>
      </c>
      <c r="AA213" s="173">
        <f t="shared" si="646"/>
        <v>0.09</v>
      </c>
      <c r="AB213" s="173">
        <f t="shared" si="647"/>
        <v>0.11</v>
      </c>
      <c r="AC213" s="174">
        <f t="shared" si="648"/>
        <v>0.13</v>
      </c>
      <c r="AD213" s="173">
        <f t="shared" si="649"/>
        <v>0.09</v>
      </c>
      <c r="AE213" s="173">
        <f t="shared" si="650"/>
        <v>0.11</v>
      </c>
      <c r="AF213" s="174">
        <f t="shared" si="651"/>
        <v>0.13</v>
      </c>
      <c r="AG213" s="173">
        <f t="shared" si="652"/>
        <v>-0.35</v>
      </c>
      <c r="AH213" s="173">
        <f t="shared" si="653"/>
        <v>3</v>
      </c>
      <c r="AI213" s="174">
        <f t="shared" si="654"/>
        <v>0.2</v>
      </c>
      <c r="AJ213" s="173">
        <f t="shared" si="655"/>
        <v>-0.35</v>
      </c>
      <c r="AK213" s="173">
        <f t="shared" si="656"/>
        <v>3</v>
      </c>
      <c r="AL213" s="174">
        <f t="shared" si="657"/>
        <v>0.2</v>
      </c>
      <c r="AM213" s="173">
        <f t="shared" si="658"/>
        <v>-0.01</v>
      </c>
      <c r="AN213" s="173">
        <f t="shared" si="659"/>
        <v>0.16</v>
      </c>
      <c r="AO213" s="174">
        <f t="shared" si="660"/>
        <v>0.01</v>
      </c>
      <c r="AP213" s="173">
        <f t="shared" si="661"/>
        <v>-0.01</v>
      </c>
      <c r="AQ213" s="173">
        <f t="shared" si="662"/>
        <v>0.16</v>
      </c>
      <c r="AR213" s="175">
        <f t="shared" si="663"/>
        <v>0.01</v>
      </c>
      <c r="AS213" s="521">
        <f t="shared" si="664"/>
        <v>0.5</v>
      </c>
      <c r="AT213" s="349">
        <f t="shared" si="581"/>
        <v>21</v>
      </c>
      <c r="AU213" s="159">
        <f t="shared" si="582"/>
        <v>4</v>
      </c>
      <c r="AV213" s="159">
        <f t="shared" si="583"/>
        <v>4</v>
      </c>
      <c r="AW213" s="159">
        <f t="shared" si="665"/>
        <v>1</v>
      </c>
      <c r="AX213" s="15">
        <f t="shared" si="584"/>
        <v>30</v>
      </c>
      <c r="AY213" s="607">
        <f>IF(E213="",0,MIN((1-(1-VLOOKUP(B213,MAIN!$AA$7:$AM$28,C213+1))*(1-VLOOKUP(B213,MAIN!$AA$33:$AM$54,C213+1))),1))</f>
        <v>3.0000000000000027E-2</v>
      </c>
      <c r="AZ213" s="337">
        <v>48888</v>
      </c>
      <c r="BA213" s="509">
        <v>9312</v>
      </c>
      <c r="BB213" s="509">
        <v>11640</v>
      </c>
      <c r="BC213" s="511">
        <v>34920</v>
      </c>
      <c r="BD213" s="153">
        <v>0.9699999927729368</v>
      </c>
      <c r="BE213" s="474">
        <v>0.9699999927729368</v>
      </c>
      <c r="BF213" s="474">
        <v>0.9699999927729368</v>
      </c>
      <c r="BG213" s="515">
        <v>0.9699999927729368</v>
      </c>
      <c r="BH213" s="262">
        <v>195552</v>
      </c>
      <c r="BI213" s="509">
        <v>37248</v>
      </c>
      <c r="BJ213" s="509">
        <v>46560</v>
      </c>
      <c r="BK213" s="511">
        <v>139680</v>
      </c>
      <c r="BL213" s="153">
        <v>0.9699999927729368</v>
      </c>
      <c r="BM213" s="474">
        <v>0.9699999927729368</v>
      </c>
      <c r="BN213" s="474">
        <v>0.9699999927729368</v>
      </c>
      <c r="BO213" s="474">
        <v>0.9699999927729368</v>
      </c>
      <c r="BP213" s="261">
        <f t="shared" si="666"/>
        <v>69840</v>
      </c>
      <c r="BQ213" s="578">
        <f t="shared" si="667"/>
        <v>104760</v>
      </c>
      <c r="BR213" s="259">
        <f t="shared" si="668"/>
        <v>279360</v>
      </c>
      <c r="BS213" s="578">
        <f t="shared" si="669"/>
        <v>419040</v>
      </c>
      <c r="BT213" s="216">
        <f t="shared" si="670"/>
        <v>16.383299110198493</v>
      </c>
      <c r="BU213" s="218">
        <f t="shared" si="585"/>
        <v>70.554732623169798</v>
      </c>
      <c r="BV213" s="216">
        <f t="shared" si="586"/>
        <v>70.554732623169798</v>
      </c>
      <c r="BW213" s="216">
        <f t="shared" si="587"/>
        <v>33.383127970528797</v>
      </c>
      <c r="BX213" s="216">
        <f t="shared" si="671"/>
        <v>33.383127970528797</v>
      </c>
      <c r="BY213" s="216">
        <f t="shared" si="588"/>
        <v>64.359465181062959</v>
      </c>
      <c r="BZ213" s="216">
        <f t="shared" si="589"/>
        <v>54.034019444218238</v>
      </c>
      <c r="CA213" s="264">
        <f t="shared" si="590"/>
        <v>70.554732623169798</v>
      </c>
      <c r="CB213" s="216">
        <f t="shared" si="591"/>
        <v>70.554732623169798</v>
      </c>
      <c r="CC213" s="216">
        <f t="shared" si="592"/>
        <v>33.383127970528797</v>
      </c>
      <c r="CD213" s="216">
        <f t="shared" si="672"/>
        <v>33.383127970528797</v>
      </c>
      <c r="CE213" s="216">
        <f t="shared" si="593"/>
        <v>64.359465181062959</v>
      </c>
      <c r="CF213" s="571">
        <f t="shared" si="594"/>
        <v>54.034019444218238</v>
      </c>
      <c r="CG213" s="573">
        <f t="shared" si="595"/>
        <v>0.1</v>
      </c>
      <c r="CH213" s="219">
        <f t="shared" si="596"/>
        <v>0.1</v>
      </c>
      <c r="CI213" s="219">
        <f t="shared" si="597"/>
        <v>0.11</v>
      </c>
      <c r="CJ213" s="219">
        <f t="shared" si="598"/>
        <v>0.10087105515063478</v>
      </c>
      <c r="CK213" s="219">
        <f t="shared" si="599"/>
        <v>0.10087105515063478</v>
      </c>
      <c r="CL213" s="219">
        <f t="shared" si="600"/>
        <v>0.11</v>
      </c>
      <c r="CM213" s="219">
        <f t="shared" si="601"/>
        <v>9.3727424110552043E-2</v>
      </c>
      <c r="CN213" s="569">
        <f t="shared" si="602"/>
        <v>9.3727424110552043E-2</v>
      </c>
      <c r="CO213" s="264">
        <f t="shared" si="514"/>
        <v>25.052046035483556</v>
      </c>
      <c r="CP213" s="216">
        <f t="shared" si="673"/>
        <v>25.052046035483556</v>
      </c>
      <c r="CQ213" s="216">
        <f t="shared" ca="1" si="532"/>
        <v>25.052046035483556</v>
      </c>
      <c r="CR213" s="216">
        <f t="shared" ca="1" si="533"/>
        <v>25.052046035483556</v>
      </c>
      <c r="CS213" s="1626">
        <f t="shared" ca="1" si="534"/>
        <v>25.052046035483556</v>
      </c>
      <c r="CT213" s="216">
        <f t="shared" si="674"/>
        <v>25.052046035483556</v>
      </c>
      <c r="CU213" s="575">
        <f t="shared" si="603"/>
        <v>0.152</v>
      </c>
      <c r="CV213" s="154">
        <f t="shared" si="604"/>
        <v>0.5</v>
      </c>
      <c r="CW213" s="216">
        <f>IF(OR($BQ213,$BS213),SpreadOptPowerMargin,0)*((1+Assumptions!$C$26)^($B213-YEAR(Assumptions!$C$17)))</f>
        <v>2.3284919348168329</v>
      </c>
      <c r="CX213" s="216">
        <f>IF(OR($BQ213,$BS213),SpreadOptPowerMargin,0)*((1+Assumptions!$C$26)^($B213-YEAR(Assumptions!$C$17)))</f>
        <v>2.3284919348168329</v>
      </c>
      <c r="CY213" s="216">
        <f>IF(OR($BQ213,$BS213),SpreadOptPowerMargin,0)*((1+Assumptions!$C$26)^($B213-YEAR(Assumptions!$C$17)))</f>
        <v>2.3284919348168329</v>
      </c>
      <c r="CZ213" s="216">
        <f>IF(OR($BQ213,$BS213),SpreadOptPowerMargin,0)*((1+Assumptions!$C$26)^($B213-YEAR(Assumptions!$C$17)))</f>
        <v>2.3284919348168329</v>
      </c>
      <c r="DA213" s="440">
        <f t="shared" si="605"/>
        <v>2.3284919348168329</v>
      </c>
      <c r="DB213" s="479">
        <f t="shared" si="606"/>
        <v>0.1</v>
      </c>
      <c r="DC213" s="479">
        <f t="shared" si="607"/>
        <v>0.1</v>
      </c>
      <c r="DD213" s="479">
        <f t="shared" si="608"/>
        <v>0.11</v>
      </c>
      <c r="DE213" s="479">
        <f t="shared" si="609"/>
        <v>0.11</v>
      </c>
      <c r="DF213" s="479">
        <f t="shared" si="610"/>
        <v>9.3727424110552043E-2</v>
      </c>
      <c r="DG213" s="574">
        <f t="shared" si="611"/>
        <v>9.3727424110552043E-2</v>
      </c>
      <c r="DH213" s="216">
        <f t="shared" si="612"/>
        <v>43.45656840802819</v>
      </c>
      <c r="DI213" s="216">
        <f t="shared" si="613"/>
        <v>43.45656840802819</v>
      </c>
      <c r="DJ213" s="216">
        <f t="shared" ca="1" si="535"/>
        <v>9.6253595504703249</v>
      </c>
      <c r="DK213" s="216">
        <f t="shared" ca="1" si="536"/>
        <v>9.6253595504703249</v>
      </c>
      <c r="DL213" s="216">
        <f t="shared" ca="1" si="537"/>
        <v>27.444075592017963</v>
      </c>
      <c r="DM213" s="216"/>
      <c r="DN213" s="216"/>
      <c r="DO213" s="216"/>
      <c r="DP213" s="216"/>
      <c r="DQ213" s="216"/>
      <c r="DR213" s="216"/>
      <c r="DS213" s="216"/>
      <c r="DT213" s="216"/>
      <c r="DU213" s="216"/>
      <c r="DV213" s="216"/>
      <c r="DW213" s="1371">
        <f t="shared" si="614"/>
        <v>9.6253595504703249</v>
      </c>
      <c r="DX213" s="216">
        <f t="shared" si="615"/>
        <v>9.6253595504703249</v>
      </c>
      <c r="DY213" s="440">
        <f t="shared" si="616"/>
        <v>28.420475582446915</v>
      </c>
      <c r="DZ213" s="180">
        <f t="shared" si="617"/>
        <v>2124504.7163316822</v>
      </c>
      <c r="EA213" s="180">
        <f t="shared" si="618"/>
        <v>404667.5650155585</v>
      </c>
      <c r="EB213" s="180">
        <f t="shared" ca="1" si="538"/>
        <v>112039.18516747458</v>
      </c>
      <c r="EC213" s="180">
        <f t="shared" ca="1" si="539"/>
        <v>336117.55550242373</v>
      </c>
      <c r="ED213" s="180">
        <f t="shared" ca="1" si="540"/>
        <v>2875041.359019802</v>
      </c>
      <c r="EE213" s="581">
        <f t="shared" si="619"/>
        <v>2110700.0281894798</v>
      </c>
      <c r="EF213" s="554">
        <f t="shared" si="620"/>
        <v>402038.10060751997</v>
      </c>
      <c r="EG213" s="554">
        <f t="shared" ca="1" si="541"/>
        <v>69870.147602658675</v>
      </c>
      <c r="EH213" s="554">
        <f t="shared" ca="1" si="542"/>
        <v>209610.44280797604</v>
      </c>
      <c r="EI213" s="561">
        <f t="shared" ca="1" si="621"/>
        <v>2792218.7192076338</v>
      </c>
      <c r="EJ213" s="581">
        <f t="shared" si="675"/>
        <v>13804.688142202329</v>
      </c>
      <c r="EK213" s="554">
        <f t="shared" si="676"/>
        <v>2629.4644080385333</v>
      </c>
      <c r="EL213" s="554">
        <f t="shared" ca="1" si="543"/>
        <v>42169.03756481591</v>
      </c>
      <c r="EM213" s="554">
        <f t="shared" ca="1" si="544"/>
        <v>126507.11269444769</v>
      </c>
      <c r="EN213" s="561">
        <f t="shared" ca="1" si="545"/>
        <v>82822.6398121682</v>
      </c>
      <c r="EO213" s="180">
        <f t="shared" si="622"/>
        <v>8498018.8653267287</v>
      </c>
      <c r="EP213" s="180">
        <f t="shared" si="623"/>
        <v>1618670.260062234</v>
      </c>
      <c r="EQ213" s="180">
        <f t="shared" si="624"/>
        <v>448156.74066989834</v>
      </c>
      <c r="ER213" s="180">
        <f t="shared" si="625"/>
        <v>1344470.2220096949</v>
      </c>
      <c r="ES213" s="180">
        <f t="shared" si="626"/>
        <v>11909316.088068556</v>
      </c>
      <c r="ET213" s="1482">
        <f t="shared" ca="1" si="546"/>
        <v>8442800.1127579194</v>
      </c>
      <c r="EU213" s="180">
        <f t="shared" ca="1" si="547"/>
        <v>1608152.4024300799</v>
      </c>
      <c r="EV213" s="180">
        <f t="shared" ca="1" si="548"/>
        <v>279480.5904106347</v>
      </c>
      <c r="EW213" s="180">
        <f t="shared" ca="1" si="549"/>
        <v>838441.77123190416</v>
      </c>
      <c r="EX213" s="555">
        <f t="shared" ca="1" si="522"/>
        <v>11168874.876830539</v>
      </c>
      <c r="EY213" s="180">
        <f t="shared" ca="1" si="550"/>
        <v>55218.752568809316</v>
      </c>
      <c r="EZ213" s="180">
        <f t="shared" ca="1" si="551"/>
        <v>10517.857632154133</v>
      </c>
      <c r="FA213" s="180">
        <f t="shared" ca="1" si="552"/>
        <v>168676.15025926364</v>
      </c>
      <c r="FB213" s="180">
        <f t="shared" ca="1" si="553"/>
        <v>506028.45077779074</v>
      </c>
      <c r="FC213" s="180">
        <f t="shared" ca="1" si="554"/>
        <v>740441.21123801731</v>
      </c>
      <c r="FD213" s="262">
        <f>IF(AX213,IF(VLOOKUP(C213,MAIN!$L$17:$M$28,2)="Yes",VLOOKUP(CALC!B213,MAIN!$H$17:$I$20,2),0),0)</f>
        <v>0</v>
      </c>
      <c r="FE213" s="623">
        <f t="shared" si="627"/>
        <v>0</v>
      </c>
      <c r="FF213" s="535">
        <f t="shared" si="628"/>
        <v>0</v>
      </c>
      <c r="FG213" s="535">
        <f t="shared" si="629"/>
        <v>0</v>
      </c>
      <c r="FH213" s="624">
        <f t="shared" si="630"/>
        <v>0</v>
      </c>
      <c r="FI213" s="632">
        <f>IF(AX213,VLOOKUP(CALC!B213,MAIN!$H$17:$K$20,4),0)</f>
        <v>0</v>
      </c>
      <c r="FJ213" s="535">
        <f t="shared" si="631"/>
        <v>0</v>
      </c>
      <c r="FK213" s="648">
        <f t="shared" si="677"/>
        <v>0</v>
      </c>
      <c r="FL213" s="530">
        <f t="shared" ca="1" si="555"/>
        <v>0</v>
      </c>
      <c r="FM213" s="530">
        <f t="shared" ca="1" si="556"/>
        <v>0</v>
      </c>
      <c r="FN213" s="530">
        <f t="shared" ca="1" si="557"/>
        <v>0</v>
      </c>
      <c r="FO213" s="622">
        <f t="shared" ca="1" si="558"/>
        <v>0</v>
      </c>
      <c r="FP213" s="530">
        <f t="shared" ca="1" si="559"/>
        <v>0</v>
      </c>
      <c r="FQ213" s="530">
        <f t="shared" ca="1" si="560"/>
        <v>0</v>
      </c>
      <c r="FR213" s="530">
        <f t="shared" ca="1" si="561"/>
        <v>0</v>
      </c>
      <c r="FS213" s="625">
        <f t="shared" ca="1" si="562"/>
        <v>0</v>
      </c>
      <c r="FT213" s="640">
        <f ca="1">IF(AND(Assumptions!$H$71="Yes",A213&gt;=Assumptions!$H$72,A213&lt;=Assumptions!$H$73),0,IF(AND($A213&gt;=Assumptions!$C$17,$A213&lt;=Assumptions!$C$18),MAX(AZ213*(1+VLOOKUP($C213,WeatherCapacityAdjustment,2))-FL213,0),0))</f>
        <v>48888</v>
      </c>
      <c r="FU213" s="530">
        <f ca="1">IF(AND(Assumptions!$H$71="Yes",A213&gt;=Assumptions!$H$72,A213&lt;=Assumptions!$H$73),0,IF(AND($A213&gt;=Assumptions!$C$17,$A213&lt;=Assumptions!$C$18),MAX(BA213*(1+VLOOKUP($C213,WeatherCapacityAdjustment,2))-FM213,0),0))</f>
        <v>9312</v>
      </c>
      <c r="FV213" s="530">
        <f ca="1">IF(AND(Assumptions!$H$71="Yes",A213&gt;=Assumptions!$H$72,A213&lt;=Assumptions!$H$73),0,IF(AND($A213&gt;=Assumptions!$C$17,$A213&lt;=Assumptions!$C$18),MAX(BB213*(1+VLOOKUP($C213,WeatherCapacityAdjustment,2))-FN213,0),0))</f>
        <v>11640</v>
      </c>
      <c r="FW213" s="622">
        <f ca="1">IF(AND(Assumptions!$H$71="Yes",A213&gt;=Assumptions!$H$72,A213&lt;=Assumptions!$H$73),0,IF(AND($A213&gt;=Assumptions!$C$17,$A213&lt;=Assumptions!$C$18),MAX(BC213*(1+VLOOKUP($C213,WeatherCapacityAdjustment,3))-FO213,0),0))</f>
        <v>34920</v>
      </c>
      <c r="FX213" s="621">
        <f ca="1">IF(AND(Assumptions!$H$71="Yes",A213&gt;=Assumptions!$H$72,A213&lt;=Assumptions!$H$73),0,IF(ET213&gt;0,MAX(BH213*(1+VLOOKUP($C213,WeatherCapacityAdjustment,2))-FP213,0),0))</f>
        <v>195552</v>
      </c>
      <c r="FY213" s="530">
        <f ca="1">IF(AND(Assumptions!$H$71="Yes",A213&gt;=Assumptions!$H$72,A213&lt;=Assumptions!$H$73),0,IF(EU213&gt;0,MAX(BI213*(1+VLOOKUP($C213,WeatherCapacityAdjustment,3))-FQ213,0),0))</f>
        <v>37248</v>
      </c>
      <c r="FZ213" s="530">
        <f ca="1">IF(AND(Assumptions!$H$71="Yes",A213&gt;=Assumptions!$H$72,A213&lt;=Assumptions!$H$73),0,IF(EV213&gt;0,MAX(BJ213*(1+VLOOKUP($C213,WeatherCapacityAdjustment,2))-FR213,0),0))</f>
        <v>46560</v>
      </c>
      <c r="GA213" s="622">
        <f ca="1">IF(AND(Assumptions!$H$71="Yes",A213&gt;=Assumptions!$H$72,A213&lt;=Assumptions!$H$73),0,IF(EW213&gt;0,MAX(BK213*(1+VLOOKUP($C213,WeatherCapacityAdjustment,2))-FS213,0),0))</f>
        <v>139680</v>
      </c>
      <c r="GB213" s="530">
        <f t="shared" ca="1" si="632"/>
        <v>523800</v>
      </c>
      <c r="GC213" s="545">
        <f t="shared" ca="1" si="633"/>
        <v>54.034019444218245</v>
      </c>
      <c r="GD213" s="530">
        <f t="shared" ca="1" si="563"/>
        <v>28303019.384881515</v>
      </c>
      <c r="GE213" s="1485">
        <f t="shared" ca="1" si="564"/>
        <v>742222.5048</v>
      </c>
      <c r="GF213" s="1776">
        <f t="shared" ca="1" si="565"/>
        <v>2968890.0192</v>
      </c>
      <c r="GG213" s="545">
        <f t="shared" si="530"/>
        <v>3.5359374388471889</v>
      </c>
      <c r="GH213" s="622">
        <f t="shared" ca="1" si="531"/>
        <v>13122261.713386288</v>
      </c>
      <c r="GI213" s="621">
        <f t="shared" ca="1" si="678"/>
        <v>523800</v>
      </c>
      <c r="GJ213" s="638">
        <f t="shared" si="634"/>
        <v>2.3284919348168329</v>
      </c>
      <c r="GK213" s="625">
        <f t="shared" ca="1" si="684"/>
        <v>1219664.075457057</v>
      </c>
      <c r="GL213" s="640">
        <f t="shared" ca="1" si="566"/>
        <v>0</v>
      </c>
      <c r="GM213" s="530">
        <f t="shared" ca="1" si="567"/>
        <v>0</v>
      </c>
      <c r="GN213" s="530">
        <f t="shared" ca="1" si="568"/>
        <v>0</v>
      </c>
      <c r="GO213" s="622">
        <f t="shared" ca="1" si="569"/>
        <v>0</v>
      </c>
      <c r="GP213" s="530">
        <f t="shared" ca="1" si="635"/>
        <v>0</v>
      </c>
      <c r="GQ213" s="545">
        <f t="shared" ca="1" si="636"/>
        <v>0</v>
      </c>
      <c r="GR213" s="625">
        <f t="shared" ca="1" si="570"/>
        <v>0</v>
      </c>
      <c r="GS213" s="640">
        <f>IF($A213&gt;=BegDate,Assumptions!$C$56*24*($A214-$A213)*(1-VLOOKUP($B213,MAIN!$AA$7:$AM$28,$C213+1))*(1-VLOOKUP($B213,MAIN!$AA$33:$AM$54,$C213+1)),0)*80/168</f>
        <v>249428.57142857142</v>
      </c>
      <c r="GT213" s="1715">
        <f t="shared" si="679"/>
        <v>70.554733148843525</v>
      </c>
      <c r="GU213" s="1715">
        <f>IF($A213&gt;=BegDate,VLOOKUP($A213,GasTable,13)+Assumptions!$C$58,0)</f>
        <v>3.5359374388471889</v>
      </c>
      <c r="GV213" s="1715">
        <f>GU213*Assumptions!$C$57/1000</f>
        <v>25.635546431642119</v>
      </c>
      <c r="GW213" s="625">
        <f>IF(Assumptions!$C$60="Hourly",MAX(0,GS213*(GT213-GV213)),GS213*(GT213-GV213))</f>
        <v>11204128.572604807</v>
      </c>
      <c r="GX213" s="640">
        <f>IF($A213&gt;=BegDate,Assumptions!$C$56*24*($A214-$A213)*(1-VLOOKUP($B213,MAIN!$AA$7:$AM$28,$C213+1))*(1-VLOOKUP($B213,MAIN!$AA$33:$AM$54,$C213+1)),0)*16/168</f>
        <v>49885.714285714283</v>
      </c>
      <c r="GY213" s="1715">
        <f t="shared" si="680"/>
        <v>70.554733148843525</v>
      </c>
      <c r="GZ213" s="1715">
        <f>IF($A213&gt;=BegDate,VLOOKUP($A213,GasTable,13)+Assumptions!$C$58,0)</f>
        <v>3.5359374388471889</v>
      </c>
      <c r="HA213" s="1715">
        <f>GZ213*Assumptions!$C$57/1000</f>
        <v>25.635546431642119</v>
      </c>
      <c r="HB213" s="625">
        <f>IF(Assumptions!$C$60="Hourly",MAX(0,GX213*(GY213-HA213)),GX213*(GY213-HA213))</f>
        <v>2240825.7145209615</v>
      </c>
      <c r="HC213" s="640">
        <f>IF($A213&gt;=BegDate,Assumptions!$C$56*24*($A214-$A213)*(1-VLOOKUP($B213,MAIN!$AA$7:$AM$28,$C213+1))*(1-VLOOKUP($B213,MAIN!$AA$33:$AM$54,$C213+1)),0)*16/168</f>
        <v>49885.714285714283</v>
      </c>
      <c r="HD213" s="1715">
        <f t="shared" si="681"/>
        <v>33.383128219252484</v>
      </c>
      <c r="HE213" s="1715">
        <f>IF($A213&gt;=BegDate,VLOOKUP($A213,GasTable,13)+Assumptions!$C$58,0)</f>
        <v>3.5359374388471889</v>
      </c>
      <c r="HF213" s="1715">
        <f>HE213*Assumptions!$C$57/1000</f>
        <v>25.635546431642119</v>
      </c>
      <c r="HG213" s="625">
        <f>IF(Assumptions!$C$60="Hourly",MAX(0,HC213*(HD213-HF213)),HC213*(HD213-HF213))</f>
        <v>386493.65146193415</v>
      </c>
      <c r="HH213" s="640">
        <f>IF($A213&gt;=BegDate,Assumptions!$C$56*24*($A214-$A213)*(1-VLOOKUP($B213,MAIN!$AA$7:$AM$28,$C213+1))*(1-VLOOKUP($B213,MAIN!$AA$33:$AM$54,$C213+1)),0)*56/168</f>
        <v>174600</v>
      </c>
      <c r="HI213" s="1715">
        <f t="shared" si="682"/>
        <v>33.383128219252484</v>
      </c>
      <c r="HJ213" s="1715">
        <f>IF($A213&gt;=BegDate,VLOOKUP($A213,GasTable,13)+Assumptions!$C$58,0)</f>
        <v>3.5359374388471889</v>
      </c>
      <c r="HK213" s="1715">
        <f>HJ213*Assumptions!$C$57/1000</f>
        <v>25.635546431642119</v>
      </c>
      <c r="HL213" s="625">
        <f>IF(Assumptions!$C$60="Hourly",MAX(0,HH213*(HI213-HK213)),HH213*(HI213-HK213))</f>
        <v>1352727.7801167697</v>
      </c>
      <c r="HM213" s="640">
        <f>IF(AND(Assumptions!$H$71="Yes",A213&gt;=Assumptions!$H$72,A213&lt;=Assumptions!$H$73),Assumptions!$H$74*Assumptions!$C$9*1000,0)</f>
        <v>0</v>
      </c>
      <c r="HN213" s="530"/>
      <c r="HO213" s="545"/>
      <c r="HP213" s="545"/>
      <c r="HQ213" s="545"/>
      <c r="HR213" s="545"/>
      <c r="HS213" s="545"/>
      <c r="HT213" s="545"/>
      <c r="HU213" s="545"/>
      <c r="HV213" s="545"/>
      <c r="HW213" s="545"/>
      <c r="HX213" s="545"/>
      <c r="HY213" s="545"/>
      <c r="HZ213" s="545"/>
      <c r="IA213" s="545"/>
      <c r="IB213" s="545"/>
      <c r="IC213" s="545"/>
      <c r="ID213" s="545"/>
      <c r="IE213" s="545"/>
      <c r="IF213" s="545"/>
      <c r="IG213" s="545"/>
      <c r="IH213" s="545"/>
      <c r="II213" s="1464"/>
      <c r="IJ213" s="1463"/>
      <c r="IK213" s="1463"/>
    </row>
    <row r="214" spans="1:245">
      <c r="A214" s="177">
        <f t="shared" si="637"/>
        <v>42644</v>
      </c>
      <c r="B214" s="349">
        <f t="shared" si="638"/>
        <v>2016</v>
      </c>
      <c r="C214" s="15">
        <f t="shared" si="578"/>
        <v>10</v>
      </c>
      <c r="D214" s="612" t="str">
        <f t="shared" si="639"/>
        <v/>
      </c>
      <c r="E214" s="609">
        <f t="shared" si="579"/>
        <v>42644</v>
      </c>
      <c r="F214" s="614">
        <f t="shared" si="580"/>
        <v>42674</v>
      </c>
      <c r="G214" s="1349">
        <v>0</v>
      </c>
      <c r="H214" s="152">
        <f t="shared" si="683"/>
        <v>1</v>
      </c>
      <c r="I214" s="154">
        <f>IF(Assumptions!$L$25=4,VLOOKUP($A214,'Henwood Reference'!$E$9:$R$320,10),(VLOOKUP($A214,PriceTable,2,0)+IF(BasisNumber&lt;&gt;1,VLOOKUP($A214,BasisTable,2,0),0)+I$1)/(1-I$2))</f>
        <v>56.15009274532774</v>
      </c>
      <c r="J214" s="154">
        <f>IF(Assumptions!$L$25=4,VLOOKUP($A214,'Henwood Reference'!$E$9:$R$320,10),(VLOOKUP($A214,PriceTable,3,0)+IF(BasisNumber&lt;&gt;1,VLOOKUP($A214,BasisTable,2,0),0)+J$1)/(1-J$2))</f>
        <v>56.15009274532774</v>
      </c>
      <c r="K214" s="154">
        <f>IF(Assumptions!$L$25=4,VLOOKUP($A214,'Henwood Reference'!$E$9:$R$320,10),(VLOOKUP($A214,PriceTable,4,0)+IF(BasisNumber&lt;&gt;1,VLOOKUP($A214,BasisTable,2,0),0)+K$1)/(1-K$2))</f>
        <v>56.15009274532774</v>
      </c>
      <c r="L214" s="474">
        <f>IF(Assumptions!$L$25=4,VLOOKUP($A214,'Henwood Reference'!$E$9:$R$320,10),(VLOOKUP($A214,PriceTableWeekend,2,0)+IF(BasisNumber&lt;&gt;1,VLOOKUP($A214,BasisTable,2,0),0)+L$1)/(1-L$2))</f>
        <v>56.15009274532774</v>
      </c>
      <c r="M214" s="154">
        <f>IF(Assumptions!$L$25=4,VLOOKUP($A214,'Henwood Reference'!$E$9:$R$320,10),(VLOOKUP($A214,PriceTableWeekend,3,0)+IF(BasisNumber&lt;&gt;1,VLOOKUP($A214,BasisTable,2,0),0)+M$1)/(1-M$2))</f>
        <v>56.15009274532774</v>
      </c>
      <c r="N214" s="156">
        <f>IF(Assumptions!$L$25=4,VLOOKUP($A214,'Henwood Reference'!$E$9:$R$320,10),(VLOOKUP($A214,PriceTableWeekend,4,0)+IF(BasisNumber&lt;&gt;1,VLOOKUP($A214,BasisTable,2,0),0)+N$1)/(1-N$2))</f>
        <v>56.15009274532774</v>
      </c>
      <c r="O214" s="154">
        <f>IF(Assumptions!$L$25=4,VLOOKUP($A214,'Henwood Reference'!$E$9:$R$320,11),(VLOOKUP($A214,PriceTableWeekend,6,0)+IF(BasisNumber&lt;&gt;1,VLOOKUP($A214,BasisTable,3,0),0)+O$1)/(1-O$2))</f>
        <v>29.686216315443467</v>
      </c>
      <c r="P214" s="154">
        <f>IF(Assumptions!$L$25=4,VLOOKUP($A214,'Henwood Reference'!$E$9:$R$320,11),(VLOOKUP($A214,PriceTableWeekend,7,0)+IF(BasisNumber&lt;&gt;1,VLOOKUP($A214,BasisTable,3,0),0)+P$1)/(1-P$2))</f>
        <v>29.686216315443467</v>
      </c>
      <c r="Q214" s="156">
        <f>IF(Assumptions!$L$25=4,VLOOKUP($A214,'Henwood Reference'!$E$9:$R$320,11),(VLOOKUP($A214,PriceTableWeekend,8,0)+IF(BasisNumber&lt;&gt;1,VLOOKUP($A214,BasisTable,3,0),0)+Q$1)/(1-Q$2))</f>
        <v>29.686216315443467</v>
      </c>
      <c r="R214" s="154">
        <f>IF(Assumptions!$L$25=4,VLOOKUP($A214,'Henwood Reference'!$E$9:$R$320,11),(VLOOKUP($A214,PriceTable,6,0)+IF(BasisNumber&lt;&gt;1,VLOOKUP($A214,BasisTable,3,0),0)+R$1)/(1-R$2))</f>
        <v>29.686216315443467</v>
      </c>
      <c r="S214" s="154">
        <f>IF(Assumptions!$L$25=4,VLOOKUP($A214,'Henwood Reference'!$E$9:$R$320,11),(VLOOKUP($A214,PriceTable,7,0)+IF(BasisNumber&lt;&gt;1,VLOOKUP($A214,BasisTable,3,0),0)+S$1)/(1-S$2))</f>
        <v>29.686216315443467</v>
      </c>
      <c r="T214" s="155">
        <f>IF(Assumptions!$L$25=4,VLOOKUP($A214,'Henwood Reference'!$E$9:$R$320,11),(VLOOKUP($A214,PriceTable,8,0)+IF(BasisNumber&lt;&gt;1,VLOOKUP($A214,BasisTable,3,0),0)+T$1)/(1-T$2))</f>
        <v>29.686216315443467</v>
      </c>
      <c r="U214" s="173">
        <f t="shared" si="640"/>
        <v>0.09</v>
      </c>
      <c r="V214" s="173">
        <f t="shared" si="641"/>
        <v>0.1</v>
      </c>
      <c r="W214" s="174">
        <f t="shared" si="642"/>
        <v>0.11</v>
      </c>
      <c r="X214" s="173">
        <f t="shared" si="643"/>
        <v>0.09</v>
      </c>
      <c r="Y214" s="173">
        <f t="shared" si="644"/>
        <v>0.1</v>
      </c>
      <c r="Z214" s="174">
        <f t="shared" si="645"/>
        <v>0.11</v>
      </c>
      <c r="AA214" s="173">
        <f t="shared" si="646"/>
        <v>0.09</v>
      </c>
      <c r="AB214" s="173">
        <f t="shared" si="647"/>
        <v>0.11</v>
      </c>
      <c r="AC214" s="174">
        <f t="shared" si="648"/>
        <v>0.13</v>
      </c>
      <c r="AD214" s="173">
        <f t="shared" si="649"/>
        <v>0.09</v>
      </c>
      <c r="AE214" s="173">
        <f t="shared" si="650"/>
        <v>0.11</v>
      </c>
      <c r="AF214" s="174">
        <f t="shared" si="651"/>
        <v>0.13</v>
      </c>
      <c r="AG214" s="173">
        <f t="shared" si="652"/>
        <v>-0.1</v>
      </c>
      <c r="AH214" s="173">
        <f t="shared" si="653"/>
        <v>3</v>
      </c>
      <c r="AI214" s="174">
        <f t="shared" si="654"/>
        <v>0.1</v>
      </c>
      <c r="AJ214" s="173">
        <f t="shared" si="655"/>
        <v>-0.1</v>
      </c>
      <c r="AK214" s="173">
        <f t="shared" si="656"/>
        <v>3</v>
      </c>
      <c r="AL214" s="174">
        <f t="shared" si="657"/>
        <v>0.1</v>
      </c>
      <c r="AM214" s="173">
        <f t="shared" si="658"/>
        <v>-0.01</v>
      </c>
      <c r="AN214" s="173">
        <f t="shared" si="659"/>
        <v>0.16</v>
      </c>
      <c r="AO214" s="174">
        <f t="shared" si="660"/>
        <v>0.01</v>
      </c>
      <c r="AP214" s="173">
        <f t="shared" si="661"/>
        <v>-0.01</v>
      </c>
      <c r="AQ214" s="173">
        <f t="shared" si="662"/>
        <v>0.16</v>
      </c>
      <c r="AR214" s="175">
        <f t="shared" si="663"/>
        <v>0.01</v>
      </c>
      <c r="AS214" s="521">
        <f t="shared" si="664"/>
        <v>0.5</v>
      </c>
      <c r="AT214" s="349">
        <f t="shared" si="581"/>
        <v>21</v>
      </c>
      <c r="AU214" s="159">
        <f t="shared" si="582"/>
        <v>5</v>
      </c>
      <c r="AV214" s="159">
        <f t="shared" si="583"/>
        <v>5</v>
      </c>
      <c r="AW214" s="159">
        <f t="shared" si="665"/>
        <v>0</v>
      </c>
      <c r="AX214" s="15">
        <f t="shared" si="584"/>
        <v>31</v>
      </c>
      <c r="AY214" s="607">
        <f>IF(E214="",0,MIN((1-(1-VLOOKUP(B214,MAIN!$AA$7:$AM$28,C214+1))*(1-VLOOKUP(B214,MAIN!$AA$33:$AM$54,C214+1))),1))</f>
        <v>3.0000000000000027E-2</v>
      </c>
      <c r="AZ214" s="337">
        <v>48888</v>
      </c>
      <c r="BA214" s="509">
        <v>11640</v>
      </c>
      <c r="BB214" s="509">
        <v>11640</v>
      </c>
      <c r="BC214" s="511">
        <v>36084</v>
      </c>
      <c r="BD214" s="153">
        <v>0.97000001445412631</v>
      </c>
      <c r="BE214" s="474">
        <v>0.97000001445412631</v>
      </c>
      <c r="BF214" s="474">
        <v>0.97000001445412631</v>
      </c>
      <c r="BG214" s="515">
        <v>0.9699999927729368</v>
      </c>
      <c r="BH214" s="262">
        <v>195552</v>
      </c>
      <c r="BI214" s="509">
        <v>46560</v>
      </c>
      <c r="BJ214" s="509">
        <v>46560</v>
      </c>
      <c r="BK214" s="511">
        <v>144336</v>
      </c>
      <c r="BL214" s="153">
        <v>0.97000001445412631</v>
      </c>
      <c r="BM214" s="474">
        <v>0.97000001445412631</v>
      </c>
      <c r="BN214" s="474">
        <v>0.97000001445412631</v>
      </c>
      <c r="BO214" s="474">
        <v>0.9699999927729368</v>
      </c>
      <c r="BP214" s="261">
        <f t="shared" si="666"/>
        <v>72168</v>
      </c>
      <c r="BQ214" s="578">
        <f t="shared" si="667"/>
        <v>108252</v>
      </c>
      <c r="BR214" s="259">
        <f t="shared" si="668"/>
        <v>288672</v>
      </c>
      <c r="BS214" s="578">
        <f t="shared" si="669"/>
        <v>433008</v>
      </c>
      <c r="BT214" s="216">
        <f t="shared" si="670"/>
        <v>16.465434633812457</v>
      </c>
      <c r="BU214" s="218">
        <f t="shared" si="585"/>
        <v>56.150093582029321</v>
      </c>
      <c r="BV214" s="216">
        <f t="shared" si="586"/>
        <v>56.150093582029321</v>
      </c>
      <c r="BW214" s="216">
        <f t="shared" si="587"/>
        <v>29.686216757802562</v>
      </c>
      <c r="BX214" s="216">
        <f t="shared" si="671"/>
        <v>29.686216094263923</v>
      </c>
      <c r="BY214" s="216">
        <f t="shared" si="588"/>
        <v>51.881726352315333</v>
      </c>
      <c r="BZ214" s="216">
        <f t="shared" si="589"/>
        <v>44.483222932964864</v>
      </c>
      <c r="CA214" s="264">
        <f t="shared" si="590"/>
        <v>56.150093582029321</v>
      </c>
      <c r="CB214" s="216">
        <f t="shared" si="591"/>
        <v>56.150093582029321</v>
      </c>
      <c r="CC214" s="216">
        <f t="shared" si="592"/>
        <v>29.686216757802562</v>
      </c>
      <c r="CD214" s="216">
        <f t="shared" si="672"/>
        <v>29.686216094263923</v>
      </c>
      <c r="CE214" s="216">
        <f t="shared" si="593"/>
        <v>51.881726352315333</v>
      </c>
      <c r="CF214" s="571">
        <f t="shared" si="594"/>
        <v>44.483222932964864</v>
      </c>
      <c r="CG214" s="573">
        <f t="shared" si="595"/>
        <v>0.1</v>
      </c>
      <c r="CH214" s="219">
        <f t="shared" si="596"/>
        <v>0.1</v>
      </c>
      <c r="CI214" s="219">
        <f t="shared" si="597"/>
        <v>0.11</v>
      </c>
      <c r="CJ214" s="219">
        <f t="shared" si="598"/>
        <v>0.100929882974632</v>
      </c>
      <c r="CK214" s="219">
        <f t="shared" si="599"/>
        <v>0.100929882974632</v>
      </c>
      <c r="CL214" s="219">
        <f t="shared" si="600"/>
        <v>0.11</v>
      </c>
      <c r="CM214" s="219">
        <f t="shared" si="601"/>
        <v>9.3389027197272087E-2</v>
      </c>
      <c r="CN214" s="569">
        <f t="shared" si="602"/>
        <v>9.3389027197272087E-2</v>
      </c>
      <c r="CO214" s="264">
        <f t="shared" si="514"/>
        <v>26.133661019184192</v>
      </c>
      <c r="CP214" s="216">
        <f t="shared" si="673"/>
        <v>26.133661019184192</v>
      </c>
      <c r="CQ214" s="216">
        <f t="shared" ca="1" si="532"/>
        <v>26.133661019184192</v>
      </c>
      <c r="CR214" s="216">
        <f t="shared" ca="1" si="533"/>
        <v>26.133661019184192</v>
      </c>
      <c r="CS214" s="1626">
        <f t="shared" ca="1" si="534"/>
        <v>26.133661019184192</v>
      </c>
      <c r="CT214" s="216">
        <f t="shared" si="674"/>
        <v>26.133661019184192</v>
      </c>
      <c r="CU214" s="575">
        <f t="shared" si="603"/>
        <v>0.152</v>
      </c>
      <c r="CV214" s="154">
        <f t="shared" si="604"/>
        <v>0.5</v>
      </c>
      <c r="CW214" s="216">
        <f>IF(OR($BQ214,$BS214),SpreadOptPowerMargin,0)*((1+Assumptions!$C$26)^($B214-YEAR(Assumptions!$C$17)))</f>
        <v>2.3284919348168329</v>
      </c>
      <c r="CX214" s="216">
        <f>IF(OR($BQ214,$BS214),SpreadOptPowerMargin,0)*((1+Assumptions!$C$26)^($B214-YEAR(Assumptions!$C$17)))</f>
        <v>2.3284919348168329</v>
      </c>
      <c r="CY214" s="216">
        <f>IF(OR($BQ214,$BS214),SpreadOptPowerMargin,0)*((1+Assumptions!$C$26)^($B214-YEAR(Assumptions!$C$17)))</f>
        <v>2.3284919348168329</v>
      </c>
      <c r="CZ214" s="216">
        <f>IF(OR($BQ214,$BS214),SpreadOptPowerMargin,0)*((1+Assumptions!$C$26)^($B214-YEAR(Assumptions!$C$17)))</f>
        <v>2.3284919348168329</v>
      </c>
      <c r="DA214" s="440">
        <f t="shared" si="605"/>
        <v>2.3284919348168325</v>
      </c>
      <c r="DB214" s="479">
        <f t="shared" si="606"/>
        <v>0.1</v>
      </c>
      <c r="DC214" s="479">
        <f t="shared" si="607"/>
        <v>0.1</v>
      </c>
      <c r="DD214" s="479">
        <f t="shared" si="608"/>
        <v>0.11</v>
      </c>
      <c r="DE214" s="479">
        <f t="shared" si="609"/>
        <v>0.11</v>
      </c>
      <c r="DF214" s="479">
        <f t="shared" si="610"/>
        <v>9.3389027197272087E-2</v>
      </c>
      <c r="DG214" s="574">
        <f t="shared" si="611"/>
        <v>9.3389027197272087E-2</v>
      </c>
      <c r="DH214" s="216">
        <f t="shared" si="612"/>
        <v>28.556678993748161</v>
      </c>
      <c r="DI214" s="216">
        <f t="shared" si="613"/>
        <v>28.556678993748161</v>
      </c>
      <c r="DJ214" s="216">
        <f t="shared" ca="1" si="535"/>
        <v>6.5579847673544931</v>
      </c>
      <c r="DK214" s="216">
        <f t="shared" ca="1" si="536"/>
        <v>6.5579843443114685</v>
      </c>
      <c r="DL214" s="216">
        <f t="shared" ca="1" si="537"/>
        <v>17.847374849399717</v>
      </c>
      <c r="DM214" s="216"/>
      <c r="DN214" s="216"/>
      <c r="DO214" s="216"/>
      <c r="DP214" s="216"/>
      <c r="DQ214" s="216"/>
      <c r="DR214" s="216"/>
      <c r="DS214" s="216"/>
      <c r="DT214" s="216"/>
      <c r="DU214" s="216"/>
      <c r="DV214" s="216"/>
      <c r="DW214" s="1371">
        <f t="shared" si="614"/>
        <v>6.5579847673544931</v>
      </c>
      <c r="DX214" s="216">
        <f t="shared" si="615"/>
        <v>6.5579843443114685</v>
      </c>
      <c r="DY214" s="440">
        <f t="shared" si="616"/>
        <v>18.858329785183923</v>
      </c>
      <c r="DZ214" s="180">
        <f t="shared" si="617"/>
        <v>1396078.92264636</v>
      </c>
      <c r="EA214" s="180">
        <f t="shared" si="618"/>
        <v>332399.74348722858</v>
      </c>
      <c r="EB214" s="180">
        <f t="shared" ca="1" si="538"/>
        <v>76334.942692006298</v>
      </c>
      <c r="EC214" s="180">
        <f t="shared" ca="1" si="539"/>
        <v>236638.30708013504</v>
      </c>
      <c r="ED214" s="180">
        <f t="shared" ca="1" si="540"/>
        <v>1932014.0221972181</v>
      </c>
      <c r="EE214" s="581">
        <f t="shared" si="619"/>
        <v>1353608.0414230474</v>
      </c>
      <c r="EF214" s="554">
        <f t="shared" si="620"/>
        <v>322287.62891024939</v>
      </c>
      <c r="EG214" s="554">
        <f t="shared" ca="1" si="541"/>
        <v>14248.102676249906</v>
      </c>
      <c r="EH214" s="554">
        <f t="shared" ca="1" si="542"/>
        <v>44169.094353246452</v>
      </c>
      <c r="EI214" s="561">
        <f t="shared" ca="1" si="621"/>
        <v>1734312.8673627938</v>
      </c>
      <c r="EJ214" s="581">
        <f t="shared" si="675"/>
        <v>42470.881223312579</v>
      </c>
      <c r="EK214" s="554">
        <f t="shared" si="676"/>
        <v>10112.114576979191</v>
      </c>
      <c r="EL214" s="554">
        <f t="shared" ca="1" si="543"/>
        <v>62086.840015756388</v>
      </c>
      <c r="EM214" s="554">
        <f t="shared" ca="1" si="544"/>
        <v>192469.2127268886</v>
      </c>
      <c r="EN214" s="561">
        <f t="shared" ca="1" si="545"/>
        <v>197701.15483442438</v>
      </c>
      <c r="EO214" s="180">
        <f t="shared" si="622"/>
        <v>5584315.69058544</v>
      </c>
      <c r="EP214" s="180">
        <f t="shared" si="623"/>
        <v>1329598.9739489143</v>
      </c>
      <c r="EQ214" s="180">
        <f t="shared" si="624"/>
        <v>305339.77076802519</v>
      </c>
      <c r="ER214" s="180">
        <f t="shared" si="625"/>
        <v>946553.22832054016</v>
      </c>
      <c r="ES214" s="180">
        <f t="shared" si="626"/>
        <v>8165807.6636229204</v>
      </c>
      <c r="ET214" s="1482">
        <f t="shared" ca="1" si="546"/>
        <v>5414432.1656921897</v>
      </c>
      <c r="EU214" s="180">
        <f t="shared" ca="1" si="547"/>
        <v>1289150.5156409976</v>
      </c>
      <c r="EV214" s="180">
        <f t="shared" ca="1" si="548"/>
        <v>56992.410704999624</v>
      </c>
      <c r="EW214" s="180">
        <f t="shared" ca="1" si="549"/>
        <v>176676.37741298581</v>
      </c>
      <c r="EX214" s="555">
        <f t="shared" ca="1" si="522"/>
        <v>6937251.4694511723</v>
      </c>
      <c r="EY214" s="180">
        <f t="shared" ca="1" si="550"/>
        <v>169883.52489325032</v>
      </c>
      <c r="EZ214" s="180">
        <f t="shared" ca="1" si="551"/>
        <v>40448.458307916764</v>
      </c>
      <c r="FA214" s="180">
        <f t="shared" ca="1" si="552"/>
        <v>248347.36006302555</v>
      </c>
      <c r="FB214" s="180">
        <f t="shared" ca="1" si="553"/>
        <v>769876.85090755438</v>
      </c>
      <c r="FC214" s="180">
        <f t="shared" ca="1" si="554"/>
        <v>1228556.1941717481</v>
      </c>
      <c r="FD214" s="262">
        <f>IF(AX214,IF(VLOOKUP(C214,MAIN!$L$17:$M$28,2)="Yes",VLOOKUP(CALC!B214,MAIN!$H$17:$I$20,2),0),0)</f>
        <v>0</v>
      </c>
      <c r="FE214" s="623">
        <f t="shared" si="627"/>
        <v>0</v>
      </c>
      <c r="FF214" s="535">
        <f t="shared" si="628"/>
        <v>0</v>
      </c>
      <c r="FG214" s="535">
        <f t="shared" si="629"/>
        <v>0</v>
      </c>
      <c r="FH214" s="624">
        <f t="shared" si="630"/>
        <v>0</v>
      </c>
      <c r="FI214" s="632">
        <f>IF(AX214,VLOOKUP(CALC!B214,MAIN!$H$17:$K$20,4),0)</f>
        <v>0</v>
      </c>
      <c r="FJ214" s="535">
        <f t="shared" si="631"/>
        <v>0</v>
      </c>
      <c r="FK214" s="648">
        <f t="shared" si="677"/>
        <v>0</v>
      </c>
      <c r="FL214" s="530">
        <f t="shared" ca="1" si="555"/>
        <v>0</v>
      </c>
      <c r="FM214" s="530">
        <f t="shared" ca="1" si="556"/>
        <v>0</v>
      </c>
      <c r="FN214" s="530">
        <f t="shared" ca="1" si="557"/>
        <v>0</v>
      </c>
      <c r="FO214" s="622">
        <f t="shared" ca="1" si="558"/>
        <v>0</v>
      </c>
      <c r="FP214" s="530">
        <f t="shared" ca="1" si="559"/>
        <v>0</v>
      </c>
      <c r="FQ214" s="530">
        <f t="shared" ca="1" si="560"/>
        <v>0</v>
      </c>
      <c r="FR214" s="530">
        <f t="shared" ca="1" si="561"/>
        <v>0</v>
      </c>
      <c r="FS214" s="625">
        <f t="shared" ca="1" si="562"/>
        <v>0</v>
      </c>
      <c r="FT214" s="640">
        <f ca="1">IF(AND(Assumptions!$H$71="Yes",A214&gt;=Assumptions!$H$72,A214&lt;=Assumptions!$H$73),0,IF(AND($A214&gt;=Assumptions!$C$17,$A214&lt;=Assumptions!$C$18),MAX(AZ214*(1+VLOOKUP($C214,WeatherCapacityAdjustment,2))-FL214,0),0))</f>
        <v>48888</v>
      </c>
      <c r="FU214" s="530">
        <f ca="1">IF(AND(Assumptions!$H$71="Yes",A214&gt;=Assumptions!$H$72,A214&lt;=Assumptions!$H$73),0,IF(AND($A214&gt;=Assumptions!$C$17,$A214&lt;=Assumptions!$C$18),MAX(BA214*(1+VLOOKUP($C214,WeatherCapacityAdjustment,2))-FM214,0),0))</f>
        <v>11640</v>
      </c>
      <c r="FV214" s="530">
        <f ca="1">IF(AND(Assumptions!$H$71="Yes",A214&gt;=Assumptions!$H$72,A214&lt;=Assumptions!$H$73),0,IF(AND($A214&gt;=Assumptions!$C$17,$A214&lt;=Assumptions!$C$18),MAX(BB214*(1+VLOOKUP($C214,WeatherCapacityAdjustment,2))-FN214,0),0))</f>
        <v>11640</v>
      </c>
      <c r="FW214" s="622">
        <f ca="1">IF(AND(Assumptions!$H$71="Yes",A214&gt;=Assumptions!$H$72,A214&lt;=Assumptions!$H$73),0,IF(AND($A214&gt;=Assumptions!$C$17,$A214&lt;=Assumptions!$C$18),MAX(BC214*(1+VLOOKUP($C214,WeatherCapacityAdjustment,3))-FO214,0),0))</f>
        <v>36084</v>
      </c>
      <c r="FX214" s="621">
        <f ca="1">IF(AND(Assumptions!$H$71="Yes",A214&gt;=Assumptions!$H$72,A214&lt;=Assumptions!$H$73),0,IF(ET214&gt;0,MAX(BH214*(1+VLOOKUP($C214,WeatherCapacityAdjustment,2))-FP214,0),0))</f>
        <v>195552</v>
      </c>
      <c r="FY214" s="530">
        <f ca="1">IF(AND(Assumptions!$H$71="Yes",A214&gt;=Assumptions!$H$72,A214&lt;=Assumptions!$H$73),0,IF(EU214&gt;0,MAX(BI214*(1+VLOOKUP($C214,WeatherCapacityAdjustment,3))-FQ214,0),0))</f>
        <v>46560</v>
      </c>
      <c r="FZ214" s="530">
        <f ca="1">IF(AND(Assumptions!$H$71="Yes",A214&gt;=Assumptions!$H$72,A214&lt;=Assumptions!$H$73),0,IF(EV214&gt;0,MAX(BJ214*(1+VLOOKUP($C214,WeatherCapacityAdjustment,2))-FR214,0),0))</f>
        <v>46560</v>
      </c>
      <c r="GA214" s="622">
        <f ca="1">IF(AND(Assumptions!$H$71="Yes",A214&gt;=Assumptions!$H$72,A214&lt;=Assumptions!$H$73),0,IF(EW214&gt;0,MAX(BK214*(1+VLOOKUP($C214,WeatherCapacityAdjustment,2))-FS214,0),0))</f>
        <v>144336</v>
      </c>
      <c r="GB214" s="530">
        <f t="shared" ca="1" si="632"/>
        <v>541260</v>
      </c>
      <c r="GC214" s="545">
        <f t="shared" ca="1" si="633"/>
        <v>44.483222932964871</v>
      </c>
      <c r="GD214" s="530">
        <f t="shared" ca="1" si="563"/>
        <v>24076989.244696558</v>
      </c>
      <c r="GE214" s="1485">
        <f t="shared" ca="1" si="564"/>
        <v>767281.51583999989</v>
      </c>
      <c r="GF214" s="1776">
        <f t="shared" ca="1" si="565"/>
        <v>3069126.0633599996</v>
      </c>
      <c r="GG214" s="545">
        <f t="shared" si="530"/>
        <v>3.6870705396201133</v>
      </c>
      <c r="GH214" s="622">
        <f t="shared" ca="1" si="531"/>
        <v>14145105.363243636</v>
      </c>
      <c r="GI214" s="621">
        <f t="shared" ca="1" si="678"/>
        <v>541260</v>
      </c>
      <c r="GJ214" s="638">
        <f t="shared" si="634"/>
        <v>2.3284919348168325</v>
      </c>
      <c r="GK214" s="625">
        <f t="shared" ca="1" si="684"/>
        <v>1260319.5446389588</v>
      </c>
      <c r="GL214" s="640">
        <f t="shared" ca="1" si="566"/>
        <v>0</v>
      </c>
      <c r="GM214" s="530">
        <f t="shared" ca="1" si="567"/>
        <v>0</v>
      </c>
      <c r="GN214" s="530">
        <f t="shared" ca="1" si="568"/>
        <v>0</v>
      </c>
      <c r="GO214" s="622">
        <f t="shared" ca="1" si="569"/>
        <v>0</v>
      </c>
      <c r="GP214" s="530">
        <f t="shared" ca="1" si="635"/>
        <v>0</v>
      </c>
      <c r="GQ214" s="545">
        <f t="shared" ca="1" si="636"/>
        <v>0</v>
      </c>
      <c r="GR214" s="625">
        <f t="shared" ca="1" si="570"/>
        <v>0</v>
      </c>
      <c r="GS214" s="640">
        <f>IF($A214&gt;=BegDate,Assumptions!$C$56*24*($A215-$A214)*(1-VLOOKUP($B214,MAIN!$AA$7:$AM$28,$C214+1))*(1-VLOOKUP($B214,MAIN!$AA$33:$AM$54,$C214+1)),0)*80/168</f>
        <v>257742.85714285713</v>
      </c>
      <c r="GT214" s="1715">
        <f t="shared" si="679"/>
        <v>56.15009274532774</v>
      </c>
      <c r="GU214" s="1715">
        <f>IF($A214&gt;=BegDate,VLOOKUP($A214,GasTable,13)+Assumptions!$C$58,0)</f>
        <v>3.6870705396201133</v>
      </c>
      <c r="GV214" s="1715">
        <f>GU214*Assumptions!$C$57/1000</f>
        <v>26.731261412245821</v>
      </c>
      <c r="GW214" s="625">
        <f>IF(Assumptions!$C$60="Hourly",MAX(0,GS214*(GT214-GV214)),GS214*(GT214-GV214))</f>
        <v>7582493.6415923424</v>
      </c>
      <c r="GX214" s="640">
        <f>IF($A214&gt;=BegDate,Assumptions!$C$56*24*($A215-$A214)*(1-VLOOKUP($B214,MAIN!$AA$7:$AM$28,$C214+1))*(1-VLOOKUP($B214,MAIN!$AA$33:$AM$54,$C214+1)),0)*16/168</f>
        <v>51548.571428571428</v>
      </c>
      <c r="GY214" s="1715">
        <f t="shared" si="680"/>
        <v>56.15009274532774</v>
      </c>
      <c r="GZ214" s="1715">
        <f>IF($A214&gt;=BegDate,VLOOKUP($A214,GasTable,13)+Assumptions!$C$58,0)</f>
        <v>3.6870705396201133</v>
      </c>
      <c r="HA214" s="1715">
        <f>GZ214*Assumptions!$C$57/1000</f>
        <v>26.731261412245821</v>
      </c>
      <c r="HB214" s="625">
        <f>IF(Assumptions!$C$60="Hourly",MAX(0,GX214*(GY214-HA214)),GX214*(GY214-HA214))</f>
        <v>1516498.7283184684</v>
      </c>
      <c r="HC214" s="640">
        <f>IF($A214&gt;=BegDate,Assumptions!$C$56*24*($A215-$A214)*(1-VLOOKUP($B214,MAIN!$AA$7:$AM$28,$C214+1))*(1-VLOOKUP($B214,MAIN!$AA$33:$AM$54,$C214+1)),0)*16/168</f>
        <v>51548.571428571428</v>
      </c>
      <c r="HD214" s="1715">
        <f t="shared" si="681"/>
        <v>29.686216315443467</v>
      </c>
      <c r="HE214" s="1715">
        <f>IF($A214&gt;=BegDate,VLOOKUP($A214,GasTable,13)+Assumptions!$C$58,0)</f>
        <v>3.6870705396201133</v>
      </c>
      <c r="HF214" s="1715">
        <f>HE214*Assumptions!$C$57/1000</f>
        <v>26.731261412245821</v>
      </c>
      <c r="HG214" s="625">
        <f>IF(Assumptions!$C$60="Hourly",MAX(0,HC214*(HD214-HF214)),HC214*(HD214-HF214))</f>
        <v>152323.7038956912</v>
      </c>
      <c r="HH214" s="640">
        <f>IF($A214&gt;=BegDate,Assumptions!$C$56*24*($A215-$A214)*(1-VLOOKUP($B214,MAIN!$AA$7:$AM$28,$C214+1))*(1-VLOOKUP($B214,MAIN!$AA$33:$AM$54,$C214+1)),0)*56/168</f>
        <v>180420</v>
      </c>
      <c r="HI214" s="1715">
        <f t="shared" si="682"/>
        <v>29.686216315443467</v>
      </c>
      <c r="HJ214" s="1715">
        <f>IF($A214&gt;=BegDate,VLOOKUP($A214,GasTable,13)+Assumptions!$C$58,0)</f>
        <v>3.6870705396201133</v>
      </c>
      <c r="HK214" s="1715">
        <f>HJ214*Assumptions!$C$57/1000</f>
        <v>26.731261412245821</v>
      </c>
      <c r="HL214" s="625">
        <f>IF(Assumptions!$C$60="Hourly",MAX(0,HH214*(HI214-HK214)),HH214*(HI214-HK214))</f>
        <v>533132.96363491914</v>
      </c>
      <c r="HM214" s="640">
        <f>IF(AND(Assumptions!$H$71="Yes",A214&gt;=Assumptions!$H$72,A214&lt;=Assumptions!$H$73),Assumptions!$H$74*Assumptions!$C$9*1000,0)</f>
        <v>0</v>
      </c>
      <c r="HN214" s="530"/>
      <c r="HO214" s="545"/>
      <c r="HP214" s="545"/>
      <c r="HQ214" s="545"/>
      <c r="HR214" s="545"/>
      <c r="HS214" s="545"/>
      <c r="HT214" s="545"/>
      <c r="HU214" s="545"/>
      <c r="HV214" s="545"/>
      <c r="HW214" s="545"/>
      <c r="HX214" s="545"/>
      <c r="HY214" s="545"/>
      <c r="HZ214" s="545"/>
      <c r="IA214" s="545"/>
      <c r="IB214" s="545"/>
      <c r="IC214" s="545"/>
      <c r="ID214" s="545"/>
      <c r="IE214" s="545"/>
      <c r="IF214" s="545"/>
      <c r="IG214" s="545"/>
      <c r="IH214" s="545"/>
      <c r="II214" s="1464"/>
      <c r="IJ214" s="1463"/>
      <c r="IK214" s="1463"/>
    </row>
    <row r="215" spans="1:245">
      <c r="A215" s="177">
        <f t="shared" si="637"/>
        <v>42675</v>
      </c>
      <c r="B215" s="349">
        <f t="shared" si="638"/>
        <v>2016</v>
      </c>
      <c r="C215" s="15">
        <f t="shared" si="578"/>
        <v>11</v>
      </c>
      <c r="D215" s="612">
        <f t="shared" si="639"/>
        <v>42698</v>
      </c>
      <c r="E215" s="609">
        <f t="shared" si="579"/>
        <v>42675</v>
      </c>
      <c r="F215" s="614">
        <f t="shared" si="580"/>
        <v>42704</v>
      </c>
      <c r="G215" s="1349">
        <v>0</v>
      </c>
      <c r="H215" s="152">
        <f t="shared" si="683"/>
        <v>1</v>
      </c>
      <c r="I215" s="154">
        <f>IF(Assumptions!$L$25=4,VLOOKUP($A215,'Henwood Reference'!$E$9:$R$320,10),(VLOOKUP($A215,PriceTable,2,0)+IF(BasisNumber&lt;&gt;1,VLOOKUP($A215,BasisTable,2,0),0)+I$1)/(1-I$2))</f>
        <v>53.71435906878547</v>
      </c>
      <c r="J215" s="154">
        <f>IF(Assumptions!$L$25=4,VLOOKUP($A215,'Henwood Reference'!$E$9:$R$320,10),(VLOOKUP($A215,PriceTable,3,0)+IF(BasisNumber&lt;&gt;1,VLOOKUP($A215,BasisTable,2,0),0)+J$1)/(1-J$2))</f>
        <v>53.71435906878547</v>
      </c>
      <c r="K215" s="154">
        <f>IF(Assumptions!$L$25=4,VLOOKUP($A215,'Henwood Reference'!$E$9:$R$320,10),(VLOOKUP($A215,PriceTable,4,0)+IF(BasisNumber&lt;&gt;1,VLOOKUP($A215,BasisTable,2,0),0)+K$1)/(1-K$2))</f>
        <v>53.71435906878547</v>
      </c>
      <c r="L215" s="474">
        <f>IF(Assumptions!$L$25=4,VLOOKUP($A215,'Henwood Reference'!$E$9:$R$320,10),(VLOOKUP($A215,PriceTableWeekend,2,0)+IF(BasisNumber&lt;&gt;1,VLOOKUP($A215,BasisTable,2,0),0)+L$1)/(1-L$2))</f>
        <v>53.71435906878547</v>
      </c>
      <c r="M215" s="154">
        <f>IF(Assumptions!$L$25=4,VLOOKUP($A215,'Henwood Reference'!$E$9:$R$320,10),(VLOOKUP($A215,PriceTableWeekend,3,0)+IF(BasisNumber&lt;&gt;1,VLOOKUP($A215,BasisTable,2,0),0)+M$1)/(1-M$2))</f>
        <v>53.71435906878547</v>
      </c>
      <c r="N215" s="156">
        <f>IF(Assumptions!$L$25=4,VLOOKUP($A215,'Henwood Reference'!$E$9:$R$320,10),(VLOOKUP($A215,PriceTableWeekend,4,0)+IF(BasisNumber&lt;&gt;1,VLOOKUP($A215,BasisTable,2,0),0)+N$1)/(1-N$2))</f>
        <v>53.71435906878547</v>
      </c>
      <c r="O215" s="154">
        <f>IF(Assumptions!$L$25=4,VLOOKUP($A215,'Henwood Reference'!$E$9:$R$320,11),(VLOOKUP($A215,PriceTableWeekend,6,0)+IF(BasisNumber&lt;&gt;1,VLOOKUP($A215,BasisTable,3,0),0)+O$1)/(1-O$2))</f>
        <v>31.971355400137302</v>
      </c>
      <c r="P215" s="154">
        <f>IF(Assumptions!$L$25=4,VLOOKUP($A215,'Henwood Reference'!$E$9:$R$320,11),(VLOOKUP($A215,PriceTableWeekend,7,0)+IF(BasisNumber&lt;&gt;1,VLOOKUP($A215,BasisTable,3,0),0)+P$1)/(1-P$2))</f>
        <v>31.971355400137302</v>
      </c>
      <c r="Q215" s="156">
        <f>IF(Assumptions!$L$25=4,VLOOKUP($A215,'Henwood Reference'!$E$9:$R$320,11),(VLOOKUP($A215,PriceTableWeekend,8,0)+IF(BasisNumber&lt;&gt;1,VLOOKUP($A215,BasisTable,3,0),0)+Q$1)/(1-Q$2))</f>
        <v>31.971355400137302</v>
      </c>
      <c r="R215" s="154">
        <f>IF(Assumptions!$L$25=4,VLOOKUP($A215,'Henwood Reference'!$E$9:$R$320,11),(VLOOKUP($A215,PriceTable,6,0)+IF(BasisNumber&lt;&gt;1,VLOOKUP($A215,BasisTable,3,0),0)+R$1)/(1-R$2))</f>
        <v>31.971355400137302</v>
      </c>
      <c r="S215" s="154">
        <f>IF(Assumptions!$L$25=4,VLOOKUP($A215,'Henwood Reference'!$E$9:$R$320,11),(VLOOKUP($A215,PriceTable,7,0)+IF(BasisNumber&lt;&gt;1,VLOOKUP($A215,BasisTable,3,0),0)+S$1)/(1-S$2))</f>
        <v>31.971355400137302</v>
      </c>
      <c r="T215" s="155">
        <f>IF(Assumptions!$L$25=4,VLOOKUP($A215,'Henwood Reference'!$E$9:$R$320,11),(VLOOKUP($A215,PriceTable,8,0)+IF(BasisNumber&lt;&gt;1,VLOOKUP($A215,BasisTable,3,0),0)+T$1)/(1-T$2))</f>
        <v>31.971355400137302</v>
      </c>
      <c r="U215" s="173">
        <f t="shared" si="640"/>
        <v>0.09</v>
      </c>
      <c r="V215" s="173">
        <f t="shared" si="641"/>
        <v>0.1</v>
      </c>
      <c r="W215" s="174">
        <f t="shared" si="642"/>
        <v>0.11</v>
      </c>
      <c r="X215" s="173">
        <f t="shared" si="643"/>
        <v>0.09</v>
      </c>
      <c r="Y215" s="173">
        <f t="shared" si="644"/>
        <v>0.1</v>
      </c>
      <c r="Z215" s="174">
        <f t="shared" si="645"/>
        <v>0.11</v>
      </c>
      <c r="AA215" s="173">
        <f t="shared" si="646"/>
        <v>0.09</v>
      </c>
      <c r="AB215" s="173">
        <f t="shared" si="647"/>
        <v>0.11</v>
      </c>
      <c r="AC215" s="174">
        <f t="shared" si="648"/>
        <v>0.13</v>
      </c>
      <c r="AD215" s="173">
        <f t="shared" si="649"/>
        <v>0.09</v>
      </c>
      <c r="AE215" s="173">
        <f t="shared" si="650"/>
        <v>0.11</v>
      </c>
      <c r="AF215" s="174">
        <f t="shared" si="651"/>
        <v>0.13</v>
      </c>
      <c r="AG215" s="173">
        <f t="shared" si="652"/>
        <v>-0.1</v>
      </c>
      <c r="AH215" s="173">
        <f t="shared" si="653"/>
        <v>0.6</v>
      </c>
      <c r="AI215" s="174">
        <f t="shared" si="654"/>
        <v>0.1</v>
      </c>
      <c r="AJ215" s="173">
        <f t="shared" si="655"/>
        <v>-0.1</v>
      </c>
      <c r="AK215" s="173">
        <f t="shared" si="656"/>
        <v>0.6</v>
      </c>
      <c r="AL215" s="174">
        <f t="shared" si="657"/>
        <v>0.1</v>
      </c>
      <c r="AM215" s="173">
        <f t="shared" si="658"/>
        <v>-0.01</v>
      </c>
      <c r="AN215" s="173">
        <f t="shared" si="659"/>
        <v>0.16</v>
      </c>
      <c r="AO215" s="174">
        <f t="shared" si="660"/>
        <v>0.01</v>
      </c>
      <c r="AP215" s="173">
        <f t="shared" si="661"/>
        <v>-0.01</v>
      </c>
      <c r="AQ215" s="173">
        <f t="shared" si="662"/>
        <v>0.16</v>
      </c>
      <c r="AR215" s="175">
        <f t="shared" si="663"/>
        <v>0.01</v>
      </c>
      <c r="AS215" s="521">
        <f t="shared" si="664"/>
        <v>0.5</v>
      </c>
      <c r="AT215" s="349">
        <f t="shared" si="581"/>
        <v>21</v>
      </c>
      <c r="AU215" s="159">
        <f t="shared" si="582"/>
        <v>4</v>
      </c>
      <c r="AV215" s="159">
        <f t="shared" si="583"/>
        <v>4</v>
      </c>
      <c r="AW215" s="159">
        <f t="shared" si="665"/>
        <v>1</v>
      </c>
      <c r="AX215" s="15">
        <f t="shared" si="584"/>
        <v>30</v>
      </c>
      <c r="AY215" s="607">
        <f>IF(E215="",0,MIN((1-(1-VLOOKUP(B215,MAIN!$AA$7:$AM$28,C215+1))*(1-VLOOKUP(B215,MAIN!$AA$33:$AM$54,C215+1))),1))</f>
        <v>3.0000000000000027E-2</v>
      </c>
      <c r="AZ215" s="337">
        <v>48888</v>
      </c>
      <c r="BA215" s="509">
        <v>9312</v>
      </c>
      <c r="BB215" s="509">
        <v>11640</v>
      </c>
      <c r="BC215" s="511">
        <v>34920</v>
      </c>
      <c r="BD215" s="153">
        <v>0.97</v>
      </c>
      <c r="BE215" s="474">
        <v>0.97</v>
      </c>
      <c r="BF215" s="474">
        <v>0.97</v>
      </c>
      <c r="BG215" s="515">
        <v>0.9699999927729368</v>
      </c>
      <c r="BH215" s="262">
        <v>195552</v>
      </c>
      <c r="BI215" s="509">
        <v>37248</v>
      </c>
      <c r="BJ215" s="509">
        <v>46560</v>
      </c>
      <c r="BK215" s="511">
        <v>139680</v>
      </c>
      <c r="BL215" s="153">
        <v>0.97</v>
      </c>
      <c r="BM215" s="474">
        <v>0.97</v>
      </c>
      <c r="BN215" s="474">
        <v>0.97</v>
      </c>
      <c r="BO215" s="474">
        <v>0.9699999927729368</v>
      </c>
      <c r="BP215" s="261">
        <f t="shared" si="666"/>
        <v>69840</v>
      </c>
      <c r="BQ215" s="578">
        <f t="shared" si="667"/>
        <v>104760</v>
      </c>
      <c r="BR215" s="259">
        <f t="shared" si="668"/>
        <v>279360</v>
      </c>
      <c r="BS215" s="578">
        <f t="shared" si="669"/>
        <v>419040</v>
      </c>
      <c r="BT215" s="216">
        <f t="shared" si="670"/>
        <v>16.550308008213552</v>
      </c>
      <c r="BU215" s="218">
        <f t="shared" si="585"/>
        <v>53.71435906878547</v>
      </c>
      <c r="BV215" s="216">
        <f t="shared" si="586"/>
        <v>53.71435906878547</v>
      </c>
      <c r="BW215" s="216">
        <f t="shared" si="587"/>
        <v>31.971355400137302</v>
      </c>
      <c r="BX215" s="216">
        <f t="shared" si="671"/>
        <v>31.971355161932141</v>
      </c>
      <c r="BY215" s="216">
        <f t="shared" si="588"/>
        <v>50.090525124010775</v>
      </c>
      <c r="BZ215" s="216">
        <f t="shared" si="589"/>
        <v>44.050801803317896</v>
      </c>
      <c r="CA215" s="264">
        <f t="shared" si="590"/>
        <v>53.71435906878547</v>
      </c>
      <c r="CB215" s="216">
        <f t="shared" si="591"/>
        <v>53.71435906878547</v>
      </c>
      <c r="CC215" s="216">
        <f t="shared" si="592"/>
        <v>31.971355400137302</v>
      </c>
      <c r="CD215" s="216">
        <f t="shared" si="672"/>
        <v>31.971355161932141</v>
      </c>
      <c r="CE215" s="216">
        <f t="shared" si="593"/>
        <v>50.090525124010775</v>
      </c>
      <c r="CF215" s="571">
        <f t="shared" si="594"/>
        <v>44.050801803317896</v>
      </c>
      <c r="CG215" s="573">
        <f t="shared" si="595"/>
        <v>0.1</v>
      </c>
      <c r="CH215" s="219">
        <f t="shared" si="596"/>
        <v>0.1</v>
      </c>
      <c r="CI215" s="219">
        <f t="shared" si="597"/>
        <v>0.11</v>
      </c>
      <c r="CJ215" s="219">
        <f t="shared" si="598"/>
        <v>0.10107177581116206</v>
      </c>
      <c r="CK215" s="219">
        <f t="shared" si="599"/>
        <v>0.10107177581116206</v>
      </c>
      <c r="CL215" s="219">
        <f t="shared" si="600"/>
        <v>0.11</v>
      </c>
      <c r="CM215" s="219">
        <f t="shared" si="601"/>
        <v>9.3080243204999788E-2</v>
      </c>
      <c r="CN215" s="569">
        <f t="shared" si="602"/>
        <v>9.3080243204999788E-2</v>
      </c>
      <c r="CO215" s="264">
        <f t="shared" si="514"/>
        <v>27.195703306873991</v>
      </c>
      <c r="CP215" s="216">
        <f t="shared" si="673"/>
        <v>27.195703306873991</v>
      </c>
      <c r="CQ215" s="216">
        <f t="shared" ca="1" si="532"/>
        <v>27.195703306873991</v>
      </c>
      <c r="CR215" s="216">
        <f t="shared" ca="1" si="533"/>
        <v>27.195703306873991</v>
      </c>
      <c r="CS215" s="1626">
        <f t="shared" ca="1" si="534"/>
        <v>27.195703306873991</v>
      </c>
      <c r="CT215" s="216">
        <f t="shared" si="674"/>
        <v>27.195703306873991</v>
      </c>
      <c r="CU215" s="575">
        <f t="shared" si="603"/>
        <v>0.152</v>
      </c>
      <c r="CV215" s="154">
        <f t="shared" si="604"/>
        <v>0.5</v>
      </c>
      <c r="CW215" s="216">
        <f>IF(OR($BQ215,$BS215),SpreadOptPowerMargin,0)*((1+Assumptions!$C$26)^($B215-YEAR(Assumptions!$C$17)))</f>
        <v>2.3284919348168329</v>
      </c>
      <c r="CX215" s="216">
        <f>IF(OR($BQ215,$BS215),SpreadOptPowerMargin,0)*((1+Assumptions!$C$26)^($B215-YEAR(Assumptions!$C$17)))</f>
        <v>2.3284919348168329</v>
      </c>
      <c r="CY215" s="216">
        <f>IF(OR($BQ215,$BS215),SpreadOptPowerMargin,0)*((1+Assumptions!$C$26)^($B215-YEAR(Assumptions!$C$17)))</f>
        <v>2.3284919348168329</v>
      </c>
      <c r="CZ215" s="216">
        <f>IF(OR($BQ215,$BS215),SpreadOptPowerMargin,0)*((1+Assumptions!$C$26)^($B215-YEAR(Assumptions!$C$17)))</f>
        <v>2.3284919348168329</v>
      </c>
      <c r="DA215" s="440">
        <f t="shared" si="605"/>
        <v>2.3284919348168329</v>
      </c>
      <c r="DB215" s="479">
        <f t="shared" si="606"/>
        <v>0.1</v>
      </c>
      <c r="DC215" s="479">
        <f t="shared" si="607"/>
        <v>0.1</v>
      </c>
      <c r="DD215" s="479">
        <f t="shared" si="608"/>
        <v>0.11</v>
      </c>
      <c r="DE215" s="479">
        <f t="shared" si="609"/>
        <v>0.11</v>
      </c>
      <c r="DF215" s="479">
        <f t="shared" si="610"/>
        <v>9.3080243204999788E-2</v>
      </c>
      <c r="DG215" s="574">
        <f t="shared" si="611"/>
        <v>9.3080243204999788E-2</v>
      </c>
      <c r="DH215" s="216">
        <f t="shared" si="612"/>
        <v>25.405301168392771</v>
      </c>
      <c r="DI215" s="216">
        <f t="shared" si="613"/>
        <v>25.405301168392771</v>
      </c>
      <c r="DJ215" s="216">
        <f t="shared" ca="1" si="535"/>
        <v>7.5989159476047359</v>
      </c>
      <c r="DK215" s="216">
        <f t="shared" ca="1" si="536"/>
        <v>7.5989157893246162</v>
      </c>
      <c r="DL215" s="216">
        <f t="shared" ca="1" si="537"/>
        <v>16.726396600459182</v>
      </c>
      <c r="DM215" s="216"/>
      <c r="DN215" s="216"/>
      <c r="DO215" s="216"/>
      <c r="DP215" s="216"/>
      <c r="DQ215" s="216"/>
      <c r="DR215" s="216"/>
      <c r="DS215" s="216"/>
      <c r="DT215" s="216"/>
      <c r="DU215" s="216"/>
      <c r="DV215" s="216"/>
      <c r="DW215" s="1371">
        <f t="shared" si="614"/>
        <v>7.5989159476047359</v>
      </c>
      <c r="DX215" s="216">
        <f t="shared" si="615"/>
        <v>7.5989157893246162</v>
      </c>
      <c r="DY215" s="440">
        <f t="shared" si="616"/>
        <v>17.491352128615823</v>
      </c>
      <c r="DZ215" s="180">
        <f t="shared" si="617"/>
        <v>1242014.3635203857</v>
      </c>
      <c r="EA215" s="180">
        <f t="shared" si="618"/>
        <v>236574.16448007349</v>
      </c>
      <c r="EB215" s="180">
        <f t="shared" ca="1" si="538"/>
        <v>88451.381630119125</v>
      </c>
      <c r="EC215" s="180">
        <f t="shared" ca="1" si="539"/>
        <v>265354.1393632156</v>
      </c>
      <c r="ED215" s="180">
        <f t="shared" ca="1" si="540"/>
        <v>1752257.3078641039</v>
      </c>
      <c r="EE215" s="581">
        <f t="shared" si="619"/>
        <v>1182608.729179003</v>
      </c>
      <c r="EF215" s="554">
        <f t="shared" si="620"/>
        <v>225258.80555790535</v>
      </c>
      <c r="EG215" s="554">
        <f t="shared" ca="1" si="541"/>
        <v>28484.944244317019</v>
      </c>
      <c r="EH215" s="554">
        <f t="shared" ca="1" si="542"/>
        <v>85454.824414826857</v>
      </c>
      <c r="EI215" s="561">
        <f t="shared" ca="1" si="621"/>
        <v>1521807.3033960522</v>
      </c>
      <c r="EJ215" s="581">
        <f t="shared" si="675"/>
        <v>59405.634341382654</v>
      </c>
      <c r="EK215" s="554">
        <f t="shared" si="676"/>
        <v>11315.358922168147</v>
      </c>
      <c r="EL215" s="554">
        <f t="shared" ca="1" si="543"/>
        <v>59966.437385802106</v>
      </c>
      <c r="EM215" s="554">
        <f t="shared" ca="1" si="544"/>
        <v>179899.31494838872</v>
      </c>
      <c r="EN215" s="561">
        <f t="shared" ca="1" si="545"/>
        <v>230450.00446805172</v>
      </c>
      <c r="EO215" s="180">
        <f t="shared" si="622"/>
        <v>4968057.4540815428</v>
      </c>
      <c r="EP215" s="180">
        <f t="shared" si="623"/>
        <v>946296.65792029398</v>
      </c>
      <c r="EQ215" s="180">
        <f t="shared" si="624"/>
        <v>353805.5265204765</v>
      </c>
      <c r="ER215" s="180">
        <f t="shared" si="625"/>
        <v>1061416.5574528624</v>
      </c>
      <c r="ES215" s="180">
        <f t="shared" si="626"/>
        <v>7329576.1959751742</v>
      </c>
      <c r="ET215" s="1482">
        <f t="shared" ca="1" si="546"/>
        <v>4730434.9167160122</v>
      </c>
      <c r="EU215" s="180">
        <f t="shared" ca="1" si="547"/>
        <v>901035.22223162139</v>
      </c>
      <c r="EV215" s="180">
        <f t="shared" ca="1" si="548"/>
        <v>113939.77697726808</v>
      </c>
      <c r="EW215" s="180">
        <f t="shared" ca="1" si="549"/>
        <v>341819.29765930743</v>
      </c>
      <c r="EX215" s="555">
        <f t="shared" ca="1" si="522"/>
        <v>6087229.2135842098</v>
      </c>
      <c r="EY215" s="180">
        <f t="shared" ca="1" si="550"/>
        <v>237622.53736553062</v>
      </c>
      <c r="EZ215" s="180">
        <f t="shared" ca="1" si="551"/>
        <v>45261.435688672587</v>
      </c>
      <c r="FA215" s="180">
        <f t="shared" ca="1" si="552"/>
        <v>239865.74954320843</v>
      </c>
      <c r="FB215" s="180">
        <f t="shared" ca="1" si="553"/>
        <v>719597.2597935549</v>
      </c>
      <c r="FC215" s="180">
        <f t="shared" ca="1" si="554"/>
        <v>1242346.9823909644</v>
      </c>
      <c r="FD215" s="262">
        <f>IF(AX215,IF(VLOOKUP(C215,MAIN!$L$17:$M$28,2)="Yes",VLOOKUP(CALC!B215,MAIN!$H$17:$I$20,2),0),0)</f>
        <v>0</v>
      </c>
      <c r="FE215" s="623">
        <f t="shared" si="627"/>
        <v>0</v>
      </c>
      <c r="FF215" s="535">
        <f t="shared" si="628"/>
        <v>0</v>
      </c>
      <c r="FG215" s="535">
        <f t="shared" si="629"/>
        <v>0</v>
      </c>
      <c r="FH215" s="624">
        <f t="shared" si="630"/>
        <v>0</v>
      </c>
      <c r="FI215" s="632">
        <f>IF(AX215,VLOOKUP(CALC!B215,MAIN!$H$17:$K$20,4),0)</f>
        <v>0</v>
      </c>
      <c r="FJ215" s="535">
        <f t="shared" si="631"/>
        <v>0</v>
      </c>
      <c r="FK215" s="648">
        <f t="shared" si="677"/>
        <v>0</v>
      </c>
      <c r="FL215" s="530">
        <f t="shared" ca="1" si="555"/>
        <v>0</v>
      </c>
      <c r="FM215" s="530">
        <f t="shared" ca="1" si="556"/>
        <v>0</v>
      </c>
      <c r="FN215" s="530">
        <f t="shared" ca="1" si="557"/>
        <v>0</v>
      </c>
      <c r="FO215" s="622">
        <f t="shared" ca="1" si="558"/>
        <v>0</v>
      </c>
      <c r="FP215" s="530">
        <f t="shared" ca="1" si="559"/>
        <v>0</v>
      </c>
      <c r="FQ215" s="530">
        <f t="shared" ca="1" si="560"/>
        <v>0</v>
      </c>
      <c r="FR215" s="530">
        <f t="shared" ca="1" si="561"/>
        <v>0</v>
      </c>
      <c r="FS215" s="625">
        <f t="shared" ca="1" si="562"/>
        <v>0</v>
      </c>
      <c r="FT215" s="640">
        <f ca="1">IF(AND(Assumptions!$H$71="Yes",A215&gt;=Assumptions!$H$72,A215&lt;=Assumptions!$H$73),0,IF(AND($A215&gt;=Assumptions!$C$17,$A215&lt;=Assumptions!$C$18),MAX(AZ215*(1+VLOOKUP($C215,WeatherCapacityAdjustment,2))-FL215,0),0))</f>
        <v>48888</v>
      </c>
      <c r="FU215" s="530">
        <f ca="1">IF(AND(Assumptions!$H$71="Yes",A215&gt;=Assumptions!$H$72,A215&lt;=Assumptions!$H$73),0,IF(AND($A215&gt;=Assumptions!$C$17,$A215&lt;=Assumptions!$C$18),MAX(BA215*(1+VLOOKUP($C215,WeatherCapacityAdjustment,2))-FM215,0),0))</f>
        <v>9312</v>
      </c>
      <c r="FV215" s="530">
        <f ca="1">IF(AND(Assumptions!$H$71="Yes",A215&gt;=Assumptions!$H$72,A215&lt;=Assumptions!$H$73),0,IF(AND($A215&gt;=Assumptions!$C$17,$A215&lt;=Assumptions!$C$18),MAX(BB215*(1+VLOOKUP($C215,WeatherCapacityAdjustment,2))-FN215,0),0))</f>
        <v>11640</v>
      </c>
      <c r="FW215" s="622">
        <f ca="1">IF(AND(Assumptions!$H$71="Yes",A215&gt;=Assumptions!$H$72,A215&lt;=Assumptions!$H$73),0,IF(AND($A215&gt;=Assumptions!$C$17,$A215&lt;=Assumptions!$C$18),MAX(BC215*(1+VLOOKUP($C215,WeatherCapacityAdjustment,3))-FO215,0),0))</f>
        <v>34920</v>
      </c>
      <c r="FX215" s="621">
        <f ca="1">IF(AND(Assumptions!$H$71="Yes",A215&gt;=Assumptions!$H$72,A215&lt;=Assumptions!$H$73),0,IF(ET215&gt;0,MAX(BH215*(1+VLOOKUP($C215,WeatherCapacityAdjustment,2))-FP215,0),0))</f>
        <v>195552</v>
      </c>
      <c r="FY215" s="530">
        <f ca="1">IF(AND(Assumptions!$H$71="Yes",A215&gt;=Assumptions!$H$72,A215&lt;=Assumptions!$H$73),0,IF(EU215&gt;0,MAX(BI215*(1+VLOOKUP($C215,WeatherCapacityAdjustment,3))-FQ215,0),0))</f>
        <v>37248</v>
      </c>
      <c r="FZ215" s="530">
        <f ca="1">IF(AND(Assumptions!$H$71="Yes",A215&gt;=Assumptions!$H$72,A215&lt;=Assumptions!$H$73),0,IF(EV215&gt;0,MAX(BJ215*(1+VLOOKUP($C215,WeatherCapacityAdjustment,2))-FR215,0),0))</f>
        <v>46560</v>
      </c>
      <c r="GA215" s="622">
        <f ca="1">IF(AND(Assumptions!$H$71="Yes",A215&gt;=Assumptions!$H$72,A215&lt;=Assumptions!$H$73),0,IF(EW215&gt;0,MAX(BK215*(1+VLOOKUP($C215,WeatherCapacityAdjustment,2))-FS215,0),0))</f>
        <v>139680</v>
      </c>
      <c r="GB215" s="530">
        <f t="shared" ca="1" si="632"/>
        <v>523800</v>
      </c>
      <c r="GC215" s="545">
        <f t="shared" ca="1" si="633"/>
        <v>44.050801803317896</v>
      </c>
      <c r="GD215" s="530">
        <f t="shared" ca="1" si="563"/>
        <v>23073809.984577917</v>
      </c>
      <c r="GE215" s="1485">
        <f t="shared" ca="1" si="564"/>
        <v>742838.49360000005</v>
      </c>
      <c r="GF215" s="1776">
        <f t="shared" ca="1" si="565"/>
        <v>2971353.9744000002</v>
      </c>
      <c r="GG215" s="545">
        <f t="shared" si="530"/>
        <v>3.8353180441968941</v>
      </c>
      <c r="GH215" s="622">
        <f t="shared" ca="1" si="531"/>
        <v>14245109.392140597</v>
      </c>
      <c r="GI215" s="621">
        <f t="shared" ca="1" si="678"/>
        <v>523800</v>
      </c>
      <c r="GJ215" s="638">
        <f t="shared" si="634"/>
        <v>2.3284919348168329</v>
      </c>
      <c r="GK215" s="625">
        <f t="shared" ca="1" si="684"/>
        <v>1219664.075457057</v>
      </c>
      <c r="GL215" s="640">
        <f t="shared" ca="1" si="566"/>
        <v>0</v>
      </c>
      <c r="GM215" s="530">
        <f t="shared" ca="1" si="567"/>
        <v>0</v>
      </c>
      <c r="GN215" s="530">
        <f t="shared" ca="1" si="568"/>
        <v>0</v>
      </c>
      <c r="GO215" s="622">
        <f t="shared" ca="1" si="569"/>
        <v>0</v>
      </c>
      <c r="GP215" s="530">
        <f t="shared" ca="1" si="635"/>
        <v>0</v>
      </c>
      <c r="GQ215" s="545">
        <f t="shared" ca="1" si="636"/>
        <v>0</v>
      </c>
      <c r="GR215" s="625">
        <f t="shared" ca="1" si="570"/>
        <v>0</v>
      </c>
      <c r="GS215" s="640">
        <f>IF($A215&gt;=BegDate,Assumptions!$C$56*24*($A216-$A215)*(1-VLOOKUP($B215,MAIN!$AA$7:$AM$28,$C215+1))*(1-VLOOKUP($B215,MAIN!$AA$33:$AM$54,$C215+1)),0)*80/168</f>
        <v>249428.57142857142</v>
      </c>
      <c r="GT215" s="1715">
        <f t="shared" si="679"/>
        <v>53.71435906878547</v>
      </c>
      <c r="GU215" s="1715">
        <f>IF($A215&gt;=BegDate,VLOOKUP($A215,GasTable,13)+Assumptions!$C$58,0)</f>
        <v>3.8353180441968941</v>
      </c>
      <c r="GV215" s="1715">
        <f>GU215*Assumptions!$C$57/1000</f>
        <v>27.806055820427481</v>
      </c>
      <c r="GW215" s="625">
        <f>IF(Assumptions!$C$60="Hourly",MAX(0,GS215*(GT215-GV215)),GS215*(GT215-GV215))</f>
        <v>6462271.0673761498</v>
      </c>
      <c r="GX215" s="640">
        <f>IF($A215&gt;=BegDate,Assumptions!$C$56*24*($A216-$A215)*(1-VLOOKUP($B215,MAIN!$AA$7:$AM$28,$C215+1))*(1-VLOOKUP($B215,MAIN!$AA$33:$AM$54,$C215+1)),0)*16/168</f>
        <v>49885.714285714283</v>
      </c>
      <c r="GY215" s="1715">
        <f t="shared" si="680"/>
        <v>53.71435906878547</v>
      </c>
      <c r="GZ215" s="1715">
        <f>IF($A215&gt;=BegDate,VLOOKUP($A215,GasTable,13)+Assumptions!$C$58,0)</f>
        <v>3.8353180441968941</v>
      </c>
      <c r="HA215" s="1715">
        <f>GZ215*Assumptions!$C$57/1000</f>
        <v>27.806055820427481</v>
      </c>
      <c r="HB215" s="625">
        <f>IF(Assumptions!$C$60="Hourly",MAX(0,GX215*(GY215-HA215)),GX215*(GY215-HA215))</f>
        <v>1292454.2134752299</v>
      </c>
      <c r="HC215" s="640">
        <f>IF($A215&gt;=BegDate,Assumptions!$C$56*24*($A216-$A215)*(1-VLOOKUP($B215,MAIN!$AA$7:$AM$28,$C215+1))*(1-VLOOKUP($B215,MAIN!$AA$33:$AM$54,$C215+1)),0)*16/168</f>
        <v>49885.714285714283</v>
      </c>
      <c r="HD215" s="1715">
        <f t="shared" si="681"/>
        <v>31.971355400137302</v>
      </c>
      <c r="HE215" s="1715">
        <f>IF($A215&gt;=BegDate,VLOOKUP($A215,GasTable,13)+Assumptions!$C$58,0)</f>
        <v>3.8353180441968941</v>
      </c>
      <c r="HF215" s="1715">
        <f>HE215*Assumptions!$C$57/1000</f>
        <v>27.806055820427481</v>
      </c>
      <c r="HG215" s="625">
        <f>IF(Assumptions!$C$60="Hourly",MAX(0,HC215*(HD215-HF215)),HC215*(HD215-HF215))</f>
        <v>207788.9447478099</v>
      </c>
      <c r="HH215" s="640">
        <f>IF($A215&gt;=BegDate,Assumptions!$C$56*24*($A216-$A215)*(1-VLOOKUP($B215,MAIN!$AA$7:$AM$28,$C215+1))*(1-VLOOKUP($B215,MAIN!$AA$33:$AM$54,$C215+1)),0)*56/168</f>
        <v>174600</v>
      </c>
      <c r="HI215" s="1715">
        <f t="shared" si="682"/>
        <v>31.971355400137302</v>
      </c>
      <c r="HJ215" s="1715">
        <f>IF($A215&gt;=BegDate,VLOOKUP($A215,GasTable,13)+Assumptions!$C$58,0)</f>
        <v>3.8353180441968941</v>
      </c>
      <c r="HK215" s="1715">
        <f>HJ215*Assumptions!$C$57/1000</f>
        <v>27.806055820427481</v>
      </c>
      <c r="HL215" s="625">
        <f>IF(Assumptions!$C$60="Hourly",MAX(0,HH215*(HI215-HK215)),HH215*(HI215-HK215))</f>
        <v>727261.30661733472</v>
      </c>
      <c r="HM215" s="640">
        <f>IF(AND(Assumptions!$H$71="Yes",A215&gt;=Assumptions!$H$72,A215&lt;=Assumptions!$H$73),Assumptions!$H$74*Assumptions!$C$9*1000,0)</f>
        <v>0</v>
      </c>
      <c r="HN215" s="530"/>
      <c r="HO215" s="545"/>
      <c r="HP215" s="545"/>
      <c r="HQ215" s="545"/>
      <c r="HR215" s="545"/>
      <c r="HS215" s="545"/>
      <c r="HT215" s="545"/>
      <c r="HU215" s="545"/>
      <c r="HV215" s="545"/>
      <c r="HW215" s="545"/>
      <c r="HX215" s="545"/>
      <c r="HY215" s="545"/>
      <c r="HZ215" s="545"/>
      <c r="IA215" s="545"/>
      <c r="IB215" s="545"/>
      <c r="IC215" s="545"/>
      <c r="ID215" s="545"/>
      <c r="IE215" s="545"/>
      <c r="IF215" s="545"/>
      <c r="IG215" s="545"/>
      <c r="IH215" s="545"/>
      <c r="II215" s="1464"/>
      <c r="IJ215" s="1463"/>
      <c r="IK215" s="1463"/>
    </row>
    <row r="216" spans="1:245">
      <c r="A216" s="177">
        <f t="shared" si="637"/>
        <v>42705</v>
      </c>
      <c r="B216" s="349">
        <f t="shared" si="638"/>
        <v>2016</v>
      </c>
      <c r="C216" s="15">
        <f t="shared" si="578"/>
        <v>12</v>
      </c>
      <c r="D216" s="612">
        <f t="shared" si="639"/>
        <v>42730</v>
      </c>
      <c r="E216" s="609">
        <f t="shared" si="579"/>
        <v>42705</v>
      </c>
      <c r="F216" s="614">
        <f t="shared" si="580"/>
        <v>42735</v>
      </c>
      <c r="G216" s="1349">
        <v>0</v>
      </c>
      <c r="H216" s="152">
        <f t="shared" si="683"/>
        <v>1</v>
      </c>
      <c r="I216" s="154">
        <f>IF(Assumptions!$L$25=4,VLOOKUP($A216,'Henwood Reference'!$E$9:$R$320,10),(VLOOKUP($A216,PriceTable,2,0)+IF(BasisNumber&lt;&gt;1,VLOOKUP($A216,BasisTable,2,0),0)+I$1)/(1-I$2))</f>
        <v>56.897162726038054</v>
      </c>
      <c r="J216" s="154">
        <f>IF(Assumptions!$L$25=4,VLOOKUP($A216,'Henwood Reference'!$E$9:$R$320,10),(VLOOKUP($A216,PriceTable,3,0)+IF(BasisNumber&lt;&gt;1,VLOOKUP($A216,BasisTable,2,0),0)+J$1)/(1-J$2))</f>
        <v>56.897162726038054</v>
      </c>
      <c r="K216" s="154">
        <f>IF(Assumptions!$L$25=4,VLOOKUP($A216,'Henwood Reference'!$E$9:$R$320,10),(VLOOKUP($A216,PriceTable,4,0)+IF(BasisNumber&lt;&gt;1,VLOOKUP($A216,BasisTable,2,0),0)+K$1)/(1-K$2))</f>
        <v>56.897162726038054</v>
      </c>
      <c r="L216" s="474">
        <f>IF(Assumptions!$L$25=4,VLOOKUP($A216,'Henwood Reference'!$E$9:$R$320,10),(VLOOKUP($A216,PriceTableWeekend,2,0)+IF(BasisNumber&lt;&gt;1,VLOOKUP($A216,BasisTable,2,0),0)+L$1)/(1-L$2))</f>
        <v>56.897162726038054</v>
      </c>
      <c r="M216" s="154">
        <f>IF(Assumptions!$L$25=4,VLOOKUP($A216,'Henwood Reference'!$E$9:$R$320,10),(VLOOKUP($A216,PriceTableWeekend,3,0)+IF(BasisNumber&lt;&gt;1,VLOOKUP($A216,BasisTable,2,0),0)+M$1)/(1-M$2))</f>
        <v>56.897162726038054</v>
      </c>
      <c r="N216" s="156">
        <f>IF(Assumptions!$L$25=4,VLOOKUP($A216,'Henwood Reference'!$E$9:$R$320,10),(VLOOKUP($A216,PriceTableWeekend,4,0)+IF(BasisNumber&lt;&gt;1,VLOOKUP($A216,BasisTable,2,0),0)+N$1)/(1-N$2))</f>
        <v>56.897162726038054</v>
      </c>
      <c r="O216" s="154">
        <f>IF(Assumptions!$L$25=4,VLOOKUP($A216,'Henwood Reference'!$E$9:$R$320,11),(VLOOKUP($A216,PriceTableWeekend,6,0)+IF(BasisNumber&lt;&gt;1,VLOOKUP($A216,BasisTable,3,0),0)+O$1)/(1-O$2))</f>
        <v>33.903688558622846</v>
      </c>
      <c r="P216" s="154">
        <f>IF(Assumptions!$L$25=4,VLOOKUP($A216,'Henwood Reference'!$E$9:$R$320,11),(VLOOKUP($A216,PriceTableWeekend,7,0)+IF(BasisNumber&lt;&gt;1,VLOOKUP($A216,BasisTable,3,0),0)+P$1)/(1-P$2))</f>
        <v>33.903688558622846</v>
      </c>
      <c r="Q216" s="156">
        <f>IF(Assumptions!$L$25=4,VLOOKUP($A216,'Henwood Reference'!$E$9:$R$320,11),(VLOOKUP($A216,PriceTableWeekend,8,0)+IF(BasisNumber&lt;&gt;1,VLOOKUP($A216,BasisTable,3,0),0)+Q$1)/(1-Q$2))</f>
        <v>33.903688558622846</v>
      </c>
      <c r="R216" s="154">
        <f>IF(Assumptions!$L$25=4,VLOOKUP($A216,'Henwood Reference'!$E$9:$R$320,11),(VLOOKUP($A216,PriceTable,6,0)+IF(BasisNumber&lt;&gt;1,VLOOKUP($A216,BasisTable,3,0),0)+R$1)/(1-R$2))</f>
        <v>33.903688558622846</v>
      </c>
      <c r="S216" s="154">
        <f>IF(Assumptions!$L$25=4,VLOOKUP($A216,'Henwood Reference'!$E$9:$R$320,11),(VLOOKUP($A216,PriceTable,7,0)+IF(BasisNumber&lt;&gt;1,VLOOKUP($A216,BasisTable,3,0),0)+S$1)/(1-S$2))</f>
        <v>33.903688558622846</v>
      </c>
      <c r="T216" s="155">
        <f>IF(Assumptions!$L$25=4,VLOOKUP($A216,'Henwood Reference'!$E$9:$R$320,11),(VLOOKUP($A216,PriceTable,8,0)+IF(BasisNumber&lt;&gt;1,VLOOKUP($A216,BasisTable,3,0),0)+T$1)/(1-T$2))</f>
        <v>33.903688558622846</v>
      </c>
      <c r="U216" s="173">
        <f t="shared" si="640"/>
        <v>0.09</v>
      </c>
      <c r="V216" s="173">
        <f t="shared" si="641"/>
        <v>0.1</v>
      </c>
      <c r="W216" s="174">
        <f t="shared" si="642"/>
        <v>0.11</v>
      </c>
      <c r="X216" s="173">
        <f t="shared" si="643"/>
        <v>0.09</v>
      </c>
      <c r="Y216" s="173">
        <f t="shared" si="644"/>
        <v>0.1</v>
      </c>
      <c r="Z216" s="174">
        <f t="shared" si="645"/>
        <v>0.11</v>
      </c>
      <c r="AA216" s="173">
        <f t="shared" si="646"/>
        <v>0.09</v>
      </c>
      <c r="AB216" s="173">
        <f t="shared" si="647"/>
        <v>0.11</v>
      </c>
      <c r="AC216" s="174">
        <f t="shared" si="648"/>
        <v>0.13</v>
      </c>
      <c r="AD216" s="173">
        <f t="shared" si="649"/>
        <v>0.09</v>
      </c>
      <c r="AE216" s="173">
        <f t="shared" si="650"/>
        <v>0.11</v>
      </c>
      <c r="AF216" s="174">
        <f t="shared" si="651"/>
        <v>0.13</v>
      </c>
      <c r="AG216" s="173">
        <f t="shared" si="652"/>
        <v>-0.25</v>
      </c>
      <c r="AH216" s="173">
        <f t="shared" si="653"/>
        <v>0.6</v>
      </c>
      <c r="AI216" s="174">
        <f t="shared" si="654"/>
        <v>0.25</v>
      </c>
      <c r="AJ216" s="173">
        <f t="shared" si="655"/>
        <v>-0.25</v>
      </c>
      <c r="AK216" s="173">
        <f t="shared" si="656"/>
        <v>0.6</v>
      </c>
      <c r="AL216" s="174">
        <f t="shared" si="657"/>
        <v>0.25</v>
      </c>
      <c r="AM216" s="173">
        <f t="shared" si="658"/>
        <v>-0.01</v>
      </c>
      <c r="AN216" s="173">
        <f t="shared" si="659"/>
        <v>0.16</v>
      </c>
      <c r="AO216" s="174">
        <f t="shared" si="660"/>
        <v>0.01</v>
      </c>
      <c r="AP216" s="173">
        <f t="shared" si="661"/>
        <v>-0.01</v>
      </c>
      <c r="AQ216" s="173">
        <f t="shared" si="662"/>
        <v>0.16</v>
      </c>
      <c r="AR216" s="175">
        <f t="shared" si="663"/>
        <v>0.01</v>
      </c>
      <c r="AS216" s="521">
        <f t="shared" si="664"/>
        <v>0.5</v>
      </c>
      <c r="AT216" s="349">
        <f t="shared" si="581"/>
        <v>21</v>
      </c>
      <c r="AU216" s="159">
        <f t="shared" si="582"/>
        <v>5</v>
      </c>
      <c r="AV216" s="159">
        <f t="shared" si="583"/>
        <v>4</v>
      </c>
      <c r="AW216" s="159">
        <f t="shared" si="665"/>
        <v>1</v>
      </c>
      <c r="AX216" s="15">
        <f t="shared" si="584"/>
        <v>31</v>
      </c>
      <c r="AY216" s="607">
        <f>IF(E216="",0,MIN((1-(1-VLOOKUP(B216,MAIN!$AA$7:$AM$28,C216+1))*(1-VLOOKUP(B216,MAIN!$AA$33:$AM$54,C216+1))),1))</f>
        <v>3.0000000000000027E-2</v>
      </c>
      <c r="AZ216" s="337">
        <v>48888</v>
      </c>
      <c r="BA216" s="509">
        <v>11640</v>
      </c>
      <c r="BB216" s="509">
        <v>11640</v>
      </c>
      <c r="BC216" s="511">
        <v>36084</v>
      </c>
      <c r="BD216" s="153">
        <v>0.97</v>
      </c>
      <c r="BE216" s="474">
        <v>0.97</v>
      </c>
      <c r="BF216" s="474">
        <v>0.97</v>
      </c>
      <c r="BG216" s="515">
        <v>0.97</v>
      </c>
      <c r="BH216" s="262">
        <v>195552</v>
      </c>
      <c r="BI216" s="509">
        <v>46560</v>
      </c>
      <c r="BJ216" s="509">
        <v>46560</v>
      </c>
      <c r="BK216" s="511">
        <v>144336</v>
      </c>
      <c r="BL216" s="153">
        <v>0.97</v>
      </c>
      <c r="BM216" s="474">
        <v>0.97</v>
      </c>
      <c r="BN216" s="474">
        <v>0.97</v>
      </c>
      <c r="BO216" s="474">
        <v>0.97</v>
      </c>
      <c r="BP216" s="261">
        <f t="shared" si="666"/>
        <v>72168</v>
      </c>
      <c r="BQ216" s="578">
        <f t="shared" si="667"/>
        <v>108252</v>
      </c>
      <c r="BR216" s="259">
        <f t="shared" si="668"/>
        <v>288672</v>
      </c>
      <c r="BS216" s="578">
        <f t="shared" si="669"/>
        <v>433008</v>
      </c>
      <c r="BT216" s="216">
        <f t="shared" si="670"/>
        <v>16.632443531827516</v>
      </c>
      <c r="BU216" s="218">
        <f t="shared" si="585"/>
        <v>56.897162726038054</v>
      </c>
      <c r="BV216" s="216">
        <f t="shared" si="586"/>
        <v>56.897162726038054</v>
      </c>
      <c r="BW216" s="216">
        <f t="shared" si="587"/>
        <v>33.903688558622846</v>
      </c>
      <c r="BX216" s="216">
        <f t="shared" si="671"/>
        <v>33.903688558622846</v>
      </c>
      <c r="BY216" s="216">
        <f t="shared" si="588"/>
        <v>53.188537860325923</v>
      </c>
      <c r="BZ216" s="216">
        <f t="shared" si="589"/>
        <v>46.760254759758233</v>
      </c>
      <c r="CA216" s="264">
        <f t="shared" si="590"/>
        <v>56.897162726038054</v>
      </c>
      <c r="CB216" s="216">
        <f t="shared" si="591"/>
        <v>56.897162726038054</v>
      </c>
      <c r="CC216" s="216">
        <f t="shared" si="592"/>
        <v>33.903688558622846</v>
      </c>
      <c r="CD216" s="216">
        <f t="shared" si="672"/>
        <v>33.903688558622846</v>
      </c>
      <c r="CE216" s="216">
        <f t="shared" si="593"/>
        <v>53.188537860325923</v>
      </c>
      <c r="CF216" s="571">
        <f t="shared" si="594"/>
        <v>46.760254759758233</v>
      </c>
      <c r="CG216" s="573">
        <f t="shared" si="595"/>
        <v>0.1</v>
      </c>
      <c r="CH216" s="219">
        <f t="shared" si="596"/>
        <v>0.1</v>
      </c>
      <c r="CI216" s="219">
        <f t="shared" si="597"/>
        <v>0.11</v>
      </c>
      <c r="CJ216" s="219">
        <f t="shared" si="598"/>
        <v>0.10103589322984802</v>
      </c>
      <c r="CK216" s="219">
        <f t="shared" si="599"/>
        <v>0.10103589322984802</v>
      </c>
      <c r="CL216" s="219">
        <f t="shared" si="600"/>
        <v>0.11</v>
      </c>
      <c r="CM216" s="219">
        <f t="shared" si="601"/>
        <v>9.3059753419511476E-2</v>
      </c>
      <c r="CN216" s="569">
        <f t="shared" si="602"/>
        <v>9.3059753419511476E-2</v>
      </c>
      <c r="CO216" s="264">
        <f t="shared" si="514"/>
        <v>28.318133856306577</v>
      </c>
      <c r="CP216" s="216">
        <f t="shared" si="673"/>
        <v>28.318133856306577</v>
      </c>
      <c r="CQ216" s="216">
        <f t="shared" ca="1" si="532"/>
        <v>28.318133856306577</v>
      </c>
      <c r="CR216" s="216">
        <f t="shared" ca="1" si="533"/>
        <v>28.318133856306577</v>
      </c>
      <c r="CS216" s="1626">
        <f t="shared" ca="1" si="534"/>
        <v>28.318133856306577</v>
      </c>
      <c r="CT216" s="216">
        <f t="shared" si="674"/>
        <v>28.318133856306577</v>
      </c>
      <c r="CU216" s="575">
        <f t="shared" si="603"/>
        <v>0.152</v>
      </c>
      <c r="CV216" s="154">
        <f t="shared" si="604"/>
        <v>0.5</v>
      </c>
      <c r="CW216" s="216">
        <f>IF(OR($BQ216,$BS216),SpreadOptPowerMargin,0)*((1+Assumptions!$C$26)^($B216-YEAR(Assumptions!$C$17)))</f>
        <v>2.3284919348168329</v>
      </c>
      <c r="CX216" s="216">
        <f>IF(OR($BQ216,$BS216),SpreadOptPowerMargin,0)*((1+Assumptions!$C$26)^($B216-YEAR(Assumptions!$C$17)))</f>
        <v>2.3284919348168329</v>
      </c>
      <c r="CY216" s="216">
        <f>IF(OR($BQ216,$BS216),SpreadOptPowerMargin,0)*((1+Assumptions!$C$26)^($B216-YEAR(Assumptions!$C$17)))</f>
        <v>2.3284919348168329</v>
      </c>
      <c r="CZ216" s="216">
        <f>IF(OR($BQ216,$BS216),SpreadOptPowerMargin,0)*((1+Assumptions!$C$26)^($B216-YEAR(Assumptions!$C$17)))</f>
        <v>2.3284919348168329</v>
      </c>
      <c r="DA216" s="440">
        <f t="shared" si="605"/>
        <v>2.3284919348168325</v>
      </c>
      <c r="DB216" s="479">
        <f t="shared" si="606"/>
        <v>0.1</v>
      </c>
      <c r="DC216" s="479">
        <f t="shared" si="607"/>
        <v>0.1</v>
      </c>
      <c r="DD216" s="479">
        <f t="shared" si="608"/>
        <v>0.11</v>
      </c>
      <c r="DE216" s="479">
        <f t="shared" si="609"/>
        <v>0.11</v>
      </c>
      <c r="DF216" s="479">
        <f t="shared" si="610"/>
        <v>9.3059753419511476E-2</v>
      </c>
      <c r="DG216" s="574">
        <f t="shared" si="611"/>
        <v>9.3059753419511476E-2</v>
      </c>
      <c r="DH216" s="216">
        <f t="shared" si="612"/>
        <v>27.446360951294007</v>
      </c>
      <c r="DI216" s="216">
        <f t="shared" si="613"/>
        <v>27.446360951294007</v>
      </c>
      <c r="DJ216" s="216">
        <f t="shared" ca="1" si="535"/>
        <v>8.3995045915779016</v>
      </c>
      <c r="DK216" s="216">
        <f t="shared" ca="1" si="536"/>
        <v>8.3995045915779016</v>
      </c>
      <c r="DL216" s="216">
        <f t="shared" ca="1" si="537"/>
        <v>18.276617415813099</v>
      </c>
      <c r="DM216" s="216"/>
      <c r="DN216" s="216"/>
      <c r="DO216" s="216"/>
      <c r="DP216" s="216"/>
      <c r="DQ216" s="216"/>
      <c r="DR216" s="216"/>
      <c r="DS216" s="216"/>
      <c r="DT216" s="216"/>
      <c r="DU216" s="216"/>
      <c r="DV216" s="216"/>
      <c r="DW216" s="1371">
        <f t="shared" si="614"/>
        <v>8.3995045915779016</v>
      </c>
      <c r="DX216" s="216">
        <f t="shared" si="615"/>
        <v>8.3995045915779016</v>
      </c>
      <c r="DY216" s="440">
        <f t="shared" si="616"/>
        <v>19.04935976045142</v>
      </c>
      <c r="DZ216" s="180">
        <f t="shared" si="617"/>
        <v>1341797.6941868614</v>
      </c>
      <c r="EA216" s="180">
        <f t="shared" si="618"/>
        <v>319475.64147306222</v>
      </c>
      <c r="EB216" s="180">
        <f t="shared" ca="1" si="538"/>
        <v>97770.233445966776</v>
      </c>
      <c r="EC216" s="180">
        <f t="shared" ca="1" si="539"/>
        <v>303087.72368249699</v>
      </c>
      <c r="ED216" s="180">
        <f t="shared" ca="1" si="540"/>
        <v>1978480.3884965996</v>
      </c>
      <c r="EE216" s="581">
        <f t="shared" si="619"/>
        <v>1283336.2496741072</v>
      </c>
      <c r="EF216" s="554">
        <f t="shared" si="620"/>
        <v>305556.24992240645</v>
      </c>
      <c r="EG216" s="554">
        <f t="shared" ca="1" si="541"/>
        <v>37912.210613693453</v>
      </c>
      <c r="EH216" s="554">
        <f t="shared" ca="1" si="542"/>
        <v>117527.85290244971</v>
      </c>
      <c r="EI216" s="561">
        <f t="shared" ca="1" si="621"/>
        <v>1744332.5631126571</v>
      </c>
      <c r="EJ216" s="581">
        <f t="shared" si="675"/>
        <v>58461.444512754213</v>
      </c>
      <c r="EK216" s="554">
        <f t="shared" si="676"/>
        <v>13919.391550655768</v>
      </c>
      <c r="EL216" s="554">
        <f t="shared" ca="1" si="543"/>
        <v>59858.022832273324</v>
      </c>
      <c r="EM216" s="554">
        <f t="shared" ca="1" si="544"/>
        <v>185559.87078004726</v>
      </c>
      <c r="EN216" s="561">
        <f t="shared" ca="1" si="545"/>
        <v>234147.82538394257</v>
      </c>
      <c r="EO216" s="180">
        <f t="shared" si="622"/>
        <v>5367190.7767474456</v>
      </c>
      <c r="EP216" s="180">
        <f t="shared" si="623"/>
        <v>1277902.5658922489</v>
      </c>
      <c r="EQ216" s="180">
        <f t="shared" si="624"/>
        <v>391080.93378386711</v>
      </c>
      <c r="ER216" s="180">
        <f t="shared" si="625"/>
        <v>1212350.894729988</v>
      </c>
      <c r="ES216" s="180">
        <f t="shared" si="626"/>
        <v>8248525.1711535482</v>
      </c>
      <c r="ET216" s="1482">
        <f t="shared" ca="1" si="546"/>
        <v>5133344.9986964287</v>
      </c>
      <c r="EU216" s="180">
        <f t="shared" ca="1" si="547"/>
        <v>1222224.9996896258</v>
      </c>
      <c r="EV216" s="180">
        <f t="shared" ca="1" si="548"/>
        <v>151648.84245477381</v>
      </c>
      <c r="EW216" s="180">
        <f t="shared" ca="1" si="549"/>
        <v>470111.41160979884</v>
      </c>
      <c r="EX216" s="555">
        <f t="shared" ca="1" si="522"/>
        <v>6977330.2524506263</v>
      </c>
      <c r="EY216" s="180">
        <f t="shared" ca="1" si="550"/>
        <v>233845.77805101685</v>
      </c>
      <c r="EZ216" s="180">
        <f t="shared" ca="1" si="551"/>
        <v>55677.566202623071</v>
      </c>
      <c r="FA216" s="180">
        <f t="shared" ca="1" si="552"/>
        <v>239432.09132909329</v>
      </c>
      <c r="FB216" s="180">
        <f t="shared" ca="1" si="553"/>
        <v>742239.48312018905</v>
      </c>
      <c r="FC216" s="180">
        <f t="shared" ca="1" si="554"/>
        <v>1271194.9187029218</v>
      </c>
      <c r="FD216" s="262">
        <f>IF(AX216,IF(VLOOKUP(C216,MAIN!$L$17:$M$28,2)="Yes",VLOOKUP(CALC!B216,MAIN!$H$17:$I$20,2),0),0)</f>
        <v>0</v>
      </c>
      <c r="FE216" s="623">
        <f t="shared" si="627"/>
        <v>0</v>
      </c>
      <c r="FF216" s="535">
        <f t="shared" si="628"/>
        <v>0</v>
      </c>
      <c r="FG216" s="535">
        <f t="shared" si="629"/>
        <v>0</v>
      </c>
      <c r="FH216" s="624">
        <f t="shared" si="630"/>
        <v>0</v>
      </c>
      <c r="FI216" s="632">
        <f>IF(AX216,VLOOKUP(CALC!B216,MAIN!$H$17:$K$20,4),0)</f>
        <v>0</v>
      </c>
      <c r="FJ216" s="535">
        <f t="shared" si="631"/>
        <v>0</v>
      </c>
      <c r="FK216" s="648">
        <f t="shared" si="677"/>
        <v>0</v>
      </c>
      <c r="FL216" s="530">
        <f t="shared" ca="1" si="555"/>
        <v>0</v>
      </c>
      <c r="FM216" s="530">
        <f t="shared" ca="1" si="556"/>
        <v>0</v>
      </c>
      <c r="FN216" s="530">
        <f t="shared" ca="1" si="557"/>
        <v>0</v>
      </c>
      <c r="FO216" s="622">
        <f t="shared" ca="1" si="558"/>
        <v>0</v>
      </c>
      <c r="FP216" s="530">
        <f t="shared" ca="1" si="559"/>
        <v>0</v>
      </c>
      <c r="FQ216" s="530">
        <f t="shared" ca="1" si="560"/>
        <v>0</v>
      </c>
      <c r="FR216" s="530">
        <f t="shared" ca="1" si="561"/>
        <v>0</v>
      </c>
      <c r="FS216" s="625">
        <f t="shared" ca="1" si="562"/>
        <v>0</v>
      </c>
      <c r="FT216" s="640">
        <f ca="1">IF(AND(Assumptions!$H$71="Yes",A216&gt;=Assumptions!$H$72,A216&lt;=Assumptions!$H$73),0,IF(AND($A216&gt;=Assumptions!$C$17,$A216&lt;=Assumptions!$C$18),MAX(AZ216*(1+VLOOKUP($C216,WeatherCapacityAdjustment,2))-FL216,0),0))</f>
        <v>48888</v>
      </c>
      <c r="FU216" s="530">
        <f ca="1">IF(AND(Assumptions!$H$71="Yes",A216&gt;=Assumptions!$H$72,A216&lt;=Assumptions!$H$73),0,IF(AND($A216&gt;=Assumptions!$C$17,$A216&lt;=Assumptions!$C$18),MAX(BA216*(1+VLOOKUP($C216,WeatherCapacityAdjustment,2))-FM216,0),0))</f>
        <v>11640</v>
      </c>
      <c r="FV216" s="530">
        <f ca="1">IF(AND(Assumptions!$H$71="Yes",A216&gt;=Assumptions!$H$72,A216&lt;=Assumptions!$H$73),0,IF(AND($A216&gt;=Assumptions!$C$17,$A216&lt;=Assumptions!$C$18),MAX(BB216*(1+VLOOKUP($C216,WeatherCapacityAdjustment,2))-FN216,0),0))</f>
        <v>11640</v>
      </c>
      <c r="FW216" s="622">
        <f ca="1">IF(AND(Assumptions!$H$71="Yes",A216&gt;=Assumptions!$H$72,A216&lt;=Assumptions!$H$73),0,IF(AND($A216&gt;=Assumptions!$C$17,$A216&lt;=Assumptions!$C$18),MAX(BC216*(1+VLOOKUP($C216,WeatherCapacityAdjustment,3))-FO216,0),0))</f>
        <v>36084</v>
      </c>
      <c r="FX216" s="621">
        <f ca="1">IF(AND(Assumptions!$H$71="Yes",A216&gt;=Assumptions!$H$72,A216&lt;=Assumptions!$H$73),0,IF(ET216&gt;0,MAX(BH216*(1+VLOOKUP($C216,WeatherCapacityAdjustment,2))-FP216,0),0))</f>
        <v>195552</v>
      </c>
      <c r="FY216" s="530">
        <f ca="1">IF(AND(Assumptions!$H$71="Yes",A216&gt;=Assumptions!$H$72,A216&lt;=Assumptions!$H$73),0,IF(EU216&gt;0,MAX(BI216*(1+VLOOKUP($C216,WeatherCapacityAdjustment,3))-FQ216,0),0))</f>
        <v>46560</v>
      </c>
      <c r="FZ216" s="530">
        <f ca="1">IF(AND(Assumptions!$H$71="Yes",A216&gt;=Assumptions!$H$72,A216&lt;=Assumptions!$H$73),0,IF(EV216&gt;0,MAX(BJ216*(1+VLOOKUP($C216,WeatherCapacityAdjustment,2))-FR216,0),0))</f>
        <v>46560</v>
      </c>
      <c r="GA216" s="622">
        <f ca="1">IF(AND(Assumptions!$H$71="Yes",A216&gt;=Assumptions!$H$72,A216&lt;=Assumptions!$H$73),0,IF(EW216&gt;0,MAX(BK216*(1+VLOOKUP($C216,WeatherCapacityAdjustment,2))-FS216,0),0))</f>
        <v>144336</v>
      </c>
      <c r="GB216" s="530">
        <f t="shared" ca="1" si="632"/>
        <v>541260</v>
      </c>
      <c r="GC216" s="545">
        <f t="shared" ca="1" si="633"/>
        <v>46.760254759758226</v>
      </c>
      <c r="GD216" s="530">
        <f t="shared" ca="1" si="563"/>
        <v>25309455.491266742</v>
      </c>
      <c r="GE216" s="1485">
        <f t="shared" ca="1" si="564"/>
        <v>767918.03760000004</v>
      </c>
      <c r="GF216" s="1776">
        <f t="shared" ca="1" si="565"/>
        <v>3071672.1504000002</v>
      </c>
      <c r="GG216" s="545">
        <f t="shared" si="530"/>
        <v>3.9919554901895422</v>
      </c>
      <c r="GH216" s="622">
        <f t="shared" ca="1" si="531"/>
        <v>15327473.131064497</v>
      </c>
      <c r="GI216" s="621">
        <f t="shared" ca="1" si="678"/>
        <v>541260</v>
      </c>
      <c r="GJ216" s="638">
        <f t="shared" si="634"/>
        <v>2.3284919348168325</v>
      </c>
      <c r="GK216" s="625">
        <f t="shared" ca="1" si="684"/>
        <v>1260319.5446389588</v>
      </c>
      <c r="GL216" s="640">
        <f t="shared" ca="1" si="566"/>
        <v>0</v>
      </c>
      <c r="GM216" s="530">
        <f t="shared" ca="1" si="567"/>
        <v>0</v>
      </c>
      <c r="GN216" s="530">
        <f t="shared" ca="1" si="568"/>
        <v>0</v>
      </c>
      <c r="GO216" s="622">
        <f t="shared" ca="1" si="569"/>
        <v>0</v>
      </c>
      <c r="GP216" s="530">
        <f t="shared" ca="1" si="635"/>
        <v>0</v>
      </c>
      <c r="GQ216" s="545">
        <f t="shared" ca="1" si="636"/>
        <v>0</v>
      </c>
      <c r="GR216" s="625">
        <f t="shared" ca="1" si="570"/>
        <v>0</v>
      </c>
      <c r="GS216" s="640">
        <f>IF($A216&gt;=BegDate,Assumptions!$C$56*24*($A217-$A216)*(1-VLOOKUP($B216,MAIN!$AA$7:$AM$28,$C216+1))*(1-VLOOKUP($B216,MAIN!$AA$33:$AM$54,$C216+1)),0)*80/168</f>
        <v>257742.85714285713</v>
      </c>
      <c r="GT216" s="1715">
        <f t="shared" si="679"/>
        <v>56.897162726038054</v>
      </c>
      <c r="GU216" s="1715">
        <f>IF($A216&gt;=BegDate,VLOOKUP($A216,GasTable,13)+Assumptions!$C$58,0)</f>
        <v>3.9919554901895422</v>
      </c>
      <c r="GV216" s="1715">
        <f>GU216*Assumptions!$C$57/1000</f>
        <v>28.941677303874179</v>
      </c>
      <c r="GW216" s="625">
        <f>IF(Assumptions!$C$60="Hourly",MAX(0,GS216*(GT216-GV216)),GS216*(GT216-GV216))</f>
        <v>7205326.6855240082</v>
      </c>
      <c r="GX216" s="640">
        <f>IF($A216&gt;=BegDate,Assumptions!$C$56*24*($A217-$A216)*(1-VLOOKUP($B216,MAIN!$AA$7:$AM$28,$C216+1))*(1-VLOOKUP($B216,MAIN!$AA$33:$AM$54,$C216+1)),0)*16/168</f>
        <v>51548.571428571428</v>
      </c>
      <c r="GY216" s="1715">
        <f t="shared" si="680"/>
        <v>56.897162726038054</v>
      </c>
      <c r="GZ216" s="1715">
        <f>IF($A216&gt;=BegDate,VLOOKUP($A216,GasTable,13)+Assumptions!$C$58,0)</f>
        <v>3.9919554901895422</v>
      </c>
      <c r="HA216" s="1715">
        <f>GZ216*Assumptions!$C$57/1000</f>
        <v>28.941677303874179</v>
      </c>
      <c r="HB216" s="625">
        <f>IF(Assumptions!$C$60="Hourly",MAX(0,GX216*(GY216-HA216)),GX216*(GY216-HA216))</f>
        <v>1441065.3371048018</v>
      </c>
      <c r="HC216" s="640">
        <f>IF($A216&gt;=BegDate,Assumptions!$C$56*24*($A217-$A216)*(1-VLOOKUP($B216,MAIN!$AA$7:$AM$28,$C216+1))*(1-VLOOKUP($B216,MAIN!$AA$33:$AM$54,$C216+1)),0)*16/168</f>
        <v>51548.571428571428</v>
      </c>
      <c r="HD216" s="1715">
        <f t="shared" si="681"/>
        <v>33.903688558622846</v>
      </c>
      <c r="HE216" s="1715">
        <f>IF($A216&gt;=BegDate,VLOOKUP($A216,GasTable,13)+Assumptions!$C$58,0)</f>
        <v>3.9919554901895422</v>
      </c>
      <c r="HF216" s="1715">
        <f>HE216*Assumptions!$C$57/1000</f>
        <v>28.941677303874179</v>
      </c>
      <c r="HG216" s="625">
        <f>IF(Assumptions!$C$60="Hourly",MAX(0,HC216*(HD216-HF216)),HC216*(HD216-HF216))</f>
        <v>255784.59159478699</v>
      </c>
      <c r="HH216" s="640">
        <f>IF($A216&gt;=BegDate,Assumptions!$C$56*24*($A217-$A216)*(1-VLOOKUP($B216,MAIN!$AA$7:$AM$28,$C216+1))*(1-VLOOKUP($B216,MAIN!$AA$33:$AM$54,$C216+1)),0)*56/168</f>
        <v>180420</v>
      </c>
      <c r="HI216" s="1715">
        <f t="shared" si="682"/>
        <v>33.903688558622846</v>
      </c>
      <c r="HJ216" s="1715">
        <f>IF($A216&gt;=BegDate,VLOOKUP($A216,GasTable,13)+Assumptions!$C$58,0)</f>
        <v>3.9919554901895422</v>
      </c>
      <c r="HK216" s="1715">
        <f>HJ216*Assumptions!$C$57/1000</f>
        <v>28.941677303874179</v>
      </c>
      <c r="HL216" s="625">
        <f>IF(Assumptions!$C$60="Hourly",MAX(0,HH216*(HI216-HK216)),HH216*(HI216-HK216))</f>
        <v>895246.07058175455</v>
      </c>
      <c r="HM216" s="640">
        <f>IF(AND(Assumptions!$H$71="Yes",A216&gt;=Assumptions!$H$72,A216&lt;=Assumptions!$H$73),Assumptions!$H$74*Assumptions!$C$9*1000,0)</f>
        <v>0</v>
      </c>
      <c r="HN216" s="530"/>
      <c r="HO216" s="545"/>
      <c r="HP216" s="545"/>
      <c r="HQ216" s="545"/>
      <c r="HR216" s="545"/>
      <c r="HS216" s="545"/>
      <c r="HT216" s="545"/>
      <c r="HU216" s="545"/>
      <c r="HV216" s="545"/>
      <c r="HW216" s="545"/>
      <c r="HX216" s="545"/>
      <c r="HY216" s="545"/>
      <c r="HZ216" s="545"/>
      <c r="IA216" s="545"/>
      <c r="IB216" s="545"/>
      <c r="IC216" s="545"/>
      <c r="ID216" s="545"/>
      <c r="IE216" s="545"/>
      <c r="IF216" s="545"/>
      <c r="IG216" s="545"/>
      <c r="IH216" s="545"/>
      <c r="II216" s="1464"/>
      <c r="IJ216" s="1463"/>
      <c r="IK216" s="1463"/>
    </row>
    <row r="217" spans="1:245">
      <c r="A217" s="177">
        <f t="shared" si="637"/>
        <v>42736</v>
      </c>
      <c r="B217" s="349">
        <f t="shared" si="638"/>
        <v>2017</v>
      </c>
      <c r="C217" s="15">
        <f t="shared" si="578"/>
        <v>1</v>
      </c>
      <c r="D217" s="612">
        <f t="shared" si="639"/>
        <v>42737</v>
      </c>
      <c r="E217" s="609">
        <f t="shared" si="579"/>
        <v>42736</v>
      </c>
      <c r="F217" s="614">
        <f t="shared" si="580"/>
        <v>42766</v>
      </c>
      <c r="G217" s="1349">
        <v>0</v>
      </c>
      <c r="H217" s="152">
        <f t="shared" si="683"/>
        <v>1</v>
      </c>
      <c r="I217" s="154">
        <f>IF(Assumptions!$L$25=4,VLOOKUP($A217,'Henwood Reference'!$E$9:$R$320,10),(VLOOKUP($A217,PriceTable,2,0)+IF(BasisNumber&lt;&gt;1,VLOOKUP($A217,BasisTable,2,0),0)+I$1)/(1-I$2))</f>
        <v>57.979096323791126</v>
      </c>
      <c r="J217" s="154">
        <f>IF(Assumptions!$L$25=4,VLOOKUP($A217,'Henwood Reference'!$E$9:$R$320,10),(VLOOKUP($A217,PriceTable,3,0)+IF(BasisNumber&lt;&gt;1,VLOOKUP($A217,BasisTable,2,0),0)+J$1)/(1-J$2))</f>
        <v>57.979096323791126</v>
      </c>
      <c r="K217" s="154">
        <f>IF(Assumptions!$L$25=4,VLOOKUP($A217,'Henwood Reference'!$E$9:$R$320,10),(VLOOKUP($A217,PriceTable,4,0)+IF(BasisNumber&lt;&gt;1,VLOOKUP($A217,BasisTable,2,0),0)+K$1)/(1-K$2))</f>
        <v>57.979096323791126</v>
      </c>
      <c r="L217" s="474">
        <f>IF(Assumptions!$L$25=4,VLOOKUP($A217,'Henwood Reference'!$E$9:$R$320,10),(VLOOKUP($A217,PriceTableWeekend,2,0)+IF(BasisNumber&lt;&gt;1,VLOOKUP($A217,BasisTable,2,0),0)+L$1)/(1-L$2))</f>
        <v>57.979096323791126</v>
      </c>
      <c r="M217" s="154">
        <f>IF(Assumptions!$L$25=4,VLOOKUP($A217,'Henwood Reference'!$E$9:$R$320,10),(VLOOKUP($A217,PriceTableWeekend,3,0)+IF(BasisNumber&lt;&gt;1,VLOOKUP($A217,BasisTable,2,0),0)+M$1)/(1-M$2))</f>
        <v>57.979096323791126</v>
      </c>
      <c r="N217" s="156">
        <f>IF(Assumptions!$L$25=4,VLOOKUP($A217,'Henwood Reference'!$E$9:$R$320,10),(VLOOKUP($A217,PriceTableWeekend,4,0)+IF(BasisNumber&lt;&gt;1,VLOOKUP($A217,BasisTable,2,0),0)+N$1)/(1-N$2))</f>
        <v>57.979096323791126</v>
      </c>
      <c r="O217" s="154">
        <f>IF(Assumptions!$L$25=4,VLOOKUP($A217,'Henwood Reference'!$E$9:$R$320,11),(VLOOKUP($A217,PriceTableWeekend,6,0)+IF(BasisNumber&lt;&gt;1,VLOOKUP($A217,BasisTable,3,0),0)+O$1)/(1-O$2))</f>
        <v>33.808549018117247</v>
      </c>
      <c r="P217" s="154">
        <f>IF(Assumptions!$L$25=4,VLOOKUP($A217,'Henwood Reference'!$E$9:$R$320,11),(VLOOKUP($A217,PriceTableWeekend,7,0)+IF(BasisNumber&lt;&gt;1,VLOOKUP($A217,BasisTable,3,0),0)+P$1)/(1-P$2))</f>
        <v>33.808549018117247</v>
      </c>
      <c r="Q217" s="156">
        <f>IF(Assumptions!$L$25=4,VLOOKUP($A217,'Henwood Reference'!$E$9:$R$320,11),(VLOOKUP($A217,PriceTableWeekend,8,0)+IF(BasisNumber&lt;&gt;1,VLOOKUP($A217,BasisTable,3,0),0)+Q$1)/(1-Q$2))</f>
        <v>33.808549018117247</v>
      </c>
      <c r="R217" s="154">
        <f>IF(Assumptions!$L$25=4,VLOOKUP($A217,'Henwood Reference'!$E$9:$R$320,11),(VLOOKUP($A217,PriceTable,6,0)+IF(BasisNumber&lt;&gt;1,VLOOKUP($A217,BasisTable,3,0),0)+R$1)/(1-R$2))</f>
        <v>33.808549018117247</v>
      </c>
      <c r="S217" s="154">
        <f>IF(Assumptions!$L$25=4,VLOOKUP($A217,'Henwood Reference'!$E$9:$R$320,11),(VLOOKUP($A217,PriceTable,7,0)+IF(BasisNumber&lt;&gt;1,VLOOKUP($A217,BasisTable,3,0),0)+S$1)/(1-S$2))</f>
        <v>33.808549018117247</v>
      </c>
      <c r="T217" s="155">
        <f>IF(Assumptions!$L$25=4,VLOOKUP($A217,'Henwood Reference'!$E$9:$R$320,11),(VLOOKUP($A217,PriceTable,8,0)+IF(BasisNumber&lt;&gt;1,VLOOKUP($A217,BasisTable,3,0),0)+T$1)/(1-T$2))</f>
        <v>33.808549018117247</v>
      </c>
      <c r="U217" s="173">
        <f t="shared" si="640"/>
        <v>0.09</v>
      </c>
      <c r="V217" s="173">
        <f t="shared" si="641"/>
        <v>0.1</v>
      </c>
      <c r="W217" s="174">
        <f t="shared" si="642"/>
        <v>0.11</v>
      </c>
      <c r="X217" s="173">
        <f t="shared" si="643"/>
        <v>0.09</v>
      </c>
      <c r="Y217" s="173">
        <f t="shared" si="644"/>
        <v>0.1</v>
      </c>
      <c r="Z217" s="174">
        <f t="shared" si="645"/>
        <v>0.11</v>
      </c>
      <c r="AA217" s="173">
        <f t="shared" si="646"/>
        <v>0.09</v>
      </c>
      <c r="AB217" s="173">
        <f t="shared" si="647"/>
        <v>0.11</v>
      </c>
      <c r="AC217" s="174">
        <f t="shared" si="648"/>
        <v>0.13</v>
      </c>
      <c r="AD217" s="173">
        <f t="shared" si="649"/>
        <v>0.09</v>
      </c>
      <c r="AE217" s="173">
        <f t="shared" si="650"/>
        <v>0.11</v>
      </c>
      <c r="AF217" s="174">
        <f t="shared" si="651"/>
        <v>0.13</v>
      </c>
      <c r="AG217" s="173">
        <f t="shared" si="652"/>
        <v>-0.25</v>
      </c>
      <c r="AH217" s="173">
        <f t="shared" si="653"/>
        <v>0.6</v>
      </c>
      <c r="AI217" s="174">
        <f t="shared" si="654"/>
        <v>0.25</v>
      </c>
      <c r="AJ217" s="173">
        <f t="shared" si="655"/>
        <v>-0.25</v>
      </c>
      <c r="AK217" s="173">
        <f t="shared" si="656"/>
        <v>0.6</v>
      </c>
      <c r="AL217" s="174">
        <f t="shared" si="657"/>
        <v>0.25</v>
      </c>
      <c r="AM217" s="173">
        <f t="shared" si="658"/>
        <v>-0.01</v>
      </c>
      <c r="AN217" s="173">
        <f t="shared" si="659"/>
        <v>0.16</v>
      </c>
      <c r="AO217" s="174">
        <f t="shared" si="660"/>
        <v>0.01</v>
      </c>
      <c r="AP217" s="173">
        <f t="shared" si="661"/>
        <v>-0.01</v>
      </c>
      <c r="AQ217" s="173">
        <f t="shared" si="662"/>
        <v>0.16</v>
      </c>
      <c r="AR217" s="175">
        <f t="shared" si="663"/>
        <v>0.01</v>
      </c>
      <c r="AS217" s="521">
        <f t="shared" si="664"/>
        <v>0.5</v>
      </c>
      <c r="AT217" s="349">
        <f t="shared" si="581"/>
        <v>21</v>
      </c>
      <c r="AU217" s="159">
        <f t="shared" si="582"/>
        <v>4</v>
      </c>
      <c r="AV217" s="159">
        <f t="shared" si="583"/>
        <v>5</v>
      </c>
      <c r="AW217" s="159">
        <f t="shared" si="665"/>
        <v>1</v>
      </c>
      <c r="AX217" s="15">
        <f t="shared" si="584"/>
        <v>31</v>
      </c>
      <c r="AY217" s="607">
        <f>IF(E217="",0,MIN((1-(1-VLOOKUP(B217,MAIN!$AA$7:$AM$28,C217+1))*(1-VLOOKUP(B217,MAIN!$AA$33:$AM$54,C217+1))),1))</f>
        <v>3.0000000000000027E-2</v>
      </c>
      <c r="AZ217" s="337">
        <v>48888</v>
      </c>
      <c r="BA217" s="509">
        <v>9312</v>
      </c>
      <c r="BB217" s="509">
        <v>13968</v>
      </c>
      <c r="BC217" s="511">
        <v>36084</v>
      </c>
      <c r="BD217" s="153">
        <v>0.96999999638646839</v>
      </c>
      <c r="BE217" s="474">
        <v>0.96999999638646839</v>
      </c>
      <c r="BF217" s="474">
        <v>0.96999999638646839</v>
      </c>
      <c r="BG217" s="515">
        <v>0.9699999927729368</v>
      </c>
      <c r="BH217" s="262">
        <v>195552</v>
      </c>
      <c r="BI217" s="509">
        <v>37248</v>
      </c>
      <c r="BJ217" s="509">
        <v>55872</v>
      </c>
      <c r="BK217" s="511">
        <v>144336</v>
      </c>
      <c r="BL217" s="153">
        <v>0.96999999638646839</v>
      </c>
      <c r="BM217" s="474">
        <v>0.96999999638646839</v>
      </c>
      <c r="BN217" s="474">
        <v>0.96999999638646839</v>
      </c>
      <c r="BO217" s="474">
        <v>0.9699999927729368</v>
      </c>
      <c r="BP217" s="261">
        <f t="shared" si="666"/>
        <v>72168</v>
      </c>
      <c r="BQ217" s="578">
        <f t="shared" si="667"/>
        <v>108252</v>
      </c>
      <c r="BR217" s="259">
        <f t="shared" si="668"/>
        <v>288672</v>
      </c>
      <c r="BS217" s="578">
        <f t="shared" si="669"/>
        <v>433008</v>
      </c>
      <c r="BT217" s="216">
        <f t="shared" si="670"/>
        <v>16.717316906228611</v>
      </c>
      <c r="BU217" s="218">
        <f t="shared" si="585"/>
        <v>57.979096107802164</v>
      </c>
      <c r="BV217" s="216">
        <f t="shared" si="586"/>
        <v>57.979096107802164</v>
      </c>
      <c r="BW217" s="216">
        <f t="shared" si="587"/>
        <v>33.808548892170592</v>
      </c>
      <c r="BX217" s="216">
        <f t="shared" si="671"/>
        <v>33.808548766223929</v>
      </c>
      <c r="BY217" s="216">
        <f t="shared" si="588"/>
        <v>53.300925678970252</v>
      </c>
      <c r="BZ217" s="216">
        <f t="shared" si="589"/>
        <v>46.803466708054813</v>
      </c>
      <c r="CA217" s="264">
        <f t="shared" si="590"/>
        <v>57.979096107802164</v>
      </c>
      <c r="CB217" s="216">
        <f t="shared" si="591"/>
        <v>57.979096107802164</v>
      </c>
      <c r="CC217" s="216">
        <f t="shared" si="592"/>
        <v>33.808548892170592</v>
      </c>
      <c r="CD217" s="216">
        <f t="shared" si="672"/>
        <v>33.808548766223929</v>
      </c>
      <c r="CE217" s="216">
        <f t="shared" si="593"/>
        <v>53.300925678970252</v>
      </c>
      <c r="CF217" s="571">
        <f t="shared" si="594"/>
        <v>46.803466708054813</v>
      </c>
      <c r="CG217" s="573">
        <f t="shared" si="595"/>
        <v>0.1</v>
      </c>
      <c r="CH217" s="219">
        <f t="shared" si="596"/>
        <v>0.1</v>
      </c>
      <c r="CI217" s="219">
        <f t="shared" si="597"/>
        <v>0.11</v>
      </c>
      <c r="CJ217" s="219">
        <f t="shared" si="598"/>
        <v>0.10123682653638645</v>
      </c>
      <c r="CK217" s="219">
        <f t="shared" si="599"/>
        <v>0.10123682653638645</v>
      </c>
      <c r="CL217" s="219">
        <f t="shared" si="600"/>
        <v>0.11</v>
      </c>
      <c r="CM217" s="219">
        <f t="shared" si="601"/>
        <v>9.3229043972754305E-2</v>
      </c>
      <c r="CN217" s="569">
        <f t="shared" si="602"/>
        <v>9.3229043972754305E-2</v>
      </c>
      <c r="CO217" s="264">
        <f t="shared" si="514"/>
        <v>27.680080085177789</v>
      </c>
      <c r="CP217" s="216">
        <f t="shared" si="673"/>
        <v>27.680080085177789</v>
      </c>
      <c r="CQ217" s="216">
        <f t="shared" ca="1" si="532"/>
        <v>27.680080085177789</v>
      </c>
      <c r="CR217" s="216">
        <f t="shared" ca="1" si="533"/>
        <v>27.680080085177789</v>
      </c>
      <c r="CS217" s="1626">
        <f t="shared" ca="1" si="534"/>
        <v>27.680080085177789</v>
      </c>
      <c r="CT217" s="216">
        <f t="shared" si="674"/>
        <v>27.680080085177789</v>
      </c>
      <c r="CU217" s="575">
        <f t="shared" si="603"/>
        <v>0.152</v>
      </c>
      <c r="CV217" s="154">
        <f t="shared" si="604"/>
        <v>0.5</v>
      </c>
      <c r="CW217" s="216">
        <f>IF(OR($BQ217,$BS217),SpreadOptPowerMargin,0)*((1+Assumptions!$C$26)^($B217-YEAR(Assumptions!$C$17)))</f>
        <v>2.37506177351317</v>
      </c>
      <c r="CX217" s="216">
        <f>IF(OR($BQ217,$BS217),SpreadOptPowerMargin,0)*((1+Assumptions!$C$26)^($B217-YEAR(Assumptions!$C$17)))</f>
        <v>2.37506177351317</v>
      </c>
      <c r="CY217" s="216">
        <f>IF(OR($BQ217,$BS217),SpreadOptPowerMargin,0)*((1+Assumptions!$C$26)^($B217-YEAR(Assumptions!$C$17)))</f>
        <v>2.37506177351317</v>
      </c>
      <c r="CZ217" s="216">
        <f>IF(OR($BQ217,$BS217),SpreadOptPowerMargin,0)*((1+Assumptions!$C$26)^($B217-YEAR(Assumptions!$C$17)))</f>
        <v>2.37506177351317</v>
      </c>
      <c r="DA217" s="440">
        <f t="shared" si="605"/>
        <v>2.37506177351317</v>
      </c>
      <c r="DB217" s="479">
        <f t="shared" si="606"/>
        <v>0.1</v>
      </c>
      <c r="DC217" s="479">
        <f t="shared" si="607"/>
        <v>0.1</v>
      </c>
      <c r="DD217" s="479">
        <f t="shared" si="608"/>
        <v>0.11</v>
      </c>
      <c r="DE217" s="479">
        <f t="shared" si="609"/>
        <v>0.11</v>
      </c>
      <c r="DF217" s="479">
        <f t="shared" si="610"/>
        <v>9.3229043972754305E-2</v>
      </c>
      <c r="DG217" s="574">
        <f t="shared" si="611"/>
        <v>9.3229043972754305E-2</v>
      </c>
      <c r="DH217" s="216">
        <f t="shared" si="612"/>
        <v>28.95297896973721</v>
      </c>
      <c r="DI217" s="216">
        <f t="shared" si="613"/>
        <v>28.95297896973721</v>
      </c>
      <c r="DJ217" s="216">
        <f t="shared" ca="1" si="535"/>
        <v>8.6215567709183247</v>
      </c>
      <c r="DK217" s="216">
        <f t="shared" ca="1" si="536"/>
        <v>8.6215566839179427</v>
      </c>
      <c r="DL217" s="216">
        <f t="shared" ca="1" si="537"/>
        <v>18.746302353286829</v>
      </c>
      <c r="DM217" s="216"/>
      <c r="DN217" s="216"/>
      <c r="DO217" s="216"/>
      <c r="DP217" s="216"/>
      <c r="DQ217" s="216"/>
      <c r="DR217" s="216"/>
      <c r="DS217" s="216"/>
      <c r="DT217" s="216"/>
      <c r="DU217" s="216"/>
      <c r="DV217" s="216"/>
      <c r="DW217" s="1371">
        <f t="shared" si="614"/>
        <v>8.6215567709183247</v>
      </c>
      <c r="DX217" s="216">
        <f t="shared" si="615"/>
        <v>8.6215566839179427</v>
      </c>
      <c r="DY217" s="440">
        <f t="shared" si="616"/>
        <v>19.552428891820821</v>
      </c>
      <c r="DZ217" s="180">
        <f t="shared" si="617"/>
        <v>1415453.2358725127</v>
      </c>
      <c r="EA217" s="180">
        <f t="shared" si="618"/>
        <v>269610.1401661929</v>
      </c>
      <c r="EB217" s="180">
        <f t="shared" ca="1" si="538"/>
        <v>120425.90497618716</v>
      </c>
      <c r="EC217" s="180">
        <f t="shared" ca="1" si="539"/>
        <v>311100.25138249504</v>
      </c>
      <c r="ED217" s="180">
        <f t="shared" ca="1" si="540"/>
        <v>2029324.7223480057</v>
      </c>
      <c r="EE217" s="581">
        <f t="shared" si="619"/>
        <v>1365146.2753305486</v>
      </c>
      <c r="EF217" s="554">
        <f t="shared" si="620"/>
        <v>260027.86196772353</v>
      </c>
      <c r="EG217" s="554">
        <f t="shared" ca="1" si="541"/>
        <v>52427.589443643505</v>
      </c>
      <c r="EH217" s="554">
        <f t="shared" ca="1" si="542"/>
        <v>135437.93485141968</v>
      </c>
      <c r="EI217" s="561">
        <f t="shared" ca="1" si="621"/>
        <v>1813039.6615933359</v>
      </c>
      <c r="EJ217" s="581">
        <f t="shared" si="675"/>
        <v>50306.960541964043</v>
      </c>
      <c r="EK217" s="554">
        <f t="shared" si="676"/>
        <v>9582.278198469372</v>
      </c>
      <c r="EL217" s="554">
        <f t="shared" ca="1" si="543"/>
        <v>67998.315532543653</v>
      </c>
      <c r="EM217" s="554">
        <f t="shared" ca="1" si="544"/>
        <v>175662.31653107537</v>
      </c>
      <c r="EN217" s="561">
        <f t="shared" ca="1" si="545"/>
        <v>216285.06075466983</v>
      </c>
      <c r="EO217" s="180">
        <f t="shared" si="622"/>
        <v>5661812.9434900507</v>
      </c>
      <c r="EP217" s="180">
        <f t="shared" si="623"/>
        <v>1078440.5606647716</v>
      </c>
      <c r="EQ217" s="180">
        <f t="shared" si="624"/>
        <v>481703.61990474863</v>
      </c>
      <c r="ER217" s="180">
        <f t="shared" si="625"/>
        <v>1244401.0055299802</v>
      </c>
      <c r="ES217" s="180">
        <f t="shared" si="626"/>
        <v>8466358.1295895502</v>
      </c>
      <c r="ET217" s="1482">
        <f t="shared" ca="1" si="546"/>
        <v>5460585.1013221946</v>
      </c>
      <c r="EU217" s="180">
        <f t="shared" ca="1" si="547"/>
        <v>1040111.4478708941</v>
      </c>
      <c r="EV217" s="180">
        <f t="shared" ca="1" si="548"/>
        <v>209710.35777457402</v>
      </c>
      <c r="EW217" s="180">
        <f t="shared" ca="1" si="549"/>
        <v>541751.7394056787</v>
      </c>
      <c r="EX217" s="555">
        <f t="shared" ca="1" si="522"/>
        <v>7252158.6463733418</v>
      </c>
      <c r="EY217" s="180">
        <f t="shared" ca="1" si="550"/>
        <v>201227.84216785617</v>
      </c>
      <c r="EZ217" s="180">
        <f t="shared" ca="1" si="551"/>
        <v>38329.112793877488</v>
      </c>
      <c r="FA217" s="180">
        <f t="shared" ca="1" si="552"/>
        <v>271993.26213017461</v>
      </c>
      <c r="FB217" s="180">
        <f t="shared" ca="1" si="553"/>
        <v>702649.26612430147</v>
      </c>
      <c r="FC217" s="180">
        <f t="shared" ca="1" si="554"/>
        <v>1214199.4832162084</v>
      </c>
      <c r="FD217" s="262">
        <f>IF(AX217,IF(VLOOKUP(C217,MAIN!$L$17:$M$28,2)="Yes",VLOOKUP(CALC!B217,MAIN!$H$17:$I$20,2),0),0)</f>
        <v>0</v>
      </c>
      <c r="FE217" s="623">
        <f t="shared" si="627"/>
        <v>0</v>
      </c>
      <c r="FF217" s="535">
        <f t="shared" si="628"/>
        <v>0</v>
      </c>
      <c r="FG217" s="535">
        <f t="shared" si="629"/>
        <v>0</v>
      </c>
      <c r="FH217" s="624">
        <f t="shared" si="630"/>
        <v>0</v>
      </c>
      <c r="FI217" s="632">
        <f>IF(AX217,VLOOKUP(CALC!B217,MAIN!$H$17:$K$20,4),0)</f>
        <v>0</v>
      </c>
      <c r="FJ217" s="535">
        <f t="shared" si="631"/>
        <v>0</v>
      </c>
      <c r="FK217" s="648">
        <f t="shared" si="677"/>
        <v>0</v>
      </c>
      <c r="FL217" s="530">
        <f t="shared" ca="1" si="555"/>
        <v>0</v>
      </c>
      <c r="FM217" s="530">
        <f t="shared" ca="1" si="556"/>
        <v>0</v>
      </c>
      <c r="FN217" s="530">
        <f t="shared" ca="1" si="557"/>
        <v>0</v>
      </c>
      <c r="FO217" s="622">
        <f t="shared" ca="1" si="558"/>
        <v>0</v>
      </c>
      <c r="FP217" s="530">
        <f t="shared" ca="1" si="559"/>
        <v>0</v>
      </c>
      <c r="FQ217" s="530">
        <f t="shared" ca="1" si="560"/>
        <v>0</v>
      </c>
      <c r="FR217" s="530">
        <f t="shared" ca="1" si="561"/>
        <v>0</v>
      </c>
      <c r="FS217" s="625">
        <f t="shared" ca="1" si="562"/>
        <v>0</v>
      </c>
      <c r="FT217" s="640">
        <f ca="1">IF(AND(Assumptions!$H$71="Yes",A217&gt;=Assumptions!$H$72,A217&lt;=Assumptions!$H$73),0,IF(AND($A217&gt;=Assumptions!$C$17,$A217&lt;=Assumptions!$C$18),MAX(AZ217*(1+VLOOKUP($C217,WeatherCapacityAdjustment,2))-FL217,0),0))</f>
        <v>48888</v>
      </c>
      <c r="FU217" s="530">
        <f ca="1">IF(AND(Assumptions!$H$71="Yes",A217&gt;=Assumptions!$H$72,A217&lt;=Assumptions!$H$73),0,IF(AND($A217&gt;=Assumptions!$C$17,$A217&lt;=Assumptions!$C$18),MAX(BA217*(1+VLOOKUP($C217,WeatherCapacityAdjustment,2))-FM217,0),0))</f>
        <v>9312</v>
      </c>
      <c r="FV217" s="530">
        <f ca="1">IF(AND(Assumptions!$H$71="Yes",A217&gt;=Assumptions!$H$72,A217&lt;=Assumptions!$H$73),0,IF(AND($A217&gt;=Assumptions!$C$17,$A217&lt;=Assumptions!$C$18),MAX(BB217*(1+VLOOKUP($C217,WeatherCapacityAdjustment,2))-FN217,0),0))</f>
        <v>13968</v>
      </c>
      <c r="FW217" s="622">
        <f ca="1">IF(AND(Assumptions!$H$71="Yes",A217&gt;=Assumptions!$H$72,A217&lt;=Assumptions!$H$73),0,IF(AND($A217&gt;=Assumptions!$C$17,$A217&lt;=Assumptions!$C$18),MAX(BC217*(1+VLOOKUP($C217,WeatherCapacityAdjustment,3))-FO217,0),0))</f>
        <v>36084</v>
      </c>
      <c r="FX217" s="621">
        <f ca="1">IF(AND(Assumptions!$H$71="Yes",A217&gt;=Assumptions!$H$72,A217&lt;=Assumptions!$H$73),0,IF(ET217&gt;0,MAX(BH217*(1+VLOOKUP($C217,WeatherCapacityAdjustment,2))-FP217,0),0))</f>
        <v>195552</v>
      </c>
      <c r="FY217" s="530">
        <f ca="1">IF(AND(Assumptions!$H$71="Yes",A217&gt;=Assumptions!$H$72,A217&lt;=Assumptions!$H$73),0,IF(EU217&gt;0,MAX(BI217*(1+VLOOKUP($C217,WeatherCapacityAdjustment,3))-FQ217,0),0))</f>
        <v>37248</v>
      </c>
      <c r="FZ217" s="530">
        <f ca="1">IF(AND(Assumptions!$H$71="Yes",A217&gt;=Assumptions!$H$72,A217&lt;=Assumptions!$H$73),0,IF(EV217&gt;0,MAX(BJ217*(1+VLOOKUP($C217,WeatherCapacityAdjustment,2))-FR217,0),0))</f>
        <v>55872</v>
      </c>
      <c r="GA217" s="622">
        <f ca="1">IF(AND(Assumptions!$H$71="Yes",A217&gt;=Assumptions!$H$72,A217&lt;=Assumptions!$H$73),0,IF(EW217&gt;0,MAX(BK217*(1+VLOOKUP($C217,WeatherCapacityAdjustment,2))-FS217,0),0))</f>
        <v>144336</v>
      </c>
      <c r="GB217" s="530">
        <f t="shared" ca="1" si="632"/>
        <v>541260</v>
      </c>
      <c r="GC217" s="545">
        <f t="shared" ca="1" si="633"/>
        <v>46.803466708054813</v>
      </c>
      <c r="GD217" s="530">
        <f t="shared" ca="1" si="563"/>
        <v>25332844.390401743</v>
      </c>
      <c r="GE217" s="1485">
        <f t="shared" ca="1" si="564"/>
        <v>768236.29848</v>
      </c>
      <c r="GF217" s="1776">
        <f t="shared" ca="1" si="565"/>
        <v>3072945.19392</v>
      </c>
      <c r="GG217" s="545">
        <f t="shared" si="530"/>
        <v>3.9003937138993101</v>
      </c>
      <c r="GH217" s="622">
        <f t="shared" ca="1" si="531"/>
        <v>14982120.14690333</v>
      </c>
      <c r="GI217" s="621">
        <f t="shared" ca="1" si="678"/>
        <v>541260</v>
      </c>
      <c r="GJ217" s="638">
        <f t="shared" si="634"/>
        <v>2.37506177351317</v>
      </c>
      <c r="GK217" s="625">
        <f t="shared" ca="1" si="684"/>
        <v>1285525.9355317384</v>
      </c>
      <c r="GL217" s="640">
        <f t="shared" ca="1" si="566"/>
        <v>0</v>
      </c>
      <c r="GM217" s="530">
        <f t="shared" ca="1" si="567"/>
        <v>0</v>
      </c>
      <c r="GN217" s="530">
        <f t="shared" ca="1" si="568"/>
        <v>0</v>
      </c>
      <c r="GO217" s="622">
        <f t="shared" ca="1" si="569"/>
        <v>0</v>
      </c>
      <c r="GP217" s="530">
        <f t="shared" ca="1" si="635"/>
        <v>0</v>
      </c>
      <c r="GQ217" s="545">
        <f t="shared" ca="1" si="636"/>
        <v>0</v>
      </c>
      <c r="GR217" s="625">
        <f t="shared" ca="1" si="570"/>
        <v>0</v>
      </c>
      <c r="GS217" s="640">
        <f>IF($A217&gt;=BegDate,Assumptions!$C$56*24*($A218-$A217)*(1-VLOOKUP($B217,MAIN!$AA$7:$AM$28,$C217+1))*(1-VLOOKUP($B217,MAIN!$AA$33:$AM$54,$C217+1)),0)*80/168</f>
        <v>257742.85714285713</v>
      </c>
      <c r="GT217" s="1715">
        <f t="shared" si="679"/>
        <v>57.979096323791126</v>
      </c>
      <c r="GU217" s="1715">
        <f>IF($A217&gt;=BegDate,VLOOKUP($A217,GasTable,13)+Assumptions!$C$58,0)</f>
        <v>3.9003937138993101</v>
      </c>
      <c r="GV217" s="1715">
        <f>GU217*Assumptions!$C$57/1000</f>
        <v>28.277854425769998</v>
      </c>
      <c r="GW217" s="625">
        <f>IF(Assumptions!$C$60="Hourly",MAX(0,GS217*(GT217-GV217)),GS217*(GT217-GV217))</f>
        <v>7655282.9474871019</v>
      </c>
      <c r="GX217" s="640">
        <f>IF($A217&gt;=BegDate,Assumptions!$C$56*24*($A218-$A217)*(1-VLOOKUP($B217,MAIN!$AA$7:$AM$28,$C217+1))*(1-VLOOKUP($B217,MAIN!$AA$33:$AM$54,$C217+1)),0)*16/168</f>
        <v>51548.571428571428</v>
      </c>
      <c r="GY217" s="1715">
        <f t="shared" si="680"/>
        <v>57.979096323791126</v>
      </c>
      <c r="GZ217" s="1715">
        <f>IF($A217&gt;=BegDate,VLOOKUP($A217,GasTable,13)+Assumptions!$C$58,0)</f>
        <v>3.9003937138993101</v>
      </c>
      <c r="HA217" s="1715">
        <f>GZ217*Assumptions!$C$57/1000</f>
        <v>28.277854425769998</v>
      </c>
      <c r="HB217" s="625">
        <f>IF(Assumptions!$C$60="Hourly",MAX(0,GX217*(GY217-HA217)),GX217*(GY217-HA217))</f>
        <v>1531056.5894974205</v>
      </c>
      <c r="HC217" s="640">
        <f>IF($A217&gt;=BegDate,Assumptions!$C$56*24*($A218-$A217)*(1-VLOOKUP($B217,MAIN!$AA$7:$AM$28,$C217+1))*(1-VLOOKUP($B217,MAIN!$AA$33:$AM$54,$C217+1)),0)*16/168</f>
        <v>51548.571428571428</v>
      </c>
      <c r="HD217" s="1715">
        <f t="shared" si="681"/>
        <v>33.808549018117247</v>
      </c>
      <c r="HE217" s="1715">
        <f>IF($A217&gt;=BegDate,VLOOKUP($A217,GasTable,13)+Assumptions!$C$58,0)</f>
        <v>3.9003937138993101</v>
      </c>
      <c r="HF217" s="1715">
        <f>HE217*Assumptions!$C$57/1000</f>
        <v>28.277854425769998</v>
      </c>
      <c r="HG217" s="625">
        <f>IF(Assumptions!$C$60="Hourly",MAX(0,HC217*(HD217-HF217)),HC217*(HD217-HF217))</f>
        <v>285099.40524322592</v>
      </c>
      <c r="HH217" s="640">
        <f>IF($A217&gt;=BegDate,Assumptions!$C$56*24*($A218-$A217)*(1-VLOOKUP($B217,MAIN!$AA$7:$AM$28,$C217+1))*(1-VLOOKUP($B217,MAIN!$AA$33:$AM$54,$C217+1)),0)*56/168</f>
        <v>180420</v>
      </c>
      <c r="HI217" s="1715">
        <f t="shared" si="682"/>
        <v>33.808549018117247</v>
      </c>
      <c r="HJ217" s="1715">
        <f>IF($A217&gt;=BegDate,VLOOKUP($A217,GasTable,13)+Assumptions!$C$58,0)</f>
        <v>3.9003937138993101</v>
      </c>
      <c r="HK217" s="1715">
        <f>HJ217*Assumptions!$C$57/1000</f>
        <v>28.277854425769998</v>
      </c>
      <c r="HL217" s="625">
        <f>IF(Assumptions!$C$60="Hourly",MAX(0,HH217*(HI217-HK217)),HH217*(HI217-HK217))</f>
        <v>997847.91835129063</v>
      </c>
      <c r="HM217" s="640">
        <f>IF(AND(Assumptions!$H$71="Yes",A217&gt;=Assumptions!$H$72,A217&lt;=Assumptions!$H$73),Assumptions!$H$74*Assumptions!$C$9*1000,0)</f>
        <v>0</v>
      </c>
      <c r="HN217" s="530"/>
      <c r="HO217" s="545"/>
      <c r="HP217" s="545"/>
      <c r="HQ217" s="545"/>
      <c r="HR217" s="545"/>
      <c r="HS217" s="545"/>
      <c r="HT217" s="545"/>
      <c r="HU217" s="545"/>
      <c r="HV217" s="545"/>
      <c r="HW217" s="545"/>
      <c r="HX217" s="545"/>
      <c r="HY217" s="545"/>
      <c r="HZ217" s="545"/>
      <c r="IA217" s="545"/>
      <c r="IB217" s="545"/>
      <c r="IC217" s="545"/>
      <c r="ID217" s="545"/>
      <c r="IE217" s="545"/>
      <c r="IF217" s="545"/>
      <c r="IG217" s="545"/>
      <c r="IH217" s="545"/>
      <c r="II217" s="1464"/>
      <c r="IJ217" s="1463"/>
      <c r="IK217" s="1463"/>
    </row>
    <row r="218" spans="1:245">
      <c r="A218" s="177">
        <f t="shared" si="637"/>
        <v>42767</v>
      </c>
      <c r="B218" s="349">
        <f t="shared" si="638"/>
        <v>2017</v>
      </c>
      <c r="C218" s="15">
        <f t="shared" si="578"/>
        <v>2</v>
      </c>
      <c r="D218" s="612" t="str">
        <f t="shared" si="639"/>
        <v/>
      </c>
      <c r="E218" s="609">
        <f t="shared" si="579"/>
        <v>42767</v>
      </c>
      <c r="F218" s="614">
        <f t="shared" si="580"/>
        <v>42794</v>
      </c>
      <c r="G218" s="1349">
        <v>0</v>
      </c>
      <c r="H218" s="152">
        <f t="shared" si="683"/>
        <v>1</v>
      </c>
      <c r="I218" s="154">
        <f>IF(Assumptions!$L$25=4,VLOOKUP($A218,'Henwood Reference'!$E$9:$R$320,10),(VLOOKUP($A218,PriceTable,2,0)+IF(BasisNumber&lt;&gt;1,VLOOKUP($A218,BasisTable,2,0),0)+I$1)/(1-I$2))</f>
        <v>53.111577102394421</v>
      </c>
      <c r="J218" s="154">
        <f>IF(Assumptions!$L$25=4,VLOOKUP($A218,'Henwood Reference'!$E$9:$R$320,10),(VLOOKUP($A218,PriceTable,3,0)+IF(BasisNumber&lt;&gt;1,VLOOKUP($A218,BasisTable,2,0),0)+J$1)/(1-J$2))</f>
        <v>53.111577102394421</v>
      </c>
      <c r="K218" s="154">
        <f>IF(Assumptions!$L$25=4,VLOOKUP($A218,'Henwood Reference'!$E$9:$R$320,10),(VLOOKUP($A218,PriceTable,4,0)+IF(BasisNumber&lt;&gt;1,VLOOKUP($A218,BasisTable,2,0),0)+K$1)/(1-K$2))</f>
        <v>53.111577102394421</v>
      </c>
      <c r="L218" s="474">
        <f>IF(Assumptions!$L$25=4,VLOOKUP($A218,'Henwood Reference'!$E$9:$R$320,10),(VLOOKUP($A218,PriceTableWeekend,2,0)+IF(BasisNumber&lt;&gt;1,VLOOKUP($A218,BasisTable,2,0),0)+L$1)/(1-L$2))</f>
        <v>53.111577102394421</v>
      </c>
      <c r="M218" s="154">
        <f>IF(Assumptions!$L$25=4,VLOOKUP($A218,'Henwood Reference'!$E$9:$R$320,10),(VLOOKUP($A218,PriceTableWeekend,3,0)+IF(BasisNumber&lt;&gt;1,VLOOKUP($A218,BasisTable,2,0),0)+M$1)/(1-M$2))</f>
        <v>53.111577102394421</v>
      </c>
      <c r="N218" s="156">
        <f>IF(Assumptions!$L$25=4,VLOOKUP($A218,'Henwood Reference'!$E$9:$R$320,10),(VLOOKUP($A218,PriceTableWeekend,4,0)+IF(BasisNumber&lt;&gt;1,VLOOKUP($A218,BasisTable,2,0),0)+N$1)/(1-N$2))</f>
        <v>53.111577102394421</v>
      </c>
      <c r="O218" s="154">
        <f>IF(Assumptions!$L$25=4,VLOOKUP($A218,'Henwood Reference'!$E$9:$R$320,11),(VLOOKUP($A218,PriceTableWeekend,6,0)+IF(BasisNumber&lt;&gt;1,VLOOKUP($A218,BasisTable,3,0),0)+O$1)/(1-O$2))</f>
        <v>30.581412619304469</v>
      </c>
      <c r="P218" s="154">
        <f>IF(Assumptions!$L$25=4,VLOOKUP($A218,'Henwood Reference'!$E$9:$R$320,11),(VLOOKUP($A218,PriceTableWeekend,7,0)+IF(BasisNumber&lt;&gt;1,VLOOKUP($A218,BasisTable,3,0),0)+P$1)/(1-P$2))</f>
        <v>30.581412619304469</v>
      </c>
      <c r="Q218" s="156">
        <f>IF(Assumptions!$L$25=4,VLOOKUP($A218,'Henwood Reference'!$E$9:$R$320,11),(VLOOKUP($A218,PriceTableWeekend,8,0)+IF(BasisNumber&lt;&gt;1,VLOOKUP($A218,BasisTable,3,0),0)+Q$1)/(1-Q$2))</f>
        <v>30.581412619304469</v>
      </c>
      <c r="R218" s="154">
        <f>IF(Assumptions!$L$25=4,VLOOKUP($A218,'Henwood Reference'!$E$9:$R$320,11),(VLOOKUP($A218,PriceTable,6,0)+IF(BasisNumber&lt;&gt;1,VLOOKUP($A218,BasisTable,3,0),0)+R$1)/(1-R$2))</f>
        <v>30.581412619304469</v>
      </c>
      <c r="S218" s="154">
        <f>IF(Assumptions!$L$25=4,VLOOKUP($A218,'Henwood Reference'!$E$9:$R$320,11),(VLOOKUP($A218,PriceTable,7,0)+IF(BasisNumber&lt;&gt;1,VLOOKUP($A218,BasisTable,3,0),0)+S$1)/(1-S$2))</f>
        <v>30.581412619304469</v>
      </c>
      <c r="T218" s="155">
        <f>IF(Assumptions!$L$25=4,VLOOKUP($A218,'Henwood Reference'!$E$9:$R$320,11),(VLOOKUP($A218,PriceTable,8,0)+IF(BasisNumber&lt;&gt;1,VLOOKUP($A218,BasisTable,3,0),0)+T$1)/(1-T$2))</f>
        <v>30.581412619304469</v>
      </c>
      <c r="U218" s="173">
        <f t="shared" si="640"/>
        <v>0.09</v>
      </c>
      <c r="V218" s="173">
        <f t="shared" si="641"/>
        <v>0.1</v>
      </c>
      <c r="W218" s="174">
        <f t="shared" si="642"/>
        <v>0.11</v>
      </c>
      <c r="X218" s="173">
        <f t="shared" si="643"/>
        <v>0.09</v>
      </c>
      <c r="Y218" s="173">
        <f t="shared" si="644"/>
        <v>0.1</v>
      </c>
      <c r="Z218" s="174">
        <f t="shared" si="645"/>
        <v>0.11</v>
      </c>
      <c r="AA218" s="173">
        <f t="shared" si="646"/>
        <v>0.09</v>
      </c>
      <c r="AB218" s="173">
        <f t="shared" si="647"/>
        <v>0.11</v>
      </c>
      <c r="AC218" s="174">
        <f t="shared" si="648"/>
        <v>0.13</v>
      </c>
      <c r="AD218" s="173">
        <f t="shared" si="649"/>
        <v>0.09</v>
      </c>
      <c r="AE218" s="173">
        <f t="shared" si="650"/>
        <v>0.11</v>
      </c>
      <c r="AF218" s="174">
        <f t="shared" si="651"/>
        <v>0.13</v>
      </c>
      <c r="AG218" s="173">
        <f t="shared" si="652"/>
        <v>-0.25</v>
      </c>
      <c r="AH218" s="173">
        <f t="shared" si="653"/>
        <v>0.65</v>
      </c>
      <c r="AI218" s="174">
        <f t="shared" si="654"/>
        <v>0.25</v>
      </c>
      <c r="AJ218" s="173">
        <f t="shared" si="655"/>
        <v>-0.25</v>
      </c>
      <c r="AK218" s="173">
        <f t="shared" si="656"/>
        <v>0.65</v>
      </c>
      <c r="AL218" s="174">
        <f t="shared" si="657"/>
        <v>0.25</v>
      </c>
      <c r="AM218" s="173">
        <f t="shared" si="658"/>
        <v>-0.01</v>
      </c>
      <c r="AN218" s="173">
        <f t="shared" si="659"/>
        <v>0.16</v>
      </c>
      <c r="AO218" s="174">
        <f t="shared" si="660"/>
        <v>0.01</v>
      </c>
      <c r="AP218" s="173">
        <f t="shared" si="661"/>
        <v>-0.01</v>
      </c>
      <c r="AQ218" s="173">
        <f t="shared" si="662"/>
        <v>0.16</v>
      </c>
      <c r="AR218" s="175">
        <f t="shared" si="663"/>
        <v>0.01</v>
      </c>
      <c r="AS218" s="521">
        <f t="shared" si="664"/>
        <v>0.5</v>
      </c>
      <c r="AT218" s="349">
        <f t="shared" si="581"/>
        <v>20</v>
      </c>
      <c r="AU218" s="159">
        <f t="shared" si="582"/>
        <v>4</v>
      </c>
      <c r="AV218" s="159">
        <f t="shared" si="583"/>
        <v>4</v>
      </c>
      <c r="AW218" s="159">
        <f t="shared" si="665"/>
        <v>0</v>
      </c>
      <c r="AX218" s="15">
        <f t="shared" si="584"/>
        <v>28</v>
      </c>
      <c r="AY218" s="607">
        <f>IF(E218="",0,MIN((1-(1-VLOOKUP(B218,MAIN!$AA$7:$AM$28,C218+1))*(1-VLOOKUP(B218,MAIN!$AA$33:$AM$54,C218+1))),1))</f>
        <v>3.0000000000000027E-2</v>
      </c>
      <c r="AZ218" s="337">
        <v>46560</v>
      </c>
      <c r="BA218" s="509">
        <v>9312</v>
      </c>
      <c r="BB218" s="509">
        <v>9312</v>
      </c>
      <c r="BC218" s="511">
        <v>32592</v>
      </c>
      <c r="BD218" s="153">
        <v>0.97</v>
      </c>
      <c r="BE218" s="474">
        <v>0.97</v>
      </c>
      <c r="BF218" s="474">
        <v>0.97</v>
      </c>
      <c r="BG218" s="515">
        <v>0.9699999927729368</v>
      </c>
      <c r="BH218" s="262">
        <v>186240</v>
      </c>
      <c r="BI218" s="509">
        <v>37248</v>
      </c>
      <c r="BJ218" s="509">
        <v>37248</v>
      </c>
      <c r="BK218" s="511">
        <v>130368</v>
      </c>
      <c r="BL218" s="153">
        <v>0.97</v>
      </c>
      <c r="BM218" s="474">
        <v>0.97</v>
      </c>
      <c r="BN218" s="474">
        <v>0.97</v>
      </c>
      <c r="BO218" s="474">
        <v>0.9699999927729368</v>
      </c>
      <c r="BP218" s="261">
        <f t="shared" si="666"/>
        <v>65184</v>
      </c>
      <c r="BQ218" s="578">
        <f t="shared" si="667"/>
        <v>97776</v>
      </c>
      <c r="BR218" s="259">
        <f t="shared" si="668"/>
        <v>260736</v>
      </c>
      <c r="BS218" s="578">
        <f t="shared" si="669"/>
        <v>391104</v>
      </c>
      <c r="BT218" s="216">
        <f t="shared" si="670"/>
        <v>16.802190280629706</v>
      </c>
      <c r="BU218" s="218">
        <f t="shared" si="585"/>
        <v>53.111577102394421</v>
      </c>
      <c r="BV218" s="216">
        <f t="shared" si="586"/>
        <v>53.111577102394421</v>
      </c>
      <c r="BW218" s="216">
        <f t="shared" si="587"/>
        <v>30.581412619304469</v>
      </c>
      <c r="BX218" s="216">
        <f t="shared" si="671"/>
        <v>30.581412391455192</v>
      </c>
      <c r="BY218" s="216">
        <f t="shared" si="588"/>
        <v>49.892982176238718</v>
      </c>
      <c r="BZ218" s="216">
        <f t="shared" si="589"/>
        <v>43.455792247977541</v>
      </c>
      <c r="CA218" s="264">
        <f t="shared" si="590"/>
        <v>53.111577102394421</v>
      </c>
      <c r="CB218" s="216">
        <f t="shared" si="591"/>
        <v>53.111577102394421</v>
      </c>
      <c r="CC218" s="216">
        <f t="shared" si="592"/>
        <v>30.581412619304469</v>
      </c>
      <c r="CD218" s="216">
        <f t="shared" si="672"/>
        <v>30.581412391455192</v>
      </c>
      <c r="CE218" s="216">
        <f t="shared" si="593"/>
        <v>49.892982176238718</v>
      </c>
      <c r="CF218" s="571">
        <f t="shared" si="594"/>
        <v>43.455792247977541</v>
      </c>
      <c r="CG218" s="573">
        <f t="shared" si="595"/>
        <v>0.1</v>
      </c>
      <c r="CH218" s="219">
        <f t="shared" si="596"/>
        <v>0.1</v>
      </c>
      <c r="CI218" s="219">
        <f t="shared" si="597"/>
        <v>0.11</v>
      </c>
      <c r="CJ218" s="219">
        <f t="shared" si="598"/>
        <v>0.10088243475015381</v>
      </c>
      <c r="CK218" s="219">
        <f t="shared" si="599"/>
        <v>0.10088243475015381</v>
      </c>
      <c r="CL218" s="219">
        <f t="shared" si="600"/>
        <v>0.11</v>
      </c>
      <c r="CM218" s="219">
        <f t="shared" si="601"/>
        <v>9.3094498876646434E-2</v>
      </c>
      <c r="CN218" s="569">
        <f t="shared" si="602"/>
        <v>9.3094498876646434E-2</v>
      </c>
      <c r="CO218" s="264">
        <f t="shared" ref="CO218:CO281" si="685">IF(OR(BQ218,BS218),VLOOKUP(A218,GasTable,13)*HeatRatePeak*(1+VLOOKUP($B218,HeatRateDegradation,$C218+1))/1000,0)</f>
        <v>25.533439715695049</v>
      </c>
      <c r="CP218" s="216">
        <f t="shared" si="673"/>
        <v>25.533439715695049</v>
      </c>
      <c r="CQ218" s="216">
        <f t="shared" ca="1" si="532"/>
        <v>25.533439715695049</v>
      </c>
      <c r="CR218" s="216">
        <f t="shared" ca="1" si="533"/>
        <v>25.533439715695049</v>
      </c>
      <c r="CS218" s="1626">
        <f t="shared" ca="1" si="534"/>
        <v>25.533439715695049</v>
      </c>
      <c r="CT218" s="216">
        <f t="shared" si="674"/>
        <v>25.533439715695049</v>
      </c>
      <c r="CU218" s="575">
        <f t="shared" si="603"/>
        <v>0.151</v>
      </c>
      <c r="CV218" s="154">
        <f t="shared" si="604"/>
        <v>0.5</v>
      </c>
      <c r="CW218" s="216">
        <f>IF(OR($BQ218,$BS218),SpreadOptPowerMargin,0)*((1+Assumptions!$C$26)^($B218-YEAR(Assumptions!$C$17)))</f>
        <v>2.37506177351317</v>
      </c>
      <c r="CX218" s="216">
        <f>IF(OR($BQ218,$BS218),SpreadOptPowerMargin,0)*((1+Assumptions!$C$26)^($B218-YEAR(Assumptions!$C$17)))</f>
        <v>2.37506177351317</v>
      </c>
      <c r="CY218" s="216">
        <f>IF(OR($BQ218,$BS218),SpreadOptPowerMargin,0)*((1+Assumptions!$C$26)^($B218-YEAR(Assumptions!$C$17)))</f>
        <v>2.37506177351317</v>
      </c>
      <c r="CZ218" s="216">
        <f>IF(OR($BQ218,$BS218),SpreadOptPowerMargin,0)*((1+Assumptions!$C$26)^($B218-YEAR(Assumptions!$C$17)))</f>
        <v>2.37506177351317</v>
      </c>
      <c r="DA218" s="440">
        <f t="shared" si="605"/>
        <v>2.37506177351317</v>
      </c>
      <c r="DB218" s="479">
        <f t="shared" si="606"/>
        <v>0.1</v>
      </c>
      <c r="DC218" s="479">
        <f t="shared" si="607"/>
        <v>0.1</v>
      </c>
      <c r="DD218" s="479">
        <f t="shared" si="608"/>
        <v>0.11</v>
      </c>
      <c r="DE218" s="479">
        <f t="shared" si="609"/>
        <v>0.11</v>
      </c>
      <c r="DF218" s="479">
        <f t="shared" si="610"/>
        <v>9.3094498876646434E-2</v>
      </c>
      <c r="DG218" s="574">
        <f t="shared" si="611"/>
        <v>9.3094498876646434E-2</v>
      </c>
      <c r="DH218" s="216">
        <f t="shared" si="612"/>
        <v>26.179417748990126</v>
      </c>
      <c r="DI218" s="216">
        <f t="shared" si="613"/>
        <v>26.179417748990126</v>
      </c>
      <c r="DJ218" s="216">
        <f t="shared" ca="1" si="535"/>
        <v>7.4114479010171328</v>
      </c>
      <c r="DK218" s="216">
        <f t="shared" ca="1" si="536"/>
        <v>7.4114477477065686</v>
      </c>
      <c r="DL218" s="216">
        <f t="shared" ca="1" si="537"/>
        <v>17.364716168966513</v>
      </c>
      <c r="DM218" s="216"/>
      <c r="DN218" s="216"/>
      <c r="DO218" s="216"/>
      <c r="DP218" s="216"/>
      <c r="DQ218" s="216"/>
      <c r="DR218" s="216"/>
      <c r="DS218" s="216"/>
      <c r="DT218" s="216"/>
      <c r="DU218" s="216"/>
      <c r="DV218" s="216"/>
      <c r="DW218" s="1371">
        <f t="shared" si="614"/>
        <v>7.4114479010171328</v>
      </c>
      <c r="DX218" s="216">
        <f t="shared" si="615"/>
        <v>7.4114477477065686</v>
      </c>
      <c r="DY218" s="440">
        <f t="shared" si="616"/>
        <v>18.136002048755323</v>
      </c>
      <c r="DZ218" s="180">
        <f t="shared" si="617"/>
        <v>1218913.6903929804</v>
      </c>
      <c r="EA218" s="180">
        <f t="shared" si="618"/>
        <v>243782.73807859604</v>
      </c>
      <c r="EB218" s="180">
        <f t="shared" ca="1" si="538"/>
        <v>69015.402854271539</v>
      </c>
      <c r="EC218" s="180">
        <f t="shared" ca="1" si="539"/>
        <v>241553.90499325248</v>
      </c>
      <c r="ED218" s="180">
        <f t="shared" ca="1" si="540"/>
        <v>1697852.4881368699</v>
      </c>
      <c r="EE218" s="581">
        <f t="shared" si="619"/>
        <v>1173455.2005499494</v>
      </c>
      <c r="EF218" s="554">
        <f t="shared" si="620"/>
        <v>234691.0401099899</v>
      </c>
      <c r="EG218" s="554">
        <f t="shared" ca="1" si="541"/>
        <v>24890.148443456274</v>
      </c>
      <c r="EH218" s="554">
        <f t="shared" ca="1" si="542"/>
        <v>87115.512126033311</v>
      </c>
      <c r="EI218" s="561">
        <f t="shared" ca="1" si="621"/>
        <v>1520151.9012294291</v>
      </c>
      <c r="EJ218" s="581">
        <f t="shared" si="675"/>
        <v>45458.489843030926</v>
      </c>
      <c r="EK218" s="554">
        <f t="shared" si="676"/>
        <v>9091.6979686061386</v>
      </c>
      <c r="EL218" s="554">
        <f t="shared" ca="1" si="543"/>
        <v>44125.254410815265</v>
      </c>
      <c r="EM218" s="554">
        <f t="shared" ca="1" si="544"/>
        <v>154438.39286721917</v>
      </c>
      <c r="EN218" s="561">
        <f t="shared" ca="1" si="545"/>
        <v>177700.5869074408</v>
      </c>
      <c r="EO218" s="180">
        <f t="shared" si="622"/>
        <v>4875654.7615719214</v>
      </c>
      <c r="EP218" s="180">
        <f t="shared" si="623"/>
        <v>975130.95231438417</v>
      </c>
      <c r="EQ218" s="180">
        <f t="shared" si="624"/>
        <v>276061.61141708615</v>
      </c>
      <c r="ER218" s="180">
        <f t="shared" si="625"/>
        <v>966215.61997300992</v>
      </c>
      <c r="ES218" s="180">
        <f t="shared" si="626"/>
        <v>7093062.9452764019</v>
      </c>
      <c r="ET218" s="1482">
        <f t="shared" ca="1" si="546"/>
        <v>4693820.8021997977</v>
      </c>
      <c r="EU218" s="180">
        <f t="shared" ca="1" si="547"/>
        <v>938764.16043995961</v>
      </c>
      <c r="EV218" s="180">
        <f t="shared" ca="1" si="548"/>
        <v>99560.593773825094</v>
      </c>
      <c r="EW218" s="180">
        <f t="shared" ca="1" si="549"/>
        <v>348462.04850413324</v>
      </c>
      <c r="EX218" s="555">
        <f t="shared" ca="1" si="522"/>
        <v>6080607.6049177162</v>
      </c>
      <c r="EY218" s="180">
        <f t="shared" ca="1" si="550"/>
        <v>181833.9593721237</v>
      </c>
      <c r="EZ218" s="180">
        <f t="shared" ca="1" si="551"/>
        <v>36366.791874424554</v>
      </c>
      <c r="FA218" s="180">
        <f t="shared" ca="1" si="552"/>
        <v>176501.01764326106</v>
      </c>
      <c r="FB218" s="180">
        <f t="shared" ca="1" si="553"/>
        <v>617753.57146887667</v>
      </c>
      <c r="FC218" s="180">
        <f t="shared" ca="1" si="554"/>
        <v>1012455.3403586857</v>
      </c>
      <c r="FD218" s="262">
        <f>IF(AX218,IF(VLOOKUP(C218,MAIN!$L$17:$M$28,2)="Yes",VLOOKUP(CALC!B218,MAIN!$H$17:$I$20,2),0),0)</f>
        <v>0</v>
      </c>
      <c r="FE218" s="623">
        <f t="shared" si="627"/>
        <v>0</v>
      </c>
      <c r="FF218" s="535">
        <f t="shared" si="628"/>
        <v>0</v>
      </c>
      <c r="FG218" s="535">
        <f t="shared" si="629"/>
        <v>0</v>
      </c>
      <c r="FH218" s="624">
        <f t="shared" si="630"/>
        <v>0</v>
      </c>
      <c r="FI218" s="632">
        <f>IF(AX218,VLOOKUP(CALC!B218,MAIN!$H$17:$K$20,4),0)</f>
        <v>0</v>
      </c>
      <c r="FJ218" s="535">
        <f t="shared" si="631"/>
        <v>0</v>
      </c>
      <c r="FK218" s="648">
        <f t="shared" si="677"/>
        <v>0</v>
      </c>
      <c r="FL218" s="530">
        <f t="shared" ca="1" si="555"/>
        <v>0</v>
      </c>
      <c r="FM218" s="530">
        <f t="shared" ca="1" si="556"/>
        <v>0</v>
      </c>
      <c r="FN218" s="530">
        <f t="shared" ca="1" si="557"/>
        <v>0</v>
      </c>
      <c r="FO218" s="622">
        <f t="shared" ca="1" si="558"/>
        <v>0</v>
      </c>
      <c r="FP218" s="530">
        <f t="shared" ca="1" si="559"/>
        <v>0</v>
      </c>
      <c r="FQ218" s="530">
        <f t="shared" ca="1" si="560"/>
        <v>0</v>
      </c>
      <c r="FR218" s="530">
        <f t="shared" ca="1" si="561"/>
        <v>0</v>
      </c>
      <c r="FS218" s="625">
        <f t="shared" ca="1" si="562"/>
        <v>0</v>
      </c>
      <c r="FT218" s="640">
        <f ca="1">IF(AND(Assumptions!$H$71="Yes",A218&gt;=Assumptions!$H$72,A218&lt;=Assumptions!$H$73),0,IF(AND($A218&gt;=Assumptions!$C$17,$A218&lt;=Assumptions!$C$18),MAX(AZ218*(1+VLOOKUP($C218,WeatherCapacityAdjustment,2))-FL218,0),0))</f>
        <v>46560</v>
      </c>
      <c r="FU218" s="530">
        <f ca="1">IF(AND(Assumptions!$H$71="Yes",A218&gt;=Assumptions!$H$72,A218&lt;=Assumptions!$H$73),0,IF(AND($A218&gt;=Assumptions!$C$17,$A218&lt;=Assumptions!$C$18),MAX(BA218*(1+VLOOKUP($C218,WeatherCapacityAdjustment,2))-FM218,0),0))</f>
        <v>9312</v>
      </c>
      <c r="FV218" s="530">
        <f ca="1">IF(AND(Assumptions!$H$71="Yes",A218&gt;=Assumptions!$H$72,A218&lt;=Assumptions!$H$73),0,IF(AND($A218&gt;=Assumptions!$C$17,$A218&lt;=Assumptions!$C$18),MAX(BB218*(1+VLOOKUP($C218,WeatherCapacityAdjustment,2))-FN218,0),0))</f>
        <v>9312</v>
      </c>
      <c r="FW218" s="622">
        <f ca="1">IF(AND(Assumptions!$H$71="Yes",A218&gt;=Assumptions!$H$72,A218&lt;=Assumptions!$H$73),0,IF(AND($A218&gt;=Assumptions!$C$17,$A218&lt;=Assumptions!$C$18),MAX(BC218*(1+VLOOKUP($C218,WeatherCapacityAdjustment,3))-FO218,0),0))</f>
        <v>32592</v>
      </c>
      <c r="FX218" s="621">
        <f ca="1">IF(AND(Assumptions!$H$71="Yes",A218&gt;=Assumptions!$H$72,A218&lt;=Assumptions!$H$73),0,IF(ET218&gt;0,MAX(BH218*(1+VLOOKUP($C218,WeatherCapacityAdjustment,2))-FP218,0),0))</f>
        <v>186240</v>
      </c>
      <c r="FY218" s="530">
        <f ca="1">IF(AND(Assumptions!$H$71="Yes",A218&gt;=Assumptions!$H$72,A218&lt;=Assumptions!$H$73),0,IF(EU218&gt;0,MAX(BI218*(1+VLOOKUP($C218,WeatherCapacityAdjustment,3))-FQ218,0),0))</f>
        <v>37248</v>
      </c>
      <c r="FZ218" s="530">
        <f ca="1">IF(AND(Assumptions!$H$71="Yes",A218&gt;=Assumptions!$H$72,A218&lt;=Assumptions!$H$73),0,IF(EV218&gt;0,MAX(BJ218*(1+VLOOKUP($C218,WeatherCapacityAdjustment,2))-FR218,0),0))</f>
        <v>37248</v>
      </c>
      <c r="GA218" s="622">
        <f ca="1">IF(AND(Assumptions!$H$71="Yes",A218&gt;=Assumptions!$H$72,A218&lt;=Assumptions!$H$73),0,IF(EW218&gt;0,MAX(BK218*(1+VLOOKUP($C218,WeatherCapacityAdjustment,2))-FS218,0),0))</f>
        <v>130368</v>
      </c>
      <c r="GB218" s="530">
        <f t="shared" ca="1" si="632"/>
        <v>488880</v>
      </c>
      <c r="GC218" s="545">
        <f t="shared" ca="1" si="633"/>
        <v>43.455792247977541</v>
      </c>
      <c r="GD218" s="530">
        <f t="shared" ca="1" si="563"/>
        <v>21244667.714191258</v>
      </c>
      <c r="GE218" s="1485">
        <f t="shared" ca="1" si="564"/>
        <v>694178.31168000004</v>
      </c>
      <c r="GF218" s="1776">
        <f t="shared" ca="1" si="565"/>
        <v>2776713.2467200002</v>
      </c>
      <c r="GG218" s="545">
        <f t="shared" si="530"/>
        <v>3.5964212071100459</v>
      </c>
      <c r="GH218" s="622">
        <f t="shared" ca="1" si="531"/>
        <v>12482788.008208998</v>
      </c>
      <c r="GI218" s="621">
        <f t="shared" ca="1" si="678"/>
        <v>488880</v>
      </c>
      <c r="GJ218" s="638">
        <f t="shared" si="634"/>
        <v>2.37506177351317</v>
      </c>
      <c r="GK218" s="625">
        <f t="shared" ca="1" si="684"/>
        <v>1161120.1998351186</v>
      </c>
      <c r="GL218" s="640">
        <f t="shared" ca="1" si="566"/>
        <v>0</v>
      </c>
      <c r="GM218" s="530">
        <f t="shared" ca="1" si="567"/>
        <v>0</v>
      </c>
      <c r="GN218" s="530">
        <f t="shared" ca="1" si="568"/>
        <v>0</v>
      </c>
      <c r="GO218" s="622">
        <f t="shared" ca="1" si="569"/>
        <v>0</v>
      </c>
      <c r="GP218" s="530">
        <f t="shared" ca="1" si="635"/>
        <v>0</v>
      </c>
      <c r="GQ218" s="545">
        <f t="shared" ca="1" si="636"/>
        <v>0</v>
      </c>
      <c r="GR218" s="625">
        <f t="shared" ca="1" si="570"/>
        <v>0</v>
      </c>
      <c r="GS218" s="640">
        <f>IF($A218&gt;=BegDate,Assumptions!$C$56*24*($A219-$A218)*(1-VLOOKUP($B218,MAIN!$AA$7:$AM$28,$C218+1))*(1-VLOOKUP($B218,MAIN!$AA$33:$AM$54,$C218+1)),0)*80/168</f>
        <v>232800</v>
      </c>
      <c r="GT218" s="1715">
        <f t="shared" si="679"/>
        <v>53.111577102394421</v>
      </c>
      <c r="GU218" s="1715">
        <f>IF($A218&gt;=BegDate,VLOOKUP($A218,GasTable,13)+Assumptions!$C$58,0)</f>
        <v>3.5964212071100459</v>
      </c>
      <c r="GV218" s="1715">
        <f>GU218*Assumptions!$C$57/1000</f>
        <v>26.074053751547833</v>
      </c>
      <c r="GW218" s="625">
        <f>IF(Assumptions!$C$60="Hourly",MAX(0,GS218*(GT218-GV218)),GS218*(GT218-GV218))</f>
        <v>6294335.4360770853</v>
      </c>
      <c r="GX218" s="640">
        <f>IF($A218&gt;=BegDate,Assumptions!$C$56*24*($A219-$A218)*(1-VLOOKUP($B218,MAIN!$AA$7:$AM$28,$C218+1))*(1-VLOOKUP($B218,MAIN!$AA$33:$AM$54,$C218+1)),0)*16/168</f>
        <v>46560</v>
      </c>
      <c r="GY218" s="1715">
        <f t="shared" si="680"/>
        <v>53.111577102394421</v>
      </c>
      <c r="GZ218" s="1715">
        <f>IF($A218&gt;=BegDate,VLOOKUP($A218,GasTable,13)+Assumptions!$C$58,0)</f>
        <v>3.5964212071100459</v>
      </c>
      <c r="HA218" s="1715">
        <f>GZ218*Assumptions!$C$57/1000</f>
        <v>26.074053751547833</v>
      </c>
      <c r="HB218" s="625">
        <f>IF(Assumptions!$C$60="Hourly",MAX(0,GX218*(GY218-HA218)),GX218*(GY218-HA218))</f>
        <v>1258867.0872154171</v>
      </c>
      <c r="HC218" s="640">
        <f>IF($A218&gt;=BegDate,Assumptions!$C$56*24*($A219-$A218)*(1-VLOOKUP($B218,MAIN!$AA$7:$AM$28,$C218+1))*(1-VLOOKUP($B218,MAIN!$AA$33:$AM$54,$C218+1)),0)*16/168</f>
        <v>46560</v>
      </c>
      <c r="HD218" s="1715">
        <f t="shared" si="681"/>
        <v>30.581412619304469</v>
      </c>
      <c r="HE218" s="1715">
        <f>IF($A218&gt;=BegDate,VLOOKUP($A218,GasTable,13)+Assumptions!$C$58,0)</f>
        <v>3.5964212071100459</v>
      </c>
      <c r="HF218" s="1715">
        <f>HE218*Assumptions!$C$57/1000</f>
        <v>26.074053751547833</v>
      </c>
      <c r="HG218" s="625">
        <f>IF(Assumptions!$C$60="Hourly",MAX(0,HC218*(HD218-HF218)),HC218*(HD218-HF218))</f>
        <v>209862.62888274898</v>
      </c>
      <c r="HH218" s="640">
        <f>IF($A218&gt;=BegDate,Assumptions!$C$56*24*($A219-$A218)*(1-VLOOKUP($B218,MAIN!$AA$7:$AM$28,$C218+1))*(1-VLOOKUP($B218,MAIN!$AA$33:$AM$54,$C218+1)),0)*56/168</f>
        <v>162960</v>
      </c>
      <c r="HI218" s="1715">
        <f t="shared" si="682"/>
        <v>30.581412619304469</v>
      </c>
      <c r="HJ218" s="1715">
        <f>IF($A218&gt;=BegDate,VLOOKUP($A218,GasTable,13)+Assumptions!$C$58,0)</f>
        <v>3.5964212071100459</v>
      </c>
      <c r="HK218" s="1715">
        <f>HJ218*Assumptions!$C$57/1000</f>
        <v>26.074053751547833</v>
      </c>
      <c r="HL218" s="625">
        <f>IF(Assumptions!$C$60="Hourly",MAX(0,HH218*(HI218-HK218)),HH218*(HI218-HK218))</f>
        <v>734519.20108962141</v>
      </c>
      <c r="HM218" s="640">
        <f>IF(AND(Assumptions!$H$71="Yes",A218&gt;=Assumptions!$H$72,A218&lt;=Assumptions!$H$73),Assumptions!$H$74*Assumptions!$C$9*1000,0)</f>
        <v>0</v>
      </c>
      <c r="HN218" s="530"/>
      <c r="HO218" s="545"/>
      <c r="HP218" s="545"/>
      <c r="HQ218" s="545"/>
      <c r="HR218" s="545"/>
      <c r="HS218" s="545"/>
      <c r="HT218" s="545"/>
      <c r="HU218" s="545"/>
      <c r="HV218" s="545"/>
      <c r="HW218" s="545"/>
      <c r="HX218" s="545"/>
      <c r="HY218" s="545"/>
      <c r="HZ218" s="545"/>
      <c r="IA218" s="545"/>
      <c r="IB218" s="545"/>
      <c r="IC218" s="545"/>
      <c r="ID218" s="545"/>
      <c r="IE218" s="545"/>
      <c r="IF218" s="545"/>
      <c r="IG218" s="545"/>
      <c r="IH218" s="545"/>
      <c r="II218" s="1464"/>
      <c r="IJ218" s="1463"/>
      <c r="IK218" s="1463"/>
    </row>
    <row r="219" spans="1:245">
      <c r="A219" s="177">
        <f t="shared" si="637"/>
        <v>42795</v>
      </c>
      <c r="B219" s="349">
        <f t="shared" si="638"/>
        <v>2017</v>
      </c>
      <c r="C219" s="15">
        <f t="shared" si="578"/>
        <v>3</v>
      </c>
      <c r="D219" s="612" t="str">
        <f t="shared" si="639"/>
        <v/>
      </c>
      <c r="E219" s="609">
        <f t="shared" si="579"/>
        <v>42795</v>
      </c>
      <c r="F219" s="614">
        <f t="shared" si="580"/>
        <v>42825</v>
      </c>
      <c r="G219" s="1349">
        <v>0</v>
      </c>
      <c r="H219" s="152">
        <f t="shared" si="683"/>
        <v>1</v>
      </c>
      <c r="I219" s="154">
        <f>IF(Assumptions!$L$25=4,VLOOKUP($A219,'Henwood Reference'!$E$9:$R$320,10),(VLOOKUP($A219,PriceTable,2,0)+IF(BasisNumber&lt;&gt;1,VLOOKUP($A219,BasisTable,2,0),0)+I$1)/(1-I$2))</f>
        <v>41.541242231465496</v>
      </c>
      <c r="J219" s="154">
        <f>IF(Assumptions!$L$25=4,VLOOKUP($A219,'Henwood Reference'!$E$9:$R$320,10),(VLOOKUP($A219,PriceTable,3,0)+IF(BasisNumber&lt;&gt;1,VLOOKUP($A219,BasisTable,2,0),0)+J$1)/(1-J$2))</f>
        <v>41.541242231465496</v>
      </c>
      <c r="K219" s="154">
        <f>IF(Assumptions!$L$25=4,VLOOKUP($A219,'Henwood Reference'!$E$9:$R$320,10),(VLOOKUP($A219,PriceTable,4,0)+IF(BasisNumber&lt;&gt;1,VLOOKUP($A219,BasisTable,2,0),0)+K$1)/(1-K$2))</f>
        <v>41.541242231465496</v>
      </c>
      <c r="L219" s="474">
        <f>IF(Assumptions!$L$25=4,VLOOKUP($A219,'Henwood Reference'!$E$9:$R$320,10),(VLOOKUP($A219,PriceTableWeekend,2,0)+IF(BasisNumber&lt;&gt;1,VLOOKUP($A219,BasisTable,2,0),0)+L$1)/(1-L$2))</f>
        <v>41.541242231465496</v>
      </c>
      <c r="M219" s="154">
        <f>IF(Assumptions!$L$25=4,VLOOKUP($A219,'Henwood Reference'!$E$9:$R$320,10),(VLOOKUP($A219,PriceTableWeekend,3,0)+IF(BasisNumber&lt;&gt;1,VLOOKUP($A219,BasisTable,2,0),0)+M$1)/(1-M$2))</f>
        <v>41.541242231465496</v>
      </c>
      <c r="N219" s="156">
        <f>IF(Assumptions!$L$25=4,VLOOKUP($A219,'Henwood Reference'!$E$9:$R$320,10),(VLOOKUP($A219,PriceTableWeekend,4,0)+IF(BasisNumber&lt;&gt;1,VLOOKUP($A219,BasisTable,2,0),0)+N$1)/(1-N$2))</f>
        <v>41.541242231465496</v>
      </c>
      <c r="O219" s="154">
        <f>IF(Assumptions!$L$25=4,VLOOKUP($A219,'Henwood Reference'!$E$9:$R$320,11),(VLOOKUP($A219,PriceTableWeekend,6,0)+IF(BasisNumber&lt;&gt;1,VLOOKUP($A219,BasisTable,3,0),0)+O$1)/(1-O$2))</f>
        <v>27.03894185288955</v>
      </c>
      <c r="P219" s="154">
        <f>IF(Assumptions!$L$25=4,VLOOKUP($A219,'Henwood Reference'!$E$9:$R$320,11),(VLOOKUP($A219,PriceTableWeekend,7,0)+IF(BasisNumber&lt;&gt;1,VLOOKUP($A219,BasisTable,3,0),0)+P$1)/(1-P$2))</f>
        <v>27.03894185288955</v>
      </c>
      <c r="Q219" s="156">
        <f>IF(Assumptions!$L$25=4,VLOOKUP($A219,'Henwood Reference'!$E$9:$R$320,11),(VLOOKUP($A219,PriceTableWeekend,8,0)+IF(BasisNumber&lt;&gt;1,VLOOKUP($A219,BasisTable,3,0),0)+Q$1)/(1-Q$2))</f>
        <v>27.03894185288955</v>
      </c>
      <c r="R219" s="154">
        <f>IF(Assumptions!$L$25=4,VLOOKUP($A219,'Henwood Reference'!$E$9:$R$320,11),(VLOOKUP($A219,PriceTable,6,0)+IF(BasisNumber&lt;&gt;1,VLOOKUP($A219,BasisTable,3,0),0)+R$1)/(1-R$2))</f>
        <v>27.03894185288955</v>
      </c>
      <c r="S219" s="154">
        <f>IF(Assumptions!$L$25=4,VLOOKUP($A219,'Henwood Reference'!$E$9:$R$320,11),(VLOOKUP($A219,PriceTable,7,0)+IF(BasisNumber&lt;&gt;1,VLOOKUP($A219,BasisTable,3,0),0)+S$1)/(1-S$2))</f>
        <v>27.03894185288955</v>
      </c>
      <c r="T219" s="155">
        <f>IF(Assumptions!$L$25=4,VLOOKUP($A219,'Henwood Reference'!$E$9:$R$320,11),(VLOOKUP($A219,PriceTable,8,0)+IF(BasisNumber&lt;&gt;1,VLOOKUP($A219,BasisTable,3,0),0)+T$1)/(1-T$2))</f>
        <v>27.03894185288955</v>
      </c>
      <c r="U219" s="173">
        <f t="shared" si="640"/>
        <v>0.09</v>
      </c>
      <c r="V219" s="173">
        <f t="shared" si="641"/>
        <v>0.1</v>
      </c>
      <c r="W219" s="174">
        <f t="shared" si="642"/>
        <v>0.11</v>
      </c>
      <c r="X219" s="173">
        <f t="shared" si="643"/>
        <v>0.09</v>
      </c>
      <c r="Y219" s="173">
        <f t="shared" si="644"/>
        <v>0.1</v>
      </c>
      <c r="Z219" s="174">
        <f t="shared" si="645"/>
        <v>0.11</v>
      </c>
      <c r="AA219" s="173">
        <f t="shared" si="646"/>
        <v>0.09</v>
      </c>
      <c r="AB219" s="173">
        <f t="shared" si="647"/>
        <v>0.11</v>
      </c>
      <c r="AC219" s="174">
        <f t="shared" si="648"/>
        <v>0.13</v>
      </c>
      <c r="AD219" s="173">
        <f t="shared" si="649"/>
        <v>0.09</v>
      </c>
      <c r="AE219" s="173">
        <f t="shared" si="650"/>
        <v>0.11</v>
      </c>
      <c r="AF219" s="174">
        <f t="shared" si="651"/>
        <v>0.13</v>
      </c>
      <c r="AG219" s="173">
        <f t="shared" si="652"/>
        <v>-0.1</v>
      </c>
      <c r="AH219" s="173">
        <f t="shared" si="653"/>
        <v>0.65</v>
      </c>
      <c r="AI219" s="174">
        <f t="shared" si="654"/>
        <v>0.1</v>
      </c>
      <c r="AJ219" s="173">
        <f t="shared" si="655"/>
        <v>-0.1</v>
      </c>
      <c r="AK219" s="173">
        <f t="shared" si="656"/>
        <v>0.65</v>
      </c>
      <c r="AL219" s="174">
        <f t="shared" si="657"/>
        <v>0.1</v>
      </c>
      <c r="AM219" s="173">
        <f t="shared" si="658"/>
        <v>-0.01</v>
      </c>
      <c r="AN219" s="173">
        <f t="shared" si="659"/>
        <v>0.16</v>
      </c>
      <c r="AO219" s="174">
        <f t="shared" si="660"/>
        <v>0.01</v>
      </c>
      <c r="AP219" s="173">
        <f t="shared" si="661"/>
        <v>-0.01</v>
      </c>
      <c r="AQ219" s="173">
        <f t="shared" si="662"/>
        <v>0.16</v>
      </c>
      <c r="AR219" s="175">
        <f t="shared" si="663"/>
        <v>0.01</v>
      </c>
      <c r="AS219" s="521">
        <f t="shared" si="664"/>
        <v>0.5</v>
      </c>
      <c r="AT219" s="349">
        <f t="shared" si="581"/>
        <v>23</v>
      </c>
      <c r="AU219" s="159">
        <f t="shared" si="582"/>
        <v>4</v>
      </c>
      <c r="AV219" s="159">
        <f t="shared" si="583"/>
        <v>4</v>
      </c>
      <c r="AW219" s="159">
        <f t="shared" si="665"/>
        <v>0</v>
      </c>
      <c r="AX219" s="15">
        <f t="shared" si="584"/>
        <v>31</v>
      </c>
      <c r="AY219" s="607">
        <f>IF(E219="",0,MIN((1-(1-VLOOKUP(B219,MAIN!$AA$7:$AM$28,C219+1))*(1-VLOOKUP(B219,MAIN!$AA$33:$AM$54,C219+1))),1))</f>
        <v>3.0000000000000027E-2</v>
      </c>
      <c r="AZ219" s="337">
        <v>53544</v>
      </c>
      <c r="BA219" s="509">
        <v>9312</v>
      </c>
      <c r="BB219" s="509">
        <v>9312</v>
      </c>
      <c r="BC219" s="511">
        <v>36084</v>
      </c>
      <c r="BD219" s="153">
        <v>0.96999999638646839</v>
      </c>
      <c r="BE219" s="474">
        <v>0.96999999638646839</v>
      </c>
      <c r="BF219" s="474">
        <v>0.96999999638646839</v>
      </c>
      <c r="BG219" s="515">
        <v>0.97000000722706314</v>
      </c>
      <c r="BH219" s="262">
        <v>214176</v>
      </c>
      <c r="BI219" s="509">
        <v>37248</v>
      </c>
      <c r="BJ219" s="509">
        <v>37248</v>
      </c>
      <c r="BK219" s="511">
        <v>144336</v>
      </c>
      <c r="BL219" s="153">
        <v>0.96999999638646839</v>
      </c>
      <c r="BM219" s="474">
        <v>0.96999999638646839</v>
      </c>
      <c r="BN219" s="474">
        <v>0.96999999638646839</v>
      </c>
      <c r="BO219" s="474">
        <v>0.97000000722706314</v>
      </c>
      <c r="BP219" s="261">
        <f t="shared" si="666"/>
        <v>72168</v>
      </c>
      <c r="BQ219" s="578">
        <f t="shared" si="667"/>
        <v>108252</v>
      </c>
      <c r="BR219" s="259">
        <f t="shared" si="668"/>
        <v>288672</v>
      </c>
      <c r="BS219" s="578">
        <f t="shared" si="669"/>
        <v>433008</v>
      </c>
      <c r="BT219" s="216">
        <f t="shared" si="670"/>
        <v>16.878850102669404</v>
      </c>
      <c r="BU219" s="218">
        <f t="shared" si="585"/>
        <v>41.541242076712308</v>
      </c>
      <c r="BV219" s="216">
        <f t="shared" si="586"/>
        <v>41.541242076712308</v>
      </c>
      <c r="BW219" s="216">
        <f t="shared" si="587"/>
        <v>27.038941752161641</v>
      </c>
      <c r="BX219" s="216">
        <f t="shared" si="671"/>
        <v>27.038942054345366</v>
      </c>
      <c r="BY219" s="216">
        <f t="shared" si="588"/>
        <v>39.669977518705771</v>
      </c>
      <c r="BZ219" s="216">
        <f t="shared" si="589"/>
        <v>35.459632363918971</v>
      </c>
      <c r="CA219" s="264">
        <f t="shared" si="590"/>
        <v>41.541242076712308</v>
      </c>
      <c r="CB219" s="216">
        <f t="shared" si="591"/>
        <v>41.541242076712308</v>
      </c>
      <c r="CC219" s="216">
        <f t="shared" si="592"/>
        <v>27.038941752161641</v>
      </c>
      <c r="CD219" s="216">
        <f t="shared" si="672"/>
        <v>27.038942054345366</v>
      </c>
      <c r="CE219" s="216">
        <f t="shared" si="593"/>
        <v>39.669977518705771</v>
      </c>
      <c r="CF219" s="571">
        <f t="shared" si="594"/>
        <v>35.459632363918971</v>
      </c>
      <c r="CG219" s="573">
        <f t="shared" si="595"/>
        <v>0.1</v>
      </c>
      <c r="CH219" s="219">
        <f t="shared" si="596"/>
        <v>0.1</v>
      </c>
      <c r="CI219" s="219">
        <f t="shared" si="597"/>
        <v>0.11</v>
      </c>
      <c r="CJ219" s="219">
        <f t="shared" si="598"/>
        <v>0.10088634470022828</v>
      </c>
      <c r="CK219" s="219">
        <f t="shared" si="599"/>
        <v>0.10088634470022828</v>
      </c>
      <c r="CL219" s="219">
        <f t="shared" si="600"/>
        <v>0.11</v>
      </c>
      <c r="CM219" s="219">
        <f t="shared" si="601"/>
        <v>9.2708983119931976E-2</v>
      </c>
      <c r="CN219" s="569">
        <f t="shared" si="602"/>
        <v>9.2708983119931976E-2</v>
      </c>
      <c r="CO219" s="264">
        <f t="shared" si="685"/>
        <v>24.136054659149909</v>
      </c>
      <c r="CP219" s="216">
        <f t="shared" si="673"/>
        <v>24.136054659149909</v>
      </c>
      <c r="CQ219" s="216">
        <f t="shared" ca="1" si="532"/>
        <v>24.136054659149909</v>
      </c>
      <c r="CR219" s="216">
        <f t="shared" ca="1" si="533"/>
        <v>24.136054659149909</v>
      </c>
      <c r="CS219" s="1626">
        <f t="shared" ca="1" si="534"/>
        <v>24.136054659149909</v>
      </c>
      <c r="CT219" s="216">
        <f t="shared" si="674"/>
        <v>24.136054659149909</v>
      </c>
      <c r="CU219" s="575">
        <f t="shared" si="603"/>
        <v>0.151</v>
      </c>
      <c r="CV219" s="154">
        <f t="shared" si="604"/>
        <v>0.5</v>
      </c>
      <c r="CW219" s="216">
        <f>IF(OR($BQ219,$BS219),SpreadOptPowerMargin,0)*((1+Assumptions!$C$26)^($B219-YEAR(Assumptions!$C$17)))</f>
        <v>2.37506177351317</v>
      </c>
      <c r="CX219" s="216">
        <f>IF(OR($BQ219,$BS219),SpreadOptPowerMargin,0)*((1+Assumptions!$C$26)^($B219-YEAR(Assumptions!$C$17)))</f>
        <v>2.37506177351317</v>
      </c>
      <c r="CY219" s="216">
        <f>IF(OR($BQ219,$BS219),SpreadOptPowerMargin,0)*((1+Assumptions!$C$26)^($B219-YEAR(Assumptions!$C$17)))</f>
        <v>2.37506177351317</v>
      </c>
      <c r="CZ219" s="216">
        <f>IF(OR($BQ219,$BS219),SpreadOptPowerMargin,0)*((1+Assumptions!$C$26)^($B219-YEAR(Assumptions!$C$17)))</f>
        <v>2.37506177351317</v>
      </c>
      <c r="DA219" s="440">
        <f t="shared" si="605"/>
        <v>2.37506177351317</v>
      </c>
      <c r="DB219" s="479">
        <f t="shared" si="606"/>
        <v>0.1</v>
      </c>
      <c r="DC219" s="479">
        <f t="shared" si="607"/>
        <v>0.1</v>
      </c>
      <c r="DD219" s="479">
        <f t="shared" si="608"/>
        <v>0.11</v>
      </c>
      <c r="DE219" s="479">
        <f t="shared" si="609"/>
        <v>0.11</v>
      </c>
      <c r="DF219" s="479">
        <f t="shared" si="610"/>
        <v>9.2708983119931976E-2</v>
      </c>
      <c r="DG219" s="574">
        <f t="shared" si="611"/>
        <v>9.2708983119931976E-2</v>
      </c>
      <c r="DH219" s="216">
        <f t="shared" si="612"/>
        <v>16.768109870417241</v>
      </c>
      <c r="DI219" s="216">
        <f t="shared" si="613"/>
        <v>16.768109870417241</v>
      </c>
      <c r="DJ219" s="216">
        <f t="shared" ca="1" si="535"/>
        <v>5.7308178944037946</v>
      </c>
      <c r="DK219" s="216">
        <f t="shared" ca="1" si="536"/>
        <v>5.7308180822377359</v>
      </c>
      <c r="DL219" s="216">
        <f t="shared" ca="1" si="537"/>
        <v>11.597429605254804</v>
      </c>
      <c r="DM219" s="216"/>
      <c r="DN219" s="216"/>
      <c r="DO219" s="216"/>
      <c r="DP219" s="216"/>
      <c r="DQ219" s="216"/>
      <c r="DR219" s="216"/>
      <c r="DS219" s="216"/>
      <c r="DT219" s="216"/>
      <c r="DU219" s="216"/>
      <c r="DV219" s="216"/>
      <c r="DW219" s="1371">
        <f t="shared" si="614"/>
        <v>5.7308178944037946</v>
      </c>
      <c r="DX219" s="216">
        <f t="shared" si="615"/>
        <v>5.7308180822377359</v>
      </c>
      <c r="DY219" s="440">
        <f t="shared" si="616"/>
        <v>12.13956813663582</v>
      </c>
      <c r="DZ219" s="180">
        <f t="shared" si="617"/>
        <v>897831.67490162072</v>
      </c>
      <c r="EA219" s="180">
        <f t="shared" si="618"/>
        <v>156144.63911332536</v>
      </c>
      <c r="EB219" s="180">
        <f t="shared" ca="1" si="538"/>
        <v>53365.376232688133</v>
      </c>
      <c r="EC219" s="180">
        <f t="shared" ca="1" si="539"/>
        <v>206790.83967946647</v>
      </c>
      <c r="ED219" s="180">
        <f t="shared" ca="1" si="540"/>
        <v>1255444.949628043</v>
      </c>
      <c r="EE219" s="581">
        <f t="shared" si="619"/>
        <v>804773.04748497182</v>
      </c>
      <c r="EF219" s="554">
        <f t="shared" si="620"/>
        <v>139960.52999738642</v>
      </c>
      <c r="EG219" s="554">
        <f t="shared" ca="1" si="541"/>
        <v>4915.1093751705994</v>
      </c>
      <c r="EH219" s="554">
        <f t="shared" ca="1" si="542"/>
        <v>19046.059732783611</v>
      </c>
      <c r="EI219" s="561">
        <f t="shared" ca="1" si="621"/>
        <v>968694.74659031269</v>
      </c>
      <c r="EJ219" s="581">
        <f t="shared" si="675"/>
        <v>93058.627416648902</v>
      </c>
      <c r="EK219" s="554">
        <f t="shared" si="676"/>
        <v>16184.109115938947</v>
      </c>
      <c r="EL219" s="554">
        <f t="shared" ca="1" si="543"/>
        <v>48450.266857517534</v>
      </c>
      <c r="EM219" s="554">
        <f t="shared" ca="1" si="544"/>
        <v>187744.77994668286</v>
      </c>
      <c r="EN219" s="561">
        <f t="shared" ca="1" si="545"/>
        <v>286750.2030377303</v>
      </c>
      <c r="EO219" s="180">
        <f t="shared" si="622"/>
        <v>3591326.6996064829</v>
      </c>
      <c r="EP219" s="180">
        <f t="shared" si="623"/>
        <v>624578.55645330145</v>
      </c>
      <c r="EQ219" s="180">
        <f t="shared" si="624"/>
        <v>213461.50493075253</v>
      </c>
      <c r="ER219" s="180">
        <f t="shared" si="625"/>
        <v>827163.35871786589</v>
      </c>
      <c r="ES219" s="180">
        <f t="shared" si="626"/>
        <v>5256530.119708403</v>
      </c>
      <c r="ET219" s="1482">
        <f t="shared" ca="1" si="546"/>
        <v>3219092.1899398873</v>
      </c>
      <c r="EU219" s="180">
        <f t="shared" ca="1" si="547"/>
        <v>559842.11998954567</v>
      </c>
      <c r="EV219" s="180">
        <f t="shared" ca="1" si="548"/>
        <v>19660.437500682398</v>
      </c>
      <c r="EW219" s="180">
        <f t="shared" ca="1" si="549"/>
        <v>76184.238931134445</v>
      </c>
      <c r="EX219" s="555">
        <f t="shared" ca="1" si="522"/>
        <v>3874778.9863612494</v>
      </c>
      <c r="EY219" s="180">
        <f t="shared" ca="1" si="550"/>
        <v>372234.50966659561</v>
      </c>
      <c r="EZ219" s="180">
        <f t="shared" ca="1" si="551"/>
        <v>64736.436463755788</v>
      </c>
      <c r="FA219" s="180">
        <f t="shared" ca="1" si="552"/>
        <v>193801.06743007014</v>
      </c>
      <c r="FB219" s="180">
        <f t="shared" ca="1" si="553"/>
        <v>750979.11978673143</v>
      </c>
      <c r="FC219" s="180">
        <f t="shared" ca="1" si="554"/>
        <v>1381751.1333471537</v>
      </c>
      <c r="FD219" s="262">
        <f>IF(AX219,IF(VLOOKUP(C219,MAIN!$L$17:$M$28,2)="Yes",VLOOKUP(CALC!B219,MAIN!$H$17:$I$20,2),0),0)</f>
        <v>0</v>
      </c>
      <c r="FE219" s="623">
        <f t="shared" si="627"/>
        <v>0</v>
      </c>
      <c r="FF219" s="535">
        <f t="shared" si="628"/>
        <v>0</v>
      </c>
      <c r="FG219" s="535">
        <f t="shared" si="629"/>
        <v>0</v>
      </c>
      <c r="FH219" s="624">
        <f t="shared" si="630"/>
        <v>0</v>
      </c>
      <c r="FI219" s="632">
        <f>IF(AX219,VLOOKUP(CALC!B219,MAIN!$H$17:$K$20,4),0)</f>
        <v>0</v>
      </c>
      <c r="FJ219" s="535">
        <f t="shared" si="631"/>
        <v>0</v>
      </c>
      <c r="FK219" s="648">
        <f t="shared" si="677"/>
        <v>0</v>
      </c>
      <c r="FL219" s="530">
        <f t="shared" ca="1" si="555"/>
        <v>0</v>
      </c>
      <c r="FM219" s="530">
        <f t="shared" ca="1" si="556"/>
        <v>0</v>
      </c>
      <c r="FN219" s="530">
        <f t="shared" ca="1" si="557"/>
        <v>0</v>
      </c>
      <c r="FO219" s="622">
        <f t="shared" ca="1" si="558"/>
        <v>0</v>
      </c>
      <c r="FP219" s="530">
        <f t="shared" ca="1" si="559"/>
        <v>0</v>
      </c>
      <c r="FQ219" s="530">
        <f t="shared" ca="1" si="560"/>
        <v>0</v>
      </c>
      <c r="FR219" s="530">
        <f t="shared" ca="1" si="561"/>
        <v>0</v>
      </c>
      <c r="FS219" s="625">
        <f t="shared" ca="1" si="562"/>
        <v>0</v>
      </c>
      <c r="FT219" s="640">
        <f ca="1">IF(AND(Assumptions!$H$71="Yes",A219&gt;=Assumptions!$H$72,A219&lt;=Assumptions!$H$73),0,IF(AND($A219&gt;=Assumptions!$C$17,$A219&lt;=Assumptions!$C$18),MAX(AZ219*(1+VLOOKUP($C219,WeatherCapacityAdjustment,2))-FL219,0),0))</f>
        <v>53544</v>
      </c>
      <c r="FU219" s="530">
        <f ca="1">IF(AND(Assumptions!$H$71="Yes",A219&gt;=Assumptions!$H$72,A219&lt;=Assumptions!$H$73),0,IF(AND($A219&gt;=Assumptions!$C$17,$A219&lt;=Assumptions!$C$18),MAX(BA219*(1+VLOOKUP($C219,WeatherCapacityAdjustment,2))-FM219,0),0))</f>
        <v>9312</v>
      </c>
      <c r="FV219" s="530">
        <f ca="1">IF(AND(Assumptions!$H$71="Yes",A219&gt;=Assumptions!$H$72,A219&lt;=Assumptions!$H$73),0,IF(AND($A219&gt;=Assumptions!$C$17,$A219&lt;=Assumptions!$C$18),MAX(BB219*(1+VLOOKUP($C219,WeatherCapacityAdjustment,2))-FN219,0),0))</f>
        <v>9312</v>
      </c>
      <c r="FW219" s="622">
        <f ca="1">IF(AND(Assumptions!$H$71="Yes",A219&gt;=Assumptions!$H$72,A219&lt;=Assumptions!$H$73),0,IF(AND($A219&gt;=Assumptions!$C$17,$A219&lt;=Assumptions!$C$18),MAX(BC219*(1+VLOOKUP($C219,WeatherCapacityAdjustment,3))-FO219,0),0))</f>
        <v>36084</v>
      </c>
      <c r="FX219" s="621">
        <f ca="1">IF(AND(Assumptions!$H$71="Yes",A219&gt;=Assumptions!$H$72,A219&lt;=Assumptions!$H$73),0,IF(ET219&gt;0,MAX(BH219*(1+VLOOKUP($C219,WeatherCapacityAdjustment,2))-FP219,0),0))</f>
        <v>214176</v>
      </c>
      <c r="FY219" s="530">
        <f ca="1">IF(AND(Assumptions!$H$71="Yes",A219&gt;=Assumptions!$H$72,A219&lt;=Assumptions!$H$73),0,IF(EU219&gt;0,MAX(BI219*(1+VLOOKUP($C219,WeatherCapacityAdjustment,3))-FQ219,0),0))</f>
        <v>37248</v>
      </c>
      <c r="FZ219" s="530">
        <f ca="1">IF(AND(Assumptions!$H$71="Yes",A219&gt;=Assumptions!$H$72,A219&lt;=Assumptions!$H$73),0,IF(EV219&gt;0,MAX(BJ219*(1+VLOOKUP($C219,WeatherCapacityAdjustment,2))-FR219,0),0))</f>
        <v>37248</v>
      </c>
      <c r="GA219" s="622">
        <f ca="1">IF(AND(Assumptions!$H$71="Yes",A219&gt;=Assumptions!$H$72,A219&lt;=Assumptions!$H$73),0,IF(EW219&gt;0,MAX(BK219*(1+VLOOKUP($C219,WeatherCapacityAdjustment,2))-FS219,0),0))</f>
        <v>144336</v>
      </c>
      <c r="GB219" s="530">
        <f t="shared" ca="1" si="632"/>
        <v>541260</v>
      </c>
      <c r="GC219" s="545">
        <f t="shared" ca="1" si="633"/>
        <v>35.459632363918971</v>
      </c>
      <c r="GD219" s="530">
        <f t="shared" ca="1" si="563"/>
        <v>19192880.61329478</v>
      </c>
      <c r="GE219" s="1485">
        <f t="shared" ca="1" si="564"/>
        <v>768872.82023999991</v>
      </c>
      <c r="GF219" s="1776">
        <f t="shared" ca="1" si="565"/>
        <v>3075491.2809599997</v>
      </c>
      <c r="GG219" s="545">
        <f t="shared" si="530"/>
        <v>3.3981903380935359</v>
      </c>
      <c r="GH219" s="622">
        <f t="shared" ca="1" si="531"/>
        <v>13063880.944811478</v>
      </c>
      <c r="GI219" s="621">
        <f t="shared" ca="1" si="678"/>
        <v>541260</v>
      </c>
      <c r="GJ219" s="638">
        <f t="shared" si="634"/>
        <v>2.37506177351317</v>
      </c>
      <c r="GK219" s="625">
        <f t="shared" ca="1" si="684"/>
        <v>1285525.9355317384</v>
      </c>
      <c r="GL219" s="640">
        <f t="shared" ca="1" si="566"/>
        <v>0</v>
      </c>
      <c r="GM219" s="530">
        <f t="shared" ca="1" si="567"/>
        <v>0</v>
      </c>
      <c r="GN219" s="530">
        <f t="shared" ca="1" si="568"/>
        <v>0</v>
      </c>
      <c r="GO219" s="622">
        <f t="shared" ca="1" si="569"/>
        <v>0</v>
      </c>
      <c r="GP219" s="530">
        <f t="shared" ca="1" si="635"/>
        <v>0</v>
      </c>
      <c r="GQ219" s="545">
        <f t="shared" ca="1" si="636"/>
        <v>0</v>
      </c>
      <c r="GR219" s="625">
        <f t="shared" ca="1" si="570"/>
        <v>0</v>
      </c>
      <c r="GS219" s="640">
        <f>IF($A219&gt;=BegDate,Assumptions!$C$56*24*($A220-$A219)*(1-VLOOKUP($B219,MAIN!$AA$7:$AM$28,$C219+1))*(1-VLOOKUP($B219,MAIN!$AA$33:$AM$54,$C219+1)),0)*80/168</f>
        <v>257742.85714285713</v>
      </c>
      <c r="GT219" s="1715">
        <f t="shared" si="679"/>
        <v>41.541242231465496</v>
      </c>
      <c r="GU219" s="1715">
        <f>IF($A219&gt;=BegDate,VLOOKUP($A219,GasTable,13)+Assumptions!$C$58,0)</f>
        <v>3.3981903380935359</v>
      </c>
      <c r="GV219" s="1715">
        <f>GU219*Assumptions!$C$57/1000</f>
        <v>24.636879951178138</v>
      </c>
      <c r="GW219" s="625">
        <f>IF(Assumptions!$C$60="Hourly",MAX(0,GS219*(GT219-GV219)),GS219*(GT219-GV219))</f>
        <v>4356978.6322992072</v>
      </c>
      <c r="GX219" s="640">
        <f>IF($A219&gt;=BegDate,Assumptions!$C$56*24*($A220-$A219)*(1-VLOOKUP($B219,MAIN!$AA$7:$AM$28,$C219+1))*(1-VLOOKUP($B219,MAIN!$AA$33:$AM$54,$C219+1)),0)*16/168</f>
        <v>51548.571428571428</v>
      </c>
      <c r="GY219" s="1715">
        <f t="shared" si="680"/>
        <v>41.541242231465496</v>
      </c>
      <c r="GZ219" s="1715">
        <f>IF($A219&gt;=BegDate,VLOOKUP($A219,GasTable,13)+Assumptions!$C$58,0)</f>
        <v>3.3981903380935359</v>
      </c>
      <c r="HA219" s="1715">
        <f>GZ219*Assumptions!$C$57/1000</f>
        <v>24.636879951178138</v>
      </c>
      <c r="HB219" s="625">
        <f>IF(Assumptions!$C$60="Hourly",MAX(0,GX219*(GY219-HA219)),GX219*(GY219-HA219))</f>
        <v>871395.72645984148</v>
      </c>
      <c r="HC219" s="640">
        <f>IF($A219&gt;=BegDate,Assumptions!$C$56*24*($A220-$A219)*(1-VLOOKUP($B219,MAIN!$AA$7:$AM$28,$C219+1))*(1-VLOOKUP($B219,MAIN!$AA$33:$AM$54,$C219+1)),0)*16/168</f>
        <v>51548.571428571428</v>
      </c>
      <c r="HD219" s="1715">
        <f t="shared" si="681"/>
        <v>27.03894185288955</v>
      </c>
      <c r="HE219" s="1715">
        <f>IF($A219&gt;=BegDate,VLOOKUP($A219,GasTable,13)+Assumptions!$C$58,0)</f>
        <v>3.3981903380935359</v>
      </c>
      <c r="HF219" s="1715">
        <f>HE219*Assumptions!$C$57/1000</f>
        <v>24.636879951178138</v>
      </c>
      <c r="HG219" s="625">
        <f>IF(Assumptions!$C$60="Hourly",MAX(0,HC219*(HD219-HF219)),HC219*(HD219-HF219))</f>
        <v>123822.85951622088</v>
      </c>
      <c r="HH219" s="640">
        <f>IF($A219&gt;=BegDate,Assumptions!$C$56*24*($A220-$A219)*(1-VLOOKUP($B219,MAIN!$AA$7:$AM$28,$C219+1))*(1-VLOOKUP($B219,MAIN!$AA$33:$AM$54,$C219+1)),0)*56/168</f>
        <v>180420</v>
      </c>
      <c r="HI219" s="1715">
        <f t="shared" si="682"/>
        <v>27.03894185288955</v>
      </c>
      <c r="HJ219" s="1715">
        <f>IF($A219&gt;=BegDate,VLOOKUP($A219,GasTable,13)+Assumptions!$C$58,0)</f>
        <v>3.3981903380935359</v>
      </c>
      <c r="HK219" s="1715">
        <f>HJ219*Assumptions!$C$57/1000</f>
        <v>24.636879951178138</v>
      </c>
      <c r="HL219" s="625">
        <f>IF(Assumptions!$C$60="Hourly",MAX(0,HH219*(HI219-HK219)),HH219*(HI219-HK219))</f>
        <v>433380.00830677309</v>
      </c>
      <c r="HM219" s="640">
        <f>IF(AND(Assumptions!$H$71="Yes",A219&gt;=Assumptions!$H$72,A219&lt;=Assumptions!$H$73),Assumptions!$H$74*Assumptions!$C$9*1000,0)</f>
        <v>0</v>
      </c>
      <c r="HN219" s="530"/>
      <c r="HO219" s="545"/>
      <c r="HP219" s="545"/>
      <c r="HQ219" s="545"/>
      <c r="HR219" s="545"/>
      <c r="HS219" s="545"/>
      <c r="HT219" s="545"/>
      <c r="HU219" s="545"/>
      <c r="HV219" s="545"/>
      <c r="HW219" s="545"/>
      <c r="HX219" s="545"/>
      <c r="HY219" s="545"/>
      <c r="HZ219" s="545"/>
      <c r="IA219" s="545"/>
      <c r="IB219" s="545"/>
      <c r="IC219" s="545"/>
      <c r="ID219" s="545"/>
      <c r="IE219" s="545"/>
      <c r="IF219" s="545"/>
      <c r="IG219" s="545"/>
      <c r="IH219" s="545"/>
      <c r="II219" s="1464"/>
      <c r="IJ219" s="1463"/>
      <c r="IK219" s="1463"/>
    </row>
    <row r="220" spans="1:245">
      <c r="A220" s="177">
        <f t="shared" si="637"/>
        <v>42826</v>
      </c>
      <c r="B220" s="349">
        <f t="shared" si="638"/>
        <v>2017</v>
      </c>
      <c r="C220" s="15">
        <f t="shared" si="578"/>
        <v>4</v>
      </c>
      <c r="D220" s="612" t="str">
        <f t="shared" si="639"/>
        <v/>
      </c>
      <c r="E220" s="609">
        <f t="shared" si="579"/>
        <v>42826</v>
      </c>
      <c r="F220" s="614">
        <f t="shared" si="580"/>
        <v>42855</v>
      </c>
      <c r="G220" s="1349">
        <v>0</v>
      </c>
      <c r="H220" s="152">
        <f t="shared" si="683"/>
        <v>1</v>
      </c>
      <c r="I220" s="154">
        <f>IF(Assumptions!$L$25=4,VLOOKUP($A220,'Henwood Reference'!$E$9:$R$320,10),(VLOOKUP($A220,PriceTable,2,0)+IF(BasisNumber&lt;&gt;1,VLOOKUP($A220,BasisTable,2,0),0)+I$1)/(1-I$2))</f>
        <v>41.064039955804716</v>
      </c>
      <c r="J220" s="154">
        <f>IF(Assumptions!$L$25=4,VLOOKUP($A220,'Henwood Reference'!$E$9:$R$320,10),(VLOOKUP($A220,PriceTable,3,0)+IF(BasisNumber&lt;&gt;1,VLOOKUP($A220,BasisTable,2,0),0)+J$1)/(1-J$2))</f>
        <v>41.064039955804716</v>
      </c>
      <c r="K220" s="154">
        <f>IF(Assumptions!$L$25=4,VLOOKUP($A220,'Henwood Reference'!$E$9:$R$320,10),(VLOOKUP($A220,PriceTable,4,0)+IF(BasisNumber&lt;&gt;1,VLOOKUP($A220,BasisTable,2,0),0)+K$1)/(1-K$2))</f>
        <v>41.064039955804716</v>
      </c>
      <c r="L220" s="474">
        <f>IF(Assumptions!$L$25=4,VLOOKUP($A220,'Henwood Reference'!$E$9:$R$320,10),(VLOOKUP($A220,PriceTableWeekend,2,0)+IF(BasisNumber&lt;&gt;1,VLOOKUP($A220,BasisTable,2,0),0)+L$1)/(1-L$2))</f>
        <v>41.064039955804716</v>
      </c>
      <c r="M220" s="154">
        <f>IF(Assumptions!$L$25=4,VLOOKUP($A220,'Henwood Reference'!$E$9:$R$320,10),(VLOOKUP($A220,PriceTableWeekend,3,0)+IF(BasisNumber&lt;&gt;1,VLOOKUP($A220,BasisTable,2,0),0)+M$1)/(1-M$2))</f>
        <v>41.064039955804716</v>
      </c>
      <c r="N220" s="156">
        <f>IF(Assumptions!$L$25=4,VLOOKUP($A220,'Henwood Reference'!$E$9:$R$320,10),(VLOOKUP($A220,PriceTableWeekend,4,0)+IF(BasisNumber&lt;&gt;1,VLOOKUP($A220,BasisTable,2,0),0)+N$1)/(1-N$2))</f>
        <v>41.064039955804716</v>
      </c>
      <c r="O220" s="154">
        <f>IF(Assumptions!$L$25=4,VLOOKUP($A220,'Henwood Reference'!$E$9:$R$320,11),(VLOOKUP($A220,PriceTableWeekend,6,0)+IF(BasisNumber&lt;&gt;1,VLOOKUP($A220,BasisTable,3,0),0)+O$1)/(1-O$2))</f>
        <v>28.138271391097529</v>
      </c>
      <c r="P220" s="154">
        <f>IF(Assumptions!$L$25=4,VLOOKUP($A220,'Henwood Reference'!$E$9:$R$320,11),(VLOOKUP($A220,PriceTableWeekend,7,0)+IF(BasisNumber&lt;&gt;1,VLOOKUP($A220,BasisTable,3,0),0)+P$1)/(1-P$2))</f>
        <v>28.138271391097529</v>
      </c>
      <c r="Q220" s="156">
        <f>IF(Assumptions!$L$25=4,VLOOKUP($A220,'Henwood Reference'!$E$9:$R$320,11),(VLOOKUP($A220,PriceTableWeekend,8,0)+IF(BasisNumber&lt;&gt;1,VLOOKUP($A220,BasisTable,3,0),0)+Q$1)/(1-Q$2))</f>
        <v>28.138271391097529</v>
      </c>
      <c r="R220" s="154">
        <f>IF(Assumptions!$L$25=4,VLOOKUP($A220,'Henwood Reference'!$E$9:$R$320,11),(VLOOKUP($A220,PriceTable,6,0)+IF(BasisNumber&lt;&gt;1,VLOOKUP($A220,BasisTable,3,0),0)+R$1)/(1-R$2))</f>
        <v>28.138271391097529</v>
      </c>
      <c r="S220" s="154">
        <f>IF(Assumptions!$L$25=4,VLOOKUP($A220,'Henwood Reference'!$E$9:$R$320,11),(VLOOKUP($A220,PriceTable,7,0)+IF(BasisNumber&lt;&gt;1,VLOOKUP($A220,BasisTable,3,0),0)+S$1)/(1-S$2))</f>
        <v>28.138271391097529</v>
      </c>
      <c r="T220" s="155">
        <f>IF(Assumptions!$L$25=4,VLOOKUP($A220,'Henwood Reference'!$E$9:$R$320,11),(VLOOKUP($A220,PriceTable,8,0)+IF(BasisNumber&lt;&gt;1,VLOOKUP($A220,BasisTable,3,0),0)+T$1)/(1-T$2))</f>
        <v>28.138271391097529</v>
      </c>
      <c r="U220" s="173">
        <f t="shared" si="640"/>
        <v>0.09</v>
      </c>
      <c r="V220" s="173">
        <f t="shared" si="641"/>
        <v>0.1</v>
      </c>
      <c r="W220" s="174">
        <f t="shared" si="642"/>
        <v>0.11</v>
      </c>
      <c r="X220" s="173">
        <f t="shared" si="643"/>
        <v>0.09</v>
      </c>
      <c r="Y220" s="173">
        <f t="shared" si="644"/>
        <v>0.1</v>
      </c>
      <c r="Z220" s="174">
        <f t="shared" si="645"/>
        <v>0.11</v>
      </c>
      <c r="AA220" s="173">
        <f t="shared" si="646"/>
        <v>0.09</v>
      </c>
      <c r="AB220" s="173">
        <f t="shared" si="647"/>
        <v>0.11</v>
      </c>
      <c r="AC220" s="174">
        <f t="shared" si="648"/>
        <v>0.13</v>
      </c>
      <c r="AD220" s="173">
        <f t="shared" si="649"/>
        <v>0.09</v>
      </c>
      <c r="AE220" s="173">
        <f t="shared" si="650"/>
        <v>0.11</v>
      </c>
      <c r="AF220" s="174">
        <f t="shared" si="651"/>
        <v>0.13</v>
      </c>
      <c r="AG220" s="173">
        <f t="shared" si="652"/>
        <v>-0.1</v>
      </c>
      <c r="AH220" s="173">
        <f t="shared" si="653"/>
        <v>0.65</v>
      </c>
      <c r="AI220" s="174">
        <f t="shared" si="654"/>
        <v>0.1</v>
      </c>
      <c r="AJ220" s="173">
        <f t="shared" si="655"/>
        <v>-0.1</v>
      </c>
      <c r="AK220" s="173">
        <f t="shared" si="656"/>
        <v>0.65</v>
      </c>
      <c r="AL220" s="174">
        <f t="shared" si="657"/>
        <v>0.1</v>
      </c>
      <c r="AM220" s="173">
        <f t="shared" si="658"/>
        <v>-0.01</v>
      </c>
      <c r="AN220" s="173">
        <f t="shared" si="659"/>
        <v>0.16</v>
      </c>
      <c r="AO220" s="174">
        <f t="shared" si="660"/>
        <v>0.01</v>
      </c>
      <c r="AP220" s="173">
        <f t="shared" si="661"/>
        <v>-0.01</v>
      </c>
      <c r="AQ220" s="173">
        <f t="shared" si="662"/>
        <v>0.16</v>
      </c>
      <c r="AR220" s="175">
        <f t="shared" si="663"/>
        <v>0.01</v>
      </c>
      <c r="AS220" s="521">
        <f t="shared" si="664"/>
        <v>0.5</v>
      </c>
      <c r="AT220" s="349">
        <f t="shared" si="581"/>
        <v>20</v>
      </c>
      <c r="AU220" s="159">
        <f t="shared" si="582"/>
        <v>5</v>
      </c>
      <c r="AV220" s="159">
        <f t="shared" si="583"/>
        <v>5</v>
      </c>
      <c r="AW220" s="159">
        <f t="shared" si="665"/>
        <v>0</v>
      </c>
      <c r="AX220" s="15">
        <f t="shared" si="584"/>
        <v>30</v>
      </c>
      <c r="AY220" s="607">
        <f>IF(E220="",0,MIN((1-(1-VLOOKUP(B220,MAIN!$AA$7:$AM$28,C220+1))*(1-VLOOKUP(B220,MAIN!$AA$33:$AM$54,C220+1))),1))</f>
        <v>0.127</v>
      </c>
      <c r="AZ220" s="337">
        <v>41904</v>
      </c>
      <c r="BA220" s="509">
        <v>10476</v>
      </c>
      <c r="BB220" s="509">
        <v>10476</v>
      </c>
      <c r="BC220" s="511">
        <v>31428</v>
      </c>
      <c r="BD220" s="153">
        <v>0.873</v>
      </c>
      <c r="BE220" s="474">
        <v>0.873</v>
      </c>
      <c r="BF220" s="474">
        <v>0.873</v>
      </c>
      <c r="BG220" s="515">
        <v>0.87300000650435683</v>
      </c>
      <c r="BH220" s="262">
        <v>167616</v>
      </c>
      <c r="BI220" s="509">
        <v>41904</v>
      </c>
      <c r="BJ220" s="509">
        <v>41904</v>
      </c>
      <c r="BK220" s="511">
        <v>125712</v>
      </c>
      <c r="BL220" s="153">
        <v>0.873</v>
      </c>
      <c r="BM220" s="474">
        <v>0.873</v>
      </c>
      <c r="BN220" s="474">
        <v>0.873</v>
      </c>
      <c r="BO220" s="474">
        <v>0.87300000650435683</v>
      </c>
      <c r="BP220" s="261">
        <f t="shared" si="666"/>
        <v>62856</v>
      </c>
      <c r="BQ220" s="578">
        <f t="shared" si="667"/>
        <v>94284</v>
      </c>
      <c r="BR220" s="259">
        <f t="shared" si="668"/>
        <v>251424</v>
      </c>
      <c r="BS220" s="578">
        <f t="shared" si="669"/>
        <v>377136</v>
      </c>
      <c r="BT220" s="216">
        <f t="shared" si="670"/>
        <v>16.963723477070499</v>
      </c>
      <c r="BU220" s="218">
        <f t="shared" si="585"/>
        <v>41.064039955804716</v>
      </c>
      <c r="BV220" s="216">
        <f t="shared" si="586"/>
        <v>41.064039955804716</v>
      </c>
      <c r="BW220" s="216">
        <f t="shared" si="587"/>
        <v>28.138271391097529</v>
      </c>
      <c r="BX220" s="216">
        <f t="shared" si="671"/>
        <v>28.138271600743987</v>
      </c>
      <c r="BY220" s="216">
        <f t="shared" si="588"/>
        <v>38.909745195020193</v>
      </c>
      <c r="BZ220" s="216">
        <f t="shared" si="589"/>
        <v>35.319253996928126</v>
      </c>
      <c r="CA220" s="264">
        <f t="shared" si="590"/>
        <v>41.064039955804716</v>
      </c>
      <c r="CB220" s="216">
        <f t="shared" si="591"/>
        <v>41.064039955804716</v>
      </c>
      <c r="CC220" s="216">
        <f t="shared" si="592"/>
        <v>28.138271391097529</v>
      </c>
      <c r="CD220" s="216">
        <f t="shared" si="672"/>
        <v>28.138271600743987</v>
      </c>
      <c r="CE220" s="216">
        <f t="shared" si="593"/>
        <v>38.909745195020193</v>
      </c>
      <c r="CF220" s="571">
        <f t="shared" si="594"/>
        <v>35.319253996928126</v>
      </c>
      <c r="CG220" s="573">
        <f t="shared" si="595"/>
        <v>0.1</v>
      </c>
      <c r="CH220" s="219">
        <f t="shared" si="596"/>
        <v>0.1</v>
      </c>
      <c r="CI220" s="219">
        <f t="shared" si="597"/>
        <v>0.11</v>
      </c>
      <c r="CJ220" s="219">
        <f t="shared" si="598"/>
        <v>0.10121442441953697</v>
      </c>
      <c r="CK220" s="219">
        <f t="shared" si="599"/>
        <v>0.10121442441953697</v>
      </c>
      <c r="CL220" s="219">
        <f t="shared" si="600"/>
        <v>0.11</v>
      </c>
      <c r="CM220" s="219">
        <f t="shared" si="601"/>
        <v>9.2738879933970633E-2</v>
      </c>
      <c r="CN220" s="569">
        <f t="shared" si="602"/>
        <v>9.2738879933970633E-2</v>
      </c>
      <c r="CO220" s="264">
        <f t="shared" si="685"/>
        <v>23.382314671906105</v>
      </c>
      <c r="CP220" s="216">
        <f t="shared" si="673"/>
        <v>23.382314671906105</v>
      </c>
      <c r="CQ220" s="216">
        <f t="shared" ca="1" si="532"/>
        <v>23.382314671906105</v>
      </c>
      <c r="CR220" s="216">
        <f t="shared" ca="1" si="533"/>
        <v>23.382314671906105</v>
      </c>
      <c r="CS220" s="1626">
        <f t="shared" ca="1" si="534"/>
        <v>23.382314671906105</v>
      </c>
      <c r="CT220" s="216">
        <f t="shared" si="674"/>
        <v>23.382314671906105</v>
      </c>
      <c r="CU220" s="575">
        <f t="shared" si="603"/>
        <v>0.151</v>
      </c>
      <c r="CV220" s="154">
        <f t="shared" si="604"/>
        <v>0.5</v>
      </c>
      <c r="CW220" s="216">
        <f>IF(OR($BQ220,$BS220),SpreadOptPowerMargin,0)*((1+Assumptions!$C$26)^($B220-YEAR(Assumptions!$C$17)))</f>
        <v>2.37506177351317</v>
      </c>
      <c r="CX220" s="216">
        <f>IF(OR($BQ220,$BS220),SpreadOptPowerMargin,0)*((1+Assumptions!$C$26)^($B220-YEAR(Assumptions!$C$17)))</f>
        <v>2.37506177351317</v>
      </c>
      <c r="CY220" s="216">
        <f>IF(OR($BQ220,$BS220),SpreadOptPowerMargin,0)*((1+Assumptions!$C$26)^($B220-YEAR(Assumptions!$C$17)))</f>
        <v>2.37506177351317</v>
      </c>
      <c r="CZ220" s="216">
        <f>IF(OR($BQ220,$BS220),SpreadOptPowerMargin,0)*((1+Assumptions!$C$26)^($B220-YEAR(Assumptions!$C$17)))</f>
        <v>2.37506177351317</v>
      </c>
      <c r="DA220" s="440">
        <f t="shared" si="605"/>
        <v>2.37506177351317</v>
      </c>
      <c r="DB220" s="479">
        <f t="shared" si="606"/>
        <v>0.1</v>
      </c>
      <c r="DC220" s="479">
        <f t="shared" si="607"/>
        <v>0.1</v>
      </c>
      <c r="DD220" s="479">
        <f t="shared" si="608"/>
        <v>0.11</v>
      </c>
      <c r="DE220" s="479">
        <f t="shared" si="609"/>
        <v>0.11</v>
      </c>
      <c r="DF220" s="479">
        <f t="shared" si="610"/>
        <v>9.2738879933970633E-2</v>
      </c>
      <c r="DG220" s="574">
        <f t="shared" si="611"/>
        <v>9.2738879933970633E-2</v>
      </c>
      <c r="DH220" s="216">
        <f t="shared" si="612"/>
        <v>16.911458692575014</v>
      </c>
      <c r="DI220" s="216">
        <f t="shared" si="613"/>
        <v>16.911458692575014</v>
      </c>
      <c r="DJ220" s="216">
        <f t="shared" ca="1" si="535"/>
        <v>6.7785574117154992</v>
      </c>
      <c r="DK220" s="216">
        <f t="shared" ca="1" si="536"/>
        <v>6.7785575523916393</v>
      </c>
      <c r="DL220" s="216">
        <f t="shared" ca="1" si="537"/>
        <v>11.970400484224946</v>
      </c>
      <c r="DM220" s="216"/>
      <c r="DN220" s="216"/>
      <c r="DO220" s="216"/>
      <c r="DP220" s="216"/>
      <c r="DQ220" s="216"/>
      <c r="DR220" s="216"/>
      <c r="DS220" s="216"/>
      <c r="DT220" s="216"/>
      <c r="DU220" s="216"/>
      <c r="DV220" s="216"/>
      <c r="DW220" s="1371">
        <f t="shared" si="614"/>
        <v>6.7785574117154992</v>
      </c>
      <c r="DX220" s="216">
        <f t="shared" si="615"/>
        <v>6.7785575523916393</v>
      </c>
      <c r="DY220" s="440">
        <f t="shared" si="616"/>
        <v>12.407947059085053</v>
      </c>
      <c r="DZ220" s="180">
        <f t="shared" si="617"/>
        <v>708657.7650536634</v>
      </c>
      <c r="EA220" s="180">
        <f t="shared" si="618"/>
        <v>177164.44126341585</v>
      </c>
      <c r="EB220" s="180">
        <f t="shared" ca="1" si="538"/>
        <v>71012.167445131563</v>
      </c>
      <c r="EC220" s="180">
        <f t="shared" ca="1" si="539"/>
        <v>213036.50675656443</v>
      </c>
      <c r="ED220" s="180">
        <f t="shared" ca="1" si="540"/>
        <v>1128617.2392546649</v>
      </c>
      <c r="EE220" s="581">
        <f t="shared" si="619"/>
        <v>641410.42773919157</v>
      </c>
      <c r="EF220" s="554">
        <f t="shared" si="620"/>
        <v>160352.60693479789</v>
      </c>
      <c r="EG220" s="554">
        <f t="shared" ca="1" si="541"/>
        <v>24942.255450925386</v>
      </c>
      <c r="EH220" s="554">
        <f t="shared" ca="1" si="542"/>
        <v>74826.772941545045</v>
      </c>
      <c r="EI220" s="561">
        <f t="shared" ca="1" si="621"/>
        <v>901532.06306646043</v>
      </c>
      <c r="EJ220" s="581">
        <f t="shared" si="675"/>
        <v>67247.337314471835</v>
      </c>
      <c r="EK220" s="554">
        <f t="shared" si="676"/>
        <v>16811.834328617959</v>
      </c>
      <c r="EL220" s="554">
        <f t="shared" ca="1" si="543"/>
        <v>46069.911994206181</v>
      </c>
      <c r="EM220" s="554">
        <f t="shared" ca="1" si="544"/>
        <v>138209.73381501937</v>
      </c>
      <c r="EN220" s="561">
        <f t="shared" ca="1" si="545"/>
        <v>227085.17618820444</v>
      </c>
      <c r="EO220" s="180">
        <f t="shared" si="622"/>
        <v>2834631.0602146536</v>
      </c>
      <c r="EP220" s="180">
        <f t="shared" si="623"/>
        <v>708657.7650536634</v>
      </c>
      <c r="EQ220" s="180">
        <f t="shared" si="624"/>
        <v>284048.66978052625</v>
      </c>
      <c r="ER220" s="180">
        <f t="shared" si="625"/>
        <v>852146.02702625771</v>
      </c>
      <c r="ES220" s="180">
        <f t="shared" si="626"/>
        <v>4679483.5220751008</v>
      </c>
      <c r="ET220" s="1482">
        <f t="shared" ca="1" si="546"/>
        <v>2565641.7109567663</v>
      </c>
      <c r="EU220" s="180">
        <f t="shared" ca="1" si="547"/>
        <v>641410.42773919157</v>
      </c>
      <c r="EV220" s="180">
        <f t="shared" ca="1" si="548"/>
        <v>99769.021803701544</v>
      </c>
      <c r="EW220" s="180">
        <f t="shared" ca="1" si="549"/>
        <v>299307.09176618018</v>
      </c>
      <c r="EX220" s="555">
        <f t="shared" ca="1" si="522"/>
        <v>3606128.2522658398</v>
      </c>
      <c r="EY220" s="180">
        <f t="shared" ca="1" si="550"/>
        <v>268989.34925788734</v>
      </c>
      <c r="EZ220" s="180">
        <f t="shared" ca="1" si="551"/>
        <v>67247.337314471835</v>
      </c>
      <c r="FA220" s="180">
        <f t="shared" ca="1" si="552"/>
        <v>184279.64797682472</v>
      </c>
      <c r="FB220" s="180">
        <f t="shared" ca="1" si="553"/>
        <v>552838.93526007747</v>
      </c>
      <c r="FC220" s="180">
        <f t="shared" ca="1" si="554"/>
        <v>1073355.269809261</v>
      </c>
      <c r="FD220" s="262">
        <f>IF(AX220,IF(VLOOKUP(C220,MAIN!$L$17:$M$28,2)="Yes",VLOOKUP(CALC!B220,MAIN!$H$17:$I$20,2),0),0)</f>
        <v>0</v>
      </c>
      <c r="FE220" s="623">
        <f t="shared" si="627"/>
        <v>0</v>
      </c>
      <c r="FF220" s="535">
        <f t="shared" si="628"/>
        <v>0</v>
      </c>
      <c r="FG220" s="535">
        <f t="shared" si="629"/>
        <v>0</v>
      </c>
      <c r="FH220" s="624">
        <f t="shared" si="630"/>
        <v>0</v>
      </c>
      <c r="FI220" s="632">
        <f>IF(AX220,VLOOKUP(CALC!B220,MAIN!$H$17:$K$20,4),0)</f>
        <v>0</v>
      </c>
      <c r="FJ220" s="535">
        <f t="shared" si="631"/>
        <v>0</v>
      </c>
      <c r="FK220" s="648">
        <f t="shared" si="677"/>
        <v>0</v>
      </c>
      <c r="FL220" s="530">
        <f t="shared" ca="1" si="555"/>
        <v>0</v>
      </c>
      <c r="FM220" s="530">
        <f t="shared" ca="1" si="556"/>
        <v>0</v>
      </c>
      <c r="FN220" s="530">
        <f t="shared" ca="1" si="557"/>
        <v>0</v>
      </c>
      <c r="FO220" s="622">
        <f t="shared" ca="1" si="558"/>
        <v>0</v>
      </c>
      <c r="FP220" s="530">
        <f t="shared" ca="1" si="559"/>
        <v>0</v>
      </c>
      <c r="FQ220" s="530">
        <f t="shared" ca="1" si="560"/>
        <v>0</v>
      </c>
      <c r="FR220" s="530">
        <f t="shared" ca="1" si="561"/>
        <v>0</v>
      </c>
      <c r="FS220" s="625">
        <f t="shared" ca="1" si="562"/>
        <v>0</v>
      </c>
      <c r="FT220" s="640">
        <f ca="1">IF(AND(Assumptions!$H$71="Yes",A220&gt;=Assumptions!$H$72,A220&lt;=Assumptions!$H$73),0,IF(AND($A220&gt;=Assumptions!$C$17,$A220&lt;=Assumptions!$C$18),MAX(AZ220*(1+VLOOKUP($C220,WeatherCapacityAdjustment,2))-FL220,0),0))</f>
        <v>41904</v>
      </c>
      <c r="FU220" s="530">
        <f ca="1">IF(AND(Assumptions!$H$71="Yes",A220&gt;=Assumptions!$H$72,A220&lt;=Assumptions!$H$73),0,IF(AND($A220&gt;=Assumptions!$C$17,$A220&lt;=Assumptions!$C$18),MAX(BA220*(1+VLOOKUP($C220,WeatherCapacityAdjustment,2))-FM220,0),0))</f>
        <v>10476</v>
      </c>
      <c r="FV220" s="530">
        <f ca="1">IF(AND(Assumptions!$H$71="Yes",A220&gt;=Assumptions!$H$72,A220&lt;=Assumptions!$H$73),0,IF(AND($A220&gt;=Assumptions!$C$17,$A220&lt;=Assumptions!$C$18),MAX(BB220*(1+VLOOKUP($C220,WeatherCapacityAdjustment,2))-FN220,0),0))</f>
        <v>10476</v>
      </c>
      <c r="FW220" s="622">
        <f ca="1">IF(AND(Assumptions!$H$71="Yes",A220&gt;=Assumptions!$H$72,A220&lt;=Assumptions!$H$73),0,IF(AND($A220&gt;=Assumptions!$C$17,$A220&lt;=Assumptions!$C$18),MAX(BC220*(1+VLOOKUP($C220,WeatherCapacityAdjustment,3))-FO220,0),0))</f>
        <v>31428</v>
      </c>
      <c r="FX220" s="621">
        <f ca="1">IF(AND(Assumptions!$H$71="Yes",A220&gt;=Assumptions!$H$72,A220&lt;=Assumptions!$H$73),0,IF(ET220&gt;0,MAX(BH220*(1+VLOOKUP($C220,WeatherCapacityAdjustment,2))-FP220,0),0))</f>
        <v>167616</v>
      </c>
      <c r="FY220" s="530">
        <f ca="1">IF(AND(Assumptions!$H$71="Yes",A220&gt;=Assumptions!$H$72,A220&lt;=Assumptions!$H$73),0,IF(EU220&gt;0,MAX(BI220*(1+VLOOKUP($C220,WeatherCapacityAdjustment,3))-FQ220,0),0))</f>
        <v>41904</v>
      </c>
      <c r="FZ220" s="530">
        <f ca="1">IF(AND(Assumptions!$H$71="Yes",A220&gt;=Assumptions!$H$72,A220&lt;=Assumptions!$H$73),0,IF(EV220&gt;0,MAX(BJ220*(1+VLOOKUP($C220,WeatherCapacityAdjustment,2))-FR220,0),0))</f>
        <v>41904</v>
      </c>
      <c r="GA220" s="622">
        <f ca="1">IF(AND(Assumptions!$H$71="Yes",A220&gt;=Assumptions!$H$72,A220&lt;=Assumptions!$H$73),0,IF(EW220&gt;0,MAX(BK220*(1+VLOOKUP($C220,WeatherCapacityAdjustment,2))-FS220,0),0))</f>
        <v>125712</v>
      </c>
      <c r="GB220" s="530">
        <f t="shared" ca="1" si="632"/>
        <v>471420</v>
      </c>
      <c r="GC220" s="545">
        <f t="shared" ca="1" si="633"/>
        <v>35.319253996928119</v>
      </c>
      <c r="GD220" s="530">
        <f t="shared" ca="1" si="563"/>
        <v>16650202.719231855</v>
      </c>
      <c r="GE220" s="1485">
        <f t="shared" ca="1" si="564"/>
        <v>669940.61904000002</v>
      </c>
      <c r="GF220" s="1776">
        <f t="shared" ca="1" si="565"/>
        <v>2679762.4761600001</v>
      </c>
      <c r="GG220" s="545">
        <f t="shared" si="530"/>
        <v>3.290706808739368</v>
      </c>
      <c r="GH220" s="622">
        <f t="shared" ca="1" si="531"/>
        <v>11022890.782629976</v>
      </c>
      <c r="GI220" s="621">
        <f t="shared" ca="1" si="678"/>
        <v>471420</v>
      </c>
      <c r="GJ220" s="638">
        <f t="shared" si="634"/>
        <v>2.37506177351317</v>
      </c>
      <c r="GK220" s="625">
        <f t="shared" ca="1" si="684"/>
        <v>1119651.6212695786</v>
      </c>
      <c r="GL220" s="640">
        <f t="shared" ca="1" si="566"/>
        <v>0</v>
      </c>
      <c r="GM220" s="530">
        <f t="shared" ca="1" si="567"/>
        <v>0</v>
      </c>
      <c r="GN220" s="530">
        <f t="shared" ca="1" si="568"/>
        <v>0</v>
      </c>
      <c r="GO220" s="622">
        <f t="shared" ca="1" si="569"/>
        <v>0</v>
      </c>
      <c r="GP220" s="530">
        <f t="shared" ca="1" si="635"/>
        <v>0</v>
      </c>
      <c r="GQ220" s="545">
        <f t="shared" ca="1" si="636"/>
        <v>0</v>
      </c>
      <c r="GR220" s="625">
        <f t="shared" ca="1" si="570"/>
        <v>0</v>
      </c>
      <c r="GS220" s="640">
        <f>IF($A220&gt;=BegDate,Assumptions!$C$56*24*($A221-$A220)*(1-VLOOKUP($B220,MAIN!$AA$7:$AM$28,$C220+1))*(1-VLOOKUP($B220,MAIN!$AA$33:$AM$54,$C220+1)),0)*80/168</f>
        <v>224485.71428571429</v>
      </c>
      <c r="GT220" s="1715">
        <f t="shared" si="679"/>
        <v>41.064039955804716</v>
      </c>
      <c r="GU220" s="1715">
        <f>IF($A220&gt;=BegDate,VLOOKUP($A220,GasTable,13)+Assumptions!$C$58,0)</f>
        <v>3.290706808739368</v>
      </c>
      <c r="GV220" s="1715">
        <f>GU220*Assumptions!$C$57/1000</f>
        <v>23.857624363360419</v>
      </c>
      <c r="GW220" s="625">
        <f>IF(Assumptions!$C$60="Hourly",MAX(0,GS220*(GT220-GV220)),GS220*(GT220-GV220))</f>
        <v>3862594.4945667102</v>
      </c>
      <c r="GX220" s="640">
        <f>IF($A220&gt;=BegDate,Assumptions!$C$56*24*($A221-$A220)*(1-VLOOKUP($B220,MAIN!$AA$7:$AM$28,$C220+1))*(1-VLOOKUP($B220,MAIN!$AA$33:$AM$54,$C220+1)),0)*16/168</f>
        <v>44897.142857142855</v>
      </c>
      <c r="GY220" s="1715">
        <f t="shared" si="680"/>
        <v>41.064039955804716</v>
      </c>
      <c r="GZ220" s="1715">
        <f>IF($A220&gt;=BegDate,VLOOKUP($A220,GasTable,13)+Assumptions!$C$58,0)</f>
        <v>3.290706808739368</v>
      </c>
      <c r="HA220" s="1715">
        <f>GZ220*Assumptions!$C$57/1000</f>
        <v>23.857624363360419</v>
      </c>
      <c r="HB220" s="625">
        <f>IF(Assumptions!$C$60="Hourly",MAX(0,GX220*(GY220-HA220)),GX220*(GY220-HA220))</f>
        <v>772518.89891334192</v>
      </c>
      <c r="HC220" s="640">
        <f>IF($A220&gt;=BegDate,Assumptions!$C$56*24*($A221-$A220)*(1-VLOOKUP($B220,MAIN!$AA$7:$AM$28,$C220+1))*(1-VLOOKUP($B220,MAIN!$AA$33:$AM$54,$C220+1)),0)*16/168</f>
        <v>44897.142857142855</v>
      </c>
      <c r="HD220" s="1715">
        <f t="shared" si="681"/>
        <v>28.138271391097529</v>
      </c>
      <c r="HE220" s="1715">
        <f>IF($A220&gt;=BegDate,VLOOKUP($A220,GasTable,13)+Assumptions!$C$58,0)</f>
        <v>3.290706808739368</v>
      </c>
      <c r="HF220" s="1715">
        <f>HE220*Assumptions!$C$57/1000</f>
        <v>23.857624363360419</v>
      </c>
      <c r="HG220" s="625">
        <f>IF(Assumptions!$C$60="Hourly",MAX(0,HC220*(HD220-HF220)),HC220*(HD220-HF220))</f>
        <v>192188.82112531702</v>
      </c>
      <c r="HH220" s="640">
        <f>IF($A220&gt;=BegDate,Assumptions!$C$56*24*($A221-$A220)*(1-VLOOKUP($B220,MAIN!$AA$7:$AM$28,$C220+1))*(1-VLOOKUP($B220,MAIN!$AA$33:$AM$54,$C220+1)),0)*56/168</f>
        <v>157140</v>
      </c>
      <c r="HI220" s="1715">
        <f t="shared" si="682"/>
        <v>28.138271391097529</v>
      </c>
      <c r="HJ220" s="1715">
        <f>IF($A220&gt;=BegDate,VLOOKUP($A220,GasTable,13)+Assumptions!$C$58,0)</f>
        <v>3.290706808739368</v>
      </c>
      <c r="HK220" s="1715">
        <f>HJ220*Assumptions!$C$57/1000</f>
        <v>23.857624363360419</v>
      </c>
      <c r="HL220" s="625">
        <f>IF(Assumptions!$C$60="Hourly",MAX(0,HH220*(HI220-HK220)),HH220*(HI220-HK220))</f>
        <v>672660.8739386095</v>
      </c>
      <c r="HM220" s="640">
        <f>IF(AND(Assumptions!$H$71="Yes",A220&gt;=Assumptions!$H$72,A220&lt;=Assumptions!$H$73),Assumptions!$H$74*Assumptions!$C$9*1000,0)</f>
        <v>0</v>
      </c>
      <c r="HN220" s="530"/>
      <c r="HO220" s="545"/>
      <c r="HP220" s="545"/>
      <c r="HQ220" s="545"/>
      <c r="HR220" s="545"/>
      <c r="HS220" s="545"/>
      <c r="HT220" s="545"/>
      <c r="HU220" s="545"/>
      <c r="HV220" s="545"/>
      <c r="HW220" s="545"/>
      <c r="HX220" s="545"/>
      <c r="HY220" s="545"/>
      <c r="HZ220" s="545"/>
      <c r="IA220" s="545"/>
      <c r="IB220" s="545"/>
      <c r="IC220" s="545"/>
      <c r="ID220" s="545"/>
      <c r="IE220" s="545"/>
      <c r="IF220" s="545"/>
      <c r="IG220" s="545"/>
      <c r="IH220" s="545"/>
      <c r="II220" s="1464"/>
      <c r="IJ220" s="1463"/>
      <c r="IK220" s="1463"/>
    </row>
    <row r="221" spans="1:245">
      <c r="A221" s="177">
        <f t="shared" si="637"/>
        <v>42856</v>
      </c>
      <c r="B221" s="349">
        <f t="shared" si="638"/>
        <v>2017</v>
      </c>
      <c r="C221" s="15">
        <f t="shared" si="578"/>
        <v>5</v>
      </c>
      <c r="D221" s="612">
        <f t="shared" si="639"/>
        <v>42884</v>
      </c>
      <c r="E221" s="609">
        <f t="shared" si="579"/>
        <v>42856</v>
      </c>
      <c r="F221" s="614">
        <f t="shared" si="580"/>
        <v>42886</v>
      </c>
      <c r="G221" s="1349">
        <v>0</v>
      </c>
      <c r="H221" s="152">
        <f t="shared" si="683"/>
        <v>1</v>
      </c>
      <c r="I221" s="154">
        <f>IF(Assumptions!$L$25=4,VLOOKUP($A221,'Henwood Reference'!$E$9:$R$320,10),(VLOOKUP($A221,PriceTable,2,0)+IF(BasisNumber&lt;&gt;1,VLOOKUP($A221,BasisTable,2,0),0)+I$1)/(1-I$2))</f>
        <v>45.598301719433621</v>
      </c>
      <c r="J221" s="154">
        <f>IF(Assumptions!$L$25=4,VLOOKUP($A221,'Henwood Reference'!$E$9:$R$320,10),(VLOOKUP($A221,PriceTable,3,0)+IF(BasisNumber&lt;&gt;1,VLOOKUP($A221,BasisTable,2,0),0)+J$1)/(1-J$2))</f>
        <v>45.598301719433621</v>
      </c>
      <c r="K221" s="154">
        <f>IF(Assumptions!$L$25=4,VLOOKUP($A221,'Henwood Reference'!$E$9:$R$320,10),(VLOOKUP($A221,PriceTable,4,0)+IF(BasisNumber&lt;&gt;1,VLOOKUP($A221,BasisTable,2,0),0)+K$1)/(1-K$2))</f>
        <v>45.598301719433621</v>
      </c>
      <c r="L221" s="474">
        <f>IF(Assumptions!$L$25=4,VLOOKUP($A221,'Henwood Reference'!$E$9:$R$320,10),(VLOOKUP($A221,PriceTableWeekend,2,0)+IF(BasisNumber&lt;&gt;1,VLOOKUP($A221,BasisTable,2,0),0)+L$1)/(1-L$2))</f>
        <v>45.598301719433621</v>
      </c>
      <c r="M221" s="154">
        <f>IF(Assumptions!$L$25=4,VLOOKUP($A221,'Henwood Reference'!$E$9:$R$320,10),(VLOOKUP($A221,PriceTableWeekend,3,0)+IF(BasisNumber&lt;&gt;1,VLOOKUP($A221,BasisTable,2,0),0)+M$1)/(1-M$2))</f>
        <v>45.598301719433621</v>
      </c>
      <c r="N221" s="156">
        <f>IF(Assumptions!$L$25=4,VLOOKUP($A221,'Henwood Reference'!$E$9:$R$320,10),(VLOOKUP($A221,PriceTableWeekend,4,0)+IF(BasisNumber&lt;&gt;1,VLOOKUP($A221,BasisTable,2,0),0)+N$1)/(1-N$2))</f>
        <v>45.598301719433621</v>
      </c>
      <c r="O221" s="154">
        <f>IF(Assumptions!$L$25=4,VLOOKUP($A221,'Henwood Reference'!$E$9:$R$320,11),(VLOOKUP($A221,PriceTableWeekend,6,0)+IF(BasisNumber&lt;&gt;1,VLOOKUP($A221,BasisTable,3,0),0)+O$1)/(1-O$2))</f>
        <v>27.858503155542877</v>
      </c>
      <c r="P221" s="154">
        <f>IF(Assumptions!$L$25=4,VLOOKUP($A221,'Henwood Reference'!$E$9:$R$320,11),(VLOOKUP($A221,PriceTableWeekend,7,0)+IF(BasisNumber&lt;&gt;1,VLOOKUP($A221,BasisTable,3,0),0)+P$1)/(1-P$2))</f>
        <v>27.858503155542877</v>
      </c>
      <c r="Q221" s="156">
        <f>IF(Assumptions!$L$25=4,VLOOKUP($A221,'Henwood Reference'!$E$9:$R$320,11),(VLOOKUP($A221,PriceTableWeekend,8,0)+IF(BasisNumber&lt;&gt;1,VLOOKUP($A221,BasisTable,3,0),0)+Q$1)/(1-Q$2))</f>
        <v>27.858503155542877</v>
      </c>
      <c r="R221" s="154">
        <f>IF(Assumptions!$L$25=4,VLOOKUP($A221,'Henwood Reference'!$E$9:$R$320,11),(VLOOKUP($A221,PriceTable,6,0)+IF(BasisNumber&lt;&gt;1,VLOOKUP($A221,BasisTable,3,0),0)+R$1)/(1-R$2))</f>
        <v>27.858503155542877</v>
      </c>
      <c r="S221" s="154">
        <f>IF(Assumptions!$L$25=4,VLOOKUP($A221,'Henwood Reference'!$E$9:$R$320,11),(VLOOKUP($A221,PriceTable,7,0)+IF(BasisNumber&lt;&gt;1,VLOOKUP($A221,BasisTable,3,0),0)+S$1)/(1-S$2))</f>
        <v>27.858503155542877</v>
      </c>
      <c r="T221" s="155">
        <f>IF(Assumptions!$L$25=4,VLOOKUP($A221,'Henwood Reference'!$E$9:$R$320,11),(VLOOKUP($A221,PriceTable,8,0)+IF(BasisNumber&lt;&gt;1,VLOOKUP($A221,BasisTable,3,0),0)+T$1)/(1-T$2))</f>
        <v>27.858503155542877</v>
      </c>
      <c r="U221" s="173">
        <f t="shared" si="640"/>
        <v>0.09</v>
      </c>
      <c r="V221" s="173">
        <f t="shared" si="641"/>
        <v>0.1</v>
      </c>
      <c r="W221" s="174">
        <f t="shared" si="642"/>
        <v>0.11</v>
      </c>
      <c r="X221" s="173">
        <f t="shared" si="643"/>
        <v>0.09</v>
      </c>
      <c r="Y221" s="173">
        <f t="shared" si="644"/>
        <v>0.1</v>
      </c>
      <c r="Z221" s="174">
        <f t="shared" si="645"/>
        <v>0.11</v>
      </c>
      <c r="AA221" s="173">
        <f t="shared" si="646"/>
        <v>0.09</v>
      </c>
      <c r="AB221" s="173">
        <f t="shared" si="647"/>
        <v>0.11</v>
      </c>
      <c r="AC221" s="174">
        <f t="shared" si="648"/>
        <v>0.13</v>
      </c>
      <c r="AD221" s="173">
        <f t="shared" si="649"/>
        <v>0.09</v>
      </c>
      <c r="AE221" s="173">
        <f t="shared" si="650"/>
        <v>0.11</v>
      </c>
      <c r="AF221" s="174">
        <f t="shared" si="651"/>
        <v>0.13</v>
      </c>
      <c r="AG221" s="173">
        <f t="shared" si="652"/>
        <v>-0.1</v>
      </c>
      <c r="AH221" s="173">
        <f t="shared" si="653"/>
        <v>0.65</v>
      </c>
      <c r="AI221" s="174">
        <f t="shared" si="654"/>
        <v>0.1</v>
      </c>
      <c r="AJ221" s="173">
        <f t="shared" si="655"/>
        <v>-0.1</v>
      </c>
      <c r="AK221" s="173">
        <f t="shared" si="656"/>
        <v>0.65</v>
      </c>
      <c r="AL221" s="174">
        <f t="shared" si="657"/>
        <v>0.1</v>
      </c>
      <c r="AM221" s="173">
        <f t="shared" si="658"/>
        <v>-0.01</v>
      </c>
      <c r="AN221" s="173">
        <f t="shared" si="659"/>
        <v>0.16</v>
      </c>
      <c r="AO221" s="174">
        <f t="shared" si="660"/>
        <v>0.01</v>
      </c>
      <c r="AP221" s="173">
        <f t="shared" si="661"/>
        <v>-0.01</v>
      </c>
      <c r="AQ221" s="173">
        <f t="shared" si="662"/>
        <v>0.16</v>
      </c>
      <c r="AR221" s="175">
        <f t="shared" si="663"/>
        <v>0.01</v>
      </c>
      <c r="AS221" s="521">
        <f t="shared" si="664"/>
        <v>0.5</v>
      </c>
      <c r="AT221" s="349">
        <f t="shared" si="581"/>
        <v>22</v>
      </c>
      <c r="AU221" s="159">
        <f t="shared" si="582"/>
        <v>4</v>
      </c>
      <c r="AV221" s="159">
        <f t="shared" si="583"/>
        <v>4</v>
      </c>
      <c r="AW221" s="159">
        <f t="shared" si="665"/>
        <v>1</v>
      </c>
      <c r="AX221" s="15">
        <f t="shared" si="584"/>
        <v>31</v>
      </c>
      <c r="AY221" s="607">
        <f>IF(E221="",0,MIN((1-(1-VLOOKUP(B221,MAIN!$AA$7:$AM$28,C221+1))*(1-VLOOKUP(B221,MAIN!$AA$33:$AM$54,C221+1))),1))</f>
        <v>3.0000000000000027E-2</v>
      </c>
      <c r="AZ221" s="337">
        <v>51216</v>
      </c>
      <c r="BA221" s="509">
        <v>9312</v>
      </c>
      <c r="BB221" s="509">
        <v>11640</v>
      </c>
      <c r="BC221" s="511">
        <v>36084</v>
      </c>
      <c r="BD221" s="153">
        <v>0.97</v>
      </c>
      <c r="BE221" s="474">
        <v>0.97</v>
      </c>
      <c r="BF221" s="474">
        <v>0.97</v>
      </c>
      <c r="BG221" s="515">
        <v>0.97</v>
      </c>
      <c r="BH221" s="262">
        <v>204864</v>
      </c>
      <c r="BI221" s="509">
        <v>37248</v>
      </c>
      <c r="BJ221" s="509">
        <v>46560</v>
      </c>
      <c r="BK221" s="511">
        <v>144336</v>
      </c>
      <c r="BL221" s="153">
        <v>0.97</v>
      </c>
      <c r="BM221" s="474">
        <v>0.97</v>
      </c>
      <c r="BN221" s="474">
        <v>0.97</v>
      </c>
      <c r="BO221" s="474">
        <v>0.97</v>
      </c>
      <c r="BP221" s="261">
        <f t="shared" si="666"/>
        <v>72168</v>
      </c>
      <c r="BQ221" s="578">
        <f t="shared" si="667"/>
        <v>108252</v>
      </c>
      <c r="BR221" s="259">
        <f t="shared" si="668"/>
        <v>288672</v>
      </c>
      <c r="BS221" s="578">
        <f t="shared" si="669"/>
        <v>433008</v>
      </c>
      <c r="BT221" s="216">
        <f t="shared" si="670"/>
        <v>17.045859000684462</v>
      </c>
      <c r="BU221" s="218">
        <f t="shared" si="585"/>
        <v>45.598301719433621</v>
      </c>
      <c r="BV221" s="216">
        <f t="shared" si="586"/>
        <v>45.598301719433621</v>
      </c>
      <c r="BW221" s="216">
        <f t="shared" si="587"/>
        <v>27.858503155542877</v>
      </c>
      <c r="BX221" s="216">
        <f t="shared" si="671"/>
        <v>27.858503155542877</v>
      </c>
      <c r="BY221" s="216">
        <f t="shared" si="588"/>
        <v>42.737043886548015</v>
      </c>
      <c r="BZ221" s="216">
        <f t="shared" si="589"/>
        <v>37.7775303095463</v>
      </c>
      <c r="CA221" s="264">
        <f t="shared" si="590"/>
        <v>45.598301719433621</v>
      </c>
      <c r="CB221" s="216">
        <f t="shared" si="591"/>
        <v>45.598301719433621</v>
      </c>
      <c r="CC221" s="216">
        <f t="shared" si="592"/>
        <v>27.858503155542877</v>
      </c>
      <c r="CD221" s="216">
        <f t="shared" si="672"/>
        <v>27.858503155542877</v>
      </c>
      <c r="CE221" s="216">
        <f t="shared" si="593"/>
        <v>42.737043886548015</v>
      </c>
      <c r="CF221" s="571">
        <f t="shared" si="594"/>
        <v>37.7775303095463</v>
      </c>
      <c r="CG221" s="573">
        <f t="shared" si="595"/>
        <v>0.1</v>
      </c>
      <c r="CH221" s="219">
        <f t="shared" si="596"/>
        <v>0.1</v>
      </c>
      <c r="CI221" s="219">
        <f t="shared" si="597"/>
        <v>0.11</v>
      </c>
      <c r="CJ221" s="219">
        <f t="shared" si="598"/>
        <v>0.10105952930306707</v>
      </c>
      <c r="CK221" s="219">
        <f t="shared" si="599"/>
        <v>0.10105952930306707</v>
      </c>
      <c r="CL221" s="219">
        <f t="shared" si="600"/>
        <v>0.11</v>
      </c>
      <c r="CM221" s="219">
        <f t="shared" si="601"/>
        <v>9.3000294142086104E-2</v>
      </c>
      <c r="CN221" s="569">
        <f t="shared" si="602"/>
        <v>9.3000294142086104E-2</v>
      </c>
      <c r="CO221" s="264">
        <f t="shared" si="685"/>
        <v>23.177844781959987</v>
      </c>
      <c r="CP221" s="216">
        <f t="shared" si="673"/>
        <v>23.177844781959987</v>
      </c>
      <c r="CQ221" s="216">
        <f t="shared" ca="1" si="532"/>
        <v>23.177844781959987</v>
      </c>
      <c r="CR221" s="216">
        <f t="shared" ca="1" si="533"/>
        <v>23.177844781959987</v>
      </c>
      <c r="CS221" s="1626">
        <f t="shared" ca="1" si="534"/>
        <v>23.177844781959987</v>
      </c>
      <c r="CT221" s="216">
        <f t="shared" si="674"/>
        <v>23.177844781959987</v>
      </c>
      <c r="CU221" s="575">
        <f t="shared" si="603"/>
        <v>0.151</v>
      </c>
      <c r="CV221" s="154">
        <f t="shared" si="604"/>
        <v>0.5</v>
      </c>
      <c r="CW221" s="216">
        <f>IF(OR($BQ221,$BS221),SpreadOptPowerMargin,0)*((1+Assumptions!$C$26)^($B221-YEAR(Assumptions!$C$17)))</f>
        <v>2.37506177351317</v>
      </c>
      <c r="CX221" s="216">
        <f>IF(OR($BQ221,$BS221),SpreadOptPowerMargin,0)*((1+Assumptions!$C$26)^($B221-YEAR(Assumptions!$C$17)))</f>
        <v>2.37506177351317</v>
      </c>
      <c r="CY221" s="216">
        <f>IF(OR($BQ221,$BS221),SpreadOptPowerMargin,0)*((1+Assumptions!$C$26)^($B221-YEAR(Assumptions!$C$17)))</f>
        <v>2.37506177351317</v>
      </c>
      <c r="CZ221" s="216">
        <f>IF(OR($BQ221,$BS221),SpreadOptPowerMargin,0)*((1+Assumptions!$C$26)^($B221-YEAR(Assumptions!$C$17)))</f>
        <v>2.37506177351317</v>
      </c>
      <c r="DA221" s="440">
        <f t="shared" si="605"/>
        <v>2.37506177351317</v>
      </c>
      <c r="DB221" s="479">
        <f t="shared" si="606"/>
        <v>0.1</v>
      </c>
      <c r="DC221" s="479">
        <f t="shared" si="607"/>
        <v>0.1</v>
      </c>
      <c r="DD221" s="479">
        <f t="shared" si="608"/>
        <v>0.11</v>
      </c>
      <c r="DE221" s="479">
        <f t="shared" si="609"/>
        <v>0.11</v>
      </c>
      <c r="DF221" s="479">
        <f t="shared" si="610"/>
        <v>9.3000294142086104E-2</v>
      </c>
      <c r="DG221" s="574">
        <f t="shared" si="611"/>
        <v>9.3000294142086104E-2</v>
      </c>
      <c r="DH221" s="216">
        <f t="shared" si="612"/>
        <v>21.164280709481233</v>
      </c>
      <c r="DI221" s="216">
        <f t="shared" si="613"/>
        <v>21.164280709481233</v>
      </c>
      <c r="DJ221" s="216">
        <f t="shared" ca="1" si="535"/>
        <v>6.6966178249227344</v>
      </c>
      <c r="DK221" s="216">
        <f t="shared" ca="1" si="536"/>
        <v>6.6966178249227344</v>
      </c>
      <c r="DL221" s="216">
        <f t="shared" ca="1" si="537"/>
        <v>14.168313951402522</v>
      </c>
      <c r="DM221" s="216"/>
      <c r="DN221" s="216"/>
      <c r="DO221" s="216"/>
      <c r="DP221" s="216"/>
      <c r="DQ221" s="216"/>
      <c r="DR221" s="216"/>
      <c r="DS221" s="216"/>
      <c r="DT221" s="216"/>
      <c r="DU221" s="216"/>
      <c r="DV221" s="216"/>
      <c r="DW221" s="1371">
        <f t="shared" si="614"/>
        <v>6.6966178249227344</v>
      </c>
      <c r="DX221" s="216">
        <f t="shared" si="615"/>
        <v>6.6966178249227344</v>
      </c>
      <c r="DY221" s="440">
        <f t="shared" si="616"/>
        <v>14.786063738869421</v>
      </c>
      <c r="DZ221" s="180">
        <f t="shared" si="617"/>
        <v>1083949.8008167909</v>
      </c>
      <c r="EA221" s="180">
        <f t="shared" si="618"/>
        <v>197081.78196668925</v>
      </c>
      <c r="EB221" s="180">
        <f t="shared" ca="1" si="538"/>
        <v>77948.631482100624</v>
      </c>
      <c r="EC221" s="180">
        <f t="shared" ca="1" si="539"/>
        <v>241640.75759451196</v>
      </c>
      <c r="ED221" s="180">
        <f t="shared" ca="1" si="540"/>
        <v>1533748.3218672259</v>
      </c>
      <c r="EE221" s="581">
        <f t="shared" si="619"/>
        <v>1026644.9587173992</v>
      </c>
      <c r="EF221" s="554">
        <f t="shared" si="620"/>
        <v>186662.71976679983</v>
      </c>
      <c r="EG221" s="554">
        <f t="shared" ca="1" si="541"/>
        <v>26837.144424811537</v>
      </c>
      <c r="EH221" s="554">
        <f t="shared" ca="1" si="542"/>
        <v>83195.147716915759</v>
      </c>
      <c r="EI221" s="561">
        <f t="shared" ca="1" si="621"/>
        <v>1323339.9706259258</v>
      </c>
      <c r="EJ221" s="581">
        <f t="shared" si="675"/>
        <v>57304.842099391739</v>
      </c>
      <c r="EK221" s="554">
        <f t="shared" si="676"/>
        <v>10419.06219988942</v>
      </c>
      <c r="EL221" s="554">
        <f t="shared" ca="1" si="543"/>
        <v>51111.487057289087</v>
      </c>
      <c r="EM221" s="554">
        <f t="shared" ca="1" si="544"/>
        <v>158445.6098775962</v>
      </c>
      <c r="EN221" s="561">
        <f t="shared" ca="1" si="545"/>
        <v>210408.35124130012</v>
      </c>
      <c r="EO221" s="180">
        <f t="shared" si="622"/>
        <v>4335799.2032671636</v>
      </c>
      <c r="EP221" s="180">
        <f t="shared" si="623"/>
        <v>788327.12786675699</v>
      </c>
      <c r="EQ221" s="180">
        <f t="shared" si="624"/>
        <v>311794.52592840249</v>
      </c>
      <c r="ER221" s="180">
        <f t="shared" si="625"/>
        <v>966563.03037804784</v>
      </c>
      <c r="ES221" s="180">
        <f t="shared" si="626"/>
        <v>6402483.8874403704</v>
      </c>
      <c r="ET221" s="1482">
        <f t="shared" ca="1" si="546"/>
        <v>4106579.8348695966</v>
      </c>
      <c r="EU221" s="180">
        <f t="shared" ca="1" si="547"/>
        <v>746650.8790671993</v>
      </c>
      <c r="EV221" s="180">
        <f t="shared" ca="1" si="548"/>
        <v>107348.57769924615</v>
      </c>
      <c r="EW221" s="180">
        <f t="shared" ca="1" si="549"/>
        <v>332780.59086766304</v>
      </c>
      <c r="EX221" s="555">
        <f t="shared" ca="1" si="522"/>
        <v>5293359.8825037051</v>
      </c>
      <c r="EY221" s="180">
        <f t="shared" ca="1" si="550"/>
        <v>229219.36839756696</v>
      </c>
      <c r="EZ221" s="180">
        <f t="shared" ca="1" si="551"/>
        <v>41676.248799557681</v>
      </c>
      <c r="FA221" s="180">
        <f t="shared" ca="1" si="552"/>
        <v>204445.94822915635</v>
      </c>
      <c r="FB221" s="180">
        <f t="shared" ca="1" si="553"/>
        <v>633782.43951038481</v>
      </c>
      <c r="FC221" s="180">
        <f t="shared" ca="1" si="554"/>
        <v>1109124.0049366653</v>
      </c>
      <c r="FD221" s="262">
        <f>IF(AX221,IF(VLOOKUP(C221,MAIN!$L$17:$M$28,2)="Yes",VLOOKUP(CALC!B221,MAIN!$H$17:$I$20,2),0),0)</f>
        <v>0</v>
      </c>
      <c r="FE221" s="623">
        <f t="shared" si="627"/>
        <v>0</v>
      </c>
      <c r="FF221" s="535">
        <f t="shared" si="628"/>
        <v>0</v>
      </c>
      <c r="FG221" s="535">
        <f t="shared" si="629"/>
        <v>0</v>
      </c>
      <c r="FH221" s="624">
        <f t="shared" si="630"/>
        <v>0</v>
      </c>
      <c r="FI221" s="632">
        <f>IF(AX221,VLOOKUP(CALC!B221,MAIN!$H$17:$K$20,4),0)</f>
        <v>0</v>
      </c>
      <c r="FJ221" s="535">
        <f t="shared" si="631"/>
        <v>0</v>
      </c>
      <c r="FK221" s="648">
        <f t="shared" si="677"/>
        <v>0</v>
      </c>
      <c r="FL221" s="530">
        <f t="shared" ca="1" si="555"/>
        <v>0</v>
      </c>
      <c r="FM221" s="530">
        <f t="shared" ca="1" si="556"/>
        <v>0</v>
      </c>
      <c r="FN221" s="530">
        <f t="shared" ca="1" si="557"/>
        <v>0</v>
      </c>
      <c r="FO221" s="622">
        <f t="shared" ca="1" si="558"/>
        <v>0</v>
      </c>
      <c r="FP221" s="530">
        <f t="shared" ca="1" si="559"/>
        <v>0</v>
      </c>
      <c r="FQ221" s="530">
        <f t="shared" ca="1" si="560"/>
        <v>0</v>
      </c>
      <c r="FR221" s="530">
        <f t="shared" ca="1" si="561"/>
        <v>0</v>
      </c>
      <c r="FS221" s="625">
        <f t="shared" ca="1" si="562"/>
        <v>0</v>
      </c>
      <c r="FT221" s="640">
        <f ca="1">IF(AND(Assumptions!$H$71="Yes",A221&gt;=Assumptions!$H$72,A221&lt;=Assumptions!$H$73),0,IF(AND($A221&gt;=Assumptions!$C$17,$A221&lt;=Assumptions!$C$18),MAX(AZ221*(1+VLOOKUP($C221,WeatherCapacityAdjustment,2))-FL221,0),0))</f>
        <v>51216</v>
      </c>
      <c r="FU221" s="530">
        <f ca="1">IF(AND(Assumptions!$H$71="Yes",A221&gt;=Assumptions!$H$72,A221&lt;=Assumptions!$H$73),0,IF(AND($A221&gt;=Assumptions!$C$17,$A221&lt;=Assumptions!$C$18),MAX(BA221*(1+VLOOKUP($C221,WeatherCapacityAdjustment,2))-FM221,0),0))</f>
        <v>9312</v>
      </c>
      <c r="FV221" s="530">
        <f ca="1">IF(AND(Assumptions!$H$71="Yes",A221&gt;=Assumptions!$H$72,A221&lt;=Assumptions!$H$73),0,IF(AND($A221&gt;=Assumptions!$C$17,$A221&lt;=Assumptions!$C$18),MAX(BB221*(1+VLOOKUP($C221,WeatherCapacityAdjustment,2))-FN221,0),0))</f>
        <v>11640</v>
      </c>
      <c r="FW221" s="622">
        <f ca="1">IF(AND(Assumptions!$H$71="Yes",A221&gt;=Assumptions!$H$72,A221&lt;=Assumptions!$H$73),0,IF(AND($A221&gt;=Assumptions!$C$17,$A221&lt;=Assumptions!$C$18),MAX(BC221*(1+VLOOKUP($C221,WeatherCapacityAdjustment,3))-FO221,0),0))</f>
        <v>36084</v>
      </c>
      <c r="FX221" s="621">
        <f ca="1">IF(AND(Assumptions!$H$71="Yes",A221&gt;=Assumptions!$H$72,A221&lt;=Assumptions!$H$73),0,IF(ET221&gt;0,MAX(BH221*(1+VLOOKUP($C221,WeatherCapacityAdjustment,2))-FP221,0),0))</f>
        <v>204864</v>
      </c>
      <c r="FY221" s="530">
        <f ca="1">IF(AND(Assumptions!$H$71="Yes",A221&gt;=Assumptions!$H$72,A221&lt;=Assumptions!$H$73),0,IF(EU221&gt;0,MAX(BI221*(1+VLOOKUP($C221,WeatherCapacityAdjustment,3))-FQ221,0),0))</f>
        <v>37248</v>
      </c>
      <c r="FZ221" s="530">
        <f ca="1">IF(AND(Assumptions!$H$71="Yes",A221&gt;=Assumptions!$H$72,A221&lt;=Assumptions!$H$73),0,IF(EV221&gt;0,MAX(BJ221*(1+VLOOKUP($C221,WeatherCapacityAdjustment,2))-FR221,0),0))</f>
        <v>46560</v>
      </c>
      <c r="GA221" s="622">
        <f ca="1">IF(AND(Assumptions!$H$71="Yes",A221&gt;=Assumptions!$H$72,A221&lt;=Assumptions!$H$73),0,IF(EW221&gt;0,MAX(BK221*(1+VLOOKUP($C221,WeatherCapacityAdjustment,2))-FS221,0),0))</f>
        <v>144336</v>
      </c>
      <c r="GB221" s="530">
        <f t="shared" ca="1" si="632"/>
        <v>541260</v>
      </c>
      <c r="GC221" s="545">
        <f t="shared" ca="1" si="633"/>
        <v>37.7775303095463</v>
      </c>
      <c r="GD221" s="530">
        <f t="shared" ca="1" si="563"/>
        <v>20447466.055345036</v>
      </c>
      <c r="GE221" s="1485">
        <f t="shared" ca="1" si="564"/>
        <v>769509.34200000006</v>
      </c>
      <c r="GF221" s="1776">
        <f t="shared" ca="1" si="565"/>
        <v>3078037.3680000002</v>
      </c>
      <c r="GG221" s="545">
        <f t="shared" si="530"/>
        <v>3.2605816672940824</v>
      </c>
      <c r="GH221" s="622">
        <f t="shared" ca="1" si="531"/>
        <v>12545240.266683662</v>
      </c>
      <c r="GI221" s="621">
        <f t="shared" ca="1" si="678"/>
        <v>541260</v>
      </c>
      <c r="GJ221" s="638">
        <f t="shared" si="634"/>
        <v>2.37506177351317</v>
      </c>
      <c r="GK221" s="625">
        <f t="shared" ca="1" si="684"/>
        <v>1285525.9355317384</v>
      </c>
      <c r="GL221" s="640">
        <f t="shared" ca="1" si="566"/>
        <v>0</v>
      </c>
      <c r="GM221" s="530">
        <f t="shared" ca="1" si="567"/>
        <v>0</v>
      </c>
      <c r="GN221" s="530">
        <f t="shared" ca="1" si="568"/>
        <v>0</v>
      </c>
      <c r="GO221" s="622">
        <f t="shared" ca="1" si="569"/>
        <v>0</v>
      </c>
      <c r="GP221" s="530">
        <f t="shared" ca="1" si="635"/>
        <v>0</v>
      </c>
      <c r="GQ221" s="545">
        <f t="shared" ca="1" si="636"/>
        <v>0</v>
      </c>
      <c r="GR221" s="625">
        <f t="shared" ca="1" si="570"/>
        <v>0</v>
      </c>
      <c r="GS221" s="640">
        <f>IF($A221&gt;=BegDate,Assumptions!$C$56*24*($A222-$A221)*(1-VLOOKUP($B221,MAIN!$AA$7:$AM$28,$C221+1))*(1-VLOOKUP($B221,MAIN!$AA$33:$AM$54,$C221+1)),0)*80/168</f>
        <v>257742.85714285713</v>
      </c>
      <c r="GT221" s="1715">
        <f t="shared" si="679"/>
        <v>45.598301719433621</v>
      </c>
      <c r="GU221" s="1715">
        <f>IF($A221&gt;=BegDate,VLOOKUP($A221,GasTable,13)+Assumptions!$C$58,0)</f>
        <v>3.2605816672940824</v>
      </c>
      <c r="GV221" s="1715">
        <f>GU221*Assumptions!$C$57/1000</f>
        <v>23.639217087882098</v>
      </c>
      <c r="GW221" s="625">
        <f>IF(Assumptions!$C$60="Hourly",MAX(0,GS221*(GT221-GV221)),GS221*(GT221-GV221))</f>
        <v>5659797.2131778933</v>
      </c>
      <c r="GX221" s="640">
        <f>IF($A221&gt;=BegDate,Assumptions!$C$56*24*($A222-$A221)*(1-VLOOKUP($B221,MAIN!$AA$7:$AM$28,$C221+1))*(1-VLOOKUP($B221,MAIN!$AA$33:$AM$54,$C221+1)),0)*16/168</f>
        <v>51548.571428571428</v>
      </c>
      <c r="GY221" s="1715">
        <f t="shared" si="680"/>
        <v>45.598301719433621</v>
      </c>
      <c r="GZ221" s="1715">
        <f>IF($A221&gt;=BegDate,VLOOKUP($A221,GasTable,13)+Assumptions!$C$58,0)</f>
        <v>3.2605816672940824</v>
      </c>
      <c r="HA221" s="1715">
        <f>GZ221*Assumptions!$C$57/1000</f>
        <v>23.639217087882098</v>
      </c>
      <c r="HB221" s="625">
        <f>IF(Assumptions!$C$60="Hourly",MAX(0,GX221*(GY221-HA221)),GX221*(GY221-HA221))</f>
        <v>1131959.4426355788</v>
      </c>
      <c r="HC221" s="640">
        <f>IF($A221&gt;=BegDate,Assumptions!$C$56*24*($A222-$A221)*(1-VLOOKUP($B221,MAIN!$AA$7:$AM$28,$C221+1))*(1-VLOOKUP($B221,MAIN!$AA$33:$AM$54,$C221+1)),0)*16/168</f>
        <v>51548.571428571428</v>
      </c>
      <c r="HD221" s="1715">
        <f t="shared" si="681"/>
        <v>27.858503155542877</v>
      </c>
      <c r="HE221" s="1715">
        <f>IF($A221&gt;=BegDate,VLOOKUP($A221,GasTable,13)+Assumptions!$C$58,0)</f>
        <v>3.2605816672940824</v>
      </c>
      <c r="HF221" s="1715">
        <f>HE221*Assumptions!$C$57/1000</f>
        <v>23.639217087882098</v>
      </c>
      <c r="HG221" s="625">
        <f>IF(Assumptions!$C$60="Hourly",MAX(0,HC221*(HD221-HF221)),HC221*(HD221-HF221))</f>
        <v>217498.16923638791</v>
      </c>
      <c r="HH221" s="640">
        <f>IF($A221&gt;=BegDate,Assumptions!$C$56*24*($A222-$A221)*(1-VLOOKUP($B221,MAIN!$AA$7:$AM$28,$C221+1))*(1-VLOOKUP($B221,MAIN!$AA$33:$AM$54,$C221+1)),0)*56/168</f>
        <v>180420</v>
      </c>
      <c r="HI221" s="1715">
        <f t="shared" si="682"/>
        <v>27.858503155542877</v>
      </c>
      <c r="HJ221" s="1715">
        <f>IF($A221&gt;=BegDate,VLOOKUP($A221,GasTable,13)+Assumptions!$C$58,0)</f>
        <v>3.2605816672940824</v>
      </c>
      <c r="HK221" s="1715">
        <f>HJ221*Assumptions!$C$57/1000</f>
        <v>23.639217087882098</v>
      </c>
      <c r="HL221" s="625">
        <f>IF(Assumptions!$C$60="Hourly",MAX(0,HH221*(HI221-HK221)),HH221*(HI221-HK221))</f>
        <v>761243.59232735774</v>
      </c>
      <c r="HM221" s="640">
        <f>IF(AND(Assumptions!$H$71="Yes",A221&gt;=Assumptions!$H$72,A221&lt;=Assumptions!$H$73),Assumptions!$H$74*Assumptions!$C$9*1000,0)</f>
        <v>0</v>
      </c>
      <c r="HN221" s="530"/>
      <c r="HO221" s="545"/>
      <c r="HP221" s="545"/>
      <c r="HQ221" s="545"/>
      <c r="HR221" s="545"/>
      <c r="HS221" s="545"/>
      <c r="HT221" s="545"/>
      <c r="HU221" s="545"/>
      <c r="HV221" s="545"/>
      <c r="HW221" s="545"/>
      <c r="HX221" s="545"/>
      <c r="HY221" s="545"/>
      <c r="HZ221" s="545"/>
      <c r="IA221" s="545"/>
      <c r="IB221" s="545"/>
      <c r="IC221" s="545"/>
      <c r="ID221" s="545"/>
      <c r="IE221" s="545"/>
      <c r="IF221" s="545"/>
      <c r="IG221" s="545"/>
      <c r="IH221" s="545"/>
      <c r="II221" s="1464"/>
      <c r="IJ221" s="1463"/>
      <c r="IK221" s="1463"/>
    </row>
    <row r="222" spans="1:245">
      <c r="A222" s="177">
        <f t="shared" si="637"/>
        <v>42887</v>
      </c>
      <c r="B222" s="349">
        <f t="shared" si="638"/>
        <v>2017</v>
      </c>
      <c r="C222" s="15">
        <f t="shared" si="578"/>
        <v>6</v>
      </c>
      <c r="D222" s="612" t="str">
        <f t="shared" si="639"/>
        <v/>
      </c>
      <c r="E222" s="609">
        <f t="shared" si="579"/>
        <v>42887</v>
      </c>
      <c r="F222" s="614">
        <f t="shared" si="580"/>
        <v>42916</v>
      </c>
      <c r="G222" s="1349">
        <v>0</v>
      </c>
      <c r="H222" s="152">
        <f t="shared" si="683"/>
        <v>1</v>
      </c>
      <c r="I222" s="154">
        <f>IF(Assumptions!$L$25=4,VLOOKUP($A222,'Henwood Reference'!$E$9:$R$320,10),(VLOOKUP($A222,PriceTable,2,0)+IF(BasisNumber&lt;&gt;1,VLOOKUP($A222,BasisTable,2,0),0)+I$1)/(1-I$2))</f>
        <v>44.83993096679901</v>
      </c>
      <c r="J222" s="154">
        <f>IF(Assumptions!$L$25=4,VLOOKUP($A222,'Henwood Reference'!$E$9:$R$320,10),(VLOOKUP($A222,PriceTable,3,0)+IF(BasisNumber&lt;&gt;1,VLOOKUP($A222,BasisTable,2,0),0)+J$1)/(1-J$2))</f>
        <v>44.83993096679901</v>
      </c>
      <c r="K222" s="154">
        <f>IF(Assumptions!$L$25=4,VLOOKUP($A222,'Henwood Reference'!$E$9:$R$320,10),(VLOOKUP($A222,PriceTable,4,0)+IF(BasisNumber&lt;&gt;1,VLOOKUP($A222,BasisTable,2,0),0)+K$1)/(1-K$2))</f>
        <v>44.83993096679901</v>
      </c>
      <c r="L222" s="474">
        <f>IF(Assumptions!$L$25=4,VLOOKUP($A222,'Henwood Reference'!$E$9:$R$320,10),(VLOOKUP($A222,PriceTableWeekend,2,0)+IF(BasisNumber&lt;&gt;1,VLOOKUP($A222,BasisTable,2,0),0)+L$1)/(1-L$2))</f>
        <v>44.83993096679901</v>
      </c>
      <c r="M222" s="154">
        <f>IF(Assumptions!$L$25=4,VLOOKUP($A222,'Henwood Reference'!$E$9:$R$320,10),(VLOOKUP($A222,PriceTableWeekend,3,0)+IF(BasisNumber&lt;&gt;1,VLOOKUP($A222,BasisTable,2,0),0)+M$1)/(1-M$2))</f>
        <v>44.83993096679901</v>
      </c>
      <c r="N222" s="156">
        <f>IF(Assumptions!$L$25=4,VLOOKUP($A222,'Henwood Reference'!$E$9:$R$320,10),(VLOOKUP($A222,PriceTableWeekend,4,0)+IF(BasisNumber&lt;&gt;1,VLOOKUP($A222,BasisTable,2,0),0)+N$1)/(1-N$2))</f>
        <v>44.83993096679901</v>
      </c>
      <c r="O222" s="154">
        <f>IF(Assumptions!$L$25=4,VLOOKUP($A222,'Henwood Reference'!$E$9:$R$320,11),(VLOOKUP($A222,PriceTableWeekend,6,0)+IF(BasisNumber&lt;&gt;1,VLOOKUP($A222,BasisTable,3,0),0)+O$1)/(1-O$2))</f>
        <v>26.78647832500916</v>
      </c>
      <c r="P222" s="154">
        <f>IF(Assumptions!$L$25=4,VLOOKUP($A222,'Henwood Reference'!$E$9:$R$320,11),(VLOOKUP($A222,PriceTableWeekend,7,0)+IF(BasisNumber&lt;&gt;1,VLOOKUP($A222,BasisTable,3,0),0)+P$1)/(1-P$2))</f>
        <v>26.78647832500916</v>
      </c>
      <c r="Q222" s="156">
        <f>IF(Assumptions!$L$25=4,VLOOKUP($A222,'Henwood Reference'!$E$9:$R$320,11),(VLOOKUP($A222,PriceTableWeekend,8,0)+IF(BasisNumber&lt;&gt;1,VLOOKUP($A222,BasisTable,3,0),0)+Q$1)/(1-Q$2))</f>
        <v>26.78647832500916</v>
      </c>
      <c r="R222" s="154">
        <f>IF(Assumptions!$L$25=4,VLOOKUP($A222,'Henwood Reference'!$E$9:$R$320,11),(VLOOKUP($A222,PriceTable,6,0)+IF(BasisNumber&lt;&gt;1,VLOOKUP($A222,BasisTable,3,0),0)+R$1)/(1-R$2))</f>
        <v>26.78647832500916</v>
      </c>
      <c r="S222" s="154">
        <f>IF(Assumptions!$L$25=4,VLOOKUP($A222,'Henwood Reference'!$E$9:$R$320,11),(VLOOKUP($A222,PriceTable,7,0)+IF(BasisNumber&lt;&gt;1,VLOOKUP($A222,BasisTable,3,0),0)+S$1)/(1-S$2))</f>
        <v>26.78647832500916</v>
      </c>
      <c r="T222" s="155">
        <f>IF(Assumptions!$L$25=4,VLOOKUP($A222,'Henwood Reference'!$E$9:$R$320,11),(VLOOKUP($A222,PriceTable,8,0)+IF(BasisNumber&lt;&gt;1,VLOOKUP($A222,BasisTable,3,0),0)+T$1)/(1-T$2))</f>
        <v>26.78647832500916</v>
      </c>
      <c r="U222" s="173">
        <f t="shared" si="640"/>
        <v>0.09</v>
      </c>
      <c r="V222" s="173">
        <f t="shared" si="641"/>
        <v>0.1</v>
      </c>
      <c r="W222" s="174">
        <f t="shared" si="642"/>
        <v>0.11</v>
      </c>
      <c r="X222" s="173">
        <f t="shared" si="643"/>
        <v>0.09</v>
      </c>
      <c r="Y222" s="173">
        <f t="shared" si="644"/>
        <v>0.1</v>
      </c>
      <c r="Z222" s="174">
        <f t="shared" si="645"/>
        <v>0.11</v>
      </c>
      <c r="AA222" s="173">
        <f t="shared" si="646"/>
        <v>0.09</v>
      </c>
      <c r="AB222" s="173">
        <f t="shared" si="647"/>
        <v>0.11</v>
      </c>
      <c r="AC222" s="174">
        <f t="shared" si="648"/>
        <v>0.13</v>
      </c>
      <c r="AD222" s="173">
        <f t="shared" si="649"/>
        <v>0.09</v>
      </c>
      <c r="AE222" s="173">
        <f t="shared" si="650"/>
        <v>0.11</v>
      </c>
      <c r="AF222" s="174">
        <f t="shared" si="651"/>
        <v>0.13</v>
      </c>
      <c r="AG222" s="173">
        <f t="shared" si="652"/>
        <v>-0.35</v>
      </c>
      <c r="AH222" s="173">
        <f t="shared" si="653"/>
        <v>0.65</v>
      </c>
      <c r="AI222" s="174">
        <f t="shared" si="654"/>
        <v>0.2</v>
      </c>
      <c r="AJ222" s="173">
        <f t="shared" si="655"/>
        <v>-0.35</v>
      </c>
      <c r="AK222" s="173">
        <f t="shared" si="656"/>
        <v>0.65</v>
      </c>
      <c r="AL222" s="174">
        <f t="shared" si="657"/>
        <v>0.2</v>
      </c>
      <c r="AM222" s="173">
        <f t="shared" si="658"/>
        <v>-0.01</v>
      </c>
      <c r="AN222" s="173">
        <f t="shared" si="659"/>
        <v>0.16</v>
      </c>
      <c r="AO222" s="174">
        <f t="shared" si="660"/>
        <v>0.01</v>
      </c>
      <c r="AP222" s="173">
        <f t="shared" si="661"/>
        <v>-0.01</v>
      </c>
      <c r="AQ222" s="173">
        <f t="shared" si="662"/>
        <v>0.16</v>
      </c>
      <c r="AR222" s="175">
        <f t="shared" si="663"/>
        <v>0.01</v>
      </c>
      <c r="AS222" s="521">
        <f t="shared" si="664"/>
        <v>0.5</v>
      </c>
      <c r="AT222" s="349">
        <f t="shared" si="581"/>
        <v>22</v>
      </c>
      <c r="AU222" s="159">
        <f t="shared" si="582"/>
        <v>4</v>
      </c>
      <c r="AV222" s="159">
        <f t="shared" si="583"/>
        <v>4</v>
      </c>
      <c r="AW222" s="159">
        <f t="shared" si="665"/>
        <v>0</v>
      </c>
      <c r="AX222" s="15">
        <f t="shared" si="584"/>
        <v>30</v>
      </c>
      <c r="AY222" s="607">
        <f>IF(E222="",0,MIN((1-(1-VLOOKUP(B222,MAIN!$AA$7:$AM$28,C222+1))*(1-VLOOKUP(B222,MAIN!$AA$33:$AM$54,C222+1))),1))</f>
        <v>3.0000000000000027E-2</v>
      </c>
      <c r="AZ222" s="337">
        <v>51216</v>
      </c>
      <c r="BA222" s="509">
        <v>9312</v>
      </c>
      <c r="BB222" s="509">
        <v>9312</v>
      </c>
      <c r="BC222" s="511">
        <v>34920</v>
      </c>
      <c r="BD222" s="153">
        <v>0.97000000722706314</v>
      </c>
      <c r="BE222" s="474">
        <v>0.97000000722706314</v>
      </c>
      <c r="BF222" s="474">
        <v>0.97000000722706314</v>
      </c>
      <c r="BG222" s="515">
        <v>0.97000000722706314</v>
      </c>
      <c r="BH222" s="262">
        <v>204864</v>
      </c>
      <c r="BI222" s="509">
        <v>37248</v>
      </c>
      <c r="BJ222" s="509">
        <v>37248</v>
      </c>
      <c r="BK222" s="511">
        <v>139680</v>
      </c>
      <c r="BL222" s="153">
        <v>0.97000000722706314</v>
      </c>
      <c r="BM222" s="474">
        <v>0.97000000722706314</v>
      </c>
      <c r="BN222" s="474">
        <v>0.97000000722706314</v>
      </c>
      <c r="BO222" s="474">
        <v>0.97000000722706314</v>
      </c>
      <c r="BP222" s="261">
        <f t="shared" si="666"/>
        <v>69840</v>
      </c>
      <c r="BQ222" s="578">
        <f t="shared" si="667"/>
        <v>104760</v>
      </c>
      <c r="BR222" s="259">
        <f t="shared" si="668"/>
        <v>279360</v>
      </c>
      <c r="BS222" s="578">
        <f t="shared" si="669"/>
        <v>419040</v>
      </c>
      <c r="BT222" s="216">
        <f t="shared" si="670"/>
        <v>17.130732375085557</v>
      </c>
      <c r="BU222" s="218">
        <f t="shared" si="585"/>
        <v>44.839931300882533</v>
      </c>
      <c r="BV222" s="216">
        <f t="shared" si="586"/>
        <v>44.839931300882533</v>
      </c>
      <c r="BW222" s="216">
        <f t="shared" si="587"/>
        <v>26.786478524583977</v>
      </c>
      <c r="BX222" s="216">
        <f t="shared" si="671"/>
        <v>26.786478524583977</v>
      </c>
      <c r="BY222" s="216">
        <f t="shared" si="588"/>
        <v>42.432804264042723</v>
      </c>
      <c r="BZ222" s="216">
        <f t="shared" si="589"/>
        <v>37.217362350889807</v>
      </c>
      <c r="CA222" s="264">
        <f t="shared" si="590"/>
        <v>44.839931300882533</v>
      </c>
      <c r="CB222" s="216">
        <f t="shared" si="591"/>
        <v>44.839931300882533</v>
      </c>
      <c r="CC222" s="216">
        <f t="shared" si="592"/>
        <v>26.786478524583977</v>
      </c>
      <c r="CD222" s="216">
        <f t="shared" si="672"/>
        <v>26.786478524583977</v>
      </c>
      <c r="CE222" s="216">
        <f t="shared" si="593"/>
        <v>42.432804264042723</v>
      </c>
      <c r="CF222" s="571">
        <f t="shared" si="594"/>
        <v>37.217362350889807</v>
      </c>
      <c r="CG222" s="573">
        <f t="shared" si="595"/>
        <v>0.1</v>
      </c>
      <c r="CH222" s="219">
        <f t="shared" si="596"/>
        <v>0.1</v>
      </c>
      <c r="CI222" s="219">
        <f t="shared" si="597"/>
        <v>0.11</v>
      </c>
      <c r="CJ222" s="219">
        <f t="shared" si="598"/>
        <v>0.10084838428677029</v>
      </c>
      <c r="CK222" s="219">
        <f t="shared" si="599"/>
        <v>0.10084838428677029</v>
      </c>
      <c r="CL222" s="219">
        <f t="shared" si="600"/>
        <v>0.11</v>
      </c>
      <c r="CM222" s="219">
        <f t="shared" si="601"/>
        <v>9.2963617092958389E-2</v>
      </c>
      <c r="CN222" s="569">
        <f t="shared" si="602"/>
        <v>9.2963617092958389E-2</v>
      </c>
      <c r="CO222" s="264">
        <f t="shared" si="685"/>
        <v>23.428112563235278</v>
      </c>
      <c r="CP222" s="216">
        <f t="shared" si="673"/>
        <v>23.428112563235278</v>
      </c>
      <c r="CQ222" s="216">
        <f t="shared" ca="1" si="532"/>
        <v>23.428112563235278</v>
      </c>
      <c r="CR222" s="216">
        <f t="shared" ca="1" si="533"/>
        <v>23.428112563235278</v>
      </c>
      <c r="CS222" s="1626">
        <f t="shared" ca="1" si="534"/>
        <v>23.428112563235278</v>
      </c>
      <c r="CT222" s="216">
        <f t="shared" si="674"/>
        <v>23.428112563235278</v>
      </c>
      <c r="CU222" s="575">
        <f t="shared" si="603"/>
        <v>0.151</v>
      </c>
      <c r="CV222" s="154">
        <f t="shared" si="604"/>
        <v>0.5</v>
      </c>
      <c r="CW222" s="216">
        <f>IF(OR($BQ222,$BS222),SpreadOptPowerMargin,0)*((1+Assumptions!$C$26)^($B222-YEAR(Assumptions!$C$17)))</f>
        <v>2.37506177351317</v>
      </c>
      <c r="CX222" s="216">
        <f>IF(OR($BQ222,$BS222),SpreadOptPowerMargin,0)*((1+Assumptions!$C$26)^($B222-YEAR(Assumptions!$C$17)))</f>
        <v>2.37506177351317</v>
      </c>
      <c r="CY222" s="216">
        <f>IF(OR($BQ222,$BS222),SpreadOptPowerMargin,0)*((1+Assumptions!$C$26)^($B222-YEAR(Assumptions!$C$17)))</f>
        <v>2.37506177351317</v>
      </c>
      <c r="CZ222" s="216">
        <f>IF(OR($BQ222,$BS222),SpreadOptPowerMargin,0)*((1+Assumptions!$C$26)^($B222-YEAR(Assumptions!$C$17)))</f>
        <v>2.37506177351317</v>
      </c>
      <c r="DA222" s="440">
        <f t="shared" si="605"/>
        <v>2.37506177351317</v>
      </c>
      <c r="DB222" s="479">
        <f t="shared" si="606"/>
        <v>0.1</v>
      </c>
      <c r="DC222" s="479">
        <f t="shared" si="607"/>
        <v>0.1</v>
      </c>
      <c r="DD222" s="479">
        <f t="shared" si="608"/>
        <v>0.11</v>
      </c>
      <c r="DE222" s="479">
        <f t="shared" si="609"/>
        <v>0.11</v>
      </c>
      <c r="DF222" s="479">
        <f t="shared" si="610"/>
        <v>9.2963617092958389E-2</v>
      </c>
      <c r="DG222" s="574">
        <f t="shared" si="611"/>
        <v>9.2963617092958389E-2</v>
      </c>
      <c r="DH222" s="216">
        <f t="shared" si="612"/>
        <v>20.281194262686856</v>
      </c>
      <c r="DI222" s="216">
        <f t="shared" si="613"/>
        <v>20.281194262686856</v>
      </c>
      <c r="DJ222" s="216">
        <f t="shared" ca="1" si="535"/>
        <v>5.9013484586696645</v>
      </c>
      <c r="DK222" s="216">
        <f t="shared" ca="1" si="536"/>
        <v>5.9013484586696645</v>
      </c>
      <c r="DL222" s="216">
        <f t="shared" ca="1" si="537"/>
        <v>13.535373435308339</v>
      </c>
      <c r="DM222" s="216"/>
      <c r="DN222" s="216"/>
      <c r="DO222" s="216"/>
      <c r="DP222" s="216"/>
      <c r="DQ222" s="216"/>
      <c r="DR222" s="216"/>
      <c r="DS222" s="216"/>
      <c r="DT222" s="216"/>
      <c r="DU222" s="216"/>
      <c r="DV222" s="216"/>
      <c r="DW222" s="1371">
        <f t="shared" si="614"/>
        <v>5.9013484586696645</v>
      </c>
      <c r="DX222" s="216">
        <f t="shared" si="615"/>
        <v>5.9013484586696645</v>
      </c>
      <c r="DY222" s="440">
        <f t="shared" si="616"/>
        <v>14.20970381210182</v>
      </c>
      <c r="DZ222" s="180">
        <f t="shared" si="617"/>
        <v>1038721.64535777</v>
      </c>
      <c r="EA222" s="180">
        <f t="shared" si="618"/>
        <v>188858.48097413999</v>
      </c>
      <c r="EB222" s="180">
        <f t="shared" ca="1" si="538"/>
        <v>54953.356847131916</v>
      </c>
      <c r="EC222" s="180">
        <f t="shared" ca="1" si="539"/>
        <v>206075.0881767447</v>
      </c>
      <c r="ED222" s="180">
        <f t="shared" ca="1" si="540"/>
        <v>1417965.7210829016</v>
      </c>
      <c r="EE222" s="581">
        <f t="shared" si="619"/>
        <v>974986.54467509128</v>
      </c>
      <c r="EF222" s="554">
        <f t="shared" si="620"/>
        <v>177270.2808500166</v>
      </c>
      <c r="EG222" s="554">
        <f t="shared" ca="1" si="541"/>
        <v>9156.5285971244448</v>
      </c>
      <c r="EH222" s="554">
        <f t="shared" ca="1" si="542"/>
        <v>34336.982239216668</v>
      </c>
      <c r="EI222" s="561">
        <f t="shared" ca="1" si="621"/>
        <v>1195750.3363614487</v>
      </c>
      <c r="EJ222" s="581">
        <f t="shared" si="675"/>
        <v>63735.100682678749</v>
      </c>
      <c r="EK222" s="554">
        <f t="shared" si="676"/>
        <v>11588.200124123396</v>
      </c>
      <c r="EL222" s="554">
        <f t="shared" ca="1" si="543"/>
        <v>45796.828250007471</v>
      </c>
      <c r="EM222" s="554">
        <f t="shared" ca="1" si="544"/>
        <v>171738.10593752802</v>
      </c>
      <c r="EN222" s="561">
        <f t="shared" ca="1" si="545"/>
        <v>222215.38472145284</v>
      </c>
      <c r="EO222" s="180">
        <f t="shared" si="622"/>
        <v>4154886.5814310801</v>
      </c>
      <c r="EP222" s="180">
        <f t="shared" si="623"/>
        <v>755433.92389655998</v>
      </c>
      <c r="EQ222" s="180">
        <f t="shared" si="624"/>
        <v>219813.42738852766</v>
      </c>
      <c r="ER222" s="180">
        <f t="shared" si="625"/>
        <v>824300.3527069788</v>
      </c>
      <c r="ES222" s="180">
        <f t="shared" si="626"/>
        <v>5954434.2854231466</v>
      </c>
      <c r="ET222" s="1482">
        <f t="shared" ca="1" si="546"/>
        <v>3899946.1787003651</v>
      </c>
      <c r="EU222" s="180">
        <f t="shared" ca="1" si="547"/>
        <v>709081.1234000664</v>
      </c>
      <c r="EV222" s="180">
        <f t="shared" ca="1" si="548"/>
        <v>36626.114388497779</v>
      </c>
      <c r="EW222" s="180">
        <f t="shared" ca="1" si="549"/>
        <v>137347.92895686667</v>
      </c>
      <c r="EX222" s="555">
        <f t="shared" ca="1" si="522"/>
        <v>4783001.345445795</v>
      </c>
      <c r="EY222" s="180">
        <f t="shared" ca="1" si="550"/>
        <v>254940.402730715</v>
      </c>
      <c r="EZ222" s="180">
        <f t="shared" ca="1" si="551"/>
        <v>46352.800496493583</v>
      </c>
      <c r="FA222" s="180">
        <f t="shared" ca="1" si="552"/>
        <v>183187.31300002988</v>
      </c>
      <c r="FB222" s="180">
        <f t="shared" ca="1" si="553"/>
        <v>686952.42375011207</v>
      </c>
      <c r="FC222" s="180">
        <f t="shared" ca="1" si="554"/>
        <v>1171432.9399773516</v>
      </c>
      <c r="FD222" s="262">
        <f>IF(AX222,IF(VLOOKUP(C222,MAIN!$L$17:$M$28,2)="Yes",VLOOKUP(CALC!B222,MAIN!$H$17:$I$20,2),0),0)</f>
        <v>0</v>
      </c>
      <c r="FE222" s="623">
        <f t="shared" si="627"/>
        <v>0</v>
      </c>
      <c r="FF222" s="535">
        <f t="shared" si="628"/>
        <v>0</v>
      </c>
      <c r="FG222" s="535">
        <f t="shared" si="629"/>
        <v>0</v>
      </c>
      <c r="FH222" s="624">
        <f t="shared" si="630"/>
        <v>0</v>
      </c>
      <c r="FI222" s="632">
        <f>IF(AX222,VLOOKUP(CALC!B222,MAIN!$H$17:$K$20,4),0)</f>
        <v>0</v>
      </c>
      <c r="FJ222" s="535">
        <f t="shared" si="631"/>
        <v>0</v>
      </c>
      <c r="FK222" s="648">
        <f t="shared" si="677"/>
        <v>0</v>
      </c>
      <c r="FL222" s="530">
        <f t="shared" ca="1" si="555"/>
        <v>0</v>
      </c>
      <c r="FM222" s="530">
        <f t="shared" ca="1" si="556"/>
        <v>0</v>
      </c>
      <c r="FN222" s="530">
        <f t="shared" ca="1" si="557"/>
        <v>0</v>
      </c>
      <c r="FO222" s="622">
        <f t="shared" ca="1" si="558"/>
        <v>0</v>
      </c>
      <c r="FP222" s="530">
        <f t="shared" ca="1" si="559"/>
        <v>0</v>
      </c>
      <c r="FQ222" s="530">
        <f t="shared" ca="1" si="560"/>
        <v>0</v>
      </c>
      <c r="FR222" s="530">
        <f t="shared" ca="1" si="561"/>
        <v>0</v>
      </c>
      <c r="FS222" s="625">
        <f t="shared" ca="1" si="562"/>
        <v>0</v>
      </c>
      <c r="FT222" s="640">
        <f ca="1">IF(AND(Assumptions!$H$71="Yes",A222&gt;=Assumptions!$H$72,A222&lt;=Assumptions!$H$73),0,IF(AND($A222&gt;=Assumptions!$C$17,$A222&lt;=Assumptions!$C$18),MAX(AZ222*(1+VLOOKUP($C222,WeatherCapacityAdjustment,2))-FL222,0),0))</f>
        <v>51216</v>
      </c>
      <c r="FU222" s="530">
        <f ca="1">IF(AND(Assumptions!$H$71="Yes",A222&gt;=Assumptions!$H$72,A222&lt;=Assumptions!$H$73),0,IF(AND($A222&gt;=Assumptions!$C$17,$A222&lt;=Assumptions!$C$18),MAX(BA222*(1+VLOOKUP($C222,WeatherCapacityAdjustment,2))-FM222,0),0))</f>
        <v>9312</v>
      </c>
      <c r="FV222" s="530">
        <f ca="1">IF(AND(Assumptions!$H$71="Yes",A222&gt;=Assumptions!$H$72,A222&lt;=Assumptions!$H$73),0,IF(AND($A222&gt;=Assumptions!$C$17,$A222&lt;=Assumptions!$C$18),MAX(BB222*(1+VLOOKUP($C222,WeatherCapacityAdjustment,2))-FN222,0),0))</f>
        <v>9312</v>
      </c>
      <c r="FW222" s="622">
        <f ca="1">IF(AND(Assumptions!$H$71="Yes",A222&gt;=Assumptions!$H$72,A222&lt;=Assumptions!$H$73),0,IF(AND($A222&gt;=Assumptions!$C$17,$A222&lt;=Assumptions!$C$18),MAX(BC222*(1+VLOOKUP($C222,WeatherCapacityAdjustment,3))-FO222,0),0))</f>
        <v>34920</v>
      </c>
      <c r="FX222" s="621">
        <f ca="1">IF(AND(Assumptions!$H$71="Yes",A222&gt;=Assumptions!$H$72,A222&lt;=Assumptions!$H$73),0,IF(ET222&gt;0,MAX(BH222*(1+VLOOKUP($C222,WeatherCapacityAdjustment,2))-FP222,0),0))</f>
        <v>204864</v>
      </c>
      <c r="FY222" s="530">
        <f ca="1">IF(AND(Assumptions!$H$71="Yes",A222&gt;=Assumptions!$H$72,A222&lt;=Assumptions!$H$73),0,IF(EU222&gt;0,MAX(BI222*(1+VLOOKUP($C222,WeatherCapacityAdjustment,3))-FQ222,0),0))</f>
        <v>37248</v>
      </c>
      <c r="FZ222" s="530">
        <f ca="1">IF(AND(Assumptions!$H$71="Yes",A222&gt;=Assumptions!$H$72,A222&lt;=Assumptions!$H$73),0,IF(EV222&gt;0,MAX(BJ222*(1+VLOOKUP($C222,WeatherCapacityAdjustment,2))-FR222,0),0))</f>
        <v>37248</v>
      </c>
      <c r="GA222" s="622">
        <f ca="1">IF(AND(Assumptions!$H$71="Yes",A222&gt;=Assumptions!$H$72,A222&lt;=Assumptions!$H$73),0,IF(EW222&gt;0,MAX(BK222*(1+VLOOKUP($C222,WeatherCapacityAdjustment,2))-FS222,0),0))</f>
        <v>139680</v>
      </c>
      <c r="GB222" s="530">
        <f t="shared" ca="1" si="632"/>
        <v>523800</v>
      </c>
      <c r="GC222" s="545">
        <f t="shared" ca="1" si="633"/>
        <v>37.217362350889807</v>
      </c>
      <c r="GD222" s="530">
        <f t="shared" ca="1" si="563"/>
        <v>19494454.399396081</v>
      </c>
      <c r="GE222" s="1485">
        <f t="shared" ca="1" si="564"/>
        <v>744994.45439999993</v>
      </c>
      <c r="GF222" s="1776">
        <f t="shared" ca="1" si="565"/>
        <v>2979977.8175999997</v>
      </c>
      <c r="GG222" s="545">
        <f t="shared" si="530"/>
        <v>3.2944259620042184</v>
      </c>
      <c r="GH222" s="622">
        <f t="shared" ca="1" si="531"/>
        <v>12271645.360622639</v>
      </c>
      <c r="GI222" s="621">
        <f t="shared" ca="1" si="678"/>
        <v>523800</v>
      </c>
      <c r="GJ222" s="638">
        <f t="shared" si="634"/>
        <v>2.37506177351317</v>
      </c>
      <c r="GK222" s="625">
        <f t="shared" ca="1" si="684"/>
        <v>1244057.3569661984</v>
      </c>
      <c r="GL222" s="640">
        <f t="shared" ca="1" si="566"/>
        <v>0</v>
      </c>
      <c r="GM222" s="530">
        <f t="shared" ca="1" si="567"/>
        <v>0</v>
      </c>
      <c r="GN222" s="530">
        <f t="shared" ca="1" si="568"/>
        <v>0</v>
      </c>
      <c r="GO222" s="622">
        <f t="shared" ca="1" si="569"/>
        <v>0</v>
      </c>
      <c r="GP222" s="530">
        <f t="shared" ca="1" si="635"/>
        <v>0</v>
      </c>
      <c r="GQ222" s="545">
        <f t="shared" ca="1" si="636"/>
        <v>0</v>
      </c>
      <c r="GR222" s="625">
        <f t="shared" ca="1" si="570"/>
        <v>0</v>
      </c>
      <c r="GS222" s="640">
        <f>IF($A222&gt;=BegDate,Assumptions!$C$56*24*($A223-$A222)*(1-VLOOKUP($B222,MAIN!$AA$7:$AM$28,$C222+1))*(1-VLOOKUP($B222,MAIN!$AA$33:$AM$54,$C222+1)),0)*80/168</f>
        <v>249428.57142857142</v>
      </c>
      <c r="GT222" s="1715">
        <f t="shared" si="679"/>
        <v>44.83993096679901</v>
      </c>
      <c r="GU222" s="1715">
        <f>IF($A222&gt;=BegDate,VLOOKUP($A222,GasTable,13)+Assumptions!$C$58,0)</f>
        <v>3.2944259620042184</v>
      </c>
      <c r="GV222" s="1715">
        <f>GU222*Assumptions!$C$57/1000</f>
        <v>23.884588224530585</v>
      </c>
      <c r="GW222" s="625">
        <f>IF(Assumptions!$C$60="Hourly",MAX(0,GS222*(GT222-GV222)),GS222*(GT222-GV222))</f>
        <v>5226861.2040000958</v>
      </c>
      <c r="GX222" s="640">
        <f>IF($A222&gt;=BegDate,Assumptions!$C$56*24*($A223-$A222)*(1-VLOOKUP($B222,MAIN!$AA$7:$AM$28,$C222+1))*(1-VLOOKUP($B222,MAIN!$AA$33:$AM$54,$C222+1)),0)*16/168</f>
        <v>49885.714285714283</v>
      </c>
      <c r="GY222" s="1715">
        <f t="shared" si="680"/>
        <v>44.83993096679901</v>
      </c>
      <c r="GZ222" s="1715">
        <f>IF($A222&gt;=BegDate,VLOOKUP($A222,GasTable,13)+Assumptions!$C$58,0)</f>
        <v>3.2944259620042184</v>
      </c>
      <c r="HA222" s="1715">
        <f>GZ222*Assumptions!$C$57/1000</f>
        <v>23.884588224530585</v>
      </c>
      <c r="HB222" s="625">
        <f>IF(Assumptions!$C$60="Hourly",MAX(0,GX222*(GY222-HA222)),GX222*(GY222-HA222))</f>
        <v>1045372.240800019</v>
      </c>
      <c r="HC222" s="640">
        <f>IF($A222&gt;=BegDate,Assumptions!$C$56*24*($A223-$A222)*(1-VLOOKUP($B222,MAIN!$AA$7:$AM$28,$C222+1))*(1-VLOOKUP($B222,MAIN!$AA$33:$AM$54,$C222+1)),0)*16/168</f>
        <v>49885.714285714283</v>
      </c>
      <c r="HD222" s="1715">
        <f t="shared" si="681"/>
        <v>26.78647832500916</v>
      </c>
      <c r="HE222" s="1715">
        <f>IF($A222&gt;=BegDate,VLOOKUP($A222,GasTable,13)+Assumptions!$C$58,0)</f>
        <v>3.2944259620042184</v>
      </c>
      <c r="HF222" s="1715">
        <f>HE222*Assumptions!$C$57/1000</f>
        <v>23.884588224530585</v>
      </c>
      <c r="HG222" s="625">
        <f>IF(Assumptions!$C$60="Hourly",MAX(0,HC222*(HD222-HF222)),HC222*(HD222-HF222))</f>
        <v>144762.86044101688</v>
      </c>
      <c r="HH222" s="640">
        <f>IF($A222&gt;=BegDate,Assumptions!$C$56*24*($A223-$A222)*(1-VLOOKUP($B222,MAIN!$AA$7:$AM$28,$C222+1))*(1-VLOOKUP($B222,MAIN!$AA$33:$AM$54,$C222+1)),0)*56/168</f>
        <v>174600</v>
      </c>
      <c r="HI222" s="1715">
        <f t="shared" si="682"/>
        <v>26.78647832500916</v>
      </c>
      <c r="HJ222" s="1715">
        <f>IF($A222&gt;=BegDate,VLOOKUP($A222,GasTable,13)+Assumptions!$C$58,0)</f>
        <v>3.2944259620042184</v>
      </c>
      <c r="HK222" s="1715">
        <f>HJ222*Assumptions!$C$57/1000</f>
        <v>23.884588224530585</v>
      </c>
      <c r="HL222" s="625">
        <f>IF(Assumptions!$C$60="Hourly",MAX(0,HH222*(HI222-HK222)),HH222*(HI222-HK222))</f>
        <v>506670.01154355914</v>
      </c>
      <c r="HM222" s="640">
        <f>IF(AND(Assumptions!$H$71="Yes",A222&gt;=Assumptions!$H$72,A222&lt;=Assumptions!$H$73),Assumptions!$H$74*Assumptions!$C$9*1000,0)</f>
        <v>0</v>
      </c>
      <c r="HN222" s="530"/>
      <c r="HO222" s="545"/>
      <c r="HP222" s="545"/>
      <c r="HQ222" s="545"/>
      <c r="HR222" s="545"/>
      <c r="HS222" s="545"/>
      <c r="HT222" s="545"/>
      <c r="HU222" s="545"/>
      <c r="HV222" s="545"/>
      <c r="HW222" s="545"/>
      <c r="HX222" s="545"/>
      <c r="HY222" s="545"/>
      <c r="HZ222" s="545"/>
      <c r="IA222" s="545"/>
      <c r="IB222" s="545"/>
      <c r="IC222" s="545"/>
      <c r="ID222" s="545"/>
      <c r="IE222" s="545"/>
      <c r="IF222" s="545"/>
      <c r="IG222" s="545"/>
      <c r="IH222" s="545"/>
      <c r="II222" s="1464"/>
      <c r="IJ222" s="1463"/>
      <c r="IK222" s="1463"/>
    </row>
    <row r="223" spans="1:245">
      <c r="A223" s="177">
        <f t="shared" si="637"/>
        <v>42917</v>
      </c>
      <c r="B223" s="349">
        <f t="shared" si="638"/>
        <v>2017</v>
      </c>
      <c r="C223" s="15">
        <f t="shared" si="578"/>
        <v>7</v>
      </c>
      <c r="D223" s="612">
        <f t="shared" si="639"/>
        <v>42920</v>
      </c>
      <c r="E223" s="609">
        <f t="shared" si="579"/>
        <v>42917</v>
      </c>
      <c r="F223" s="614">
        <f t="shared" si="580"/>
        <v>42947</v>
      </c>
      <c r="G223" s="1349">
        <v>0</v>
      </c>
      <c r="H223" s="152">
        <f t="shared" si="683"/>
        <v>1</v>
      </c>
      <c r="I223" s="154">
        <f>IF(Assumptions!$L$25=4,VLOOKUP($A223,'Henwood Reference'!$E$9:$R$320,10),(VLOOKUP($A223,PriceTable,2,0)+IF(BasisNumber&lt;&gt;1,VLOOKUP($A223,BasisTable,2,0),0)+I$1)/(1-I$2))</f>
        <v>66.820220644572089</v>
      </c>
      <c r="J223" s="154">
        <f>IF(Assumptions!$L$25=4,VLOOKUP($A223,'Henwood Reference'!$E$9:$R$320,10),(VLOOKUP($A223,PriceTable,3,0)+IF(BasisNumber&lt;&gt;1,VLOOKUP($A223,BasisTable,2,0),0)+J$1)/(1-J$2))</f>
        <v>66.820220644572089</v>
      </c>
      <c r="K223" s="154">
        <f>IF(Assumptions!$L$25=4,VLOOKUP($A223,'Henwood Reference'!$E$9:$R$320,10),(VLOOKUP($A223,PriceTable,4,0)+IF(BasisNumber&lt;&gt;1,VLOOKUP($A223,BasisTable,2,0),0)+K$1)/(1-K$2))</f>
        <v>66.820220644572089</v>
      </c>
      <c r="L223" s="474">
        <f>IF(Assumptions!$L$25=4,VLOOKUP($A223,'Henwood Reference'!$E$9:$R$320,10),(VLOOKUP($A223,PriceTableWeekend,2,0)+IF(BasisNumber&lt;&gt;1,VLOOKUP($A223,BasisTable,2,0),0)+L$1)/(1-L$2))</f>
        <v>66.820220644572089</v>
      </c>
      <c r="M223" s="154">
        <f>IF(Assumptions!$L$25=4,VLOOKUP($A223,'Henwood Reference'!$E$9:$R$320,10),(VLOOKUP($A223,PriceTableWeekend,3,0)+IF(BasisNumber&lt;&gt;1,VLOOKUP($A223,BasisTable,2,0),0)+M$1)/(1-M$2))</f>
        <v>66.820220644572089</v>
      </c>
      <c r="N223" s="156">
        <f>IF(Assumptions!$L$25=4,VLOOKUP($A223,'Henwood Reference'!$E$9:$R$320,10),(VLOOKUP($A223,PriceTableWeekend,4,0)+IF(BasisNumber&lt;&gt;1,VLOOKUP($A223,BasisTable,2,0),0)+N$1)/(1-N$2))</f>
        <v>66.820220644572089</v>
      </c>
      <c r="O223" s="154">
        <f>IF(Assumptions!$L$25=4,VLOOKUP($A223,'Henwood Reference'!$E$9:$R$320,11),(VLOOKUP($A223,PriceTableWeekend,6,0)+IF(BasisNumber&lt;&gt;1,VLOOKUP($A223,BasisTable,3,0),0)+O$1)/(1-O$2))</f>
        <v>32.190570058240404</v>
      </c>
      <c r="P223" s="154">
        <f>IF(Assumptions!$L$25=4,VLOOKUP($A223,'Henwood Reference'!$E$9:$R$320,11),(VLOOKUP($A223,PriceTableWeekend,7,0)+IF(BasisNumber&lt;&gt;1,VLOOKUP($A223,BasisTable,3,0),0)+P$1)/(1-P$2))</f>
        <v>32.190570058240404</v>
      </c>
      <c r="Q223" s="156">
        <f>IF(Assumptions!$L$25=4,VLOOKUP($A223,'Henwood Reference'!$E$9:$R$320,11),(VLOOKUP($A223,PriceTableWeekend,8,0)+IF(BasisNumber&lt;&gt;1,VLOOKUP($A223,BasisTable,3,0),0)+Q$1)/(1-Q$2))</f>
        <v>32.190570058240404</v>
      </c>
      <c r="R223" s="154">
        <f>IF(Assumptions!$L$25=4,VLOOKUP($A223,'Henwood Reference'!$E$9:$R$320,11),(VLOOKUP($A223,PriceTable,6,0)+IF(BasisNumber&lt;&gt;1,VLOOKUP($A223,BasisTable,3,0),0)+R$1)/(1-R$2))</f>
        <v>32.190570058240404</v>
      </c>
      <c r="S223" s="154">
        <f>IF(Assumptions!$L$25=4,VLOOKUP($A223,'Henwood Reference'!$E$9:$R$320,11),(VLOOKUP($A223,PriceTable,7,0)+IF(BasisNumber&lt;&gt;1,VLOOKUP($A223,BasisTable,3,0),0)+S$1)/(1-S$2))</f>
        <v>32.190570058240404</v>
      </c>
      <c r="T223" s="155">
        <f>IF(Assumptions!$L$25=4,VLOOKUP($A223,'Henwood Reference'!$E$9:$R$320,11),(VLOOKUP($A223,PriceTable,8,0)+IF(BasisNumber&lt;&gt;1,VLOOKUP($A223,BasisTable,3,0),0)+T$1)/(1-T$2))</f>
        <v>32.190570058240404</v>
      </c>
      <c r="U223" s="173">
        <f t="shared" si="640"/>
        <v>0.09</v>
      </c>
      <c r="V223" s="173">
        <f t="shared" si="641"/>
        <v>0.1</v>
      </c>
      <c r="W223" s="174">
        <f t="shared" si="642"/>
        <v>0.11</v>
      </c>
      <c r="X223" s="173">
        <f t="shared" si="643"/>
        <v>0.09</v>
      </c>
      <c r="Y223" s="173">
        <f t="shared" si="644"/>
        <v>0.1</v>
      </c>
      <c r="Z223" s="174">
        <f t="shared" si="645"/>
        <v>0.11</v>
      </c>
      <c r="AA223" s="173">
        <f t="shared" si="646"/>
        <v>0.09</v>
      </c>
      <c r="AB223" s="173">
        <f t="shared" si="647"/>
        <v>0.11</v>
      </c>
      <c r="AC223" s="174">
        <f t="shared" si="648"/>
        <v>0.13</v>
      </c>
      <c r="AD223" s="173">
        <f t="shared" si="649"/>
        <v>0.09</v>
      </c>
      <c r="AE223" s="173">
        <f t="shared" si="650"/>
        <v>0.11</v>
      </c>
      <c r="AF223" s="174">
        <f t="shared" si="651"/>
        <v>0.13</v>
      </c>
      <c r="AG223" s="173">
        <f t="shared" si="652"/>
        <v>-0.35</v>
      </c>
      <c r="AH223" s="173">
        <f t="shared" si="653"/>
        <v>0.65</v>
      </c>
      <c r="AI223" s="174">
        <f t="shared" si="654"/>
        <v>0.35</v>
      </c>
      <c r="AJ223" s="173">
        <f t="shared" si="655"/>
        <v>-0.35</v>
      </c>
      <c r="AK223" s="173">
        <f t="shared" si="656"/>
        <v>0.65</v>
      </c>
      <c r="AL223" s="174">
        <f t="shared" si="657"/>
        <v>0.35</v>
      </c>
      <c r="AM223" s="173">
        <f t="shared" si="658"/>
        <v>-0.01</v>
      </c>
      <c r="AN223" s="173">
        <f t="shared" si="659"/>
        <v>0.16</v>
      </c>
      <c r="AO223" s="174">
        <f t="shared" si="660"/>
        <v>0.01</v>
      </c>
      <c r="AP223" s="173">
        <f t="shared" si="661"/>
        <v>-0.01</v>
      </c>
      <c r="AQ223" s="173">
        <f t="shared" si="662"/>
        <v>0.16</v>
      </c>
      <c r="AR223" s="175">
        <f t="shared" si="663"/>
        <v>0.01</v>
      </c>
      <c r="AS223" s="521">
        <f t="shared" si="664"/>
        <v>0.5</v>
      </c>
      <c r="AT223" s="349">
        <f t="shared" si="581"/>
        <v>20</v>
      </c>
      <c r="AU223" s="159">
        <f t="shared" si="582"/>
        <v>5</v>
      </c>
      <c r="AV223" s="159">
        <f t="shared" si="583"/>
        <v>5</v>
      </c>
      <c r="AW223" s="159">
        <f t="shared" si="665"/>
        <v>1</v>
      </c>
      <c r="AX223" s="15">
        <f t="shared" si="584"/>
        <v>31</v>
      </c>
      <c r="AY223" s="607">
        <f>IF(E223="",0,MIN((1-(1-VLOOKUP(B223,MAIN!$AA$7:$AM$28,C223+1))*(1-VLOOKUP(B223,MAIN!$AA$33:$AM$54,C223+1))),1))</f>
        <v>3.0000000000000027E-2</v>
      </c>
      <c r="AZ223" s="337">
        <v>46560</v>
      </c>
      <c r="BA223" s="509">
        <v>11640</v>
      </c>
      <c r="BB223" s="509">
        <v>13968</v>
      </c>
      <c r="BC223" s="511">
        <v>36084</v>
      </c>
      <c r="BD223" s="153">
        <v>0.97000000361353156</v>
      </c>
      <c r="BE223" s="474">
        <v>0.97000000361353156</v>
      </c>
      <c r="BF223" s="474">
        <v>0.97000000361353156</v>
      </c>
      <c r="BG223" s="515">
        <v>0.96999998554587363</v>
      </c>
      <c r="BH223" s="262">
        <v>186240</v>
      </c>
      <c r="BI223" s="509">
        <v>46560</v>
      </c>
      <c r="BJ223" s="509">
        <v>55872</v>
      </c>
      <c r="BK223" s="511">
        <v>144336</v>
      </c>
      <c r="BL223" s="153">
        <v>0.97000000361353156</v>
      </c>
      <c r="BM223" s="474">
        <v>0.97000000361353156</v>
      </c>
      <c r="BN223" s="474">
        <v>0.97000000361353156</v>
      </c>
      <c r="BO223" s="474">
        <v>0.96999998554587363</v>
      </c>
      <c r="BP223" s="261">
        <f t="shared" si="666"/>
        <v>72168</v>
      </c>
      <c r="BQ223" s="578">
        <f t="shared" si="667"/>
        <v>108252</v>
      </c>
      <c r="BR223" s="259">
        <f t="shared" si="668"/>
        <v>288672</v>
      </c>
      <c r="BS223" s="578">
        <f t="shared" si="669"/>
        <v>433008</v>
      </c>
      <c r="BT223" s="216">
        <f t="shared" si="670"/>
        <v>17.212867898699521</v>
      </c>
      <c r="BU223" s="218">
        <f t="shared" si="585"/>
        <v>66.82022089349681</v>
      </c>
      <c r="BV223" s="216">
        <f t="shared" si="586"/>
        <v>66.82022089349681</v>
      </c>
      <c r="BW223" s="216">
        <f t="shared" si="587"/>
        <v>32.190570178159625</v>
      </c>
      <c r="BX223" s="216">
        <f t="shared" si="671"/>
        <v>32.190569578563533</v>
      </c>
      <c r="BY223" s="216">
        <f t="shared" si="588"/>
        <v>60.117707851818636</v>
      </c>
      <c r="BZ223" s="216">
        <f t="shared" si="589"/>
        <v>50.8086617607336</v>
      </c>
      <c r="CA223" s="264">
        <f t="shared" si="590"/>
        <v>66.82022089349681</v>
      </c>
      <c r="CB223" s="216">
        <f t="shared" si="591"/>
        <v>66.82022089349681</v>
      </c>
      <c r="CC223" s="216">
        <f t="shared" si="592"/>
        <v>32.190570178159625</v>
      </c>
      <c r="CD223" s="216">
        <f t="shared" si="672"/>
        <v>32.190569578563533</v>
      </c>
      <c r="CE223" s="216">
        <f t="shared" si="593"/>
        <v>60.117707851818636</v>
      </c>
      <c r="CF223" s="571">
        <f t="shared" si="594"/>
        <v>50.8086617607336</v>
      </c>
      <c r="CG223" s="573">
        <f t="shared" si="595"/>
        <v>0.1</v>
      </c>
      <c r="CH223" s="219">
        <f t="shared" si="596"/>
        <v>0.1</v>
      </c>
      <c r="CI223" s="219">
        <f t="shared" si="597"/>
        <v>0.11</v>
      </c>
      <c r="CJ223" s="219">
        <f t="shared" si="598"/>
        <v>0.10104449225172799</v>
      </c>
      <c r="CK223" s="219">
        <f t="shared" si="599"/>
        <v>0.10104449225172799</v>
      </c>
      <c r="CL223" s="219">
        <f t="shared" si="600"/>
        <v>0.11</v>
      </c>
      <c r="CM223" s="219">
        <f t="shared" si="601"/>
        <v>9.3748385065574175E-2</v>
      </c>
      <c r="CN223" s="569">
        <f t="shared" si="602"/>
        <v>9.3748385065574175E-2</v>
      </c>
      <c r="CO223" s="264">
        <f t="shared" si="685"/>
        <v>24.038428135583096</v>
      </c>
      <c r="CP223" s="216">
        <f t="shared" si="673"/>
        <v>24.038428135583096</v>
      </c>
      <c r="CQ223" s="216">
        <f t="shared" ca="1" si="532"/>
        <v>24.038428135583096</v>
      </c>
      <c r="CR223" s="216">
        <f t="shared" ca="1" si="533"/>
        <v>24.038428135583096</v>
      </c>
      <c r="CS223" s="1626">
        <f t="shared" ca="1" si="534"/>
        <v>24.038428135583096</v>
      </c>
      <c r="CT223" s="216">
        <f t="shared" si="674"/>
        <v>24.038428135583096</v>
      </c>
      <c r="CU223" s="575">
        <f t="shared" si="603"/>
        <v>0.151</v>
      </c>
      <c r="CV223" s="154">
        <f t="shared" si="604"/>
        <v>0.5</v>
      </c>
      <c r="CW223" s="216">
        <f>IF(OR($BQ223,$BS223),SpreadOptPowerMargin,0)*((1+Assumptions!$C$26)^($B223-YEAR(Assumptions!$C$17)))</f>
        <v>2.37506177351317</v>
      </c>
      <c r="CX223" s="216">
        <f>IF(OR($BQ223,$BS223),SpreadOptPowerMargin,0)*((1+Assumptions!$C$26)^($B223-YEAR(Assumptions!$C$17)))</f>
        <v>2.37506177351317</v>
      </c>
      <c r="CY223" s="216">
        <f>IF(OR($BQ223,$BS223),SpreadOptPowerMargin,0)*((1+Assumptions!$C$26)^($B223-YEAR(Assumptions!$C$17)))</f>
        <v>2.37506177351317</v>
      </c>
      <c r="CZ223" s="216">
        <f>IF(OR($BQ223,$BS223),SpreadOptPowerMargin,0)*((1+Assumptions!$C$26)^($B223-YEAR(Assumptions!$C$17)))</f>
        <v>2.37506177351317</v>
      </c>
      <c r="DA223" s="440">
        <f t="shared" si="605"/>
        <v>2.37506177351317</v>
      </c>
      <c r="DB223" s="479">
        <f t="shared" si="606"/>
        <v>0.1</v>
      </c>
      <c r="DC223" s="479">
        <f t="shared" si="607"/>
        <v>0.1</v>
      </c>
      <c r="DD223" s="479">
        <f t="shared" si="608"/>
        <v>0.11</v>
      </c>
      <c r="DE223" s="479">
        <f t="shared" si="609"/>
        <v>0.11</v>
      </c>
      <c r="DF223" s="479">
        <f t="shared" si="610"/>
        <v>9.3748385065574175E-2</v>
      </c>
      <c r="DG223" s="574">
        <f t="shared" si="611"/>
        <v>9.3748385065574175E-2</v>
      </c>
      <c r="DH223" s="216">
        <f t="shared" si="612"/>
        <v>40.72877502367848</v>
      </c>
      <c r="DI223" s="216">
        <f t="shared" si="613"/>
        <v>40.72877502367848</v>
      </c>
      <c r="DJ223" s="216">
        <f t="shared" ca="1" si="535"/>
        <v>9.3633607162691845</v>
      </c>
      <c r="DK223" s="216">
        <f t="shared" ca="1" si="536"/>
        <v>9.3633602709284691</v>
      </c>
      <c r="DL223" s="216">
        <f t="shared" ca="1" si="537"/>
        <v>25.281066080396329</v>
      </c>
      <c r="DM223" s="216"/>
      <c r="DN223" s="216"/>
      <c r="DO223" s="216"/>
      <c r="DP223" s="216"/>
      <c r="DQ223" s="216"/>
      <c r="DR223" s="216"/>
      <c r="DS223" s="216"/>
      <c r="DT223" s="216"/>
      <c r="DU223" s="216"/>
      <c r="DV223" s="216"/>
      <c r="DW223" s="1371">
        <f t="shared" si="614"/>
        <v>9.3633607162691845</v>
      </c>
      <c r="DX223" s="216">
        <f t="shared" si="615"/>
        <v>9.3633602709284691</v>
      </c>
      <c r="DY223" s="440">
        <f t="shared" si="616"/>
        <v>26.226486539547707</v>
      </c>
      <c r="DZ223" s="180">
        <f t="shared" si="617"/>
        <v>1896331.7651024701</v>
      </c>
      <c r="EA223" s="180">
        <f t="shared" si="618"/>
        <v>474082.94127561752</v>
      </c>
      <c r="EB223" s="180">
        <f t="shared" ca="1" si="538"/>
        <v>130787.42248484796</v>
      </c>
      <c r="EC223" s="180">
        <f t="shared" ca="1" si="539"/>
        <v>337867.49201618286</v>
      </c>
      <c r="ED223" s="180">
        <f t="shared" ca="1" si="540"/>
        <v>2736725.9653350632</v>
      </c>
      <c r="EE223" s="581">
        <f t="shared" si="619"/>
        <v>1881337.3946336892</v>
      </c>
      <c r="EF223" s="554">
        <f t="shared" si="620"/>
        <v>470334.3486584223</v>
      </c>
      <c r="EG223" s="554">
        <f t="shared" ca="1" si="541"/>
        <v>80694.257198276988</v>
      </c>
      <c r="EH223" s="554">
        <f t="shared" ca="1" si="542"/>
        <v>208460.14279305682</v>
      </c>
      <c r="EI223" s="561">
        <f t="shared" ca="1" si="621"/>
        <v>2640826.1432834445</v>
      </c>
      <c r="EJ223" s="581">
        <f t="shared" si="675"/>
        <v>14994.370468780864</v>
      </c>
      <c r="EK223" s="554">
        <f t="shared" si="676"/>
        <v>3748.592617195216</v>
      </c>
      <c r="EL223" s="554">
        <f t="shared" ca="1" si="543"/>
        <v>50093.165286570977</v>
      </c>
      <c r="EM223" s="554">
        <f t="shared" ca="1" si="544"/>
        <v>129407.34922312605</v>
      </c>
      <c r="EN223" s="561">
        <f t="shared" ca="1" si="545"/>
        <v>95899.822051618714</v>
      </c>
      <c r="EO223" s="180">
        <f t="shared" si="622"/>
        <v>7585327.0604098802</v>
      </c>
      <c r="EP223" s="180">
        <f t="shared" si="623"/>
        <v>1896331.7651024701</v>
      </c>
      <c r="EQ223" s="180">
        <f t="shared" si="624"/>
        <v>523149.68993939186</v>
      </c>
      <c r="ER223" s="180">
        <f t="shared" si="625"/>
        <v>1351469.9680647315</v>
      </c>
      <c r="ES223" s="180">
        <f t="shared" si="626"/>
        <v>11356278.483516473</v>
      </c>
      <c r="ET223" s="1482">
        <f t="shared" ca="1" si="546"/>
        <v>7525349.5785347568</v>
      </c>
      <c r="EU223" s="180">
        <f t="shared" ca="1" si="547"/>
        <v>1881337.3946336892</v>
      </c>
      <c r="EV223" s="180">
        <f t="shared" ca="1" si="548"/>
        <v>322777.02879310795</v>
      </c>
      <c r="EW223" s="180">
        <f t="shared" ca="1" si="549"/>
        <v>833840.57117222727</v>
      </c>
      <c r="EX223" s="555">
        <f t="shared" ca="1" si="522"/>
        <v>10563304.573133782</v>
      </c>
      <c r="EY223" s="180">
        <f t="shared" ca="1" si="550"/>
        <v>59977.481875123456</v>
      </c>
      <c r="EZ223" s="180">
        <f t="shared" ca="1" si="551"/>
        <v>14994.370468780864</v>
      </c>
      <c r="FA223" s="180">
        <f t="shared" ca="1" si="552"/>
        <v>200372.66114628391</v>
      </c>
      <c r="FB223" s="180">
        <f t="shared" ca="1" si="553"/>
        <v>517629.39689250418</v>
      </c>
      <c r="FC223" s="180">
        <f t="shared" ca="1" si="554"/>
        <v>792973.91038269177</v>
      </c>
      <c r="FD223" s="262">
        <f>IF(AX223,IF(VLOOKUP(C223,MAIN!$L$17:$M$28,2)="Yes",VLOOKUP(CALC!B223,MAIN!$H$17:$I$20,2),0),0)</f>
        <v>0</v>
      </c>
      <c r="FE223" s="623">
        <f t="shared" si="627"/>
        <v>0</v>
      </c>
      <c r="FF223" s="535">
        <f t="shared" si="628"/>
        <v>0</v>
      </c>
      <c r="FG223" s="535">
        <f t="shared" si="629"/>
        <v>0</v>
      </c>
      <c r="FH223" s="624">
        <f t="shared" si="630"/>
        <v>0</v>
      </c>
      <c r="FI223" s="632">
        <f>IF(AX223,VLOOKUP(CALC!B223,MAIN!$H$17:$K$20,4),0)</f>
        <v>0</v>
      </c>
      <c r="FJ223" s="535">
        <f t="shared" si="631"/>
        <v>0</v>
      </c>
      <c r="FK223" s="648">
        <f t="shared" si="677"/>
        <v>0</v>
      </c>
      <c r="FL223" s="530">
        <f t="shared" ca="1" si="555"/>
        <v>0</v>
      </c>
      <c r="FM223" s="530">
        <f t="shared" ca="1" si="556"/>
        <v>0</v>
      </c>
      <c r="FN223" s="530">
        <f t="shared" ca="1" si="557"/>
        <v>0</v>
      </c>
      <c r="FO223" s="622">
        <f t="shared" ca="1" si="558"/>
        <v>0</v>
      </c>
      <c r="FP223" s="530">
        <f t="shared" ca="1" si="559"/>
        <v>0</v>
      </c>
      <c r="FQ223" s="530">
        <f t="shared" ca="1" si="560"/>
        <v>0</v>
      </c>
      <c r="FR223" s="530">
        <f t="shared" ca="1" si="561"/>
        <v>0</v>
      </c>
      <c r="FS223" s="625">
        <f t="shared" ca="1" si="562"/>
        <v>0</v>
      </c>
      <c r="FT223" s="640">
        <f ca="1">IF(AND(Assumptions!$H$71="Yes",A223&gt;=Assumptions!$H$72,A223&lt;=Assumptions!$H$73),0,IF(AND($A223&gt;=Assumptions!$C$17,$A223&lt;=Assumptions!$C$18),MAX(AZ223*(1+VLOOKUP($C223,WeatherCapacityAdjustment,2))-FL223,0),0))</f>
        <v>46560</v>
      </c>
      <c r="FU223" s="530">
        <f ca="1">IF(AND(Assumptions!$H$71="Yes",A223&gt;=Assumptions!$H$72,A223&lt;=Assumptions!$H$73),0,IF(AND($A223&gt;=Assumptions!$C$17,$A223&lt;=Assumptions!$C$18),MAX(BA223*(1+VLOOKUP($C223,WeatherCapacityAdjustment,2))-FM223,0),0))</f>
        <v>11640</v>
      </c>
      <c r="FV223" s="530">
        <f ca="1">IF(AND(Assumptions!$H$71="Yes",A223&gt;=Assumptions!$H$72,A223&lt;=Assumptions!$H$73),0,IF(AND($A223&gt;=Assumptions!$C$17,$A223&lt;=Assumptions!$C$18),MAX(BB223*(1+VLOOKUP($C223,WeatherCapacityAdjustment,2))-FN223,0),0))</f>
        <v>13968</v>
      </c>
      <c r="FW223" s="622">
        <f ca="1">IF(AND(Assumptions!$H$71="Yes",A223&gt;=Assumptions!$H$72,A223&lt;=Assumptions!$H$73),0,IF(AND($A223&gt;=Assumptions!$C$17,$A223&lt;=Assumptions!$C$18),MAX(BC223*(1+VLOOKUP($C223,WeatherCapacityAdjustment,3))-FO223,0),0))</f>
        <v>36084</v>
      </c>
      <c r="FX223" s="621">
        <f ca="1">IF(AND(Assumptions!$H$71="Yes",A223&gt;=Assumptions!$H$72,A223&lt;=Assumptions!$H$73),0,IF(ET223&gt;0,MAX(BH223*(1+VLOOKUP($C223,WeatherCapacityAdjustment,2))-FP223,0),0))</f>
        <v>186240</v>
      </c>
      <c r="FY223" s="530">
        <f ca="1">IF(AND(Assumptions!$H$71="Yes",A223&gt;=Assumptions!$H$72,A223&lt;=Assumptions!$H$73),0,IF(EU223&gt;0,MAX(BI223*(1+VLOOKUP($C223,WeatherCapacityAdjustment,3))-FQ223,0),0))</f>
        <v>46560</v>
      </c>
      <c r="FZ223" s="530">
        <f ca="1">IF(AND(Assumptions!$H$71="Yes",A223&gt;=Assumptions!$H$72,A223&lt;=Assumptions!$H$73),0,IF(EV223&gt;0,MAX(BJ223*(1+VLOOKUP($C223,WeatherCapacityAdjustment,2))-FR223,0),0))</f>
        <v>55872</v>
      </c>
      <c r="GA223" s="622">
        <f ca="1">IF(AND(Assumptions!$H$71="Yes",A223&gt;=Assumptions!$H$72,A223&lt;=Assumptions!$H$73),0,IF(EW223&gt;0,MAX(BK223*(1+VLOOKUP($C223,WeatherCapacityAdjustment,2))-FS223,0),0))</f>
        <v>144336</v>
      </c>
      <c r="GB223" s="530">
        <f t="shared" ca="1" si="632"/>
        <v>541260</v>
      </c>
      <c r="GC223" s="545">
        <f t="shared" ca="1" si="633"/>
        <v>50.8086617607336</v>
      </c>
      <c r="GD223" s="530">
        <f t="shared" ca="1" si="563"/>
        <v>27500696.264614668</v>
      </c>
      <c r="GE223" s="1485">
        <f t="shared" ca="1" si="564"/>
        <v>770145.86375999998</v>
      </c>
      <c r="GF223" s="1776">
        <f t="shared" ca="1" si="565"/>
        <v>3080583.4550399999</v>
      </c>
      <c r="GG223" s="545">
        <f t="shared" si="530"/>
        <v>3.3788507411163162</v>
      </c>
      <c r="GH223" s="622">
        <f t="shared" ca="1" si="531"/>
        <v>13011039.612665707</v>
      </c>
      <c r="GI223" s="621">
        <f t="shared" ca="1" si="678"/>
        <v>541260</v>
      </c>
      <c r="GJ223" s="638">
        <f t="shared" si="634"/>
        <v>2.37506177351317</v>
      </c>
      <c r="GK223" s="625">
        <f t="shared" ca="1" si="684"/>
        <v>1285525.9355317384</v>
      </c>
      <c r="GL223" s="640">
        <f t="shared" ca="1" si="566"/>
        <v>0</v>
      </c>
      <c r="GM223" s="530">
        <f t="shared" ca="1" si="567"/>
        <v>0</v>
      </c>
      <c r="GN223" s="530">
        <f t="shared" ca="1" si="568"/>
        <v>0</v>
      </c>
      <c r="GO223" s="622">
        <f t="shared" ca="1" si="569"/>
        <v>0</v>
      </c>
      <c r="GP223" s="530">
        <f t="shared" ca="1" si="635"/>
        <v>0</v>
      </c>
      <c r="GQ223" s="545">
        <f t="shared" ca="1" si="636"/>
        <v>0</v>
      </c>
      <c r="GR223" s="625">
        <f t="shared" ca="1" si="570"/>
        <v>0</v>
      </c>
      <c r="GS223" s="640">
        <f>IF($A223&gt;=BegDate,Assumptions!$C$56*24*($A224-$A223)*(1-VLOOKUP($B223,MAIN!$AA$7:$AM$28,$C223+1))*(1-VLOOKUP($B223,MAIN!$AA$33:$AM$54,$C223+1)),0)*80/168</f>
        <v>257742.85714285713</v>
      </c>
      <c r="GT223" s="1715">
        <f t="shared" si="679"/>
        <v>66.820220644572089</v>
      </c>
      <c r="GU223" s="1715">
        <f>IF($A223&gt;=BegDate,VLOOKUP($A223,GasTable,13)+Assumptions!$C$58,0)</f>
        <v>3.3788507411163162</v>
      </c>
      <c r="GV223" s="1715">
        <f>GU223*Assumptions!$C$57/1000</f>
        <v>24.496667873093291</v>
      </c>
      <c r="GW223" s="625">
        <f>IF(Assumptions!$C$60="Hourly",MAX(0,GS223*(GT223-GV223)),GS223*(GT223-GV223))</f>
        <v>10908593.415757436</v>
      </c>
      <c r="GX223" s="640">
        <f>IF($A223&gt;=BegDate,Assumptions!$C$56*24*($A224-$A223)*(1-VLOOKUP($B223,MAIN!$AA$7:$AM$28,$C223+1))*(1-VLOOKUP($B223,MAIN!$AA$33:$AM$54,$C223+1)),0)*16/168</f>
        <v>51548.571428571428</v>
      </c>
      <c r="GY223" s="1715">
        <f t="shared" si="680"/>
        <v>66.820220644572089</v>
      </c>
      <c r="GZ223" s="1715">
        <f>IF($A223&gt;=BegDate,VLOOKUP($A223,GasTable,13)+Assumptions!$C$58,0)</f>
        <v>3.3788507411163162</v>
      </c>
      <c r="HA223" s="1715">
        <f>GZ223*Assumptions!$C$57/1000</f>
        <v>24.496667873093291</v>
      </c>
      <c r="HB223" s="625">
        <f>IF(Assumptions!$C$60="Hourly",MAX(0,GX223*(GY223-HA223)),GX223*(GY223-HA223))</f>
        <v>2181718.6831514873</v>
      </c>
      <c r="HC223" s="640">
        <f>IF($A223&gt;=BegDate,Assumptions!$C$56*24*($A224-$A223)*(1-VLOOKUP($B223,MAIN!$AA$7:$AM$28,$C223+1))*(1-VLOOKUP($B223,MAIN!$AA$33:$AM$54,$C223+1)),0)*16/168</f>
        <v>51548.571428571428</v>
      </c>
      <c r="HD223" s="1715">
        <f t="shared" si="681"/>
        <v>32.190570058240404</v>
      </c>
      <c r="HE223" s="1715">
        <f>IF($A223&gt;=BegDate,VLOOKUP($A223,GasTable,13)+Assumptions!$C$58,0)</f>
        <v>3.3788507411163162</v>
      </c>
      <c r="HF223" s="1715">
        <f>HE223*Assumptions!$C$57/1000</f>
        <v>24.496667873093291</v>
      </c>
      <c r="HG223" s="625">
        <f>IF(Assumptions!$C$60="Hourly",MAX(0,HC223*(HD223-HF223)),HC223*(HD223-HF223))</f>
        <v>396609.66635549773</v>
      </c>
      <c r="HH223" s="640">
        <f>IF($A223&gt;=BegDate,Assumptions!$C$56*24*($A224-$A223)*(1-VLOOKUP($B223,MAIN!$AA$7:$AM$28,$C223+1))*(1-VLOOKUP($B223,MAIN!$AA$33:$AM$54,$C223+1)),0)*56/168</f>
        <v>180420</v>
      </c>
      <c r="HI223" s="1715">
        <f t="shared" si="682"/>
        <v>32.190570058240404</v>
      </c>
      <c r="HJ223" s="1715">
        <f>IF($A223&gt;=BegDate,VLOOKUP($A223,GasTable,13)+Assumptions!$C$58,0)</f>
        <v>3.3788507411163162</v>
      </c>
      <c r="HK223" s="1715">
        <f>HJ223*Assumptions!$C$57/1000</f>
        <v>24.496667873093291</v>
      </c>
      <c r="HL223" s="625">
        <f>IF(Assumptions!$C$60="Hourly",MAX(0,HH223*(HI223-HK223)),HH223*(HI223-HK223))</f>
        <v>1388133.8322442421</v>
      </c>
      <c r="HM223" s="640">
        <f>IF(AND(Assumptions!$H$71="Yes",A223&gt;=Assumptions!$H$72,A223&lt;=Assumptions!$H$73),Assumptions!$H$74*Assumptions!$C$9*1000,0)</f>
        <v>0</v>
      </c>
      <c r="HN223" s="530"/>
      <c r="HO223" s="545"/>
      <c r="HP223" s="545"/>
      <c r="HQ223" s="545"/>
      <c r="HR223" s="545"/>
      <c r="HS223" s="545"/>
      <c r="HT223" s="545"/>
      <c r="HU223" s="545"/>
      <c r="HV223" s="545"/>
      <c r="HW223" s="545"/>
      <c r="HX223" s="545"/>
      <c r="HY223" s="545"/>
      <c r="HZ223" s="545"/>
      <c r="IA223" s="545"/>
      <c r="IB223" s="545"/>
      <c r="IC223" s="545"/>
      <c r="ID223" s="545"/>
      <c r="IE223" s="545"/>
      <c r="IF223" s="545"/>
      <c r="IG223" s="545"/>
      <c r="IH223" s="545"/>
      <c r="II223" s="1464"/>
      <c r="IJ223" s="1463"/>
      <c r="IK223" s="1463"/>
    </row>
    <row r="224" spans="1:245">
      <c r="A224" s="177">
        <f t="shared" si="637"/>
        <v>42948</v>
      </c>
      <c r="B224" s="349">
        <f t="shared" si="638"/>
        <v>2017</v>
      </c>
      <c r="C224" s="15">
        <f t="shared" si="578"/>
        <v>8</v>
      </c>
      <c r="D224" s="612" t="str">
        <f t="shared" si="639"/>
        <v/>
      </c>
      <c r="E224" s="609">
        <f t="shared" si="579"/>
        <v>42948</v>
      </c>
      <c r="F224" s="614">
        <f t="shared" si="580"/>
        <v>42978</v>
      </c>
      <c r="G224" s="1349">
        <v>0</v>
      </c>
      <c r="H224" s="152">
        <f t="shared" si="683"/>
        <v>1</v>
      </c>
      <c r="I224" s="154">
        <f>IF(Assumptions!$L$25=4,VLOOKUP($A224,'Henwood Reference'!$E$9:$R$320,10),(VLOOKUP($A224,PriceTable,2,0)+IF(BasisNumber&lt;&gt;1,VLOOKUP($A224,BasisTable,2,0),0)+I$1)/(1-I$2))</f>
        <v>92.732808299863251</v>
      </c>
      <c r="J224" s="154">
        <f>IF(Assumptions!$L$25=4,VLOOKUP($A224,'Henwood Reference'!$E$9:$R$320,10),(VLOOKUP($A224,PriceTable,3,0)+IF(BasisNumber&lt;&gt;1,VLOOKUP($A224,BasisTable,2,0),0)+J$1)/(1-J$2))</f>
        <v>92.732808299863251</v>
      </c>
      <c r="K224" s="154">
        <f>IF(Assumptions!$L$25=4,VLOOKUP($A224,'Henwood Reference'!$E$9:$R$320,10),(VLOOKUP($A224,PriceTable,4,0)+IF(BasisNumber&lt;&gt;1,VLOOKUP($A224,BasisTable,2,0),0)+K$1)/(1-K$2))</f>
        <v>92.732808299863251</v>
      </c>
      <c r="L224" s="474">
        <f>IF(Assumptions!$L$25=4,VLOOKUP($A224,'Henwood Reference'!$E$9:$R$320,10),(VLOOKUP($A224,PriceTableWeekend,2,0)+IF(BasisNumber&lt;&gt;1,VLOOKUP($A224,BasisTable,2,0),0)+L$1)/(1-L$2))</f>
        <v>92.732808299863251</v>
      </c>
      <c r="M224" s="154">
        <f>IF(Assumptions!$L$25=4,VLOOKUP($A224,'Henwood Reference'!$E$9:$R$320,10),(VLOOKUP($A224,PriceTableWeekend,3,0)+IF(BasisNumber&lt;&gt;1,VLOOKUP($A224,BasisTable,2,0),0)+M$1)/(1-M$2))</f>
        <v>92.732808299863251</v>
      </c>
      <c r="N224" s="156">
        <f>IF(Assumptions!$L$25=4,VLOOKUP($A224,'Henwood Reference'!$E$9:$R$320,10),(VLOOKUP($A224,PriceTableWeekend,4,0)+IF(BasisNumber&lt;&gt;1,VLOOKUP($A224,BasisTable,2,0),0)+N$1)/(1-N$2))</f>
        <v>92.732808299863251</v>
      </c>
      <c r="O224" s="154">
        <f>IF(Assumptions!$L$25=4,VLOOKUP($A224,'Henwood Reference'!$E$9:$R$320,11),(VLOOKUP($A224,PriceTableWeekend,6,0)+IF(BasisNumber&lt;&gt;1,VLOOKUP($A224,BasisTable,3,0),0)+O$1)/(1-O$2))</f>
        <v>36.372391056658579</v>
      </c>
      <c r="P224" s="154">
        <f>IF(Assumptions!$L$25=4,VLOOKUP($A224,'Henwood Reference'!$E$9:$R$320,11),(VLOOKUP($A224,PriceTableWeekend,7,0)+IF(BasisNumber&lt;&gt;1,VLOOKUP($A224,BasisTable,3,0),0)+P$1)/(1-P$2))</f>
        <v>36.372391056658579</v>
      </c>
      <c r="Q224" s="156">
        <f>IF(Assumptions!$L$25=4,VLOOKUP($A224,'Henwood Reference'!$E$9:$R$320,11),(VLOOKUP($A224,PriceTableWeekend,8,0)+IF(BasisNumber&lt;&gt;1,VLOOKUP($A224,BasisTable,3,0),0)+Q$1)/(1-Q$2))</f>
        <v>36.372391056658579</v>
      </c>
      <c r="R224" s="154">
        <f>IF(Assumptions!$L$25=4,VLOOKUP($A224,'Henwood Reference'!$E$9:$R$320,11),(VLOOKUP($A224,PriceTable,6,0)+IF(BasisNumber&lt;&gt;1,VLOOKUP($A224,BasisTable,3,0),0)+R$1)/(1-R$2))</f>
        <v>36.372391056658579</v>
      </c>
      <c r="S224" s="154">
        <f>IF(Assumptions!$L$25=4,VLOOKUP($A224,'Henwood Reference'!$E$9:$R$320,11),(VLOOKUP($A224,PriceTable,7,0)+IF(BasisNumber&lt;&gt;1,VLOOKUP($A224,BasisTable,3,0),0)+S$1)/(1-S$2))</f>
        <v>36.372391056658579</v>
      </c>
      <c r="T224" s="155">
        <f>IF(Assumptions!$L$25=4,VLOOKUP($A224,'Henwood Reference'!$E$9:$R$320,11),(VLOOKUP($A224,PriceTable,8,0)+IF(BasisNumber&lt;&gt;1,VLOOKUP($A224,BasisTable,3,0),0)+T$1)/(1-T$2))</f>
        <v>36.372391056658579</v>
      </c>
      <c r="U224" s="173">
        <f t="shared" si="640"/>
        <v>0.09</v>
      </c>
      <c r="V224" s="173">
        <f t="shared" si="641"/>
        <v>0.1</v>
      </c>
      <c r="W224" s="174">
        <f t="shared" si="642"/>
        <v>0.11</v>
      </c>
      <c r="X224" s="173">
        <f t="shared" si="643"/>
        <v>0.09</v>
      </c>
      <c r="Y224" s="173">
        <f t="shared" si="644"/>
        <v>0.1</v>
      </c>
      <c r="Z224" s="174">
        <f t="shared" si="645"/>
        <v>0.11</v>
      </c>
      <c r="AA224" s="173">
        <f t="shared" si="646"/>
        <v>0.09</v>
      </c>
      <c r="AB224" s="173">
        <f t="shared" si="647"/>
        <v>0.11</v>
      </c>
      <c r="AC224" s="174">
        <f t="shared" si="648"/>
        <v>0.13</v>
      </c>
      <c r="AD224" s="173">
        <f t="shared" si="649"/>
        <v>0.09</v>
      </c>
      <c r="AE224" s="173">
        <f t="shared" si="650"/>
        <v>0.11</v>
      </c>
      <c r="AF224" s="174">
        <f t="shared" si="651"/>
        <v>0.13</v>
      </c>
      <c r="AG224" s="173">
        <f t="shared" si="652"/>
        <v>-0.35</v>
      </c>
      <c r="AH224" s="173">
        <f t="shared" si="653"/>
        <v>3</v>
      </c>
      <c r="AI224" s="174">
        <f t="shared" si="654"/>
        <v>0.35</v>
      </c>
      <c r="AJ224" s="173">
        <f t="shared" si="655"/>
        <v>-0.35</v>
      </c>
      <c r="AK224" s="173">
        <f t="shared" si="656"/>
        <v>3</v>
      </c>
      <c r="AL224" s="174">
        <f t="shared" si="657"/>
        <v>0.35</v>
      </c>
      <c r="AM224" s="173">
        <f t="shared" si="658"/>
        <v>-0.01</v>
      </c>
      <c r="AN224" s="173">
        <f t="shared" si="659"/>
        <v>0.16</v>
      </c>
      <c r="AO224" s="174">
        <f t="shared" si="660"/>
        <v>0.01</v>
      </c>
      <c r="AP224" s="173">
        <f t="shared" si="661"/>
        <v>-0.01</v>
      </c>
      <c r="AQ224" s="173">
        <f t="shared" si="662"/>
        <v>0.16</v>
      </c>
      <c r="AR224" s="175">
        <f t="shared" si="663"/>
        <v>0.01</v>
      </c>
      <c r="AS224" s="521">
        <f t="shared" si="664"/>
        <v>0.5</v>
      </c>
      <c r="AT224" s="349">
        <f t="shared" si="581"/>
        <v>23</v>
      </c>
      <c r="AU224" s="159">
        <f t="shared" si="582"/>
        <v>4</v>
      </c>
      <c r="AV224" s="159">
        <f t="shared" si="583"/>
        <v>4</v>
      </c>
      <c r="AW224" s="159">
        <f t="shared" si="665"/>
        <v>0</v>
      </c>
      <c r="AX224" s="15">
        <f t="shared" si="584"/>
        <v>31</v>
      </c>
      <c r="AY224" s="607">
        <f>IF(E224="",0,MIN((1-(1-VLOOKUP(B224,MAIN!$AA$7:$AM$28,C224+1))*(1-VLOOKUP(B224,MAIN!$AA$33:$AM$54,C224+1))),1))</f>
        <v>3.0000000000000027E-2</v>
      </c>
      <c r="AZ224" s="337">
        <v>53544</v>
      </c>
      <c r="BA224" s="509">
        <v>9312</v>
      </c>
      <c r="BB224" s="509">
        <v>9312</v>
      </c>
      <c r="BC224" s="511">
        <v>36084</v>
      </c>
      <c r="BD224" s="153">
        <v>0.96999998915940522</v>
      </c>
      <c r="BE224" s="474">
        <v>0.96999998915940522</v>
      </c>
      <c r="BF224" s="474">
        <v>0.96999998915940522</v>
      </c>
      <c r="BG224" s="515">
        <v>0.97000000722706314</v>
      </c>
      <c r="BH224" s="262">
        <v>214176</v>
      </c>
      <c r="BI224" s="509">
        <v>37248</v>
      </c>
      <c r="BJ224" s="509">
        <v>37248</v>
      </c>
      <c r="BK224" s="511">
        <v>144336</v>
      </c>
      <c r="BL224" s="153">
        <v>0.96999998915940522</v>
      </c>
      <c r="BM224" s="474">
        <v>0.96999998915940522</v>
      </c>
      <c r="BN224" s="474">
        <v>0.96999998915940522</v>
      </c>
      <c r="BO224" s="474">
        <v>0.97000000722706314</v>
      </c>
      <c r="BP224" s="261">
        <f t="shared" si="666"/>
        <v>72168</v>
      </c>
      <c r="BQ224" s="578">
        <f t="shared" si="667"/>
        <v>108252</v>
      </c>
      <c r="BR224" s="259">
        <f t="shared" si="668"/>
        <v>288672</v>
      </c>
      <c r="BS224" s="578">
        <f t="shared" si="669"/>
        <v>433008</v>
      </c>
      <c r="BT224" s="216">
        <f t="shared" si="670"/>
        <v>17.297741273100616</v>
      </c>
      <c r="BU224" s="218">
        <f t="shared" si="585"/>
        <v>92.732807263493356</v>
      </c>
      <c r="BV224" s="216">
        <f t="shared" si="586"/>
        <v>92.732807263493356</v>
      </c>
      <c r="BW224" s="216">
        <f t="shared" si="587"/>
        <v>36.372390650165435</v>
      </c>
      <c r="BX224" s="216">
        <f t="shared" si="671"/>
        <v>36.372391327654015</v>
      </c>
      <c r="BY224" s="216">
        <f t="shared" si="588"/>
        <v>85.460495442418775</v>
      </c>
      <c r="BZ224" s="216">
        <f t="shared" si="589"/>
        <v>69.097794070830517</v>
      </c>
      <c r="CA224" s="264">
        <f t="shared" si="590"/>
        <v>92.732807263493356</v>
      </c>
      <c r="CB224" s="216">
        <f t="shared" si="591"/>
        <v>92.732807263493356</v>
      </c>
      <c r="CC224" s="216">
        <f t="shared" si="592"/>
        <v>36.372390650165435</v>
      </c>
      <c r="CD224" s="216">
        <f t="shared" si="672"/>
        <v>36.372391327654015</v>
      </c>
      <c r="CE224" s="216">
        <f t="shared" si="593"/>
        <v>85.460495442418775</v>
      </c>
      <c r="CF224" s="571">
        <f t="shared" si="594"/>
        <v>69.097794070830517</v>
      </c>
      <c r="CG224" s="573">
        <f t="shared" si="595"/>
        <v>0.1</v>
      </c>
      <c r="CH224" s="219">
        <f t="shared" si="596"/>
        <v>0.1</v>
      </c>
      <c r="CI224" s="219">
        <f t="shared" si="597"/>
        <v>0.11</v>
      </c>
      <c r="CJ224" s="219">
        <f t="shared" si="598"/>
        <v>0.10055370575542234</v>
      </c>
      <c r="CK224" s="219">
        <f t="shared" si="599"/>
        <v>0.10055370575542234</v>
      </c>
      <c r="CL224" s="219">
        <f t="shared" si="600"/>
        <v>0.11</v>
      </c>
      <c r="CM224" s="219">
        <f t="shared" si="601"/>
        <v>9.4266689836773124E-2</v>
      </c>
      <c r="CN224" s="569">
        <f t="shared" si="602"/>
        <v>9.4266689836773124E-2</v>
      </c>
      <c r="CO224" s="264">
        <f t="shared" si="685"/>
        <v>24.91394416478192</v>
      </c>
      <c r="CP224" s="216">
        <f t="shared" si="673"/>
        <v>24.91394416478192</v>
      </c>
      <c r="CQ224" s="216">
        <f t="shared" ca="1" si="532"/>
        <v>24.91394416478192</v>
      </c>
      <c r="CR224" s="216">
        <f t="shared" ca="1" si="533"/>
        <v>24.91394416478192</v>
      </c>
      <c r="CS224" s="1626">
        <f t="shared" ca="1" si="534"/>
        <v>24.91394416478192</v>
      </c>
      <c r="CT224" s="216">
        <f t="shared" si="674"/>
        <v>24.91394416478192</v>
      </c>
      <c r="CU224" s="575">
        <f t="shared" si="603"/>
        <v>0.151</v>
      </c>
      <c r="CV224" s="154">
        <f t="shared" si="604"/>
        <v>0.5</v>
      </c>
      <c r="CW224" s="216">
        <f>IF(OR($BQ224,$BS224),SpreadOptPowerMargin,0)*((1+Assumptions!$C$26)^($B224-YEAR(Assumptions!$C$17)))</f>
        <v>2.37506177351317</v>
      </c>
      <c r="CX224" s="216">
        <f>IF(OR($BQ224,$BS224),SpreadOptPowerMargin,0)*((1+Assumptions!$C$26)^($B224-YEAR(Assumptions!$C$17)))</f>
        <v>2.37506177351317</v>
      </c>
      <c r="CY224" s="216">
        <f>IF(OR($BQ224,$BS224),SpreadOptPowerMargin,0)*((1+Assumptions!$C$26)^($B224-YEAR(Assumptions!$C$17)))</f>
        <v>2.37506177351317</v>
      </c>
      <c r="CZ224" s="216">
        <f>IF(OR($BQ224,$BS224),SpreadOptPowerMargin,0)*((1+Assumptions!$C$26)^($B224-YEAR(Assumptions!$C$17)))</f>
        <v>2.37506177351317</v>
      </c>
      <c r="DA224" s="440">
        <f t="shared" si="605"/>
        <v>2.37506177351317</v>
      </c>
      <c r="DB224" s="479">
        <f t="shared" si="606"/>
        <v>0.1</v>
      </c>
      <c r="DC224" s="479">
        <f t="shared" si="607"/>
        <v>0.1</v>
      </c>
      <c r="DD224" s="479">
        <f t="shared" si="608"/>
        <v>0.11</v>
      </c>
      <c r="DE224" s="479">
        <f t="shared" si="609"/>
        <v>0.11</v>
      </c>
      <c r="DF224" s="479">
        <f t="shared" si="610"/>
        <v>9.4266689836773124E-2</v>
      </c>
      <c r="DG224" s="574">
        <f t="shared" si="611"/>
        <v>9.4266689836773124E-2</v>
      </c>
      <c r="DH224" s="216">
        <f t="shared" si="612"/>
        <v>65.53248725833086</v>
      </c>
      <c r="DI224" s="216">
        <f t="shared" si="613"/>
        <v>65.53248725833086</v>
      </c>
      <c r="DJ224" s="216">
        <f t="shared" ca="1" si="535"/>
        <v>12.095596570267691</v>
      </c>
      <c r="DK224" s="216">
        <f t="shared" ca="1" si="536"/>
        <v>12.09559710812111</v>
      </c>
      <c r="DL224" s="216">
        <f t="shared" ca="1" si="537"/>
        <v>42.132535036008342</v>
      </c>
      <c r="DM224" s="216"/>
      <c r="DN224" s="216"/>
      <c r="DO224" s="216"/>
      <c r="DP224" s="216"/>
      <c r="DQ224" s="216"/>
      <c r="DR224" s="216"/>
      <c r="DS224" s="216"/>
      <c r="DT224" s="216"/>
      <c r="DU224" s="216"/>
      <c r="DV224" s="216"/>
      <c r="DW224" s="1371">
        <f t="shared" si="614"/>
        <v>12.095596570267691</v>
      </c>
      <c r="DX224" s="216">
        <f t="shared" si="615"/>
        <v>12.09559710812111</v>
      </c>
      <c r="DY224" s="440">
        <f t="shared" si="616"/>
        <v>43.123468761975943</v>
      </c>
      <c r="DZ224" s="180">
        <f t="shared" si="617"/>
        <v>3508871.4977600677</v>
      </c>
      <c r="EA224" s="180">
        <f t="shared" si="618"/>
        <v>610238.521349577</v>
      </c>
      <c r="EB224" s="180">
        <f t="shared" ca="1" si="538"/>
        <v>112634.19526233274</v>
      </c>
      <c r="EC224" s="180">
        <f t="shared" ca="1" si="539"/>
        <v>436457.52604944212</v>
      </c>
      <c r="ED224" s="180">
        <f t="shared" ca="1" si="540"/>
        <v>4560931.1827179752</v>
      </c>
      <c r="EE224" s="581">
        <f t="shared" si="619"/>
        <v>3504122.8981564161</v>
      </c>
      <c r="EF224" s="554">
        <f t="shared" si="620"/>
        <v>609412.6779402463</v>
      </c>
      <c r="EG224" s="554">
        <f t="shared" ca="1" si="541"/>
        <v>84584.478436936653</v>
      </c>
      <c r="EH224" s="554">
        <f t="shared" ca="1" si="542"/>
        <v>327764.87838962738</v>
      </c>
      <c r="EI224" s="561">
        <f t="shared" ca="1" si="621"/>
        <v>4525884.9329232248</v>
      </c>
      <c r="EJ224" s="581">
        <f t="shared" si="675"/>
        <v>4748.5996036515571</v>
      </c>
      <c r="EK224" s="554">
        <f t="shared" si="676"/>
        <v>825.84340933070052</v>
      </c>
      <c r="EL224" s="554">
        <f t="shared" ca="1" si="543"/>
        <v>28049.716825396084</v>
      </c>
      <c r="EM224" s="554">
        <f t="shared" ca="1" si="544"/>
        <v>108692.64765981474</v>
      </c>
      <c r="EN224" s="561">
        <f t="shared" ca="1" si="545"/>
        <v>35046.249794750474</v>
      </c>
      <c r="EO224" s="180">
        <f t="shared" si="622"/>
        <v>14035485.991040271</v>
      </c>
      <c r="EP224" s="180">
        <f t="shared" si="623"/>
        <v>2440954.085398308</v>
      </c>
      <c r="EQ224" s="180">
        <f t="shared" si="624"/>
        <v>450536.78104933095</v>
      </c>
      <c r="ER224" s="180">
        <f t="shared" si="625"/>
        <v>1745830.1041977685</v>
      </c>
      <c r="ES224" s="180">
        <f t="shared" si="626"/>
        <v>18672806.96168568</v>
      </c>
      <c r="ET224" s="1482">
        <f t="shared" ca="1" si="546"/>
        <v>14016491.592625665</v>
      </c>
      <c r="EU224" s="180">
        <f t="shared" ca="1" si="547"/>
        <v>2437650.7117609852</v>
      </c>
      <c r="EV224" s="180">
        <f t="shared" ca="1" si="548"/>
        <v>338337.91374774661</v>
      </c>
      <c r="EW224" s="180">
        <f t="shared" ca="1" si="549"/>
        <v>1311059.5135585095</v>
      </c>
      <c r="EX224" s="555">
        <f t="shared" ca="1" si="522"/>
        <v>18103539.731692906</v>
      </c>
      <c r="EY224" s="180">
        <f t="shared" ca="1" si="550"/>
        <v>18994.398414606228</v>
      </c>
      <c r="EZ224" s="180">
        <f t="shared" ca="1" si="551"/>
        <v>3303.3736373228021</v>
      </c>
      <c r="FA224" s="180">
        <f t="shared" ca="1" si="552"/>
        <v>112198.86730158434</v>
      </c>
      <c r="FB224" s="180">
        <f t="shared" ca="1" si="553"/>
        <v>434770.59063925897</v>
      </c>
      <c r="FC224" s="180">
        <f t="shared" ca="1" si="554"/>
        <v>569267.22999277338</v>
      </c>
      <c r="FD224" s="262">
        <f>IF(AX224,IF(VLOOKUP(C224,MAIN!$L$17:$M$28,2)="Yes",VLOOKUP(CALC!B224,MAIN!$H$17:$I$20,2),0),0)</f>
        <v>0</v>
      </c>
      <c r="FE224" s="623">
        <f t="shared" si="627"/>
        <v>0</v>
      </c>
      <c r="FF224" s="535">
        <f t="shared" si="628"/>
        <v>0</v>
      </c>
      <c r="FG224" s="535">
        <f t="shared" si="629"/>
        <v>0</v>
      </c>
      <c r="FH224" s="624">
        <f t="shared" si="630"/>
        <v>0</v>
      </c>
      <c r="FI224" s="632">
        <f>IF(AX224,VLOOKUP(CALC!B224,MAIN!$H$17:$K$20,4),0)</f>
        <v>0</v>
      </c>
      <c r="FJ224" s="535">
        <f t="shared" si="631"/>
        <v>0</v>
      </c>
      <c r="FK224" s="648">
        <f t="shared" si="677"/>
        <v>0</v>
      </c>
      <c r="FL224" s="530">
        <f t="shared" ca="1" si="555"/>
        <v>0</v>
      </c>
      <c r="FM224" s="530">
        <f t="shared" ca="1" si="556"/>
        <v>0</v>
      </c>
      <c r="FN224" s="530">
        <f t="shared" ca="1" si="557"/>
        <v>0</v>
      </c>
      <c r="FO224" s="622">
        <f t="shared" ca="1" si="558"/>
        <v>0</v>
      </c>
      <c r="FP224" s="530">
        <f t="shared" ca="1" si="559"/>
        <v>0</v>
      </c>
      <c r="FQ224" s="530">
        <f t="shared" ca="1" si="560"/>
        <v>0</v>
      </c>
      <c r="FR224" s="530">
        <f t="shared" ca="1" si="561"/>
        <v>0</v>
      </c>
      <c r="FS224" s="625">
        <f t="shared" ca="1" si="562"/>
        <v>0</v>
      </c>
      <c r="FT224" s="640">
        <f ca="1">IF(AND(Assumptions!$H$71="Yes",A224&gt;=Assumptions!$H$72,A224&lt;=Assumptions!$H$73),0,IF(AND($A224&gt;=Assumptions!$C$17,$A224&lt;=Assumptions!$C$18),MAX(AZ224*(1+VLOOKUP($C224,WeatherCapacityAdjustment,2))-FL224,0),0))</f>
        <v>53544</v>
      </c>
      <c r="FU224" s="530">
        <f ca="1">IF(AND(Assumptions!$H$71="Yes",A224&gt;=Assumptions!$H$72,A224&lt;=Assumptions!$H$73),0,IF(AND($A224&gt;=Assumptions!$C$17,$A224&lt;=Assumptions!$C$18),MAX(BA224*(1+VLOOKUP($C224,WeatherCapacityAdjustment,2))-FM224,0),0))</f>
        <v>9312</v>
      </c>
      <c r="FV224" s="530">
        <f ca="1">IF(AND(Assumptions!$H$71="Yes",A224&gt;=Assumptions!$H$72,A224&lt;=Assumptions!$H$73),0,IF(AND($A224&gt;=Assumptions!$C$17,$A224&lt;=Assumptions!$C$18),MAX(BB224*(1+VLOOKUP($C224,WeatherCapacityAdjustment,2))-FN224,0),0))</f>
        <v>9312</v>
      </c>
      <c r="FW224" s="622">
        <f ca="1">IF(AND(Assumptions!$H$71="Yes",A224&gt;=Assumptions!$H$72,A224&lt;=Assumptions!$H$73),0,IF(AND($A224&gt;=Assumptions!$C$17,$A224&lt;=Assumptions!$C$18),MAX(BC224*(1+VLOOKUP($C224,WeatherCapacityAdjustment,3))-FO224,0),0))</f>
        <v>36084</v>
      </c>
      <c r="FX224" s="621">
        <f ca="1">IF(AND(Assumptions!$H$71="Yes",A224&gt;=Assumptions!$H$72,A224&lt;=Assumptions!$H$73),0,IF(ET224&gt;0,MAX(BH224*(1+VLOOKUP($C224,WeatherCapacityAdjustment,2))-FP224,0),0))</f>
        <v>214176</v>
      </c>
      <c r="FY224" s="530">
        <f ca="1">IF(AND(Assumptions!$H$71="Yes",A224&gt;=Assumptions!$H$72,A224&lt;=Assumptions!$H$73),0,IF(EU224&gt;0,MAX(BI224*(1+VLOOKUP($C224,WeatherCapacityAdjustment,3))-FQ224,0),0))</f>
        <v>37248</v>
      </c>
      <c r="FZ224" s="530">
        <f ca="1">IF(AND(Assumptions!$H$71="Yes",A224&gt;=Assumptions!$H$72,A224&lt;=Assumptions!$H$73),0,IF(EV224&gt;0,MAX(BJ224*(1+VLOOKUP($C224,WeatherCapacityAdjustment,2))-FR224,0),0))</f>
        <v>37248</v>
      </c>
      <c r="GA224" s="622">
        <f ca="1">IF(AND(Assumptions!$H$71="Yes",A224&gt;=Assumptions!$H$72,A224&lt;=Assumptions!$H$73),0,IF(EW224&gt;0,MAX(BK224*(1+VLOOKUP($C224,WeatherCapacityAdjustment,2))-FS224,0),0))</f>
        <v>144336</v>
      </c>
      <c r="GB224" s="530">
        <f t="shared" ca="1" si="632"/>
        <v>541260</v>
      </c>
      <c r="GC224" s="545">
        <f t="shared" ca="1" si="633"/>
        <v>69.097794070830517</v>
      </c>
      <c r="GD224" s="530">
        <f t="shared" ca="1" si="563"/>
        <v>37399872.018777728</v>
      </c>
      <c r="GE224" s="1485">
        <f t="shared" ca="1" si="564"/>
        <v>770464.12464000005</v>
      </c>
      <c r="GF224" s="1776">
        <f t="shared" ca="1" si="565"/>
        <v>3081856.4985600002</v>
      </c>
      <c r="GG224" s="545">
        <f t="shared" si="530"/>
        <v>3.5004670528769144</v>
      </c>
      <c r="GH224" s="622">
        <f t="shared" ca="1" si="531"/>
        <v>13484921.418629862</v>
      </c>
      <c r="GI224" s="621">
        <f t="shared" ca="1" si="678"/>
        <v>541260</v>
      </c>
      <c r="GJ224" s="638">
        <f t="shared" si="634"/>
        <v>2.37506177351317</v>
      </c>
      <c r="GK224" s="625">
        <f t="shared" ca="1" si="684"/>
        <v>1285525.9355317384</v>
      </c>
      <c r="GL224" s="640">
        <f t="shared" ca="1" si="566"/>
        <v>0</v>
      </c>
      <c r="GM224" s="530">
        <f t="shared" ca="1" si="567"/>
        <v>0</v>
      </c>
      <c r="GN224" s="530">
        <f t="shared" ca="1" si="568"/>
        <v>0</v>
      </c>
      <c r="GO224" s="622">
        <f t="shared" ca="1" si="569"/>
        <v>0</v>
      </c>
      <c r="GP224" s="530">
        <f t="shared" ca="1" si="635"/>
        <v>0</v>
      </c>
      <c r="GQ224" s="545">
        <f t="shared" ca="1" si="636"/>
        <v>0</v>
      </c>
      <c r="GR224" s="625">
        <f t="shared" ca="1" si="570"/>
        <v>0</v>
      </c>
      <c r="GS224" s="640">
        <f>IF($A224&gt;=BegDate,Assumptions!$C$56*24*($A225-$A224)*(1-VLOOKUP($B224,MAIN!$AA$7:$AM$28,$C224+1))*(1-VLOOKUP($B224,MAIN!$AA$33:$AM$54,$C224+1)),0)*80/168</f>
        <v>257742.85714285713</v>
      </c>
      <c r="GT224" s="1715">
        <f t="shared" si="679"/>
        <v>92.732808299863251</v>
      </c>
      <c r="GU224" s="1715">
        <f>IF($A224&gt;=BegDate,VLOOKUP($A224,GasTable,13)+Assumptions!$C$58,0)</f>
        <v>3.5004670528769144</v>
      </c>
      <c r="GV224" s="1715">
        <f>GU224*Assumptions!$C$57/1000</f>
        <v>25.378386133357626</v>
      </c>
      <c r="GW224" s="625">
        <f>IF(Assumptions!$C$60="Hourly",MAX(0,GS224*(GT224-GV224)),GS224*(GT224-GV224))</f>
        <v>17360121.210401349</v>
      </c>
      <c r="GX224" s="640">
        <f>IF($A224&gt;=BegDate,Assumptions!$C$56*24*($A225-$A224)*(1-VLOOKUP($B224,MAIN!$AA$7:$AM$28,$C224+1))*(1-VLOOKUP($B224,MAIN!$AA$33:$AM$54,$C224+1)),0)*16/168</f>
        <v>51548.571428571428</v>
      </c>
      <c r="GY224" s="1715">
        <f t="shared" si="680"/>
        <v>92.732808299863251</v>
      </c>
      <c r="GZ224" s="1715">
        <f>IF($A224&gt;=BegDate,VLOOKUP($A224,GasTable,13)+Assumptions!$C$58,0)</f>
        <v>3.5004670528769144</v>
      </c>
      <c r="HA224" s="1715">
        <f>GZ224*Assumptions!$C$57/1000</f>
        <v>25.378386133357626</v>
      </c>
      <c r="HB224" s="625">
        <f>IF(Assumptions!$C$60="Hourly",MAX(0,GX224*(GY224-HA224)),GX224*(GY224-HA224))</f>
        <v>3472024.2420802698</v>
      </c>
      <c r="HC224" s="640">
        <f>IF($A224&gt;=BegDate,Assumptions!$C$56*24*($A225-$A224)*(1-VLOOKUP($B224,MAIN!$AA$7:$AM$28,$C224+1))*(1-VLOOKUP($B224,MAIN!$AA$33:$AM$54,$C224+1)),0)*16/168</f>
        <v>51548.571428571428</v>
      </c>
      <c r="HD224" s="1715">
        <f t="shared" si="681"/>
        <v>36.372391056658579</v>
      </c>
      <c r="HE224" s="1715">
        <f>IF($A224&gt;=BegDate,VLOOKUP($A224,GasTable,13)+Assumptions!$C$58,0)</f>
        <v>3.5004670528769144</v>
      </c>
      <c r="HF224" s="1715">
        <f>HE224*Assumptions!$C$57/1000</f>
        <v>25.378386133357626</v>
      </c>
      <c r="HG224" s="625">
        <f>IF(Assumptions!$C$60="Hourly",MAX(0,HC224*(HD224-HF224)),HC224*(HD224-HF224))</f>
        <v>566725.24807484506</v>
      </c>
      <c r="HH224" s="640">
        <f>IF($A224&gt;=BegDate,Assumptions!$C$56*24*($A225-$A224)*(1-VLOOKUP($B224,MAIN!$AA$7:$AM$28,$C224+1))*(1-VLOOKUP($B224,MAIN!$AA$33:$AM$54,$C224+1)),0)*56/168</f>
        <v>180420</v>
      </c>
      <c r="HI224" s="1715">
        <f t="shared" si="682"/>
        <v>36.372391056658579</v>
      </c>
      <c r="HJ224" s="1715">
        <f>IF($A224&gt;=BegDate,VLOOKUP($A224,GasTable,13)+Assumptions!$C$58,0)</f>
        <v>3.5004670528769144</v>
      </c>
      <c r="HK224" s="1715">
        <f>HJ224*Assumptions!$C$57/1000</f>
        <v>25.378386133357626</v>
      </c>
      <c r="HL224" s="625">
        <f>IF(Assumptions!$C$60="Hourly",MAX(0,HH224*(HI224-HK224)),HH224*(HI224-HK224))</f>
        <v>1983538.3682619578</v>
      </c>
      <c r="HM224" s="640">
        <f>IF(AND(Assumptions!$H$71="Yes",A224&gt;=Assumptions!$H$72,A224&lt;=Assumptions!$H$73),Assumptions!$H$74*Assumptions!$C$9*1000,0)</f>
        <v>0</v>
      </c>
      <c r="HN224" s="530"/>
      <c r="HO224" s="545"/>
      <c r="HP224" s="545"/>
      <c r="HQ224" s="545"/>
      <c r="HR224" s="545"/>
      <c r="HS224" s="545"/>
      <c r="HT224" s="545"/>
      <c r="HU224" s="545"/>
      <c r="HV224" s="545"/>
      <c r="HW224" s="545"/>
      <c r="HX224" s="545"/>
      <c r="HY224" s="545"/>
      <c r="HZ224" s="545"/>
      <c r="IA224" s="545"/>
      <c r="IB224" s="545"/>
      <c r="IC224" s="545"/>
      <c r="ID224" s="545"/>
      <c r="IE224" s="545"/>
      <c r="IF224" s="545"/>
      <c r="IG224" s="545"/>
      <c r="IH224" s="545"/>
      <c r="II224" s="1464"/>
      <c r="IJ224" s="1463"/>
      <c r="IK224" s="1463"/>
    </row>
    <row r="225" spans="1:245">
      <c r="A225" s="177">
        <f t="shared" si="637"/>
        <v>42979</v>
      </c>
      <c r="B225" s="349">
        <f t="shared" si="638"/>
        <v>2017</v>
      </c>
      <c r="C225" s="15">
        <f t="shared" ref="C225:C240" si="686">MONTH(A225)</f>
        <v>9</v>
      </c>
      <c r="D225" s="612">
        <f t="shared" si="639"/>
        <v>42982</v>
      </c>
      <c r="E225" s="609">
        <f t="shared" ref="E225:E240" si="687">IF(OR(BegDate&gt;=A226,EndDate&lt;A225,AND(VolumeMonthlyOverFlag,INDEX(VolumeMonthlyOver,C225)=0),NOT(INDEX(MonthKnockOutTable,C225))),"",MAX(A225,BegDate))</f>
        <v>42979</v>
      </c>
      <c r="F225" s="614">
        <f t="shared" ref="F225:F240" si="688">IF(E225="","",MIN(A226-1,EndDate))</f>
        <v>43008</v>
      </c>
      <c r="G225" s="1349">
        <v>0</v>
      </c>
      <c r="H225" s="152">
        <f t="shared" si="683"/>
        <v>1</v>
      </c>
      <c r="I225" s="154">
        <f>IF(Assumptions!$L$25=4,VLOOKUP($A225,'Henwood Reference'!$E$9:$R$320,10),(VLOOKUP($A225,PriceTable,2,0)+IF(BasisNumber&lt;&gt;1,VLOOKUP($A225,BasisTable,2,0),0)+I$1)/(1-I$2))</f>
        <v>70.31158259918648</v>
      </c>
      <c r="J225" s="154">
        <f>IF(Assumptions!$L$25=4,VLOOKUP($A225,'Henwood Reference'!$E$9:$R$320,10),(VLOOKUP($A225,PriceTable,3,0)+IF(BasisNumber&lt;&gt;1,VLOOKUP($A225,BasisTable,2,0),0)+J$1)/(1-J$2))</f>
        <v>70.31158259918648</v>
      </c>
      <c r="K225" s="154">
        <f>IF(Assumptions!$L$25=4,VLOOKUP($A225,'Henwood Reference'!$E$9:$R$320,10),(VLOOKUP($A225,PriceTable,4,0)+IF(BasisNumber&lt;&gt;1,VLOOKUP($A225,BasisTable,2,0),0)+K$1)/(1-K$2))</f>
        <v>70.31158259918648</v>
      </c>
      <c r="L225" s="474">
        <f>IF(Assumptions!$L$25=4,VLOOKUP($A225,'Henwood Reference'!$E$9:$R$320,10),(VLOOKUP($A225,PriceTableWeekend,2,0)+IF(BasisNumber&lt;&gt;1,VLOOKUP($A225,BasisTable,2,0),0)+L$1)/(1-L$2))</f>
        <v>70.31158259918648</v>
      </c>
      <c r="M225" s="154">
        <f>IF(Assumptions!$L$25=4,VLOOKUP($A225,'Henwood Reference'!$E$9:$R$320,10),(VLOOKUP($A225,PriceTableWeekend,3,0)+IF(BasisNumber&lt;&gt;1,VLOOKUP($A225,BasisTable,2,0),0)+M$1)/(1-M$2))</f>
        <v>70.31158259918648</v>
      </c>
      <c r="N225" s="156">
        <f>IF(Assumptions!$L$25=4,VLOOKUP($A225,'Henwood Reference'!$E$9:$R$320,10),(VLOOKUP($A225,PriceTableWeekend,4,0)+IF(BasisNumber&lt;&gt;1,VLOOKUP($A225,BasisTable,2,0),0)+N$1)/(1-N$2))</f>
        <v>70.31158259918648</v>
      </c>
      <c r="O225" s="154">
        <f>IF(Assumptions!$L$25=4,VLOOKUP($A225,'Henwood Reference'!$E$9:$R$320,11),(VLOOKUP($A225,PriceTableWeekend,6,0)+IF(BasisNumber&lt;&gt;1,VLOOKUP($A225,BasisTable,3,0),0)+O$1)/(1-O$2))</f>
        <v>33.177320186345305</v>
      </c>
      <c r="P225" s="154">
        <f>IF(Assumptions!$L$25=4,VLOOKUP($A225,'Henwood Reference'!$E$9:$R$320,11),(VLOOKUP($A225,PriceTableWeekend,7,0)+IF(BasisNumber&lt;&gt;1,VLOOKUP($A225,BasisTable,3,0),0)+P$1)/(1-P$2))</f>
        <v>33.177320186345305</v>
      </c>
      <c r="Q225" s="156">
        <f>IF(Assumptions!$L$25=4,VLOOKUP($A225,'Henwood Reference'!$E$9:$R$320,11),(VLOOKUP($A225,PriceTableWeekend,8,0)+IF(BasisNumber&lt;&gt;1,VLOOKUP($A225,BasisTable,3,0),0)+Q$1)/(1-Q$2))</f>
        <v>33.177320186345305</v>
      </c>
      <c r="R225" s="154">
        <f>IF(Assumptions!$L$25=4,VLOOKUP($A225,'Henwood Reference'!$E$9:$R$320,11),(VLOOKUP($A225,PriceTable,6,0)+IF(BasisNumber&lt;&gt;1,VLOOKUP($A225,BasisTable,3,0),0)+R$1)/(1-R$2))</f>
        <v>33.177320186345305</v>
      </c>
      <c r="S225" s="154">
        <f>IF(Assumptions!$L$25=4,VLOOKUP($A225,'Henwood Reference'!$E$9:$R$320,11),(VLOOKUP($A225,PriceTable,7,0)+IF(BasisNumber&lt;&gt;1,VLOOKUP($A225,BasisTable,3,0),0)+S$1)/(1-S$2))</f>
        <v>33.177320186345305</v>
      </c>
      <c r="T225" s="155">
        <f>IF(Assumptions!$L$25=4,VLOOKUP($A225,'Henwood Reference'!$E$9:$R$320,11),(VLOOKUP($A225,PriceTable,8,0)+IF(BasisNumber&lt;&gt;1,VLOOKUP($A225,BasisTable,3,0),0)+T$1)/(1-T$2))</f>
        <v>33.177320186345305</v>
      </c>
      <c r="U225" s="173">
        <f t="shared" si="640"/>
        <v>0.09</v>
      </c>
      <c r="V225" s="173">
        <f t="shared" si="641"/>
        <v>0.1</v>
      </c>
      <c r="W225" s="174">
        <f t="shared" si="642"/>
        <v>0.11</v>
      </c>
      <c r="X225" s="173">
        <f t="shared" si="643"/>
        <v>0.09</v>
      </c>
      <c r="Y225" s="173">
        <f t="shared" si="644"/>
        <v>0.1</v>
      </c>
      <c r="Z225" s="174">
        <f t="shared" si="645"/>
        <v>0.11</v>
      </c>
      <c r="AA225" s="173">
        <f t="shared" si="646"/>
        <v>0.09</v>
      </c>
      <c r="AB225" s="173">
        <f t="shared" si="647"/>
        <v>0.11</v>
      </c>
      <c r="AC225" s="174">
        <f t="shared" si="648"/>
        <v>0.13</v>
      </c>
      <c r="AD225" s="173">
        <f t="shared" si="649"/>
        <v>0.09</v>
      </c>
      <c r="AE225" s="173">
        <f t="shared" si="650"/>
        <v>0.11</v>
      </c>
      <c r="AF225" s="174">
        <f t="shared" si="651"/>
        <v>0.13</v>
      </c>
      <c r="AG225" s="173">
        <f t="shared" si="652"/>
        <v>-0.35</v>
      </c>
      <c r="AH225" s="173">
        <f t="shared" si="653"/>
        <v>3</v>
      </c>
      <c r="AI225" s="174">
        <f t="shared" si="654"/>
        <v>0.2</v>
      </c>
      <c r="AJ225" s="173">
        <f t="shared" si="655"/>
        <v>-0.35</v>
      </c>
      <c r="AK225" s="173">
        <f t="shared" si="656"/>
        <v>3</v>
      </c>
      <c r="AL225" s="174">
        <f t="shared" si="657"/>
        <v>0.2</v>
      </c>
      <c r="AM225" s="173">
        <f t="shared" si="658"/>
        <v>-0.01</v>
      </c>
      <c r="AN225" s="173">
        <f t="shared" si="659"/>
        <v>0.16</v>
      </c>
      <c r="AO225" s="174">
        <f t="shared" si="660"/>
        <v>0.01</v>
      </c>
      <c r="AP225" s="173">
        <f t="shared" si="661"/>
        <v>-0.01</v>
      </c>
      <c r="AQ225" s="173">
        <f t="shared" si="662"/>
        <v>0.16</v>
      </c>
      <c r="AR225" s="175">
        <f t="shared" si="663"/>
        <v>0.01</v>
      </c>
      <c r="AS225" s="521">
        <f t="shared" si="664"/>
        <v>0.5</v>
      </c>
      <c r="AT225" s="349">
        <f t="shared" ref="AT225:AT240" si="689">AX225-SUM(AU225:AW225)</f>
        <v>20</v>
      </c>
      <c r="AU225" s="159">
        <f t="shared" si="582"/>
        <v>5</v>
      </c>
      <c r="AV225" s="159">
        <f t="shared" si="583"/>
        <v>4</v>
      </c>
      <c r="AW225" s="159">
        <f t="shared" si="665"/>
        <v>1</v>
      </c>
      <c r="AX225" s="15">
        <f t="shared" ref="AX225:AX240" si="690">IF(E225="",0,F225-E225+1)</f>
        <v>30</v>
      </c>
      <c r="AY225" s="607">
        <f>IF(E225="",0,MIN((1-(1-VLOOKUP(B225,MAIN!$AA$7:$AM$28,C225+1))*(1-VLOOKUP(B225,MAIN!$AA$33:$AM$54,C225+1))),1))</f>
        <v>3.0000000000000027E-2</v>
      </c>
      <c r="AZ225" s="337">
        <v>46560</v>
      </c>
      <c r="BA225" s="509">
        <v>11640</v>
      </c>
      <c r="BB225" s="509">
        <v>11640</v>
      </c>
      <c r="BC225" s="511">
        <v>34920</v>
      </c>
      <c r="BD225" s="153">
        <v>0.9699999927729368</v>
      </c>
      <c r="BE225" s="474">
        <v>0.9699999927729368</v>
      </c>
      <c r="BF225" s="474">
        <v>0.9699999927729368</v>
      </c>
      <c r="BG225" s="515">
        <v>0.9699999927729368</v>
      </c>
      <c r="BH225" s="262">
        <v>186240</v>
      </c>
      <c r="BI225" s="509">
        <v>46560</v>
      </c>
      <c r="BJ225" s="509">
        <v>46560</v>
      </c>
      <c r="BK225" s="511">
        <v>139680</v>
      </c>
      <c r="BL225" s="153">
        <v>0.9699999927729368</v>
      </c>
      <c r="BM225" s="474">
        <v>0.9699999927729368</v>
      </c>
      <c r="BN225" s="474">
        <v>0.9699999927729368</v>
      </c>
      <c r="BO225" s="474">
        <v>0.9699999927729368</v>
      </c>
      <c r="BP225" s="261">
        <f t="shared" si="666"/>
        <v>69840</v>
      </c>
      <c r="BQ225" s="578">
        <f t="shared" si="667"/>
        <v>104760</v>
      </c>
      <c r="BR225" s="259">
        <f t="shared" si="668"/>
        <v>279360</v>
      </c>
      <c r="BS225" s="578">
        <f t="shared" si="669"/>
        <v>419040</v>
      </c>
      <c r="BT225" s="216">
        <f t="shared" si="670"/>
        <v>17.382614647501711</v>
      </c>
      <c r="BU225" s="218">
        <f t="shared" si="585"/>
        <v>70.311582075324367</v>
      </c>
      <c r="BV225" s="216">
        <f t="shared" si="586"/>
        <v>70.311582075324367</v>
      </c>
      <c r="BW225" s="216">
        <f t="shared" si="587"/>
        <v>33.177319939155005</v>
      </c>
      <c r="BX225" s="216">
        <f t="shared" si="671"/>
        <v>33.177319939155005</v>
      </c>
      <c r="BY225" s="216">
        <f t="shared" si="588"/>
        <v>64.122538385962812</v>
      </c>
      <c r="BZ225" s="216">
        <f t="shared" si="589"/>
        <v>53.807465570360208</v>
      </c>
      <c r="CA225" s="264">
        <f t="shared" si="590"/>
        <v>70.311582075324367</v>
      </c>
      <c r="CB225" s="216">
        <f t="shared" si="591"/>
        <v>70.311582075324367</v>
      </c>
      <c r="CC225" s="216">
        <f t="shared" si="592"/>
        <v>33.177319939155005</v>
      </c>
      <c r="CD225" s="216">
        <f t="shared" si="672"/>
        <v>33.177319939155005</v>
      </c>
      <c r="CE225" s="216">
        <f t="shared" si="593"/>
        <v>64.122538385962812</v>
      </c>
      <c r="CF225" s="571">
        <f t="shared" si="594"/>
        <v>53.807465570360208</v>
      </c>
      <c r="CG225" s="573">
        <f t="shared" si="595"/>
        <v>0.1</v>
      </c>
      <c r="CH225" s="219">
        <f t="shared" si="596"/>
        <v>0.1</v>
      </c>
      <c r="CI225" s="219">
        <f t="shared" si="597"/>
        <v>0.11</v>
      </c>
      <c r="CJ225" s="219">
        <f t="shared" si="598"/>
        <v>0.10086928620956723</v>
      </c>
      <c r="CK225" s="219">
        <f t="shared" si="599"/>
        <v>0.10086928620956723</v>
      </c>
      <c r="CL225" s="219">
        <f t="shared" si="600"/>
        <v>0.11</v>
      </c>
      <c r="CM225" s="219">
        <f t="shared" si="601"/>
        <v>9.3749295693450571E-2</v>
      </c>
      <c r="CN225" s="569">
        <f t="shared" si="602"/>
        <v>9.3749295693450571E-2</v>
      </c>
      <c r="CO225" s="264">
        <f t="shared" si="685"/>
        <v>25.959655862537613</v>
      </c>
      <c r="CP225" s="216">
        <f t="shared" si="673"/>
        <v>25.959655862537613</v>
      </c>
      <c r="CQ225" s="216">
        <f t="shared" ca="1" si="532"/>
        <v>25.959655862537613</v>
      </c>
      <c r="CR225" s="216">
        <f t="shared" ca="1" si="533"/>
        <v>25.959655862537613</v>
      </c>
      <c r="CS225" s="1626">
        <f t="shared" ca="1" si="534"/>
        <v>25.959655862537616</v>
      </c>
      <c r="CT225" s="216">
        <f t="shared" si="674"/>
        <v>25.959655862537613</v>
      </c>
      <c r="CU225" s="575">
        <f t="shared" si="603"/>
        <v>0.151</v>
      </c>
      <c r="CV225" s="154">
        <f t="shared" si="604"/>
        <v>0.5</v>
      </c>
      <c r="CW225" s="216">
        <f>IF(OR($BQ225,$BS225),SpreadOptPowerMargin,0)*((1+Assumptions!$C$26)^($B225-YEAR(Assumptions!$C$17)))</f>
        <v>2.37506177351317</v>
      </c>
      <c r="CX225" s="216">
        <f>IF(OR($BQ225,$BS225),SpreadOptPowerMargin,0)*((1+Assumptions!$C$26)^($B225-YEAR(Assumptions!$C$17)))</f>
        <v>2.37506177351317</v>
      </c>
      <c r="CY225" s="216">
        <f>IF(OR($BQ225,$BS225),SpreadOptPowerMargin,0)*((1+Assumptions!$C$26)^($B225-YEAR(Assumptions!$C$17)))</f>
        <v>2.37506177351317</v>
      </c>
      <c r="CZ225" s="216">
        <f>IF(OR($BQ225,$BS225),SpreadOptPowerMargin,0)*((1+Assumptions!$C$26)^($B225-YEAR(Assumptions!$C$17)))</f>
        <v>2.37506177351317</v>
      </c>
      <c r="DA225" s="440">
        <f t="shared" si="605"/>
        <v>2.37506177351317</v>
      </c>
      <c r="DB225" s="479">
        <f t="shared" si="606"/>
        <v>0.1</v>
      </c>
      <c r="DC225" s="479">
        <f t="shared" si="607"/>
        <v>0.1</v>
      </c>
      <c r="DD225" s="479">
        <f t="shared" si="608"/>
        <v>0.11</v>
      </c>
      <c r="DE225" s="479">
        <f t="shared" si="609"/>
        <v>0.11</v>
      </c>
      <c r="DF225" s="479">
        <f t="shared" si="610"/>
        <v>9.3749295693450571E-2</v>
      </c>
      <c r="DG225" s="574">
        <f t="shared" si="611"/>
        <v>9.3749295693450571E-2</v>
      </c>
      <c r="DH225" s="216">
        <f t="shared" si="612"/>
        <v>42.368825304524108</v>
      </c>
      <c r="DI225" s="216">
        <f t="shared" si="613"/>
        <v>42.368825304524108</v>
      </c>
      <c r="DJ225" s="216">
        <f t="shared" ca="1" si="535"/>
        <v>9.111613702817424</v>
      </c>
      <c r="DK225" s="216">
        <f t="shared" ca="1" si="536"/>
        <v>9.111613702817424</v>
      </c>
      <c r="DL225" s="216">
        <f t="shared" ca="1" si="537"/>
        <v>26.500498043304678</v>
      </c>
      <c r="DM225" s="216"/>
      <c r="DN225" s="216"/>
      <c r="DO225" s="216"/>
      <c r="DP225" s="216"/>
      <c r="DQ225" s="216"/>
      <c r="DR225" s="216"/>
      <c r="DS225" s="216"/>
      <c r="DT225" s="216"/>
      <c r="DU225" s="216"/>
      <c r="DV225" s="216"/>
      <c r="DW225" s="1371">
        <f t="shared" si="614"/>
        <v>9.111613702817424</v>
      </c>
      <c r="DX225" s="216">
        <f t="shared" si="615"/>
        <v>9.111613702817424</v>
      </c>
      <c r="DY225" s="440">
        <f t="shared" si="616"/>
        <v>27.587842370432249</v>
      </c>
      <c r="DZ225" s="180">
        <f t="shared" si="617"/>
        <v>1972692.5061786424</v>
      </c>
      <c r="EA225" s="180">
        <f t="shared" si="618"/>
        <v>493173.1265446606</v>
      </c>
      <c r="EB225" s="180">
        <f t="shared" ca="1" si="538"/>
        <v>106059.18350079481</v>
      </c>
      <c r="EC225" s="180">
        <f t="shared" ca="1" si="539"/>
        <v>318177.55050238443</v>
      </c>
      <c r="ED225" s="180">
        <f t="shared" ca="1" si="540"/>
        <v>2776192.1750165978</v>
      </c>
      <c r="EE225" s="581">
        <f t="shared" si="619"/>
        <v>1954442.808292578</v>
      </c>
      <c r="EF225" s="554">
        <f t="shared" si="620"/>
        <v>488610.70207314449</v>
      </c>
      <c r="EG225" s="554">
        <f t="shared" ca="1" si="541"/>
        <v>56367.890808133146</v>
      </c>
      <c r="EH225" s="554">
        <f t="shared" ca="1" si="542"/>
        <v>169103.67242439944</v>
      </c>
      <c r="EI225" s="561">
        <f t="shared" ca="1" si="621"/>
        <v>2668525.0735982549</v>
      </c>
      <c r="EJ225" s="581">
        <f t="shared" si="675"/>
        <v>18249.697886064416</v>
      </c>
      <c r="EK225" s="554">
        <f t="shared" si="676"/>
        <v>4562.4244715161039</v>
      </c>
      <c r="EL225" s="554">
        <f t="shared" ca="1" si="543"/>
        <v>49691.292692661664</v>
      </c>
      <c r="EM225" s="554">
        <f t="shared" ca="1" si="544"/>
        <v>149073.87807798499</v>
      </c>
      <c r="EN225" s="561">
        <f t="shared" ca="1" si="545"/>
        <v>107667.10141834291</v>
      </c>
      <c r="EO225" s="180">
        <f t="shared" si="622"/>
        <v>7890770.0247145696</v>
      </c>
      <c r="EP225" s="180">
        <f t="shared" si="623"/>
        <v>1972692.5061786424</v>
      </c>
      <c r="EQ225" s="180">
        <f t="shared" si="624"/>
        <v>424236.73400317924</v>
      </c>
      <c r="ER225" s="180">
        <f t="shared" si="625"/>
        <v>1272710.2020095377</v>
      </c>
      <c r="ES225" s="180">
        <f t="shared" si="626"/>
        <v>11560409.466905929</v>
      </c>
      <c r="ET225" s="1482">
        <f t="shared" ca="1" si="546"/>
        <v>7817771.2331703119</v>
      </c>
      <c r="EU225" s="180">
        <f t="shared" ca="1" si="547"/>
        <v>1954442.808292578</v>
      </c>
      <c r="EV225" s="180">
        <f t="shared" ca="1" si="548"/>
        <v>225471.56323253259</v>
      </c>
      <c r="EW225" s="180">
        <f t="shared" ca="1" si="549"/>
        <v>676414.68969759776</v>
      </c>
      <c r="EX225" s="555">
        <f t="shared" ca="1" si="522"/>
        <v>10674100.29439302</v>
      </c>
      <c r="EY225" s="180">
        <f t="shared" ca="1" si="550"/>
        <v>72998.791544257663</v>
      </c>
      <c r="EZ225" s="180">
        <f t="shared" ca="1" si="551"/>
        <v>18249.697886064416</v>
      </c>
      <c r="FA225" s="180">
        <f t="shared" ca="1" si="552"/>
        <v>198765.17077064666</v>
      </c>
      <c r="FB225" s="180">
        <f t="shared" ca="1" si="553"/>
        <v>596295.51231193997</v>
      </c>
      <c r="FC225" s="180">
        <f t="shared" ca="1" si="554"/>
        <v>886309.1725129094</v>
      </c>
      <c r="FD225" s="262">
        <f>IF(AX225,IF(VLOOKUP(C225,MAIN!$L$17:$M$28,2)="Yes",VLOOKUP(CALC!B225,MAIN!$H$17:$I$20,2),0),0)</f>
        <v>0</v>
      </c>
      <c r="FE225" s="623">
        <f t="shared" si="627"/>
        <v>0</v>
      </c>
      <c r="FF225" s="535">
        <f t="shared" si="628"/>
        <v>0</v>
      </c>
      <c r="FG225" s="535">
        <f t="shared" si="629"/>
        <v>0</v>
      </c>
      <c r="FH225" s="624">
        <f t="shared" si="630"/>
        <v>0</v>
      </c>
      <c r="FI225" s="632">
        <f>IF(AX225,VLOOKUP(CALC!B225,MAIN!$H$17:$K$20,4),0)</f>
        <v>0</v>
      </c>
      <c r="FJ225" s="535">
        <f t="shared" si="631"/>
        <v>0</v>
      </c>
      <c r="FK225" s="648">
        <f t="shared" si="677"/>
        <v>0</v>
      </c>
      <c r="FL225" s="530">
        <f t="shared" ca="1" si="555"/>
        <v>0</v>
      </c>
      <c r="FM225" s="530">
        <f t="shared" ca="1" si="556"/>
        <v>0</v>
      </c>
      <c r="FN225" s="530">
        <f t="shared" ca="1" si="557"/>
        <v>0</v>
      </c>
      <c r="FO225" s="622">
        <f t="shared" ca="1" si="558"/>
        <v>0</v>
      </c>
      <c r="FP225" s="530">
        <f t="shared" ca="1" si="559"/>
        <v>0</v>
      </c>
      <c r="FQ225" s="530">
        <f t="shared" ca="1" si="560"/>
        <v>0</v>
      </c>
      <c r="FR225" s="530">
        <f t="shared" ca="1" si="561"/>
        <v>0</v>
      </c>
      <c r="FS225" s="625">
        <f t="shared" ca="1" si="562"/>
        <v>0</v>
      </c>
      <c r="FT225" s="640">
        <f ca="1">IF(AND(Assumptions!$H$71="Yes",A225&gt;=Assumptions!$H$72,A225&lt;=Assumptions!$H$73),0,IF(AND($A225&gt;=Assumptions!$C$17,$A225&lt;=Assumptions!$C$18),MAX(AZ225*(1+VLOOKUP($C225,WeatherCapacityAdjustment,2))-FL225,0),0))</f>
        <v>46560</v>
      </c>
      <c r="FU225" s="530">
        <f ca="1">IF(AND(Assumptions!$H$71="Yes",A225&gt;=Assumptions!$H$72,A225&lt;=Assumptions!$H$73),0,IF(AND($A225&gt;=Assumptions!$C$17,$A225&lt;=Assumptions!$C$18),MAX(BA225*(1+VLOOKUP($C225,WeatherCapacityAdjustment,2))-FM225,0),0))</f>
        <v>11640</v>
      </c>
      <c r="FV225" s="530">
        <f ca="1">IF(AND(Assumptions!$H$71="Yes",A225&gt;=Assumptions!$H$72,A225&lt;=Assumptions!$H$73),0,IF(AND($A225&gt;=Assumptions!$C$17,$A225&lt;=Assumptions!$C$18),MAX(BB225*(1+VLOOKUP($C225,WeatherCapacityAdjustment,2))-FN225,0),0))</f>
        <v>11640</v>
      </c>
      <c r="FW225" s="622">
        <f ca="1">IF(AND(Assumptions!$H$71="Yes",A225&gt;=Assumptions!$H$72,A225&lt;=Assumptions!$H$73),0,IF(AND($A225&gt;=Assumptions!$C$17,$A225&lt;=Assumptions!$C$18),MAX(BC225*(1+VLOOKUP($C225,WeatherCapacityAdjustment,3))-FO225,0),0))</f>
        <v>34920</v>
      </c>
      <c r="FX225" s="621">
        <f ca="1">IF(AND(Assumptions!$H$71="Yes",A225&gt;=Assumptions!$H$72,A225&lt;=Assumptions!$H$73),0,IF(ET225&gt;0,MAX(BH225*(1+VLOOKUP($C225,WeatherCapacityAdjustment,2))-FP225,0),0))</f>
        <v>186240</v>
      </c>
      <c r="FY225" s="530">
        <f ca="1">IF(AND(Assumptions!$H$71="Yes",A225&gt;=Assumptions!$H$72,A225&lt;=Assumptions!$H$73),0,IF(EU225&gt;0,MAX(BI225*(1+VLOOKUP($C225,WeatherCapacityAdjustment,3))-FQ225,0),0))</f>
        <v>46560</v>
      </c>
      <c r="FZ225" s="530">
        <f ca="1">IF(AND(Assumptions!$H$71="Yes",A225&gt;=Assumptions!$H$72,A225&lt;=Assumptions!$H$73),0,IF(EV225&gt;0,MAX(BJ225*(1+VLOOKUP($C225,WeatherCapacityAdjustment,2))-FR225,0),0))</f>
        <v>46560</v>
      </c>
      <c r="GA225" s="622">
        <f ca="1">IF(AND(Assumptions!$H$71="Yes",A225&gt;=Assumptions!$H$72,A225&lt;=Assumptions!$H$73),0,IF(EW225&gt;0,MAX(BK225*(1+VLOOKUP($C225,WeatherCapacityAdjustment,2))-FS225,0),0))</f>
        <v>139680</v>
      </c>
      <c r="GB225" s="530">
        <f t="shared" ca="1" si="632"/>
        <v>523800</v>
      </c>
      <c r="GC225" s="545">
        <f t="shared" ca="1" si="633"/>
        <v>53.807465570360208</v>
      </c>
      <c r="GD225" s="530">
        <f t="shared" ca="1" si="563"/>
        <v>28184350.465754673</v>
      </c>
      <c r="GE225" s="1485">
        <f t="shared" ca="1" si="564"/>
        <v>745918.43759999995</v>
      </c>
      <c r="GF225" s="1776">
        <f t="shared" ca="1" si="565"/>
        <v>2983673.7503999998</v>
      </c>
      <c r="GG225" s="545">
        <f t="shared" si="530"/>
        <v>3.6458859455325525</v>
      </c>
      <c r="GH225" s="622">
        <f t="shared" ca="1" si="531"/>
        <v>13597667.740797199</v>
      </c>
      <c r="GI225" s="621">
        <f t="shared" ca="1" si="678"/>
        <v>523800</v>
      </c>
      <c r="GJ225" s="638">
        <f t="shared" si="634"/>
        <v>2.37506177351317</v>
      </c>
      <c r="GK225" s="625">
        <f t="shared" ca="1" si="684"/>
        <v>1244057.3569661984</v>
      </c>
      <c r="GL225" s="640">
        <f t="shared" ca="1" si="566"/>
        <v>0</v>
      </c>
      <c r="GM225" s="530">
        <f t="shared" ca="1" si="567"/>
        <v>0</v>
      </c>
      <c r="GN225" s="530">
        <f t="shared" ca="1" si="568"/>
        <v>0</v>
      </c>
      <c r="GO225" s="622">
        <f t="shared" ca="1" si="569"/>
        <v>0</v>
      </c>
      <c r="GP225" s="530">
        <f t="shared" ca="1" si="635"/>
        <v>0</v>
      </c>
      <c r="GQ225" s="545">
        <f t="shared" ca="1" si="636"/>
        <v>0</v>
      </c>
      <c r="GR225" s="625">
        <f t="shared" ca="1" si="570"/>
        <v>0</v>
      </c>
      <c r="GS225" s="640">
        <f>IF($A225&gt;=BegDate,Assumptions!$C$56*24*($A226-$A225)*(1-VLOOKUP($B225,MAIN!$AA$7:$AM$28,$C225+1))*(1-VLOOKUP($B225,MAIN!$AA$33:$AM$54,$C225+1)),0)*80/168</f>
        <v>249428.57142857142</v>
      </c>
      <c r="GT225" s="1715">
        <f t="shared" si="679"/>
        <v>70.31158259918648</v>
      </c>
      <c r="GU225" s="1715">
        <f>IF($A225&gt;=BegDate,VLOOKUP($A225,GasTable,13)+Assumptions!$C$58,0)</f>
        <v>3.6458859455325525</v>
      </c>
      <c r="GV225" s="1715">
        <f>GU225*Assumptions!$C$57/1000</f>
        <v>26.432673105111007</v>
      </c>
      <c r="GW225" s="625">
        <f>IF(Assumptions!$C$60="Hourly",MAX(0,GS225*(GT225-GV225)),GS225*(GT225-GV225))</f>
        <v>10944653.710950825</v>
      </c>
      <c r="GX225" s="640">
        <f>IF($A225&gt;=BegDate,Assumptions!$C$56*24*($A226-$A225)*(1-VLOOKUP($B225,MAIN!$AA$7:$AM$28,$C225+1))*(1-VLOOKUP($B225,MAIN!$AA$33:$AM$54,$C225+1)),0)*16/168</f>
        <v>49885.714285714283</v>
      </c>
      <c r="GY225" s="1715">
        <f t="shared" si="680"/>
        <v>70.31158259918648</v>
      </c>
      <c r="GZ225" s="1715">
        <f>IF($A225&gt;=BegDate,VLOOKUP($A225,GasTable,13)+Assumptions!$C$58,0)</f>
        <v>3.6458859455325525</v>
      </c>
      <c r="HA225" s="1715">
        <f>GZ225*Assumptions!$C$57/1000</f>
        <v>26.432673105111007</v>
      </c>
      <c r="HB225" s="625">
        <f>IF(Assumptions!$C$60="Hourly",MAX(0,GX225*(GY225-HA225)),GX225*(GY225-HA225))</f>
        <v>2188930.742190165</v>
      </c>
      <c r="HC225" s="640">
        <f>IF($A225&gt;=BegDate,Assumptions!$C$56*24*($A226-$A225)*(1-VLOOKUP($B225,MAIN!$AA$7:$AM$28,$C225+1))*(1-VLOOKUP($B225,MAIN!$AA$33:$AM$54,$C225+1)),0)*16/168</f>
        <v>49885.714285714283</v>
      </c>
      <c r="HD225" s="1715">
        <f t="shared" si="681"/>
        <v>33.177320186345305</v>
      </c>
      <c r="HE225" s="1715">
        <f>IF($A225&gt;=BegDate,VLOOKUP($A225,GasTable,13)+Assumptions!$C$58,0)</f>
        <v>3.6458859455325525</v>
      </c>
      <c r="HF225" s="1715">
        <f>HE225*Assumptions!$C$57/1000</f>
        <v>26.432673105111007</v>
      </c>
      <c r="HG225" s="625">
        <f>IF(Assumptions!$C$60="Hourly",MAX(0,HC225*(HD225-HF225)),HC225*(HD225-HF225))</f>
        <v>336461.53725243098</v>
      </c>
      <c r="HH225" s="640">
        <f>IF($A225&gt;=BegDate,Assumptions!$C$56*24*($A226-$A225)*(1-VLOOKUP($B225,MAIN!$AA$7:$AM$28,$C225+1))*(1-VLOOKUP($B225,MAIN!$AA$33:$AM$54,$C225+1)),0)*56/168</f>
        <v>174600</v>
      </c>
      <c r="HI225" s="1715">
        <f t="shared" si="682"/>
        <v>33.177320186345305</v>
      </c>
      <c r="HJ225" s="1715">
        <f>IF($A225&gt;=BegDate,VLOOKUP($A225,GasTable,13)+Assumptions!$C$58,0)</f>
        <v>3.6458859455325525</v>
      </c>
      <c r="HK225" s="1715">
        <f>HJ225*Assumptions!$C$57/1000</f>
        <v>26.432673105111007</v>
      </c>
      <c r="HL225" s="625">
        <f>IF(Assumptions!$C$60="Hourly",MAX(0,HH225*(HI225-HK225)),HH225*(HI225-HK225))</f>
        <v>1177615.3803835085</v>
      </c>
      <c r="HM225" s="640">
        <f>IF(AND(Assumptions!$H$71="Yes",A225&gt;=Assumptions!$H$72,A225&lt;=Assumptions!$H$73),Assumptions!$H$74*Assumptions!$C$9*1000,0)</f>
        <v>0</v>
      </c>
      <c r="HN225" s="530"/>
      <c r="HO225" s="545"/>
      <c r="HP225" s="545"/>
      <c r="HQ225" s="545"/>
      <c r="HR225" s="545"/>
      <c r="HS225" s="545"/>
      <c r="HT225" s="545"/>
      <c r="HU225" s="545"/>
      <c r="HV225" s="545"/>
      <c r="HW225" s="545"/>
      <c r="HX225" s="545"/>
      <c r="HY225" s="545"/>
      <c r="HZ225" s="545"/>
      <c r="IA225" s="545"/>
      <c r="IB225" s="545"/>
      <c r="IC225" s="545"/>
      <c r="ID225" s="545"/>
      <c r="IE225" s="545"/>
      <c r="IF225" s="545"/>
      <c r="IG225" s="545"/>
      <c r="IH225" s="545"/>
      <c r="II225" s="1464"/>
      <c r="IJ225" s="1463"/>
      <c r="IK225" s="1463"/>
    </row>
    <row r="226" spans="1:245">
      <c r="A226" s="177">
        <f t="shared" si="637"/>
        <v>43009</v>
      </c>
      <c r="B226" s="349">
        <f t="shared" si="638"/>
        <v>2017</v>
      </c>
      <c r="C226" s="15">
        <f t="shared" si="686"/>
        <v>10</v>
      </c>
      <c r="D226" s="612" t="str">
        <f t="shared" si="639"/>
        <v/>
      </c>
      <c r="E226" s="609">
        <f t="shared" si="687"/>
        <v>43009</v>
      </c>
      <c r="F226" s="614">
        <f t="shared" si="688"/>
        <v>43039</v>
      </c>
      <c r="G226" s="1349">
        <v>0</v>
      </c>
      <c r="H226" s="152">
        <f t="shared" si="683"/>
        <v>1</v>
      </c>
      <c r="I226" s="154">
        <f>IF(Assumptions!$L$25=4,VLOOKUP($A226,'Henwood Reference'!$E$9:$R$320,10),(VLOOKUP($A226,PriceTable,2,0)+IF(BasisNumber&lt;&gt;1,VLOOKUP($A226,BasisTable,2,0),0)+I$1)/(1-I$2))</f>
        <v>56.50016133684008</v>
      </c>
      <c r="J226" s="154">
        <f>IF(Assumptions!$L$25=4,VLOOKUP($A226,'Henwood Reference'!$E$9:$R$320,10),(VLOOKUP($A226,PriceTable,3,0)+IF(BasisNumber&lt;&gt;1,VLOOKUP($A226,BasisTable,2,0),0)+J$1)/(1-J$2))</f>
        <v>56.50016133684008</v>
      </c>
      <c r="K226" s="154">
        <f>IF(Assumptions!$L$25=4,VLOOKUP($A226,'Henwood Reference'!$E$9:$R$320,10),(VLOOKUP($A226,PriceTable,4,0)+IF(BasisNumber&lt;&gt;1,VLOOKUP($A226,BasisTable,2,0),0)+K$1)/(1-K$2))</f>
        <v>56.50016133684008</v>
      </c>
      <c r="L226" s="474">
        <f>IF(Assumptions!$L$25=4,VLOOKUP($A226,'Henwood Reference'!$E$9:$R$320,10),(VLOOKUP($A226,PriceTableWeekend,2,0)+IF(BasisNumber&lt;&gt;1,VLOOKUP($A226,BasisTable,2,0),0)+L$1)/(1-L$2))</f>
        <v>56.50016133684008</v>
      </c>
      <c r="M226" s="154">
        <f>IF(Assumptions!$L$25=4,VLOOKUP($A226,'Henwood Reference'!$E$9:$R$320,10),(VLOOKUP($A226,PriceTableWeekend,3,0)+IF(BasisNumber&lt;&gt;1,VLOOKUP($A226,BasisTable,2,0),0)+M$1)/(1-M$2))</f>
        <v>56.50016133684008</v>
      </c>
      <c r="N226" s="156">
        <f>IF(Assumptions!$L$25=4,VLOOKUP($A226,'Henwood Reference'!$E$9:$R$320,10),(VLOOKUP($A226,PriceTableWeekend,4,0)+IF(BasisNumber&lt;&gt;1,VLOOKUP($A226,BasisTable,2,0),0)+N$1)/(1-N$2))</f>
        <v>56.50016133684008</v>
      </c>
      <c r="O226" s="154">
        <f>IF(Assumptions!$L$25=4,VLOOKUP($A226,'Henwood Reference'!$E$9:$R$320,11),(VLOOKUP($A226,PriceTableWeekend,6,0)+IF(BasisNumber&lt;&gt;1,VLOOKUP($A226,BasisTable,3,0),0)+O$1)/(1-O$2))</f>
        <v>30.404002031492787</v>
      </c>
      <c r="P226" s="154">
        <f>IF(Assumptions!$L$25=4,VLOOKUP($A226,'Henwood Reference'!$E$9:$R$320,11),(VLOOKUP($A226,PriceTableWeekend,7,0)+IF(BasisNumber&lt;&gt;1,VLOOKUP($A226,BasisTable,3,0),0)+P$1)/(1-P$2))</f>
        <v>30.404002031492787</v>
      </c>
      <c r="Q226" s="156">
        <f>IF(Assumptions!$L$25=4,VLOOKUP($A226,'Henwood Reference'!$E$9:$R$320,11),(VLOOKUP($A226,PriceTableWeekend,8,0)+IF(BasisNumber&lt;&gt;1,VLOOKUP($A226,BasisTable,3,0),0)+Q$1)/(1-Q$2))</f>
        <v>30.404002031492787</v>
      </c>
      <c r="R226" s="154">
        <f>IF(Assumptions!$L$25=4,VLOOKUP($A226,'Henwood Reference'!$E$9:$R$320,11),(VLOOKUP($A226,PriceTable,6,0)+IF(BasisNumber&lt;&gt;1,VLOOKUP($A226,BasisTable,3,0),0)+R$1)/(1-R$2))</f>
        <v>30.404002031492787</v>
      </c>
      <c r="S226" s="154">
        <f>IF(Assumptions!$L$25=4,VLOOKUP($A226,'Henwood Reference'!$E$9:$R$320,11),(VLOOKUP($A226,PriceTable,7,0)+IF(BasisNumber&lt;&gt;1,VLOOKUP($A226,BasisTable,3,0),0)+S$1)/(1-S$2))</f>
        <v>30.404002031492787</v>
      </c>
      <c r="T226" s="155">
        <f>IF(Assumptions!$L$25=4,VLOOKUP($A226,'Henwood Reference'!$E$9:$R$320,11),(VLOOKUP($A226,PriceTable,8,0)+IF(BasisNumber&lt;&gt;1,VLOOKUP($A226,BasisTable,3,0),0)+T$1)/(1-T$2))</f>
        <v>30.404002031492787</v>
      </c>
      <c r="U226" s="173">
        <f t="shared" si="640"/>
        <v>0.09</v>
      </c>
      <c r="V226" s="173">
        <f t="shared" si="641"/>
        <v>0.1</v>
      </c>
      <c r="W226" s="174">
        <f t="shared" si="642"/>
        <v>0.11</v>
      </c>
      <c r="X226" s="173">
        <f t="shared" si="643"/>
        <v>0.09</v>
      </c>
      <c r="Y226" s="173">
        <f t="shared" si="644"/>
        <v>0.1</v>
      </c>
      <c r="Z226" s="174">
        <f t="shared" si="645"/>
        <v>0.11</v>
      </c>
      <c r="AA226" s="173">
        <f t="shared" si="646"/>
        <v>0.09</v>
      </c>
      <c r="AB226" s="173">
        <f t="shared" si="647"/>
        <v>0.11</v>
      </c>
      <c r="AC226" s="174">
        <f t="shared" si="648"/>
        <v>0.13</v>
      </c>
      <c r="AD226" s="173">
        <f t="shared" si="649"/>
        <v>0.09</v>
      </c>
      <c r="AE226" s="173">
        <f t="shared" si="650"/>
        <v>0.11</v>
      </c>
      <c r="AF226" s="174">
        <f t="shared" si="651"/>
        <v>0.13</v>
      </c>
      <c r="AG226" s="173">
        <f t="shared" si="652"/>
        <v>-0.1</v>
      </c>
      <c r="AH226" s="173">
        <f t="shared" si="653"/>
        <v>3</v>
      </c>
      <c r="AI226" s="174">
        <f t="shared" si="654"/>
        <v>0.1</v>
      </c>
      <c r="AJ226" s="173">
        <f t="shared" si="655"/>
        <v>-0.1</v>
      </c>
      <c r="AK226" s="173">
        <f t="shared" si="656"/>
        <v>3</v>
      </c>
      <c r="AL226" s="174">
        <f t="shared" si="657"/>
        <v>0.1</v>
      </c>
      <c r="AM226" s="173">
        <f t="shared" si="658"/>
        <v>-0.01</v>
      </c>
      <c r="AN226" s="173">
        <f t="shared" si="659"/>
        <v>0.16</v>
      </c>
      <c r="AO226" s="174">
        <f t="shared" si="660"/>
        <v>0.01</v>
      </c>
      <c r="AP226" s="173">
        <f t="shared" si="661"/>
        <v>-0.01</v>
      </c>
      <c r="AQ226" s="173">
        <f t="shared" si="662"/>
        <v>0.16</v>
      </c>
      <c r="AR226" s="175">
        <f t="shared" si="663"/>
        <v>0.01</v>
      </c>
      <c r="AS226" s="521">
        <f t="shared" ref="AS226:AS241" si="691">IF(CorrPeakOffPeakOverFlag,INDEX(CorrPeakOffPeakOver,C226),CorrPeakOffPeak)</f>
        <v>0.5</v>
      </c>
      <c r="AT226" s="349">
        <f t="shared" si="689"/>
        <v>22</v>
      </c>
      <c r="AU226" s="159">
        <f t="shared" si="582"/>
        <v>4</v>
      </c>
      <c r="AV226" s="159">
        <f t="shared" si="583"/>
        <v>5</v>
      </c>
      <c r="AW226" s="159">
        <f t="shared" ref="AW226:AW241" si="692">IF(OR(E226="",D226="",D226&lt;BegDate,D226&gt;EndDate),0,1)</f>
        <v>0</v>
      </c>
      <c r="AX226" s="15">
        <f t="shared" si="690"/>
        <v>31</v>
      </c>
      <c r="AY226" s="607">
        <f>IF(E226="",0,MIN((1-(1-VLOOKUP(B226,MAIN!$AA$7:$AM$28,C226+1))*(1-VLOOKUP(B226,MAIN!$AA$33:$AM$54,C226+1))),1))</f>
        <v>3.0000000000000027E-2</v>
      </c>
      <c r="AZ226" s="337">
        <v>51216</v>
      </c>
      <c r="BA226" s="509">
        <v>9312</v>
      </c>
      <c r="BB226" s="509">
        <v>11640</v>
      </c>
      <c r="BC226" s="511">
        <v>36084</v>
      </c>
      <c r="BD226" s="153">
        <v>0.97000001445412631</v>
      </c>
      <c r="BE226" s="474">
        <v>0.97000001445412631</v>
      </c>
      <c r="BF226" s="474">
        <v>0.97000001445412631</v>
      </c>
      <c r="BG226" s="515">
        <v>0.9699999927729368</v>
      </c>
      <c r="BH226" s="262">
        <v>204864</v>
      </c>
      <c r="BI226" s="509">
        <v>37248</v>
      </c>
      <c r="BJ226" s="509">
        <v>46560</v>
      </c>
      <c r="BK226" s="511">
        <v>144336</v>
      </c>
      <c r="BL226" s="153">
        <v>0.97000001445412631</v>
      </c>
      <c r="BM226" s="474">
        <v>0.97000001445412631</v>
      </c>
      <c r="BN226" s="474">
        <v>0.97000001445412631</v>
      </c>
      <c r="BO226" s="474">
        <v>0.9699999927729368</v>
      </c>
      <c r="BP226" s="261">
        <f t="shared" si="666"/>
        <v>72168</v>
      </c>
      <c r="BQ226" s="578">
        <f t="shared" si="667"/>
        <v>108252</v>
      </c>
      <c r="BR226" s="259">
        <f t="shared" si="668"/>
        <v>288672</v>
      </c>
      <c r="BS226" s="578">
        <f t="shared" si="669"/>
        <v>433008</v>
      </c>
      <c r="BT226" s="216">
        <f t="shared" si="670"/>
        <v>17.464750171115675</v>
      </c>
      <c r="BU226" s="218">
        <f t="shared" si="585"/>
        <v>56.500162178758089</v>
      </c>
      <c r="BV226" s="216">
        <f t="shared" si="586"/>
        <v>56.500162178758089</v>
      </c>
      <c r="BW226" s="216">
        <f t="shared" si="587"/>
        <v>30.404002484547725</v>
      </c>
      <c r="BX226" s="216">
        <f t="shared" si="671"/>
        <v>30.404001804965322</v>
      </c>
      <c r="BY226" s="216">
        <f t="shared" si="588"/>
        <v>52.291104163562864</v>
      </c>
      <c r="BZ226" s="216">
        <f t="shared" si="589"/>
        <v>44.995403377363687</v>
      </c>
      <c r="CA226" s="264">
        <f t="shared" si="590"/>
        <v>56.500162178758089</v>
      </c>
      <c r="CB226" s="216">
        <f t="shared" si="591"/>
        <v>56.500162178758089</v>
      </c>
      <c r="CC226" s="216">
        <f t="shared" si="592"/>
        <v>30.404002484547725</v>
      </c>
      <c r="CD226" s="216">
        <f t="shared" si="672"/>
        <v>30.404001804965322</v>
      </c>
      <c r="CE226" s="216">
        <f t="shared" si="593"/>
        <v>52.291104163562864</v>
      </c>
      <c r="CF226" s="571">
        <f t="shared" si="594"/>
        <v>44.995403377363687</v>
      </c>
      <c r="CG226" s="573">
        <f t="shared" si="595"/>
        <v>0.1</v>
      </c>
      <c r="CH226" s="219">
        <f t="shared" si="596"/>
        <v>0.1</v>
      </c>
      <c r="CI226" s="219">
        <f t="shared" si="597"/>
        <v>0.11</v>
      </c>
      <c r="CJ226" s="219">
        <f t="shared" si="598"/>
        <v>0.1009453329906129</v>
      </c>
      <c r="CK226" s="219">
        <f t="shared" si="599"/>
        <v>0.1009453329906129</v>
      </c>
      <c r="CL226" s="219">
        <f t="shared" si="600"/>
        <v>0.11</v>
      </c>
      <c r="CM226" s="219">
        <f t="shared" si="601"/>
        <v>9.3352951034060355E-2</v>
      </c>
      <c r="CN226" s="569">
        <f t="shared" si="602"/>
        <v>9.3352951034060355E-2</v>
      </c>
      <c r="CO226" s="264">
        <f t="shared" si="685"/>
        <v>27.080400986483433</v>
      </c>
      <c r="CP226" s="216">
        <f t="shared" si="673"/>
        <v>27.080400986483433</v>
      </c>
      <c r="CQ226" s="216">
        <f t="shared" ca="1" si="532"/>
        <v>27.080400986483433</v>
      </c>
      <c r="CR226" s="216">
        <f t="shared" ca="1" si="533"/>
        <v>27.080400986483433</v>
      </c>
      <c r="CS226" s="1626">
        <f t="shared" ca="1" si="534"/>
        <v>27.080400986483429</v>
      </c>
      <c r="CT226" s="216">
        <f t="shared" si="674"/>
        <v>27.080400986483433</v>
      </c>
      <c r="CU226" s="575">
        <f t="shared" si="603"/>
        <v>0.151</v>
      </c>
      <c r="CV226" s="154">
        <f t="shared" si="604"/>
        <v>0.5</v>
      </c>
      <c r="CW226" s="216">
        <f>IF(OR($BQ226,$BS226),SpreadOptPowerMargin,0)*((1+Assumptions!$C$26)^($B226-YEAR(Assumptions!$C$17)))</f>
        <v>2.37506177351317</v>
      </c>
      <c r="CX226" s="216">
        <f>IF(OR($BQ226,$BS226),SpreadOptPowerMargin,0)*((1+Assumptions!$C$26)^($B226-YEAR(Assumptions!$C$17)))</f>
        <v>2.37506177351317</v>
      </c>
      <c r="CY226" s="216">
        <f>IF(OR($BQ226,$BS226),SpreadOptPowerMargin,0)*((1+Assumptions!$C$26)^($B226-YEAR(Assumptions!$C$17)))</f>
        <v>2.37506177351317</v>
      </c>
      <c r="CZ226" s="216">
        <f>IF(OR($BQ226,$BS226),SpreadOptPowerMargin,0)*((1+Assumptions!$C$26)^($B226-YEAR(Assumptions!$C$17)))</f>
        <v>2.37506177351317</v>
      </c>
      <c r="DA226" s="440">
        <f t="shared" si="605"/>
        <v>2.37506177351317</v>
      </c>
      <c r="DB226" s="479">
        <f t="shared" si="606"/>
        <v>0.1</v>
      </c>
      <c r="DC226" s="479">
        <f t="shared" si="607"/>
        <v>0.1</v>
      </c>
      <c r="DD226" s="479">
        <f t="shared" si="608"/>
        <v>0.11</v>
      </c>
      <c r="DE226" s="479">
        <f t="shared" si="609"/>
        <v>0.11</v>
      </c>
      <c r="DF226" s="479">
        <f t="shared" si="610"/>
        <v>9.3352951034060355E-2</v>
      </c>
      <c r="DG226" s="574">
        <f t="shared" si="611"/>
        <v>9.3352951034060355E-2</v>
      </c>
      <c r="DH226" s="216">
        <f t="shared" si="612"/>
        <v>28.13074480957264</v>
      </c>
      <c r="DI226" s="216">
        <f t="shared" si="613"/>
        <v>28.13074480957264</v>
      </c>
      <c r="DJ226" s="216">
        <f t="shared" ca="1" si="535"/>
        <v>6.7390661334098452</v>
      </c>
      <c r="DK226" s="216">
        <f t="shared" ca="1" si="536"/>
        <v>6.7390657039847826</v>
      </c>
      <c r="DL226" s="216">
        <f t="shared" ca="1" si="537"/>
        <v>17.69023093054728</v>
      </c>
      <c r="DM226" s="216"/>
      <c r="DN226" s="216"/>
      <c r="DO226" s="216"/>
      <c r="DP226" s="216"/>
      <c r="DQ226" s="216"/>
      <c r="DR226" s="216"/>
      <c r="DS226" s="216"/>
      <c r="DT226" s="216"/>
      <c r="DU226" s="216"/>
      <c r="DV226" s="216"/>
      <c r="DW226" s="1371">
        <f t="shared" si="614"/>
        <v>6.7390661334098452</v>
      </c>
      <c r="DX226" s="216">
        <f t="shared" si="615"/>
        <v>6.7390657039847826</v>
      </c>
      <c r="DY226" s="440">
        <f t="shared" si="616"/>
        <v>18.700004604896819</v>
      </c>
      <c r="DZ226" s="180">
        <f t="shared" si="617"/>
        <v>1440744.2261670723</v>
      </c>
      <c r="EA226" s="180">
        <f t="shared" si="618"/>
        <v>261953.49566674043</v>
      </c>
      <c r="EB226" s="180">
        <f t="shared" ca="1" si="538"/>
        <v>78442.729792890605</v>
      </c>
      <c r="EC226" s="180">
        <f t="shared" ca="1" si="539"/>
        <v>243172.44686258689</v>
      </c>
      <c r="ED226" s="180">
        <f t="shared" ca="1" si="540"/>
        <v>1915002.8786936041</v>
      </c>
      <c r="EE226" s="581">
        <f t="shared" si="619"/>
        <v>1385121.3254312882</v>
      </c>
      <c r="EF226" s="554">
        <f t="shared" si="620"/>
        <v>251840.24098750696</v>
      </c>
      <c r="EG226" s="554">
        <f t="shared" ca="1" si="541"/>
        <v>11041.002393775056</v>
      </c>
      <c r="EH226" s="554">
        <f t="shared" ca="1" si="542"/>
        <v>34227.08289865125</v>
      </c>
      <c r="EI226" s="561">
        <f t="shared" ca="1" si="621"/>
        <v>1682229.6517112218</v>
      </c>
      <c r="EJ226" s="581">
        <f t="shared" si="675"/>
        <v>55622.900735784089</v>
      </c>
      <c r="EK226" s="554">
        <f t="shared" si="676"/>
        <v>10113.254679233476</v>
      </c>
      <c r="EL226" s="554">
        <f t="shared" ca="1" si="543"/>
        <v>67401.727399115553</v>
      </c>
      <c r="EM226" s="554">
        <f t="shared" ca="1" si="544"/>
        <v>208945.36396393564</v>
      </c>
      <c r="EN226" s="561">
        <f t="shared" ca="1" si="545"/>
        <v>232773.22698238236</v>
      </c>
      <c r="EO226" s="180">
        <f t="shared" si="622"/>
        <v>5762976.9046682892</v>
      </c>
      <c r="EP226" s="180">
        <f t="shared" si="623"/>
        <v>1047813.9826669617</v>
      </c>
      <c r="EQ226" s="180">
        <f t="shared" si="624"/>
        <v>313770.91917156242</v>
      </c>
      <c r="ER226" s="180">
        <f t="shared" si="625"/>
        <v>972689.78745034756</v>
      </c>
      <c r="ES226" s="180">
        <f t="shared" si="626"/>
        <v>8097251.5939571615</v>
      </c>
      <c r="ET226" s="1482">
        <f t="shared" ca="1" si="546"/>
        <v>5540485.3017251529</v>
      </c>
      <c r="EU226" s="180">
        <f t="shared" ca="1" si="547"/>
        <v>1007360.9639500278</v>
      </c>
      <c r="EV226" s="180">
        <f t="shared" ca="1" si="548"/>
        <v>44164.009575100223</v>
      </c>
      <c r="EW226" s="180">
        <f t="shared" ca="1" si="549"/>
        <v>136908.331594605</v>
      </c>
      <c r="EX226" s="555">
        <f t="shared" ca="1" si="522"/>
        <v>6728918.6068448862</v>
      </c>
      <c r="EY226" s="180">
        <f t="shared" ca="1" si="550"/>
        <v>222491.60294313636</v>
      </c>
      <c r="EZ226" s="180">
        <f t="shared" ca="1" si="551"/>
        <v>40453.018716933904</v>
      </c>
      <c r="FA226" s="180">
        <f t="shared" ca="1" si="552"/>
        <v>269606.90959646221</v>
      </c>
      <c r="FB226" s="180">
        <f t="shared" ca="1" si="553"/>
        <v>835781.45585574256</v>
      </c>
      <c r="FC226" s="180">
        <f t="shared" ca="1" si="554"/>
        <v>1368332.9871122753</v>
      </c>
      <c r="FD226" s="262">
        <f>IF(AX226,IF(VLOOKUP(C226,MAIN!$L$17:$M$28,2)="Yes",VLOOKUP(CALC!B226,MAIN!$H$17:$I$20,2),0),0)</f>
        <v>0</v>
      </c>
      <c r="FE226" s="623">
        <f t="shared" si="627"/>
        <v>0</v>
      </c>
      <c r="FF226" s="535">
        <f t="shared" si="628"/>
        <v>0</v>
      </c>
      <c r="FG226" s="535">
        <f t="shared" si="629"/>
        <v>0</v>
      </c>
      <c r="FH226" s="624">
        <f t="shared" si="630"/>
        <v>0</v>
      </c>
      <c r="FI226" s="632">
        <f>IF(AX226,VLOOKUP(CALC!B226,MAIN!$H$17:$K$20,4),0)</f>
        <v>0</v>
      </c>
      <c r="FJ226" s="535">
        <f t="shared" si="631"/>
        <v>0</v>
      </c>
      <c r="FK226" s="648">
        <f t="shared" si="677"/>
        <v>0</v>
      </c>
      <c r="FL226" s="530">
        <f t="shared" ca="1" si="555"/>
        <v>0</v>
      </c>
      <c r="FM226" s="530">
        <f t="shared" ca="1" si="556"/>
        <v>0</v>
      </c>
      <c r="FN226" s="530">
        <f t="shared" ca="1" si="557"/>
        <v>0</v>
      </c>
      <c r="FO226" s="622">
        <f t="shared" ca="1" si="558"/>
        <v>0</v>
      </c>
      <c r="FP226" s="530">
        <f t="shared" ca="1" si="559"/>
        <v>0</v>
      </c>
      <c r="FQ226" s="530">
        <f t="shared" ca="1" si="560"/>
        <v>0</v>
      </c>
      <c r="FR226" s="530">
        <f t="shared" ca="1" si="561"/>
        <v>0</v>
      </c>
      <c r="FS226" s="625">
        <f t="shared" ca="1" si="562"/>
        <v>0</v>
      </c>
      <c r="FT226" s="640">
        <f ca="1">IF(AND(Assumptions!$H$71="Yes",A226&gt;=Assumptions!$H$72,A226&lt;=Assumptions!$H$73),0,IF(AND($A226&gt;=Assumptions!$C$17,$A226&lt;=Assumptions!$C$18),MAX(AZ226*(1+VLOOKUP($C226,WeatherCapacityAdjustment,2))-FL226,0),0))</f>
        <v>51216</v>
      </c>
      <c r="FU226" s="530">
        <f ca="1">IF(AND(Assumptions!$H$71="Yes",A226&gt;=Assumptions!$H$72,A226&lt;=Assumptions!$H$73),0,IF(AND($A226&gt;=Assumptions!$C$17,$A226&lt;=Assumptions!$C$18),MAX(BA226*(1+VLOOKUP($C226,WeatherCapacityAdjustment,2))-FM226,0),0))</f>
        <v>9312</v>
      </c>
      <c r="FV226" s="530">
        <f ca="1">IF(AND(Assumptions!$H$71="Yes",A226&gt;=Assumptions!$H$72,A226&lt;=Assumptions!$H$73),0,IF(AND($A226&gt;=Assumptions!$C$17,$A226&lt;=Assumptions!$C$18),MAX(BB226*(1+VLOOKUP($C226,WeatherCapacityAdjustment,2))-FN226,0),0))</f>
        <v>11640</v>
      </c>
      <c r="FW226" s="622">
        <f ca="1">IF(AND(Assumptions!$H$71="Yes",A226&gt;=Assumptions!$H$72,A226&lt;=Assumptions!$H$73),0,IF(AND($A226&gt;=Assumptions!$C$17,$A226&lt;=Assumptions!$C$18),MAX(BC226*(1+VLOOKUP($C226,WeatherCapacityAdjustment,3))-FO226,0),0))</f>
        <v>36084</v>
      </c>
      <c r="FX226" s="621">
        <f ca="1">IF(AND(Assumptions!$H$71="Yes",A226&gt;=Assumptions!$H$72,A226&lt;=Assumptions!$H$73),0,IF(ET226&gt;0,MAX(BH226*(1+VLOOKUP($C226,WeatherCapacityAdjustment,2))-FP226,0),0))</f>
        <v>204864</v>
      </c>
      <c r="FY226" s="530">
        <f ca="1">IF(AND(Assumptions!$H$71="Yes",A226&gt;=Assumptions!$H$72,A226&lt;=Assumptions!$H$73),0,IF(EU226&gt;0,MAX(BI226*(1+VLOOKUP($C226,WeatherCapacityAdjustment,3))-FQ226,0),0))</f>
        <v>37248</v>
      </c>
      <c r="FZ226" s="530">
        <f ca="1">IF(AND(Assumptions!$H$71="Yes",A226&gt;=Assumptions!$H$72,A226&lt;=Assumptions!$H$73),0,IF(EV226&gt;0,MAX(BJ226*(1+VLOOKUP($C226,WeatherCapacityAdjustment,2))-FR226,0),0))</f>
        <v>46560</v>
      </c>
      <c r="GA226" s="622">
        <f ca="1">IF(AND(Assumptions!$H$71="Yes",A226&gt;=Assumptions!$H$72,A226&lt;=Assumptions!$H$73),0,IF(EW226&gt;0,MAX(BK226*(1+VLOOKUP($C226,WeatherCapacityAdjustment,2))-FS226,0),0))</f>
        <v>144336</v>
      </c>
      <c r="GB226" s="530">
        <f t="shared" ca="1" si="632"/>
        <v>541260</v>
      </c>
      <c r="GC226" s="545">
        <f t="shared" ca="1" si="633"/>
        <v>44.995403377363687</v>
      </c>
      <c r="GD226" s="530">
        <f t="shared" ca="1" si="563"/>
        <v>24354212.032031868</v>
      </c>
      <c r="GE226" s="1485">
        <f t="shared" ca="1" si="564"/>
        <v>771100.64640000009</v>
      </c>
      <c r="GF226" s="1776">
        <f t="shared" ca="1" si="565"/>
        <v>3084402.5856000003</v>
      </c>
      <c r="GG226" s="545">
        <f t="shared" si="530"/>
        <v>3.8017184673297724</v>
      </c>
      <c r="GH226" s="622">
        <f t="shared" ca="1" si="531"/>
        <v>14657537.837944025</v>
      </c>
      <c r="GI226" s="621">
        <f t="shared" ca="1" si="678"/>
        <v>541260</v>
      </c>
      <c r="GJ226" s="638">
        <f t="shared" si="634"/>
        <v>2.37506177351317</v>
      </c>
      <c r="GK226" s="625">
        <f t="shared" ca="1" si="684"/>
        <v>1285525.9355317384</v>
      </c>
      <c r="GL226" s="640">
        <f t="shared" ca="1" si="566"/>
        <v>0</v>
      </c>
      <c r="GM226" s="530">
        <f t="shared" ca="1" si="567"/>
        <v>0</v>
      </c>
      <c r="GN226" s="530">
        <f t="shared" ca="1" si="568"/>
        <v>0</v>
      </c>
      <c r="GO226" s="622">
        <f t="shared" ca="1" si="569"/>
        <v>0</v>
      </c>
      <c r="GP226" s="530">
        <f t="shared" ca="1" si="635"/>
        <v>0</v>
      </c>
      <c r="GQ226" s="545">
        <f t="shared" ca="1" si="636"/>
        <v>0</v>
      </c>
      <c r="GR226" s="625">
        <f t="shared" ca="1" si="570"/>
        <v>0</v>
      </c>
      <c r="GS226" s="640">
        <f>IF($A226&gt;=BegDate,Assumptions!$C$56*24*($A227-$A226)*(1-VLOOKUP($B226,MAIN!$AA$7:$AM$28,$C226+1))*(1-VLOOKUP($B226,MAIN!$AA$33:$AM$54,$C226+1)),0)*80/168</f>
        <v>257742.85714285713</v>
      </c>
      <c r="GT226" s="1715">
        <f t="shared" si="679"/>
        <v>56.50016133684008</v>
      </c>
      <c r="GU226" s="1715">
        <f>IF($A226&gt;=BegDate,VLOOKUP($A226,GasTable,13)+Assumptions!$C$58,0)</f>
        <v>3.8017184673297724</v>
      </c>
      <c r="GV226" s="1715">
        <f>GU226*Assumptions!$C$57/1000</f>
        <v>27.562458888140849</v>
      </c>
      <c r="GW226" s="625">
        <f>IF(Assumptions!$C$60="Hourly",MAX(0,GS226*(GT226-GV226)),GS226*(GT226-GV226))</f>
        <v>7458486.1082775928</v>
      </c>
      <c r="GX226" s="640">
        <f>IF($A226&gt;=BegDate,Assumptions!$C$56*24*($A227-$A226)*(1-VLOOKUP($B226,MAIN!$AA$7:$AM$28,$C226+1))*(1-VLOOKUP($B226,MAIN!$AA$33:$AM$54,$C226+1)),0)*16/168</f>
        <v>51548.571428571428</v>
      </c>
      <c r="GY226" s="1715">
        <f t="shared" si="680"/>
        <v>56.50016133684008</v>
      </c>
      <c r="GZ226" s="1715">
        <f>IF($A226&gt;=BegDate,VLOOKUP($A226,GasTable,13)+Assumptions!$C$58,0)</f>
        <v>3.8017184673297724</v>
      </c>
      <c r="HA226" s="1715">
        <f>GZ226*Assumptions!$C$57/1000</f>
        <v>27.562458888140849</v>
      </c>
      <c r="HB226" s="625">
        <f>IF(Assumptions!$C$60="Hourly",MAX(0,GX226*(GY226-HA226)),GX226*(GY226-HA226))</f>
        <v>1491697.2216555185</v>
      </c>
      <c r="HC226" s="640">
        <f>IF($A226&gt;=BegDate,Assumptions!$C$56*24*($A227-$A226)*(1-VLOOKUP($B226,MAIN!$AA$7:$AM$28,$C226+1))*(1-VLOOKUP($B226,MAIN!$AA$33:$AM$54,$C226+1)),0)*16/168</f>
        <v>51548.571428571428</v>
      </c>
      <c r="HD226" s="1715">
        <f t="shared" si="681"/>
        <v>30.404002031492787</v>
      </c>
      <c r="HE226" s="1715">
        <f>IF($A226&gt;=BegDate,VLOOKUP($A226,GasTable,13)+Assumptions!$C$58,0)</f>
        <v>3.8017184673297724</v>
      </c>
      <c r="HF226" s="1715">
        <f>HE226*Assumptions!$C$57/1000</f>
        <v>27.562458888140849</v>
      </c>
      <c r="HG226" s="625">
        <f>IF(Assumptions!$C$60="Hourly",MAX(0,HC226*(HD226-HF226)),HC226*(HD226-HF226))</f>
        <v>146477.48969244477</v>
      </c>
      <c r="HH226" s="640">
        <f>IF($A226&gt;=BegDate,Assumptions!$C$56*24*($A227-$A226)*(1-VLOOKUP($B226,MAIN!$AA$7:$AM$28,$C226+1))*(1-VLOOKUP($B226,MAIN!$AA$33:$AM$54,$C226+1)),0)*56/168</f>
        <v>180420</v>
      </c>
      <c r="HI226" s="1715">
        <f t="shared" si="682"/>
        <v>30.404002031492787</v>
      </c>
      <c r="HJ226" s="1715">
        <f>IF($A226&gt;=BegDate,VLOOKUP($A226,GasTable,13)+Assumptions!$C$58,0)</f>
        <v>3.8017184673297724</v>
      </c>
      <c r="HK226" s="1715">
        <f>HJ226*Assumptions!$C$57/1000</f>
        <v>27.562458888140849</v>
      </c>
      <c r="HL226" s="625">
        <f>IF(Assumptions!$C$60="Hourly",MAX(0,HH226*(HI226-HK226)),HH226*(HI226-HK226))</f>
        <v>512671.21392355667</v>
      </c>
      <c r="HM226" s="640">
        <f>IF(AND(Assumptions!$H$71="Yes",A226&gt;=Assumptions!$H$72,A226&lt;=Assumptions!$H$73),Assumptions!$H$74*Assumptions!$C$9*1000,0)</f>
        <v>0</v>
      </c>
      <c r="HN226" s="530"/>
      <c r="HO226" s="545"/>
      <c r="HP226" s="545"/>
      <c r="HQ226" s="545"/>
      <c r="HR226" s="545"/>
      <c r="HS226" s="545"/>
      <c r="HT226" s="545"/>
      <c r="HU226" s="545"/>
      <c r="HV226" s="545"/>
      <c r="HW226" s="545"/>
      <c r="HX226" s="545"/>
      <c r="HY226" s="545"/>
      <c r="HZ226" s="545"/>
      <c r="IA226" s="545"/>
      <c r="IB226" s="545"/>
      <c r="IC226" s="545"/>
      <c r="ID226" s="545"/>
      <c r="IE226" s="545"/>
      <c r="IF226" s="545"/>
      <c r="IG226" s="545"/>
      <c r="IH226" s="545"/>
      <c r="II226" s="1464"/>
      <c r="IJ226" s="1463"/>
      <c r="IK226" s="1463"/>
    </row>
    <row r="227" spans="1:245">
      <c r="A227" s="177">
        <f t="shared" si="637"/>
        <v>43040</v>
      </c>
      <c r="B227" s="349">
        <f t="shared" si="638"/>
        <v>2017</v>
      </c>
      <c r="C227" s="15">
        <f t="shared" si="686"/>
        <v>11</v>
      </c>
      <c r="D227" s="612">
        <f t="shared" si="639"/>
        <v>43062</v>
      </c>
      <c r="E227" s="609">
        <f t="shared" si="687"/>
        <v>43040</v>
      </c>
      <c r="F227" s="614">
        <f t="shared" si="688"/>
        <v>43069</v>
      </c>
      <c r="G227" s="1349">
        <v>0</v>
      </c>
      <c r="H227" s="152">
        <f t="shared" si="683"/>
        <v>1</v>
      </c>
      <c r="I227" s="154">
        <f>IF(Assumptions!$L$25=4,VLOOKUP($A227,'Henwood Reference'!$E$9:$R$320,10),(VLOOKUP($A227,PriceTable,2,0)+IF(BasisNumber&lt;&gt;1,VLOOKUP($A227,BasisTable,2,0),0)+I$1)/(1-I$2))</f>
        <v>58.668015102033792</v>
      </c>
      <c r="J227" s="154">
        <f>IF(Assumptions!$L$25=4,VLOOKUP($A227,'Henwood Reference'!$E$9:$R$320,10),(VLOOKUP($A227,PriceTable,3,0)+IF(BasisNumber&lt;&gt;1,VLOOKUP($A227,BasisTable,2,0),0)+J$1)/(1-J$2))</f>
        <v>58.668015102033792</v>
      </c>
      <c r="K227" s="154">
        <f>IF(Assumptions!$L$25=4,VLOOKUP($A227,'Henwood Reference'!$E$9:$R$320,10),(VLOOKUP($A227,PriceTable,4,0)+IF(BasisNumber&lt;&gt;1,VLOOKUP($A227,BasisTable,2,0),0)+K$1)/(1-K$2))</f>
        <v>58.668015102033792</v>
      </c>
      <c r="L227" s="474">
        <f>IF(Assumptions!$L$25=4,VLOOKUP($A227,'Henwood Reference'!$E$9:$R$320,10),(VLOOKUP($A227,PriceTableWeekend,2,0)+IF(BasisNumber&lt;&gt;1,VLOOKUP($A227,BasisTable,2,0),0)+L$1)/(1-L$2))</f>
        <v>58.668015102033792</v>
      </c>
      <c r="M227" s="154">
        <f>IF(Assumptions!$L$25=4,VLOOKUP($A227,'Henwood Reference'!$E$9:$R$320,10),(VLOOKUP($A227,PriceTableWeekend,3,0)+IF(BasisNumber&lt;&gt;1,VLOOKUP($A227,BasisTable,2,0),0)+M$1)/(1-M$2))</f>
        <v>58.668015102033792</v>
      </c>
      <c r="N227" s="156">
        <f>IF(Assumptions!$L$25=4,VLOOKUP($A227,'Henwood Reference'!$E$9:$R$320,10),(VLOOKUP($A227,PriceTableWeekend,4,0)+IF(BasisNumber&lt;&gt;1,VLOOKUP($A227,BasisTable,2,0),0)+N$1)/(1-N$2))</f>
        <v>58.668015102033792</v>
      </c>
      <c r="O227" s="154">
        <f>IF(Assumptions!$L$25=4,VLOOKUP($A227,'Henwood Reference'!$E$9:$R$320,11),(VLOOKUP($A227,PriceTableWeekend,6,0)+IF(BasisNumber&lt;&gt;1,VLOOKUP($A227,BasisTable,3,0),0)+O$1)/(1-O$2))</f>
        <v>33.405559537673668</v>
      </c>
      <c r="P227" s="154">
        <f>IF(Assumptions!$L$25=4,VLOOKUP($A227,'Henwood Reference'!$E$9:$R$320,11),(VLOOKUP($A227,PriceTableWeekend,7,0)+IF(BasisNumber&lt;&gt;1,VLOOKUP($A227,BasisTable,3,0),0)+P$1)/(1-P$2))</f>
        <v>33.405559537673668</v>
      </c>
      <c r="Q227" s="156">
        <f>IF(Assumptions!$L$25=4,VLOOKUP($A227,'Henwood Reference'!$E$9:$R$320,11),(VLOOKUP($A227,PriceTableWeekend,8,0)+IF(BasisNumber&lt;&gt;1,VLOOKUP($A227,BasisTable,3,0),0)+Q$1)/(1-Q$2))</f>
        <v>33.405559537673668</v>
      </c>
      <c r="R227" s="154">
        <f>IF(Assumptions!$L$25=4,VLOOKUP($A227,'Henwood Reference'!$E$9:$R$320,11),(VLOOKUP($A227,PriceTable,6,0)+IF(BasisNumber&lt;&gt;1,VLOOKUP($A227,BasisTable,3,0),0)+R$1)/(1-R$2))</f>
        <v>33.405559537673668</v>
      </c>
      <c r="S227" s="154">
        <f>IF(Assumptions!$L$25=4,VLOOKUP($A227,'Henwood Reference'!$E$9:$R$320,11),(VLOOKUP($A227,PriceTable,7,0)+IF(BasisNumber&lt;&gt;1,VLOOKUP($A227,BasisTable,3,0),0)+S$1)/(1-S$2))</f>
        <v>33.405559537673668</v>
      </c>
      <c r="T227" s="155">
        <f>IF(Assumptions!$L$25=4,VLOOKUP($A227,'Henwood Reference'!$E$9:$R$320,11),(VLOOKUP($A227,PriceTable,8,0)+IF(BasisNumber&lt;&gt;1,VLOOKUP($A227,BasisTable,3,0),0)+T$1)/(1-T$2))</f>
        <v>33.405559537673668</v>
      </c>
      <c r="U227" s="173">
        <f t="shared" si="640"/>
        <v>0.09</v>
      </c>
      <c r="V227" s="173">
        <f t="shared" si="641"/>
        <v>0.1</v>
      </c>
      <c r="W227" s="174">
        <f t="shared" si="642"/>
        <v>0.11</v>
      </c>
      <c r="X227" s="173">
        <f t="shared" si="643"/>
        <v>0.09</v>
      </c>
      <c r="Y227" s="173">
        <f t="shared" si="644"/>
        <v>0.1</v>
      </c>
      <c r="Z227" s="174">
        <f t="shared" si="645"/>
        <v>0.11</v>
      </c>
      <c r="AA227" s="173">
        <f t="shared" si="646"/>
        <v>0.09</v>
      </c>
      <c r="AB227" s="173">
        <f t="shared" si="647"/>
        <v>0.11</v>
      </c>
      <c r="AC227" s="174">
        <f t="shared" si="648"/>
        <v>0.13</v>
      </c>
      <c r="AD227" s="173">
        <f t="shared" si="649"/>
        <v>0.09</v>
      </c>
      <c r="AE227" s="173">
        <f t="shared" si="650"/>
        <v>0.11</v>
      </c>
      <c r="AF227" s="174">
        <f t="shared" si="651"/>
        <v>0.13</v>
      </c>
      <c r="AG227" s="173">
        <f t="shared" si="652"/>
        <v>-0.1</v>
      </c>
      <c r="AH227" s="173">
        <f t="shared" si="653"/>
        <v>0.6</v>
      </c>
      <c r="AI227" s="174">
        <f t="shared" si="654"/>
        <v>0.1</v>
      </c>
      <c r="AJ227" s="173">
        <f t="shared" si="655"/>
        <v>-0.1</v>
      </c>
      <c r="AK227" s="173">
        <f t="shared" si="656"/>
        <v>0.6</v>
      </c>
      <c r="AL227" s="174">
        <f t="shared" si="657"/>
        <v>0.1</v>
      </c>
      <c r="AM227" s="173">
        <f t="shared" si="658"/>
        <v>-0.01</v>
      </c>
      <c r="AN227" s="173">
        <f t="shared" si="659"/>
        <v>0.16</v>
      </c>
      <c r="AO227" s="174">
        <f t="shared" si="660"/>
        <v>0.01</v>
      </c>
      <c r="AP227" s="173">
        <f t="shared" si="661"/>
        <v>-0.01</v>
      </c>
      <c r="AQ227" s="173">
        <f t="shared" si="662"/>
        <v>0.16</v>
      </c>
      <c r="AR227" s="175">
        <f t="shared" si="663"/>
        <v>0.01</v>
      </c>
      <c r="AS227" s="521">
        <f t="shared" si="691"/>
        <v>0.5</v>
      </c>
      <c r="AT227" s="349">
        <f t="shared" si="689"/>
        <v>21</v>
      </c>
      <c r="AU227" s="159">
        <f t="shared" si="582"/>
        <v>4</v>
      </c>
      <c r="AV227" s="159">
        <f t="shared" si="583"/>
        <v>4</v>
      </c>
      <c r="AW227" s="159">
        <f t="shared" si="692"/>
        <v>1</v>
      </c>
      <c r="AX227" s="15">
        <f t="shared" si="690"/>
        <v>30</v>
      </c>
      <c r="AY227" s="607">
        <f>IF(E227="",0,MIN((1-(1-VLOOKUP(B227,MAIN!$AA$7:$AM$28,C227+1))*(1-VLOOKUP(B227,MAIN!$AA$33:$AM$54,C227+1))),1))</f>
        <v>3.0000000000000027E-2</v>
      </c>
      <c r="AZ227" s="337">
        <v>48888</v>
      </c>
      <c r="BA227" s="509">
        <v>9312</v>
      </c>
      <c r="BB227" s="509">
        <v>11640</v>
      </c>
      <c r="BC227" s="511">
        <v>34920</v>
      </c>
      <c r="BD227" s="153">
        <v>0.97</v>
      </c>
      <c r="BE227" s="474">
        <v>0.97</v>
      </c>
      <c r="BF227" s="474">
        <v>0.97</v>
      </c>
      <c r="BG227" s="515">
        <v>0.9699999927729368</v>
      </c>
      <c r="BH227" s="262">
        <v>195552</v>
      </c>
      <c r="BI227" s="509">
        <v>37248</v>
      </c>
      <c r="BJ227" s="509">
        <v>46560</v>
      </c>
      <c r="BK227" s="511">
        <v>139680</v>
      </c>
      <c r="BL227" s="153">
        <v>0.97</v>
      </c>
      <c r="BM227" s="474">
        <v>0.97</v>
      </c>
      <c r="BN227" s="474">
        <v>0.97</v>
      </c>
      <c r="BO227" s="474">
        <v>0.9699999927729368</v>
      </c>
      <c r="BP227" s="261">
        <f t="shared" si="666"/>
        <v>69840</v>
      </c>
      <c r="BQ227" s="578">
        <f t="shared" si="667"/>
        <v>104760</v>
      </c>
      <c r="BR227" s="259">
        <f t="shared" si="668"/>
        <v>279360</v>
      </c>
      <c r="BS227" s="578">
        <f t="shared" si="669"/>
        <v>419040</v>
      </c>
      <c r="BT227" s="216">
        <f t="shared" si="670"/>
        <v>17.54962354551677</v>
      </c>
      <c r="BU227" s="218">
        <f t="shared" si="585"/>
        <v>58.668015102033792</v>
      </c>
      <c r="BV227" s="216">
        <f t="shared" si="586"/>
        <v>58.668015102033792</v>
      </c>
      <c r="BW227" s="216">
        <f t="shared" si="587"/>
        <v>33.405559537673668</v>
      </c>
      <c r="BX227" s="216">
        <f t="shared" si="671"/>
        <v>33.405559288782854</v>
      </c>
      <c r="BY227" s="216">
        <f t="shared" si="588"/>
        <v>54.457605841307107</v>
      </c>
      <c r="BZ227" s="216">
        <f t="shared" si="589"/>
        <v>47.440256990465691</v>
      </c>
      <c r="CA227" s="264">
        <f t="shared" si="590"/>
        <v>58.668015102033792</v>
      </c>
      <c r="CB227" s="216">
        <f t="shared" si="591"/>
        <v>58.668015102033792</v>
      </c>
      <c r="CC227" s="216">
        <f t="shared" si="592"/>
        <v>33.405559537673668</v>
      </c>
      <c r="CD227" s="216">
        <f t="shared" si="672"/>
        <v>33.405559288782854</v>
      </c>
      <c r="CE227" s="216">
        <f t="shared" si="593"/>
        <v>54.457605841307107</v>
      </c>
      <c r="CF227" s="571">
        <f t="shared" si="594"/>
        <v>47.440256990465691</v>
      </c>
      <c r="CG227" s="573">
        <f t="shared" si="595"/>
        <v>0.1</v>
      </c>
      <c r="CH227" s="219">
        <f t="shared" si="596"/>
        <v>0.1</v>
      </c>
      <c r="CI227" s="219">
        <f t="shared" si="597"/>
        <v>0.11</v>
      </c>
      <c r="CJ227" s="219">
        <f t="shared" si="598"/>
        <v>0.10103055141191417</v>
      </c>
      <c r="CK227" s="219">
        <f t="shared" si="599"/>
        <v>0.10103055141191417</v>
      </c>
      <c r="CL227" s="219">
        <f t="shared" si="600"/>
        <v>0.11</v>
      </c>
      <c r="CM227" s="219">
        <f t="shared" si="601"/>
        <v>9.3213786866671922E-2</v>
      </c>
      <c r="CN227" s="569">
        <f t="shared" si="602"/>
        <v>9.3213786866671922E-2</v>
      </c>
      <c r="CO227" s="264">
        <f t="shared" si="685"/>
        <v>28.180859840179984</v>
      </c>
      <c r="CP227" s="216">
        <f t="shared" si="673"/>
        <v>28.180859840179984</v>
      </c>
      <c r="CQ227" s="216">
        <f t="shared" ca="1" si="532"/>
        <v>28.180859840179984</v>
      </c>
      <c r="CR227" s="216">
        <f t="shared" ca="1" si="533"/>
        <v>28.180859840179984</v>
      </c>
      <c r="CS227" s="1626">
        <f t="shared" ca="1" si="534"/>
        <v>28.180859840179984</v>
      </c>
      <c r="CT227" s="216">
        <f t="shared" si="674"/>
        <v>28.180859840179984</v>
      </c>
      <c r="CU227" s="575">
        <f t="shared" si="603"/>
        <v>0.151</v>
      </c>
      <c r="CV227" s="154">
        <f t="shared" si="604"/>
        <v>0.5</v>
      </c>
      <c r="CW227" s="216">
        <f>IF(OR($BQ227,$BS227),SpreadOptPowerMargin,0)*((1+Assumptions!$C$26)^($B227-YEAR(Assumptions!$C$17)))</f>
        <v>2.37506177351317</v>
      </c>
      <c r="CX227" s="216">
        <f>IF(OR($BQ227,$BS227),SpreadOptPowerMargin,0)*((1+Assumptions!$C$26)^($B227-YEAR(Assumptions!$C$17)))</f>
        <v>2.37506177351317</v>
      </c>
      <c r="CY227" s="216">
        <f>IF(OR($BQ227,$BS227),SpreadOptPowerMargin,0)*((1+Assumptions!$C$26)^($B227-YEAR(Assumptions!$C$17)))</f>
        <v>2.37506177351317</v>
      </c>
      <c r="CZ227" s="216">
        <f>IF(OR($BQ227,$BS227),SpreadOptPowerMargin,0)*((1+Assumptions!$C$26)^($B227-YEAR(Assumptions!$C$17)))</f>
        <v>2.37506177351317</v>
      </c>
      <c r="DA227" s="440">
        <f t="shared" si="605"/>
        <v>2.37506177351317</v>
      </c>
      <c r="DB227" s="479">
        <f t="shared" si="606"/>
        <v>0.1</v>
      </c>
      <c r="DC227" s="479">
        <f t="shared" si="607"/>
        <v>0.1</v>
      </c>
      <c r="DD227" s="479">
        <f t="shared" si="608"/>
        <v>0.11</v>
      </c>
      <c r="DE227" s="479">
        <f t="shared" si="609"/>
        <v>0.11</v>
      </c>
      <c r="DF227" s="479">
        <f t="shared" si="610"/>
        <v>9.3213786866671922E-2</v>
      </c>
      <c r="DG227" s="574">
        <f t="shared" si="611"/>
        <v>9.3213786866671922E-2</v>
      </c>
      <c r="DH227" s="216">
        <f t="shared" si="612"/>
        <v>29.252797255068764</v>
      </c>
      <c r="DI227" s="216">
        <f t="shared" si="613"/>
        <v>29.252797255068764</v>
      </c>
      <c r="DJ227" s="216">
        <f t="shared" ca="1" si="535"/>
        <v>8.2378555441740158</v>
      </c>
      <c r="DK227" s="216">
        <f t="shared" ca="1" si="536"/>
        <v>8.2378553769264489</v>
      </c>
      <c r="DL227" s="216">
        <f t="shared" ca="1" si="537"/>
        <v>19.036460421999767</v>
      </c>
      <c r="DM227" s="216"/>
      <c r="DN227" s="216"/>
      <c r="DO227" s="216"/>
      <c r="DP227" s="216"/>
      <c r="DQ227" s="216"/>
      <c r="DR227" s="216"/>
      <c r="DS227" s="216"/>
      <c r="DT227" s="216"/>
      <c r="DU227" s="216"/>
      <c r="DV227" s="216"/>
      <c r="DW227" s="1371">
        <f t="shared" si="614"/>
        <v>8.2378555441740158</v>
      </c>
      <c r="DX227" s="216">
        <f t="shared" si="615"/>
        <v>8.2378553769264489</v>
      </c>
      <c r="DY227" s="440">
        <f t="shared" si="616"/>
        <v>19.912823105588576</v>
      </c>
      <c r="DZ227" s="180">
        <f t="shared" si="617"/>
        <v>1430110.7522058017</v>
      </c>
      <c r="EA227" s="180">
        <f t="shared" si="618"/>
        <v>272402.04803920031</v>
      </c>
      <c r="EB227" s="180">
        <f t="shared" ca="1" si="538"/>
        <v>95888.638534185549</v>
      </c>
      <c r="EC227" s="180">
        <f t="shared" ca="1" si="539"/>
        <v>287665.90976227162</v>
      </c>
      <c r="ED227" s="180">
        <f t="shared" ca="1" si="540"/>
        <v>1994259.5938086954</v>
      </c>
      <c r="EE227" s="581">
        <f t="shared" si="619"/>
        <v>1374344.026457997</v>
      </c>
      <c r="EF227" s="554">
        <f t="shared" si="620"/>
        <v>261779.81456342802</v>
      </c>
      <c r="EG227" s="554">
        <f t="shared" ca="1" si="541"/>
        <v>33169.78543513317</v>
      </c>
      <c r="EH227" s="554">
        <f t="shared" ca="1" si="542"/>
        <v>99509.34761413229</v>
      </c>
      <c r="EI227" s="561">
        <f t="shared" ca="1" si="621"/>
        <v>1768802.974070691</v>
      </c>
      <c r="EJ227" s="581">
        <f t="shared" si="675"/>
        <v>55766.725747804623</v>
      </c>
      <c r="EK227" s="554">
        <f t="shared" si="676"/>
        <v>10622.233475772286</v>
      </c>
      <c r="EL227" s="554">
        <f t="shared" ca="1" si="543"/>
        <v>62718.85309905238</v>
      </c>
      <c r="EM227" s="554">
        <f t="shared" ca="1" si="544"/>
        <v>188156.56214813935</v>
      </c>
      <c r="EN227" s="561">
        <f t="shared" ca="1" si="545"/>
        <v>225456.6197380044</v>
      </c>
      <c r="EO227" s="180">
        <f t="shared" si="622"/>
        <v>5720443.0088232066</v>
      </c>
      <c r="EP227" s="180">
        <f t="shared" si="623"/>
        <v>1089608.1921568012</v>
      </c>
      <c r="EQ227" s="180">
        <f t="shared" si="624"/>
        <v>383554.5541367422</v>
      </c>
      <c r="ER227" s="180">
        <f t="shared" si="625"/>
        <v>1150663.6390490865</v>
      </c>
      <c r="ES227" s="180">
        <f t="shared" si="626"/>
        <v>8344269.3941658363</v>
      </c>
      <c r="ET227" s="1482">
        <f t="shared" ca="1" si="546"/>
        <v>5497376.1058319882</v>
      </c>
      <c r="EU227" s="180">
        <f t="shared" ca="1" si="547"/>
        <v>1047119.2582537121</v>
      </c>
      <c r="EV227" s="180">
        <f t="shared" ca="1" si="548"/>
        <v>132679.14174053268</v>
      </c>
      <c r="EW227" s="180">
        <f t="shared" ca="1" si="549"/>
        <v>398037.39045652916</v>
      </c>
      <c r="EX227" s="555">
        <f t="shared" ca="1" si="522"/>
        <v>7075211.8962827623</v>
      </c>
      <c r="EY227" s="180">
        <f t="shared" ca="1" si="550"/>
        <v>223066.90299121849</v>
      </c>
      <c r="EZ227" s="180">
        <f t="shared" ca="1" si="551"/>
        <v>42488.933903089142</v>
      </c>
      <c r="FA227" s="180">
        <f t="shared" ca="1" si="552"/>
        <v>250875.41239620952</v>
      </c>
      <c r="FB227" s="180">
        <f t="shared" ca="1" si="553"/>
        <v>752626.24859255739</v>
      </c>
      <c r="FC227" s="180">
        <f t="shared" ca="1" si="554"/>
        <v>1269057.497883074</v>
      </c>
      <c r="FD227" s="262">
        <f>IF(AX227,IF(VLOOKUP(C227,MAIN!$L$17:$M$28,2)="Yes",VLOOKUP(CALC!B227,MAIN!$H$17:$I$20,2),0),0)</f>
        <v>0</v>
      </c>
      <c r="FE227" s="623">
        <f t="shared" si="627"/>
        <v>0</v>
      </c>
      <c r="FF227" s="535">
        <f t="shared" si="628"/>
        <v>0</v>
      </c>
      <c r="FG227" s="535">
        <f t="shared" si="629"/>
        <v>0</v>
      </c>
      <c r="FH227" s="624">
        <f t="shared" si="630"/>
        <v>0</v>
      </c>
      <c r="FI227" s="632">
        <f>IF(AX227,VLOOKUP(CALC!B227,MAIN!$H$17:$K$20,4),0)</f>
        <v>0</v>
      </c>
      <c r="FJ227" s="535">
        <f t="shared" si="631"/>
        <v>0</v>
      </c>
      <c r="FK227" s="648">
        <f t="shared" si="677"/>
        <v>0</v>
      </c>
      <c r="FL227" s="530">
        <f t="shared" ca="1" si="555"/>
        <v>0</v>
      </c>
      <c r="FM227" s="530">
        <f t="shared" ca="1" si="556"/>
        <v>0</v>
      </c>
      <c r="FN227" s="530">
        <f t="shared" ca="1" si="557"/>
        <v>0</v>
      </c>
      <c r="FO227" s="622">
        <f t="shared" ca="1" si="558"/>
        <v>0</v>
      </c>
      <c r="FP227" s="530">
        <f t="shared" ca="1" si="559"/>
        <v>0</v>
      </c>
      <c r="FQ227" s="530">
        <f t="shared" ca="1" si="560"/>
        <v>0</v>
      </c>
      <c r="FR227" s="530">
        <f t="shared" ca="1" si="561"/>
        <v>0</v>
      </c>
      <c r="FS227" s="625">
        <f t="shared" ca="1" si="562"/>
        <v>0</v>
      </c>
      <c r="FT227" s="640">
        <f ca="1">IF(AND(Assumptions!$H$71="Yes",A227&gt;=Assumptions!$H$72,A227&lt;=Assumptions!$H$73),0,IF(AND($A227&gt;=Assumptions!$C$17,$A227&lt;=Assumptions!$C$18),MAX(AZ227*(1+VLOOKUP($C227,WeatherCapacityAdjustment,2))-FL227,0),0))</f>
        <v>48888</v>
      </c>
      <c r="FU227" s="530">
        <f ca="1">IF(AND(Assumptions!$H$71="Yes",A227&gt;=Assumptions!$H$72,A227&lt;=Assumptions!$H$73),0,IF(AND($A227&gt;=Assumptions!$C$17,$A227&lt;=Assumptions!$C$18),MAX(BA227*(1+VLOOKUP($C227,WeatherCapacityAdjustment,2))-FM227,0),0))</f>
        <v>9312</v>
      </c>
      <c r="FV227" s="530">
        <f ca="1">IF(AND(Assumptions!$H$71="Yes",A227&gt;=Assumptions!$H$72,A227&lt;=Assumptions!$H$73),0,IF(AND($A227&gt;=Assumptions!$C$17,$A227&lt;=Assumptions!$C$18),MAX(BB227*(1+VLOOKUP($C227,WeatherCapacityAdjustment,2))-FN227,0),0))</f>
        <v>11640</v>
      </c>
      <c r="FW227" s="622">
        <f ca="1">IF(AND(Assumptions!$H$71="Yes",A227&gt;=Assumptions!$H$72,A227&lt;=Assumptions!$H$73),0,IF(AND($A227&gt;=Assumptions!$C$17,$A227&lt;=Assumptions!$C$18),MAX(BC227*(1+VLOOKUP($C227,WeatherCapacityAdjustment,3))-FO227,0),0))</f>
        <v>34920</v>
      </c>
      <c r="FX227" s="621">
        <f ca="1">IF(AND(Assumptions!$H$71="Yes",A227&gt;=Assumptions!$H$72,A227&lt;=Assumptions!$H$73),0,IF(ET227&gt;0,MAX(BH227*(1+VLOOKUP($C227,WeatherCapacityAdjustment,2))-FP227,0),0))</f>
        <v>195552</v>
      </c>
      <c r="FY227" s="530">
        <f ca="1">IF(AND(Assumptions!$H$71="Yes",A227&gt;=Assumptions!$H$72,A227&lt;=Assumptions!$H$73),0,IF(EU227&gt;0,MAX(BI227*(1+VLOOKUP($C227,WeatherCapacityAdjustment,3))-FQ227,0),0))</f>
        <v>37248</v>
      </c>
      <c r="FZ227" s="530">
        <f ca="1">IF(AND(Assumptions!$H$71="Yes",A227&gt;=Assumptions!$H$72,A227&lt;=Assumptions!$H$73),0,IF(EV227&gt;0,MAX(BJ227*(1+VLOOKUP($C227,WeatherCapacityAdjustment,2))-FR227,0),0))</f>
        <v>46560</v>
      </c>
      <c r="GA227" s="622">
        <f ca="1">IF(AND(Assumptions!$H$71="Yes",A227&gt;=Assumptions!$H$72,A227&lt;=Assumptions!$H$73),0,IF(EW227&gt;0,MAX(BK227*(1+VLOOKUP($C227,WeatherCapacityAdjustment,2))-FS227,0),0))</f>
        <v>139680</v>
      </c>
      <c r="GB227" s="530">
        <f t="shared" ca="1" si="632"/>
        <v>523800</v>
      </c>
      <c r="GC227" s="545">
        <f t="shared" ca="1" si="633"/>
        <v>47.440256990465691</v>
      </c>
      <c r="GD227" s="530">
        <f t="shared" ca="1" si="563"/>
        <v>24849206.611605927</v>
      </c>
      <c r="GE227" s="1485">
        <f t="shared" ca="1" si="564"/>
        <v>746534.4264</v>
      </c>
      <c r="GF227" s="1776">
        <f t="shared" ca="1" si="565"/>
        <v>2986137.7056</v>
      </c>
      <c r="GG227" s="545">
        <f t="shared" si="530"/>
        <v>3.9545756665151099</v>
      </c>
      <c r="GH227" s="622">
        <f t="shared" ca="1" si="531"/>
        <v>14761134.384286277</v>
      </c>
      <c r="GI227" s="621">
        <f t="shared" ca="1" si="678"/>
        <v>523800</v>
      </c>
      <c r="GJ227" s="638">
        <f t="shared" si="634"/>
        <v>2.37506177351317</v>
      </c>
      <c r="GK227" s="625">
        <f t="shared" ca="1" si="684"/>
        <v>1244057.3569661984</v>
      </c>
      <c r="GL227" s="640">
        <f t="shared" ca="1" si="566"/>
        <v>0</v>
      </c>
      <c r="GM227" s="530">
        <f t="shared" ca="1" si="567"/>
        <v>0</v>
      </c>
      <c r="GN227" s="530">
        <f t="shared" ca="1" si="568"/>
        <v>0</v>
      </c>
      <c r="GO227" s="622">
        <f t="shared" ca="1" si="569"/>
        <v>0</v>
      </c>
      <c r="GP227" s="530">
        <f t="shared" ca="1" si="635"/>
        <v>0</v>
      </c>
      <c r="GQ227" s="545">
        <f t="shared" ca="1" si="636"/>
        <v>0</v>
      </c>
      <c r="GR227" s="625">
        <f t="shared" ca="1" si="570"/>
        <v>0</v>
      </c>
      <c r="GS227" s="640">
        <f>IF($A227&gt;=BegDate,Assumptions!$C$56*24*($A228-$A227)*(1-VLOOKUP($B227,MAIN!$AA$7:$AM$28,$C227+1))*(1-VLOOKUP($B227,MAIN!$AA$33:$AM$54,$C227+1)),0)*80/168</f>
        <v>249428.57142857142</v>
      </c>
      <c r="GT227" s="1715">
        <f t="shared" si="679"/>
        <v>58.668015102033792</v>
      </c>
      <c r="GU227" s="1715">
        <f>IF($A227&gt;=BegDate,VLOOKUP($A227,GasTable,13)+Assumptions!$C$58,0)</f>
        <v>3.9545756665151099</v>
      </c>
      <c r="GV227" s="1715">
        <f>GU227*Assumptions!$C$57/1000</f>
        <v>28.670673582234546</v>
      </c>
      <c r="GW227" s="625">
        <f>IF(Assumptions!$C$60="Hourly",MAX(0,GS227*(GT227-GV227)),GS227*(GT227-GV227))</f>
        <v>7482194.0419384977</v>
      </c>
      <c r="GX227" s="640">
        <f>IF($A227&gt;=BegDate,Assumptions!$C$56*24*($A228-$A227)*(1-VLOOKUP($B227,MAIN!$AA$7:$AM$28,$C227+1))*(1-VLOOKUP($B227,MAIN!$AA$33:$AM$54,$C227+1)),0)*16/168</f>
        <v>49885.714285714283</v>
      </c>
      <c r="GY227" s="1715">
        <f t="shared" si="680"/>
        <v>58.668015102033792</v>
      </c>
      <c r="GZ227" s="1715">
        <f>IF($A227&gt;=BegDate,VLOOKUP($A227,GasTable,13)+Assumptions!$C$58,0)</f>
        <v>3.9545756665151099</v>
      </c>
      <c r="HA227" s="1715">
        <f>GZ227*Assumptions!$C$57/1000</f>
        <v>28.670673582234546</v>
      </c>
      <c r="HB227" s="625">
        <f>IF(Assumptions!$C$60="Hourly",MAX(0,GX227*(GY227-HA227)),GX227*(GY227-HA227))</f>
        <v>1496438.8083876995</v>
      </c>
      <c r="HC227" s="640">
        <f>IF($A227&gt;=BegDate,Assumptions!$C$56*24*($A228-$A227)*(1-VLOOKUP($B227,MAIN!$AA$7:$AM$28,$C227+1))*(1-VLOOKUP($B227,MAIN!$AA$33:$AM$54,$C227+1)),0)*16/168</f>
        <v>49885.714285714283</v>
      </c>
      <c r="HD227" s="1715">
        <f t="shared" si="681"/>
        <v>33.405559537673668</v>
      </c>
      <c r="HE227" s="1715">
        <f>IF($A227&gt;=BegDate,VLOOKUP($A227,GasTable,13)+Assumptions!$C$58,0)</f>
        <v>3.9545756665151099</v>
      </c>
      <c r="HF227" s="1715">
        <f>HE227*Assumptions!$C$57/1000</f>
        <v>28.670673582234546</v>
      </c>
      <c r="HG227" s="625">
        <f>IF(Assumptions!$C$60="Hourly",MAX(0,HC227*(HD227-HF227)),HC227*(HD227-HF227))</f>
        <v>236203.16794847732</v>
      </c>
      <c r="HH227" s="640">
        <f>IF($A227&gt;=BegDate,Assumptions!$C$56*24*($A228-$A227)*(1-VLOOKUP($B227,MAIN!$AA$7:$AM$28,$C227+1))*(1-VLOOKUP($B227,MAIN!$AA$33:$AM$54,$C227+1)),0)*56/168</f>
        <v>174600</v>
      </c>
      <c r="HI227" s="1715">
        <f t="shared" si="682"/>
        <v>33.405559537673668</v>
      </c>
      <c r="HJ227" s="1715">
        <f>IF($A227&gt;=BegDate,VLOOKUP($A227,GasTable,13)+Assumptions!$C$58,0)</f>
        <v>3.9545756665151099</v>
      </c>
      <c r="HK227" s="1715">
        <f>HJ227*Assumptions!$C$57/1000</f>
        <v>28.670673582234546</v>
      </c>
      <c r="HL227" s="625">
        <f>IF(Assumptions!$C$60="Hourly",MAX(0,HH227*(HI227-HK227)),HH227*(HI227-HK227))</f>
        <v>826711.08781967068</v>
      </c>
      <c r="HM227" s="640">
        <f>IF(AND(Assumptions!$H$71="Yes",A227&gt;=Assumptions!$H$72,A227&lt;=Assumptions!$H$73),Assumptions!$H$74*Assumptions!$C$9*1000,0)</f>
        <v>0</v>
      </c>
      <c r="HN227" s="530"/>
      <c r="HO227" s="545"/>
      <c r="HP227" s="545"/>
      <c r="HQ227" s="545"/>
      <c r="HR227" s="545"/>
      <c r="HS227" s="545"/>
      <c r="HT227" s="545"/>
      <c r="HU227" s="545"/>
      <c r="HV227" s="545"/>
      <c r="HW227" s="545"/>
      <c r="HX227" s="545"/>
      <c r="HY227" s="545"/>
      <c r="HZ227" s="545"/>
      <c r="IA227" s="545"/>
      <c r="IB227" s="545"/>
      <c r="IC227" s="545"/>
      <c r="ID227" s="545"/>
      <c r="IE227" s="545"/>
      <c r="IF227" s="545"/>
      <c r="IG227" s="545"/>
      <c r="IH227" s="545"/>
      <c r="II227" s="1464"/>
      <c r="IJ227" s="1463"/>
      <c r="IK227" s="1463"/>
    </row>
    <row r="228" spans="1:245">
      <c r="A228" s="177">
        <f t="shared" si="637"/>
        <v>43070</v>
      </c>
      <c r="B228" s="349">
        <f t="shared" si="638"/>
        <v>2017</v>
      </c>
      <c r="C228" s="15">
        <f t="shared" si="686"/>
        <v>12</v>
      </c>
      <c r="D228" s="612">
        <f t="shared" si="639"/>
        <v>43094</v>
      </c>
      <c r="E228" s="609">
        <f t="shared" si="687"/>
        <v>43070</v>
      </c>
      <c r="F228" s="614">
        <f t="shared" si="688"/>
        <v>43100</v>
      </c>
      <c r="G228" s="1349">
        <v>0</v>
      </c>
      <c r="H228" s="152">
        <f t="shared" si="683"/>
        <v>1</v>
      </c>
      <c r="I228" s="154">
        <f>IF(Assumptions!$L$25=4,VLOOKUP($A228,'Henwood Reference'!$E$9:$R$320,10),(VLOOKUP($A228,PriceTable,2,0)+IF(BasisNumber&lt;&gt;1,VLOOKUP($A228,BasisTable,2,0),0)+I$1)/(1-I$2))</f>
        <v>57.942409998608277</v>
      </c>
      <c r="J228" s="154">
        <f>IF(Assumptions!$L$25=4,VLOOKUP($A228,'Henwood Reference'!$E$9:$R$320,10),(VLOOKUP($A228,PriceTable,3,0)+IF(BasisNumber&lt;&gt;1,VLOOKUP($A228,BasisTable,2,0),0)+J$1)/(1-J$2))</f>
        <v>57.942409998608277</v>
      </c>
      <c r="K228" s="154">
        <f>IF(Assumptions!$L$25=4,VLOOKUP($A228,'Henwood Reference'!$E$9:$R$320,10),(VLOOKUP($A228,PriceTable,4,0)+IF(BasisNumber&lt;&gt;1,VLOOKUP($A228,BasisTable,2,0),0)+K$1)/(1-K$2))</f>
        <v>57.942409998608277</v>
      </c>
      <c r="L228" s="474">
        <f>IF(Assumptions!$L$25=4,VLOOKUP($A228,'Henwood Reference'!$E$9:$R$320,10),(VLOOKUP($A228,PriceTableWeekend,2,0)+IF(BasisNumber&lt;&gt;1,VLOOKUP($A228,BasisTable,2,0),0)+L$1)/(1-L$2))</f>
        <v>57.942409998608277</v>
      </c>
      <c r="M228" s="154">
        <f>IF(Assumptions!$L$25=4,VLOOKUP($A228,'Henwood Reference'!$E$9:$R$320,10),(VLOOKUP($A228,PriceTableWeekend,3,0)+IF(BasisNumber&lt;&gt;1,VLOOKUP($A228,BasisTable,2,0),0)+M$1)/(1-M$2))</f>
        <v>57.942409998608277</v>
      </c>
      <c r="N228" s="156">
        <f>IF(Assumptions!$L$25=4,VLOOKUP($A228,'Henwood Reference'!$E$9:$R$320,10),(VLOOKUP($A228,PriceTableWeekend,4,0)+IF(BasisNumber&lt;&gt;1,VLOOKUP($A228,BasisTable,2,0),0)+N$1)/(1-N$2))</f>
        <v>57.942409998608277</v>
      </c>
      <c r="O228" s="154">
        <f>IF(Assumptions!$L$25=4,VLOOKUP($A228,'Henwood Reference'!$E$9:$R$320,11),(VLOOKUP($A228,PriceTableWeekend,6,0)+IF(BasisNumber&lt;&gt;1,VLOOKUP($A228,BasisTable,3,0),0)+O$1)/(1-O$2))</f>
        <v>35.459853723770877</v>
      </c>
      <c r="P228" s="154">
        <f>IF(Assumptions!$L$25=4,VLOOKUP($A228,'Henwood Reference'!$E$9:$R$320,11),(VLOOKUP($A228,PriceTableWeekend,7,0)+IF(BasisNumber&lt;&gt;1,VLOOKUP($A228,BasisTable,3,0),0)+P$1)/(1-P$2))</f>
        <v>35.459853723770877</v>
      </c>
      <c r="Q228" s="156">
        <f>IF(Assumptions!$L$25=4,VLOOKUP($A228,'Henwood Reference'!$E$9:$R$320,11),(VLOOKUP($A228,PriceTableWeekend,8,0)+IF(BasisNumber&lt;&gt;1,VLOOKUP($A228,BasisTable,3,0),0)+Q$1)/(1-Q$2))</f>
        <v>35.459853723770877</v>
      </c>
      <c r="R228" s="154">
        <f>IF(Assumptions!$L$25=4,VLOOKUP($A228,'Henwood Reference'!$E$9:$R$320,11),(VLOOKUP($A228,PriceTable,6,0)+IF(BasisNumber&lt;&gt;1,VLOOKUP($A228,BasisTable,3,0),0)+R$1)/(1-R$2))</f>
        <v>35.459853723770877</v>
      </c>
      <c r="S228" s="154">
        <f>IF(Assumptions!$L$25=4,VLOOKUP($A228,'Henwood Reference'!$E$9:$R$320,11),(VLOOKUP($A228,PriceTable,7,0)+IF(BasisNumber&lt;&gt;1,VLOOKUP($A228,BasisTable,3,0),0)+S$1)/(1-S$2))</f>
        <v>35.459853723770877</v>
      </c>
      <c r="T228" s="155">
        <f>IF(Assumptions!$L$25=4,VLOOKUP($A228,'Henwood Reference'!$E$9:$R$320,11),(VLOOKUP($A228,PriceTable,8,0)+IF(BasisNumber&lt;&gt;1,VLOOKUP($A228,BasisTable,3,0),0)+T$1)/(1-T$2))</f>
        <v>35.459853723770877</v>
      </c>
      <c r="U228" s="173">
        <f t="shared" si="640"/>
        <v>0.09</v>
      </c>
      <c r="V228" s="173">
        <f t="shared" si="641"/>
        <v>0.1</v>
      </c>
      <c r="W228" s="174">
        <f t="shared" si="642"/>
        <v>0.11</v>
      </c>
      <c r="X228" s="173">
        <f t="shared" si="643"/>
        <v>0.09</v>
      </c>
      <c r="Y228" s="173">
        <f t="shared" si="644"/>
        <v>0.1</v>
      </c>
      <c r="Z228" s="174">
        <f t="shared" si="645"/>
        <v>0.11</v>
      </c>
      <c r="AA228" s="173">
        <f t="shared" si="646"/>
        <v>0.09</v>
      </c>
      <c r="AB228" s="173">
        <f t="shared" si="647"/>
        <v>0.11</v>
      </c>
      <c r="AC228" s="174">
        <f t="shared" si="648"/>
        <v>0.13</v>
      </c>
      <c r="AD228" s="173">
        <f t="shared" si="649"/>
        <v>0.09</v>
      </c>
      <c r="AE228" s="173">
        <f t="shared" si="650"/>
        <v>0.11</v>
      </c>
      <c r="AF228" s="174">
        <f t="shared" si="651"/>
        <v>0.13</v>
      </c>
      <c r="AG228" s="173">
        <f t="shared" si="652"/>
        <v>-0.25</v>
      </c>
      <c r="AH228" s="173">
        <f t="shared" si="653"/>
        <v>0.6</v>
      </c>
      <c r="AI228" s="174">
        <f t="shared" si="654"/>
        <v>0.25</v>
      </c>
      <c r="AJ228" s="173">
        <f t="shared" si="655"/>
        <v>-0.25</v>
      </c>
      <c r="AK228" s="173">
        <f t="shared" si="656"/>
        <v>0.6</v>
      </c>
      <c r="AL228" s="174">
        <f t="shared" si="657"/>
        <v>0.25</v>
      </c>
      <c r="AM228" s="173">
        <f t="shared" si="658"/>
        <v>-0.01</v>
      </c>
      <c r="AN228" s="173">
        <f t="shared" si="659"/>
        <v>0.16</v>
      </c>
      <c r="AO228" s="174">
        <f t="shared" si="660"/>
        <v>0.01</v>
      </c>
      <c r="AP228" s="173">
        <f t="shared" si="661"/>
        <v>-0.01</v>
      </c>
      <c r="AQ228" s="173">
        <f t="shared" si="662"/>
        <v>0.16</v>
      </c>
      <c r="AR228" s="175">
        <f t="shared" si="663"/>
        <v>0.01</v>
      </c>
      <c r="AS228" s="521">
        <f t="shared" si="691"/>
        <v>0.5</v>
      </c>
      <c r="AT228" s="349">
        <f t="shared" si="689"/>
        <v>20</v>
      </c>
      <c r="AU228" s="159">
        <f t="shared" si="582"/>
        <v>5</v>
      </c>
      <c r="AV228" s="159">
        <f t="shared" si="583"/>
        <v>5</v>
      </c>
      <c r="AW228" s="159">
        <f t="shared" si="692"/>
        <v>1</v>
      </c>
      <c r="AX228" s="15">
        <f t="shared" si="690"/>
        <v>31</v>
      </c>
      <c r="AY228" s="607">
        <f>IF(E228="",0,MIN((1-(1-VLOOKUP(B228,MAIN!$AA$7:$AM$28,C228+1))*(1-VLOOKUP(B228,MAIN!$AA$33:$AM$54,C228+1))),1))</f>
        <v>3.0000000000000027E-2</v>
      </c>
      <c r="AZ228" s="337">
        <v>46560</v>
      </c>
      <c r="BA228" s="509">
        <v>11640</v>
      </c>
      <c r="BB228" s="509">
        <v>13968</v>
      </c>
      <c r="BC228" s="511">
        <v>36084</v>
      </c>
      <c r="BD228" s="153">
        <v>0.97</v>
      </c>
      <c r="BE228" s="474">
        <v>0.97</v>
      </c>
      <c r="BF228" s="474">
        <v>0.97</v>
      </c>
      <c r="BG228" s="515">
        <v>0.97</v>
      </c>
      <c r="BH228" s="262">
        <v>186240</v>
      </c>
      <c r="BI228" s="509">
        <v>46560</v>
      </c>
      <c r="BJ228" s="509">
        <v>55872</v>
      </c>
      <c r="BK228" s="511">
        <v>144336</v>
      </c>
      <c r="BL228" s="153">
        <v>0.97</v>
      </c>
      <c r="BM228" s="474">
        <v>0.97</v>
      </c>
      <c r="BN228" s="474">
        <v>0.97</v>
      </c>
      <c r="BO228" s="474">
        <v>0.97</v>
      </c>
      <c r="BP228" s="261">
        <f t="shared" si="666"/>
        <v>72168</v>
      </c>
      <c r="BQ228" s="578">
        <f t="shared" si="667"/>
        <v>108252</v>
      </c>
      <c r="BR228" s="259">
        <f t="shared" si="668"/>
        <v>288672</v>
      </c>
      <c r="BS228" s="578">
        <f t="shared" si="669"/>
        <v>433008</v>
      </c>
      <c r="BT228" s="216">
        <f t="shared" si="670"/>
        <v>17.631759069130734</v>
      </c>
      <c r="BU228" s="218">
        <f t="shared" si="585"/>
        <v>57.942409998608277</v>
      </c>
      <c r="BV228" s="216">
        <f t="shared" si="586"/>
        <v>57.942409998608277</v>
      </c>
      <c r="BW228" s="216">
        <f t="shared" si="587"/>
        <v>35.459853723770877</v>
      </c>
      <c r="BX228" s="216">
        <f t="shared" si="671"/>
        <v>35.459853723770877</v>
      </c>
      <c r="BY228" s="216">
        <f t="shared" si="588"/>
        <v>53.590947493801046</v>
      </c>
      <c r="BZ228" s="216">
        <f t="shared" si="589"/>
        <v>47.547249570457659</v>
      </c>
      <c r="CA228" s="264">
        <f t="shared" si="590"/>
        <v>57.942409998608277</v>
      </c>
      <c r="CB228" s="216">
        <f t="shared" si="591"/>
        <v>57.942409998608277</v>
      </c>
      <c r="CC228" s="216">
        <f t="shared" si="592"/>
        <v>35.459853723770877</v>
      </c>
      <c r="CD228" s="216">
        <f t="shared" si="672"/>
        <v>35.459853723770877</v>
      </c>
      <c r="CE228" s="216">
        <f t="shared" si="593"/>
        <v>53.590947493801046</v>
      </c>
      <c r="CF228" s="571">
        <f t="shared" si="594"/>
        <v>47.547249570457659</v>
      </c>
      <c r="CG228" s="573">
        <f t="shared" si="595"/>
        <v>0.1</v>
      </c>
      <c r="CH228" s="219">
        <f t="shared" si="596"/>
        <v>0.1</v>
      </c>
      <c r="CI228" s="219">
        <f t="shared" si="597"/>
        <v>0.11</v>
      </c>
      <c r="CJ228" s="219">
        <f t="shared" si="598"/>
        <v>0.10129068524447866</v>
      </c>
      <c r="CK228" s="219">
        <f t="shared" si="599"/>
        <v>0.10129068524447866</v>
      </c>
      <c r="CL228" s="219">
        <f t="shared" si="600"/>
        <v>0.11</v>
      </c>
      <c r="CM228" s="219">
        <f t="shared" si="601"/>
        <v>9.3124289795628923E-2</v>
      </c>
      <c r="CN228" s="569">
        <f t="shared" si="602"/>
        <v>9.3124289795628923E-2</v>
      </c>
      <c r="CO228" s="264">
        <f t="shared" si="685"/>
        <v>29.343889904588622</v>
      </c>
      <c r="CP228" s="216">
        <f t="shared" si="673"/>
        <v>29.343889904588622</v>
      </c>
      <c r="CQ228" s="216">
        <f t="shared" ca="1" si="532"/>
        <v>29.343889904588622</v>
      </c>
      <c r="CR228" s="216">
        <f t="shared" ca="1" si="533"/>
        <v>29.343889904588622</v>
      </c>
      <c r="CS228" s="1626">
        <f t="shared" ca="1" si="534"/>
        <v>29.343889904588622</v>
      </c>
      <c r="CT228" s="216">
        <f t="shared" si="674"/>
        <v>29.343889904588622</v>
      </c>
      <c r="CU228" s="575">
        <f t="shared" si="603"/>
        <v>0.151</v>
      </c>
      <c r="CV228" s="154">
        <f t="shared" si="604"/>
        <v>0.5</v>
      </c>
      <c r="CW228" s="216">
        <f>IF(OR($BQ228,$BS228),SpreadOptPowerMargin,0)*((1+Assumptions!$C$26)^($B228-YEAR(Assumptions!$C$17)))</f>
        <v>2.37506177351317</v>
      </c>
      <c r="CX228" s="216">
        <f>IF(OR($BQ228,$BS228),SpreadOptPowerMargin,0)*((1+Assumptions!$C$26)^($B228-YEAR(Assumptions!$C$17)))</f>
        <v>2.37506177351317</v>
      </c>
      <c r="CY228" s="216">
        <f>IF(OR($BQ228,$BS228),SpreadOptPowerMargin,0)*((1+Assumptions!$C$26)^($B228-YEAR(Assumptions!$C$17)))</f>
        <v>2.37506177351317</v>
      </c>
      <c r="CZ228" s="216">
        <f>IF(OR($BQ228,$BS228),SpreadOptPowerMargin,0)*((1+Assumptions!$C$26)^($B228-YEAR(Assumptions!$C$17)))</f>
        <v>2.37506177351317</v>
      </c>
      <c r="DA228" s="440">
        <f t="shared" si="605"/>
        <v>2.37506177351317</v>
      </c>
      <c r="DB228" s="479">
        <f t="shared" si="606"/>
        <v>0.1</v>
      </c>
      <c r="DC228" s="479">
        <f t="shared" si="607"/>
        <v>0.1</v>
      </c>
      <c r="DD228" s="479">
        <f t="shared" si="608"/>
        <v>0.11</v>
      </c>
      <c r="DE228" s="479">
        <f t="shared" si="609"/>
        <v>0.11</v>
      </c>
      <c r="DF228" s="479">
        <f t="shared" si="610"/>
        <v>9.3124289795628923E-2</v>
      </c>
      <c r="DG228" s="574">
        <f t="shared" si="611"/>
        <v>9.3124289795628923E-2</v>
      </c>
      <c r="DH228" s="216">
        <f t="shared" si="612"/>
        <v>27.639705241303449</v>
      </c>
      <c r="DI228" s="216">
        <f t="shared" si="613"/>
        <v>27.639705241303449</v>
      </c>
      <c r="DJ228" s="216">
        <f t="shared" ca="1" si="535"/>
        <v>9.1138995371337863</v>
      </c>
      <c r="DK228" s="216">
        <f t="shared" ca="1" si="536"/>
        <v>9.1138995371337863</v>
      </c>
      <c r="DL228" s="216">
        <f t="shared" ca="1" si="537"/>
        <v>18.324210893699767</v>
      </c>
      <c r="DM228" s="216"/>
      <c r="DN228" s="216"/>
      <c r="DO228" s="216"/>
      <c r="DP228" s="216"/>
      <c r="DQ228" s="216"/>
      <c r="DR228" s="216"/>
      <c r="DS228" s="216"/>
      <c r="DT228" s="216"/>
      <c r="DU228" s="216"/>
      <c r="DV228" s="216"/>
      <c r="DW228" s="1371">
        <f t="shared" si="614"/>
        <v>9.1138995371337863</v>
      </c>
      <c r="DX228" s="216">
        <f t="shared" si="615"/>
        <v>9.1138995371337863</v>
      </c>
      <c r="DY228" s="440">
        <f t="shared" si="616"/>
        <v>19.074010130773392</v>
      </c>
      <c r="DZ228" s="180">
        <f t="shared" si="617"/>
        <v>1286904.6760350887</v>
      </c>
      <c r="EA228" s="180">
        <f t="shared" si="618"/>
        <v>321726.16900877218</v>
      </c>
      <c r="EB228" s="180">
        <f t="shared" ca="1" si="538"/>
        <v>127302.94873468473</v>
      </c>
      <c r="EC228" s="180">
        <f t="shared" ca="1" si="539"/>
        <v>328865.95089793555</v>
      </c>
      <c r="ED228" s="180">
        <f t="shared" ca="1" si="540"/>
        <v>1983632.4776647873</v>
      </c>
      <c r="EE228" s="581">
        <f t="shared" si="619"/>
        <v>1220964.2194027819</v>
      </c>
      <c r="EF228" s="554">
        <f t="shared" si="620"/>
        <v>305241.05485069548</v>
      </c>
      <c r="EG228" s="554">
        <f t="shared" ca="1" si="541"/>
        <v>52252.919773905778</v>
      </c>
      <c r="EH228" s="554">
        <f t="shared" ca="1" si="542"/>
        <v>134986.70941592325</v>
      </c>
      <c r="EI228" s="561">
        <f t="shared" ca="1" si="621"/>
        <v>1713444.9034433074</v>
      </c>
      <c r="EJ228" s="581">
        <f t="shared" si="675"/>
        <v>65940.456632306799</v>
      </c>
      <c r="EK228" s="554">
        <f t="shared" si="676"/>
        <v>16485.1141580767</v>
      </c>
      <c r="EL228" s="554">
        <f t="shared" ca="1" si="543"/>
        <v>75050.02896077896</v>
      </c>
      <c r="EM228" s="554">
        <f t="shared" ca="1" si="544"/>
        <v>193879.24148201229</v>
      </c>
      <c r="EN228" s="561">
        <f t="shared" ca="1" si="545"/>
        <v>270187.57422147994</v>
      </c>
      <c r="EO228" s="180">
        <f t="shared" si="622"/>
        <v>5147618.7041403549</v>
      </c>
      <c r="EP228" s="180">
        <f t="shared" si="623"/>
        <v>1286904.6760350887</v>
      </c>
      <c r="EQ228" s="180">
        <f t="shared" si="624"/>
        <v>509211.79493873892</v>
      </c>
      <c r="ER228" s="180">
        <f t="shared" si="625"/>
        <v>1315463.8035917422</v>
      </c>
      <c r="ES228" s="180">
        <f t="shared" si="626"/>
        <v>8259198.9787059249</v>
      </c>
      <c r="ET228" s="1482">
        <f t="shared" ca="1" si="546"/>
        <v>4883856.8776111277</v>
      </c>
      <c r="EU228" s="180">
        <f t="shared" ca="1" si="547"/>
        <v>1220964.2194027819</v>
      </c>
      <c r="EV228" s="180">
        <f t="shared" ca="1" si="548"/>
        <v>209011.67909562311</v>
      </c>
      <c r="EW228" s="180">
        <f t="shared" ca="1" si="549"/>
        <v>539946.837663693</v>
      </c>
      <c r="EX228" s="555">
        <f t="shared" ca="1" si="522"/>
        <v>6853779.6137732258</v>
      </c>
      <c r="EY228" s="180">
        <f t="shared" ca="1" si="550"/>
        <v>263761.8265292272</v>
      </c>
      <c r="EZ228" s="180">
        <f t="shared" ca="1" si="551"/>
        <v>65940.456632306799</v>
      </c>
      <c r="FA228" s="180">
        <f t="shared" ca="1" si="552"/>
        <v>300200.11584311584</v>
      </c>
      <c r="FB228" s="180">
        <f t="shared" ca="1" si="553"/>
        <v>775516.96592804918</v>
      </c>
      <c r="FC228" s="180">
        <f t="shared" ca="1" si="554"/>
        <v>1405419.3649326991</v>
      </c>
      <c r="FD228" s="262">
        <f>IF(AX228,IF(VLOOKUP(C228,MAIN!$L$17:$M$28,2)="Yes",VLOOKUP(CALC!B228,MAIN!$H$17:$I$20,2),0),0)</f>
        <v>0</v>
      </c>
      <c r="FE228" s="623">
        <f t="shared" si="627"/>
        <v>0</v>
      </c>
      <c r="FF228" s="535">
        <f t="shared" si="628"/>
        <v>0</v>
      </c>
      <c r="FG228" s="535">
        <f t="shared" si="629"/>
        <v>0</v>
      </c>
      <c r="FH228" s="624">
        <f t="shared" si="630"/>
        <v>0</v>
      </c>
      <c r="FI228" s="632">
        <f>IF(AX228,VLOOKUP(CALC!B228,MAIN!$H$17:$K$20,4),0)</f>
        <v>0</v>
      </c>
      <c r="FJ228" s="535">
        <f t="shared" si="631"/>
        <v>0</v>
      </c>
      <c r="FK228" s="648">
        <f t="shared" si="677"/>
        <v>0</v>
      </c>
      <c r="FL228" s="530">
        <f t="shared" ca="1" si="555"/>
        <v>0</v>
      </c>
      <c r="FM228" s="530">
        <f t="shared" ca="1" si="556"/>
        <v>0</v>
      </c>
      <c r="FN228" s="530">
        <f t="shared" ca="1" si="557"/>
        <v>0</v>
      </c>
      <c r="FO228" s="622">
        <f t="shared" ca="1" si="558"/>
        <v>0</v>
      </c>
      <c r="FP228" s="530">
        <f t="shared" ca="1" si="559"/>
        <v>0</v>
      </c>
      <c r="FQ228" s="530">
        <f t="shared" ca="1" si="560"/>
        <v>0</v>
      </c>
      <c r="FR228" s="530">
        <f t="shared" ca="1" si="561"/>
        <v>0</v>
      </c>
      <c r="FS228" s="625">
        <f t="shared" ca="1" si="562"/>
        <v>0</v>
      </c>
      <c r="FT228" s="640">
        <f ca="1">IF(AND(Assumptions!$H$71="Yes",A228&gt;=Assumptions!$H$72,A228&lt;=Assumptions!$H$73),0,IF(AND($A228&gt;=Assumptions!$C$17,$A228&lt;=Assumptions!$C$18),MAX(AZ228*(1+VLOOKUP($C228,WeatherCapacityAdjustment,2))-FL228,0),0))</f>
        <v>46560</v>
      </c>
      <c r="FU228" s="530">
        <f ca="1">IF(AND(Assumptions!$H$71="Yes",A228&gt;=Assumptions!$H$72,A228&lt;=Assumptions!$H$73),0,IF(AND($A228&gt;=Assumptions!$C$17,$A228&lt;=Assumptions!$C$18),MAX(BA228*(1+VLOOKUP($C228,WeatherCapacityAdjustment,2))-FM228,0),0))</f>
        <v>11640</v>
      </c>
      <c r="FV228" s="530">
        <f ca="1">IF(AND(Assumptions!$H$71="Yes",A228&gt;=Assumptions!$H$72,A228&lt;=Assumptions!$H$73),0,IF(AND($A228&gt;=Assumptions!$C$17,$A228&lt;=Assumptions!$C$18),MAX(BB228*(1+VLOOKUP($C228,WeatherCapacityAdjustment,2))-FN228,0),0))</f>
        <v>13968</v>
      </c>
      <c r="FW228" s="622">
        <f ca="1">IF(AND(Assumptions!$H$71="Yes",A228&gt;=Assumptions!$H$72,A228&lt;=Assumptions!$H$73),0,IF(AND($A228&gt;=Assumptions!$C$17,$A228&lt;=Assumptions!$C$18),MAX(BC228*(1+VLOOKUP($C228,WeatherCapacityAdjustment,3))-FO228,0),0))</f>
        <v>36084</v>
      </c>
      <c r="FX228" s="621">
        <f ca="1">IF(AND(Assumptions!$H$71="Yes",A228&gt;=Assumptions!$H$72,A228&lt;=Assumptions!$H$73),0,IF(ET228&gt;0,MAX(BH228*(1+VLOOKUP($C228,WeatherCapacityAdjustment,2))-FP228,0),0))</f>
        <v>186240</v>
      </c>
      <c r="FY228" s="530">
        <f ca="1">IF(AND(Assumptions!$H$71="Yes",A228&gt;=Assumptions!$H$72,A228&lt;=Assumptions!$H$73),0,IF(EU228&gt;0,MAX(BI228*(1+VLOOKUP($C228,WeatherCapacityAdjustment,3))-FQ228,0),0))</f>
        <v>46560</v>
      </c>
      <c r="FZ228" s="530">
        <f ca="1">IF(AND(Assumptions!$H$71="Yes",A228&gt;=Assumptions!$H$72,A228&lt;=Assumptions!$H$73),0,IF(EV228&gt;0,MAX(BJ228*(1+VLOOKUP($C228,WeatherCapacityAdjustment,2))-FR228,0),0))</f>
        <v>55872</v>
      </c>
      <c r="GA228" s="622">
        <f ca="1">IF(AND(Assumptions!$H$71="Yes",A228&gt;=Assumptions!$H$72,A228&lt;=Assumptions!$H$73),0,IF(EW228&gt;0,MAX(BK228*(1+VLOOKUP($C228,WeatherCapacityAdjustment,2))-FS228,0),0))</f>
        <v>144336</v>
      </c>
      <c r="GB228" s="530">
        <f t="shared" ca="1" si="632"/>
        <v>541260</v>
      </c>
      <c r="GC228" s="545">
        <f t="shared" ca="1" si="633"/>
        <v>47.547249570457652</v>
      </c>
      <c r="GD228" s="530">
        <f t="shared" ca="1" si="563"/>
        <v>25735424.30250591</v>
      </c>
      <c r="GE228" s="1485">
        <f t="shared" ca="1" si="564"/>
        <v>771737.16816</v>
      </c>
      <c r="GF228" s="1776">
        <f t="shared" ca="1" si="565"/>
        <v>3086948.67264</v>
      </c>
      <c r="GG228" s="545">
        <f t="shared" si="530"/>
        <v>4.1160836888614831</v>
      </c>
      <c r="GH228" s="622">
        <f t="shared" ca="1" si="531"/>
        <v>15882673.849757638</v>
      </c>
      <c r="GI228" s="621">
        <f t="shared" ca="1" si="678"/>
        <v>541260</v>
      </c>
      <c r="GJ228" s="638">
        <f t="shared" si="634"/>
        <v>2.37506177351317</v>
      </c>
      <c r="GK228" s="625">
        <f t="shared" ca="1" si="684"/>
        <v>1285525.9355317384</v>
      </c>
      <c r="GL228" s="640">
        <f t="shared" ca="1" si="566"/>
        <v>0</v>
      </c>
      <c r="GM228" s="530">
        <f t="shared" ca="1" si="567"/>
        <v>0</v>
      </c>
      <c r="GN228" s="530">
        <f t="shared" ca="1" si="568"/>
        <v>0</v>
      </c>
      <c r="GO228" s="622">
        <f t="shared" ca="1" si="569"/>
        <v>0</v>
      </c>
      <c r="GP228" s="530">
        <f t="shared" ca="1" si="635"/>
        <v>0</v>
      </c>
      <c r="GQ228" s="545">
        <f t="shared" ca="1" si="636"/>
        <v>0</v>
      </c>
      <c r="GR228" s="625">
        <f t="shared" ca="1" si="570"/>
        <v>0</v>
      </c>
      <c r="GS228" s="640">
        <f>IF($A228&gt;=BegDate,Assumptions!$C$56*24*($A229-$A228)*(1-VLOOKUP($B228,MAIN!$AA$7:$AM$28,$C228+1))*(1-VLOOKUP($B228,MAIN!$AA$33:$AM$54,$C228+1)),0)*80/168</f>
        <v>257742.85714285713</v>
      </c>
      <c r="GT228" s="1715">
        <f t="shared" si="679"/>
        <v>57.942409998608277</v>
      </c>
      <c r="GU228" s="1715">
        <f>IF($A228&gt;=BegDate,VLOOKUP($A228,GasTable,13)+Assumptions!$C$58,0)</f>
        <v>4.1160836888614831</v>
      </c>
      <c r="GV228" s="1715">
        <f>GU228*Assumptions!$C$57/1000</f>
        <v>29.841606744245752</v>
      </c>
      <c r="GW228" s="625">
        <f>IF(Assumptions!$C$60="Hourly",MAX(0,GS228*(GT228-GV228)),GS228*(GT228-GV228))</f>
        <v>7242781.3187886951</v>
      </c>
      <c r="GX228" s="640">
        <f>IF($A228&gt;=BegDate,Assumptions!$C$56*24*($A229-$A228)*(1-VLOOKUP($B228,MAIN!$AA$7:$AM$28,$C228+1))*(1-VLOOKUP($B228,MAIN!$AA$33:$AM$54,$C228+1)),0)*16/168</f>
        <v>51548.571428571428</v>
      </c>
      <c r="GY228" s="1715">
        <f t="shared" si="680"/>
        <v>57.942409998608277</v>
      </c>
      <c r="GZ228" s="1715">
        <f>IF($A228&gt;=BegDate,VLOOKUP($A228,GasTable,13)+Assumptions!$C$58,0)</f>
        <v>4.1160836888614831</v>
      </c>
      <c r="HA228" s="1715">
        <f>GZ228*Assumptions!$C$57/1000</f>
        <v>29.841606744245752</v>
      </c>
      <c r="HB228" s="625">
        <f>IF(Assumptions!$C$60="Hourly",MAX(0,GX228*(GY228-HA228)),GX228*(GY228-HA228))</f>
        <v>1448556.263757739</v>
      </c>
      <c r="HC228" s="640">
        <f>IF($A228&gt;=BegDate,Assumptions!$C$56*24*($A229-$A228)*(1-VLOOKUP($B228,MAIN!$AA$7:$AM$28,$C228+1))*(1-VLOOKUP($B228,MAIN!$AA$33:$AM$54,$C228+1)),0)*16/168</f>
        <v>51548.571428571428</v>
      </c>
      <c r="HD228" s="1715">
        <f t="shared" si="681"/>
        <v>35.459853723770877</v>
      </c>
      <c r="HE228" s="1715">
        <f>IF($A228&gt;=BegDate,VLOOKUP($A228,GasTable,13)+Assumptions!$C$58,0)</f>
        <v>4.1160836888614831</v>
      </c>
      <c r="HF228" s="1715">
        <f>HE228*Assumptions!$C$57/1000</f>
        <v>29.841606744245752</v>
      </c>
      <c r="HG228" s="625">
        <f>IF(Assumptions!$C$60="Hourly",MAX(0,HC228*(HD228-HF228)),HC228*(HD228-HF228))</f>
        <v>289612.60572740657</v>
      </c>
      <c r="HH228" s="640">
        <f>IF($A228&gt;=BegDate,Assumptions!$C$56*24*($A229-$A228)*(1-VLOOKUP($B228,MAIN!$AA$7:$AM$28,$C228+1))*(1-VLOOKUP($B228,MAIN!$AA$33:$AM$54,$C228+1)),0)*56/168</f>
        <v>180420</v>
      </c>
      <c r="HI228" s="1715">
        <f t="shared" si="682"/>
        <v>35.459853723770877</v>
      </c>
      <c r="HJ228" s="1715">
        <f>IF($A228&gt;=BegDate,VLOOKUP($A228,GasTable,13)+Assumptions!$C$58,0)</f>
        <v>4.1160836888614831</v>
      </c>
      <c r="HK228" s="1715">
        <f>HJ228*Assumptions!$C$57/1000</f>
        <v>29.841606744245752</v>
      </c>
      <c r="HL228" s="625">
        <f>IF(Assumptions!$C$60="Hourly",MAX(0,HH228*(HI228-HK228)),HH228*(HI228-HK228))</f>
        <v>1013644.120045923</v>
      </c>
      <c r="HM228" s="640">
        <f>IF(AND(Assumptions!$H$71="Yes",A228&gt;=Assumptions!$H$72,A228&lt;=Assumptions!$H$73),Assumptions!$H$74*Assumptions!$C$9*1000,0)</f>
        <v>0</v>
      </c>
      <c r="HN228" s="530"/>
      <c r="HO228" s="545"/>
      <c r="HP228" s="545"/>
      <c r="HQ228" s="545"/>
      <c r="HR228" s="545"/>
      <c r="HS228" s="545"/>
      <c r="HT228" s="545"/>
      <c r="HU228" s="545"/>
      <c r="HV228" s="545"/>
      <c r="HW228" s="545"/>
      <c r="HX228" s="545"/>
      <c r="HY228" s="545"/>
      <c r="HZ228" s="545"/>
      <c r="IA228" s="545"/>
      <c r="IB228" s="545"/>
      <c r="IC228" s="545"/>
      <c r="ID228" s="545"/>
      <c r="IE228" s="545"/>
      <c r="IF228" s="545"/>
      <c r="IG228" s="545"/>
      <c r="IH228" s="545"/>
      <c r="II228" s="1464"/>
      <c r="IJ228" s="1463"/>
      <c r="IK228" s="1463"/>
    </row>
    <row r="229" spans="1:245">
      <c r="A229" s="177">
        <f t="shared" si="637"/>
        <v>43101</v>
      </c>
      <c r="B229" s="349">
        <f t="shared" si="638"/>
        <v>2018</v>
      </c>
      <c r="C229" s="15">
        <f t="shared" si="686"/>
        <v>1</v>
      </c>
      <c r="D229" s="612">
        <f t="shared" si="639"/>
        <v>43101</v>
      </c>
      <c r="E229" s="609">
        <f t="shared" si="687"/>
        <v>43101</v>
      </c>
      <c r="F229" s="614">
        <f t="shared" si="688"/>
        <v>43131</v>
      </c>
      <c r="G229" s="1349">
        <v>0</v>
      </c>
      <c r="H229" s="152">
        <f t="shared" si="683"/>
        <v>1</v>
      </c>
      <c r="I229" s="154">
        <f>IF(Assumptions!$L$25=4,VLOOKUP($A229,'Henwood Reference'!$E$9:$R$320,10),(VLOOKUP($A229,PriceTable,2,0)+IF(BasisNumber&lt;&gt;1,VLOOKUP($A229,BasisTable,2,0),0)+I$1)/(1-I$2))</f>
        <v>60.064610292570634</v>
      </c>
      <c r="J229" s="154">
        <f>IF(Assumptions!$L$25=4,VLOOKUP($A229,'Henwood Reference'!$E$9:$R$320,10),(VLOOKUP($A229,PriceTable,3,0)+IF(BasisNumber&lt;&gt;1,VLOOKUP($A229,BasisTable,2,0),0)+J$1)/(1-J$2))</f>
        <v>60.064610292570634</v>
      </c>
      <c r="K229" s="154">
        <f>IF(Assumptions!$L$25=4,VLOOKUP($A229,'Henwood Reference'!$E$9:$R$320,10),(VLOOKUP($A229,PriceTable,4,0)+IF(BasisNumber&lt;&gt;1,VLOOKUP($A229,BasisTable,2,0),0)+K$1)/(1-K$2))</f>
        <v>60.064610292570634</v>
      </c>
      <c r="L229" s="474">
        <f>IF(Assumptions!$L$25=4,VLOOKUP($A229,'Henwood Reference'!$E$9:$R$320,10),(VLOOKUP($A229,PriceTableWeekend,2,0)+IF(BasisNumber&lt;&gt;1,VLOOKUP($A229,BasisTable,2,0),0)+L$1)/(1-L$2))</f>
        <v>60.064610292570634</v>
      </c>
      <c r="M229" s="154">
        <f>IF(Assumptions!$L$25=4,VLOOKUP($A229,'Henwood Reference'!$E$9:$R$320,10),(VLOOKUP($A229,PriceTableWeekend,3,0)+IF(BasisNumber&lt;&gt;1,VLOOKUP($A229,BasisTable,2,0),0)+M$1)/(1-M$2))</f>
        <v>60.064610292570634</v>
      </c>
      <c r="N229" s="156">
        <f>IF(Assumptions!$L$25=4,VLOOKUP($A229,'Henwood Reference'!$E$9:$R$320,10),(VLOOKUP($A229,PriceTableWeekend,4,0)+IF(BasisNumber&lt;&gt;1,VLOOKUP($A229,BasisTable,2,0),0)+N$1)/(1-N$2))</f>
        <v>60.064610292570634</v>
      </c>
      <c r="O229" s="154">
        <f>IF(Assumptions!$L$25=4,VLOOKUP($A229,'Henwood Reference'!$E$9:$R$320,11),(VLOOKUP($A229,PriceTableWeekend,6,0)+IF(BasisNumber&lt;&gt;1,VLOOKUP($A229,BasisTable,3,0),0)+O$1)/(1-O$2))</f>
        <v>34.042677784854732</v>
      </c>
      <c r="P229" s="154">
        <f>IF(Assumptions!$L$25=4,VLOOKUP($A229,'Henwood Reference'!$E$9:$R$320,11),(VLOOKUP($A229,PriceTableWeekend,7,0)+IF(BasisNumber&lt;&gt;1,VLOOKUP($A229,BasisTable,3,0),0)+P$1)/(1-P$2))</f>
        <v>34.042677784854732</v>
      </c>
      <c r="Q229" s="156">
        <f>IF(Assumptions!$L$25=4,VLOOKUP($A229,'Henwood Reference'!$E$9:$R$320,11),(VLOOKUP($A229,PriceTableWeekend,8,0)+IF(BasisNumber&lt;&gt;1,VLOOKUP($A229,BasisTable,3,0),0)+Q$1)/(1-Q$2))</f>
        <v>34.042677784854732</v>
      </c>
      <c r="R229" s="154">
        <f>IF(Assumptions!$L$25=4,VLOOKUP($A229,'Henwood Reference'!$E$9:$R$320,11),(VLOOKUP($A229,PriceTable,6,0)+IF(BasisNumber&lt;&gt;1,VLOOKUP($A229,BasisTable,3,0),0)+R$1)/(1-R$2))</f>
        <v>34.042677784854732</v>
      </c>
      <c r="S229" s="154">
        <f>IF(Assumptions!$L$25=4,VLOOKUP($A229,'Henwood Reference'!$E$9:$R$320,11),(VLOOKUP($A229,PriceTable,7,0)+IF(BasisNumber&lt;&gt;1,VLOOKUP($A229,BasisTable,3,0),0)+S$1)/(1-S$2))</f>
        <v>34.042677784854732</v>
      </c>
      <c r="T229" s="155">
        <f>IF(Assumptions!$L$25=4,VLOOKUP($A229,'Henwood Reference'!$E$9:$R$320,11),(VLOOKUP($A229,PriceTable,8,0)+IF(BasisNumber&lt;&gt;1,VLOOKUP($A229,BasisTable,3,0),0)+T$1)/(1-T$2))</f>
        <v>34.042677784854732</v>
      </c>
      <c r="U229" s="173">
        <f t="shared" si="640"/>
        <v>0.09</v>
      </c>
      <c r="V229" s="173">
        <f t="shared" si="641"/>
        <v>0.1</v>
      </c>
      <c r="W229" s="174">
        <f t="shared" si="642"/>
        <v>0.11</v>
      </c>
      <c r="X229" s="173">
        <f t="shared" si="643"/>
        <v>0.09</v>
      </c>
      <c r="Y229" s="173">
        <f t="shared" si="644"/>
        <v>0.1</v>
      </c>
      <c r="Z229" s="174">
        <f t="shared" si="645"/>
        <v>0.11</v>
      </c>
      <c r="AA229" s="173">
        <f t="shared" si="646"/>
        <v>0.09</v>
      </c>
      <c r="AB229" s="173">
        <f t="shared" si="647"/>
        <v>0.11</v>
      </c>
      <c r="AC229" s="174">
        <f t="shared" si="648"/>
        <v>0.13</v>
      </c>
      <c r="AD229" s="173">
        <f t="shared" si="649"/>
        <v>0.09</v>
      </c>
      <c r="AE229" s="173">
        <f t="shared" si="650"/>
        <v>0.11</v>
      </c>
      <c r="AF229" s="174">
        <f t="shared" si="651"/>
        <v>0.13</v>
      </c>
      <c r="AG229" s="173">
        <f t="shared" si="652"/>
        <v>-0.25</v>
      </c>
      <c r="AH229" s="173">
        <f t="shared" si="653"/>
        <v>0.6</v>
      </c>
      <c r="AI229" s="174">
        <f t="shared" si="654"/>
        <v>0.25</v>
      </c>
      <c r="AJ229" s="173">
        <f t="shared" si="655"/>
        <v>-0.25</v>
      </c>
      <c r="AK229" s="173">
        <f t="shared" si="656"/>
        <v>0.6</v>
      </c>
      <c r="AL229" s="174">
        <f t="shared" si="657"/>
        <v>0.25</v>
      </c>
      <c r="AM229" s="173">
        <f t="shared" si="658"/>
        <v>-0.01</v>
      </c>
      <c r="AN229" s="173">
        <f t="shared" si="659"/>
        <v>0.16</v>
      </c>
      <c r="AO229" s="174">
        <f t="shared" si="660"/>
        <v>0.01</v>
      </c>
      <c r="AP229" s="173">
        <f t="shared" si="661"/>
        <v>-0.01</v>
      </c>
      <c r="AQ229" s="173">
        <f t="shared" si="662"/>
        <v>0.16</v>
      </c>
      <c r="AR229" s="175">
        <f t="shared" si="663"/>
        <v>0.01</v>
      </c>
      <c r="AS229" s="521">
        <f t="shared" si="691"/>
        <v>0.5</v>
      </c>
      <c r="AT229" s="349">
        <f t="shared" si="689"/>
        <v>22</v>
      </c>
      <c r="AU229" s="159">
        <f t="shared" si="582"/>
        <v>4</v>
      </c>
      <c r="AV229" s="159">
        <f t="shared" si="583"/>
        <v>4</v>
      </c>
      <c r="AW229" s="159">
        <f t="shared" si="692"/>
        <v>1</v>
      </c>
      <c r="AX229" s="15">
        <f t="shared" si="690"/>
        <v>31</v>
      </c>
      <c r="AY229" s="607">
        <f>IF(E229="",0,MIN((1-(1-VLOOKUP(B229,MAIN!$AA$7:$AM$28,C229+1))*(1-VLOOKUP(B229,MAIN!$AA$33:$AM$54,C229+1))),1))</f>
        <v>3.0000000000000027E-2</v>
      </c>
      <c r="AZ229" s="337">
        <v>51216</v>
      </c>
      <c r="BA229" s="509">
        <v>9312</v>
      </c>
      <c r="BB229" s="509">
        <v>11640</v>
      </c>
      <c r="BC229" s="511">
        <v>36084</v>
      </c>
      <c r="BD229" s="153">
        <v>0.96999999638646839</v>
      </c>
      <c r="BE229" s="474">
        <v>0.96999999638646839</v>
      </c>
      <c r="BF229" s="474">
        <v>0.96999999638646839</v>
      </c>
      <c r="BG229" s="515">
        <v>0.9699999927729368</v>
      </c>
      <c r="BH229" s="262">
        <v>204864</v>
      </c>
      <c r="BI229" s="509">
        <v>37248</v>
      </c>
      <c r="BJ229" s="509">
        <v>46560</v>
      </c>
      <c r="BK229" s="511">
        <v>144336</v>
      </c>
      <c r="BL229" s="153">
        <v>0.96999999638646839</v>
      </c>
      <c r="BM229" s="474">
        <v>0.96999999638646839</v>
      </c>
      <c r="BN229" s="474">
        <v>0.96999999638646839</v>
      </c>
      <c r="BO229" s="474">
        <v>0.9699999927729368</v>
      </c>
      <c r="BP229" s="261">
        <f t="shared" si="666"/>
        <v>72168</v>
      </c>
      <c r="BQ229" s="578">
        <f t="shared" si="667"/>
        <v>108252</v>
      </c>
      <c r="BR229" s="259">
        <f t="shared" si="668"/>
        <v>288672</v>
      </c>
      <c r="BS229" s="578">
        <f t="shared" si="669"/>
        <v>433008</v>
      </c>
      <c r="BT229" s="216">
        <f t="shared" si="670"/>
        <v>17.716632443531829</v>
      </c>
      <c r="BU229" s="218">
        <f t="shared" si="585"/>
        <v>60.064610068812527</v>
      </c>
      <c r="BV229" s="216">
        <f t="shared" si="586"/>
        <v>60.064610068812527</v>
      </c>
      <c r="BW229" s="216">
        <f t="shared" si="587"/>
        <v>34.042677658035878</v>
      </c>
      <c r="BX229" s="216">
        <f t="shared" si="671"/>
        <v>34.042677531217016</v>
      </c>
      <c r="BY229" s="216">
        <f t="shared" si="588"/>
        <v>55.867524196106615</v>
      </c>
      <c r="BZ229" s="216">
        <f t="shared" si="589"/>
        <v>48.592575307810087</v>
      </c>
      <c r="CA229" s="264">
        <f t="shared" si="590"/>
        <v>60.064610068812527</v>
      </c>
      <c r="CB229" s="216">
        <f t="shared" si="591"/>
        <v>60.064610068812527</v>
      </c>
      <c r="CC229" s="216">
        <f t="shared" si="592"/>
        <v>34.042677658035878</v>
      </c>
      <c r="CD229" s="216">
        <f t="shared" si="672"/>
        <v>34.042677531217016</v>
      </c>
      <c r="CE229" s="216">
        <f t="shared" si="593"/>
        <v>55.867524196106615</v>
      </c>
      <c r="CF229" s="571">
        <f t="shared" si="594"/>
        <v>48.592575307810087</v>
      </c>
      <c r="CG229" s="573">
        <f t="shared" si="595"/>
        <v>0.1</v>
      </c>
      <c r="CH229" s="219">
        <f t="shared" si="596"/>
        <v>0.1</v>
      </c>
      <c r="CI229" s="219">
        <f t="shared" si="597"/>
        <v>0.11</v>
      </c>
      <c r="CJ229" s="219">
        <f t="shared" si="598"/>
        <v>0.10099078704373592</v>
      </c>
      <c r="CK229" s="219">
        <f t="shared" si="599"/>
        <v>0.10099078704373592</v>
      </c>
      <c r="CL229" s="219">
        <f t="shared" si="600"/>
        <v>0.11</v>
      </c>
      <c r="CM229" s="219">
        <f t="shared" si="601"/>
        <v>9.3211587328176984E-2</v>
      </c>
      <c r="CN229" s="569">
        <f t="shared" si="602"/>
        <v>9.3211587328176984E-2</v>
      </c>
      <c r="CO229" s="264">
        <f t="shared" si="685"/>
        <v>28.634168768056416</v>
      </c>
      <c r="CP229" s="216">
        <f t="shared" si="673"/>
        <v>28.634168768056416</v>
      </c>
      <c r="CQ229" s="216">
        <f t="shared" ca="1" si="532"/>
        <v>28.634168768056416</v>
      </c>
      <c r="CR229" s="216">
        <f t="shared" ca="1" si="533"/>
        <v>28.634168768056416</v>
      </c>
      <c r="CS229" s="1626">
        <f t="shared" ca="1" si="534"/>
        <v>28.634168768056416</v>
      </c>
      <c r="CT229" s="216">
        <f t="shared" si="674"/>
        <v>28.634168768056416</v>
      </c>
      <c r="CU229" s="575">
        <f t="shared" si="603"/>
        <v>0.151</v>
      </c>
      <c r="CV229" s="154">
        <f t="shared" si="604"/>
        <v>0.5</v>
      </c>
      <c r="CW229" s="216">
        <f>IF(OR($BQ229,$BS229),SpreadOptPowerMargin,0)*((1+Assumptions!$C$26)^($B229-YEAR(Assumptions!$C$17)))</f>
        <v>2.4225630089834325</v>
      </c>
      <c r="CX229" s="216">
        <f>IF(OR($BQ229,$BS229),SpreadOptPowerMargin,0)*((1+Assumptions!$C$26)^($B229-YEAR(Assumptions!$C$17)))</f>
        <v>2.4225630089834325</v>
      </c>
      <c r="CY229" s="216">
        <f>IF(OR($BQ229,$BS229),SpreadOptPowerMargin,0)*((1+Assumptions!$C$26)^($B229-YEAR(Assumptions!$C$17)))</f>
        <v>2.4225630089834325</v>
      </c>
      <c r="CZ229" s="216">
        <f>IF(OR($BQ229,$BS229),SpreadOptPowerMargin,0)*((1+Assumptions!$C$26)^($B229-YEAR(Assumptions!$C$17)))</f>
        <v>2.4225630089834325</v>
      </c>
      <c r="DA229" s="440">
        <f t="shared" si="605"/>
        <v>2.4225630089834325</v>
      </c>
      <c r="DB229" s="479">
        <f t="shared" si="606"/>
        <v>0.1</v>
      </c>
      <c r="DC229" s="479">
        <f t="shared" si="607"/>
        <v>0.1</v>
      </c>
      <c r="DD229" s="479">
        <f t="shared" si="608"/>
        <v>0.11</v>
      </c>
      <c r="DE229" s="479">
        <f t="shared" si="609"/>
        <v>0.11</v>
      </c>
      <c r="DF229" s="479">
        <f t="shared" si="610"/>
        <v>9.3211587328176984E-2</v>
      </c>
      <c r="DG229" s="574">
        <f t="shared" si="611"/>
        <v>9.3211587328176984E-2</v>
      </c>
      <c r="DH229" s="216">
        <f t="shared" si="612"/>
        <v>30.157509813825413</v>
      </c>
      <c r="DI229" s="216">
        <f t="shared" si="613"/>
        <v>30.157509813825413</v>
      </c>
      <c r="DJ229" s="216">
        <f t="shared" ca="1" si="535"/>
        <v>8.4628713157575692</v>
      </c>
      <c r="DK229" s="216">
        <f t="shared" ca="1" si="536"/>
        <v>8.4628712302891316</v>
      </c>
      <c r="DL229" s="216">
        <f t="shared" ca="1" si="537"/>
        <v>19.698822361151301</v>
      </c>
      <c r="DM229" s="216"/>
      <c r="DN229" s="216"/>
      <c r="DO229" s="216"/>
      <c r="DP229" s="216"/>
      <c r="DQ229" s="216"/>
      <c r="DR229" s="216"/>
      <c r="DS229" s="216"/>
      <c r="DT229" s="216"/>
      <c r="DU229" s="216"/>
      <c r="DV229" s="216"/>
      <c r="DW229" s="1371">
        <f t="shared" si="614"/>
        <v>8.4628713157575692</v>
      </c>
      <c r="DX229" s="216">
        <f t="shared" si="615"/>
        <v>8.4628712302891316</v>
      </c>
      <c r="DY229" s="440">
        <f t="shared" si="616"/>
        <v>20.593206791564089</v>
      </c>
      <c r="DZ229" s="180">
        <f t="shared" si="617"/>
        <v>1544547.0226248824</v>
      </c>
      <c r="EA229" s="180">
        <f t="shared" si="618"/>
        <v>280826.73138634226</v>
      </c>
      <c r="EB229" s="180">
        <f t="shared" ca="1" si="538"/>
        <v>98507.822115418108</v>
      </c>
      <c r="EC229" s="180">
        <f t="shared" ca="1" si="539"/>
        <v>305374.24547375302</v>
      </c>
      <c r="ED229" s="180">
        <f t="shared" ca="1" si="540"/>
        <v>2132436.9182393504</v>
      </c>
      <c r="EE229" s="581">
        <f t="shared" si="619"/>
        <v>1485667.4945914296</v>
      </c>
      <c r="EF229" s="554">
        <f t="shared" si="620"/>
        <v>270121.36265298718</v>
      </c>
      <c r="EG229" s="554">
        <f t="shared" ca="1" si="541"/>
        <v>34756.4100547938</v>
      </c>
      <c r="EH229" s="554">
        <f t="shared" ca="1" si="542"/>
        <v>107744.86659372899</v>
      </c>
      <c r="EI229" s="561">
        <f t="shared" ca="1" si="621"/>
        <v>1898290.1338929401</v>
      </c>
      <c r="EJ229" s="581">
        <f t="shared" si="675"/>
        <v>58879.528033452807</v>
      </c>
      <c r="EK229" s="554">
        <f t="shared" si="676"/>
        <v>10705.368733355077</v>
      </c>
      <c r="EL229" s="554">
        <f t="shared" ca="1" si="543"/>
        <v>63751.412060624309</v>
      </c>
      <c r="EM229" s="554">
        <f t="shared" ca="1" si="544"/>
        <v>197629.37888002401</v>
      </c>
      <c r="EN229" s="561">
        <f t="shared" ca="1" si="545"/>
        <v>234146.78434641031</v>
      </c>
      <c r="EO229" s="180">
        <f t="shared" si="622"/>
        <v>6178188.0904995296</v>
      </c>
      <c r="EP229" s="180">
        <f t="shared" si="623"/>
        <v>1123306.925545369</v>
      </c>
      <c r="EQ229" s="180">
        <f t="shared" si="624"/>
        <v>394031.28846167243</v>
      </c>
      <c r="ER229" s="180">
        <f t="shared" si="625"/>
        <v>1221496.9818950121</v>
      </c>
      <c r="ES229" s="180">
        <f t="shared" si="626"/>
        <v>8917023.2864015829</v>
      </c>
      <c r="ET229" s="1482">
        <f t="shared" ca="1" si="546"/>
        <v>5942669.9783657184</v>
      </c>
      <c r="EU229" s="180">
        <f t="shared" ca="1" si="547"/>
        <v>1080485.4506119487</v>
      </c>
      <c r="EV229" s="180">
        <f t="shared" ca="1" si="548"/>
        <v>139025.6402191752</v>
      </c>
      <c r="EW229" s="180">
        <f t="shared" ca="1" si="549"/>
        <v>430979.46637491597</v>
      </c>
      <c r="EX229" s="555">
        <f t="shared" ca="1" si="522"/>
        <v>7593160.5355717586</v>
      </c>
      <c r="EY229" s="180">
        <f t="shared" ca="1" si="550"/>
        <v>235518.11213381123</v>
      </c>
      <c r="EZ229" s="180">
        <f t="shared" ca="1" si="551"/>
        <v>42821.474933420308</v>
      </c>
      <c r="FA229" s="180">
        <f t="shared" ca="1" si="552"/>
        <v>255005.64824249723</v>
      </c>
      <c r="FB229" s="180">
        <f t="shared" ca="1" si="553"/>
        <v>790517.51552009606</v>
      </c>
      <c r="FC229" s="180">
        <f t="shared" ca="1" si="554"/>
        <v>1323862.7508298242</v>
      </c>
      <c r="FD229" s="262">
        <f>IF(AX229,IF(VLOOKUP(C229,MAIN!$L$17:$M$28,2)="Yes",VLOOKUP(CALC!B229,MAIN!$H$17:$I$20,2),0),0)</f>
        <v>0</v>
      </c>
      <c r="FE229" s="623">
        <f t="shared" si="627"/>
        <v>0</v>
      </c>
      <c r="FF229" s="535">
        <f t="shared" si="628"/>
        <v>0</v>
      </c>
      <c r="FG229" s="535">
        <f t="shared" si="629"/>
        <v>0</v>
      </c>
      <c r="FH229" s="624">
        <f t="shared" si="630"/>
        <v>0</v>
      </c>
      <c r="FI229" s="632">
        <f>IF(AX229,VLOOKUP(CALC!B229,MAIN!$H$17:$K$20,4),0)</f>
        <v>0</v>
      </c>
      <c r="FJ229" s="535">
        <f t="shared" si="631"/>
        <v>0</v>
      </c>
      <c r="FK229" s="648">
        <f t="shared" si="677"/>
        <v>0</v>
      </c>
      <c r="FL229" s="530">
        <f t="shared" ca="1" si="555"/>
        <v>0</v>
      </c>
      <c r="FM229" s="530">
        <f t="shared" ca="1" si="556"/>
        <v>0</v>
      </c>
      <c r="FN229" s="530">
        <f t="shared" ca="1" si="557"/>
        <v>0</v>
      </c>
      <c r="FO229" s="622">
        <f t="shared" ca="1" si="558"/>
        <v>0</v>
      </c>
      <c r="FP229" s="530">
        <f t="shared" ca="1" si="559"/>
        <v>0</v>
      </c>
      <c r="FQ229" s="530">
        <f t="shared" ca="1" si="560"/>
        <v>0</v>
      </c>
      <c r="FR229" s="530">
        <f t="shared" ca="1" si="561"/>
        <v>0</v>
      </c>
      <c r="FS229" s="625">
        <f t="shared" ca="1" si="562"/>
        <v>0</v>
      </c>
      <c r="FT229" s="640">
        <f ca="1">IF(AND(Assumptions!$H$71="Yes",A229&gt;=Assumptions!$H$72,A229&lt;=Assumptions!$H$73),0,IF(AND($A229&gt;=Assumptions!$C$17,$A229&lt;=Assumptions!$C$18),MAX(AZ229*(1+VLOOKUP($C229,WeatherCapacityAdjustment,2))-FL229,0),0))</f>
        <v>51216</v>
      </c>
      <c r="FU229" s="530">
        <f ca="1">IF(AND(Assumptions!$H$71="Yes",A229&gt;=Assumptions!$H$72,A229&lt;=Assumptions!$H$73),0,IF(AND($A229&gt;=Assumptions!$C$17,$A229&lt;=Assumptions!$C$18),MAX(BA229*(1+VLOOKUP($C229,WeatherCapacityAdjustment,2))-FM229,0),0))</f>
        <v>9312</v>
      </c>
      <c r="FV229" s="530">
        <f ca="1">IF(AND(Assumptions!$H$71="Yes",A229&gt;=Assumptions!$H$72,A229&lt;=Assumptions!$H$73),0,IF(AND($A229&gt;=Assumptions!$C$17,$A229&lt;=Assumptions!$C$18),MAX(BB229*(1+VLOOKUP($C229,WeatherCapacityAdjustment,2))-FN229,0),0))</f>
        <v>11640</v>
      </c>
      <c r="FW229" s="622">
        <f ca="1">IF(AND(Assumptions!$H$71="Yes",A229&gt;=Assumptions!$H$72,A229&lt;=Assumptions!$H$73),0,IF(AND($A229&gt;=Assumptions!$C$17,$A229&lt;=Assumptions!$C$18),MAX(BC229*(1+VLOOKUP($C229,WeatherCapacityAdjustment,3))-FO229,0),0))</f>
        <v>36084</v>
      </c>
      <c r="FX229" s="621">
        <f ca="1">IF(AND(Assumptions!$H$71="Yes",A229&gt;=Assumptions!$H$72,A229&lt;=Assumptions!$H$73),0,IF(ET229&gt;0,MAX(BH229*(1+VLOOKUP($C229,WeatherCapacityAdjustment,2))-FP229,0),0))</f>
        <v>204864</v>
      </c>
      <c r="FY229" s="530">
        <f ca="1">IF(AND(Assumptions!$H$71="Yes",A229&gt;=Assumptions!$H$72,A229&lt;=Assumptions!$H$73),0,IF(EU229&gt;0,MAX(BI229*(1+VLOOKUP($C229,WeatherCapacityAdjustment,3))-FQ229,0),0))</f>
        <v>37248</v>
      </c>
      <c r="FZ229" s="530">
        <f ca="1">IF(AND(Assumptions!$H$71="Yes",A229&gt;=Assumptions!$H$72,A229&lt;=Assumptions!$H$73),0,IF(EV229&gt;0,MAX(BJ229*(1+VLOOKUP($C229,WeatherCapacityAdjustment,2))-FR229,0),0))</f>
        <v>46560</v>
      </c>
      <c r="GA229" s="622">
        <f ca="1">IF(AND(Assumptions!$H$71="Yes",A229&gt;=Assumptions!$H$72,A229&lt;=Assumptions!$H$73),0,IF(EW229&gt;0,MAX(BK229*(1+VLOOKUP($C229,WeatherCapacityAdjustment,2))-FS229,0),0))</f>
        <v>144336</v>
      </c>
      <c r="GB229" s="530">
        <f t="shared" ca="1" si="632"/>
        <v>541260</v>
      </c>
      <c r="GC229" s="545">
        <f t="shared" ca="1" si="633"/>
        <v>48.59257530781008</v>
      </c>
      <c r="GD229" s="530">
        <f t="shared" ca="1" si="563"/>
        <v>26301217.311105285</v>
      </c>
      <c r="GE229" s="1485">
        <f t="shared" ca="1" si="564"/>
        <v>772055.42904000008</v>
      </c>
      <c r="GF229" s="1776">
        <f t="shared" ca="1" si="565"/>
        <v>3088221.7161600003</v>
      </c>
      <c r="GG229" s="545">
        <f t="shared" si="530"/>
        <v>4.0148749958716348</v>
      </c>
      <c r="GH229" s="622">
        <f t="shared" ca="1" si="531"/>
        <v>15498530.187398216</v>
      </c>
      <c r="GI229" s="621">
        <f t="shared" ca="1" si="678"/>
        <v>541260</v>
      </c>
      <c r="GJ229" s="638">
        <f t="shared" si="634"/>
        <v>2.4225630089834325</v>
      </c>
      <c r="GK229" s="625">
        <f t="shared" ca="1" si="684"/>
        <v>1311236.4542423727</v>
      </c>
      <c r="GL229" s="640">
        <f t="shared" ca="1" si="566"/>
        <v>0</v>
      </c>
      <c r="GM229" s="530">
        <f t="shared" ca="1" si="567"/>
        <v>0</v>
      </c>
      <c r="GN229" s="530">
        <f t="shared" ca="1" si="568"/>
        <v>0</v>
      </c>
      <c r="GO229" s="622">
        <f t="shared" ca="1" si="569"/>
        <v>0</v>
      </c>
      <c r="GP229" s="530">
        <f t="shared" ca="1" si="635"/>
        <v>0</v>
      </c>
      <c r="GQ229" s="545">
        <f t="shared" ca="1" si="636"/>
        <v>0</v>
      </c>
      <c r="GR229" s="625">
        <f t="shared" ca="1" si="570"/>
        <v>0</v>
      </c>
      <c r="GS229" s="640">
        <f>IF($A229&gt;=BegDate,Assumptions!$C$56*24*($A230-$A229)*(1-VLOOKUP($B229,MAIN!$AA$7:$AM$28,$C229+1))*(1-VLOOKUP($B229,MAIN!$AA$33:$AM$54,$C229+1)),0)*80/168</f>
        <v>257742.85714285713</v>
      </c>
      <c r="GT229" s="1715">
        <f t="shared" si="679"/>
        <v>60.064610292570634</v>
      </c>
      <c r="GU229" s="1715">
        <f>IF($A229&gt;=BegDate,VLOOKUP($A229,GasTable,13)+Assumptions!$C$58,0)</f>
        <v>4.0148749958716348</v>
      </c>
      <c r="GV229" s="1715">
        <f>GU229*Assumptions!$C$57/1000</f>
        <v>29.107843720069351</v>
      </c>
      <c r="GW229" s="625">
        <f>IF(Assumptions!$C$60="Hourly",MAX(0,GS229*(GT229-GV229)),GS229*(GT229-GV229))</f>
        <v>7978885.4643009733</v>
      </c>
      <c r="GX229" s="640">
        <f>IF($A229&gt;=BegDate,Assumptions!$C$56*24*($A230-$A229)*(1-VLOOKUP($B229,MAIN!$AA$7:$AM$28,$C229+1))*(1-VLOOKUP($B229,MAIN!$AA$33:$AM$54,$C229+1)),0)*16/168</f>
        <v>51548.571428571428</v>
      </c>
      <c r="GY229" s="1715">
        <f t="shared" si="680"/>
        <v>60.064610292570634</v>
      </c>
      <c r="GZ229" s="1715">
        <f>IF($A229&gt;=BegDate,VLOOKUP($A229,GasTable,13)+Assumptions!$C$58,0)</f>
        <v>4.0148749958716348</v>
      </c>
      <c r="HA229" s="1715">
        <f>GZ229*Assumptions!$C$57/1000</f>
        <v>29.107843720069351</v>
      </c>
      <c r="HB229" s="625">
        <f>IF(Assumptions!$C$60="Hourly",MAX(0,GX229*(GY229-HA229)),GX229*(GY229-HA229))</f>
        <v>1595777.0928601946</v>
      </c>
      <c r="HC229" s="640">
        <f>IF($A229&gt;=BegDate,Assumptions!$C$56*24*($A230-$A229)*(1-VLOOKUP($B229,MAIN!$AA$7:$AM$28,$C229+1))*(1-VLOOKUP($B229,MAIN!$AA$33:$AM$54,$C229+1)),0)*16/168</f>
        <v>51548.571428571428</v>
      </c>
      <c r="HD229" s="1715">
        <f t="shared" si="681"/>
        <v>34.042677784854732</v>
      </c>
      <c r="HE229" s="1715">
        <f>IF($A229&gt;=BegDate,VLOOKUP($A229,GasTable,13)+Assumptions!$C$58,0)</f>
        <v>4.0148749958716348</v>
      </c>
      <c r="HF229" s="1715">
        <f>HE229*Assumptions!$C$57/1000</f>
        <v>29.107843720069351</v>
      </c>
      <c r="HG229" s="625">
        <f>IF(Assumptions!$C$60="Hourly",MAX(0,HC229*(HD229-HF229)),HC229*(HD229-HF229))</f>
        <v>254383.64627673669</v>
      </c>
      <c r="HH229" s="640">
        <f>IF($A229&gt;=BegDate,Assumptions!$C$56*24*($A230-$A229)*(1-VLOOKUP($B229,MAIN!$AA$7:$AM$28,$C229+1))*(1-VLOOKUP($B229,MAIN!$AA$33:$AM$54,$C229+1)),0)*56/168</f>
        <v>180420</v>
      </c>
      <c r="HI229" s="1715">
        <f t="shared" si="682"/>
        <v>34.042677784854732</v>
      </c>
      <c r="HJ229" s="1715">
        <f>IF($A229&gt;=BegDate,VLOOKUP($A229,GasTable,13)+Assumptions!$C$58,0)</f>
        <v>4.0148749958716348</v>
      </c>
      <c r="HK229" s="1715">
        <f>HJ229*Assumptions!$C$57/1000</f>
        <v>29.107843720069351</v>
      </c>
      <c r="HL229" s="625">
        <f>IF(Assumptions!$C$60="Hourly",MAX(0,HH229*(HI229-HK229)),HH229*(HI229-HK229))</f>
        <v>890342.76196857844</v>
      </c>
      <c r="HM229" s="640">
        <f>IF(AND(Assumptions!$H$71="Yes",A229&gt;=Assumptions!$H$72,A229&lt;=Assumptions!$H$73),Assumptions!$H$74*Assumptions!$C$9*1000,0)</f>
        <v>0</v>
      </c>
      <c r="HN229" s="530"/>
      <c r="HO229" s="545"/>
      <c r="HP229" s="545"/>
      <c r="HQ229" s="545"/>
      <c r="HR229" s="545"/>
      <c r="HS229" s="545"/>
      <c r="HT229" s="545"/>
      <c r="HU229" s="545"/>
      <c r="HV229" s="545"/>
      <c r="HW229" s="545"/>
      <c r="HX229" s="545"/>
      <c r="HY229" s="545"/>
      <c r="HZ229" s="545"/>
      <c r="IA229" s="545"/>
      <c r="IB229" s="545"/>
      <c r="IC229" s="545"/>
      <c r="ID229" s="545"/>
      <c r="IE229" s="545"/>
      <c r="IF229" s="545"/>
      <c r="IG229" s="545"/>
      <c r="IH229" s="545"/>
      <c r="II229" s="1464"/>
      <c r="IJ229" s="1463"/>
      <c r="IK229" s="1463"/>
    </row>
    <row r="230" spans="1:245">
      <c r="A230" s="177">
        <f t="shared" si="637"/>
        <v>43132</v>
      </c>
      <c r="B230" s="349">
        <f t="shared" si="638"/>
        <v>2018</v>
      </c>
      <c r="C230" s="15">
        <f t="shared" si="686"/>
        <v>2</v>
      </c>
      <c r="D230" s="612" t="str">
        <f t="shared" si="639"/>
        <v/>
      </c>
      <c r="E230" s="609">
        <f t="shared" si="687"/>
        <v>43132</v>
      </c>
      <c r="F230" s="614">
        <f t="shared" si="688"/>
        <v>43159</v>
      </c>
      <c r="G230" s="1349">
        <v>0</v>
      </c>
      <c r="H230" s="152">
        <f t="shared" si="683"/>
        <v>1</v>
      </c>
      <c r="I230" s="154">
        <f>IF(Assumptions!$L$25=4,VLOOKUP($A230,'Henwood Reference'!$E$9:$R$320,10),(VLOOKUP($A230,PriceTable,2,0)+IF(BasisNumber&lt;&gt;1,VLOOKUP($A230,BasisTable,2,0),0)+I$1)/(1-I$2))</f>
        <v>52.215683039015225</v>
      </c>
      <c r="J230" s="154">
        <f>IF(Assumptions!$L$25=4,VLOOKUP($A230,'Henwood Reference'!$E$9:$R$320,10),(VLOOKUP($A230,PriceTable,3,0)+IF(BasisNumber&lt;&gt;1,VLOOKUP($A230,BasisTable,2,0),0)+J$1)/(1-J$2))</f>
        <v>52.215683039015225</v>
      </c>
      <c r="K230" s="154">
        <f>IF(Assumptions!$L$25=4,VLOOKUP($A230,'Henwood Reference'!$E$9:$R$320,10),(VLOOKUP($A230,PriceTable,4,0)+IF(BasisNumber&lt;&gt;1,VLOOKUP($A230,BasisTable,2,0),0)+K$1)/(1-K$2))</f>
        <v>52.215683039015225</v>
      </c>
      <c r="L230" s="474">
        <f>IF(Assumptions!$L$25=4,VLOOKUP($A230,'Henwood Reference'!$E$9:$R$320,10),(VLOOKUP($A230,PriceTableWeekend,2,0)+IF(BasisNumber&lt;&gt;1,VLOOKUP($A230,BasisTable,2,0),0)+L$1)/(1-L$2))</f>
        <v>52.215683039015225</v>
      </c>
      <c r="M230" s="154">
        <f>IF(Assumptions!$L$25=4,VLOOKUP($A230,'Henwood Reference'!$E$9:$R$320,10),(VLOOKUP($A230,PriceTableWeekend,3,0)+IF(BasisNumber&lt;&gt;1,VLOOKUP($A230,BasisTable,2,0),0)+M$1)/(1-M$2))</f>
        <v>52.215683039015225</v>
      </c>
      <c r="N230" s="156">
        <f>IF(Assumptions!$L$25=4,VLOOKUP($A230,'Henwood Reference'!$E$9:$R$320,10),(VLOOKUP($A230,PriceTableWeekend,4,0)+IF(BasisNumber&lt;&gt;1,VLOOKUP($A230,BasisTable,2,0),0)+N$1)/(1-N$2))</f>
        <v>52.215683039015225</v>
      </c>
      <c r="O230" s="154">
        <f>IF(Assumptions!$L$25=4,VLOOKUP($A230,'Henwood Reference'!$E$9:$R$320,11),(VLOOKUP($A230,PriceTableWeekend,6,0)+IF(BasisNumber&lt;&gt;1,VLOOKUP($A230,BasisTable,3,0),0)+O$1)/(1-O$2))</f>
        <v>29.050814324950903</v>
      </c>
      <c r="P230" s="154">
        <f>IF(Assumptions!$L$25=4,VLOOKUP($A230,'Henwood Reference'!$E$9:$R$320,11),(VLOOKUP($A230,PriceTableWeekend,7,0)+IF(BasisNumber&lt;&gt;1,VLOOKUP($A230,BasisTable,3,0),0)+P$1)/(1-P$2))</f>
        <v>29.050814324950903</v>
      </c>
      <c r="Q230" s="156">
        <f>IF(Assumptions!$L$25=4,VLOOKUP($A230,'Henwood Reference'!$E$9:$R$320,11),(VLOOKUP($A230,PriceTableWeekend,8,0)+IF(BasisNumber&lt;&gt;1,VLOOKUP($A230,BasisTable,3,0),0)+Q$1)/(1-Q$2))</f>
        <v>29.050814324950903</v>
      </c>
      <c r="R230" s="154">
        <f>IF(Assumptions!$L$25=4,VLOOKUP($A230,'Henwood Reference'!$E$9:$R$320,11),(VLOOKUP($A230,PriceTable,6,0)+IF(BasisNumber&lt;&gt;1,VLOOKUP($A230,BasisTable,3,0),0)+R$1)/(1-R$2))</f>
        <v>29.050814324950903</v>
      </c>
      <c r="S230" s="154">
        <f>IF(Assumptions!$L$25=4,VLOOKUP($A230,'Henwood Reference'!$E$9:$R$320,11),(VLOOKUP($A230,PriceTable,7,0)+IF(BasisNumber&lt;&gt;1,VLOOKUP($A230,BasisTable,3,0),0)+S$1)/(1-S$2))</f>
        <v>29.050814324950903</v>
      </c>
      <c r="T230" s="155">
        <f>IF(Assumptions!$L$25=4,VLOOKUP($A230,'Henwood Reference'!$E$9:$R$320,11),(VLOOKUP($A230,PriceTable,8,0)+IF(BasisNumber&lt;&gt;1,VLOOKUP($A230,BasisTable,3,0),0)+T$1)/(1-T$2))</f>
        <v>29.050814324950903</v>
      </c>
      <c r="U230" s="173">
        <f t="shared" si="640"/>
        <v>0.09</v>
      </c>
      <c r="V230" s="173">
        <f t="shared" si="641"/>
        <v>0.1</v>
      </c>
      <c r="W230" s="174">
        <f t="shared" si="642"/>
        <v>0.11</v>
      </c>
      <c r="X230" s="173">
        <f t="shared" si="643"/>
        <v>0.09</v>
      </c>
      <c r="Y230" s="173">
        <f t="shared" si="644"/>
        <v>0.1</v>
      </c>
      <c r="Z230" s="174">
        <f t="shared" si="645"/>
        <v>0.11</v>
      </c>
      <c r="AA230" s="173">
        <f t="shared" si="646"/>
        <v>0.09</v>
      </c>
      <c r="AB230" s="173">
        <f t="shared" si="647"/>
        <v>0.11</v>
      </c>
      <c r="AC230" s="174">
        <f t="shared" si="648"/>
        <v>0.13</v>
      </c>
      <c r="AD230" s="173">
        <f t="shared" si="649"/>
        <v>0.09</v>
      </c>
      <c r="AE230" s="173">
        <f t="shared" si="650"/>
        <v>0.11</v>
      </c>
      <c r="AF230" s="174">
        <f t="shared" si="651"/>
        <v>0.13</v>
      </c>
      <c r="AG230" s="173">
        <f t="shared" si="652"/>
        <v>-0.25</v>
      </c>
      <c r="AH230" s="173">
        <f t="shared" si="653"/>
        <v>0.65</v>
      </c>
      <c r="AI230" s="174">
        <f t="shared" si="654"/>
        <v>0.25</v>
      </c>
      <c r="AJ230" s="173">
        <f t="shared" si="655"/>
        <v>-0.25</v>
      </c>
      <c r="AK230" s="173">
        <f t="shared" si="656"/>
        <v>0.65</v>
      </c>
      <c r="AL230" s="174">
        <f t="shared" si="657"/>
        <v>0.25</v>
      </c>
      <c r="AM230" s="173">
        <f t="shared" si="658"/>
        <v>-0.01</v>
      </c>
      <c r="AN230" s="173">
        <f t="shared" si="659"/>
        <v>0.16</v>
      </c>
      <c r="AO230" s="174">
        <f t="shared" si="660"/>
        <v>0.01</v>
      </c>
      <c r="AP230" s="173">
        <f t="shared" si="661"/>
        <v>-0.01</v>
      </c>
      <c r="AQ230" s="173">
        <f t="shared" si="662"/>
        <v>0.16</v>
      </c>
      <c r="AR230" s="175">
        <f t="shared" si="663"/>
        <v>0.01</v>
      </c>
      <c r="AS230" s="521">
        <f t="shared" si="691"/>
        <v>0.5</v>
      </c>
      <c r="AT230" s="349">
        <f t="shared" si="689"/>
        <v>20</v>
      </c>
      <c r="AU230" s="159">
        <f t="shared" si="582"/>
        <v>4</v>
      </c>
      <c r="AV230" s="159">
        <f t="shared" si="583"/>
        <v>4</v>
      </c>
      <c r="AW230" s="159">
        <f t="shared" si="692"/>
        <v>0</v>
      </c>
      <c r="AX230" s="15">
        <f t="shared" si="690"/>
        <v>28</v>
      </c>
      <c r="AY230" s="607">
        <f>IF(E230="",0,MIN((1-(1-VLOOKUP(B230,MAIN!$AA$7:$AM$28,C230+1))*(1-VLOOKUP(B230,MAIN!$AA$33:$AM$54,C230+1))),1))</f>
        <v>3.0000000000000027E-2</v>
      </c>
      <c r="AZ230" s="337">
        <v>46560</v>
      </c>
      <c r="BA230" s="509">
        <v>9312</v>
      </c>
      <c r="BB230" s="509">
        <v>9312</v>
      </c>
      <c r="BC230" s="511">
        <v>32592</v>
      </c>
      <c r="BD230" s="153">
        <v>0.97</v>
      </c>
      <c r="BE230" s="474">
        <v>0.97</v>
      </c>
      <c r="BF230" s="474">
        <v>0.97</v>
      </c>
      <c r="BG230" s="515">
        <v>0.9699999927729368</v>
      </c>
      <c r="BH230" s="262">
        <v>186240</v>
      </c>
      <c r="BI230" s="509">
        <v>37248</v>
      </c>
      <c r="BJ230" s="509">
        <v>37248</v>
      </c>
      <c r="BK230" s="511">
        <v>130368</v>
      </c>
      <c r="BL230" s="153">
        <v>0.97</v>
      </c>
      <c r="BM230" s="474">
        <v>0.97</v>
      </c>
      <c r="BN230" s="474">
        <v>0.97</v>
      </c>
      <c r="BO230" s="474">
        <v>0.9699999927729368</v>
      </c>
      <c r="BP230" s="261">
        <f t="shared" si="666"/>
        <v>65184</v>
      </c>
      <c r="BQ230" s="578">
        <f t="shared" si="667"/>
        <v>97776</v>
      </c>
      <c r="BR230" s="259">
        <f t="shared" si="668"/>
        <v>260736</v>
      </c>
      <c r="BS230" s="578">
        <f t="shared" si="669"/>
        <v>391104</v>
      </c>
      <c r="BT230" s="216">
        <f t="shared" si="670"/>
        <v>17.801505817932924</v>
      </c>
      <c r="BU230" s="218">
        <f t="shared" si="585"/>
        <v>52.215683039015225</v>
      </c>
      <c r="BV230" s="216">
        <f t="shared" si="586"/>
        <v>52.215683039015225</v>
      </c>
      <c r="BW230" s="216">
        <f t="shared" si="587"/>
        <v>29.050814324950903</v>
      </c>
      <c r="BX230" s="216">
        <f t="shared" si="671"/>
        <v>29.05081410850547</v>
      </c>
      <c r="BY230" s="216">
        <f t="shared" si="588"/>
        <v>48.906416079863178</v>
      </c>
      <c r="BZ230" s="216">
        <f t="shared" si="589"/>
        <v>42.287882089410608</v>
      </c>
      <c r="CA230" s="264">
        <f t="shared" si="590"/>
        <v>52.215683039015225</v>
      </c>
      <c r="CB230" s="216">
        <f t="shared" si="591"/>
        <v>52.215683039015225</v>
      </c>
      <c r="CC230" s="216">
        <f t="shared" si="592"/>
        <v>29.050814324950903</v>
      </c>
      <c r="CD230" s="216">
        <f t="shared" si="672"/>
        <v>29.05081410850547</v>
      </c>
      <c r="CE230" s="216">
        <f t="shared" si="593"/>
        <v>48.906416079863178</v>
      </c>
      <c r="CF230" s="571">
        <f t="shared" si="594"/>
        <v>42.287882089410608</v>
      </c>
      <c r="CG230" s="573">
        <f t="shared" si="595"/>
        <v>0.1</v>
      </c>
      <c r="CH230" s="219">
        <f t="shared" si="596"/>
        <v>0.1</v>
      </c>
      <c r="CI230" s="219">
        <f t="shared" si="597"/>
        <v>0.11</v>
      </c>
      <c r="CJ230" s="219">
        <f t="shared" si="598"/>
        <v>0.10085559216447919</v>
      </c>
      <c r="CK230" s="219">
        <f t="shared" si="599"/>
        <v>0.10085559216447919</v>
      </c>
      <c r="CL230" s="219">
        <f t="shared" si="600"/>
        <v>0.11</v>
      </c>
      <c r="CM230" s="219">
        <f t="shared" si="601"/>
        <v>9.3207476012042448E-2</v>
      </c>
      <c r="CN230" s="569">
        <f t="shared" si="602"/>
        <v>9.3207476012042448E-2</v>
      </c>
      <c r="CO230" s="264">
        <f t="shared" si="685"/>
        <v>26.413482985607185</v>
      </c>
      <c r="CP230" s="216">
        <f t="shared" si="673"/>
        <v>26.413482985607185</v>
      </c>
      <c r="CQ230" s="216">
        <f t="shared" ca="1" si="532"/>
        <v>26.413482985607185</v>
      </c>
      <c r="CR230" s="216">
        <f t="shared" ca="1" si="533"/>
        <v>26.413482985607185</v>
      </c>
      <c r="CS230" s="1626">
        <f t="shared" ca="1" si="534"/>
        <v>26.413482985607189</v>
      </c>
      <c r="CT230" s="216">
        <f t="shared" si="674"/>
        <v>26.413482985607185</v>
      </c>
      <c r="CU230" s="575">
        <f t="shared" si="603"/>
        <v>0.151</v>
      </c>
      <c r="CV230" s="154">
        <f t="shared" si="604"/>
        <v>0.5</v>
      </c>
      <c r="CW230" s="216">
        <f>IF(OR($BQ230,$BS230),SpreadOptPowerMargin,0)*((1+Assumptions!$C$26)^($B230-YEAR(Assumptions!$C$17)))</f>
        <v>2.4225630089834325</v>
      </c>
      <c r="CX230" s="216">
        <f>IF(OR($BQ230,$BS230),SpreadOptPowerMargin,0)*((1+Assumptions!$C$26)^($B230-YEAR(Assumptions!$C$17)))</f>
        <v>2.4225630089834325</v>
      </c>
      <c r="CY230" s="216">
        <f>IF(OR($BQ230,$BS230),SpreadOptPowerMargin,0)*((1+Assumptions!$C$26)^($B230-YEAR(Assumptions!$C$17)))</f>
        <v>2.4225630089834325</v>
      </c>
      <c r="CZ230" s="216">
        <f>IF(OR($BQ230,$BS230),SpreadOptPowerMargin,0)*((1+Assumptions!$C$26)^($B230-YEAR(Assumptions!$C$17)))</f>
        <v>2.4225630089834325</v>
      </c>
      <c r="DA230" s="440">
        <f t="shared" si="605"/>
        <v>2.4225630089834325</v>
      </c>
      <c r="DB230" s="479">
        <f t="shared" si="606"/>
        <v>0.1</v>
      </c>
      <c r="DC230" s="479">
        <f t="shared" si="607"/>
        <v>0.1</v>
      </c>
      <c r="DD230" s="479">
        <f t="shared" si="608"/>
        <v>0.11</v>
      </c>
      <c r="DE230" s="479">
        <f t="shared" si="609"/>
        <v>0.11</v>
      </c>
      <c r="DF230" s="479">
        <f t="shared" si="610"/>
        <v>9.3207476012042448E-2</v>
      </c>
      <c r="DG230" s="574">
        <f t="shared" si="611"/>
        <v>9.3207476012042448E-2</v>
      </c>
      <c r="DH230" s="216">
        <f t="shared" si="612"/>
        <v>24.696654305789774</v>
      </c>
      <c r="DI230" s="216">
        <f t="shared" si="613"/>
        <v>24.696654305789774</v>
      </c>
      <c r="DJ230" s="216">
        <f t="shared" ca="1" si="535"/>
        <v>6.1929400289661984</v>
      </c>
      <c r="DK230" s="216">
        <f t="shared" ca="1" si="536"/>
        <v>6.192939895778804</v>
      </c>
      <c r="DL230" s="216">
        <f t="shared" ca="1" si="537"/>
        <v>15.849841405234558</v>
      </c>
      <c r="DM230" s="216"/>
      <c r="DN230" s="216"/>
      <c r="DO230" s="216"/>
      <c r="DP230" s="216"/>
      <c r="DQ230" s="216"/>
      <c r="DR230" s="216"/>
      <c r="DS230" s="216"/>
      <c r="DT230" s="216"/>
      <c r="DU230" s="216"/>
      <c r="DV230" s="216"/>
      <c r="DW230" s="1371">
        <f t="shared" si="614"/>
        <v>6.1929400289661984</v>
      </c>
      <c r="DX230" s="216">
        <f t="shared" si="615"/>
        <v>6.192939895778804</v>
      </c>
      <c r="DY230" s="440">
        <f t="shared" si="616"/>
        <v>16.766490999898156</v>
      </c>
      <c r="DZ230" s="180">
        <f t="shared" si="617"/>
        <v>1149876.2244775719</v>
      </c>
      <c r="EA230" s="180">
        <f t="shared" si="618"/>
        <v>229975.24489551439</v>
      </c>
      <c r="EB230" s="180">
        <f t="shared" ca="1" si="538"/>
        <v>57668.657549733238</v>
      </c>
      <c r="EC230" s="180">
        <f t="shared" ca="1" si="539"/>
        <v>201840.29708322277</v>
      </c>
      <c r="ED230" s="180">
        <f t="shared" ca="1" si="540"/>
        <v>1549734.0932382143</v>
      </c>
      <c r="EE230" s="581">
        <f t="shared" si="619"/>
        <v>1088555.9007884099</v>
      </c>
      <c r="EF230" s="554">
        <f t="shared" si="620"/>
        <v>217711.18015768196</v>
      </c>
      <c r="EG230" s="554">
        <f t="shared" ca="1" si="541"/>
        <v>1999.922692314984</v>
      </c>
      <c r="EH230" s="554">
        <f t="shared" ca="1" si="542"/>
        <v>6999.7223687129162</v>
      </c>
      <c r="EI230" s="561">
        <f t="shared" ca="1" si="621"/>
        <v>1315266.7260071193</v>
      </c>
      <c r="EJ230" s="581">
        <f t="shared" si="675"/>
        <v>61320.323689162033</v>
      </c>
      <c r="EK230" s="554">
        <f t="shared" si="676"/>
        <v>12264.064737832436</v>
      </c>
      <c r="EL230" s="554">
        <f t="shared" ca="1" si="543"/>
        <v>55668.734857418254</v>
      </c>
      <c r="EM230" s="554">
        <f t="shared" ca="1" si="544"/>
        <v>194840.57471450986</v>
      </c>
      <c r="EN230" s="561">
        <f t="shared" ca="1" si="545"/>
        <v>234467.36723109498</v>
      </c>
      <c r="EO230" s="180">
        <f t="shared" si="622"/>
        <v>4599504.8979102876</v>
      </c>
      <c r="EP230" s="180">
        <f t="shared" si="623"/>
        <v>919900.97958205757</v>
      </c>
      <c r="EQ230" s="180">
        <f t="shared" si="624"/>
        <v>230674.63019893295</v>
      </c>
      <c r="ER230" s="180">
        <f t="shared" si="625"/>
        <v>807361.18833289109</v>
      </c>
      <c r="ES230" s="180">
        <f t="shared" si="626"/>
        <v>6557441.6960241683</v>
      </c>
      <c r="ET230" s="1482">
        <f t="shared" ca="1" si="546"/>
        <v>4354223.6031536395</v>
      </c>
      <c r="EU230" s="180">
        <f t="shared" ca="1" si="547"/>
        <v>870844.72063072782</v>
      </c>
      <c r="EV230" s="180">
        <f t="shared" ca="1" si="548"/>
        <v>7999.6907692599361</v>
      </c>
      <c r="EW230" s="180">
        <f t="shared" ca="1" si="549"/>
        <v>27998.889474851665</v>
      </c>
      <c r="EX230" s="555">
        <f t="shared" ca="1" si="522"/>
        <v>5261066.904028479</v>
      </c>
      <c r="EY230" s="180">
        <f t="shared" ca="1" si="550"/>
        <v>245281.29475664813</v>
      </c>
      <c r="EZ230" s="180">
        <f t="shared" ca="1" si="551"/>
        <v>49056.258951329743</v>
      </c>
      <c r="FA230" s="180">
        <f t="shared" ca="1" si="552"/>
        <v>222674.93942967302</v>
      </c>
      <c r="FB230" s="180">
        <f t="shared" ca="1" si="553"/>
        <v>779362.29885803943</v>
      </c>
      <c r="FC230" s="180">
        <f t="shared" ca="1" si="554"/>
        <v>1296374.7919956893</v>
      </c>
      <c r="FD230" s="262">
        <f>IF(AX230,IF(VLOOKUP(C230,MAIN!$L$17:$M$28,2)="Yes",VLOOKUP(CALC!B230,MAIN!$H$17:$I$20,2),0),0)</f>
        <v>0</v>
      </c>
      <c r="FE230" s="623">
        <f t="shared" si="627"/>
        <v>0</v>
      </c>
      <c r="FF230" s="535">
        <f t="shared" si="628"/>
        <v>0</v>
      </c>
      <c r="FG230" s="535">
        <f t="shared" si="629"/>
        <v>0</v>
      </c>
      <c r="FH230" s="624">
        <f t="shared" si="630"/>
        <v>0</v>
      </c>
      <c r="FI230" s="632">
        <f>IF(AX230,VLOOKUP(CALC!B230,MAIN!$H$17:$K$20,4),0)</f>
        <v>0</v>
      </c>
      <c r="FJ230" s="535">
        <f t="shared" si="631"/>
        <v>0</v>
      </c>
      <c r="FK230" s="648">
        <f t="shared" si="677"/>
        <v>0</v>
      </c>
      <c r="FL230" s="530">
        <f t="shared" ca="1" si="555"/>
        <v>0</v>
      </c>
      <c r="FM230" s="530">
        <f t="shared" ca="1" si="556"/>
        <v>0</v>
      </c>
      <c r="FN230" s="530">
        <f t="shared" ca="1" si="557"/>
        <v>0</v>
      </c>
      <c r="FO230" s="622">
        <f t="shared" ca="1" si="558"/>
        <v>0</v>
      </c>
      <c r="FP230" s="530">
        <f t="shared" ca="1" si="559"/>
        <v>0</v>
      </c>
      <c r="FQ230" s="530">
        <f t="shared" ca="1" si="560"/>
        <v>0</v>
      </c>
      <c r="FR230" s="530">
        <f t="shared" ca="1" si="561"/>
        <v>0</v>
      </c>
      <c r="FS230" s="625">
        <f t="shared" ca="1" si="562"/>
        <v>0</v>
      </c>
      <c r="FT230" s="640">
        <f ca="1">IF(AND(Assumptions!$H$71="Yes",A230&gt;=Assumptions!$H$72,A230&lt;=Assumptions!$H$73),0,IF(AND($A230&gt;=Assumptions!$C$17,$A230&lt;=Assumptions!$C$18),MAX(AZ230*(1+VLOOKUP($C230,WeatherCapacityAdjustment,2))-FL230,0),0))</f>
        <v>46560</v>
      </c>
      <c r="FU230" s="530">
        <f ca="1">IF(AND(Assumptions!$H$71="Yes",A230&gt;=Assumptions!$H$72,A230&lt;=Assumptions!$H$73),0,IF(AND($A230&gt;=Assumptions!$C$17,$A230&lt;=Assumptions!$C$18),MAX(BA230*(1+VLOOKUP($C230,WeatherCapacityAdjustment,2))-FM230,0),0))</f>
        <v>9312</v>
      </c>
      <c r="FV230" s="530">
        <f ca="1">IF(AND(Assumptions!$H$71="Yes",A230&gt;=Assumptions!$H$72,A230&lt;=Assumptions!$H$73),0,IF(AND($A230&gt;=Assumptions!$C$17,$A230&lt;=Assumptions!$C$18),MAX(BB230*(1+VLOOKUP($C230,WeatherCapacityAdjustment,2))-FN230,0),0))</f>
        <v>9312</v>
      </c>
      <c r="FW230" s="622">
        <f ca="1">IF(AND(Assumptions!$H$71="Yes",A230&gt;=Assumptions!$H$72,A230&lt;=Assumptions!$H$73),0,IF(AND($A230&gt;=Assumptions!$C$17,$A230&lt;=Assumptions!$C$18),MAX(BC230*(1+VLOOKUP($C230,WeatherCapacityAdjustment,3))-FO230,0),0))</f>
        <v>32592</v>
      </c>
      <c r="FX230" s="621">
        <f ca="1">IF(AND(Assumptions!$H$71="Yes",A230&gt;=Assumptions!$H$72,A230&lt;=Assumptions!$H$73),0,IF(ET230&gt;0,MAX(BH230*(1+VLOOKUP($C230,WeatherCapacityAdjustment,2))-FP230,0),0))</f>
        <v>186240</v>
      </c>
      <c r="FY230" s="530">
        <f ca="1">IF(AND(Assumptions!$H$71="Yes",A230&gt;=Assumptions!$H$72,A230&lt;=Assumptions!$H$73),0,IF(EU230&gt;0,MAX(BI230*(1+VLOOKUP($C230,WeatherCapacityAdjustment,3))-FQ230,0),0))</f>
        <v>37248</v>
      </c>
      <c r="FZ230" s="530">
        <f ca="1">IF(AND(Assumptions!$H$71="Yes",A230&gt;=Assumptions!$H$72,A230&lt;=Assumptions!$H$73),0,IF(EV230&gt;0,MAX(BJ230*(1+VLOOKUP($C230,WeatherCapacityAdjustment,2))-FR230,0),0))</f>
        <v>37248</v>
      </c>
      <c r="GA230" s="622">
        <f ca="1">IF(AND(Assumptions!$H$71="Yes",A230&gt;=Assumptions!$H$72,A230&lt;=Assumptions!$H$73),0,IF(EW230&gt;0,MAX(BK230*(1+VLOOKUP($C230,WeatherCapacityAdjustment,2))-FS230,0),0))</f>
        <v>130368</v>
      </c>
      <c r="GB230" s="530">
        <f t="shared" ca="1" si="632"/>
        <v>488880</v>
      </c>
      <c r="GC230" s="545">
        <f t="shared" ca="1" si="633"/>
        <v>42.287882089410608</v>
      </c>
      <c r="GD230" s="530">
        <f t="shared" ca="1" si="563"/>
        <v>20673699.79587106</v>
      </c>
      <c r="GE230" s="1485">
        <f t="shared" ca="1" si="564"/>
        <v>697627.84895999997</v>
      </c>
      <c r="GF230" s="1776">
        <f t="shared" ca="1" si="565"/>
        <v>2790511.3958399999</v>
      </c>
      <c r="GG230" s="545">
        <f t="shared" si="530"/>
        <v>3.7019805276563829</v>
      </c>
      <c r="GH230" s="622">
        <f t="shared" ca="1" si="531"/>
        <v>12913023.56200364</v>
      </c>
      <c r="GI230" s="621">
        <f t="shared" ca="1" si="678"/>
        <v>488880</v>
      </c>
      <c r="GJ230" s="638">
        <f t="shared" si="634"/>
        <v>2.4225630089834325</v>
      </c>
      <c r="GK230" s="625">
        <f t="shared" ca="1" si="684"/>
        <v>1184342.6038318204</v>
      </c>
      <c r="GL230" s="640">
        <f t="shared" ca="1" si="566"/>
        <v>0</v>
      </c>
      <c r="GM230" s="530">
        <f t="shared" ca="1" si="567"/>
        <v>0</v>
      </c>
      <c r="GN230" s="530">
        <f t="shared" ca="1" si="568"/>
        <v>0</v>
      </c>
      <c r="GO230" s="622">
        <f t="shared" ca="1" si="569"/>
        <v>0</v>
      </c>
      <c r="GP230" s="530">
        <f t="shared" ca="1" si="635"/>
        <v>0</v>
      </c>
      <c r="GQ230" s="545">
        <f t="shared" ca="1" si="636"/>
        <v>0</v>
      </c>
      <c r="GR230" s="625">
        <f t="shared" ca="1" si="570"/>
        <v>0</v>
      </c>
      <c r="GS230" s="640">
        <f>IF($A230&gt;=BegDate,Assumptions!$C$56*24*($A231-$A230)*(1-VLOOKUP($B230,MAIN!$AA$7:$AM$28,$C230+1))*(1-VLOOKUP($B230,MAIN!$AA$33:$AM$54,$C230+1)),0)*80/168</f>
        <v>232800</v>
      </c>
      <c r="GT230" s="1715">
        <f t="shared" si="679"/>
        <v>52.215683039015225</v>
      </c>
      <c r="GU230" s="1715">
        <f>IF($A230&gt;=BegDate,VLOOKUP($A230,GasTable,13)+Assumptions!$C$58,0)</f>
        <v>3.7019805276563829</v>
      </c>
      <c r="GV230" s="1715">
        <f>GU230*Assumptions!$C$57/1000</f>
        <v>26.839358825508775</v>
      </c>
      <c r="GW230" s="625">
        <f>IF(Assumptions!$C$60="Hourly",MAX(0,GS230*(GT230-GV230)),GS230*(GT230-GV230))</f>
        <v>5907608.2769043017</v>
      </c>
      <c r="GX230" s="640">
        <f>IF($A230&gt;=BegDate,Assumptions!$C$56*24*($A231-$A230)*(1-VLOOKUP($B230,MAIN!$AA$7:$AM$28,$C230+1))*(1-VLOOKUP($B230,MAIN!$AA$33:$AM$54,$C230+1)),0)*16/168</f>
        <v>46560</v>
      </c>
      <c r="GY230" s="1715">
        <f t="shared" si="680"/>
        <v>52.215683039015225</v>
      </c>
      <c r="GZ230" s="1715">
        <f>IF($A230&gt;=BegDate,VLOOKUP($A230,GasTable,13)+Assumptions!$C$58,0)</f>
        <v>3.7019805276563829</v>
      </c>
      <c r="HA230" s="1715">
        <f>GZ230*Assumptions!$C$57/1000</f>
        <v>26.839358825508775</v>
      </c>
      <c r="HB230" s="625">
        <f>IF(Assumptions!$C$60="Hourly",MAX(0,GX230*(GY230-HA230)),GX230*(GY230-HA230))</f>
        <v>1181521.6553808604</v>
      </c>
      <c r="HC230" s="640">
        <f>IF($A230&gt;=BegDate,Assumptions!$C$56*24*($A231-$A230)*(1-VLOOKUP($B230,MAIN!$AA$7:$AM$28,$C230+1))*(1-VLOOKUP($B230,MAIN!$AA$33:$AM$54,$C230+1)),0)*16/168</f>
        <v>46560</v>
      </c>
      <c r="HD230" s="1715">
        <f t="shared" si="681"/>
        <v>29.050814324950903</v>
      </c>
      <c r="HE230" s="1715">
        <f>IF($A230&gt;=BegDate,VLOOKUP($A230,GasTable,13)+Assumptions!$C$58,0)</f>
        <v>3.7019805276563829</v>
      </c>
      <c r="HF230" s="1715">
        <f>HE230*Assumptions!$C$57/1000</f>
        <v>26.839358825508775</v>
      </c>
      <c r="HG230" s="625">
        <f>IF(Assumptions!$C$60="Hourly",MAX(0,HC230*(HD230-HF230)),HC230*(HD230-HF230))</f>
        <v>102965.36805402546</v>
      </c>
      <c r="HH230" s="640">
        <f>IF($A230&gt;=BegDate,Assumptions!$C$56*24*($A231-$A230)*(1-VLOOKUP($B230,MAIN!$AA$7:$AM$28,$C230+1))*(1-VLOOKUP($B230,MAIN!$AA$33:$AM$54,$C230+1)),0)*56/168</f>
        <v>162960</v>
      </c>
      <c r="HI230" s="1715">
        <f t="shared" si="682"/>
        <v>29.050814324950903</v>
      </c>
      <c r="HJ230" s="1715">
        <f>IF($A230&gt;=BegDate,VLOOKUP($A230,GasTable,13)+Assumptions!$C$58,0)</f>
        <v>3.7019805276563829</v>
      </c>
      <c r="HK230" s="1715">
        <f>HJ230*Assumptions!$C$57/1000</f>
        <v>26.839358825508775</v>
      </c>
      <c r="HL230" s="625">
        <f>IF(Assumptions!$C$60="Hourly",MAX(0,HH230*(HI230-HK230)),HH230*(HI230-HK230))</f>
        <v>360378.7881890891</v>
      </c>
      <c r="HM230" s="640">
        <f>IF(AND(Assumptions!$H$71="Yes",A230&gt;=Assumptions!$H$72,A230&lt;=Assumptions!$H$73),Assumptions!$H$74*Assumptions!$C$9*1000,0)</f>
        <v>0</v>
      </c>
      <c r="HN230" s="530"/>
      <c r="HO230" s="545"/>
      <c r="HP230" s="545"/>
      <c r="HQ230" s="545"/>
      <c r="HR230" s="545"/>
      <c r="HS230" s="545"/>
      <c r="HT230" s="545"/>
      <c r="HU230" s="545"/>
      <c r="HV230" s="545"/>
      <c r="HW230" s="545"/>
      <c r="HX230" s="545"/>
      <c r="HY230" s="545"/>
      <c r="HZ230" s="545"/>
      <c r="IA230" s="545"/>
      <c r="IB230" s="545"/>
      <c r="IC230" s="545"/>
      <c r="ID230" s="545"/>
      <c r="IE230" s="545"/>
      <c r="IF230" s="545"/>
      <c r="IG230" s="545"/>
      <c r="IH230" s="545"/>
      <c r="II230" s="1464"/>
      <c r="IJ230" s="1463"/>
      <c r="IK230" s="1463"/>
    </row>
    <row r="231" spans="1:245">
      <c r="A231" s="177">
        <f t="shared" si="637"/>
        <v>43160</v>
      </c>
      <c r="B231" s="349">
        <f t="shared" si="638"/>
        <v>2018</v>
      </c>
      <c r="C231" s="15">
        <f t="shared" si="686"/>
        <v>3</v>
      </c>
      <c r="D231" s="612" t="str">
        <f t="shared" si="639"/>
        <v/>
      </c>
      <c r="E231" s="609">
        <f t="shared" si="687"/>
        <v>43160</v>
      </c>
      <c r="F231" s="614">
        <f t="shared" si="688"/>
        <v>43190</v>
      </c>
      <c r="G231" s="1349">
        <v>0</v>
      </c>
      <c r="H231" s="152">
        <f t="shared" si="683"/>
        <v>1</v>
      </c>
      <c r="I231" s="154">
        <f>IF(Assumptions!$L$25=4,VLOOKUP($A231,'Henwood Reference'!$E$9:$R$320,10),(VLOOKUP($A231,PriceTable,2,0)+IF(BasisNumber&lt;&gt;1,VLOOKUP($A231,BasisTable,2,0),0)+I$1)/(1-I$2))</f>
        <v>43.026061032859971</v>
      </c>
      <c r="J231" s="154">
        <f>IF(Assumptions!$L$25=4,VLOOKUP($A231,'Henwood Reference'!$E$9:$R$320,10),(VLOOKUP($A231,PriceTable,3,0)+IF(BasisNumber&lt;&gt;1,VLOOKUP($A231,BasisTable,2,0),0)+J$1)/(1-J$2))</f>
        <v>43.026061032859971</v>
      </c>
      <c r="K231" s="154">
        <f>IF(Assumptions!$L$25=4,VLOOKUP($A231,'Henwood Reference'!$E$9:$R$320,10),(VLOOKUP($A231,PriceTable,4,0)+IF(BasisNumber&lt;&gt;1,VLOOKUP($A231,BasisTable,2,0),0)+K$1)/(1-K$2))</f>
        <v>43.026061032859971</v>
      </c>
      <c r="L231" s="474">
        <f>IF(Assumptions!$L$25=4,VLOOKUP($A231,'Henwood Reference'!$E$9:$R$320,10),(VLOOKUP($A231,PriceTableWeekend,2,0)+IF(BasisNumber&lt;&gt;1,VLOOKUP($A231,BasisTable,2,0),0)+L$1)/(1-L$2))</f>
        <v>43.026061032859971</v>
      </c>
      <c r="M231" s="154">
        <f>IF(Assumptions!$L$25=4,VLOOKUP($A231,'Henwood Reference'!$E$9:$R$320,10),(VLOOKUP($A231,PriceTableWeekend,3,0)+IF(BasisNumber&lt;&gt;1,VLOOKUP($A231,BasisTable,2,0),0)+M$1)/(1-M$2))</f>
        <v>43.026061032859971</v>
      </c>
      <c r="N231" s="156">
        <f>IF(Assumptions!$L$25=4,VLOOKUP($A231,'Henwood Reference'!$E$9:$R$320,10),(VLOOKUP($A231,PriceTableWeekend,4,0)+IF(BasisNumber&lt;&gt;1,VLOOKUP($A231,BasisTable,2,0),0)+N$1)/(1-N$2))</f>
        <v>43.026061032859971</v>
      </c>
      <c r="O231" s="154">
        <f>IF(Assumptions!$L$25=4,VLOOKUP($A231,'Henwood Reference'!$E$9:$R$320,11),(VLOOKUP($A231,PriceTableWeekend,6,0)+IF(BasisNumber&lt;&gt;1,VLOOKUP($A231,BasisTable,3,0),0)+O$1)/(1-O$2))</f>
        <v>28.342261361528315</v>
      </c>
      <c r="P231" s="154">
        <f>IF(Assumptions!$L$25=4,VLOOKUP($A231,'Henwood Reference'!$E$9:$R$320,11),(VLOOKUP($A231,PriceTableWeekend,7,0)+IF(BasisNumber&lt;&gt;1,VLOOKUP($A231,BasisTable,3,0),0)+P$1)/(1-P$2))</f>
        <v>28.342261361528315</v>
      </c>
      <c r="Q231" s="156">
        <f>IF(Assumptions!$L$25=4,VLOOKUP($A231,'Henwood Reference'!$E$9:$R$320,11),(VLOOKUP($A231,PriceTableWeekend,8,0)+IF(BasisNumber&lt;&gt;1,VLOOKUP($A231,BasisTable,3,0),0)+Q$1)/(1-Q$2))</f>
        <v>28.342261361528315</v>
      </c>
      <c r="R231" s="154">
        <f>IF(Assumptions!$L$25=4,VLOOKUP($A231,'Henwood Reference'!$E$9:$R$320,11),(VLOOKUP($A231,PriceTable,6,0)+IF(BasisNumber&lt;&gt;1,VLOOKUP($A231,BasisTable,3,0),0)+R$1)/(1-R$2))</f>
        <v>28.342261361528315</v>
      </c>
      <c r="S231" s="154">
        <f>IF(Assumptions!$L$25=4,VLOOKUP($A231,'Henwood Reference'!$E$9:$R$320,11),(VLOOKUP($A231,PriceTable,7,0)+IF(BasisNumber&lt;&gt;1,VLOOKUP($A231,BasisTable,3,0),0)+S$1)/(1-S$2))</f>
        <v>28.342261361528315</v>
      </c>
      <c r="T231" s="155">
        <f>IF(Assumptions!$L$25=4,VLOOKUP($A231,'Henwood Reference'!$E$9:$R$320,11),(VLOOKUP($A231,PriceTable,8,0)+IF(BasisNumber&lt;&gt;1,VLOOKUP($A231,BasisTable,3,0),0)+T$1)/(1-T$2))</f>
        <v>28.342261361528315</v>
      </c>
      <c r="U231" s="173">
        <f t="shared" si="640"/>
        <v>0.09</v>
      </c>
      <c r="V231" s="173">
        <f t="shared" si="641"/>
        <v>0.1</v>
      </c>
      <c r="W231" s="174">
        <f t="shared" si="642"/>
        <v>0.11</v>
      </c>
      <c r="X231" s="173">
        <f t="shared" si="643"/>
        <v>0.09</v>
      </c>
      <c r="Y231" s="173">
        <f t="shared" si="644"/>
        <v>0.1</v>
      </c>
      <c r="Z231" s="174">
        <f t="shared" si="645"/>
        <v>0.11</v>
      </c>
      <c r="AA231" s="173">
        <f t="shared" si="646"/>
        <v>0.09</v>
      </c>
      <c r="AB231" s="173">
        <f t="shared" si="647"/>
        <v>0.11</v>
      </c>
      <c r="AC231" s="174">
        <f t="shared" si="648"/>
        <v>0.13</v>
      </c>
      <c r="AD231" s="173">
        <f t="shared" si="649"/>
        <v>0.09</v>
      </c>
      <c r="AE231" s="173">
        <f t="shared" si="650"/>
        <v>0.11</v>
      </c>
      <c r="AF231" s="174">
        <f t="shared" si="651"/>
        <v>0.13</v>
      </c>
      <c r="AG231" s="173">
        <f t="shared" si="652"/>
        <v>-0.1</v>
      </c>
      <c r="AH231" s="173">
        <f t="shared" si="653"/>
        <v>0.65</v>
      </c>
      <c r="AI231" s="174">
        <f t="shared" si="654"/>
        <v>0.1</v>
      </c>
      <c r="AJ231" s="173">
        <f t="shared" si="655"/>
        <v>-0.1</v>
      </c>
      <c r="AK231" s="173">
        <f t="shared" si="656"/>
        <v>0.65</v>
      </c>
      <c r="AL231" s="174">
        <f t="shared" si="657"/>
        <v>0.1</v>
      </c>
      <c r="AM231" s="173">
        <f t="shared" si="658"/>
        <v>-0.01</v>
      </c>
      <c r="AN231" s="173">
        <f t="shared" si="659"/>
        <v>0.16</v>
      </c>
      <c r="AO231" s="174">
        <f t="shared" si="660"/>
        <v>0.01</v>
      </c>
      <c r="AP231" s="173">
        <f t="shared" si="661"/>
        <v>-0.01</v>
      </c>
      <c r="AQ231" s="173">
        <f t="shared" si="662"/>
        <v>0.16</v>
      </c>
      <c r="AR231" s="175">
        <f t="shared" si="663"/>
        <v>0.01</v>
      </c>
      <c r="AS231" s="521">
        <f t="shared" si="691"/>
        <v>0.5</v>
      </c>
      <c r="AT231" s="349">
        <f t="shared" si="689"/>
        <v>22</v>
      </c>
      <c r="AU231" s="159">
        <f t="shared" si="582"/>
        <v>5</v>
      </c>
      <c r="AV231" s="159">
        <f t="shared" si="583"/>
        <v>4</v>
      </c>
      <c r="AW231" s="159">
        <f t="shared" si="692"/>
        <v>0</v>
      </c>
      <c r="AX231" s="15">
        <f t="shared" si="690"/>
        <v>31</v>
      </c>
      <c r="AY231" s="607">
        <f>IF(E231="",0,MIN((1-(1-VLOOKUP(B231,MAIN!$AA$7:$AM$28,C231+1))*(1-VLOOKUP(B231,MAIN!$AA$33:$AM$54,C231+1))),1))</f>
        <v>3.0000000000000027E-2</v>
      </c>
      <c r="AZ231" s="337">
        <v>51216</v>
      </c>
      <c r="BA231" s="509">
        <v>11640</v>
      </c>
      <c r="BB231" s="509">
        <v>9312</v>
      </c>
      <c r="BC231" s="511">
        <v>36084</v>
      </c>
      <c r="BD231" s="153">
        <v>0.96999999638646839</v>
      </c>
      <c r="BE231" s="474">
        <v>0.96999999638646839</v>
      </c>
      <c r="BF231" s="474">
        <v>0.96999999638646839</v>
      </c>
      <c r="BG231" s="515">
        <v>0.97000000722706314</v>
      </c>
      <c r="BH231" s="262">
        <v>204864</v>
      </c>
      <c r="BI231" s="509">
        <v>46560</v>
      </c>
      <c r="BJ231" s="509">
        <v>37248</v>
      </c>
      <c r="BK231" s="511">
        <v>144336</v>
      </c>
      <c r="BL231" s="153">
        <v>0.96999999638646839</v>
      </c>
      <c r="BM231" s="474">
        <v>0.96999999638646839</v>
      </c>
      <c r="BN231" s="474">
        <v>0.96999999638646839</v>
      </c>
      <c r="BO231" s="474">
        <v>0.97000000722706314</v>
      </c>
      <c r="BP231" s="261">
        <f t="shared" si="666"/>
        <v>72168</v>
      </c>
      <c r="BQ231" s="578">
        <f t="shared" si="667"/>
        <v>108252</v>
      </c>
      <c r="BR231" s="259">
        <f t="shared" si="668"/>
        <v>288672</v>
      </c>
      <c r="BS231" s="578">
        <f t="shared" si="669"/>
        <v>433008</v>
      </c>
      <c r="BT231" s="216">
        <f t="shared" si="670"/>
        <v>17.878165639972622</v>
      </c>
      <c r="BU231" s="218">
        <f t="shared" si="585"/>
        <v>43.0260608725754</v>
      </c>
      <c r="BV231" s="216">
        <f t="shared" si="586"/>
        <v>43.0260608725754</v>
      </c>
      <c r="BW231" s="216">
        <f t="shared" si="587"/>
        <v>28.342261255945164</v>
      </c>
      <c r="BX231" s="216">
        <f t="shared" si="671"/>
        <v>28.342261572694618</v>
      </c>
      <c r="BY231" s="216">
        <f t="shared" si="588"/>
        <v>41.131377051074715</v>
      </c>
      <c r="BZ231" s="216">
        <f t="shared" si="589"/>
        <v>36.868338558281351</v>
      </c>
      <c r="CA231" s="264">
        <f t="shared" si="590"/>
        <v>43.0260608725754</v>
      </c>
      <c r="CB231" s="216">
        <f t="shared" si="591"/>
        <v>43.0260608725754</v>
      </c>
      <c r="CC231" s="216">
        <f t="shared" si="592"/>
        <v>28.342261255945164</v>
      </c>
      <c r="CD231" s="216">
        <f t="shared" si="672"/>
        <v>28.342261572694618</v>
      </c>
      <c r="CE231" s="216">
        <f t="shared" si="593"/>
        <v>41.131377051074715</v>
      </c>
      <c r="CF231" s="571">
        <f t="shared" si="594"/>
        <v>36.868338558281351</v>
      </c>
      <c r="CG231" s="573">
        <f t="shared" si="595"/>
        <v>0.1</v>
      </c>
      <c r="CH231" s="219">
        <f t="shared" si="596"/>
        <v>0.1</v>
      </c>
      <c r="CI231" s="219">
        <f t="shared" si="597"/>
        <v>0.11</v>
      </c>
      <c r="CJ231" s="219">
        <f t="shared" si="598"/>
        <v>0.10089646393152936</v>
      </c>
      <c r="CK231" s="219">
        <f t="shared" si="599"/>
        <v>0.10089646393152936</v>
      </c>
      <c r="CL231" s="219">
        <f t="shared" si="600"/>
        <v>0.11</v>
      </c>
      <c r="CM231" s="219">
        <f t="shared" si="601"/>
        <v>9.2693007586709786E-2</v>
      </c>
      <c r="CN231" s="569">
        <f t="shared" si="602"/>
        <v>9.2693007586709786E-2</v>
      </c>
      <c r="CO231" s="264">
        <f t="shared" si="685"/>
        <v>24.967884129056007</v>
      </c>
      <c r="CP231" s="216">
        <f t="shared" si="673"/>
        <v>24.967884129056007</v>
      </c>
      <c r="CQ231" s="216">
        <f t="shared" ca="1" si="532"/>
        <v>24.967884129056007</v>
      </c>
      <c r="CR231" s="216">
        <f t="shared" ca="1" si="533"/>
        <v>24.967884129056007</v>
      </c>
      <c r="CS231" s="1626">
        <f t="shared" ca="1" si="534"/>
        <v>24.967884129056003</v>
      </c>
      <c r="CT231" s="216">
        <f t="shared" si="674"/>
        <v>24.967884129056007</v>
      </c>
      <c r="CU231" s="575">
        <f t="shared" si="603"/>
        <v>0.151</v>
      </c>
      <c r="CV231" s="154">
        <f t="shared" si="604"/>
        <v>0.5</v>
      </c>
      <c r="CW231" s="216">
        <f>IF(OR($BQ231,$BS231),SpreadOptPowerMargin,0)*((1+Assumptions!$C$26)^($B231-YEAR(Assumptions!$C$17)))</f>
        <v>2.4225630089834325</v>
      </c>
      <c r="CX231" s="216">
        <f>IF(OR($BQ231,$BS231),SpreadOptPowerMargin,0)*((1+Assumptions!$C$26)^($B231-YEAR(Assumptions!$C$17)))</f>
        <v>2.4225630089834325</v>
      </c>
      <c r="CY231" s="216">
        <f>IF(OR($BQ231,$BS231),SpreadOptPowerMargin,0)*((1+Assumptions!$C$26)^($B231-YEAR(Assumptions!$C$17)))</f>
        <v>2.4225630089834325</v>
      </c>
      <c r="CZ231" s="216">
        <f>IF(OR($BQ231,$BS231),SpreadOptPowerMargin,0)*((1+Assumptions!$C$26)^($B231-YEAR(Assumptions!$C$17)))</f>
        <v>2.4225630089834325</v>
      </c>
      <c r="DA231" s="440">
        <f t="shared" si="605"/>
        <v>2.4225630089834325</v>
      </c>
      <c r="DB231" s="479">
        <f t="shared" si="606"/>
        <v>0.1</v>
      </c>
      <c r="DC231" s="479">
        <f t="shared" si="607"/>
        <v>0.1</v>
      </c>
      <c r="DD231" s="479">
        <f t="shared" si="608"/>
        <v>0.11</v>
      </c>
      <c r="DE231" s="479">
        <f t="shared" si="609"/>
        <v>0.11</v>
      </c>
      <c r="DF231" s="479">
        <f t="shared" si="610"/>
        <v>9.2693007586709786E-2</v>
      </c>
      <c r="DG231" s="574">
        <f t="shared" si="611"/>
        <v>9.2693007586709786E-2</v>
      </c>
      <c r="DH231" s="216">
        <f t="shared" si="612"/>
        <v>17.556831027534731</v>
      </c>
      <c r="DI231" s="216">
        <f t="shared" si="613"/>
        <v>17.556831027534731</v>
      </c>
      <c r="DJ231" s="216">
        <f t="shared" ca="1" si="535"/>
        <v>6.3421001236303045</v>
      </c>
      <c r="DK231" s="216">
        <f t="shared" ca="1" si="536"/>
        <v>6.3421003245951821</v>
      </c>
      <c r="DL231" s="216">
        <f t="shared" ca="1" si="537"/>
        <v>12.325350454017588</v>
      </c>
      <c r="DM231" s="216"/>
      <c r="DN231" s="216"/>
      <c r="DO231" s="216"/>
      <c r="DP231" s="216"/>
      <c r="DQ231" s="216"/>
      <c r="DR231" s="216"/>
      <c r="DS231" s="216"/>
      <c r="DT231" s="216"/>
      <c r="DU231" s="216"/>
      <c r="DV231" s="216"/>
      <c r="DW231" s="1371">
        <f t="shared" si="614"/>
        <v>6.3421001236303045</v>
      </c>
      <c r="DX231" s="216">
        <f t="shared" si="615"/>
        <v>6.3421003245951821</v>
      </c>
      <c r="DY231" s="440">
        <f t="shared" si="616"/>
        <v>12.853879425143749</v>
      </c>
      <c r="DZ231" s="180">
        <f t="shared" si="617"/>
        <v>899190.65790621878</v>
      </c>
      <c r="EA231" s="180">
        <f t="shared" si="618"/>
        <v>204361.51316050426</v>
      </c>
      <c r="EB231" s="180">
        <f t="shared" ca="1" si="538"/>
        <v>59057.636351245397</v>
      </c>
      <c r="EC231" s="180">
        <f t="shared" ca="1" si="539"/>
        <v>228848.34811269256</v>
      </c>
      <c r="ED231" s="180">
        <f t="shared" ca="1" si="540"/>
        <v>1334243.8373483119</v>
      </c>
      <c r="EE231" s="581">
        <f t="shared" si="619"/>
        <v>800793.5930279938</v>
      </c>
      <c r="EF231" s="554">
        <f t="shared" si="620"/>
        <v>181998.5438699986</v>
      </c>
      <c r="EG231" s="554">
        <f t="shared" ca="1" si="541"/>
        <v>8863.2930659381273</v>
      </c>
      <c r="EH231" s="554">
        <f t="shared" ca="1" si="542"/>
        <v>34345.272060097515</v>
      </c>
      <c r="EI231" s="561">
        <f t="shared" ca="1" si="621"/>
        <v>1026000.7020240281</v>
      </c>
      <c r="EJ231" s="581">
        <f t="shared" si="675"/>
        <v>98397.064878224977</v>
      </c>
      <c r="EK231" s="554">
        <f t="shared" si="676"/>
        <v>22362.969290505658</v>
      </c>
      <c r="EL231" s="554">
        <f t="shared" ca="1" si="543"/>
        <v>50194.343285307274</v>
      </c>
      <c r="EM231" s="554">
        <f t="shared" ca="1" si="544"/>
        <v>194503.07605259505</v>
      </c>
      <c r="EN231" s="561">
        <f t="shared" ca="1" si="545"/>
        <v>308243.13532428385</v>
      </c>
      <c r="EO231" s="180">
        <f t="shared" si="622"/>
        <v>3596762.6316248751</v>
      </c>
      <c r="EP231" s="180">
        <f t="shared" si="623"/>
        <v>817446.05264201702</v>
      </c>
      <c r="EQ231" s="180">
        <f t="shared" si="624"/>
        <v>236230.54540498159</v>
      </c>
      <c r="ER231" s="180">
        <f t="shared" si="625"/>
        <v>915393.39245077025</v>
      </c>
      <c r="ES231" s="180">
        <f t="shared" si="626"/>
        <v>5565832.6221226444</v>
      </c>
      <c r="ET231" s="1482">
        <f t="shared" ca="1" si="546"/>
        <v>3203174.3721119752</v>
      </c>
      <c r="EU231" s="180">
        <f t="shared" ca="1" si="547"/>
        <v>727994.17547999439</v>
      </c>
      <c r="EV231" s="180">
        <f t="shared" ca="1" si="548"/>
        <v>35453.172263752509</v>
      </c>
      <c r="EW231" s="180">
        <f t="shared" ca="1" si="549"/>
        <v>137381.08824039006</v>
      </c>
      <c r="EX231" s="555">
        <f t="shared" ca="1" si="522"/>
        <v>4104002.8080961122</v>
      </c>
      <c r="EY231" s="180">
        <f t="shared" ca="1" si="550"/>
        <v>393588.25951289991</v>
      </c>
      <c r="EZ231" s="180">
        <f t="shared" ca="1" si="551"/>
        <v>89451.877162022633</v>
      </c>
      <c r="FA231" s="180">
        <f t="shared" ca="1" si="552"/>
        <v>200777.37314122909</v>
      </c>
      <c r="FB231" s="180">
        <f t="shared" ca="1" si="553"/>
        <v>778012.30421038019</v>
      </c>
      <c r="FC231" s="180">
        <f t="shared" ca="1" si="554"/>
        <v>1461829.8140265322</v>
      </c>
      <c r="FD231" s="262">
        <f>IF(AX231,IF(VLOOKUP(C231,MAIN!$L$17:$M$28,2)="Yes",VLOOKUP(CALC!B231,MAIN!$H$17:$I$20,2),0),0)</f>
        <v>0</v>
      </c>
      <c r="FE231" s="623">
        <f t="shared" si="627"/>
        <v>0</v>
      </c>
      <c r="FF231" s="535">
        <f t="shared" si="628"/>
        <v>0</v>
      </c>
      <c r="FG231" s="535">
        <f t="shared" si="629"/>
        <v>0</v>
      </c>
      <c r="FH231" s="624">
        <f t="shared" si="630"/>
        <v>0</v>
      </c>
      <c r="FI231" s="632">
        <f>IF(AX231,VLOOKUP(CALC!B231,MAIN!$H$17:$K$20,4),0)</f>
        <v>0</v>
      </c>
      <c r="FJ231" s="535">
        <f t="shared" si="631"/>
        <v>0</v>
      </c>
      <c r="FK231" s="648">
        <f t="shared" si="677"/>
        <v>0</v>
      </c>
      <c r="FL231" s="530">
        <f t="shared" ca="1" si="555"/>
        <v>0</v>
      </c>
      <c r="FM231" s="530">
        <f t="shared" ca="1" si="556"/>
        <v>0</v>
      </c>
      <c r="FN231" s="530">
        <f t="shared" ca="1" si="557"/>
        <v>0</v>
      </c>
      <c r="FO231" s="622">
        <f t="shared" ca="1" si="558"/>
        <v>0</v>
      </c>
      <c r="FP231" s="530">
        <f t="shared" ca="1" si="559"/>
        <v>0</v>
      </c>
      <c r="FQ231" s="530">
        <f t="shared" ca="1" si="560"/>
        <v>0</v>
      </c>
      <c r="FR231" s="530">
        <f t="shared" ca="1" si="561"/>
        <v>0</v>
      </c>
      <c r="FS231" s="625">
        <f t="shared" ca="1" si="562"/>
        <v>0</v>
      </c>
      <c r="FT231" s="640">
        <f ca="1">IF(AND(Assumptions!$H$71="Yes",A231&gt;=Assumptions!$H$72,A231&lt;=Assumptions!$H$73),0,IF(AND($A231&gt;=Assumptions!$C$17,$A231&lt;=Assumptions!$C$18),MAX(AZ231*(1+VLOOKUP($C231,WeatherCapacityAdjustment,2))-FL231,0),0))</f>
        <v>51216</v>
      </c>
      <c r="FU231" s="530">
        <f ca="1">IF(AND(Assumptions!$H$71="Yes",A231&gt;=Assumptions!$H$72,A231&lt;=Assumptions!$H$73),0,IF(AND($A231&gt;=Assumptions!$C$17,$A231&lt;=Assumptions!$C$18),MAX(BA231*(1+VLOOKUP($C231,WeatherCapacityAdjustment,2))-FM231,0),0))</f>
        <v>11640</v>
      </c>
      <c r="FV231" s="530">
        <f ca="1">IF(AND(Assumptions!$H$71="Yes",A231&gt;=Assumptions!$H$72,A231&lt;=Assumptions!$H$73),0,IF(AND($A231&gt;=Assumptions!$C$17,$A231&lt;=Assumptions!$C$18),MAX(BB231*(1+VLOOKUP($C231,WeatherCapacityAdjustment,2))-FN231,0),0))</f>
        <v>9312</v>
      </c>
      <c r="FW231" s="622">
        <f ca="1">IF(AND(Assumptions!$H$71="Yes",A231&gt;=Assumptions!$H$72,A231&lt;=Assumptions!$H$73),0,IF(AND($A231&gt;=Assumptions!$C$17,$A231&lt;=Assumptions!$C$18),MAX(BC231*(1+VLOOKUP($C231,WeatherCapacityAdjustment,3))-FO231,0),0))</f>
        <v>36084</v>
      </c>
      <c r="FX231" s="621">
        <f ca="1">IF(AND(Assumptions!$H$71="Yes",A231&gt;=Assumptions!$H$72,A231&lt;=Assumptions!$H$73),0,IF(ET231&gt;0,MAX(BH231*(1+VLOOKUP($C231,WeatherCapacityAdjustment,2))-FP231,0),0))</f>
        <v>204864</v>
      </c>
      <c r="FY231" s="530">
        <f ca="1">IF(AND(Assumptions!$H$71="Yes",A231&gt;=Assumptions!$H$72,A231&lt;=Assumptions!$H$73),0,IF(EU231&gt;0,MAX(BI231*(1+VLOOKUP($C231,WeatherCapacityAdjustment,3))-FQ231,0),0))</f>
        <v>46560</v>
      </c>
      <c r="FZ231" s="530">
        <f ca="1">IF(AND(Assumptions!$H$71="Yes",A231&gt;=Assumptions!$H$72,A231&lt;=Assumptions!$H$73),0,IF(EV231&gt;0,MAX(BJ231*(1+VLOOKUP($C231,WeatherCapacityAdjustment,2))-FR231,0),0))</f>
        <v>37248</v>
      </c>
      <c r="GA231" s="622">
        <f ca="1">IF(AND(Assumptions!$H$71="Yes",A231&gt;=Assumptions!$H$72,A231&lt;=Assumptions!$H$73),0,IF(EW231&gt;0,MAX(BK231*(1+VLOOKUP($C231,WeatherCapacityAdjustment,2))-FS231,0),0))</f>
        <v>144336</v>
      </c>
      <c r="GB231" s="530">
        <f t="shared" ca="1" si="632"/>
        <v>541260</v>
      </c>
      <c r="GC231" s="545">
        <f t="shared" ca="1" si="633"/>
        <v>36.868338558281351</v>
      </c>
      <c r="GD231" s="530">
        <f t="shared" ca="1" si="563"/>
        <v>19955356.928055365</v>
      </c>
      <c r="GE231" s="1485">
        <f t="shared" ca="1" si="564"/>
        <v>772691.95079999999</v>
      </c>
      <c r="GF231" s="1776">
        <f t="shared" ca="1" si="565"/>
        <v>3090767.8032</v>
      </c>
      <c r="GG231" s="545">
        <f t="shared" si="530"/>
        <v>3.4979313424194798</v>
      </c>
      <c r="GH231" s="622">
        <f t="shared" ca="1" si="531"/>
        <v>13514116.963692851</v>
      </c>
      <c r="GI231" s="621">
        <f t="shared" ca="1" si="678"/>
        <v>541260</v>
      </c>
      <c r="GJ231" s="638">
        <f t="shared" si="634"/>
        <v>2.4225630089834325</v>
      </c>
      <c r="GK231" s="625">
        <f t="shared" ca="1" si="684"/>
        <v>1311236.4542423727</v>
      </c>
      <c r="GL231" s="640">
        <f t="shared" ca="1" si="566"/>
        <v>0</v>
      </c>
      <c r="GM231" s="530">
        <f t="shared" ca="1" si="567"/>
        <v>0</v>
      </c>
      <c r="GN231" s="530">
        <f t="shared" ca="1" si="568"/>
        <v>0</v>
      </c>
      <c r="GO231" s="622">
        <f t="shared" ca="1" si="569"/>
        <v>0</v>
      </c>
      <c r="GP231" s="530">
        <f t="shared" ca="1" si="635"/>
        <v>0</v>
      </c>
      <c r="GQ231" s="545">
        <f t="shared" ca="1" si="636"/>
        <v>0</v>
      </c>
      <c r="GR231" s="625">
        <f t="shared" ca="1" si="570"/>
        <v>0</v>
      </c>
      <c r="GS231" s="640">
        <f>IF($A231&gt;=BegDate,Assumptions!$C$56*24*($A232-$A231)*(1-VLOOKUP($B231,MAIN!$AA$7:$AM$28,$C231+1))*(1-VLOOKUP($B231,MAIN!$AA$33:$AM$54,$C231+1)),0)*80/168</f>
        <v>257742.85714285713</v>
      </c>
      <c r="GT231" s="1715">
        <f t="shared" si="679"/>
        <v>43.026061032859971</v>
      </c>
      <c r="GU231" s="1715">
        <f>IF($A231&gt;=BegDate,VLOOKUP($A231,GasTable,13)+Assumptions!$C$58,0)</f>
        <v>3.4979313424194798</v>
      </c>
      <c r="GV231" s="1715">
        <f>GU231*Assumptions!$C$57/1000</f>
        <v>25.360002232541227</v>
      </c>
      <c r="GW231" s="625">
        <f>IF(Assumptions!$C$60="Hourly",MAX(0,GS231*(GT231-GV231)),GS231*(GT231-GV231))</f>
        <v>4553300.4696478685</v>
      </c>
      <c r="GX231" s="640">
        <f>IF($A231&gt;=BegDate,Assumptions!$C$56*24*($A232-$A231)*(1-VLOOKUP($B231,MAIN!$AA$7:$AM$28,$C231+1))*(1-VLOOKUP($B231,MAIN!$AA$33:$AM$54,$C231+1)),0)*16/168</f>
        <v>51548.571428571428</v>
      </c>
      <c r="GY231" s="1715">
        <f t="shared" si="680"/>
        <v>43.026061032859971</v>
      </c>
      <c r="GZ231" s="1715">
        <f>IF($A231&gt;=BegDate,VLOOKUP($A231,GasTable,13)+Assumptions!$C$58,0)</f>
        <v>3.4979313424194798</v>
      </c>
      <c r="HA231" s="1715">
        <f>GZ231*Assumptions!$C$57/1000</f>
        <v>25.360002232541227</v>
      </c>
      <c r="HB231" s="625">
        <f>IF(Assumptions!$C$60="Hourly",MAX(0,GX231*(GY231-HA231)),GX231*(GY231-HA231))</f>
        <v>910660.09392957366</v>
      </c>
      <c r="HC231" s="640">
        <f>IF($A231&gt;=BegDate,Assumptions!$C$56*24*($A232-$A231)*(1-VLOOKUP($B231,MAIN!$AA$7:$AM$28,$C231+1))*(1-VLOOKUP($B231,MAIN!$AA$33:$AM$54,$C231+1)),0)*16/168</f>
        <v>51548.571428571428</v>
      </c>
      <c r="HD231" s="1715">
        <f t="shared" si="681"/>
        <v>28.342261361528315</v>
      </c>
      <c r="HE231" s="1715">
        <f>IF($A231&gt;=BegDate,VLOOKUP($A231,GasTable,13)+Assumptions!$C$58,0)</f>
        <v>3.4979313424194798</v>
      </c>
      <c r="HF231" s="1715">
        <f>HE231*Assumptions!$C$57/1000</f>
        <v>25.360002232541227</v>
      </c>
      <c r="HG231" s="625">
        <f>IF(Assumptions!$C$60="Hourly",MAX(0,HC231*(HD231-HF231)),HC231*(HD231-HF231))</f>
        <v>153731.19772910015</v>
      </c>
      <c r="HH231" s="640">
        <f>IF($A231&gt;=BegDate,Assumptions!$C$56*24*($A232-$A231)*(1-VLOOKUP($B231,MAIN!$AA$7:$AM$28,$C231+1))*(1-VLOOKUP($B231,MAIN!$AA$33:$AM$54,$C231+1)),0)*56/168</f>
        <v>180420</v>
      </c>
      <c r="HI231" s="1715">
        <f t="shared" si="682"/>
        <v>28.342261361528315</v>
      </c>
      <c r="HJ231" s="1715">
        <f>IF($A231&gt;=BegDate,VLOOKUP($A231,GasTable,13)+Assumptions!$C$58,0)</f>
        <v>3.4979313424194798</v>
      </c>
      <c r="HK231" s="1715">
        <f>HJ231*Assumptions!$C$57/1000</f>
        <v>25.360002232541227</v>
      </c>
      <c r="HL231" s="625">
        <f>IF(Assumptions!$C$60="Hourly",MAX(0,HH231*(HI231-HK231)),HH231*(HI231-HK231))</f>
        <v>538059.19205185049</v>
      </c>
      <c r="HM231" s="640">
        <f>IF(AND(Assumptions!$H$71="Yes",A231&gt;=Assumptions!$H$72,A231&lt;=Assumptions!$H$73),Assumptions!$H$74*Assumptions!$C$9*1000,0)</f>
        <v>0</v>
      </c>
      <c r="HN231" s="530"/>
      <c r="HO231" s="545"/>
      <c r="HP231" s="545"/>
      <c r="HQ231" s="545"/>
      <c r="HR231" s="545"/>
      <c r="HS231" s="545"/>
      <c r="HT231" s="545"/>
      <c r="HU231" s="545"/>
      <c r="HV231" s="545"/>
      <c r="HW231" s="545"/>
      <c r="HX231" s="545"/>
      <c r="HY231" s="545"/>
      <c r="HZ231" s="545"/>
      <c r="IA231" s="545"/>
      <c r="IB231" s="545"/>
      <c r="IC231" s="545"/>
      <c r="ID231" s="545"/>
      <c r="IE231" s="545"/>
      <c r="IF231" s="545"/>
      <c r="IG231" s="545"/>
      <c r="IH231" s="545"/>
      <c r="II231" s="1464"/>
      <c r="IJ231" s="1463"/>
      <c r="IK231" s="1463"/>
    </row>
    <row r="232" spans="1:245">
      <c r="A232" s="177">
        <f t="shared" si="637"/>
        <v>43191</v>
      </c>
      <c r="B232" s="349">
        <f t="shared" si="638"/>
        <v>2018</v>
      </c>
      <c r="C232" s="15">
        <f t="shared" si="686"/>
        <v>4</v>
      </c>
      <c r="D232" s="612" t="str">
        <f t="shared" si="639"/>
        <v/>
      </c>
      <c r="E232" s="609">
        <f t="shared" si="687"/>
        <v>43191</v>
      </c>
      <c r="F232" s="614">
        <f t="shared" si="688"/>
        <v>43220</v>
      </c>
      <c r="G232" s="1349">
        <v>0</v>
      </c>
      <c r="H232" s="152">
        <f t="shared" si="683"/>
        <v>1</v>
      </c>
      <c r="I232" s="154">
        <f>IF(Assumptions!$L$25=4,VLOOKUP($A232,'Henwood Reference'!$E$9:$R$320,10),(VLOOKUP($A232,PriceTable,2,0)+IF(BasisNumber&lt;&gt;1,VLOOKUP($A232,BasisTable,2,0),0)+I$1)/(1-I$2))</f>
        <v>40.926681873547608</v>
      </c>
      <c r="J232" s="154">
        <f>IF(Assumptions!$L$25=4,VLOOKUP($A232,'Henwood Reference'!$E$9:$R$320,10),(VLOOKUP($A232,PriceTable,3,0)+IF(BasisNumber&lt;&gt;1,VLOOKUP($A232,BasisTable,2,0),0)+J$1)/(1-J$2))</f>
        <v>40.926681873547608</v>
      </c>
      <c r="K232" s="154">
        <f>IF(Assumptions!$L$25=4,VLOOKUP($A232,'Henwood Reference'!$E$9:$R$320,10),(VLOOKUP($A232,PriceTable,4,0)+IF(BasisNumber&lt;&gt;1,VLOOKUP($A232,BasisTable,2,0),0)+K$1)/(1-K$2))</f>
        <v>40.926681873547608</v>
      </c>
      <c r="L232" s="474">
        <f>IF(Assumptions!$L$25=4,VLOOKUP($A232,'Henwood Reference'!$E$9:$R$320,10),(VLOOKUP($A232,PriceTableWeekend,2,0)+IF(BasisNumber&lt;&gt;1,VLOOKUP($A232,BasisTable,2,0),0)+L$1)/(1-L$2))</f>
        <v>40.926681873547608</v>
      </c>
      <c r="M232" s="154">
        <f>IF(Assumptions!$L$25=4,VLOOKUP($A232,'Henwood Reference'!$E$9:$R$320,10),(VLOOKUP($A232,PriceTableWeekend,3,0)+IF(BasisNumber&lt;&gt;1,VLOOKUP($A232,BasisTable,2,0),0)+M$1)/(1-M$2))</f>
        <v>40.926681873547608</v>
      </c>
      <c r="N232" s="156">
        <f>IF(Assumptions!$L$25=4,VLOOKUP($A232,'Henwood Reference'!$E$9:$R$320,10),(VLOOKUP($A232,PriceTableWeekend,4,0)+IF(BasisNumber&lt;&gt;1,VLOOKUP($A232,BasisTable,2,0),0)+N$1)/(1-N$2))</f>
        <v>40.926681873547608</v>
      </c>
      <c r="O232" s="154">
        <f>IF(Assumptions!$L$25=4,VLOOKUP($A232,'Henwood Reference'!$E$9:$R$320,11),(VLOOKUP($A232,PriceTableWeekend,6,0)+IF(BasisNumber&lt;&gt;1,VLOOKUP($A232,BasisTable,3,0),0)+O$1)/(1-O$2))</f>
        <v>28.457806482957235</v>
      </c>
      <c r="P232" s="154">
        <f>IF(Assumptions!$L$25=4,VLOOKUP($A232,'Henwood Reference'!$E$9:$R$320,11),(VLOOKUP($A232,PriceTableWeekend,7,0)+IF(BasisNumber&lt;&gt;1,VLOOKUP($A232,BasisTable,3,0),0)+P$1)/(1-P$2))</f>
        <v>28.457806482957235</v>
      </c>
      <c r="Q232" s="156">
        <f>IF(Assumptions!$L$25=4,VLOOKUP($A232,'Henwood Reference'!$E$9:$R$320,11),(VLOOKUP($A232,PriceTableWeekend,8,0)+IF(BasisNumber&lt;&gt;1,VLOOKUP($A232,BasisTable,3,0),0)+Q$1)/(1-Q$2))</f>
        <v>28.457806482957235</v>
      </c>
      <c r="R232" s="154">
        <f>IF(Assumptions!$L$25=4,VLOOKUP($A232,'Henwood Reference'!$E$9:$R$320,11),(VLOOKUP($A232,PriceTable,6,0)+IF(BasisNumber&lt;&gt;1,VLOOKUP($A232,BasisTable,3,0),0)+R$1)/(1-R$2))</f>
        <v>28.457806482957235</v>
      </c>
      <c r="S232" s="154">
        <f>IF(Assumptions!$L$25=4,VLOOKUP($A232,'Henwood Reference'!$E$9:$R$320,11),(VLOOKUP($A232,PriceTable,7,0)+IF(BasisNumber&lt;&gt;1,VLOOKUP($A232,BasisTable,3,0),0)+S$1)/(1-S$2))</f>
        <v>28.457806482957235</v>
      </c>
      <c r="T232" s="155">
        <f>IF(Assumptions!$L$25=4,VLOOKUP($A232,'Henwood Reference'!$E$9:$R$320,11),(VLOOKUP($A232,PriceTable,8,0)+IF(BasisNumber&lt;&gt;1,VLOOKUP($A232,BasisTable,3,0),0)+T$1)/(1-T$2))</f>
        <v>28.457806482957235</v>
      </c>
      <c r="U232" s="173">
        <f t="shared" si="640"/>
        <v>0.09</v>
      </c>
      <c r="V232" s="173">
        <f t="shared" si="641"/>
        <v>0.1</v>
      </c>
      <c r="W232" s="174">
        <f t="shared" si="642"/>
        <v>0.11</v>
      </c>
      <c r="X232" s="173">
        <f t="shared" si="643"/>
        <v>0.09</v>
      </c>
      <c r="Y232" s="173">
        <f t="shared" si="644"/>
        <v>0.1</v>
      </c>
      <c r="Z232" s="174">
        <f t="shared" si="645"/>
        <v>0.11</v>
      </c>
      <c r="AA232" s="173">
        <f t="shared" si="646"/>
        <v>0.09</v>
      </c>
      <c r="AB232" s="173">
        <f t="shared" si="647"/>
        <v>0.11</v>
      </c>
      <c r="AC232" s="174">
        <f t="shared" si="648"/>
        <v>0.13</v>
      </c>
      <c r="AD232" s="173">
        <f t="shared" si="649"/>
        <v>0.09</v>
      </c>
      <c r="AE232" s="173">
        <f t="shared" si="650"/>
        <v>0.11</v>
      </c>
      <c r="AF232" s="174">
        <f t="shared" si="651"/>
        <v>0.13</v>
      </c>
      <c r="AG232" s="173">
        <f t="shared" si="652"/>
        <v>-0.1</v>
      </c>
      <c r="AH232" s="173">
        <f t="shared" si="653"/>
        <v>0.65</v>
      </c>
      <c r="AI232" s="174">
        <f t="shared" si="654"/>
        <v>0.1</v>
      </c>
      <c r="AJ232" s="173">
        <f t="shared" si="655"/>
        <v>-0.1</v>
      </c>
      <c r="AK232" s="173">
        <f t="shared" si="656"/>
        <v>0.65</v>
      </c>
      <c r="AL232" s="174">
        <f t="shared" si="657"/>
        <v>0.1</v>
      </c>
      <c r="AM232" s="173">
        <f t="shared" si="658"/>
        <v>-0.01</v>
      </c>
      <c r="AN232" s="173">
        <f t="shared" si="659"/>
        <v>0.16</v>
      </c>
      <c r="AO232" s="174">
        <f t="shared" si="660"/>
        <v>0.01</v>
      </c>
      <c r="AP232" s="173">
        <f t="shared" si="661"/>
        <v>-0.01</v>
      </c>
      <c r="AQ232" s="173">
        <f t="shared" si="662"/>
        <v>0.16</v>
      </c>
      <c r="AR232" s="175">
        <f t="shared" si="663"/>
        <v>0.01</v>
      </c>
      <c r="AS232" s="521">
        <f t="shared" si="691"/>
        <v>0.5</v>
      </c>
      <c r="AT232" s="349">
        <f t="shared" si="689"/>
        <v>21</v>
      </c>
      <c r="AU232" s="159">
        <f t="shared" si="582"/>
        <v>4</v>
      </c>
      <c r="AV232" s="159">
        <f t="shared" si="583"/>
        <v>5</v>
      </c>
      <c r="AW232" s="159">
        <f t="shared" si="692"/>
        <v>0</v>
      </c>
      <c r="AX232" s="15">
        <f t="shared" si="690"/>
        <v>30</v>
      </c>
      <c r="AY232" s="607">
        <f>IF(E232="",0,MIN((1-(1-VLOOKUP(B232,MAIN!$AA$7:$AM$28,C232+1))*(1-VLOOKUP(B232,MAIN!$AA$33:$AM$54,C232+1))),1))</f>
        <v>0.22399999999999998</v>
      </c>
      <c r="AZ232" s="337">
        <v>39110.400000000001</v>
      </c>
      <c r="BA232" s="509">
        <v>7449.6</v>
      </c>
      <c r="BB232" s="509">
        <v>9312</v>
      </c>
      <c r="BC232" s="511">
        <v>27936</v>
      </c>
      <c r="BD232" s="153">
        <v>0.77600000000000002</v>
      </c>
      <c r="BE232" s="474">
        <v>0.77600000000000002</v>
      </c>
      <c r="BF232" s="474">
        <v>0.77600000000000002</v>
      </c>
      <c r="BG232" s="515">
        <v>0.77600000578165051</v>
      </c>
      <c r="BH232" s="262">
        <v>156441.60000000001</v>
      </c>
      <c r="BI232" s="509">
        <v>29798.400000000001</v>
      </c>
      <c r="BJ232" s="509">
        <v>37248</v>
      </c>
      <c r="BK232" s="511">
        <v>111744</v>
      </c>
      <c r="BL232" s="153">
        <v>0.77600000000000002</v>
      </c>
      <c r="BM232" s="474">
        <v>0.77600000000000002</v>
      </c>
      <c r="BN232" s="474">
        <v>0.77600000000000002</v>
      </c>
      <c r="BO232" s="474">
        <v>0.77600000578165051</v>
      </c>
      <c r="BP232" s="261">
        <f t="shared" si="666"/>
        <v>55872</v>
      </c>
      <c r="BQ232" s="578">
        <f t="shared" si="667"/>
        <v>83808</v>
      </c>
      <c r="BR232" s="259">
        <f t="shared" si="668"/>
        <v>223488</v>
      </c>
      <c r="BS232" s="578">
        <f t="shared" si="669"/>
        <v>335232</v>
      </c>
      <c r="BT232" s="216">
        <f t="shared" si="670"/>
        <v>17.963039014373717</v>
      </c>
      <c r="BU232" s="218">
        <f t="shared" si="585"/>
        <v>40.926681873547608</v>
      </c>
      <c r="BV232" s="216">
        <f t="shared" si="586"/>
        <v>40.926681873547608</v>
      </c>
      <c r="BW232" s="216">
        <f t="shared" si="587"/>
        <v>28.457806482957231</v>
      </c>
      <c r="BX232" s="216">
        <f t="shared" si="671"/>
        <v>28.457806694984413</v>
      </c>
      <c r="BY232" s="216">
        <f t="shared" si="588"/>
        <v>38.84853597511588</v>
      </c>
      <c r="BZ232" s="216">
        <f t="shared" si="589"/>
        <v>35.384959548405391</v>
      </c>
      <c r="CA232" s="264">
        <f t="shared" si="590"/>
        <v>40.926681873547608</v>
      </c>
      <c r="CB232" s="216">
        <f t="shared" si="591"/>
        <v>40.926681873547608</v>
      </c>
      <c r="CC232" s="216">
        <f t="shared" si="592"/>
        <v>28.457806482957231</v>
      </c>
      <c r="CD232" s="216">
        <f t="shared" si="672"/>
        <v>28.457806694984413</v>
      </c>
      <c r="CE232" s="216">
        <f t="shared" si="593"/>
        <v>38.84853597511588</v>
      </c>
      <c r="CF232" s="571">
        <f t="shared" si="594"/>
        <v>35.384959548405391</v>
      </c>
      <c r="CG232" s="573">
        <f t="shared" si="595"/>
        <v>0.1</v>
      </c>
      <c r="CH232" s="219">
        <f t="shared" si="596"/>
        <v>0.1</v>
      </c>
      <c r="CI232" s="219">
        <f t="shared" si="597"/>
        <v>0.11</v>
      </c>
      <c r="CJ232" s="219">
        <f t="shared" si="598"/>
        <v>0.10123068272629619</v>
      </c>
      <c r="CK232" s="219">
        <f t="shared" si="599"/>
        <v>0.10123068272629619</v>
      </c>
      <c r="CL232" s="219">
        <f t="shared" si="600"/>
        <v>0.11</v>
      </c>
      <c r="CM232" s="219">
        <f t="shared" si="601"/>
        <v>9.2721809712759493E-2</v>
      </c>
      <c r="CN232" s="569">
        <f t="shared" si="602"/>
        <v>9.2721809712759493E-2</v>
      </c>
      <c r="CO232" s="264">
        <f t="shared" si="685"/>
        <v>24.059603742559595</v>
      </c>
      <c r="CP232" s="216">
        <f t="shared" si="673"/>
        <v>24.059603742559595</v>
      </c>
      <c r="CQ232" s="216">
        <f t="shared" ca="1" si="532"/>
        <v>24.059603742559595</v>
      </c>
      <c r="CR232" s="216">
        <f t="shared" ca="1" si="533"/>
        <v>24.059603742559595</v>
      </c>
      <c r="CS232" s="1626">
        <f t="shared" ca="1" si="534"/>
        <v>24.059603742559595</v>
      </c>
      <c r="CT232" s="216">
        <f t="shared" si="674"/>
        <v>24.059603742559595</v>
      </c>
      <c r="CU232" s="575">
        <f t="shared" si="603"/>
        <v>0.151</v>
      </c>
      <c r="CV232" s="154">
        <f t="shared" si="604"/>
        <v>0.5</v>
      </c>
      <c r="CW232" s="216">
        <f>IF(OR($BQ232,$BS232),SpreadOptPowerMargin,0)*((1+Assumptions!$C$26)^($B232-YEAR(Assumptions!$C$17)))</f>
        <v>2.4225630089834325</v>
      </c>
      <c r="CX232" s="216">
        <f>IF(OR($BQ232,$BS232),SpreadOptPowerMargin,0)*((1+Assumptions!$C$26)^($B232-YEAR(Assumptions!$C$17)))</f>
        <v>2.4225630089834325</v>
      </c>
      <c r="CY232" s="216">
        <f>IF(OR($BQ232,$BS232),SpreadOptPowerMargin,0)*((1+Assumptions!$C$26)^($B232-YEAR(Assumptions!$C$17)))</f>
        <v>2.4225630089834325</v>
      </c>
      <c r="CZ232" s="216">
        <f>IF(OR($BQ232,$BS232),SpreadOptPowerMargin,0)*((1+Assumptions!$C$26)^($B232-YEAR(Assumptions!$C$17)))</f>
        <v>2.4225630089834325</v>
      </c>
      <c r="DA232" s="440">
        <f t="shared" si="605"/>
        <v>2.4225630089834325</v>
      </c>
      <c r="DB232" s="479">
        <f t="shared" si="606"/>
        <v>0.1</v>
      </c>
      <c r="DC232" s="479">
        <f t="shared" si="607"/>
        <v>0.1</v>
      </c>
      <c r="DD232" s="479">
        <f t="shared" si="608"/>
        <v>0.11</v>
      </c>
      <c r="DE232" s="479">
        <f t="shared" si="609"/>
        <v>0.11</v>
      </c>
      <c r="DF232" s="479">
        <f t="shared" si="610"/>
        <v>9.2721809712759493E-2</v>
      </c>
      <c r="DG232" s="574">
        <f t="shared" si="611"/>
        <v>9.2721809712759493E-2</v>
      </c>
      <c r="DH232" s="216">
        <f t="shared" si="612"/>
        <v>16.390802646791972</v>
      </c>
      <c r="DI232" s="216">
        <f t="shared" si="613"/>
        <v>16.390802646791972</v>
      </c>
      <c r="DJ232" s="216">
        <f t="shared" ca="1" si="535"/>
        <v>6.8154476969975821</v>
      </c>
      <c r="DK232" s="216">
        <f t="shared" ca="1" si="536"/>
        <v>6.8154478371283611</v>
      </c>
      <c r="DL232" s="216">
        <f t="shared" ca="1" si="537"/>
        <v>11.707110259113788</v>
      </c>
      <c r="DM232" s="216"/>
      <c r="DN232" s="216"/>
      <c r="DO232" s="216"/>
      <c r="DP232" s="216"/>
      <c r="DQ232" s="216"/>
      <c r="DR232" s="216"/>
      <c r="DS232" s="216"/>
      <c r="DT232" s="216"/>
      <c r="DU232" s="216"/>
      <c r="DV232" s="216"/>
      <c r="DW232" s="1371">
        <f t="shared" si="614"/>
        <v>6.8154476969975821</v>
      </c>
      <c r="DX232" s="216">
        <f t="shared" si="615"/>
        <v>6.8154478371283611</v>
      </c>
      <c r="DY232" s="440">
        <f t="shared" si="616"/>
        <v>12.135089382482503</v>
      </c>
      <c r="DZ232" s="180">
        <f t="shared" si="617"/>
        <v>641050.8478370927</v>
      </c>
      <c r="EA232" s="180">
        <f t="shared" si="618"/>
        <v>122104.92339754148</v>
      </c>
      <c r="EB232" s="180">
        <f t="shared" ca="1" si="538"/>
        <v>63465.448954441483</v>
      </c>
      <c r="EC232" s="180">
        <f t="shared" ca="1" si="539"/>
        <v>190396.35077801789</v>
      </c>
      <c r="ED232" s="180">
        <f t="shared" ca="1" si="540"/>
        <v>981149.49659580842</v>
      </c>
      <c r="EE232" s="581">
        <f t="shared" si="619"/>
        <v>564930.76422764803</v>
      </c>
      <c r="EF232" s="554">
        <f t="shared" si="620"/>
        <v>107605.85985288533</v>
      </c>
      <c r="EG232" s="554">
        <f t="shared" ca="1" si="541"/>
        <v>18397.157178929076</v>
      </c>
      <c r="EH232" s="554">
        <f t="shared" ca="1" si="542"/>
        <v>55191.477459978574</v>
      </c>
      <c r="EI232" s="561">
        <f t="shared" ca="1" si="621"/>
        <v>746125.25871944102</v>
      </c>
      <c r="EJ232" s="581">
        <f t="shared" si="675"/>
        <v>76120.083609444671</v>
      </c>
      <c r="EK232" s="554">
        <f t="shared" si="676"/>
        <v>14499.06354465615</v>
      </c>
      <c r="EL232" s="554">
        <f t="shared" ca="1" si="543"/>
        <v>45068.291775512407</v>
      </c>
      <c r="EM232" s="554">
        <f t="shared" ca="1" si="544"/>
        <v>135204.87331803932</v>
      </c>
      <c r="EN232" s="561">
        <f t="shared" ca="1" si="545"/>
        <v>235024.23787636741</v>
      </c>
      <c r="EO232" s="180">
        <f t="shared" si="622"/>
        <v>2564203.3913483708</v>
      </c>
      <c r="EP232" s="180">
        <f t="shared" si="623"/>
        <v>488419.69359016593</v>
      </c>
      <c r="EQ232" s="180">
        <f t="shared" si="624"/>
        <v>253861.79581776593</v>
      </c>
      <c r="ER232" s="180">
        <f t="shared" si="625"/>
        <v>761585.40311207157</v>
      </c>
      <c r="ES232" s="180">
        <f t="shared" si="626"/>
        <v>4068070.2838683743</v>
      </c>
      <c r="ET232" s="1482">
        <f t="shared" ca="1" si="546"/>
        <v>2259723.0569105921</v>
      </c>
      <c r="EU232" s="180">
        <f t="shared" ca="1" si="547"/>
        <v>430423.43941154133</v>
      </c>
      <c r="EV232" s="180">
        <f t="shared" ca="1" si="548"/>
        <v>73588.628715716302</v>
      </c>
      <c r="EW232" s="180">
        <f t="shared" ca="1" si="549"/>
        <v>220765.9098399143</v>
      </c>
      <c r="EX232" s="555">
        <f t="shared" ca="1" si="522"/>
        <v>2984501.0348777641</v>
      </c>
      <c r="EY232" s="180">
        <f t="shared" ca="1" si="550"/>
        <v>304480.33443777869</v>
      </c>
      <c r="EZ232" s="180">
        <f t="shared" ca="1" si="551"/>
        <v>57996.2541786246</v>
      </c>
      <c r="FA232" s="180">
        <f t="shared" ca="1" si="552"/>
        <v>180273.16710204963</v>
      </c>
      <c r="FB232" s="180">
        <f t="shared" ca="1" si="553"/>
        <v>540819.49327215727</v>
      </c>
      <c r="FC232" s="180">
        <f t="shared" ca="1" si="554"/>
        <v>1083569.2489906102</v>
      </c>
      <c r="FD232" s="262">
        <f>IF(AX232,IF(VLOOKUP(C232,MAIN!$L$17:$M$28,2)="Yes",VLOOKUP(CALC!B232,MAIN!$H$17:$I$20,2),0),0)</f>
        <v>0</v>
      </c>
      <c r="FE232" s="623">
        <f t="shared" si="627"/>
        <v>0</v>
      </c>
      <c r="FF232" s="535">
        <f t="shared" si="628"/>
        <v>0</v>
      </c>
      <c r="FG232" s="535">
        <f t="shared" si="629"/>
        <v>0</v>
      </c>
      <c r="FH232" s="624">
        <f t="shared" si="630"/>
        <v>0</v>
      </c>
      <c r="FI232" s="632">
        <f>IF(AX232,VLOOKUP(CALC!B232,MAIN!$H$17:$K$20,4),0)</f>
        <v>0</v>
      </c>
      <c r="FJ232" s="535">
        <f t="shared" si="631"/>
        <v>0</v>
      </c>
      <c r="FK232" s="648">
        <f t="shared" si="677"/>
        <v>0</v>
      </c>
      <c r="FL232" s="530">
        <f t="shared" ca="1" si="555"/>
        <v>0</v>
      </c>
      <c r="FM232" s="530">
        <f t="shared" ca="1" si="556"/>
        <v>0</v>
      </c>
      <c r="FN232" s="530">
        <f t="shared" ca="1" si="557"/>
        <v>0</v>
      </c>
      <c r="FO232" s="622">
        <f t="shared" ca="1" si="558"/>
        <v>0</v>
      </c>
      <c r="FP232" s="530">
        <f t="shared" ca="1" si="559"/>
        <v>0</v>
      </c>
      <c r="FQ232" s="530">
        <f t="shared" ca="1" si="560"/>
        <v>0</v>
      </c>
      <c r="FR232" s="530">
        <f t="shared" ca="1" si="561"/>
        <v>0</v>
      </c>
      <c r="FS232" s="625">
        <f t="shared" ca="1" si="562"/>
        <v>0</v>
      </c>
      <c r="FT232" s="640">
        <f ca="1">IF(AND(Assumptions!$H$71="Yes",A232&gt;=Assumptions!$H$72,A232&lt;=Assumptions!$H$73),0,IF(AND($A232&gt;=Assumptions!$C$17,$A232&lt;=Assumptions!$C$18),MAX(AZ232*(1+VLOOKUP($C232,WeatherCapacityAdjustment,2))-FL232,0),0))</f>
        <v>39110.400000000001</v>
      </c>
      <c r="FU232" s="530">
        <f ca="1">IF(AND(Assumptions!$H$71="Yes",A232&gt;=Assumptions!$H$72,A232&lt;=Assumptions!$H$73),0,IF(AND($A232&gt;=Assumptions!$C$17,$A232&lt;=Assumptions!$C$18),MAX(BA232*(1+VLOOKUP($C232,WeatherCapacityAdjustment,2))-FM232,0),0))</f>
        <v>7449.6</v>
      </c>
      <c r="FV232" s="530">
        <f ca="1">IF(AND(Assumptions!$H$71="Yes",A232&gt;=Assumptions!$H$72,A232&lt;=Assumptions!$H$73),0,IF(AND($A232&gt;=Assumptions!$C$17,$A232&lt;=Assumptions!$C$18),MAX(BB232*(1+VLOOKUP($C232,WeatherCapacityAdjustment,2))-FN232,0),0))</f>
        <v>9312</v>
      </c>
      <c r="FW232" s="622">
        <f ca="1">IF(AND(Assumptions!$H$71="Yes",A232&gt;=Assumptions!$H$72,A232&lt;=Assumptions!$H$73),0,IF(AND($A232&gt;=Assumptions!$C$17,$A232&lt;=Assumptions!$C$18),MAX(BC232*(1+VLOOKUP($C232,WeatherCapacityAdjustment,3))-FO232,0),0))</f>
        <v>27936</v>
      </c>
      <c r="FX232" s="621">
        <f ca="1">IF(AND(Assumptions!$H$71="Yes",A232&gt;=Assumptions!$H$72,A232&lt;=Assumptions!$H$73),0,IF(ET232&gt;0,MAX(BH232*(1+VLOOKUP($C232,WeatherCapacityAdjustment,2))-FP232,0),0))</f>
        <v>156441.60000000001</v>
      </c>
      <c r="FY232" s="530">
        <f ca="1">IF(AND(Assumptions!$H$71="Yes",A232&gt;=Assumptions!$H$72,A232&lt;=Assumptions!$H$73),0,IF(EU232&gt;0,MAX(BI232*(1+VLOOKUP($C232,WeatherCapacityAdjustment,3))-FQ232,0),0))</f>
        <v>29798.400000000001</v>
      </c>
      <c r="FZ232" s="530">
        <f ca="1">IF(AND(Assumptions!$H$71="Yes",A232&gt;=Assumptions!$H$72,A232&lt;=Assumptions!$H$73),0,IF(EV232&gt;0,MAX(BJ232*(1+VLOOKUP($C232,WeatherCapacityAdjustment,2))-FR232,0),0))</f>
        <v>37248</v>
      </c>
      <c r="GA232" s="622">
        <f ca="1">IF(AND(Assumptions!$H$71="Yes",A232&gt;=Assumptions!$H$72,A232&lt;=Assumptions!$H$73),0,IF(EW232&gt;0,MAX(BK232*(1+VLOOKUP($C232,WeatherCapacityAdjustment,2))-FS232,0),0))</f>
        <v>111744</v>
      </c>
      <c r="GB232" s="530">
        <f t="shared" ca="1" si="632"/>
        <v>419040</v>
      </c>
      <c r="GC232" s="545">
        <f t="shared" ca="1" si="633"/>
        <v>35.384959548405391</v>
      </c>
      <c r="GD232" s="530">
        <f t="shared" ca="1" si="563"/>
        <v>14827713.449163795</v>
      </c>
      <c r="GE232" s="1485">
        <f t="shared" ca="1" si="564"/>
        <v>595279.8432</v>
      </c>
      <c r="GF232" s="1776">
        <f t="shared" ca="1" si="565"/>
        <v>2381119.3728</v>
      </c>
      <c r="GG232" s="545">
        <f t="shared" si="530"/>
        <v>3.3872930412309903</v>
      </c>
      <c r="GH232" s="622">
        <f t="shared" ca="1" si="531"/>
        <v>10081936.352282176</v>
      </c>
      <c r="GI232" s="621">
        <f t="shared" ca="1" si="678"/>
        <v>419040</v>
      </c>
      <c r="GJ232" s="638">
        <f t="shared" si="634"/>
        <v>2.4225630089834325</v>
      </c>
      <c r="GK232" s="625">
        <f t="shared" ca="1" si="684"/>
        <v>1015150.8032844175</v>
      </c>
      <c r="GL232" s="640">
        <f t="shared" ca="1" si="566"/>
        <v>0</v>
      </c>
      <c r="GM232" s="530">
        <f t="shared" ca="1" si="567"/>
        <v>0</v>
      </c>
      <c r="GN232" s="530">
        <f t="shared" ca="1" si="568"/>
        <v>0</v>
      </c>
      <c r="GO232" s="622">
        <f t="shared" ca="1" si="569"/>
        <v>0</v>
      </c>
      <c r="GP232" s="530">
        <f t="shared" ca="1" si="635"/>
        <v>0</v>
      </c>
      <c r="GQ232" s="545">
        <f t="shared" ca="1" si="636"/>
        <v>0</v>
      </c>
      <c r="GR232" s="625">
        <f t="shared" ca="1" si="570"/>
        <v>0</v>
      </c>
      <c r="GS232" s="640">
        <f>IF($A232&gt;=BegDate,Assumptions!$C$56*24*($A233-$A232)*(1-VLOOKUP($B232,MAIN!$AA$7:$AM$28,$C232+1))*(1-VLOOKUP($B232,MAIN!$AA$33:$AM$54,$C232+1)),0)*80/168</f>
        <v>199542.85714285713</v>
      </c>
      <c r="GT232" s="1715">
        <f t="shared" si="679"/>
        <v>40.926681873547608</v>
      </c>
      <c r="GU232" s="1715">
        <f>IF($A232&gt;=BegDate,VLOOKUP($A232,GasTable,13)+Assumptions!$C$58,0)</f>
        <v>3.3872930412309903</v>
      </c>
      <c r="GV232" s="1715">
        <f>GU232*Assumptions!$C$57/1000</f>
        <v>24.55787454892468</v>
      </c>
      <c r="GW232" s="625">
        <f>IF(Assumptions!$C$60="Hourly",MAX(0,GS232*(GT232-GV232)),GS232*(GT232-GV232))</f>
        <v>3266278.5815761862</v>
      </c>
      <c r="GX232" s="640">
        <f>IF($A232&gt;=BegDate,Assumptions!$C$56*24*($A233-$A232)*(1-VLOOKUP($B232,MAIN!$AA$7:$AM$28,$C232+1))*(1-VLOOKUP($B232,MAIN!$AA$33:$AM$54,$C232+1)),0)*16/168</f>
        <v>39908.571428571428</v>
      </c>
      <c r="GY232" s="1715">
        <f t="shared" si="680"/>
        <v>40.926681873547608</v>
      </c>
      <c r="GZ232" s="1715">
        <f>IF($A232&gt;=BegDate,VLOOKUP($A232,GasTable,13)+Assumptions!$C$58,0)</f>
        <v>3.3872930412309903</v>
      </c>
      <c r="HA232" s="1715">
        <f>GZ232*Assumptions!$C$57/1000</f>
        <v>24.55787454892468</v>
      </c>
      <c r="HB232" s="625">
        <f>IF(Assumptions!$C$60="Hourly",MAX(0,GX232*(GY232-HA232)),GX232*(GY232-HA232))</f>
        <v>653255.71631523734</v>
      </c>
      <c r="HC232" s="640">
        <f>IF($A232&gt;=BegDate,Assumptions!$C$56*24*($A233-$A232)*(1-VLOOKUP($B232,MAIN!$AA$7:$AM$28,$C232+1))*(1-VLOOKUP($B232,MAIN!$AA$33:$AM$54,$C232+1)),0)*16/168</f>
        <v>39908.571428571428</v>
      </c>
      <c r="HD232" s="1715">
        <f t="shared" si="681"/>
        <v>28.457806482957235</v>
      </c>
      <c r="HE232" s="1715">
        <f>IF($A232&gt;=BegDate,VLOOKUP($A232,GasTable,13)+Assumptions!$C$58,0)</f>
        <v>3.3872930412309903</v>
      </c>
      <c r="HF232" s="1715">
        <f>HE232*Assumptions!$C$57/1000</f>
        <v>24.55787454892468</v>
      </c>
      <c r="HG232" s="625">
        <f>IF(Assumptions!$C$60="Hourly",MAX(0,HC232*(HD232-HF232)),HC232*(HD232-HF232))</f>
        <v>155640.71215590494</v>
      </c>
      <c r="HH232" s="640">
        <f>IF($A232&gt;=BegDate,Assumptions!$C$56*24*($A233-$A232)*(1-VLOOKUP($B232,MAIN!$AA$7:$AM$28,$C232+1))*(1-VLOOKUP($B232,MAIN!$AA$33:$AM$54,$C232+1)),0)*56/168</f>
        <v>139680</v>
      </c>
      <c r="HI232" s="1715">
        <f t="shared" si="682"/>
        <v>28.457806482957235</v>
      </c>
      <c r="HJ232" s="1715">
        <f>IF($A232&gt;=BegDate,VLOOKUP($A232,GasTable,13)+Assumptions!$C$58,0)</f>
        <v>3.3872930412309903</v>
      </c>
      <c r="HK232" s="1715">
        <f>HJ232*Assumptions!$C$57/1000</f>
        <v>24.55787454892468</v>
      </c>
      <c r="HL232" s="625">
        <f>IF(Assumptions!$C$60="Hourly",MAX(0,HH232*(HI232-HK232)),HH232*(HI232-HK232))</f>
        <v>544742.49254566722</v>
      </c>
      <c r="HM232" s="640">
        <f>IF(AND(Assumptions!$H$71="Yes",A232&gt;=Assumptions!$H$72,A232&lt;=Assumptions!$H$73),Assumptions!$H$74*Assumptions!$C$9*1000,0)</f>
        <v>0</v>
      </c>
      <c r="HN232" s="530"/>
      <c r="HO232" s="545"/>
      <c r="HP232" s="545"/>
      <c r="HQ232" s="545"/>
      <c r="HR232" s="545"/>
      <c r="HS232" s="545"/>
      <c r="HT232" s="545"/>
      <c r="HU232" s="545"/>
      <c r="HV232" s="545"/>
      <c r="HW232" s="545"/>
      <c r="HX232" s="545"/>
      <c r="HY232" s="545"/>
      <c r="HZ232" s="545"/>
      <c r="IA232" s="545"/>
      <c r="IB232" s="545"/>
      <c r="IC232" s="545"/>
      <c r="ID232" s="545"/>
      <c r="IE232" s="545"/>
      <c r="IF232" s="545"/>
      <c r="IG232" s="545"/>
      <c r="IH232" s="545"/>
      <c r="II232" s="1464"/>
      <c r="IJ232" s="1463"/>
      <c r="IK232" s="1463"/>
    </row>
    <row r="233" spans="1:245">
      <c r="A233" s="177">
        <f t="shared" si="637"/>
        <v>43221</v>
      </c>
      <c r="B233" s="349">
        <f t="shared" si="638"/>
        <v>2018</v>
      </c>
      <c r="C233" s="15">
        <f t="shared" si="686"/>
        <v>5</v>
      </c>
      <c r="D233" s="612">
        <f t="shared" si="639"/>
        <v>43248</v>
      </c>
      <c r="E233" s="609">
        <f t="shared" si="687"/>
        <v>43221</v>
      </c>
      <c r="F233" s="614">
        <f t="shared" si="688"/>
        <v>43251</v>
      </c>
      <c r="G233" s="1349">
        <v>0</v>
      </c>
      <c r="H233" s="152">
        <f t="shared" si="683"/>
        <v>1</v>
      </c>
      <c r="I233" s="154">
        <f>IF(Assumptions!$L$25=4,VLOOKUP($A233,'Henwood Reference'!$E$9:$R$320,10),(VLOOKUP($A233,PriceTable,2,0)+IF(BasisNumber&lt;&gt;1,VLOOKUP($A233,BasisTable,2,0),0)+I$1)/(1-I$2))</f>
        <v>46.350446998718503</v>
      </c>
      <c r="J233" s="154">
        <f>IF(Assumptions!$L$25=4,VLOOKUP($A233,'Henwood Reference'!$E$9:$R$320,10),(VLOOKUP($A233,PriceTable,3,0)+IF(BasisNumber&lt;&gt;1,VLOOKUP($A233,BasisTable,2,0),0)+J$1)/(1-J$2))</f>
        <v>46.350446998718503</v>
      </c>
      <c r="K233" s="154">
        <f>IF(Assumptions!$L$25=4,VLOOKUP($A233,'Henwood Reference'!$E$9:$R$320,10),(VLOOKUP($A233,PriceTable,4,0)+IF(BasisNumber&lt;&gt;1,VLOOKUP($A233,BasisTable,2,0),0)+K$1)/(1-K$2))</f>
        <v>46.350446998718503</v>
      </c>
      <c r="L233" s="474">
        <f>IF(Assumptions!$L$25=4,VLOOKUP($A233,'Henwood Reference'!$E$9:$R$320,10),(VLOOKUP($A233,PriceTableWeekend,2,0)+IF(BasisNumber&lt;&gt;1,VLOOKUP($A233,BasisTable,2,0),0)+L$1)/(1-L$2))</f>
        <v>46.350446998718503</v>
      </c>
      <c r="M233" s="154">
        <f>IF(Assumptions!$L$25=4,VLOOKUP($A233,'Henwood Reference'!$E$9:$R$320,10),(VLOOKUP($A233,PriceTableWeekend,3,0)+IF(BasisNumber&lt;&gt;1,VLOOKUP($A233,BasisTable,2,0),0)+M$1)/(1-M$2))</f>
        <v>46.350446998718503</v>
      </c>
      <c r="N233" s="156">
        <f>IF(Assumptions!$L$25=4,VLOOKUP($A233,'Henwood Reference'!$E$9:$R$320,10),(VLOOKUP($A233,PriceTableWeekend,4,0)+IF(BasisNumber&lt;&gt;1,VLOOKUP($A233,BasisTable,2,0),0)+N$1)/(1-N$2))</f>
        <v>46.350446998718503</v>
      </c>
      <c r="O233" s="154">
        <f>IF(Assumptions!$L$25=4,VLOOKUP($A233,'Henwood Reference'!$E$9:$R$320,11),(VLOOKUP($A233,PriceTableWeekend,6,0)+IF(BasisNumber&lt;&gt;1,VLOOKUP($A233,BasisTable,3,0),0)+O$1)/(1-O$2))</f>
        <v>28.65190514800285</v>
      </c>
      <c r="P233" s="154">
        <f>IF(Assumptions!$L$25=4,VLOOKUP($A233,'Henwood Reference'!$E$9:$R$320,11),(VLOOKUP($A233,PriceTableWeekend,7,0)+IF(BasisNumber&lt;&gt;1,VLOOKUP($A233,BasisTable,3,0),0)+P$1)/(1-P$2))</f>
        <v>28.65190514800285</v>
      </c>
      <c r="Q233" s="156">
        <f>IF(Assumptions!$L$25=4,VLOOKUP($A233,'Henwood Reference'!$E$9:$R$320,11),(VLOOKUP($A233,PriceTableWeekend,8,0)+IF(BasisNumber&lt;&gt;1,VLOOKUP($A233,BasisTable,3,0),0)+Q$1)/(1-Q$2))</f>
        <v>28.65190514800285</v>
      </c>
      <c r="R233" s="154">
        <f>IF(Assumptions!$L$25=4,VLOOKUP($A233,'Henwood Reference'!$E$9:$R$320,11),(VLOOKUP($A233,PriceTable,6,0)+IF(BasisNumber&lt;&gt;1,VLOOKUP($A233,BasisTable,3,0),0)+R$1)/(1-R$2))</f>
        <v>28.65190514800285</v>
      </c>
      <c r="S233" s="154">
        <f>IF(Assumptions!$L$25=4,VLOOKUP($A233,'Henwood Reference'!$E$9:$R$320,11),(VLOOKUP($A233,PriceTable,7,0)+IF(BasisNumber&lt;&gt;1,VLOOKUP($A233,BasisTable,3,0),0)+S$1)/(1-S$2))</f>
        <v>28.65190514800285</v>
      </c>
      <c r="T233" s="155">
        <f>IF(Assumptions!$L$25=4,VLOOKUP($A233,'Henwood Reference'!$E$9:$R$320,11),(VLOOKUP($A233,PriceTable,8,0)+IF(BasisNumber&lt;&gt;1,VLOOKUP($A233,BasisTable,3,0),0)+T$1)/(1-T$2))</f>
        <v>28.65190514800285</v>
      </c>
      <c r="U233" s="173">
        <f t="shared" si="640"/>
        <v>0.09</v>
      </c>
      <c r="V233" s="173">
        <f t="shared" si="641"/>
        <v>0.1</v>
      </c>
      <c r="W233" s="174">
        <f t="shared" si="642"/>
        <v>0.11</v>
      </c>
      <c r="X233" s="173">
        <f t="shared" si="643"/>
        <v>0.09</v>
      </c>
      <c r="Y233" s="173">
        <f t="shared" si="644"/>
        <v>0.1</v>
      </c>
      <c r="Z233" s="174">
        <f t="shared" si="645"/>
        <v>0.11</v>
      </c>
      <c r="AA233" s="173">
        <f t="shared" si="646"/>
        <v>0.09</v>
      </c>
      <c r="AB233" s="173">
        <f t="shared" si="647"/>
        <v>0.11</v>
      </c>
      <c r="AC233" s="174">
        <f t="shared" si="648"/>
        <v>0.13</v>
      </c>
      <c r="AD233" s="173">
        <f t="shared" si="649"/>
        <v>0.09</v>
      </c>
      <c r="AE233" s="173">
        <f t="shared" si="650"/>
        <v>0.11</v>
      </c>
      <c r="AF233" s="174">
        <f t="shared" si="651"/>
        <v>0.13</v>
      </c>
      <c r="AG233" s="173">
        <f t="shared" si="652"/>
        <v>-0.1</v>
      </c>
      <c r="AH233" s="173">
        <f t="shared" si="653"/>
        <v>0.65</v>
      </c>
      <c r="AI233" s="174">
        <f t="shared" si="654"/>
        <v>0.1</v>
      </c>
      <c r="AJ233" s="173">
        <f t="shared" si="655"/>
        <v>-0.1</v>
      </c>
      <c r="AK233" s="173">
        <f t="shared" si="656"/>
        <v>0.65</v>
      </c>
      <c r="AL233" s="174">
        <f t="shared" si="657"/>
        <v>0.1</v>
      </c>
      <c r="AM233" s="173">
        <f t="shared" si="658"/>
        <v>-0.01</v>
      </c>
      <c r="AN233" s="173">
        <f t="shared" si="659"/>
        <v>0.16</v>
      </c>
      <c r="AO233" s="174">
        <f t="shared" si="660"/>
        <v>0.01</v>
      </c>
      <c r="AP233" s="173">
        <f t="shared" si="661"/>
        <v>-0.01</v>
      </c>
      <c r="AQ233" s="173">
        <f t="shared" si="662"/>
        <v>0.16</v>
      </c>
      <c r="AR233" s="175">
        <f t="shared" si="663"/>
        <v>0.01</v>
      </c>
      <c r="AS233" s="521">
        <f t="shared" si="691"/>
        <v>0.5</v>
      </c>
      <c r="AT233" s="349">
        <f t="shared" si="689"/>
        <v>22</v>
      </c>
      <c r="AU233" s="159">
        <f t="shared" si="582"/>
        <v>4</v>
      </c>
      <c r="AV233" s="159">
        <f t="shared" si="583"/>
        <v>4</v>
      </c>
      <c r="AW233" s="159">
        <f t="shared" si="692"/>
        <v>1</v>
      </c>
      <c r="AX233" s="15">
        <f t="shared" si="690"/>
        <v>31</v>
      </c>
      <c r="AY233" s="607">
        <f>IF(E233="",0,MIN((1-(1-VLOOKUP(B233,MAIN!$AA$7:$AM$28,C233+1))*(1-VLOOKUP(B233,MAIN!$AA$33:$AM$54,C233+1))),1))</f>
        <v>3.0000000000000027E-2</v>
      </c>
      <c r="AZ233" s="337">
        <v>51216</v>
      </c>
      <c r="BA233" s="509">
        <v>9312</v>
      </c>
      <c r="BB233" s="509">
        <v>11640</v>
      </c>
      <c r="BC233" s="511">
        <v>36084</v>
      </c>
      <c r="BD233" s="153">
        <v>0.97</v>
      </c>
      <c r="BE233" s="474">
        <v>0.97</v>
      </c>
      <c r="BF233" s="474">
        <v>0.97</v>
      </c>
      <c r="BG233" s="515">
        <v>0.97</v>
      </c>
      <c r="BH233" s="262">
        <v>204864</v>
      </c>
      <c r="BI233" s="509">
        <v>37248</v>
      </c>
      <c r="BJ233" s="509">
        <v>46560</v>
      </c>
      <c r="BK233" s="511">
        <v>144336</v>
      </c>
      <c r="BL233" s="153">
        <v>0.97</v>
      </c>
      <c r="BM233" s="474">
        <v>0.97</v>
      </c>
      <c r="BN233" s="474">
        <v>0.97</v>
      </c>
      <c r="BO233" s="474">
        <v>0.97</v>
      </c>
      <c r="BP233" s="261">
        <f t="shared" si="666"/>
        <v>72168</v>
      </c>
      <c r="BQ233" s="578">
        <f t="shared" si="667"/>
        <v>108252</v>
      </c>
      <c r="BR233" s="259">
        <f t="shared" si="668"/>
        <v>288672</v>
      </c>
      <c r="BS233" s="578">
        <f t="shared" si="669"/>
        <v>433008</v>
      </c>
      <c r="BT233" s="216">
        <f t="shared" si="670"/>
        <v>18.04517453798768</v>
      </c>
      <c r="BU233" s="218">
        <f t="shared" si="585"/>
        <v>46.350446998718503</v>
      </c>
      <c r="BV233" s="216">
        <f t="shared" si="586"/>
        <v>46.350446998718503</v>
      </c>
      <c r="BW233" s="216">
        <f t="shared" si="587"/>
        <v>28.65190514800285</v>
      </c>
      <c r="BX233" s="216">
        <f t="shared" si="671"/>
        <v>28.65190514800285</v>
      </c>
      <c r="BY233" s="216">
        <f t="shared" si="588"/>
        <v>43.495843474409526</v>
      </c>
      <c r="BZ233" s="216">
        <f t="shared" si="589"/>
        <v>38.547864032273964</v>
      </c>
      <c r="CA233" s="264">
        <f t="shared" si="590"/>
        <v>46.350446998718503</v>
      </c>
      <c r="CB233" s="216">
        <f t="shared" si="591"/>
        <v>46.350446998718503</v>
      </c>
      <c r="CC233" s="216">
        <f t="shared" si="592"/>
        <v>28.65190514800285</v>
      </c>
      <c r="CD233" s="216">
        <f t="shared" si="672"/>
        <v>28.65190514800285</v>
      </c>
      <c r="CE233" s="216">
        <f t="shared" si="593"/>
        <v>43.495843474409526</v>
      </c>
      <c r="CF233" s="571">
        <f t="shared" si="594"/>
        <v>38.547864032273964</v>
      </c>
      <c r="CG233" s="573">
        <f t="shared" si="595"/>
        <v>0.1</v>
      </c>
      <c r="CH233" s="219">
        <f t="shared" si="596"/>
        <v>0.1</v>
      </c>
      <c r="CI233" s="219">
        <f t="shared" si="597"/>
        <v>0.11</v>
      </c>
      <c r="CJ233" s="219">
        <f t="shared" si="598"/>
        <v>0.10107116912701285</v>
      </c>
      <c r="CK233" s="219">
        <f t="shared" si="599"/>
        <v>0.10107116912701285</v>
      </c>
      <c r="CL233" s="219">
        <f t="shared" si="600"/>
        <v>0.11</v>
      </c>
      <c r="CM233" s="219">
        <f t="shared" si="601"/>
        <v>9.2985347381943945E-2</v>
      </c>
      <c r="CN233" s="569">
        <f t="shared" si="602"/>
        <v>9.2985347381943945E-2</v>
      </c>
      <c r="CO233" s="264">
        <f t="shared" si="685"/>
        <v>23.849214898441666</v>
      </c>
      <c r="CP233" s="216">
        <f t="shared" si="673"/>
        <v>23.849214898441666</v>
      </c>
      <c r="CQ233" s="216">
        <f t="shared" ca="1" si="532"/>
        <v>23.849214898441666</v>
      </c>
      <c r="CR233" s="216">
        <f t="shared" ca="1" si="533"/>
        <v>23.849214898441666</v>
      </c>
      <c r="CS233" s="1626">
        <f t="shared" ca="1" si="534"/>
        <v>23.849214898441666</v>
      </c>
      <c r="CT233" s="216">
        <f t="shared" si="674"/>
        <v>23.849214898441666</v>
      </c>
      <c r="CU233" s="575">
        <f t="shared" si="603"/>
        <v>0.151</v>
      </c>
      <c r="CV233" s="154">
        <f t="shared" si="604"/>
        <v>0.5</v>
      </c>
      <c r="CW233" s="216">
        <f>IF(OR($BQ233,$BS233),SpreadOptPowerMargin,0)*((1+Assumptions!$C$26)^($B233-YEAR(Assumptions!$C$17)))</f>
        <v>2.4225630089834325</v>
      </c>
      <c r="CX233" s="216">
        <f>IF(OR($BQ233,$BS233),SpreadOptPowerMargin,0)*((1+Assumptions!$C$26)^($B233-YEAR(Assumptions!$C$17)))</f>
        <v>2.4225630089834325</v>
      </c>
      <c r="CY233" s="216">
        <f>IF(OR($BQ233,$BS233),SpreadOptPowerMargin,0)*((1+Assumptions!$C$26)^($B233-YEAR(Assumptions!$C$17)))</f>
        <v>2.4225630089834325</v>
      </c>
      <c r="CZ233" s="216">
        <f>IF(OR($BQ233,$BS233),SpreadOptPowerMargin,0)*((1+Assumptions!$C$26)^($B233-YEAR(Assumptions!$C$17)))</f>
        <v>2.4225630089834325</v>
      </c>
      <c r="DA233" s="440">
        <f t="shared" si="605"/>
        <v>2.4225630089834325</v>
      </c>
      <c r="DB233" s="479">
        <f t="shared" si="606"/>
        <v>0.1</v>
      </c>
      <c r="DC233" s="479">
        <f t="shared" si="607"/>
        <v>0.1</v>
      </c>
      <c r="DD233" s="479">
        <f t="shared" si="608"/>
        <v>0.11</v>
      </c>
      <c r="DE233" s="479">
        <f t="shared" si="609"/>
        <v>0.11</v>
      </c>
      <c r="DF233" s="479">
        <f t="shared" si="610"/>
        <v>9.2985347381943945E-2</v>
      </c>
      <c r="DG233" s="574">
        <f t="shared" si="611"/>
        <v>9.2985347381943945E-2</v>
      </c>
      <c r="DH233" s="216">
        <f t="shared" si="612"/>
        <v>21.38535377833913</v>
      </c>
      <c r="DI233" s="216">
        <f t="shared" si="613"/>
        <v>21.38535377833913</v>
      </c>
      <c r="DJ233" s="216">
        <f t="shared" ca="1" si="535"/>
        <v>7.0506330063838627</v>
      </c>
      <c r="DK233" s="216">
        <f t="shared" ca="1" si="536"/>
        <v>7.0506330063838627</v>
      </c>
      <c r="DL233" s="216">
        <f t="shared" ca="1" si="537"/>
        <v>14.456548851668199</v>
      </c>
      <c r="DM233" s="216"/>
      <c r="DN233" s="216"/>
      <c r="DO233" s="216"/>
      <c r="DP233" s="216"/>
      <c r="DQ233" s="216"/>
      <c r="DR233" s="216"/>
      <c r="DS233" s="216"/>
      <c r="DT233" s="216"/>
      <c r="DU233" s="216"/>
      <c r="DV233" s="216"/>
      <c r="DW233" s="1371">
        <f t="shared" si="614"/>
        <v>7.0506330063838627</v>
      </c>
      <c r="DX233" s="216">
        <f t="shared" si="615"/>
        <v>7.0506330063838627</v>
      </c>
      <c r="DY233" s="440">
        <f t="shared" si="616"/>
        <v>15.065745696079283</v>
      </c>
      <c r="DZ233" s="180">
        <f t="shared" si="617"/>
        <v>1095272.279111417</v>
      </c>
      <c r="EA233" s="180">
        <f t="shared" si="618"/>
        <v>199140.41438389398</v>
      </c>
      <c r="EB233" s="180">
        <f t="shared" ca="1" si="538"/>
        <v>82069.368194308161</v>
      </c>
      <c r="EC233" s="180">
        <f t="shared" ca="1" si="539"/>
        <v>254415.0414023553</v>
      </c>
      <c r="ED233" s="180">
        <f t="shared" ca="1" si="540"/>
        <v>1564950.3262907858</v>
      </c>
      <c r="EE233" s="581">
        <f t="shared" si="619"/>
        <v>1028349.1161796831</v>
      </c>
      <c r="EF233" s="554">
        <f t="shared" si="620"/>
        <v>186972.56657812421</v>
      </c>
      <c r="EG233" s="554">
        <f t="shared" ca="1" si="541"/>
        <v>27704.681080325048</v>
      </c>
      <c r="EH233" s="554">
        <f t="shared" ca="1" si="542"/>
        <v>85884.511349007647</v>
      </c>
      <c r="EI233" s="561">
        <f t="shared" ca="1" si="621"/>
        <v>1328910.8751871395</v>
      </c>
      <c r="EJ233" s="581">
        <f t="shared" si="675"/>
        <v>66923.162931733881</v>
      </c>
      <c r="EK233" s="554">
        <f t="shared" si="676"/>
        <v>12167.847805769765</v>
      </c>
      <c r="EL233" s="554">
        <f t="shared" ca="1" si="543"/>
        <v>54364.687113983113</v>
      </c>
      <c r="EM233" s="554">
        <f t="shared" ca="1" si="544"/>
        <v>168530.53005334764</v>
      </c>
      <c r="EN233" s="561">
        <f t="shared" ca="1" si="545"/>
        <v>236039.45110364631</v>
      </c>
      <c r="EO233" s="180">
        <f t="shared" si="622"/>
        <v>4381089.116445668</v>
      </c>
      <c r="EP233" s="180">
        <f t="shared" si="623"/>
        <v>796561.65753557591</v>
      </c>
      <c r="EQ233" s="180">
        <f t="shared" si="624"/>
        <v>328277.47277723264</v>
      </c>
      <c r="ER233" s="180">
        <f t="shared" si="625"/>
        <v>1017660.1656094212</v>
      </c>
      <c r="ES233" s="180">
        <f t="shared" si="626"/>
        <v>6523588.412367898</v>
      </c>
      <c r="ET233" s="1482">
        <f t="shared" ca="1" si="546"/>
        <v>4113396.4647187325</v>
      </c>
      <c r="EU233" s="180">
        <f t="shared" ca="1" si="547"/>
        <v>747890.26631249685</v>
      </c>
      <c r="EV233" s="180">
        <f t="shared" ca="1" si="548"/>
        <v>110818.72432130019</v>
      </c>
      <c r="EW233" s="180">
        <f t="shared" ca="1" si="549"/>
        <v>343538.04539603059</v>
      </c>
      <c r="EX233" s="555">
        <f t="shared" ca="1" si="522"/>
        <v>5315643.5007485608</v>
      </c>
      <c r="EY233" s="180">
        <f t="shared" ca="1" si="550"/>
        <v>267692.65172693552</v>
      </c>
      <c r="EZ233" s="180">
        <f t="shared" ca="1" si="551"/>
        <v>48671.391223079059</v>
      </c>
      <c r="FA233" s="180">
        <f t="shared" ca="1" si="552"/>
        <v>217458.74845593245</v>
      </c>
      <c r="FB233" s="180">
        <f t="shared" ca="1" si="553"/>
        <v>674122.12021339056</v>
      </c>
      <c r="FC233" s="180">
        <f t="shared" ca="1" si="554"/>
        <v>1207944.9116193373</v>
      </c>
      <c r="FD233" s="262">
        <f>IF(AX233,IF(VLOOKUP(C233,MAIN!$L$17:$M$28,2)="Yes",VLOOKUP(CALC!B233,MAIN!$H$17:$I$20,2),0),0)</f>
        <v>0</v>
      </c>
      <c r="FE233" s="623">
        <f t="shared" si="627"/>
        <v>0</v>
      </c>
      <c r="FF233" s="535">
        <f t="shared" si="628"/>
        <v>0</v>
      </c>
      <c r="FG233" s="535">
        <f t="shared" si="629"/>
        <v>0</v>
      </c>
      <c r="FH233" s="624">
        <f t="shared" si="630"/>
        <v>0</v>
      </c>
      <c r="FI233" s="632">
        <f>IF(AX233,VLOOKUP(CALC!B233,MAIN!$H$17:$K$20,4),0)</f>
        <v>0</v>
      </c>
      <c r="FJ233" s="535">
        <f t="shared" si="631"/>
        <v>0</v>
      </c>
      <c r="FK233" s="648">
        <f t="shared" si="677"/>
        <v>0</v>
      </c>
      <c r="FL233" s="530">
        <f t="shared" ca="1" si="555"/>
        <v>0</v>
      </c>
      <c r="FM233" s="530">
        <f t="shared" ca="1" si="556"/>
        <v>0</v>
      </c>
      <c r="FN233" s="530">
        <f t="shared" ca="1" si="557"/>
        <v>0</v>
      </c>
      <c r="FO233" s="622">
        <f t="shared" ca="1" si="558"/>
        <v>0</v>
      </c>
      <c r="FP233" s="530">
        <f t="shared" ca="1" si="559"/>
        <v>0</v>
      </c>
      <c r="FQ233" s="530">
        <f t="shared" ca="1" si="560"/>
        <v>0</v>
      </c>
      <c r="FR233" s="530">
        <f t="shared" ca="1" si="561"/>
        <v>0</v>
      </c>
      <c r="FS233" s="625">
        <f t="shared" ca="1" si="562"/>
        <v>0</v>
      </c>
      <c r="FT233" s="640">
        <f ca="1">IF(AND(Assumptions!$H$71="Yes",A233&gt;=Assumptions!$H$72,A233&lt;=Assumptions!$H$73),0,IF(AND($A233&gt;=Assumptions!$C$17,$A233&lt;=Assumptions!$C$18),MAX(AZ233*(1+VLOOKUP($C233,WeatherCapacityAdjustment,2))-FL233,0),0))</f>
        <v>51216</v>
      </c>
      <c r="FU233" s="530">
        <f ca="1">IF(AND(Assumptions!$H$71="Yes",A233&gt;=Assumptions!$H$72,A233&lt;=Assumptions!$H$73),0,IF(AND($A233&gt;=Assumptions!$C$17,$A233&lt;=Assumptions!$C$18),MAX(BA233*(1+VLOOKUP($C233,WeatherCapacityAdjustment,2))-FM233,0),0))</f>
        <v>9312</v>
      </c>
      <c r="FV233" s="530">
        <f ca="1">IF(AND(Assumptions!$H$71="Yes",A233&gt;=Assumptions!$H$72,A233&lt;=Assumptions!$H$73),0,IF(AND($A233&gt;=Assumptions!$C$17,$A233&lt;=Assumptions!$C$18),MAX(BB233*(1+VLOOKUP($C233,WeatherCapacityAdjustment,2))-FN233,0),0))</f>
        <v>11640</v>
      </c>
      <c r="FW233" s="622">
        <f ca="1">IF(AND(Assumptions!$H$71="Yes",A233&gt;=Assumptions!$H$72,A233&lt;=Assumptions!$H$73),0,IF(AND($A233&gt;=Assumptions!$C$17,$A233&lt;=Assumptions!$C$18),MAX(BC233*(1+VLOOKUP($C233,WeatherCapacityAdjustment,3))-FO233,0),0))</f>
        <v>36084</v>
      </c>
      <c r="FX233" s="621">
        <f ca="1">IF(AND(Assumptions!$H$71="Yes",A233&gt;=Assumptions!$H$72,A233&lt;=Assumptions!$H$73),0,IF(ET233&gt;0,MAX(BH233*(1+VLOOKUP($C233,WeatherCapacityAdjustment,2))-FP233,0),0))</f>
        <v>204864</v>
      </c>
      <c r="FY233" s="530">
        <f ca="1">IF(AND(Assumptions!$H$71="Yes",A233&gt;=Assumptions!$H$72,A233&lt;=Assumptions!$H$73),0,IF(EU233&gt;0,MAX(BI233*(1+VLOOKUP($C233,WeatherCapacityAdjustment,3))-FQ233,0),0))</f>
        <v>37248</v>
      </c>
      <c r="FZ233" s="530">
        <f ca="1">IF(AND(Assumptions!$H$71="Yes",A233&gt;=Assumptions!$H$72,A233&lt;=Assumptions!$H$73),0,IF(EV233&gt;0,MAX(BJ233*(1+VLOOKUP($C233,WeatherCapacityAdjustment,2))-FR233,0),0))</f>
        <v>46560</v>
      </c>
      <c r="GA233" s="622">
        <f ca="1">IF(AND(Assumptions!$H$71="Yes",A233&gt;=Assumptions!$H$72,A233&lt;=Assumptions!$H$73),0,IF(EW233&gt;0,MAX(BK233*(1+VLOOKUP($C233,WeatherCapacityAdjustment,2))-FS233,0),0))</f>
        <v>144336</v>
      </c>
      <c r="GB233" s="530">
        <f t="shared" ca="1" si="632"/>
        <v>541260</v>
      </c>
      <c r="GC233" s="545">
        <f t="shared" ca="1" si="633"/>
        <v>38.547864032273964</v>
      </c>
      <c r="GD233" s="530">
        <f t="shared" ca="1" si="563"/>
        <v>20864416.886108607</v>
      </c>
      <c r="GE233" s="1485">
        <f t="shared" ca="1" si="564"/>
        <v>769221.39168</v>
      </c>
      <c r="GF233" s="1776">
        <f t="shared" ca="1" si="565"/>
        <v>3076885.56672</v>
      </c>
      <c r="GG233" s="545">
        <f t="shared" si="530"/>
        <v>3.3562836903788527</v>
      </c>
      <c r="GH233" s="622">
        <f t="shared" ca="1" si="531"/>
        <v>12908626.055930536</v>
      </c>
      <c r="GI233" s="621">
        <f t="shared" ca="1" si="678"/>
        <v>541260</v>
      </c>
      <c r="GJ233" s="638">
        <f t="shared" si="634"/>
        <v>2.4225630089834325</v>
      </c>
      <c r="GK233" s="625">
        <f t="shared" ca="1" si="684"/>
        <v>1311236.4542423727</v>
      </c>
      <c r="GL233" s="640">
        <f t="shared" ca="1" si="566"/>
        <v>0</v>
      </c>
      <c r="GM233" s="530">
        <f t="shared" ca="1" si="567"/>
        <v>0</v>
      </c>
      <c r="GN233" s="530">
        <f t="shared" ca="1" si="568"/>
        <v>0</v>
      </c>
      <c r="GO233" s="622">
        <f t="shared" ca="1" si="569"/>
        <v>0</v>
      </c>
      <c r="GP233" s="530">
        <f t="shared" ca="1" si="635"/>
        <v>0</v>
      </c>
      <c r="GQ233" s="545">
        <f t="shared" ca="1" si="636"/>
        <v>0</v>
      </c>
      <c r="GR233" s="625">
        <f t="shared" ca="1" si="570"/>
        <v>0</v>
      </c>
      <c r="GS233" s="640">
        <f>IF($A233&gt;=BegDate,Assumptions!$C$56*24*($A234-$A233)*(1-VLOOKUP($B233,MAIN!$AA$7:$AM$28,$C233+1))*(1-VLOOKUP($B233,MAIN!$AA$33:$AM$54,$C233+1)),0)*80/168</f>
        <v>257742.85714285713</v>
      </c>
      <c r="GT233" s="1715">
        <f t="shared" si="679"/>
        <v>46.350446998718503</v>
      </c>
      <c r="GU233" s="1715">
        <f>IF($A233&gt;=BegDate,VLOOKUP($A233,GasTable,13)+Assumptions!$C$58,0)</f>
        <v>3.3562836903788527</v>
      </c>
      <c r="GV233" s="1715">
        <f>GU233*Assumptions!$C$57/1000</f>
        <v>24.33305675524668</v>
      </c>
      <c r="GW233" s="625">
        <f>IF(Assumptions!$C$60="Hourly",MAX(0,GS233*(GT233-GV233)),GS233*(GT233-GV233))</f>
        <v>5674825.0681816945</v>
      </c>
      <c r="GX233" s="640">
        <f>IF($A233&gt;=BegDate,Assumptions!$C$56*24*($A234-$A233)*(1-VLOOKUP($B233,MAIN!$AA$7:$AM$28,$C233+1))*(1-VLOOKUP($B233,MAIN!$AA$33:$AM$54,$C233+1)),0)*16/168</f>
        <v>51548.571428571428</v>
      </c>
      <c r="GY233" s="1715">
        <f t="shared" si="680"/>
        <v>46.350446998718503</v>
      </c>
      <c r="GZ233" s="1715">
        <f>IF($A233&gt;=BegDate,VLOOKUP($A233,GasTable,13)+Assumptions!$C$58,0)</f>
        <v>3.3562836903788527</v>
      </c>
      <c r="HA233" s="1715">
        <f>GZ233*Assumptions!$C$57/1000</f>
        <v>24.33305675524668</v>
      </c>
      <c r="HB233" s="625">
        <f>IF(Assumptions!$C$60="Hourly",MAX(0,GX233*(GY233-HA233)),GX233*(GY233-HA233))</f>
        <v>1134965.013636339</v>
      </c>
      <c r="HC233" s="640">
        <f>IF($A233&gt;=BegDate,Assumptions!$C$56*24*($A234-$A233)*(1-VLOOKUP($B233,MAIN!$AA$7:$AM$28,$C233+1))*(1-VLOOKUP($B233,MAIN!$AA$33:$AM$54,$C233+1)),0)*16/168</f>
        <v>51548.571428571428</v>
      </c>
      <c r="HD233" s="1715">
        <f t="shared" si="681"/>
        <v>28.65190514800285</v>
      </c>
      <c r="HE233" s="1715">
        <f>IF($A233&gt;=BegDate,VLOOKUP($A233,GasTable,13)+Assumptions!$C$58,0)</f>
        <v>3.3562836903788527</v>
      </c>
      <c r="HF233" s="1715">
        <f>HE233*Assumptions!$C$57/1000</f>
        <v>24.33305675524668</v>
      </c>
      <c r="HG233" s="625">
        <f>IF(Assumptions!$C$60="Hourly",MAX(0,HC233*(HD233-HF233)),HC233*(HD233-HF233))</f>
        <v>222630.46486316231</v>
      </c>
      <c r="HH233" s="640">
        <f>IF($A233&gt;=BegDate,Assumptions!$C$56*24*($A234-$A233)*(1-VLOOKUP($B233,MAIN!$AA$7:$AM$28,$C233+1))*(1-VLOOKUP($B233,MAIN!$AA$33:$AM$54,$C233+1)),0)*56/168</f>
        <v>180420</v>
      </c>
      <c r="HI233" s="1715">
        <f t="shared" si="682"/>
        <v>28.65190514800285</v>
      </c>
      <c r="HJ233" s="1715">
        <f>IF($A233&gt;=BegDate,VLOOKUP($A233,GasTable,13)+Assumptions!$C$58,0)</f>
        <v>3.3562836903788527</v>
      </c>
      <c r="HK233" s="1715">
        <f>HJ233*Assumptions!$C$57/1000</f>
        <v>24.33305675524668</v>
      </c>
      <c r="HL233" s="625">
        <f>IF(Assumptions!$C$60="Hourly",MAX(0,HH233*(HI233-HK233)),HH233*(HI233-HK233))</f>
        <v>779206.62702106813</v>
      </c>
      <c r="HM233" s="640">
        <f>IF(AND(Assumptions!$H$71="Yes",A233&gt;=Assumptions!$H$72,A233&lt;=Assumptions!$H$73),Assumptions!$H$74*Assumptions!$C$9*1000,0)</f>
        <v>0</v>
      </c>
      <c r="HN233" s="530"/>
      <c r="HO233" s="545"/>
      <c r="HP233" s="545"/>
      <c r="HQ233" s="545"/>
      <c r="HR233" s="545"/>
      <c r="HS233" s="545"/>
      <c r="HT233" s="545"/>
      <c r="HU233" s="545"/>
      <c r="HV233" s="545"/>
      <c r="HW233" s="545"/>
      <c r="HX233" s="545"/>
      <c r="HY233" s="545"/>
      <c r="HZ233" s="545"/>
      <c r="IA233" s="545"/>
      <c r="IB233" s="545"/>
      <c r="IC233" s="545"/>
      <c r="ID233" s="545"/>
      <c r="IE233" s="545"/>
      <c r="IF233" s="545"/>
      <c r="IG233" s="545"/>
      <c r="IH233" s="545"/>
      <c r="II233" s="1464"/>
      <c r="IJ233" s="1463"/>
      <c r="IK233" s="1463"/>
    </row>
    <row r="234" spans="1:245">
      <c r="A234" s="177">
        <f t="shared" si="637"/>
        <v>43252</v>
      </c>
      <c r="B234" s="349">
        <f t="shared" si="638"/>
        <v>2018</v>
      </c>
      <c r="C234" s="15">
        <f t="shared" si="686"/>
        <v>6</v>
      </c>
      <c r="D234" s="612" t="str">
        <f t="shared" si="639"/>
        <v/>
      </c>
      <c r="E234" s="609">
        <f t="shared" si="687"/>
        <v>43252</v>
      </c>
      <c r="F234" s="614">
        <f t="shared" si="688"/>
        <v>43281</v>
      </c>
      <c r="G234" s="1349">
        <v>0</v>
      </c>
      <c r="H234" s="152">
        <f t="shared" si="683"/>
        <v>1</v>
      </c>
      <c r="I234" s="154">
        <f>IF(Assumptions!$L$25=4,VLOOKUP($A234,'Henwood Reference'!$E$9:$R$320,10),(VLOOKUP($A234,PriceTable,2,0)+IF(BasisNumber&lt;&gt;1,VLOOKUP($A234,BasisTable,2,0),0)+I$1)/(1-I$2))</f>
        <v>44.951765448467064</v>
      </c>
      <c r="J234" s="154">
        <f>IF(Assumptions!$L$25=4,VLOOKUP($A234,'Henwood Reference'!$E$9:$R$320,10),(VLOOKUP($A234,PriceTable,3,0)+IF(BasisNumber&lt;&gt;1,VLOOKUP($A234,BasisTable,2,0),0)+J$1)/(1-J$2))</f>
        <v>44.951765448467064</v>
      </c>
      <c r="K234" s="154">
        <f>IF(Assumptions!$L$25=4,VLOOKUP($A234,'Henwood Reference'!$E$9:$R$320,10),(VLOOKUP($A234,PriceTable,4,0)+IF(BasisNumber&lt;&gt;1,VLOOKUP($A234,BasisTable,2,0),0)+K$1)/(1-K$2))</f>
        <v>44.951765448467064</v>
      </c>
      <c r="L234" s="474">
        <f>IF(Assumptions!$L$25=4,VLOOKUP($A234,'Henwood Reference'!$E$9:$R$320,10),(VLOOKUP($A234,PriceTableWeekend,2,0)+IF(BasisNumber&lt;&gt;1,VLOOKUP($A234,BasisTable,2,0),0)+L$1)/(1-L$2))</f>
        <v>44.951765448467064</v>
      </c>
      <c r="M234" s="154">
        <f>IF(Assumptions!$L$25=4,VLOOKUP($A234,'Henwood Reference'!$E$9:$R$320,10),(VLOOKUP($A234,PriceTableWeekend,3,0)+IF(BasisNumber&lt;&gt;1,VLOOKUP($A234,BasisTable,2,0),0)+M$1)/(1-M$2))</f>
        <v>44.951765448467064</v>
      </c>
      <c r="N234" s="156">
        <f>IF(Assumptions!$L$25=4,VLOOKUP($A234,'Henwood Reference'!$E$9:$R$320,10),(VLOOKUP($A234,PriceTableWeekend,4,0)+IF(BasisNumber&lt;&gt;1,VLOOKUP($A234,BasisTable,2,0),0)+N$1)/(1-N$2))</f>
        <v>44.951765448467064</v>
      </c>
      <c r="O234" s="154">
        <f>IF(Assumptions!$L$25=4,VLOOKUP($A234,'Henwood Reference'!$E$9:$R$320,11),(VLOOKUP($A234,PriceTableWeekend,6,0)+IF(BasisNumber&lt;&gt;1,VLOOKUP($A234,BasisTable,3,0),0)+O$1)/(1-O$2))</f>
        <v>27.27721813471069</v>
      </c>
      <c r="P234" s="154">
        <f>IF(Assumptions!$L$25=4,VLOOKUP($A234,'Henwood Reference'!$E$9:$R$320,11),(VLOOKUP($A234,PriceTableWeekend,7,0)+IF(BasisNumber&lt;&gt;1,VLOOKUP($A234,BasisTable,3,0),0)+P$1)/(1-P$2))</f>
        <v>27.27721813471069</v>
      </c>
      <c r="Q234" s="156">
        <f>IF(Assumptions!$L$25=4,VLOOKUP($A234,'Henwood Reference'!$E$9:$R$320,11),(VLOOKUP($A234,PriceTableWeekend,8,0)+IF(BasisNumber&lt;&gt;1,VLOOKUP($A234,BasisTable,3,0),0)+Q$1)/(1-Q$2))</f>
        <v>27.27721813471069</v>
      </c>
      <c r="R234" s="154">
        <f>IF(Assumptions!$L$25=4,VLOOKUP($A234,'Henwood Reference'!$E$9:$R$320,11),(VLOOKUP($A234,PriceTable,6,0)+IF(BasisNumber&lt;&gt;1,VLOOKUP($A234,BasisTable,3,0),0)+R$1)/(1-R$2))</f>
        <v>27.27721813471069</v>
      </c>
      <c r="S234" s="154">
        <f>IF(Assumptions!$L$25=4,VLOOKUP($A234,'Henwood Reference'!$E$9:$R$320,11),(VLOOKUP($A234,PriceTable,7,0)+IF(BasisNumber&lt;&gt;1,VLOOKUP($A234,BasisTable,3,0),0)+S$1)/(1-S$2))</f>
        <v>27.27721813471069</v>
      </c>
      <c r="T234" s="155">
        <f>IF(Assumptions!$L$25=4,VLOOKUP($A234,'Henwood Reference'!$E$9:$R$320,11),(VLOOKUP($A234,PriceTable,8,0)+IF(BasisNumber&lt;&gt;1,VLOOKUP($A234,BasisTable,3,0),0)+T$1)/(1-T$2))</f>
        <v>27.27721813471069</v>
      </c>
      <c r="U234" s="173">
        <f t="shared" si="640"/>
        <v>0.09</v>
      </c>
      <c r="V234" s="173">
        <f t="shared" si="641"/>
        <v>0.1</v>
      </c>
      <c r="W234" s="174">
        <f t="shared" si="642"/>
        <v>0.11</v>
      </c>
      <c r="X234" s="173">
        <f t="shared" si="643"/>
        <v>0.09</v>
      </c>
      <c r="Y234" s="173">
        <f t="shared" si="644"/>
        <v>0.1</v>
      </c>
      <c r="Z234" s="174">
        <f t="shared" si="645"/>
        <v>0.11</v>
      </c>
      <c r="AA234" s="173">
        <f t="shared" si="646"/>
        <v>0.09</v>
      </c>
      <c r="AB234" s="173">
        <f t="shared" si="647"/>
        <v>0.11</v>
      </c>
      <c r="AC234" s="174">
        <f t="shared" si="648"/>
        <v>0.13</v>
      </c>
      <c r="AD234" s="173">
        <f t="shared" si="649"/>
        <v>0.09</v>
      </c>
      <c r="AE234" s="173">
        <f t="shared" si="650"/>
        <v>0.11</v>
      </c>
      <c r="AF234" s="174">
        <f t="shared" si="651"/>
        <v>0.13</v>
      </c>
      <c r="AG234" s="173">
        <f t="shared" si="652"/>
        <v>-0.35</v>
      </c>
      <c r="AH234" s="173">
        <f t="shared" si="653"/>
        <v>0.65</v>
      </c>
      <c r="AI234" s="174">
        <f t="shared" si="654"/>
        <v>0.2</v>
      </c>
      <c r="AJ234" s="173">
        <f t="shared" si="655"/>
        <v>-0.35</v>
      </c>
      <c r="AK234" s="173">
        <f t="shared" si="656"/>
        <v>0.65</v>
      </c>
      <c r="AL234" s="174">
        <f t="shared" si="657"/>
        <v>0.2</v>
      </c>
      <c r="AM234" s="173">
        <f t="shared" si="658"/>
        <v>-0.01</v>
      </c>
      <c r="AN234" s="173">
        <f t="shared" si="659"/>
        <v>0.16</v>
      </c>
      <c r="AO234" s="174">
        <f t="shared" si="660"/>
        <v>0.01</v>
      </c>
      <c r="AP234" s="173">
        <f t="shared" si="661"/>
        <v>-0.01</v>
      </c>
      <c r="AQ234" s="173">
        <f t="shared" si="662"/>
        <v>0.16</v>
      </c>
      <c r="AR234" s="175">
        <f t="shared" si="663"/>
        <v>0.01</v>
      </c>
      <c r="AS234" s="521">
        <f t="shared" si="691"/>
        <v>0.5</v>
      </c>
      <c r="AT234" s="349">
        <f t="shared" si="689"/>
        <v>21</v>
      </c>
      <c r="AU234" s="159">
        <f t="shared" si="582"/>
        <v>5</v>
      </c>
      <c r="AV234" s="159">
        <f t="shared" si="583"/>
        <v>4</v>
      </c>
      <c r="AW234" s="159">
        <f t="shared" si="692"/>
        <v>0</v>
      </c>
      <c r="AX234" s="15">
        <f t="shared" si="690"/>
        <v>30</v>
      </c>
      <c r="AY234" s="607">
        <f>IF(E234="",0,MIN((1-(1-VLOOKUP(B234,MAIN!$AA$7:$AM$28,C234+1))*(1-VLOOKUP(B234,MAIN!$AA$33:$AM$54,C234+1))),1))</f>
        <v>3.0000000000000027E-2</v>
      </c>
      <c r="AZ234" s="337">
        <v>48888</v>
      </c>
      <c r="BA234" s="509">
        <v>11640</v>
      </c>
      <c r="BB234" s="509">
        <v>9312</v>
      </c>
      <c r="BC234" s="511">
        <v>34920</v>
      </c>
      <c r="BD234" s="153">
        <v>0.97000000722706314</v>
      </c>
      <c r="BE234" s="474">
        <v>0.97000000722706314</v>
      </c>
      <c r="BF234" s="474">
        <v>0.97000000722706314</v>
      </c>
      <c r="BG234" s="515">
        <v>0.97000000722706314</v>
      </c>
      <c r="BH234" s="262">
        <v>195552</v>
      </c>
      <c r="BI234" s="509">
        <v>46560</v>
      </c>
      <c r="BJ234" s="509">
        <v>37248</v>
      </c>
      <c r="BK234" s="511">
        <v>139680</v>
      </c>
      <c r="BL234" s="153">
        <v>0.97000000722706314</v>
      </c>
      <c r="BM234" s="474">
        <v>0.97000000722706314</v>
      </c>
      <c r="BN234" s="474">
        <v>0.97000000722706314</v>
      </c>
      <c r="BO234" s="474">
        <v>0.97000000722706314</v>
      </c>
      <c r="BP234" s="261">
        <f t="shared" si="666"/>
        <v>69840</v>
      </c>
      <c r="BQ234" s="578">
        <f t="shared" si="667"/>
        <v>104760</v>
      </c>
      <c r="BR234" s="259">
        <f t="shared" si="668"/>
        <v>279360</v>
      </c>
      <c r="BS234" s="578">
        <f t="shared" si="669"/>
        <v>419040</v>
      </c>
      <c r="BT234" s="216">
        <f t="shared" si="670"/>
        <v>18.130047912388775</v>
      </c>
      <c r="BU234" s="218">
        <f t="shared" si="585"/>
        <v>44.951765783383813</v>
      </c>
      <c r="BV234" s="216">
        <f t="shared" si="586"/>
        <v>44.951765783383813</v>
      </c>
      <c r="BW234" s="216">
        <f t="shared" si="587"/>
        <v>27.2772183379418</v>
      </c>
      <c r="BX234" s="216">
        <f t="shared" si="671"/>
        <v>27.2772183379418</v>
      </c>
      <c r="BY234" s="216">
        <f t="shared" si="588"/>
        <v>42.595159457324876</v>
      </c>
      <c r="BZ234" s="216">
        <f t="shared" si="589"/>
        <v>37.489179084197183</v>
      </c>
      <c r="CA234" s="264">
        <f t="shared" si="590"/>
        <v>44.951765783383813</v>
      </c>
      <c r="CB234" s="216">
        <f t="shared" si="591"/>
        <v>44.951765783383813</v>
      </c>
      <c r="CC234" s="216">
        <f t="shared" si="592"/>
        <v>27.2772183379418</v>
      </c>
      <c r="CD234" s="216">
        <f t="shared" si="672"/>
        <v>27.2772183379418</v>
      </c>
      <c r="CE234" s="216">
        <f t="shared" si="593"/>
        <v>42.595159457324876</v>
      </c>
      <c r="CF234" s="571">
        <f t="shared" si="594"/>
        <v>37.489179084197183</v>
      </c>
      <c r="CG234" s="573">
        <f t="shared" si="595"/>
        <v>0.1</v>
      </c>
      <c r="CH234" s="219">
        <f t="shared" si="596"/>
        <v>0.1</v>
      </c>
      <c r="CI234" s="219">
        <f t="shared" si="597"/>
        <v>0.11</v>
      </c>
      <c r="CJ234" s="219">
        <f t="shared" si="598"/>
        <v>0.1008610235382154</v>
      </c>
      <c r="CK234" s="219">
        <f t="shared" si="599"/>
        <v>0.1008610235382154</v>
      </c>
      <c r="CL234" s="219">
        <f t="shared" si="600"/>
        <v>0.11</v>
      </c>
      <c r="CM234" s="219">
        <f t="shared" si="601"/>
        <v>9.2934808900157706E-2</v>
      </c>
      <c r="CN234" s="569">
        <f t="shared" si="602"/>
        <v>9.2934808900157706E-2</v>
      </c>
      <c r="CO234" s="264">
        <f t="shared" si="685"/>
        <v>24.106735674179163</v>
      </c>
      <c r="CP234" s="216">
        <f t="shared" si="673"/>
        <v>24.106735674179163</v>
      </c>
      <c r="CQ234" s="216">
        <f t="shared" ca="1" si="532"/>
        <v>24.106735674179163</v>
      </c>
      <c r="CR234" s="216">
        <f t="shared" ca="1" si="533"/>
        <v>24.106735674179163</v>
      </c>
      <c r="CS234" s="1626">
        <f t="shared" ca="1" si="534"/>
        <v>24.106735674179163</v>
      </c>
      <c r="CT234" s="216">
        <f t="shared" si="674"/>
        <v>24.106735674179163</v>
      </c>
      <c r="CU234" s="575">
        <f t="shared" si="603"/>
        <v>0.151</v>
      </c>
      <c r="CV234" s="154">
        <f t="shared" si="604"/>
        <v>0.5</v>
      </c>
      <c r="CW234" s="216">
        <f>IF(OR($BQ234,$BS234),SpreadOptPowerMargin,0)*((1+Assumptions!$C$26)^($B234-YEAR(Assumptions!$C$17)))</f>
        <v>2.4225630089834325</v>
      </c>
      <c r="CX234" s="216">
        <f>IF(OR($BQ234,$BS234),SpreadOptPowerMargin,0)*((1+Assumptions!$C$26)^($B234-YEAR(Assumptions!$C$17)))</f>
        <v>2.4225630089834325</v>
      </c>
      <c r="CY234" s="216">
        <f>IF(OR($BQ234,$BS234),SpreadOptPowerMargin,0)*((1+Assumptions!$C$26)^($B234-YEAR(Assumptions!$C$17)))</f>
        <v>2.4225630089834325</v>
      </c>
      <c r="CZ234" s="216">
        <f>IF(OR($BQ234,$BS234),SpreadOptPowerMargin,0)*((1+Assumptions!$C$26)^($B234-YEAR(Assumptions!$C$17)))</f>
        <v>2.4225630089834325</v>
      </c>
      <c r="DA234" s="440">
        <f t="shared" si="605"/>
        <v>2.4225630089834325</v>
      </c>
      <c r="DB234" s="479">
        <f t="shared" si="606"/>
        <v>0.1</v>
      </c>
      <c r="DC234" s="479">
        <f t="shared" si="607"/>
        <v>0.1</v>
      </c>
      <c r="DD234" s="479">
        <f t="shared" si="608"/>
        <v>0.11</v>
      </c>
      <c r="DE234" s="479">
        <f t="shared" si="609"/>
        <v>0.11</v>
      </c>
      <c r="DF234" s="479">
        <f t="shared" si="610"/>
        <v>9.2934808900157706E-2</v>
      </c>
      <c r="DG234" s="574">
        <f t="shared" si="611"/>
        <v>9.2934808900157706E-2</v>
      </c>
      <c r="DH234" s="216">
        <f t="shared" si="612"/>
        <v>19.930096099755819</v>
      </c>
      <c r="DI234" s="216">
        <f t="shared" si="613"/>
        <v>19.930096099755819</v>
      </c>
      <c r="DJ234" s="216">
        <f t="shared" ca="1" si="535"/>
        <v>6.0587454462546457</v>
      </c>
      <c r="DK234" s="216">
        <f t="shared" ca="1" si="536"/>
        <v>6.0587454462546457</v>
      </c>
      <c r="DL234" s="216">
        <f t="shared" ca="1" si="537"/>
        <v>13.412948906304079</v>
      </c>
      <c r="DM234" s="216"/>
      <c r="DN234" s="216"/>
      <c r="DO234" s="216"/>
      <c r="DP234" s="216"/>
      <c r="DQ234" s="216"/>
      <c r="DR234" s="216"/>
      <c r="DS234" s="216"/>
      <c r="DT234" s="216"/>
      <c r="DU234" s="216"/>
      <c r="DV234" s="216"/>
      <c r="DW234" s="1371">
        <f t="shared" si="614"/>
        <v>6.0587454462546457</v>
      </c>
      <c r="DX234" s="216">
        <f t="shared" si="615"/>
        <v>6.0587454462546457</v>
      </c>
      <c r="DY234" s="440">
        <f t="shared" si="616"/>
        <v>14.073303601610879</v>
      </c>
      <c r="DZ234" s="180">
        <f t="shared" si="617"/>
        <v>974342.53812486248</v>
      </c>
      <c r="EA234" s="180">
        <f t="shared" si="618"/>
        <v>231986.31860115772</v>
      </c>
      <c r="EB234" s="180">
        <f t="shared" ca="1" si="538"/>
        <v>56419.037595523259</v>
      </c>
      <c r="EC234" s="180">
        <f t="shared" ca="1" si="539"/>
        <v>211571.39098321222</v>
      </c>
      <c r="ED234" s="180">
        <f t="shared" ca="1" si="540"/>
        <v>1405140.5274244153</v>
      </c>
      <c r="EE234" s="581">
        <f t="shared" si="619"/>
        <v>900637.57159561501</v>
      </c>
      <c r="EF234" s="554">
        <f t="shared" si="620"/>
        <v>214437.517046575</v>
      </c>
      <c r="EG234" s="554">
        <f t="shared" ca="1" si="541"/>
        <v>6964.62782530397</v>
      </c>
      <c r="EH234" s="554">
        <f t="shared" ca="1" si="542"/>
        <v>26117.354344889889</v>
      </c>
      <c r="EI234" s="561">
        <f t="shared" ca="1" si="621"/>
        <v>1148157.0708123834</v>
      </c>
      <c r="EJ234" s="581">
        <f t="shared" si="675"/>
        <v>73704.966529247467</v>
      </c>
      <c r="EK234" s="554">
        <f t="shared" si="676"/>
        <v>17548.801554582722</v>
      </c>
      <c r="EL234" s="554">
        <f t="shared" ca="1" si="543"/>
        <v>49454.409770219288</v>
      </c>
      <c r="EM234" s="554">
        <f t="shared" ca="1" si="544"/>
        <v>185454.03663832232</v>
      </c>
      <c r="EN234" s="561">
        <f t="shared" ca="1" si="545"/>
        <v>256983.45661203191</v>
      </c>
      <c r="EO234" s="180">
        <f t="shared" si="622"/>
        <v>3897370.1524994499</v>
      </c>
      <c r="EP234" s="180">
        <f t="shared" si="623"/>
        <v>927945.27440463088</v>
      </c>
      <c r="EQ234" s="180">
        <f t="shared" si="624"/>
        <v>225676.15038209304</v>
      </c>
      <c r="ER234" s="180">
        <f t="shared" si="625"/>
        <v>846285.56393284886</v>
      </c>
      <c r="ES234" s="180">
        <f t="shared" si="626"/>
        <v>5897277.1412190227</v>
      </c>
      <c r="ET234" s="1482">
        <f t="shared" ca="1" si="546"/>
        <v>3602550.28638246</v>
      </c>
      <c r="EU234" s="180">
        <f t="shared" ca="1" si="547"/>
        <v>857750.06818629999</v>
      </c>
      <c r="EV234" s="180">
        <f t="shared" ca="1" si="548"/>
        <v>27858.51130121588</v>
      </c>
      <c r="EW234" s="180">
        <f t="shared" ca="1" si="549"/>
        <v>104469.41737955956</v>
      </c>
      <c r="EX234" s="555">
        <f t="shared" ref="EX234:EX297" ca="1" si="693">IF(EI234,SUM(ET234:EW234),0)</f>
        <v>4592628.2832495356</v>
      </c>
      <c r="EY234" s="180">
        <f t="shared" ca="1" si="550"/>
        <v>294819.86611698987</v>
      </c>
      <c r="EZ234" s="180">
        <f t="shared" ca="1" si="551"/>
        <v>70195.206218330888</v>
      </c>
      <c r="FA234" s="180">
        <f t="shared" ca="1" si="552"/>
        <v>197817.63908087715</v>
      </c>
      <c r="FB234" s="180">
        <f t="shared" ca="1" si="553"/>
        <v>741816.14655328926</v>
      </c>
      <c r="FC234" s="180">
        <f t="shared" ca="1" si="554"/>
        <v>1304648.8579694871</v>
      </c>
      <c r="FD234" s="262">
        <f>IF(AX234,IF(VLOOKUP(C234,MAIN!$L$17:$M$28,2)="Yes",VLOOKUP(CALC!B234,MAIN!$H$17:$I$20,2),0),0)</f>
        <v>0</v>
      </c>
      <c r="FE234" s="623">
        <f t="shared" si="627"/>
        <v>0</v>
      </c>
      <c r="FF234" s="535">
        <f t="shared" si="628"/>
        <v>0</v>
      </c>
      <c r="FG234" s="535">
        <f t="shared" si="629"/>
        <v>0</v>
      </c>
      <c r="FH234" s="624">
        <f t="shared" si="630"/>
        <v>0</v>
      </c>
      <c r="FI234" s="632">
        <f>IF(AX234,VLOOKUP(CALC!B234,MAIN!$H$17:$K$20,4),0)</f>
        <v>0</v>
      </c>
      <c r="FJ234" s="535">
        <f t="shared" si="631"/>
        <v>0</v>
      </c>
      <c r="FK234" s="648">
        <f t="shared" si="677"/>
        <v>0</v>
      </c>
      <c r="FL234" s="530">
        <f t="shared" ca="1" si="555"/>
        <v>0</v>
      </c>
      <c r="FM234" s="530">
        <f t="shared" ca="1" si="556"/>
        <v>0</v>
      </c>
      <c r="FN234" s="530">
        <f t="shared" ca="1" si="557"/>
        <v>0</v>
      </c>
      <c r="FO234" s="622">
        <f t="shared" ca="1" si="558"/>
        <v>0</v>
      </c>
      <c r="FP234" s="530">
        <f t="shared" ca="1" si="559"/>
        <v>0</v>
      </c>
      <c r="FQ234" s="530">
        <f t="shared" ca="1" si="560"/>
        <v>0</v>
      </c>
      <c r="FR234" s="530">
        <f t="shared" ca="1" si="561"/>
        <v>0</v>
      </c>
      <c r="FS234" s="625">
        <f t="shared" ca="1" si="562"/>
        <v>0</v>
      </c>
      <c r="FT234" s="640">
        <f ca="1">IF(AND(Assumptions!$H$71="Yes",A234&gt;=Assumptions!$H$72,A234&lt;=Assumptions!$H$73),0,IF(AND($A234&gt;=Assumptions!$C$17,$A234&lt;=Assumptions!$C$18),MAX(AZ234*(1+VLOOKUP($C234,WeatherCapacityAdjustment,2))-FL234,0),0))</f>
        <v>48888</v>
      </c>
      <c r="FU234" s="530">
        <f ca="1">IF(AND(Assumptions!$H$71="Yes",A234&gt;=Assumptions!$H$72,A234&lt;=Assumptions!$H$73),0,IF(AND($A234&gt;=Assumptions!$C$17,$A234&lt;=Assumptions!$C$18),MAX(BA234*(1+VLOOKUP($C234,WeatherCapacityAdjustment,2))-FM234,0),0))</f>
        <v>11640</v>
      </c>
      <c r="FV234" s="530">
        <f ca="1">IF(AND(Assumptions!$H$71="Yes",A234&gt;=Assumptions!$H$72,A234&lt;=Assumptions!$H$73),0,IF(AND($A234&gt;=Assumptions!$C$17,$A234&lt;=Assumptions!$C$18),MAX(BB234*(1+VLOOKUP($C234,WeatherCapacityAdjustment,2))-FN234,0),0))</f>
        <v>9312</v>
      </c>
      <c r="FW234" s="622">
        <f ca="1">IF(AND(Assumptions!$H$71="Yes",A234&gt;=Assumptions!$H$72,A234&lt;=Assumptions!$H$73),0,IF(AND($A234&gt;=Assumptions!$C$17,$A234&lt;=Assumptions!$C$18),MAX(BC234*(1+VLOOKUP($C234,WeatherCapacityAdjustment,3))-FO234,0),0))</f>
        <v>34920</v>
      </c>
      <c r="FX234" s="621">
        <f ca="1">IF(AND(Assumptions!$H$71="Yes",A234&gt;=Assumptions!$H$72,A234&lt;=Assumptions!$H$73),0,IF(ET234&gt;0,MAX(BH234*(1+VLOOKUP($C234,WeatherCapacityAdjustment,2))-FP234,0),0))</f>
        <v>195552</v>
      </c>
      <c r="FY234" s="530">
        <f ca="1">IF(AND(Assumptions!$H$71="Yes",A234&gt;=Assumptions!$H$72,A234&lt;=Assumptions!$H$73),0,IF(EU234&gt;0,MAX(BI234*(1+VLOOKUP($C234,WeatherCapacityAdjustment,3))-FQ234,0),0))</f>
        <v>46560</v>
      </c>
      <c r="FZ234" s="530">
        <f ca="1">IF(AND(Assumptions!$H$71="Yes",A234&gt;=Assumptions!$H$72,A234&lt;=Assumptions!$H$73),0,IF(EV234&gt;0,MAX(BJ234*(1+VLOOKUP($C234,WeatherCapacityAdjustment,2))-FR234,0),0))</f>
        <v>37248</v>
      </c>
      <c r="GA234" s="622">
        <f ca="1">IF(AND(Assumptions!$H$71="Yes",A234&gt;=Assumptions!$H$72,A234&lt;=Assumptions!$H$73),0,IF(EW234&gt;0,MAX(BK234*(1+VLOOKUP($C234,WeatherCapacityAdjustment,2))-FS234,0),0))</f>
        <v>139680</v>
      </c>
      <c r="GB234" s="530">
        <f t="shared" ca="1" si="632"/>
        <v>523800</v>
      </c>
      <c r="GC234" s="545">
        <f t="shared" ca="1" si="633"/>
        <v>37.489179084197183</v>
      </c>
      <c r="GD234" s="530">
        <f t="shared" ca="1" si="563"/>
        <v>19636832.004302487</v>
      </c>
      <c r="GE234" s="1485">
        <f t="shared" ca="1" si="564"/>
        <v>744715.79280000005</v>
      </c>
      <c r="GF234" s="1776">
        <f t="shared" ca="1" si="565"/>
        <v>2978863.1712000002</v>
      </c>
      <c r="GG234" s="545">
        <f t="shared" si="530"/>
        <v>3.3911213561510074</v>
      </c>
      <c r="GH234" s="622">
        <f t="shared" ca="1" si="531"/>
        <v>12627108.146135043</v>
      </c>
      <c r="GI234" s="621">
        <f t="shared" ca="1" si="678"/>
        <v>523800</v>
      </c>
      <c r="GJ234" s="638">
        <f t="shared" si="634"/>
        <v>2.4225630089834325</v>
      </c>
      <c r="GK234" s="625">
        <f t="shared" ca="1" si="684"/>
        <v>1268938.5041055218</v>
      </c>
      <c r="GL234" s="640">
        <f t="shared" ca="1" si="566"/>
        <v>0</v>
      </c>
      <c r="GM234" s="530">
        <f t="shared" ca="1" si="567"/>
        <v>0</v>
      </c>
      <c r="GN234" s="530">
        <f t="shared" ca="1" si="568"/>
        <v>0</v>
      </c>
      <c r="GO234" s="622">
        <f t="shared" ca="1" si="569"/>
        <v>0</v>
      </c>
      <c r="GP234" s="530">
        <f t="shared" ca="1" si="635"/>
        <v>0</v>
      </c>
      <c r="GQ234" s="545">
        <f t="shared" ca="1" si="636"/>
        <v>0</v>
      </c>
      <c r="GR234" s="625">
        <f t="shared" ca="1" si="570"/>
        <v>0</v>
      </c>
      <c r="GS234" s="640">
        <f>IF($A234&gt;=BegDate,Assumptions!$C$56*24*($A235-$A234)*(1-VLOOKUP($B234,MAIN!$AA$7:$AM$28,$C234+1))*(1-VLOOKUP($B234,MAIN!$AA$33:$AM$54,$C234+1)),0)*80/168</f>
        <v>249428.57142857142</v>
      </c>
      <c r="GT234" s="1715">
        <f t="shared" si="679"/>
        <v>44.951765448467064</v>
      </c>
      <c r="GU234" s="1715">
        <f>IF($A234&gt;=BegDate,VLOOKUP($A234,GasTable,13)+Assumptions!$C$58,0)</f>
        <v>3.3911213561510074</v>
      </c>
      <c r="GV234" s="1715">
        <f>GU234*Assumptions!$C$57/1000</f>
        <v>24.585629832094803</v>
      </c>
      <c r="GW234" s="625">
        <f>IF(Assumptions!$C$60="Hourly",MAX(0,GS234*(GT234-GV234)),GS234*(GT234-GV234))</f>
        <v>5079896.1123122815</v>
      </c>
      <c r="GX234" s="640">
        <f>IF($A234&gt;=BegDate,Assumptions!$C$56*24*($A235-$A234)*(1-VLOOKUP($B234,MAIN!$AA$7:$AM$28,$C234+1))*(1-VLOOKUP($B234,MAIN!$AA$33:$AM$54,$C234+1)),0)*16/168</f>
        <v>49885.714285714283</v>
      </c>
      <c r="GY234" s="1715">
        <f t="shared" si="680"/>
        <v>44.951765448467064</v>
      </c>
      <c r="GZ234" s="1715">
        <f>IF($A234&gt;=BegDate,VLOOKUP($A234,GasTable,13)+Assumptions!$C$58,0)</f>
        <v>3.3911213561510074</v>
      </c>
      <c r="HA234" s="1715">
        <f>GZ234*Assumptions!$C$57/1000</f>
        <v>24.585629832094803</v>
      </c>
      <c r="HB234" s="625">
        <f>IF(Assumptions!$C$60="Hourly",MAX(0,GX234*(GY234-HA234)),GX234*(GY234-HA234))</f>
        <v>1015979.2224624562</v>
      </c>
      <c r="HC234" s="640">
        <f>IF($A234&gt;=BegDate,Assumptions!$C$56*24*($A235-$A234)*(1-VLOOKUP($B234,MAIN!$AA$7:$AM$28,$C234+1))*(1-VLOOKUP($B234,MAIN!$AA$33:$AM$54,$C234+1)),0)*16/168</f>
        <v>49885.714285714283</v>
      </c>
      <c r="HD234" s="1715">
        <f t="shared" si="681"/>
        <v>27.27721813471069</v>
      </c>
      <c r="HE234" s="1715">
        <f>IF($A234&gt;=BegDate,VLOOKUP($A234,GasTable,13)+Assumptions!$C$58,0)</f>
        <v>3.3911213561510074</v>
      </c>
      <c r="HF234" s="1715">
        <f>HE234*Assumptions!$C$57/1000</f>
        <v>24.585629832094803</v>
      </c>
      <c r="HG234" s="625">
        <f>IF(Assumptions!$C$60="Hourly",MAX(0,HC234*(HD234-HF234)),HC234*(HD234-HF234))</f>
        <v>134271.80503906682</v>
      </c>
      <c r="HH234" s="640">
        <f>IF($A234&gt;=BegDate,Assumptions!$C$56*24*($A235-$A234)*(1-VLOOKUP($B234,MAIN!$AA$7:$AM$28,$C234+1))*(1-VLOOKUP($B234,MAIN!$AA$33:$AM$54,$C234+1)),0)*56/168</f>
        <v>174600</v>
      </c>
      <c r="HI234" s="1715">
        <f t="shared" si="682"/>
        <v>27.27721813471069</v>
      </c>
      <c r="HJ234" s="1715">
        <f>IF($A234&gt;=BegDate,VLOOKUP($A234,GasTable,13)+Assumptions!$C$58,0)</f>
        <v>3.3911213561510074</v>
      </c>
      <c r="HK234" s="1715">
        <f>HJ234*Assumptions!$C$57/1000</f>
        <v>24.585629832094803</v>
      </c>
      <c r="HL234" s="625">
        <f>IF(Assumptions!$C$60="Hourly",MAX(0,HH234*(HI234-HK234)),HH234*(HI234-HK234))</f>
        <v>469951.31763673393</v>
      </c>
      <c r="HM234" s="640">
        <f>IF(AND(Assumptions!$H$71="Yes",A234&gt;=Assumptions!$H$72,A234&lt;=Assumptions!$H$73),Assumptions!$H$74*Assumptions!$C$9*1000,0)</f>
        <v>0</v>
      </c>
      <c r="HN234" s="530"/>
      <c r="HO234" s="545"/>
      <c r="HP234" s="545"/>
      <c r="HQ234" s="545"/>
      <c r="HR234" s="545"/>
      <c r="HS234" s="545"/>
      <c r="HT234" s="545"/>
      <c r="HU234" s="545"/>
      <c r="HV234" s="545"/>
      <c r="HW234" s="545"/>
      <c r="HX234" s="545"/>
      <c r="HY234" s="545"/>
      <c r="HZ234" s="545"/>
      <c r="IA234" s="545"/>
      <c r="IB234" s="545"/>
      <c r="IC234" s="545"/>
      <c r="ID234" s="545"/>
      <c r="IE234" s="545"/>
      <c r="IF234" s="545"/>
      <c r="IG234" s="545"/>
      <c r="IH234" s="545"/>
      <c r="II234" s="1464"/>
      <c r="IJ234" s="1463"/>
      <c r="IK234" s="1463"/>
    </row>
    <row r="235" spans="1:245">
      <c r="A235" s="177">
        <f t="shared" si="637"/>
        <v>43282</v>
      </c>
      <c r="B235" s="349">
        <f t="shared" si="638"/>
        <v>2018</v>
      </c>
      <c r="C235" s="15">
        <f t="shared" si="686"/>
        <v>7</v>
      </c>
      <c r="D235" s="612">
        <f t="shared" si="639"/>
        <v>43285</v>
      </c>
      <c r="E235" s="609">
        <f t="shared" si="687"/>
        <v>43282</v>
      </c>
      <c r="F235" s="614">
        <f t="shared" si="688"/>
        <v>43312</v>
      </c>
      <c r="G235" s="1349">
        <v>0</v>
      </c>
      <c r="H235" s="152">
        <f t="shared" si="683"/>
        <v>1</v>
      </c>
      <c r="I235" s="154">
        <f>IF(Assumptions!$L$25=4,VLOOKUP($A235,'Henwood Reference'!$E$9:$R$320,10),(VLOOKUP($A235,PriceTable,2,0)+IF(BasisNumber&lt;&gt;1,VLOOKUP($A235,BasisTable,2,0),0)+I$1)/(1-I$2))</f>
        <v>68.443416903976839</v>
      </c>
      <c r="J235" s="154">
        <f>IF(Assumptions!$L$25=4,VLOOKUP($A235,'Henwood Reference'!$E$9:$R$320,10),(VLOOKUP($A235,PriceTable,3,0)+IF(BasisNumber&lt;&gt;1,VLOOKUP($A235,BasisTable,2,0),0)+J$1)/(1-J$2))</f>
        <v>68.443416903976839</v>
      </c>
      <c r="K235" s="154">
        <f>IF(Assumptions!$L$25=4,VLOOKUP($A235,'Henwood Reference'!$E$9:$R$320,10),(VLOOKUP($A235,PriceTable,4,0)+IF(BasisNumber&lt;&gt;1,VLOOKUP($A235,BasisTable,2,0),0)+K$1)/(1-K$2))</f>
        <v>68.443416903976839</v>
      </c>
      <c r="L235" s="474">
        <f>IF(Assumptions!$L$25=4,VLOOKUP($A235,'Henwood Reference'!$E$9:$R$320,10),(VLOOKUP($A235,PriceTableWeekend,2,0)+IF(BasisNumber&lt;&gt;1,VLOOKUP($A235,BasisTable,2,0),0)+L$1)/(1-L$2))</f>
        <v>68.443416903976839</v>
      </c>
      <c r="M235" s="154">
        <f>IF(Assumptions!$L$25=4,VLOOKUP($A235,'Henwood Reference'!$E$9:$R$320,10),(VLOOKUP($A235,PriceTableWeekend,3,0)+IF(BasisNumber&lt;&gt;1,VLOOKUP($A235,BasisTable,2,0),0)+M$1)/(1-M$2))</f>
        <v>68.443416903976839</v>
      </c>
      <c r="N235" s="156">
        <f>IF(Assumptions!$L$25=4,VLOOKUP($A235,'Henwood Reference'!$E$9:$R$320,10),(VLOOKUP($A235,PriceTableWeekend,4,0)+IF(BasisNumber&lt;&gt;1,VLOOKUP($A235,BasisTable,2,0),0)+N$1)/(1-N$2))</f>
        <v>68.443416903976839</v>
      </c>
      <c r="O235" s="154">
        <f>IF(Assumptions!$L$25=4,VLOOKUP($A235,'Henwood Reference'!$E$9:$R$320,11),(VLOOKUP($A235,PriceTableWeekend,6,0)+IF(BasisNumber&lt;&gt;1,VLOOKUP($A235,BasisTable,3,0),0)+O$1)/(1-O$2))</f>
        <v>33.598921675732782</v>
      </c>
      <c r="P235" s="154">
        <f>IF(Assumptions!$L$25=4,VLOOKUP($A235,'Henwood Reference'!$E$9:$R$320,11),(VLOOKUP($A235,PriceTableWeekend,7,0)+IF(BasisNumber&lt;&gt;1,VLOOKUP($A235,BasisTable,3,0),0)+P$1)/(1-P$2))</f>
        <v>33.598921675732782</v>
      </c>
      <c r="Q235" s="156">
        <f>IF(Assumptions!$L$25=4,VLOOKUP($A235,'Henwood Reference'!$E$9:$R$320,11),(VLOOKUP($A235,PriceTableWeekend,8,0)+IF(BasisNumber&lt;&gt;1,VLOOKUP($A235,BasisTable,3,0),0)+Q$1)/(1-Q$2))</f>
        <v>33.598921675732782</v>
      </c>
      <c r="R235" s="154">
        <f>IF(Assumptions!$L$25=4,VLOOKUP($A235,'Henwood Reference'!$E$9:$R$320,11),(VLOOKUP($A235,PriceTable,6,0)+IF(BasisNumber&lt;&gt;1,VLOOKUP($A235,BasisTable,3,0),0)+R$1)/(1-R$2))</f>
        <v>33.598921675732782</v>
      </c>
      <c r="S235" s="154">
        <f>IF(Assumptions!$L$25=4,VLOOKUP($A235,'Henwood Reference'!$E$9:$R$320,11),(VLOOKUP($A235,PriceTable,7,0)+IF(BasisNumber&lt;&gt;1,VLOOKUP($A235,BasisTable,3,0),0)+S$1)/(1-S$2))</f>
        <v>33.598921675732782</v>
      </c>
      <c r="T235" s="155">
        <f>IF(Assumptions!$L$25=4,VLOOKUP($A235,'Henwood Reference'!$E$9:$R$320,11),(VLOOKUP($A235,PriceTable,8,0)+IF(BasisNumber&lt;&gt;1,VLOOKUP($A235,BasisTable,3,0),0)+T$1)/(1-T$2))</f>
        <v>33.598921675732782</v>
      </c>
      <c r="U235" s="173">
        <f t="shared" si="640"/>
        <v>0.09</v>
      </c>
      <c r="V235" s="173">
        <f t="shared" si="641"/>
        <v>0.1</v>
      </c>
      <c r="W235" s="174">
        <f t="shared" si="642"/>
        <v>0.11</v>
      </c>
      <c r="X235" s="173">
        <f t="shared" si="643"/>
        <v>0.09</v>
      </c>
      <c r="Y235" s="173">
        <f t="shared" si="644"/>
        <v>0.1</v>
      </c>
      <c r="Z235" s="174">
        <f t="shared" si="645"/>
        <v>0.11</v>
      </c>
      <c r="AA235" s="173">
        <f t="shared" si="646"/>
        <v>0.09</v>
      </c>
      <c r="AB235" s="173">
        <f t="shared" si="647"/>
        <v>0.11</v>
      </c>
      <c r="AC235" s="174">
        <f t="shared" si="648"/>
        <v>0.13</v>
      </c>
      <c r="AD235" s="173">
        <f t="shared" si="649"/>
        <v>0.09</v>
      </c>
      <c r="AE235" s="173">
        <f t="shared" si="650"/>
        <v>0.11</v>
      </c>
      <c r="AF235" s="174">
        <f t="shared" si="651"/>
        <v>0.13</v>
      </c>
      <c r="AG235" s="173">
        <f t="shared" si="652"/>
        <v>-0.35</v>
      </c>
      <c r="AH235" s="173">
        <f t="shared" si="653"/>
        <v>0.65</v>
      </c>
      <c r="AI235" s="174">
        <f t="shared" si="654"/>
        <v>0.35</v>
      </c>
      <c r="AJ235" s="173">
        <f t="shared" si="655"/>
        <v>-0.35</v>
      </c>
      <c r="AK235" s="173">
        <f t="shared" si="656"/>
        <v>0.65</v>
      </c>
      <c r="AL235" s="174">
        <f t="shared" si="657"/>
        <v>0.35</v>
      </c>
      <c r="AM235" s="173">
        <f t="shared" si="658"/>
        <v>-0.01</v>
      </c>
      <c r="AN235" s="173">
        <f t="shared" si="659"/>
        <v>0.16</v>
      </c>
      <c r="AO235" s="174">
        <f t="shared" si="660"/>
        <v>0.01</v>
      </c>
      <c r="AP235" s="173">
        <f t="shared" si="661"/>
        <v>-0.01</v>
      </c>
      <c r="AQ235" s="173">
        <f t="shared" si="662"/>
        <v>0.16</v>
      </c>
      <c r="AR235" s="175">
        <f t="shared" si="663"/>
        <v>0.01</v>
      </c>
      <c r="AS235" s="521">
        <f t="shared" si="691"/>
        <v>0.5</v>
      </c>
      <c r="AT235" s="349">
        <f t="shared" si="689"/>
        <v>21</v>
      </c>
      <c r="AU235" s="159">
        <f t="shared" si="582"/>
        <v>4</v>
      </c>
      <c r="AV235" s="159">
        <f t="shared" si="583"/>
        <v>5</v>
      </c>
      <c r="AW235" s="159">
        <f t="shared" si="692"/>
        <v>1</v>
      </c>
      <c r="AX235" s="15">
        <f t="shared" si="690"/>
        <v>31</v>
      </c>
      <c r="AY235" s="607">
        <f>IF(E235="",0,MIN((1-(1-VLOOKUP(B235,MAIN!$AA$7:$AM$28,C235+1))*(1-VLOOKUP(B235,MAIN!$AA$33:$AM$54,C235+1))),1))</f>
        <v>3.0000000000000027E-2</v>
      </c>
      <c r="AZ235" s="337">
        <v>48888</v>
      </c>
      <c r="BA235" s="509">
        <v>9312</v>
      </c>
      <c r="BB235" s="509">
        <v>13968</v>
      </c>
      <c r="BC235" s="511">
        <v>36084</v>
      </c>
      <c r="BD235" s="153">
        <v>0.97000000361353156</v>
      </c>
      <c r="BE235" s="474">
        <v>0.97000000361353156</v>
      </c>
      <c r="BF235" s="474">
        <v>0.97000000361353156</v>
      </c>
      <c r="BG235" s="515">
        <v>0.96999998554587363</v>
      </c>
      <c r="BH235" s="262">
        <v>195552</v>
      </c>
      <c r="BI235" s="509">
        <v>37248</v>
      </c>
      <c r="BJ235" s="509">
        <v>55872</v>
      </c>
      <c r="BK235" s="511">
        <v>144336</v>
      </c>
      <c r="BL235" s="153">
        <v>0.97000000361353156</v>
      </c>
      <c r="BM235" s="474">
        <v>0.97000000361353156</v>
      </c>
      <c r="BN235" s="474">
        <v>0.97000000361353156</v>
      </c>
      <c r="BO235" s="474">
        <v>0.96999998554587363</v>
      </c>
      <c r="BP235" s="261">
        <f t="shared" si="666"/>
        <v>72168</v>
      </c>
      <c r="BQ235" s="578">
        <f t="shared" si="667"/>
        <v>108252</v>
      </c>
      <c r="BR235" s="259">
        <f t="shared" si="668"/>
        <v>288672</v>
      </c>
      <c r="BS235" s="578">
        <f t="shared" si="669"/>
        <v>433008</v>
      </c>
      <c r="BT235" s="216">
        <f t="shared" si="670"/>
        <v>18.212183436002739</v>
      </c>
      <c r="BU235" s="218">
        <f t="shared" si="585"/>
        <v>68.443417158948435</v>
      </c>
      <c r="BV235" s="216">
        <f t="shared" si="586"/>
        <v>68.443417158948435</v>
      </c>
      <c r="BW235" s="216">
        <f t="shared" si="587"/>
        <v>33.598921800898516</v>
      </c>
      <c r="BX235" s="216">
        <f t="shared" si="671"/>
        <v>33.598921175069833</v>
      </c>
      <c r="BY235" s="216">
        <f t="shared" si="588"/>
        <v>61.699321283196845</v>
      </c>
      <c r="BZ235" s="216">
        <f t="shared" si="589"/>
        <v>52.332521247154503</v>
      </c>
      <c r="CA235" s="264">
        <f t="shared" si="590"/>
        <v>68.443417158948435</v>
      </c>
      <c r="CB235" s="216">
        <f t="shared" si="591"/>
        <v>68.443417158948435</v>
      </c>
      <c r="CC235" s="216">
        <f t="shared" si="592"/>
        <v>33.598921800898516</v>
      </c>
      <c r="CD235" s="216">
        <f t="shared" si="672"/>
        <v>33.598921175069833</v>
      </c>
      <c r="CE235" s="216">
        <f t="shared" si="593"/>
        <v>61.699321283196845</v>
      </c>
      <c r="CF235" s="571">
        <f t="shared" si="594"/>
        <v>52.332521247154503</v>
      </c>
      <c r="CG235" s="573">
        <f t="shared" si="595"/>
        <v>0.1</v>
      </c>
      <c r="CH235" s="219">
        <f t="shared" si="596"/>
        <v>0.1</v>
      </c>
      <c r="CI235" s="219">
        <f t="shared" si="597"/>
        <v>0.11</v>
      </c>
      <c r="CJ235" s="219">
        <f t="shared" si="598"/>
        <v>0.10106270917092576</v>
      </c>
      <c r="CK235" s="219">
        <f t="shared" si="599"/>
        <v>0.10106270917092576</v>
      </c>
      <c r="CL235" s="219">
        <f t="shared" si="600"/>
        <v>0.11</v>
      </c>
      <c r="CM235" s="219">
        <f t="shared" si="601"/>
        <v>9.3709648356216577E-2</v>
      </c>
      <c r="CN235" s="569">
        <f t="shared" si="602"/>
        <v>9.3709648356216577E-2</v>
      </c>
      <c r="CO235" s="264">
        <f t="shared" si="685"/>
        <v>24.734733586839958</v>
      </c>
      <c r="CP235" s="216">
        <f t="shared" si="673"/>
        <v>24.734733586839958</v>
      </c>
      <c r="CQ235" s="216">
        <f t="shared" ca="1" si="532"/>
        <v>24.734733586839958</v>
      </c>
      <c r="CR235" s="216">
        <f t="shared" ca="1" si="533"/>
        <v>24.734733586839958</v>
      </c>
      <c r="CS235" s="1626">
        <f t="shared" ca="1" si="534"/>
        <v>24.734733586839958</v>
      </c>
      <c r="CT235" s="216">
        <f t="shared" si="674"/>
        <v>24.734733586839958</v>
      </c>
      <c r="CU235" s="575">
        <f t="shared" si="603"/>
        <v>0.151</v>
      </c>
      <c r="CV235" s="154">
        <f t="shared" si="604"/>
        <v>0.5</v>
      </c>
      <c r="CW235" s="216">
        <f>IF(OR($BQ235,$BS235),SpreadOptPowerMargin,0)*((1+Assumptions!$C$26)^($B235-YEAR(Assumptions!$C$17)))</f>
        <v>2.4225630089834325</v>
      </c>
      <c r="CX235" s="216">
        <f>IF(OR($BQ235,$BS235),SpreadOptPowerMargin,0)*((1+Assumptions!$C$26)^($B235-YEAR(Assumptions!$C$17)))</f>
        <v>2.4225630089834325</v>
      </c>
      <c r="CY235" s="216">
        <f>IF(OR($BQ235,$BS235),SpreadOptPowerMargin,0)*((1+Assumptions!$C$26)^($B235-YEAR(Assumptions!$C$17)))</f>
        <v>2.4225630089834325</v>
      </c>
      <c r="CZ235" s="216">
        <f>IF(OR($BQ235,$BS235),SpreadOptPowerMargin,0)*((1+Assumptions!$C$26)^($B235-YEAR(Assumptions!$C$17)))</f>
        <v>2.4225630089834325</v>
      </c>
      <c r="DA235" s="440">
        <f t="shared" si="605"/>
        <v>2.4225630089834325</v>
      </c>
      <c r="DB235" s="479">
        <f t="shared" si="606"/>
        <v>0.1</v>
      </c>
      <c r="DC235" s="479">
        <f t="shared" si="607"/>
        <v>0.1</v>
      </c>
      <c r="DD235" s="479">
        <f t="shared" si="608"/>
        <v>0.11</v>
      </c>
      <c r="DE235" s="479">
        <f t="shared" si="609"/>
        <v>0.11</v>
      </c>
      <c r="DF235" s="479">
        <f t="shared" si="610"/>
        <v>9.3709648356216577E-2</v>
      </c>
      <c r="DG235" s="574">
        <f t="shared" si="611"/>
        <v>9.3709648356216577E-2</v>
      </c>
      <c r="DH235" s="216">
        <f t="shared" si="612"/>
        <v>41.677250855103757</v>
      </c>
      <c r="DI235" s="216">
        <f t="shared" si="613"/>
        <v>41.677250855103757</v>
      </c>
      <c r="DJ235" s="216">
        <f t="shared" ca="1" si="535"/>
        <v>10.165856682252942</v>
      </c>
      <c r="DK235" s="216">
        <f t="shared" ca="1" si="536"/>
        <v>10.165856212417426</v>
      </c>
      <c r="DL235" s="216">
        <f t="shared" ca="1" si="537"/>
        <v>26.178482804111557</v>
      </c>
      <c r="DM235" s="216"/>
      <c r="DN235" s="216"/>
      <c r="DO235" s="216"/>
      <c r="DP235" s="216"/>
      <c r="DQ235" s="216"/>
      <c r="DR235" s="216"/>
      <c r="DS235" s="216"/>
      <c r="DT235" s="216"/>
      <c r="DU235" s="216"/>
      <c r="DV235" s="216"/>
      <c r="DW235" s="1371">
        <f t="shared" si="614"/>
        <v>10.165856682252942</v>
      </c>
      <c r="DX235" s="216">
        <f t="shared" si="615"/>
        <v>10.165856212417426</v>
      </c>
      <c r="DY235" s="440">
        <f t="shared" si="616"/>
        <v>27.107466295991006</v>
      </c>
      <c r="DZ235" s="180">
        <f t="shared" si="617"/>
        <v>2037517.4398043125</v>
      </c>
      <c r="EA235" s="180">
        <f t="shared" si="618"/>
        <v>388098.5599627262</v>
      </c>
      <c r="EB235" s="180">
        <f t="shared" ca="1" si="538"/>
        <v>141996.6861377091</v>
      </c>
      <c r="EC235" s="180">
        <f t="shared" ca="1" si="539"/>
        <v>366824.7555688704</v>
      </c>
      <c r="ED235" s="180">
        <f t="shared" ca="1" si="540"/>
        <v>2833873.1205106843</v>
      </c>
      <c r="EE235" s="581">
        <f t="shared" si="619"/>
        <v>2018395.8620900572</v>
      </c>
      <c r="EF235" s="554">
        <f t="shared" si="620"/>
        <v>384456.35468382045</v>
      </c>
      <c r="EG235" s="554">
        <f t="shared" ca="1" si="541"/>
        <v>89976.620864489378</v>
      </c>
      <c r="EH235" s="554">
        <f t="shared" ca="1" si="542"/>
        <v>232439.58131752867</v>
      </c>
      <c r="EI235" s="561">
        <f t="shared" ca="1" si="621"/>
        <v>2725268.4189558956</v>
      </c>
      <c r="EJ235" s="581">
        <f t="shared" si="675"/>
        <v>19121.577714255312</v>
      </c>
      <c r="EK235" s="554">
        <f t="shared" si="676"/>
        <v>3642.2052789057489</v>
      </c>
      <c r="EL235" s="554">
        <f t="shared" ca="1" si="543"/>
        <v>52020.06527321972</v>
      </c>
      <c r="EM235" s="554">
        <f t="shared" ca="1" si="544"/>
        <v>134385.17425134173</v>
      </c>
      <c r="EN235" s="561">
        <f t="shared" ca="1" si="545"/>
        <v>108604.70155478874</v>
      </c>
      <c r="EO235" s="180">
        <f t="shared" si="622"/>
        <v>8150069.7592172502</v>
      </c>
      <c r="EP235" s="180">
        <f t="shared" si="623"/>
        <v>1552394.2398509048</v>
      </c>
      <c r="EQ235" s="180">
        <f t="shared" si="624"/>
        <v>567986.74455083639</v>
      </c>
      <c r="ER235" s="180">
        <f t="shared" si="625"/>
        <v>1467299.0222754816</v>
      </c>
      <c r="ES235" s="180">
        <f t="shared" si="626"/>
        <v>11737749.765894474</v>
      </c>
      <c r="ET235" s="1482">
        <f t="shared" ca="1" si="546"/>
        <v>8073583.4483602289</v>
      </c>
      <c r="EU235" s="180">
        <f t="shared" ca="1" si="547"/>
        <v>1537825.4187352818</v>
      </c>
      <c r="EV235" s="180">
        <f t="shared" ca="1" si="548"/>
        <v>359906.48345795751</v>
      </c>
      <c r="EW235" s="180">
        <f t="shared" ca="1" si="549"/>
        <v>929758.3252701147</v>
      </c>
      <c r="EX235" s="555">
        <f t="shared" ca="1" si="693"/>
        <v>10901073.675823584</v>
      </c>
      <c r="EY235" s="180">
        <f t="shared" ca="1" si="550"/>
        <v>76486.31085702125</v>
      </c>
      <c r="EZ235" s="180">
        <f t="shared" ca="1" si="551"/>
        <v>14568.821115622995</v>
      </c>
      <c r="FA235" s="180">
        <f t="shared" ca="1" si="552"/>
        <v>208080.26109287888</v>
      </c>
      <c r="FB235" s="180">
        <f t="shared" ca="1" si="553"/>
        <v>537540.69700536691</v>
      </c>
      <c r="FC235" s="180">
        <f t="shared" ca="1" si="554"/>
        <v>836676.09007089026</v>
      </c>
      <c r="FD235" s="262">
        <f>IF(AX235,IF(VLOOKUP(C235,MAIN!$L$17:$M$28,2)="Yes",VLOOKUP(CALC!B235,MAIN!$H$17:$I$20,2),0),0)</f>
        <v>0</v>
      </c>
      <c r="FE235" s="623">
        <f t="shared" si="627"/>
        <v>0</v>
      </c>
      <c r="FF235" s="535">
        <f t="shared" si="628"/>
        <v>0</v>
      </c>
      <c r="FG235" s="535">
        <f t="shared" si="629"/>
        <v>0</v>
      </c>
      <c r="FH235" s="624">
        <f t="shared" si="630"/>
        <v>0</v>
      </c>
      <c r="FI235" s="632">
        <f>IF(AX235,VLOOKUP(CALC!B235,MAIN!$H$17:$K$20,4),0)</f>
        <v>0</v>
      </c>
      <c r="FJ235" s="535">
        <f t="shared" si="631"/>
        <v>0</v>
      </c>
      <c r="FK235" s="648">
        <f t="shared" si="677"/>
        <v>0</v>
      </c>
      <c r="FL235" s="530">
        <f t="shared" ca="1" si="555"/>
        <v>0</v>
      </c>
      <c r="FM235" s="530">
        <f t="shared" ca="1" si="556"/>
        <v>0</v>
      </c>
      <c r="FN235" s="530">
        <f t="shared" ca="1" si="557"/>
        <v>0</v>
      </c>
      <c r="FO235" s="622">
        <f t="shared" ca="1" si="558"/>
        <v>0</v>
      </c>
      <c r="FP235" s="530">
        <f t="shared" ca="1" si="559"/>
        <v>0</v>
      </c>
      <c r="FQ235" s="530">
        <f t="shared" ca="1" si="560"/>
        <v>0</v>
      </c>
      <c r="FR235" s="530">
        <f t="shared" ca="1" si="561"/>
        <v>0</v>
      </c>
      <c r="FS235" s="625">
        <f t="shared" ca="1" si="562"/>
        <v>0</v>
      </c>
      <c r="FT235" s="640">
        <f ca="1">IF(AND(Assumptions!$H$71="Yes",A235&gt;=Assumptions!$H$72,A235&lt;=Assumptions!$H$73),0,IF(AND($A235&gt;=Assumptions!$C$17,$A235&lt;=Assumptions!$C$18),MAX(AZ235*(1+VLOOKUP($C235,WeatherCapacityAdjustment,2))-FL235,0),0))</f>
        <v>48888</v>
      </c>
      <c r="FU235" s="530">
        <f ca="1">IF(AND(Assumptions!$H$71="Yes",A235&gt;=Assumptions!$H$72,A235&lt;=Assumptions!$H$73),0,IF(AND($A235&gt;=Assumptions!$C$17,$A235&lt;=Assumptions!$C$18),MAX(BA235*(1+VLOOKUP($C235,WeatherCapacityAdjustment,2))-FM235,0),0))</f>
        <v>9312</v>
      </c>
      <c r="FV235" s="530">
        <f ca="1">IF(AND(Assumptions!$H$71="Yes",A235&gt;=Assumptions!$H$72,A235&lt;=Assumptions!$H$73),0,IF(AND($A235&gt;=Assumptions!$C$17,$A235&lt;=Assumptions!$C$18),MAX(BB235*(1+VLOOKUP($C235,WeatherCapacityAdjustment,2))-FN235,0),0))</f>
        <v>13968</v>
      </c>
      <c r="FW235" s="622">
        <f ca="1">IF(AND(Assumptions!$H$71="Yes",A235&gt;=Assumptions!$H$72,A235&lt;=Assumptions!$H$73),0,IF(AND($A235&gt;=Assumptions!$C$17,$A235&lt;=Assumptions!$C$18),MAX(BC235*(1+VLOOKUP($C235,WeatherCapacityAdjustment,3))-FO235,0),0))</f>
        <v>36084</v>
      </c>
      <c r="FX235" s="621">
        <f ca="1">IF(AND(Assumptions!$H$71="Yes",A235&gt;=Assumptions!$H$72,A235&lt;=Assumptions!$H$73),0,IF(ET235&gt;0,MAX(BH235*(1+VLOOKUP($C235,WeatherCapacityAdjustment,2))-FP235,0),0))</f>
        <v>195552</v>
      </c>
      <c r="FY235" s="530">
        <f ca="1">IF(AND(Assumptions!$H$71="Yes",A235&gt;=Assumptions!$H$72,A235&lt;=Assumptions!$H$73),0,IF(EU235&gt;0,MAX(BI235*(1+VLOOKUP($C235,WeatherCapacityAdjustment,3))-FQ235,0),0))</f>
        <v>37248</v>
      </c>
      <c r="FZ235" s="530">
        <f ca="1">IF(AND(Assumptions!$H$71="Yes",A235&gt;=Assumptions!$H$72,A235&lt;=Assumptions!$H$73),0,IF(EV235&gt;0,MAX(BJ235*(1+VLOOKUP($C235,WeatherCapacityAdjustment,2))-FR235,0),0))</f>
        <v>55872</v>
      </c>
      <c r="GA235" s="622">
        <f ca="1">IF(AND(Assumptions!$H$71="Yes",A235&gt;=Assumptions!$H$72,A235&lt;=Assumptions!$H$73),0,IF(EW235&gt;0,MAX(BK235*(1+VLOOKUP($C235,WeatherCapacityAdjustment,2))-FS235,0),0))</f>
        <v>144336</v>
      </c>
      <c r="GB235" s="530">
        <f t="shared" ca="1" si="632"/>
        <v>541260</v>
      </c>
      <c r="GC235" s="545">
        <f t="shared" ca="1" si="633"/>
        <v>52.332521247154503</v>
      </c>
      <c r="GD235" s="530">
        <f t="shared" ca="1" si="563"/>
        <v>28325500.450234842</v>
      </c>
      <c r="GE235" s="1485">
        <f t="shared" ca="1" si="564"/>
        <v>769857.91344000003</v>
      </c>
      <c r="GF235" s="1776">
        <f t="shared" ca="1" si="565"/>
        <v>3079431.6537600001</v>
      </c>
      <c r="GG235" s="545">
        <f t="shared" si="530"/>
        <v>3.4780241048353924</v>
      </c>
      <c r="GH235" s="622">
        <f t="shared" ca="1" si="531"/>
        <v>13387921.901212996</v>
      </c>
      <c r="GI235" s="621">
        <f t="shared" ca="1" si="678"/>
        <v>541260</v>
      </c>
      <c r="GJ235" s="638">
        <f t="shared" si="634"/>
        <v>2.4225630089834325</v>
      </c>
      <c r="GK235" s="625">
        <f t="shared" ca="1" si="684"/>
        <v>1311236.4542423727</v>
      </c>
      <c r="GL235" s="640">
        <f t="shared" ca="1" si="566"/>
        <v>0</v>
      </c>
      <c r="GM235" s="530">
        <f t="shared" ca="1" si="567"/>
        <v>0</v>
      </c>
      <c r="GN235" s="530">
        <f t="shared" ca="1" si="568"/>
        <v>0</v>
      </c>
      <c r="GO235" s="622">
        <f t="shared" ca="1" si="569"/>
        <v>0</v>
      </c>
      <c r="GP235" s="530">
        <f t="shared" ca="1" si="635"/>
        <v>0</v>
      </c>
      <c r="GQ235" s="545">
        <f t="shared" ca="1" si="636"/>
        <v>0</v>
      </c>
      <c r="GR235" s="625">
        <f t="shared" ca="1" si="570"/>
        <v>0</v>
      </c>
      <c r="GS235" s="640">
        <f>IF($A235&gt;=BegDate,Assumptions!$C$56*24*($A236-$A235)*(1-VLOOKUP($B235,MAIN!$AA$7:$AM$28,$C235+1))*(1-VLOOKUP($B235,MAIN!$AA$33:$AM$54,$C235+1)),0)*80/168</f>
        <v>257742.85714285713</v>
      </c>
      <c r="GT235" s="1715">
        <f t="shared" si="679"/>
        <v>68.443416903976839</v>
      </c>
      <c r="GU235" s="1715">
        <f>IF($A235&gt;=BegDate,VLOOKUP($A235,GasTable,13)+Assumptions!$C$58,0)</f>
        <v>3.4780241048353924</v>
      </c>
      <c r="GV235" s="1715">
        <f>GU235*Assumptions!$C$57/1000</f>
        <v>25.215674760056594</v>
      </c>
      <c r="GW235" s="625">
        <f>IF(Assumptions!$C$60="Hourly",MAX(0,GS235*(GT235-GV235)),GS235*(GT235-GV235))</f>
        <v>11141641.7680087</v>
      </c>
      <c r="GX235" s="640">
        <f>IF($A235&gt;=BegDate,Assumptions!$C$56*24*($A236-$A235)*(1-VLOOKUP($B235,MAIN!$AA$7:$AM$28,$C235+1))*(1-VLOOKUP($B235,MAIN!$AA$33:$AM$54,$C235+1)),0)*16/168</f>
        <v>51548.571428571428</v>
      </c>
      <c r="GY235" s="1715">
        <f t="shared" si="680"/>
        <v>68.443416903976839</v>
      </c>
      <c r="GZ235" s="1715">
        <f>IF($A235&gt;=BegDate,VLOOKUP($A235,GasTable,13)+Assumptions!$C$58,0)</f>
        <v>3.4780241048353924</v>
      </c>
      <c r="HA235" s="1715">
        <f>GZ235*Assumptions!$C$57/1000</f>
        <v>25.215674760056594</v>
      </c>
      <c r="HB235" s="625">
        <f>IF(Assumptions!$C$60="Hourly",MAX(0,GX235*(GY235-HA235)),GX235*(GY235-HA235))</f>
        <v>2228328.3536017402</v>
      </c>
      <c r="HC235" s="640">
        <f>IF($A235&gt;=BegDate,Assumptions!$C$56*24*($A236-$A235)*(1-VLOOKUP($B235,MAIN!$AA$7:$AM$28,$C235+1))*(1-VLOOKUP($B235,MAIN!$AA$33:$AM$54,$C235+1)),0)*16/168</f>
        <v>51548.571428571428</v>
      </c>
      <c r="HD235" s="1715">
        <f t="shared" si="681"/>
        <v>33.598921675732782</v>
      </c>
      <c r="HE235" s="1715">
        <f>IF($A235&gt;=BegDate,VLOOKUP($A235,GasTable,13)+Assumptions!$C$58,0)</f>
        <v>3.4780241048353924</v>
      </c>
      <c r="HF235" s="1715">
        <f>HE235*Assumptions!$C$57/1000</f>
        <v>25.215674760056594</v>
      </c>
      <c r="HG235" s="625">
        <f>IF(Assumptions!$C$60="Hourly",MAX(0,HC235*(HD235-HF235)),HC235*(HD235-HF235))</f>
        <v>432144.4024360851</v>
      </c>
      <c r="HH235" s="640">
        <f>IF($A235&gt;=BegDate,Assumptions!$C$56*24*($A236-$A235)*(1-VLOOKUP($B235,MAIN!$AA$7:$AM$28,$C235+1))*(1-VLOOKUP($B235,MAIN!$AA$33:$AM$54,$C235+1)),0)*56/168</f>
        <v>180420</v>
      </c>
      <c r="HI235" s="1715">
        <f t="shared" si="682"/>
        <v>33.598921675732782</v>
      </c>
      <c r="HJ235" s="1715">
        <f>IF($A235&gt;=BegDate,VLOOKUP($A235,GasTable,13)+Assumptions!$C$58,0)</f>
        <v>3.4780241048353924</v>
      </c>
      <c r="HK235" s="1715">
        <f>HJ235*Assumptions!$C$57/1000</f>
        <v>25.215674760056594</v>
      </c>
      <c r="HL235" s="625">
        <f>IF(Assumptions!$C$60="Hourly",MAX(0,HH235*(HI235-HK235)),HH235*(HI235-HK235))</f>
        <v>1512505.4085262979</v>
      </c>
      <c r="HM235" s="640">
        <f>IF(AND(Assumptions!$H$71="Yes",A235&gt;=Assumptions!$H$72,A235&lt;=Assumptions!$H$73),Assumptions!$H$74*Assumptions!$C$9*1000,0)</f>
        <v>0</v>
      </c>
      <c r="HN235" s="530"/>
      <c r="HO235" s="545"/>
      <c r="HP235" s="545"/>
      <c r="HQ235" s="545"/>
      <c r="HR235" s="545"/>
      <c r="HS235" s="545"/>
      <c r="HT235" s="545"/>
      <c r="HU235" s="545"/>
      <c r="HV235" s="545"/>
      <c r="HW235" s="545"/>
      <c r="HX235" s="545"/>
      <c r="HY235" s="545"/>
      <c r="HZ235" s="545"/>
      <c r="IA235" s="545"/>
      <c r="IB235" s="545"/>
      <c r="IC235" s="545"/>
      <c r="ID235" s="545"/>
      <c r="IE235" s="545"/>
      <c r="IF235" s="545"/>
      <c r="IG235" s="545"/>
      <c r="IH235" s="545"/>
      <c r="II235" s="1464"/>
      <c r="IJ235" s="1463"/>
      <c r="IK235" s="1463"/>
    </row>
    <row r="236" spans="1:245">
      <c r="A236" s="177">
        <f t="shared" si="637"/>
        <v>43313</v>
      </c>
      <c r="B236" s="349">
        <f t="shared" si="638"/>
        <v>2018</v>
      </c>
      <c r="C236" s="15">
        <f t="shared" si="686"/>
        <v>8</v>
      </c>
      <c r="D236" s="612" t="str">
        <f t="shared" si="639"/>
        <v/>
      </c>
      <c r="E236" s="609">
        <f t="shared" si="687"/>
        <v>43313</v>
      </c>
      <c r="F236" s="614">
        <f t="shared" si="688"/>
        <v>43343</v>
      </c>
      <c r="G236" s="1349">
        <v>0</v>
      </c>
      <c r="H236" s="152">
        <f t="shared" si="683"/>
        <v>1</v>
      </c>
      <c r="I236" s="154">
        <f>IF(Assumptions!$L$25=4,VLOOKUP($A236,'Henwood Reference'!$E$9:$R$320,10),(VLOOKUP($A236,PriceTable,2,0)+IF(BasisNumber&lt;&gt;1,VLOOKUP($A236,BasisTable,2,0),0)+I$1)/(1-I$2))</f>
        <v>89.547040633539083</v>
      </c>
      <c r="J236" s="154">
        <f>IF(Assumptions!$L$25=4,VLOOKUP($A236,'Henwood Reference'!$E$9:$R$320,10),(VLOOKUP($A236,PriceTable,3,0)+IF(BasisNumber&lt;&gt;1,VLOOKUP($A236,BasisTable,2,0),0)+J$1)/(1-J$2))</f>
        <v>89.547040633539083</v>
      </c>
      <c r="K236" s="154">
        <f>IF(Assumptions!$L$25=4,VLOOKUP($A236,'Henwood Reference'!$E$9:$R$320,10),(VLOOKUP($A236,PriceTable,4,0)+IF(BasisNumber&lt;&gt;1,VLOOKUP($A236,BasisTable,2,0),0)+K$1)/(1-K$2))</f>
        <v>89.547040633539083</v>
      </c>
      <c r="L236" s="474">
        <f>IF(Assumptions!$L$25=4,VLOOKUP($A236,'Henwood Reference'!$E$9:$R$320,10),(VLOOKUP($A236,PriceTableWeekend,2,0)+IF(BasisNumber&lt;&gt;1,VLOOKUP($A236,BasisTable,2,0),0)+L$1)/(1-L$2))</f>
        <v>89.547040633539083</v>
      </c>
      <c r="M236" s="154">
        <f>IF(Assumptions!$L$25=4,VLOOKUP($A236,'Henwood Reference'!$E$9:$R$320,10),(VLOOKUP($A236,PriceTableWeekend,3,0)+IF(BasisNumber&lt;&gt;1,VLOOKUP($A236,BasisTable,2,0),0)+M$1)/(1-M$2))</f>
        <v>89.547040633539083</v>
      </c>
      <c r="N236" s="156">
        <f>IF(Assumptions!$L$25=4,VLOOKUP($A236,'Henwood Reference'!$E$9:$R$320,10),(VLOOKUP($A236,PriceTableWeekend,4,0)+IF(BasisNumber&lt;&gt;1,VLOOKUP($A236,BasisTable,2,0),0)+N$1)/(1-N$2))</f>
        <v>89.547040633539083</v>
      </c>
      <c r="O236" s="154">
        <f>IF(Assumptions!$L$25=4,VLOOKUP($A236,'Henwood Reference'!$E$9:$R$320,11),(VLOOKUP($A236,PriceTableWeekend,6,0)+IF(BasisNumber&lt;&gt;1,VLOOKUP($A236,BasisTable,3,0),0)+O$1)/(1-O$2))</f>
        <v>37.656854914346489</v>
      </c>
      <c r="P236" s="154">
        <f>IF(Assumptions!$L$25=4,VLOOKUP($A236,'Henwood Reference'!$E$9:$R$320,11),(VLOOKUP($A236,PriceTableWeekend,7,0)+IF(BasisNumber&lt;&gt;1,VLOOKUP($A236,BasisTable,3,0),0)+P$1)/(1-P$2))</f>
        <v>37.656854914346489</v>
      </c>
      <c r="Q236" s="156">
        <f>IF(Assumptions!$L$25=4,VLOOKUP($A236,'Henwood Reference'!$E$9:$R$320,11),(VLOOKUP($A236,PriceTableWeekend,8,0)+IF(BasisNumber&lt;&gt;1,VLOOKUP($A236,BasisTable,3,0),0)+Q$1)/(1-Q$2))</f>
        <v>37.656854914346489</v>
      </c>
      <c r="R236" s="154">
        <f>IF(Assumptions!$L$25=4,VLOOKUP($A236,'Henwood Reference'!$E$9:$R$320,11),(VLOOKUP($A236,PriceTable,6,0)+IF(BasisNumber&lt;&gt;1,VLOOKUP($A236,BasisTable,3,0),0)+R$1)/(1-R$2))</f>
        <v>37.656854914346489</v>
      </c>
      <c r="S236" s="154">
        <f>IF(Assumptions!$L$25=4,VLOOKUP($A236,'Henwood Reference'!$E$9:$R$320,11),(VLOOKUP($A236,PriceTable,7,0)+IF(BasisNumber&lt;&gt;1,VLOOKUP($A236,BasisTable,3,0),0)+S$1)/(1-S$2))</f>
        <v>37.656854914346489</v>
      </c>
      <c r="T236" s="155">
        <f>IF(Assumptions!$L$25=4,VLOOKUP($A236,'Henwood Reference'!$E$9:$R$320,11),(VLOOKUP($A236,PriceTable,8,0)+IF(BasisNumber&lt;&gt;1,VLOOKUP($A236,BasisTable,3,0),0)+T$1)/(1-T$2))</f>
        <v>37.656854914346489</v>
      </c>
      <c r="U236" s="173">
        <f t="shared" si="640"/>
        <v>0.09</v>
      </c>
      <c r="V236" s="173">
        <f t="shared" si="641"/>
        <v>0.1</v>
      </c>
      <c r="W236" s="174">
        <f t="shared" si="642"/>
        <v>0.11</v>
      </c>
      <c r="X236" s="173">
        <f t="shared" si="643"/>
        <v>0.09</v>
      </c>
      <c r="Y236" s="173">
        <f t="shared" si="644"/>
        <v>0.1</v>
      </c>
      <c r="Z236" s="174">
        <f t="shared" si="645"/>
        <v>0.11</v>
      </c>
      <c r="AA236" s="173">
        <f t="shared" si="646"/>
        <v>0.09</v>
      </c>
      <c r="AB236" s="173">
        <f t="shared" si="647"/>
        <v>0.11</v>
      </c>
      <c r="AC236" s="174">
        <f t="shared" si="648"/>
        <v>0.13</v>
      </c>
      <c r="AD236" s="173">
        <f t="shared" si="649"/>
        <v>0.09</v>
      </c>
      <c r="AE236" s="173">
        <f t="shared" si="650"/>
        <v>0.11</v>
      </c>
      <c r="AF236" s="174">
        <f t="shared" si="651"/>
        <v>0.13</v>
      </c>
      <c r="AG236" s="173">
        <f t="shared" si="652"/>
        <v>-0.35</v>
      </c>
      <c r="AH236" s="173">
        <f t="shared" si="653"/>
        <v>3</v>
      </c>
      <c r="AI236" s="174">
        <f t="shared" si="654"/>
        <v>0.35</v>
      </c>
      <c r="AJ236" s="173">
        <f t="shared" si="655"/>
        <v>-0.35</v>
      </c>
      <c r="AK236" s="173">
        <f t="shared" si="656"/>
        <v>3</v>
      </c>
      <c r="AL236" s="174">
        <f t="shared" si="657"/>
        <v>0.35</v>
      </c>
      <c r="AM236" s="173">
        <f t="shared" si="658"/>
        <v>-0.01</v>
      </c>
      <c r="AN236" s="173">
        <f t="shared" si="659"/>
        <v>0.16</v>
      </c>
      <c r="AO236" s="174">
        <f t="shared" si="660"/>
        <v>0.01</v>
      </c>
      <c r="AP236" s="173">
        <f t="shared" si="661"/>
        <v>-0.01</v>
      </c>
      <c r="AQ236" s="173">
        <f t="shared" si="662"/>
        <v>0.16</v>
      </c>
      <c r="AR236" s="175">
        <f t="shared" si="663"/>
        <v>0.01</v>
      </c>
      <c r="AS236" s="521">
        <f t="shared" si="691"/>
        <v>0.5</v>
      </c>
      <c r="AT236" s="349">
        <f t="shared" si="689"/>
        <v>23</v>
      </c>
      <c r="AU236" s="159">
        <f t="shared" si="582"/>
        <v>4</v>
      </c>
      <c r="AV236" s="159">
        <f t="shared" si="583"/>
        <v>4</v>
      </c>
      <c r="AW236" s="159">
        <f t="shared" si="692"/>
        <v>0</v>
      </c>
      <c r="AX236" s="15">
        <f t="shared" si="690"/>
        <v>31</v>
      </c>
      <c r="AY236" s="607">
        <f>IF(E236="",0,MIN((1-(1-VLOOKUP(B236,MAIN!$AA$7:$AM$28,C236+1))*(1-VLOOKUP(B236,MAIN!$AA$33:$AM$54,C236+1))),1))</f>
        <v>3.0000000000000027E-2</v>
      </c>
      <c r="AZ236" s="337">
        <v>53544</v>
      </c>
      <c r="BA236" s="509">
        <v>9312</v>
      </c>
      <c r="BB236" s="509">
        <v>9312</v>
      </c>
      <c r="BC236" s="511">
        <v>36084</v>
      </c>
      <c r="BD236" s="153">
        <v>0.96999998915940522</v>
      </c>
      <c r="BE236" s="474">
        <v>0.96999998915940522</v>
      </c>
      <c r="BF236" s="474">
        <v>0.96999998915940522</v>
      </c>
      <c r="BG236" s="515">
        <v>0.97000000722706314</v>
      </c>
      <c r="BH236" s="262">
        <v>214176</v>
      </c>
      <c r="BI236" s="509">
        <v>37248</v>
      </c>
      <c r="BJ236" s="509">
        <v>37248</v>
      </c>
      <c r="BK236" s="511">
        <v>144336</v>
      </c>
      <c r="BL236" s="153">
        <v>0.96999998915940522</v>
      </c>
      <c r="BM236" s="474">
        <v>0.96999998915940522</v>
      </c>
      <c r="BN236" s="474">
        <v>0.96999998915940522</v>
      </c>
      <c r="BO236" s="474">
        <v>0.97000000722706314</v>
      </c>
      <c r="BP236" s="261">
        <f t="shared" si="666"/>
        <v>72168</v>
      </c>
      <c r="BQ236" s="578">
        <f t="shared" si="667"/>
        <v>108252</v>
      </c>
      <c r="BR236" s="259">
        <f t="shared" si="668"/>
        <v>288672</v>
      </c>
      <c r="BS236" s="578">
        <f t="shared" si="669"/>
        <v>433008</v>
      </c>
      <c r="BT236" s="216">
        <f t="shared" si="670"/>
        <v>18.297056810403834</v>
      </c>
      <c r="BU236" s="218">
        <f t="shared" si="585"/>
        <v>89.547039632772922</v>
      </c>
      <c r="BV236" s="216">
        <f t="shared" si="586"/>
        <v>89.547039632772922</v>
      </c>
      <c r="BW236" s="216">
        <f t="shared" si="587"/>
        <v>37.656854493498344</v>
      </c>
      <c r="BX236" s="216">
        <f t="shared" si="671"/>
        <v>37.656855194911927</v>
      </c>
      <c r="BY236" s="216">
        <f t="shared" si="588"/>
        <v>82.851531872866516</v>
      </c>
      <c r="BZ236" s="216">
        <f t="shared" si="589"/>
        <v>67.786639646881653</v>
      </c>
      <c r="CA236" s="264">
        <f t="shared" si="590"/>
        <v>89.547039632772922</v>
      </c>
      <c r="CB236" s="216">
        <f t="shared" si="591"/>
        <v>89.547039632772922</v>
      </c>
      <c r="CC236" s="216">
        <f t="shared" si="592"/>
        <v>37.656854493498344</v>
      </c>
      <c r="CD236" s="216">
        <f t="shared" si="672"/>
        <v>37.656855194911927</v>
      </c>
      <c r="CE236" s="216">
        <f t="shared" si="593"/>
        <v>82.851531872866516</v>
      </c>
      <c r="CF236" s="571">
        <f t="shared" si="594"/>
        <v>67.786639646881653</v>
      </c>
      <c r="CG236" s="573">
        <f t="shared" si="595"/>
        <v>0.1</v>
      </c>
      <c r="CH236" s="219">
        <f t="shared" si="596"/>
        <v>0.1</v>
      </c>
      <c r="CI236" s="219">
        <f t="shared" si="597"/>
        <v>0.11</v>
      </c>
      <c r="CJ236" s="219">
        <f t="shared" si="598"/>
        <v>0.10059157427399412</v>
      </c>
      <c r="CK236" s="219">
        <f t="shared" si="599"/>
        <v>0.10059157427399412</v>
      </c>
      <c r="CL236" s="219">
        <f t="shared" si="600"/>
        <v>0.11</v>
      </c>
      <c r="CM236" s="219">
        <f t="shared" si="601"/>
        <v>9.4051393164416824E-2</v>
      </c>
      <c r="CN236" s="569">
        <f t="shared" si="602"/>
        <v>9.4051393164416824E-2</v>
      </c>
      <c r="CO236" s="264">
        <f t="shared" si="685"/>
        <v>25.635614077951498</v>
      </c>
      <c r="CP236" s="216">
        <f t="shared" si="673"/>
        <v>25.635614077951498</v>
      </c>
      <c r="CQ236" s="216">
        <f t="shared" ca="1" si="532"/>
        <v>25.635614077951498</v>
      </c>
      <c r="CR236" s="216">
        <f t="shared" ca="1" si="533"/>
        <v>25.635614077951498</v>
      </c>
      <c r="CS236" s="1626">
        <f t="shared" ca="1" si="534"/>
        <v>25.635614077951498</v>
      </c>
      <c r="CT236" s="216">
        <f t="shared" si="674"/>
        <v>25.635614077951498</v>
      </c>
      <c r="CU236" s="575">
        <f t="shared" si="603"/>
        <v>0.151</v>
      </c>
      <c r="CV236" s="154">
        <f t="shared" si="604"/>
        <v>0.5</v>
      </c>
      <c r="CW236" s="216">
        <f>IF(OR($BQ236,$BS236),SpreadOptPowerMargin,0)*((1+Assumptions!$C$26)^($B236-YEAR(Assumptions!$C$17)))</f>
        <v>2.4225630089834325</v>
      </c>
      <c r="CX236" s="216">
        <f>IF(OR($BQ236,$BS236),SpreadOptPowerMargin,0)*((1+Assumptions!$C$26)^($B236-YEAR(Assumptions!$C$17)))</f>
        <v>2.4225630089834325</v>
      </c>
      <c r="CY236" s="216">
        <f>IF(OR($BQ236,$BS236),SpreadOptPowerMargin,0)*((1+Assumptions!$C$26)^($B236-YEAR(Assumptions!$C$17)))</f>
        <v>2.4225630089834325</v>
      </c>
      <c r="CZ236" s="216">
        <f>IF(OR($BQ236,$BS236),SpreadOptPowerMargin,0)*((1+Assumptions!$C$26)^($B236-YEAR(Assumptions!$C$17)))</f>
        <v>2.4225630089834325</v>
      </c>
      <c r="DA236" s="440">
        <f t="shared" si="605"/>
        <v>2.4225630089834325</v>
      </c>
      <c r="DB236" s="479">
        <f t="shared" si="606"/>
        <v>0.1</v>
      </c>
      <c r="DC236" s="479">
        <f t="shared" si="607"/>
        <v>0.1</v>
      </c>
      <c r="DD236" s="479">
        <f t="shared" si="608"/>
        <v>0.11</v>
      </c>
      <c r="DE236" s="479">
        <f t="shared" si="609"/>
        <v>0.11</v>
      </c>
      <c r="DF236" s="479">
        <f t="shared" si="610"/>
        <v>9.4051393164416824E-2</v>
      </c>
      <c r="DG236" s="574">
        <f t="shared" si="611"/>
        <v>9.4051393164416824E-2</v>
      </c>
      <c r="DH236" s="216">
        <f t="shared" si="612"/>
        <v>61.640316847802723</v>
      </c>
      <c r="DI236" s="216">
        <f t="shared" si="613"/>
        <v>61.640316847802723</v>
      </c>
      <c r="DJ236" s="216">
        <f t="shared" ca="1" si="535"/>
        <v>12.807042040068746</v>
      </c>
      <c r="DK236" s="216">
        <f t="shared" ca="1" si="536"/>
        <v>12.807042597962823</v>
      </c>
      <c r="DL236" s="216">
        <f t="shared" ca="1" si="537"/>
        <v>40.194309984800611</v>
      </c>
      <c r="DM236" s="216"/>
      <c r="DN236" s="216"/>
      <c r="DO236" s="216"/>
      <c r="DP236" s="216"/>
      <c r="DQ236" s="216"/>
      <c r="DR236" s="216"/>
      <c r="DS236" s="216"/>
      <c r="DT236" s="216"/>
      <c r="DU236" s="216"/>
      <c r="DV236" s="216"/>
      <c r="DW236" s="1371">
        <f t="shared" si="614"/>
        <v>12.807042040068746</v>
      </c>
      <c r="DX236" s="216">
        <f t="shared" si="615"/>
        <v>12.807042597962823</v>
      </c>
      <c r="DY236" s="440">
        <f t="shared" si="616"/>
        <v>41.161846953104785</v>
      </c>
      <c r="DZ236" s="180">
        <f t="shared" si="617"/>
        <v>3300469.1252987492</v>
      </c>
      <c r="EA236" s="180">
        <f t="shared" si="618"/>
        <v>573994.63048673898</v>
      </c>
      <c r="EB236" s="180">
        <f t="shared" ca="1" si="538"/>
        <v>119259.17547712017</v>
      </c>
      <c r="EC236" s="180">
        <f t="shared" ca="1" si="539"/>
        <v>462129.32510489051</v>
      </c>
      <c r="ED236" s="180">
        <f t="shared" ca="1" si="540"/>
        <v>4351114.4444746356</v>
      </c>
      <c r="EE236" s="581">
        <f t="shared" si="619"/>
        <v>3292359.6561543494</v>
      </c>
      <c r="EF236" s="554">
        <f t="shared" si="620"/>
        <v>572584.28802684334</v>
      </c>
      <c r="EG236" s="554">
        <f t="shared" ca="1" si="541"/>
        <v>89382.884009918518</v>
      </c>
      <c r="EH236" s="554">
        <f t="shared" ca="1" si="542"/>
        <v>346358.70084824198</v>
      </c>
      <c r="EI236" s="561">
        <f t="shared" ca="1" si="621"/>
        <v>4300685.5290393522</v>
      </c>
      <c r="EJ236" s="581">
        <f t="shared" si="675"/>
        <v>8109.4691443997435</v>
      </c>
      <c r="EK236" s="554">
        <f t="shared" si="676"/>
        <v>1410.3424598956481</v>
      </c>
      <c r="EL236" s="554">
        <f t="shared" ca="1" si="543"/>
        <v>29876.291467201649</v>
      </c>
      <c r="EM236" s="554">
        <f t="shared" ca="1" si="544"/>
        <v>115770.62425664853</v>
      </c>
      <c r="EN236" s="561">
        <f t="shared" ca="1" si="545"/>
        <v>50428.915435283445</v>
      </c>
      <c r="EO236" s="180">
        <f t="shared" si="622"/>
        <v>13201876.501194997</v>
      </c>
      <c r="EP236" s="180">
        <f t="shared" si="623"/>
        <v>2295978.5219469559</v>
      </c>
      <c r="EQ236" s="180">
        <f t="shared" si="624"/>
        <v>477036.70190848067</v>
      </c>
      <c r="ER236" s="180">
        <f t="shared" si="625"/>
        <v>1848517.300419562</v>
      </c>
      <c r="ES236" s="180">
        <f t="shared" si="626"/>
        <v>17823409.025469996</v>
      </c>
      <c r="ET236" s="1482">
        <f t="shared" ca="1" si="546"/>
        <v>13169438.624617398</v>
      </c>
      <c r="EU236" s="180">
        <f t="shared" ca="1" si="547"/>
        <v>2290337.1521073733</v>
      </c>
      <c r="EV236" s="180">
        <f t="shared" ca="1" si="548"/>
        <v>357531.53603967407</v>
      </c>
      <c r="EW236" s="180">
        <f t="shared" ca="1" si="549"/>
        <v>1385434.8033929679</v>
      </c>
      <c r="EX236" s="555">
        <f t="shared" ca="1" si="693"/>
        <v>17202742.116157413</v>
      </c>
      <c r="EY236" s="180">
        <f t="shared" ca="1" si="550"/>
        <v>32437.876577598974</v>
      </c>
      <c r="EZ236" s="180">
        <f t="shared" ca="1" si="551"/>
        <v>5641.3698395825922</v>
      </c>
      <c r="FA236" s="180">
        <f t="shared" ca="1" si="552"/>
        <v>119505.16586880659</v>
      </c>
      <c r="FB236" s="180">
        <f t="shared" ca="1" si="553"/>
        <v>463082.49702659412</v>
      </c>
      <c r="FC236" s="180">
        <f t="shared" ca="1" si="554"/>
        <v>620666.90931258351</v>
      </c>
      <c r="FD236" s="262">
        <f>IF(AX236,IF(VLOOKUP(C236,MAIN!$L$17:$M$28,2)="Yes",VLOOKUP(CALC!B236,MAIN!$H$17:$I$20,2),0),0)</f>
        <v>0</v>
      </c>
      <c r="FE236" s="623">
        <f t="shared" si="627"/>
        <v>0</v>
      </c>
      <c r="FF236" s="535">
        <f t="shared" si="628"/>
        <v>0</v>
      </c>
      <c r="FG236" s="535">
        <f t="shared" si="629"/>
        <v>0</v>
      </c>
      <c r="FH236" s="624">
        <f t="shared" si="630"/>
        <v>0</v>
      </c>
      <c r="FI236" s="632">
        <f>IF(AX236,VLOOKUP(CALC!B236,MAIN!$H$17:$K$20,4),0)</f>
        <v>0</v>
      </c>
      <c r="FJ236" s="535">
        <f t="shared" si="631"/>
        <v>0</v>
      </c>
      <c r="FK236" s="648">
        <f t="shared" si="677"/>
        <v>0</v>
      </c>
      <c r="FL236" s="530">
        <f t="shared" ca="1" si="555"/>
        <v>0</v>
      </c>
      <c r="FM236" s="530">
        <f t="shared" ca="1" si="556"/>
        <v>0</v>
      </c>
      <c r="FN236" s="530">
        <f t="shared" ca="1" si="557"/>
        <v>0</v>
      </c>
      <c r="FO236" s="622">
        <f t="shared" ca="1" si="558"/>
        <v>0</v>
      </c>
      <c r="FP236" s="530">
        <f t="shared" ca="1" si="559"/>
        <v>0</v>
      </c>
      <c r="FQ236" s="530">
        <f t="shared" ca="1" si="560"/>
        <v>0</v>
      </c>
      <c r="FR236" s="530">
        <f t="shared" ca="1" si="561"/>
        <v>0</v>
      </c>
      <c r="FS236" s="625">
        <f t="shared" ca="1" si="562"/>
        <v>0</v>
      </c>
      <c r="FT236" s="640">
        <f ca="1">IF(AND(Assumptions!$H$71="Yes",A236&gt;=Assumptions!$H$72,A236&lt;=Assumptions!$H$73),0,IF(AND($A236&gt;=Assumptions!$C$17,$A236&lt;=Assumptions!$C$18),MAX(AZ236*(1+VLOOKUP($C236,WeatherCapacityAdjustment,2))-FL236,0),0))</f>
        <v>53544</v>
      </c>
      <c r="FU236" s="530">
        <f ca="1">IF(AND(Assumptions!$H$71="Yes",A236&gt;=Assumptions!$H$72,A236&lt;=Assumptions!$H$73),0,IF(AND($A236&gt;=Assumptions!$C$17,$A236&lt;=Assumptions!$C$18),MAX(BA236*(1+VLOOKUP($C236,WeatherCapacityAdjustment,2))-FM236,0),0))</f>
        <v>9312</v>
      </c>
      <c r="FV236" s="530">
        <f ca="1">IF(AND(Assumptions!$H$71="Yes",A236&gt;=Assumptions!$H$72,A236&lt;=Assumptions!$H$73),0,IF(AND($A236&gt;=Assumptions!$C$17,$A236&lt;=Assumptions!$C$18),MAX(BB236*(1+VLOOKUP($C236,WeatherCapacityAdjustment,2))-FN236,0),0))</f>
        <v>9312</v>
      </c>
      <c r="FW236" s="622">
        <f ca="1">IF(AND(Assumptions!$H$71="Yes",A236&gt;=Assumptions!$H$72,A236&lt;=Assumptions!$H$73),0,IF(AND($A236&gt;=Assumptions!$C$17,$A236&lt;=Assumptions!$C$18),MAX(BC236*(1+VLOOKUP($C236,WeatherCapacityAdjustment,3))-FO236,0),0))</f>
        <v>36084</v>
      </c>
      <c r="FX236" s="621">
        <f ca="1">IF(AND(Assumptions!$H$71="Yes",A236&gt;=Assumptions!$H$72,A236&lt;=Assumptions!$H$73),0,IF(ET236&gt;0,MAX(BH236*(1+VLOOKUP($C236,WeatherCapacityAdjustment,2))-FP236,0),0))</f>
        <v>214176</v>
      </c>
      <c r="FY236" s="530">
        <f ca="1">IF(AND(Assumptions!$H$71="Yes",A236&gt;=Assumptions!$H$72,A236&lt;=Assumptions!$H$73),0,IF(EU236&gt;0,MAX(BI236*(1+VLOOKUP($C236,WeatherCapacityAdjustment,3))-FQ236,0),0))</f>
        <v>37248</v>
      </c>
      <c r="FZ236" s="530">
        <f ca="1">IF(AND(Assumptions!$H$71="Yes",A236&gt;=Assumptions!$H$72,A236&lt;=Assumptions!$H$73),0,IF(EV236&gt;0,MAX(BJ236*(1+VLOOKUP($C236,WeatherCapacityAdjustment,2))-FR236,0),0))</f>
        <v>37248</v>
      </c>
      <c r="GA236" s="622">
        <f ca="1">IF(AND(Assumptions!$H$71="Yes",A236&gt;=Assumptions!$H$72,A236&lt;=Assumptions!$H$73),0,IF(EW236&gt;0,MAX(BK236*(1+VLOOKUP($C236,WeatherCapacityAdjustment,2))-FS236,0),0))</f>
        <v>144336</v>
      </c>
      <c r="GB236" s="530">
        <f t="shared" ca="1" si="632"/>
        <v>541260</v>
      </c>
      <c r="GC236" s="545">
        <f t="shared" ca="1" si="633"/>
        <v>67.786639646881639</v>
      </c>
      <c r="GD236" s="530">
        <f t="shared" ca="1" si="563"/>
        <v>36690196.575271167</v>
      </c>
      <c r="GE236" s="1485">
        <f t="shared" ca="1" si="564"/>
        <v>770176.17431999999</v>
      </c>
      <c r="GF236" s="1776">
        <f t="shared" ca="1" si="565"/>
        <v>3080704.69728</v>
      </c>
      <c r="GG236" s="545">
        <f t="shared" si="530"/>
        <v>3.6032100027199463</v>
      </c>
      <c r="GH236" s="622">
        <f t="shared" ca="1" si="531"/>
        <v>13875532.475832026</v>
      </c>
      <c r="GI236" s="621">
        <f t="shared" ca="1" si="678"/>
        <v>541260</v>
      </c>
      <c r="GJ236" s="638">
        <f t="shared" si="634"/>
        <v>2.4225630089834325</v>
      </c>
      <c r="GK236" s="625">
        <f t="shared" ca="1" si="684"/>
        <v>1311236.4542423727</v>
      </c>
      <c r="GL236" s="640">
        <f t="shared" ca="1" si="566"/>
        <v>0</v>
      </c>
      <c r="GM236" s="530">
        <f t="shared" ca="1" si="567"/>
        <v>0</v>
      </c>
      <c r="GN236" s="530">
        <f t="shared" ca="1" si="568"/>
        <v>0</v>
      </c>
      <c r="GO236" s="622">
        <f t="shared" ca="1" si="569"/>
        <v>0</v>
      </c>
      <c r="GP236" s="530">
        <f t="shared" ca="1" si="635"/>
        <v>0</v>
      </c>
      <c r="GQ236" s="545">
        <f t="shared" ca="1" si="636"/>
        <v>0</v>
      </c>
      <c r="GR236" s="625">
        <f t="shared" ca="1" si="570"/>
        <v>0</v>
      </c>
      <c r="GS236" s="640">
        <f>IF($A236&gt;=BegDate,Assumptions!$C$56*24*($A237-$A236)*(1-VLOOKUP($B236,MAIN!$AA$7:$AM$28,$C236+1))*(1-VLOOKUP($B236,MAIN!$AA$33:$AM$54,$C236+1)),0)*80/168</f>
        <v>257742.85714285713</v>
      </c>
      <c r="GT236" s="1715">
        <f t="shared" si="679"/>
        <v>89.547040633539083</v>
      </c>
      <c r="GU236" s="1715">
        <f>IF($A236&gt;=BegDate,VLOOKUP($A236,GasTable,13)+Assumptions!$C$58,0)</f>
        <v>3.6032100027199463</v>
      </c>
      <c r="GV236" s="1715">
        <f>GU236*Assumptions!$C$57/1000</f>
        <v>26.123272519719613</v>
      </c>
      <c r="GW236" s="625">
        <f>IF(Assumptions!$C$60="Hourly",MAX(0,GS236*(GT236-GV236)),GS236*(GT236-GV236))</f>
        <v>16347023.204421869</v>
      </c>
      <c r="GX236" s="640">
        <f>IF($A236&gt;=BegDate,Assumptions!$C$56*24*($A237-$A236)*(1-VLOOKUP($B236,MAIN!$AA$7:$AM$28,$C236+1))*(1-VLOOKUP($B236,MAIN!$AA$33:$AM$54,$C236+1)),0)*16/168</f>
        <v>51548.571428571428</v>
      </c>
      <c r="GY236" s="1715">
        <f t="shared" si="680"/>
        <v>89.547040633539083</v>
      </c>
      <c r="GZ236" s="1715">
        <f>IF($A236&gt;=BegDate,VLOOKUP($A236,GasTable,13)+Assumptions!$C$58,0)</f>
        <v>3.6032100027199463</v>
      </c>
      <c r="HA236" s="1715">
        <f>GZ236*Assumptions!$C$57/1000</f>
        <v>26.123272519719613</v>
      </c>
      <c r="HB236" s="625">
        <f>IF(Assumptions!$C$60="Hourly",MAX(0,GX236*(GY236-HA236)),GX236*(GY236-HA236))</f>
        <v>3269404.6408843738</v>
      </c>
      <c r="HC236" s="640">
        <f>IF($A236&gt;=BegDate,Assumptions!$C$56*24*($A237-$A236)*(1-VLOOKUP($B236,MAIN!$AA$7:$AM$28,$C236+1))*(1-VLOOKUP($B236,MAIN!$AA$33:$AM$54,$C236+1)),0)*16/168</f>
        <v>51548.571428571428</v>
      </c>
      <c r="HD236" s="1715">
        <f t="shared" si="681"/>
        <v>37.656854914346489</v>
      </c>
      <c r="HE236" s="1715">
        <f>IF($A236&gt;=BegDate,VLOOKUP($A236,GasTable,13)+Assumptions!$C$58,0)</f>
        <v>3.6032100027199463</v>
      </c>
      <c r="HF236" s="1715">
        <f>HE236*Assumptions!$C$57/1000</f>
        <v>26.123272519719613</v>
      </c>
      <c r="HG236" s="625">
        <f>IF(Assumptions!$C$60="Hourly",MAX(0,HC236*(HD236-HF236)),HC236*(HD236-HF236))</f>
        <v>594539.69589673739</v>
      </c>
      <c r="HH236" s="640">
        <f>IF($A236&gt;=BegDate,Assumptions!$C$56*24*($A237-$A236)*(1-VLOOKUP($B236,MAIN!$AA$7:$AM$28,$C236+1))*(1-VLOOKUP($B236,MAIN!$AA$33:$AM$54,$C236+1)),0)*56/168</f>
        <v>180420</v>
      </c>
      <c r="HI236" s="1715">
        <f t="shared" si="682"/>
        <v>37.656854914346489</v>
      </c>
      <c r="HJ236" s="1715">
        <f>IF($A236&gt;=BegDate,VLOOKUP($A236,GasTable,13)+Assumptions!$C$58,0)</f>
        <v>3.6032100027199463</v>
      </c>
      <c r="HK236" s="1715">
        <f>HJ236*Assumptions!$C$57/1000</f>
        <v>26.123272519719613</v>
      </c>
      <c r="HL236" s="625">
        <f>IF(Assumptions!$C$60="Hourly",MAX(0,HH236*(HI236-HK236)),HH236*(HI236-HK236))</f>
        <v>2080888.9356385809</v>
      </c>
      <c r="HM236" s="640">
        <f>IF(AND(Assumptions!$H$71="Yes",A236&gt;=Assumptions!$H$72,A236&lt;=Assumptions!$H$73),Assumptions!$H$74*Assumptions!$C$9*1000,0)</f>
        <v>0</v>
      </c>
      <c r="HN236" s="530"/>
      <c r="HO236" s="545"/>
      <c r="HP236" s="545"/>
      <c r="HQ236" s="545"/>
      <c r="HR236" s="545"/>
      <c r="HS236" s="545"/>
      <c r="HT236" s="545"/>
      <c r="HU236" s="545"/>
      <c r="HV236" s="545"/>
      <c r="HW236" s="545"/>
      <c r="HX236" s="545"/>
      <c r="HY236" s="545"/>
      <c r="HZ236" s="545"/>
      <c r="IA236" s="545"/>
      <c r="IB236" s="545"/>
      <c r="IC236" s="545"/>
      <c r="ID236" s="545"/>
      <c r="IE236" s="545"/>
      <c r="IF236" s="545"/>
      <c r="IG236" s="545"/>
      <c r="IH236" s="545"/>
      <c r="II236" s="1464"/>
      <c r="IJ236" s="1463"/>
      <c r="IK236" s="1463"/>
    </row>
    <row r="237" spans="1:245">
      <c r="A237" s="177">
        <f t="shared" si="637"/>
        <v>43344</v>
      </c>
      <c r="B237" s="349">
        <f t="shared" si="638"/>
        <v>2018</v>
      </c>
      <c r="C237" s="15">
        <f t="shared" si="686"/>
        <v>9</v>
      </c>
      <c r="D237" s="612">
        <f t="shared" si="639"/>
        <v>43346</v>
      </c>
      <c r="E237" s="609">
        <f t="shared" si="687"/>
        <v>43344</v>
      </c>
      <c r="F237" s="614">
        <f t="shared" si="688"/>
        <v>43373</v>
      </c>
      <c r="G237" s="1349">
        <v>0</v>
      </c>
      <c r="H237" s="152">
        <f t="shared" si="683"/>
        <v>1</v>
      </c>
      <c r="I237" s="154">
        <f>IF(Assumptions!$L$25=4,VLOOKUP($A237,'Henwood Reference'!$E$9:$R$320,10),(VLOOKUP($A237,PriceTable,2,0)+IF(BasisNumber&lt;&gt;1,VLOOKUP($A237,BasisTable,2,0),0)+I$1)/(1-I$2))</f>
        <v>70.611637532422378</v>
      </c>
      <c r="J237" s="154">
        <f>IF(Assumptions!$L$25=4,VLOOKUP($A237,'Henwood Reference'!$E$9:$R$320,10),(VLOOKUP($A237,PriceTable,3,0)+IF(BasisNumber&lt;&gt;1,VLOOKUP($A237,BasisTable,2,0),0)+J$1)/(1-J$2))</f>
        <v>70.611637532422378</v>
      </c>
      <c r="K237" s="154">
        <f>IF(Assumptions!$L$25=4,VLOOKUP($A237,'Henwood Reference'!$E$9:$R$320,10),(VLOOKUP($A237,PriceTable,4,0)+IF(BasisNumber&lt;&gt;1,VLOOKUP($A237,BasisTable,2,0),0)+K$1)/(1-K$2))</f>
        <v>70.611637532422378</v>
      </c>
      <c r="L237" s="474">
        <f>IF(Assumptions!$L$25=4,VLOOKUP($A237,'Henwood Reference'!$E$9:$R$320,10),(VLOOKUP($A237,PriceTableWeekend,2,0)+IF(BasisNumber&lt;&gt;1,VLOOKUP($A237,BasisTable,2,0),0)+L$1)/(1-L$2))</f>
        <v>70.611637532422378</v>
      </c>
      <c r="M237" s="154">
        <f>IF(Assumptions!$L$25=4,VLOOKUP($A237,'Henwood Reference'!$E$9:$R$320,10),(VLOOKUP($A237,PriceTableWeekend,3,0)+IF(BasisNumber&lt;&gt;1,VLOOKUP($A237,BasisTable,2,0),0)+M$1)/(1-M$2))</f>
        <v>70.611637532422378</v>
      </c>
      <c r="N237" s="156">
        <f>IF(Assumptions!$L$25=4,VLOOKUP($A237,'Henwood Reference'!$E$9:$R$320,10),(VLOOKUP($A237,PriceTableWeekend,4,0)+IF(BasisNumber&lt;&gt;1,VLOOKUP($A237,BasisTable,2,0),0)+N$1)/(1-N$2))</f>
        <v>70.611637532422378</v>
      </c>
      <c r="O237" s="154">
        <f>IF(Assumptions!$L$25=4,VLOOKUP($A237,'Henwood Reference'!$E$9:$R$320,11),(VLOOKUP($A237,PriceTableWeekend,6,0)+IF(BasisNumber&lt;&gt;1,VLOOKUP($A237,BasisTable,3,0),0)+O$1)/(1-O$2))</f>
        <v>34.096237019138847</v>
      </c>
      <c r="P237" s="154">
        <f>IF(Assumptions!$L$25=4,VLOOKUP($A237,'Henwood Reference'!$E$9:$R$320,11),(VLOOKUP($A237,PriceTableWeekend,7,0)+IF(BasisNumber&lt;&gt;1,VLOOKUP($A237,BasisTable,3,0),0)+P$1)/(1-P$2))</f>
        <v>34.096237019138847</v>
      </c>
      <c r="Q237" s="156">
        <f>IF(Assumptions!$L$25=4,VLOOKUP($A237,'Henwood Reference'!$E$9:$R$320,11),(VLOOKUP($A237,PriceTableWeekend,8,0)+IF(BasisNumber&lt;&gt;1,VLOOKUP($A237,BasisTable,3,0),0)+Q$1)/(1-Q$2))</f>
        <v>34.096237019138847</v>
      </c>
      <c r="R237" s="154">
        <f>IF(Assumptions!$L$25=4,VLOOKUP($A237,'Henwood Reference'!$E$9:$R$320,11),(VLOOKUP($A237,PriceTable,6,0)+IF(BasisNumber&lt;&gt;1,VLOOKUP($A237,BasisTable,3,0),0)+R$1)/(1-R$2))</f>
        <v>34.096237019138847</v>
      </c>
      <c r="S237" s="154">
        <f>IF(Assumptions!$L$25=4,VLOOKUP($A237,'Henwood Reference'!$E$9:$R$320,11),(VLOOKUP($A237,PriceTable,7,0)+IF(BasisNumber&lt;&gt;1,VLOOKUP($A237,BasisTable,3,0),0)+S$1)/(1-S$2))</f>
        <v>34.096237019138847</v>
      </c>
      <c r="T237" s="155">
        <f>IF(Assumptions!$L$25=4,VLOOKUP($A237,'Henwood Reference'!$E$9:$R$320,11),(VLOOKUP($A237,PriceTable,8,0)+IF(BasisNumber&lt;&gt;1,VLOOKUP($A237,BasisTable,3,0),0)+T$1)/(1-T$2))</f>
        <v>34.096237019138847</v>
      </c>
      <c r="U237" s="173">
        <f t="shared" si="640"/>
        <v>0.09</v>
      </c>
      <c r="V237" s="173">
        <f t="shared" si="641"/>
        <v>0.1</v>
      </c>
      <c r="W237" s="174">
        <f t="shared" si="642"/>
        <v>0.11</v>
      </c>
      <c r="X237" s="173">
        <f t="shared" si="643"/>
        <v>0.09</v>
      </c>
      <c r="Y237" s="173">
        <f t="shared" si="644"/>
        <v>0.1</v>
      </c>
      <c r="Z237" s="174">
        <f t="shared" si="645"/>
        <v>0.11</v>
      </c>
      <c r="AA237" s="173">
        <f t="shared" si="646"/>
        <v>0.09</v>
      </c>
      <c r="AB237" s="173">
        <f t="shared" si="647"/>
        <v>0.11</v>
      </c>
      <c r="AC237" s="174">
        <f t="shared" si="648"/>
        <v>0.13</v>
      </c>
      <c r="AD237" s="173">
        <f t="shared" si="649"/>
        <v>0.09</v>
      </c>
      <c r="AE237" s="173">
        <f t="shared" si="650"/>
        <v>0.11</v>
      </c>
      <c r="AF237" s="174">
        <f t="shared" si="651"/>
        <v>0.13</v>
      </c>
      <c r="AG237" s="173">
        <f t="shared" si="652"/>
        <v>-0.35</v>
      </c>
      <c r="AH237" s="173">
        <f t="shared" si="653"/>
        <v>3</v>
      </c>
      <c r="AI237" s="174">
        <f t="shared" si="654"/>
        <v>0.2</v>
      </c>
      <c r="AJ237" s="173">
        <f t="shared" si="655"/>
        <v>-0.35</v>
      </c>
      <c r="AK237" s="173">
        <f t="shared" si="656"/>
        <v>3</v>
      </c>
      <c r="AL237" s="174">
        <f t="shared" si="657"/>
        <v>0.2</v>
      </c>
      <c r="AM237" s="173">
        <f t="shared" si="658"/>
        <v>-0.01</v>
      </c>
      <c r="AN237" s="173">
        <f t="shared" si="659"/>
        <v>0.16</v>
      </c>
      <c r="AO237" s="174">
        <f t="shared" si="660"/>
        <v>0.01</v>
      </c>
      <c r="AP237" s="173">
        <f t="shared" si="661"/>
        <v>-0.01</v>
      </c>
      <c r="AQ237" s="173">
        <f t="shared" si="662"/>
        <v>0.16</v>
      </c>
      <c r="AR237" s="175">
        <f t="shared" si="663"/>
        <v>0.01</v>
      </c>
      <c r="AS237" s="521">
        <f t="shared" si="691"/>
        <v>0.5</v>
      </c>
      <c r="AT237" s="349">
        <f t="shared" si="689"/>
        <v>19</v>
      </c>
      <c r="AU237" s="159">
        <f t="shared" si="582"/>
        <v>5</v>
      </c>
      <c r="AV237" s="159">
        <f t="shared" si="583"/>
        <v>5</v>
      </c>
      <c r="AW237" s="159">
        <f t="shared" si="692"/>
        <v>1</v>
      </c>
      <c r="AX237" s="15">
        <f t="shared" si="690"/>
        <v>30</v>
      </c>
      <c r="AY237" s="607">
        <f>IF(E237="",0,MIN((1-(1-VLOOKUP(B237,MAIN!$AA$7:$AM$28,C237+1))*(1-VLOOKUP(B237,MAIN!$AA$33:$AM$54,C237+1))),1))</f>
        <v>3.0000000000000027E-2</v>
      </c>
      <c r="AZ237" s="337">
        <v>44232</v>
      </c>
      <c r="BA237" s="509">
        <v>11640</v>
      </c>
      <c r="BB237" s="509">
        <v>13968</v>
      </c>
      <c r="BC237" s="511">
        <v>34920</v>
      </c>
      <c r="BD237" s="153">
        <v>0.9699999927729368</v>
      </c>
      <c r="BE237" s="474">
        <v>0.9699999927729368</v>
      </c>
      <c r="BF237" s="474">
        <v>0.9699999927729368</v>
      </c>
      <c r="BG237" s="515">
        <v>0.9699999927729368</v>
      </c>
      <c r="BH237" s="262">
        <v>176928</v>
      </c>
      <c r="BI237" s="509">
        <v>46560</v>
      </c>
      <c r="BJ237" s="509">
        <v>55872</v>
      </c>
      <c r="BK237" s="511">
        <v>139680</v>
      </c>
      <c r="BL237" s="153">
        <v>0.9699999927729368</v>
      </c>
      <c r="BM237" s="474">
        <v>0.9699999927729368</v>
      </c>
      <c r="BN237" s="474">
        <v>0.9699999927729368</v>
      </c>
      <c r="BO237" s="474">
        <v>0.9699999927729368</v>
      </c>
      <c r="BP237" s="261">
        <f t="shared" si="666"/>
        <v>69840</v>
      </c>
      <c r="BQ237" s="578">
        <f t="shared" si="667"/>
        <v>104760</v>
      </c>
      <c r="BR237" s="259">
        <f t="shared" si="668"/>
        <v>279360</v>
      </c>
      <c r="BS237" s="578">
        <f t="shared" si="669"/>
        <v>419040</v>
      </c>
      <c r="BT237" s="216">
        <f t="shared" si="670"/>
        <v>18.381930184804929</v>
      </c>
      <c r="BU237" s="218">
        <f t="shared" si="585"/>
        <v>70.611637006324685</v>
      </c>
      <c r="BV237" s="216">
        <f t="shared" si="586"/>
        <v>70.611637006324685</v>
      </c>
      <c r="BW237" s="216">
        <f t="shared" si="587"/>
        <v>34.096236765102091</v>
      </c>
      <c r="BX237" s="216">
        <f t="shared" si="671"/>
        <v>34.096236765102091</v>
      </c>
      <c r="BY237" s="216">
        <f t="shared" si="588"/>
        <v>63.308556958080167</v>
      </c>
      <c r="BZ237" s="216">
        <f t="shared" si="589"/>
        <v>53.571116893754137</v>
      </c>
      <c r="CA237" s="264">
        <f t="shared" si="590"/>
        <v>70.611637006324685</v>
      </c>
      <c r="CB237" s="216">
        <f t="shared" si="591"/>
        <v>70.611637006324685</v>
      </c>
      <c r="CC237" s="216">
        <f t="shared" si="592"/>
        <v>34.096236765102091</v>
      </c>
      <c r="CD237" s="216">
        <f t="shared" si="672"/>
        <v>34.096236765102091</v>
      </c>
      <c r="CE237" s="216">
        <f t="shared" si="593"/>
        <v>63.308556958080167</v>
      </c>
      <c r="CF237" s="571">
        <f t="shared" si="594"/>
        <v>53.571116893754137</v>
      </c>
      <c r="CG237" s="573">
        <f t="shared" si="595"/>
        <v>0.1</v>
      </c>
      <c r="CH237" s="219">
        <f t="shared" si="596"/>
        <v>0.1</v>
      </c>
      <c r="CI237" s="219">
        <f t="shared" si="597"/>
        <v>0.11</v>
      </c>
      <c r="CJ237" s="219">
        <f t="shared" si="598"/>
        <v>0.10108612245038909</v>
      </c>
      <c r="CK237" s="219">
        <f t="shared" si="599"/>
        <v>0.10108612245038909</v>
      </c>
      <c r="CL237" s="219">
        <f t="shared" si="600"/>
        <v>0.11</v>
      </c>
      <c r="CM237" s="219">
        <f t="shared" si="601"/>
        <v>9.3773907922499553E-2</v>
      </c>
      <c r="CN237" s="569">
        <f t="shared" si="602"/>
        <v>9.3773907922499553E-2</v>
      </c>
      <c r="CO237" s="264">
        <f t="shared" si="685"/>
        <v>26.711620513500748</v>
      </c>
      <c r="CP237" s="216">
        <f t="shared" si="673"/>
        <v>26.711620513500748</v>
      </c>
      <c r="CQ237" s="216">
        <f t="shared" ca="1" si="532"/>
        <v>26.711620513500748</v>
      </c>
      <c r="CR237" s="216">
        <f t="shared" ca="1" si="533"/>
        <v>26.711620513500748</v>
      </c>
      <c r="CS237" s="1626">
        <f t="shared" ca="1" si="534"/>
        <v>26.711620513500751</v>
      </c>
      <c r="CT237" s="216">
        <f t="shared" si="674"/>
        <v>26.711620513500748</v>
      </c>
      <c r="CU237" s="575">
        <f t="shared" si="603"/>
        <v>0.151</v>
      </c>
      <c r="CV237" s="154">
        <f t="shared" si="604"/>
        <v>0.5</v>
      </c>
      <c r="CW237" s="216">
        <f>IF(OR($BQ237,$BS237),SpreadOptPowerMargin,0)*((1+Assumptions!$C$26)^($B237-YEAR(Assumptions!$C$17)))</f>
        <v>2.4225630089834325</v>
      </c>
      <c r="CX237" s="216">
        <f>IF(OR($BQ237,$BS237),SpreadOptPowerMargin,0)*((1+Assumptions!$C$26)^($B237-YEAR(Assumptions!$C$17)))</f>
        <v>2.4225630089834325</v>
      </c>
      <c r="CY237" s="216">
        <f>IF(OR($BQ237,$BS237),SpreadOptPowerMargin,0)*((1+Assumptions!$C$26)^($B237-YEAR(Assumptions!$C$17)))</f>
        <v>2.4225630089834325</v>
      </c>
      <c r="CZ237" s="216">
        <f>IF(OR($BQ237,$BS237),SpreadOptPowerMargin,0)*((1+Assumptions!$C$26)^($B237-YEAR(Assumptions!$C$17)))</f>
        <v>2.4225630089834325</v>
      </c>
      <c r="DA237" s="440">
        <f t="shared" si="605"/>
        <v>2.4225630089834329</v>
      </c>
      <c r="DB237" s="479">
        <f t="shared" si="606"/>
        <v>0.1</v>
      </c>
      <c r="DC237" s="479">
        <f t="shared" si="607"/>
        <v>0.1</v>
      </c>
      <c r="DD237" s="479">
        <f t="shared" si="608"/>
        <v>0.11</v>
      </c>
      <c r="DE237" s="479">
        <f t="shared" si="609"/>
        <v>0.11</v>
      </c>
      <c r="DF237" s="479">
        <f t="shared" si="610"/>
        <v>9.3773907922499553E-2</v>
      </c>
      <c r="DG237" s="574">
        <f t="shared" si="611"/>
        <v>9.3773907922499553E-2</v>
      </c>
      <c r="DH237" s="216">
        <f t="shared" si="612"/>
        <v>41.987422882228287</v>
      </c>
      <c r="DI237" s="216">
        <f t="shared" si="613"/>
        <v>41.987422882228287</v>
      </c>
      <c r="DJ237" s="216">
        <f t="shared" ca="1" si="535"/>
        <v>9.5332292826014751</v>
      </c>
      <c r="DK237" s="216">
        <f t="shared" ca="1" si="536"/>
        <v>9.5332292826014751</v>
      </c>
      <c r="DL237" s="216">
        <f t="shared" ca="1" si="537"/>
        <v>25.731922748910804</v>
      </c>
      <c r="DM237" s="216"/>
      <c r="DN237" s="216"/>
      <c r="DO237" s="216"/>
      <c r="DP237" s="216"/>
      <c r="DQ237" s="216"/>
      <c r="DR237" s="216"/>
      <c r="DS237" s="216"/>
      <c r="DT237" s="216"/>
      <c r="DU237" s="216"/>
      <c r="DV237" s="216"/>
      <c r="DW237" s="1371">
        <f t="shared" si="614"/>
        <v>9.5332292826014751</v>
      </c>
      <c r="DX237" s="216">
        <f t="shared" si="615"/>
        <v>9.5332292826014751</v>
      </c>
      <c r="DY237" s="440">
        <f t="shared" si="616"/>
        <v>26.842132535735775</v>
      </c>
      <c r="DZ237" s="180">
        <f t="shared" si="617"/>
        <v>1857187.6889267217</v>
      </c>
      <c r="EA237" s="180">
        <f t="shared" si="618"/>
        <v>488733.60234913725</v>
      </c>
      <c r="EB237" s="180">
        <f t="shared" ca="1" si="538"/>
        <v>133160.1466193774</v>
      </c>
      <c r="EC237" s="180">
        <f t="shared" ca="1" si="539"/>
        <v>332900.3665484435</v>
      </c>
      <c r="ED237" s="180">
        <f t="shared" ca="1" si="540"/>
        <v>2695676.2271758961</v>
      </c>
      <c r="EE237" s="581">
        <f t="shared" si="619"/>
        <v>1834630.7224972332</v>
      </c>
      <c r="EF237" s="554">
        <f t="shared" si="620"/>
        <v>482797.55855190346</v>
      </c>
      <c r="EG237" s="554">
        <f t="shared" ca="1" si="541"/>
        <v>69309.959692887001</v>
      </c>
      <c r="EH237" s="554">
        <f t="shared" ca="1" si="542"/>
        <v>173274.89923221752</v>
      </c>
      <c r="EI237" s="561">
        <f t="shared" ca="1" si="621"/>
        <v>2560013.1399742402</v>
      </c>
      <c r="EJ237" s="581">
        <f t="shared" si="675"/>
        <v>22556.966429488501</v>
      </c>
      <c r="EK237" s="554">
        <f t="shared" si="676"/>
        <v>5936.0437972337822</v>
      </c>
      <c r="EL237" s="554">
        <f t="shared" ca="1" si="543"/>
        <v>63850.186926490394</v>
      </c>
      <c r="EM237" s="554">
        <f t="shared" ca="1" si="544"/>
        <v>159625.46731622599</v>
      </c>
      <c r="EN237" s="561">
        <f t="shared" ca="1" si="545"/>
        <v>135663.08720165584</v>
      </c>
      <c r="EO237" s="180">
        <f t="shared" si="622"/>
        <v>7428750.7557068868</v>
      </c>
      <c r="EP237" s="180">
        <f t="shared" si="623"/>
        <v>1954934.409396549</v>
      </c>
      <c r="EQ237" s="180">
        <f t="shared" si="624"/>
        <v>532640.58647750958</v>
      </c>
      <c r="ER237" s="180">
        <f t="shared" si="625"/>
        <v>1331601.466193774</v>
      </c>
      <c r="ES237" s="180">
        <f t="shared" si="626"/>
        <v>11247927.217774719</v>
      </c>
      <c r="ET237" s="1482">
        <f t="shared" ca="1" si="546"/>
        <v>7338522.8899889328</v>
      </c>
      <c r="EU237" s="180">
        <f t="shared" ca="1" si="547"/>
        <v>1931190.2342076139</v>
      </c>
      <c r="EV237" s="180">
        <f t="shared" ca="1" si="548"/>
        <v>277239.83877154801</v>
      </c>
      <c r="EW237" s="180">
        <f t="shared" ca="1" si="549"/>
        <v>693099.59692887007</v>
      </c>
      <c r="EX237" s="555">
        <f t="shared" ca="1" si="693"/>
        <v>10240052.559896965</v>
      </c>
      <c r="EY237" s="180">
        <f t="shared" ca="1" si="550"/>
        <v>90227.865717954002</v>
      </c>
      <c r="EZ237" s="180">
        <f t="shared" ca="1" si="551"/>
        <v>23744.175188935129</v>
      </c>
      <c r="FA237" s="180">
        <f t="shared" ca="1" si="552"/>
        <v>255400.74770596158</v>
      </c>
      <c r="FB237" s="180">
        <f t="shared" ca="1" si="553"/>
        <v>638501.86926490394</v>
      </c>
      <c r="FC237" s="180">
        <f t="shared" ca="1" si="554"/>
        <v>1007874.6578777544</v>
      </c>
      <c r="FD237" s="262">
        <f>IF(AX237,IF(VLOOKUP(C237,MAIN!$L$17:$M$28,2)="Yes",VLOOKUP(CALC!B237,MAIN!$H$17:$I$20,2),0),0)</f>
        <v>0</v>
      </c>
      <c r="FE237" s="623">
        <f t="shared" si="627"/>
        <v>0</v>
      </c>
      <c r="FF237" s="535">
        <f t="shared" si="628"/>
        <v>0</v>
      </c>
      <c r="FG237" s="535">
        <f t="shared" si="629"/>
        <v>0</v>
      </c>
      <c r="FH237" s="624">
        <f t="shared" si="630"/>
        <v>0</v>
      </c>
      <c r="FI237" s="632">
        <f>IF(AX237,VLOOKUP(CALC!B237,MAIN!$H$17:$K$20,4),0)</f>
        <v>0</v>
      </c>
      <c r="FJ237" s="535">
        <f t="shared" si="631"/>
        <v>0</v>
      </c>
      <c r="FK237" s="648">
        <f t="shared" si="677"/>
        <v>0</v>
      </c>
      <c r="FL237" s="530">
        <f t="shared" ca="1" si="555"/>
        <v>0</v>
      </c>
      <c r="FM237" s="530">
        <f t="shared" ca="1" si="556"/>
        <v>0</v>
      </c>
      <c r="FN237" s="530">
        <f t="shared" ca="1" si="557"/>
        <v>0</v>
      </c>
      <c r="FO237" s="622">
        <f t="shared" ca="1" si="558"/>
        <v>0</v>
      </c>
      <c r="FP237" s="530">
        <f t="shared" ca="1" si="559"/>
        <v>0</v>
      </c>
      <c r="FQ237" s="530">
        <f t="shared" ca="1" si="560"/>
        <v>0</v>
      </c>
      <c r="FR237" s="530">
        <f t="shared" ca="1" si="561"/>
        <v>0</v>
      </c>
      <c r="FS237" s="625">
        <f t="shared" ca="1" si="562"/>
        <v>0</v>
      </c>
      <c r="FT237" s="640">
        <f ca="1">IF(AND(Assumptions!$H$71="Yes",A237&gt;=Assumptions!$H$72,A237&lt;=Assumptions!$H$73),0,IF(AND($A237&gt;=Assumptions!$C$17,$A237&lt;=Assumptions!$C$18),MAX(AZ237*(1+VLOOKUP($C237,WeatherCapacityAdjustment,2))-FL237,0),0))</f>
        <v>44232</v>
      </c>
      <c r="FU237" s="530">
        <f ca="1">IF(AND(Assumptions!$H$71="Yes",A237&gt;=Assumptions!$H$72,A237&lt;=Assumptions!$H$73),0,IF(AND($A237&gt;=Assumptions!$C$17,$A237&lt;=Assumptions!$C$18),MAX(BA237*(1+VLOOKUP($C237,WeatherCapacityAdjustment,2))-FM237,0),0))</f>
        <v>11640</v>
      </c>
      <c r="FV237" s="530">
        <f ca="1">IF(AND(Assumptions!$H$71="Yes",A237&gt;=Assumptions!$H$72,A237&lt;=Assumptions!$H$73),0,IF(AND($A237&gt;=Assumptions!$C$17,$A237&lt;=Assumptions!$C$18),MAX(BB237*(1+VLOOKUP($C237,WeatherCapacityAdjustment,2))-FN237,0),0))</f>
        <v>13968</v>
      </c>
      <c r="FW237" s="622">
        <f ca="1">IF(AND(Assumptions!$H$71="Yes",A237&gt;=Assumptions!$H$72,A237&lt;=Assumptions!$H$73),0,IF(AND($A237&gt;=Assumptions!$C$17,$A237&lt;=Assumptions!$C$18),MAX(BC237*(1+VLOOKUP($C237,WeatherCapacityAdjustment,3))-FO237,0),0))</f>
        <v>34920</v>
      </c>
      <c r="FX237" s="621">
        <f ca="1">IF(AND(Assumptions!$H$71="Yes",A237&gt;=Assumptions!$H$72,A237&lt;=Assumptions!$H$73),0,IF(ET237&gt;0,MAX(BH237*(1+VLOOKUP($C237,WeatherCapacityAdjustment,2))-FP237,0),0))</f>
        <v>176928</v>
      </c>
      <c r="FY237" s="530">
        <f ca="1">IF(AND(Assumptions!$H$71="Yes",A237&gt;=Assumptions!$H$72,A237&lt;=Assumptions!$H$73),0,IF(EU237&gt;0,MAX(BI237*(1+VLOOKUP($C237,WeatherCapacityAdjustment,3))-FQ237,0),0))</f>
        <v>46560</v>
      </c>
      <c r="FZ237" s="530">
        <f ca="1">IF(AND(Assumptions!$H$71="Yes",A237&gt;=Assumptions!$H$72,A237&lt;=Assumptions!$H$73),0,IF(EV237&gt;0,MAX(BJ237*(1+VLOOKUP($C237,WeatherCapacityAdjustment,2))-FR237,0),0))</f>
        <v>55872</v>
      </c>
      <c r="GA237" s="622">
        <f ca="1">IF(AND(Assumptions!$H$71="Yes",A237&gt;=Assumptions!$H$72,A237&lt;=Assumptions!$H$73),0,IF(EW237&gt;0,MAX(BK237*(1+VLOOKUP($C237,WeatherCapacityAdjustment,2))-FS237,0),0))</f>
        <v>139680</v>
      </c>
      <c r="GB237" s="530">
        <f t="shared" ca="1" si="632"/>
        <v>523800</v>
      </c>
      <c r="GC237" s="545">
        <f t="shared" ca="1" si="633"/>
        <v>53.571116893754137</v>
      </c>
      <c r="GD237" s="530">
        <f t="shared" ca="1" si="563"/>
        <v>28060551.028948419</v>
      </c>
      <c r="GE237" s="1485">
        <f t="shared" ca="1" si="564"/>
        <v>745639.77599999995</v>
      </c>
      <c r="GF237" s="1776">
        <f t="shared" ca="1" si="565"/>
        <v>2982559.1039999998</v>
      </c>
      <c r="GG237" s="545">
        <f t="shared" si="530"/>
        <v>3.7528971160926083</v>
      </c>
      <c r="GH237" s="622">
        <f t="shared" ca="1" si="531"/>
        <v>13991546.824971693</v>
      </c>
      <c r="GI237" s="621">
        <f t="shared" ca="1" si="678"/>
        <v>523800</v>
      </c>
      <c r="GJ237" s="638">
        <f t="shared" si="634"/>
        <v>2.4225630089834329</v>
      </c>
      <c r="GK237" s="625">
        <f t="shared" ca="1" si="684"/>
        <v>1268938.5041055221</v>
      </c>
      <c r="GL237" s="640">
        <f t="shared" ca="1" si="566"/>
        <v>0</v>
      </c>
      <c r="GM237" s="530">
        <f t="shared" ca="1" si="567"/>
        <v>0</v>
      </c>
      <c r="GN237" s="530">
        <f t="shared" ca="1" si="568"/>
        <v>0</v>
      </c>
      <c r="GO237" s="622">
        <f t="shared" ca="1" si="569"/>
        <v>0</v>
      </c>
      <c r="GP237" s="530">
        <f t="shared" ca="1" si="635"/>
        <v>0</v>
      </c>
      <c r="GQ237" s="545">
        <f t="shared" ca="1" si="636"/>
        <v>0</v>
      </c>
      <c r="GR237" s="625">
        <f t="shared" ca="1" si="570"/>
        <v>0</v>
      </c>
      <c r="GS237" s="640">
        <f>IF($A237&gt;=BegDate,Assumptions!$C$56*24*($A238-$A237)*(1-VLOOKUP($B237,MAIN!$AA$7:$AM$28,$C237+1))*(1-VLOOKUP($B237,MAIN!$AA$33:$AM$54,$C237+1)),0)*80/168</f>
        <v>249428.57142857142</v>
      </c>
      <c r="GT237" s="1715">
        <f t="shared" si="679"/>
        <v>70.611637532422378</v>
      </c>
      <c r="GU237" s="1715">
        <f>IF($A237&gt;=BegDate,VLOOKUP($A237,GasTable,13)+Assumptions!$C$58,0)</f>
        <v>3.7528971160926083</v>
      </c>
      <c r="GV237" s="1715">
        <f>GU237*Assumptions!$C$57/1000</f>
        <v>27.208504091671411</v>
      </c>
      <c r="GW237" s="625">
        <f>IF(Assumptions!$C$60="Hourly",MAX(0,GS237*(GT237-GV237)),GS237*(GT237-GV237))</f>
        <v>10825981.569650168</v>
      </c>
      <c r="GX237" s="640">
        <f>IF($A237&gt;=BegDate,Assumptions!$C$56*24*($A238-$A237)*(1-VLOOKUP($B237,MAIN!$AA$7:$AM$28,$C237+1))*(1-VLOOKUP($B237,MAIN!$AA$33:$AM$54,$C237+1)),0)*16/168</f>
        <v>49885.714285714283</v>
      </c>
      <c r="GY237" s="1715">
        <f t="shared" si="680"/>
        <v>70.611637532422378</v>
      </c>
      <c r="GZ237" s="1715">
        <f>IF($A237&gt;=BegDate,VLOOKUP($A237,GasTable,13)+Assumptions!$C$58,0)</f>
        <v>3.7528971160926083</v>
      </c>
      <c r="HA237" s="1715">
        <f>GZ237*Assumptions!$C$57/1000</f>
        <v>27.208504091671411</v>
      </c>
      <c r="HB237" s="625">
        <f>IF(Assumptions!$C$60="Hourly",MAX(0,GX237*(GY237-HA237)),GX237*(GY237-HA237))</f>
        <v>2165196.3139300337</v>
      </c>
      <c r="HC237" s="640">
        <f>IF($A237&gt;=BegDate,Assumptions!$C$56*24*($A238-$A237)*(1-VLOOKUP($B237,MAIN!$AA$7:$AM$28,$C237+1))*(1-VLOOKUP($B237,MAIN!$AA$33:$AM$54,$C237+1)),0)*16/168</f>
        <v>49885.714285714283</v>
      </c>
      <c r="HD237" s="1715">
        <f t="shared" si="681"/>
        <v>34.096237019138847</v>
      </c>
      <c r="HE237" s="1715">
        <f>IF($A237&gt;=BegDate,VLOOKUP($A237,GasTable,13)+Assumptions!$C$58,0)</f>
        <v>3.7528971160926083</v>
      </c>
      <c r="HF237" s="1715">
        <f>HE237*Assumptions!$C$57/1000</f>
        <v>27.208504091671411</v>
      </c>
      <c r="HG237" s="625">
        <f>IF(Assumptions!$C$60="Hourly",MAX(0,HC237*(HD237-HF237)),HC237*(HD237-HF237))</f>
        <v>343599.47689594695</v>
      </c>
      <c r="HH237" s="640">
        <f>IF($A237&gt;=BegDate,Assumptions!$C$56*24*($A238-$A237)*(1-VLOOKUP($B237,MAIN!$AA$7:$AM$28,$C237+1))*(1-VLOOKUP($B237,MAIN!$AA$33:$AM$54,$C237+1)),0)*56/168</f>
        <v>174600</v>
      </c>
      <c r="HI237" s="1715">
        <f t="shared" si="682"/>
        <v>34.096237019138847</v>
      </c>
      <c r="HJ237" s="1715">
        <f>IF($A237&gt;=BegDate,VLOOKUP($A237,GasTable,13)+Assumptions!$C$58,0)</f>
        <v>3.7528971160926083</v>
      </c>
      <c r="HK237" s="1715">
        <f>HJ237*Assumptions!$C$57/1000</f>
        <v>27.208504091671411</v>
      </c>
      <c r="HL237" s="625">
        <f>IF(Assumptions!$C$60="Hourly",MAX(0,HH237*(HI237-HK237)),HH237*(HI237-HK237))</f>
        <v>1202598.1691358143</v>
      </c>
      <c r="HM237" s="640">
        <f>IF(AND(Assumptions!$H$71="Yes",A237&gt;=Assumptions!$H$72,A237&lt;=Assumptions!$H$73),Assumptions!$H$74*Assumptions!$C$9*1000,0)</f>
        <v>0</v>
      </c>
      <c r="HN237" s="530"/>
      <c r="HO237" s="545"/>
      <c r="HP237" s="545"/>
      <c r="HQ237" s="545"/>
      <c r="HR237" s="545"/>
      <c r="HS237" s="545"/>
      <c r="HT237" s="545"/>
      <c r="HU237" s="545"/>
      <c r="HV237" s="545"/>
      <c r="HW237" s="545"/>
      <c r="HX237" s="545"/>
      <c r="HY237" s="545"/>
      <c r="HZ237" s="545"/>
      <c r="IA237" s="545"/>
      <c r="IB237" s="545"/>
      <c r="IC237" s="545"/>
      <c r="ID237" s="545"/>
      <c r="IE237" s="545"/>
      <c r="IF237" s="545"/>
      <c r="IG237" s="545"/>
      <c r="IH237" s="545"/>
      <c r="II237" s="1464"/>
      <c r="IJ237" s="1463"/>
      <c r="IK237" s="1463"/>
    </row>
    <row r="238" spans="1:245">
      <c r="A238" s="177">
        <f t="shared" si="637"/>
        <v>43374</v>
      </c>
      <c r="B238" s="349">
        <f t="shared" si="638"/>
        <v>2018</v>
      </c>
      <c r="C238" s="15">
        <f t="shared" si="686"/>
        <v>10</v>
      </c>
      <c r="D238" s="612" t="str">
        <f t="shared" si="639"/>
        <v/>
      </c>
      <c r="E238" s="609">
        <f t="shared" si="687"/>
        <v>43374</v>
      </c>
      <c r="F238" s="614">
        <f t="shared" si="688"/>
        <v>43404</v>
      </c>
      <c r="G238" s="1349">
        <v>0</v>
      </c>
      <c r="H238" s="152">
        <f t="shared" si="683"/>
        <v>1</v>
      </c>
      <c r="I238" s="154">
        <f>IF(Assumptions!$L$25=4,VLOOKUP($A238,'Henwood Reference'!$E$9:$R$320,10),(VLOOKUP($A238,PriceTable,2,0)+IF(BasisNumber&lt;&gt;1,VLOOKUP($A238,BasisTable,2,0),0)+I$1)/(1-I$2))</f>
        <v>57.480912830705158</v>
      </c>
      <c r="J238" s="154">
        <f>IF(Assumptions!$L$25=4,VLOOKUP($A238,'Henwood Reference'!$E$9:$R$320,10),(VLOOKUP($A238,PriceTable,3,0)+IF(BasisNumber&lt;&gt;1,VLOOKUP($A238,BasisTable,2,0),0)+J$1)/(1-J$2))</f>
        <v>57.480912830705158</v>
      </c>
      <c r="K238" s="154">
        <f>IF(Assumptions!$L$25=4,VLOOKUP($A238,'Henwood Reference'!$E$9:$R$320,10),(VLOOKUP($A238,PriceTable,4,0)+IF(BasisNumber&lt;&gt;1,VLOOKUP($A238,BasisTable,2,0),0)+K$1)/(1-K$2))</f>
        <v>57.480912830705158</v>
      </c>
      <c r="L238" s="474">
        <f>IF(Assumptions!$L$25=4,VLOOKUP($A238,'Henwood Reference'!$E$9:$R$320,10),(VLOOKUP($A238,PriceTableWeekend,2,0)+IF(BasisNumber&lt;&gt;1,VLOOKUP($A238,BasisTable,2,0),0)+L$1)/(1-L$2))</f>
        <v>57.480912830705158</v>
      </c>
      <c r="M238" s="154">
        <f>IF(Assumptions!$L$25=4,VLOOKUP($A238,'Henwood Reference'!$E$9:$R$320,10),(VLOOKUP($A238,PriceTableWeekend,3,0)+IF(BasisNumber&lt;&gt;1,VLOOKUP($A238,BasisTable,2,0),0)+M$1)/(1-M$2))</f>
        <v>57.480912830705158</v>
      </c>
      <c r="N238" s="156">
        <f>IF(Assumptions!$L$25=4,VLOOKUP($A238,'Henwood Reference'!$E$9:$R$320,10),(VLOOKUP($A238,PriceTableWeekend,4,0)+IF(BasisNumber&lt;&gt;1,VLOOKUP($A238,BasisTable,2,0),0)+N$1)/(1-N$2))</f>
        <v>57.480912830705158</v>
      </c>
      <c r="O238" s="154">
        <f>IF(Assumptions!$L$25=4,VLOOKUP($A238,'Henwood Reference'!$E$9:$R$320,11),(VLOOKUP($A238,PriceTableWeekend,6,0)+IF(BasisNumber&lt;&gt;1,VLOOKUP($A238,BasisTable,3,0),0)+O$1)/(1-O$2))</f>
        <v>32.369487305819128</v>
      </c>
      <c r="P238" s="154">
        <f>IF(Assumptions!$L$25=4,VLOOKUP($A238,'Henwood Reference'!$E$9:$R$320,11),(VLOOKUP($A238,PriceTableWeekend,7,0)+IF(BasisNumber&lt;&gt;1,VLOOKUP($A238,BasisTable,3,0),0)+P$1)/(1-P$2))</f>
        <v>32.369487305819128</v>
      </c>
      <c r="Q238" s="156">
        <f>IF(Assumptions!$L$25=4,VLOOKUP($A238,'Henwood Reference'!$E$9:$R$320,11),(VLOOKUP($A238,PriceTableWeekend,8,0)+IF(BasisNumber&lt;&gt;1,VLOOKUP($A238,BasisTable,3,0),0)+Q$1)/(1-Q$2))</f>
        <v>32.369487305819128</v>
      </c>
      <c r="R238" s="154">
        <f>IF(Assumptions!$L$25=4,VLOOKUP($A238,'Henwood Reference'!$E$9:$R$320,11),(VLOOKUP($A238,PriceTable,6,0)+IF(BasisNumber&lt;&gt;1,VLOOKUP($A238,BasisTable,3,0),0)+R$1)/(1-R$2))</f>
        <v>32.369487305819128</v>
      </c>
      <c r="S238" s="154">
        <f>IF(Assumptions!$L$25=4,VLOOKUP($A238,'Henwood Reference'!$E$9:$R$320,11),(VLOOKUP($A238,PriceTable,7,0)+IF(BasisNumber&lt;&gt;1,VLOOKUP($A238,BasisTable,3,0),0)+S$1)/(1-S$2))</f>
        <v>32.369487305819128</v>
      </c>
      <c r="T238" s="155">
        <f>IF(Assumptions!$L$25=4,VLOOKUP($A238,'Henwood Reference'!$E$9:$R$320,11),(VLOOKUP($A238,PriceTable,8,0)+IF(BasisNumber&lt;&gt;1,VLOOKUP($A238,BasisTable,3,0),0)+T$1)/(1-T$2))</f>
        <v>32.369487305819128</v>
      </c>
      <c r="U238" s="173">
        <f t="shared" si="640"/>
        <v>0.09</v>
      </c>
      <c r="V238" s="173">
        <f t="shared" si="641"/>
        <v>0.1</v>
      </c>
      <c r="W238" s="174">
        <f t="shared" si="642"/>
        <v>0.11</v>
      </c>
      <c r="X238" s="173">
        <f t="shared" si="643"/>
        <v>0.09</v>
      </c>
      <c r="Y238" s="173">
        <f t="shared" si="644"/>
        <v>0.1</v>
      </c>
      <c r="Z238" s="174">
        <f t="shared" si="645"/>
        <v>0.11</v>
      </c>
      <c r="AA238" s="173">
        <f t="shared" si="646"/>
        <v>0.09</v>
      </c>
      <c r="AB238" s="173">
        <f t="shared" si="647"/>
        <v>0.11</v>
      </c>
      <c r="AC238" s="174">
        <f t="shared" si="648"/>
        <v>0.13</v>
      </c>
      <c r="AD238" s="173">
        <f t="shared" si="649"/>
        <v>0.09</v>
      </c>
      <c r="AE238" s="173">
        <f t="shared" si="650"/>
        <v>0.11</v>
      </c>
      <c r="AF238" s="174">
        <f t="shared" si="651"/>
        <v>0.13</v>
      </c>
      <c r="AG238" s="173">
        <f t="shared" si="652"/>
        <v>-0.1</v>
      </c>
      <c r="AH238" s="173">
        <f t="shared" si="653"/>
        <v>3</v>
      </c>
      <c r="AI238" s="174">
        <f t="shared" si="654"/>
        <v>0.1</v>
      </c>
      <c r="AJ238" s="173">
        <f t="shared" si="655"/>
        <v>-0.1</v>
      </c>
      <c r="AK238" s="173">
        <f t="shared" si="656"/>
        <v>3</v>
      </c>
      <c r="AL238" s="174">
        <f t="shared" si="657"/>
        <v>0.1</v>
      </c>
      <c r="AM238" s="173">
        <f t="shared" si="658"/>
        <v>-0.01</v>
      </c>
      <c r="AN238" s="173">
        <f t="shared" si="659"/>
        <v>0.16</v>
      </c>
      <c r="AO238" s="174">
        <f t="shared" si="660"/>
        <v>0.01</v>
      </c>
      <c r="AP238" s="173">
        <f t="shared" si="661"/>
        <v>-0.01</v>
      </c>
      <c r="AQ238" s="173">
        <f t="shared" si="662"/>
        <v>0.16</v>
      </c>
      <c r="AR238" s="175">
        <f t="shared" si="663"/>
        <v>0.01</v>
      </c>
      <c r="AS238" s="521">
        <f t="shared" si="691"/>
        <v>0.5</v>
      </c>
      <c r="AT238" s="349">
        <f t="shared" si="689"/>
        <v>23</v>
      </c>
      <c r="AU238" s="159">
        <f t="shared" si="582"/>
        <v>4</v>
      </c>
      <c r="AV238" s="159">
        <f t="shared" si="583"/>
        <v>4</v>
      </c>
      <c r="AW238" s="159">
        <f t="shared" si="692"/>
        <v>0</v>
      </c>
      <c r="AX238" s="15">
        <f t="shared" si="690"/>
        <v>31</v>
      </c>
      <c r="AY238" s="607">
        <f>IF(E238="",0,MIN((1-(1-VLOOKUP(B238,MAIN!$AA$7:$AM$28,C238+1))*(1-VLOOKUP(B238,MAIN!$AA$33:$AM$54,C238+1))),1))</f>
        <v>3.0000000000000027E-2</v>
      </c>
      <c r="AZ238" s="337">
        <v>53544</v>
      </c>
      <c r="BA238" s="509">
        <v>9312</v>
      </c>
      <c r="BB238" s="509">
        <v>9312</v>
      </c>
      <c r="BC238" s="511">
        <v>36084</v>
      </c>
      <c r="BD238" s="153">
        <v>0.97000001445412631</v>
      </c>
      <c r="BE238" s="474">
        <v>0.97000001445412631</v>
      </c>
      <c r="BF238" s="474">
        <v>0.97000001445412631</v>
      </c>
      <c r="BG238" s="515">
        <v>0.9699999927729368</v>
      </c>
      <c r="BH238" s="262">
        <v>214176</v>
      </c>
      <c r="BI238" s="509">
        <v>37248</v>
      </c>
      <c r="BJ238" s="509">
        <v>37248</v>
      </c>
      <c r="BK238" s="511">
        <v>144336</v>
      </c>
      <c r="BL238" s="153">
        <v>0.97000001445412631</v>
      </c>
      <c r="BM238" s="474">
        <v>0.97000001445412631</v>
      </c>
      <c r="BN238" s="474">
        <v>0.97000001445412631</v>
      </c>
      <c r="BO238" s="474">
        <v>0.9699999927729368</v>
      </c>
      <c r="BP238" s="261">
        <f t="shared" si="666"/>
        <v>72168</v>
      </c>
      <c r="BQ238" s="578">
        <f t="shared" si="667"/>
        <v>108252</v>
      </c>
      <c r="BR238" s="259">
        <f t="shared" si="668"/>
        <v>288672</v>
      </c>
      <c r="BS238" s="578">
        <f t="shared" si="669"/>
        <v>433008</v>
      </c>
      <c r="BT238" s="216">
        <f t="shared" si="670"/>
        <v>18.464065708418889</v>
      </c>
      <c r="BU238" s="218">
        <f t="shared" si="585"/>
        <v>57.480913687237503</v>
      </c>
      <c r="BV238" s="216">
        <f t="shared" si="586"/>
        <v>57.480913687237503</v>
      </c>
      <c r="BW238" s="216">
        <f t="shared" si="587"/>
        <v>32.369487788162076</v>
      </c>
      <c r="BX238" s="216">
        <f t="shared" si="671"/>
        <v>32.36948706464765</v>
      </c>
      <c r="BY238" s="216">
        <f t="shared" si="588"/>
        <v>54.240729700260019</v>
      </c>
      <c r="BZ238" s="216">
        <f t="shared" si="589"/>
        <v>46.950315488389222</v>
      </c>
      <c r="CA238" s="264">
        <f t="shared" si="590"/>
        <v>57.480913687237503</v>
      </c>
      <c r="CB238" s="216">
        <f t="shared" si="591"/>
        <v>57.480913687237503</v>
      </c>
      <c r="CC238" s="216">
        <f t="shared" si="592"/>
        <v>32.369487788162076</v>
      </c>
      <c r="CD238" s="216">
        <f t="shared" si="672"/>
        <v>32.36948706464765</v>
      </c>
      <c r="CE238" s="216">
        <f t="shared" si="593"/>
        <v>54.240729700260019</v>
      </c>
      <c r="CF238" s="571">
        <f t="shared" si="594"/>
        <v>46.950315488389222</v>
      </c>
      <c r="CG238" s="573">
        <f t="shared" si="595"/>
        <v>0.1</v>
      </c>
      <c r="CH238" s="219">
        <f t="shared" si="596"/>
        <v>0.1</v>
      </c>
      <c r="CI238" s="219">
        <f t="shared" si="597"/>
        <v>0.11</v>
      </c>
      <c r="CJ238" s="219">
        <f t="shared" si="598"/>
        <v>0.10077668161995802</v>
      </c>
      <c r="CK238" s="219">
        <f t="shared" si="599"/>
        <v>0.10077668161995802</v>
      </c>
      <c r="CL238" s="219">
        <f t="shared" si="600"/>
        <v>0.11</v>
      </c>
      <c r="CM238" s="219">
        <f t="shared" si="601"/>
        <v>9.3139447542999992E-2</v>
      </c>
      <c r="CN238" s="569">
        <f t="shared" si="602"/>
        <v>9.3139447542999992E-2</v>
      </c>
      <c r="CO238" s="264">
        <f t="shared" si="685"/>
        <v>27.86483418393426</v>
      </c>
      <c r="CP238" s="216">
        <f t="shared" si="673"/>
        <v>27.86483418393426</v>
      </c>
      <c r="CQ238" s="216">
        <f t="shared" ca="1" si="532"/>
        <v>27.86483418393426</v>
      </c>
      <c r="CR238" s="216">
        <f t="shared" ca="1" si="533"/>
        <v>27.86483418393426</v>
      </c>
      <c r="CS238" s="1626">
        <f t="shared" ca="1" si="534"/>
        <v>27.86483418393426</v>
      </c>
      <c r="CT238" s="216">
        <f t="shared" si="674"/>
        <v>27.86483418393426</v>
      </c>
      <c r="CU238" s="575">
        <f t="shared" si="603"/>
        <v>0.151</v>
      </c>
      <c r="CV238" s="154">
        <f t="shared" si="604"/>
        <v>0.5</v>
      </c>
      <c r="CW238" s="216">
        <f>IF(OR($BQ238,$BS238),SpreadOptPowerMargin,0)*((1+Assumptions!$C$26)^($B238-YEAR(Assumptions!$C$17)))</f>
        <v>2.4225630089834325</v>
      </c>
      <c r="CX238" s="216">
        <f>IF(OR($BQ238,$BS238),SpreadOptPowerMargin,0)*((1+Assumptions!$C$26)^($B238-YEAR(Assumptions!$C$17)))</f>
        <v>2.4225630089834325</v>
      </c>
      <c r="CY238" s="216">
        <f>IF(OR($BQ238,$BS238),SpreadOptPowerMargin,0)*((1+Assumptions!$C$26)^($B238-YEAR(Assumptions!$C$17)))</f>
        <v>2.4225630089834325</v>
      </c>
      <c r="CZ238" s="216">
        <f>IF(OR($BQ238,$BS238),SpreadOptPowerMargin,0)*((1+Assumptions!$C$26)^($B238-YEAR(Assumptions!$C$17)))</f>
        <v>2.4225630089834325</v>
      </c>
      <c r="DA238" s="440">
        <f t="shared" si="605"/>
        <v>2.4225630089834325</v>
      </c>
      <c r="DB238" s="479">
        <f t="shared" si="606"/>
        <v>0.1</v>
      </c>
      <c r="DC238" s="479">
        <f t="shared" si="607"/>
        <v>0.1</v>
      </c>
      <c r="DD238" s="479">
        <f t="shared" si="608"/>
        <v>0.11</v>
      </c>
      <c r="DE238" s="479">
        <f t="shared" si="609"/>
        <v>0.11</v>
      </c>
      <c r="DF238" s="479">
        <f t="shared" si="610"/>
        <v>9.3139447542999992E-2</v>
      </c>
      <c r="DG238" s="574">
        <f t="shared" si="611"/>
        <v>9.3139447542999992E-2</v>
      </c>
      <c r="DH238" s="216">
        <f t="shared" si="612"/>
        <v>28.4685177638308</v>
      </c>
      <c r="DI238" s="216">
        <f t="shared" si="613"/>
        <v>28.4685177638308</v>
      </c>
      <c r="DJ238" s="216">
        <f t="shared" ca="1" si="535"/>
        <v>7.824059036585135</v>
      </c>
      <c r="DK238" s="216">
        <f t="shared" ca="1" si="536"/>
        <v>7.8240585605505197</v>
      </c>
      <c r="DL238" s="216">
        <f t="shared" ca="1" si="537"/>
        <v>18.932458082302489</v>
      </c>
      <c r="DM238" s="216"/>
      <c r="DN238" s="216"/>
      <c r="DO238" s="216"/>
      <c r="DP238" s="216"/>
      <c r="DQ238" s="216"/>
      <c r="DR238" s="216"/>
      <c r="DS238" s="216"/>
      <c r="DT238" s="216"/>
      <c r="DU238" s="216"/>
      <c r="DV238" s="216"/>
      <c r="DW238" s="1371">
        <f t="shared" si="614"/>
        <v>7.824059036585135</v>
      </c>
      <c r="DX238" s="216">
        <f t="shared" si="615"/>
        <v>7.8240585605505197</v>
      </c>
      <c r="DY238" s="440">
        <f t="shared" si="616"/>
        <v>19.811163945339899</v>
      </c>
      <c r="DZ238" s="180">
        <f t="shared" si="617"/>
        <v>1524318.3151465564</v>
      </c>
      <c r="EA238" s="180">
        <f t="shared" si="618"/>
        <v>265098.8374167924</v>
      </c>
      <c r="EB238" s="180">
        <f t="shared" ca="1" si="538"/>
        <v>72857.637748680776</v>
      </c>
      <c r="EC238" s="180">
        <f t="shared" ca="1" si="539"/>
        <v>282323.32909890497</v>
      </c>
      <c r="ED238" s="180">
        <f t="shared" ca="1" si="540"/>
        <v>2049476.452325409</v>
      </c>
      <c r="EE238" s="581">
        <f t="shared" si="619"/>
        <v>1456049.6471718601</v>
      </c>
      <c r="EF238" s="554">
        <f t="shared" si="620"/>
        <v>253226.0255951061</v>
      </c>
      <c r="EG238" s="554">
        <f t="shared" ca="1" si="541"/>
        <v>19388.427622915708</v>
      </c>
      <c r="EH238" s="554">
        <f t="shared" ca="1" si="542"/>
        <v>75130.130931503852</v>
      </c>
      <c r="EI238" s="561">
        <f t="shared" ca="1" si="621"/>
        <v>1803794.2313213842</v>
      </c>
      <c r="EJ238" s="581">
        <f t="shared" si="675"/>
        <v>68268.667974696262</v>
      </c>
      <c r="EK238" s="554">
        <f t="shared" si="676"/>
        <v>11872.811821686308</v>
      </c>
      <c r="EL238" s="554">
        <f t="shared" ca="1" si="543"/>
        <v>53469.210125765065</v>
      </c>
      <c r="EM238" s="554">
        <f t="shared" ca="1" si="544"/>
        <v>207193.19816740113</v>
      </c>
      <c r="EN238" s="561">
        <f t="shared" ca="1" si="545"/>
        <v>245682.22100402485</v>
      </c>
      <c r="EO238" s="180">
        <f t="shared" si="622"/>
        <v>6097273.2605862254</v>
      </c>
      <c r="EP238" s="180">
        <f t="shared" si="623"/>
        <v>1060395.3496671696</v>
      </c>
      <c r="EQ238" s="180">
        <f t="shared" si="624"/>
        <v>291430.5509947231</v>
      </c>
      <c r="ER238" s="180">
        <f t="shared" si="625"/>
        <v>1129293.3163956199</v>
      </c>
      <c r="ES238" s="180">
        <f t="shared" si="626"/>
        <v>8578392.4776437394</v>
      </c>
      <c r="ET238" s="1482">
        <f t="shared" ca="1" si="546"/>
        <v>5824198.5886874404</v>
      </c>
      <c r="EU238" s="180">
        <f t="shared" ca="1" si="547"/>
        <v>1012904.1023804244</v>
      </c>
      <c r="EV238" s="180">
        <f t="shared" ca="1" si="548"/>
        <v>77553.71049166283</v>
      </c>
      <c r="EW238" s="180">
        <f t="shared" ca="1" si="549"/>
        <v>300520.52372601541</v>
      </c>
      <c r="EX238" s="555">
        <f t="shared" ca="1" si="693"/>
        <v>7215176.9252855433</v>
      </c>
      <c r="EY238" s="180">
        <f t="shared" ca="1" si="550"/>
        <v>273074.67189878505</v>
      </c>
      <c r="EZ238" s="180">
        <f t="shared" ca="1" si="551"/>
        <v>47491.247286745231</v>
      </c>
      <c r="FA238" s="180">
        <f t="shared" ca="1" si="552"/>
        <v>213876.84050306026</v>
      </c>
      <c r="FB238" s="180">
        <f t="shared" ca="1" si="553"/>
        <v>828772.79266960453</v>
      </c>
      <c r="FC238" s="180">
        <f t="shared" ca="1" si="554"/>
        <v>1363215.5523581961</v>
      </c>
      <c r="FD238" s="262">
        <f>IF(AX238,IF(VLOOKUP(C238,MAIN!$L$17:$M$28,2)="Yes",VLOOKUP(CALC!B238,MAIN!$H$17:$I$20,2),0),0)</f>
        <v>0</v>
      </c>
      <c r="FE238" s="623">
        <f t="shared" si="627"/>
        <v>0</v>
      </c>
      <c r="FF238" s="535">
        <f t="shared" si="628"/>
        <v>0</v>
      </c>
      <c r="FG238" s="535">
        <f t="shared" si="629"/>
        <v>0</v>
      </c>
      <c r="FH238" s="624">
        <f t="shared" si="630"/>
        <v>0</v>
      </c>
      <c r="FI238" s="632">
        <f>IF(AX238,VLOOKUP(CALC!B238,MAIN!$H$17:$K$20,4),0)</f>
        <v>0</v>
      </c>
      <c r="FJ238" s="535">
        <f t="shared" si="631"/>
        <v>0</v>
      </c>
      <c r="FK238" s="648">
        <f t="shared" si="677"/>
        <v>0</v>
      </c>
      <c r="FL238" s="530">
        <f t="shared" ca="1" si="555"/>
        <v>0</v>
      </c>
      <c r="FM238" s="530">
        <f t="shared" ca="1" si="556"/>
        <v>0</v>
      </c>
      <c r="FN238" s="530">
        <f t="shared" ca="1" si="557"/>
        <v>0</v>
      </c>
      <c r="FO238" s="622">
        <f t="shared" ca="1" si="558"/>
        <v>0</v>
      </c>
      <c r="FP238" s="530">
        <f t="shared" ca="1" si="559"/>
        <v>0</v>
      </c>
      <c r="FQ238" s="530">
        <f t="shared" ca="1" si="560"/>
        <v>0</v>
      </c>
      <c r="FR238" s="530">
        <f t="shared" ca="1" si="561"/>
        <v>0</v>
      </c>
      <c r="FS238" s="625">
        <f t="shared" ca="1" si="562"/>
        <v>0</v>
      </c>
      <c r="FT238" s="640">
        <f ca="1">IF(AND(Assumptions!$H$71="Yes",A238&gt;=Assumptions!$H$72,A238&lt;=Assumptions!$H$73),0,IF(AND($A238&gt;=Assumptions!$C$17,$A238&lt;=Assumptions!$C$18),MAX(AZ238*(1+VLOOKUP($C238,WeatherCapacityAdjustment,2))-FL238,0),0))</f>
        <v>53544</v>
      </c>
      <c r="FU238" s="530">
        <f ca="1">IF(AND(Assumptions!$H$71="Yes",A238&gt;=Assumptions!$H$72,A238&lt;=Assumptions!$H$73),0,IF(AND($A238&gt;=Assumptions!$C$17,$A238&lt;=Assumptions!$C$18),MAX(BA238*(1+VLOOKUP($C238,WeatherCapacityAdjustment,2))-FM238,0),0))</f>
        <v>9312</v>
      </c>
      <c r="FV238" s="530">
        <f ca="1">IF(AND(Assumptions!$H$71="Yes",A238&gt;=Assumptions!$H$72,A238&lt;=Assumptions!$H$73),0,IF(AND($A238&gt;=Assumptions!$C$17,$A238&lt;=Assumptions!$C$18),MAX(BB238*(1+VLOOKUP($C238,WeatherCapacityAdjustment,2))-FN238,0),0))</f>
        <v>9312</v>
      </c>
      <c r="FW238" s="622">
        <f ca="1">IF(AND(Assumptions!$H$71="Yes",A238&gt;=Assumptions!$H$72,A238&lt;=Assumptions!$H$73),0,IF(AND($A238&gt;=Assumptions!$C$17,$A238&lt;=Assumptions!$C$18),MAX(BC238*(1+VLOOKUP($C238,WeatherCapacityAdjustment,3))-FO238,0),0))</f>
        <v>36084</v>
      </c>
      <c r="FX238" s="621">
        <f ca="1">IF(AND(Assumptions!$H$71="Yes",A238&gt;=Assumptions!$H$72,A238&lt;=Assumptions!$H$73),0,IF(ET238&gt;0,MAX(BH238*(1+VLOOKUP($C238,WeatherCapacityAdjustment,2))-FP238,0),0))</f>
        <v>214176</v>
      </c>
      <c r="FY238" s="530">
        <f ca="1">IF(AND(Assumptions!$H$71="Yes",A238&gt;=Assumptions!$H$72,A238&lt;=Assumptions!$H$73),0,IF(EU238&gt;0,MAX(BI238*(1+VLOOKUP($C238,WeatherCapacityAdjustment,3))-FQ238,0),0))</f>
        <v>37248</v>
      </c>
      <c r="FZ238" s="530">
        <f ca="1">IF(AND(Assumptions!$H$71="Yes",A238&gt;=Assumptions!$H$72,A238&lt;=Assumptions!$H$73),0,IF(EV238&gt;0,MAX(BJ238*(1+VLOOKUP($C238,WeatherCapacityAdjustment,2))-FR238,0),0))</f>
        <v>37248</v>
      </c>
      <c r="GA238" s="622">
        <f ca="1">IF(AND(Assumptions!$H$71="Yes",A238&gt;=Assumptions!$H$72,A238&lt;=Assumptions!$H$73),0,IF(EW238&gt;0,MAX(BK238*(1+VLOOKUP($C238,WeatherCapacityAdjustment,2))-FS238,0),0))</f>
        <v>144336</v>
      </c>
      <c r="GB238" s="530">
        <f t="shared" ca="1" si="632"/>
        <v>541260</v>
      </c>
      <c r="GC238" s="545">
        <f t="shared" ca="1" si="633"/>
        <v>46.950315488389236</v>
      </c>
      <c r="GD238" s="530">
        <f t="shared" ca="1" si="563"/>
        <v>25412327.761245556</v>
      </c>
      <c r="GE238" s="1485">
        <f t="shared" ca="1" si="564"/>
        <v>770812.69608000002</v>
      </c>
      <c r="GF238" s="1776">
        <f t="shared" ca="1" si="565"/>
        <v>3083250.7843200001</v>
      </c>
      <c r="GG238" s="545">
        <f t="shared" si="530"/>
        <v>3.913303511241319</v>
      </c>
      <c r="GH238" s="622">
        <f t="shared" ca="1" si="531"/>
        <v>15082120.15039626</v>
      </c>
      <c r="GI238" s="621">
        <f t="shared" ca="1" si="678"/>
        <v>541260</v>
      </c>
      <c r="GJ238" s="638">
        <f t="shared" si="634"/>
        <v>2.4225630089834325</v>
      </c>
      <c r="GK238" s="625">
        <f t="shared" ca="1" si="684"/>
        <v>1311236.4542423727</v>
      </c>
      <c r="GL238" s="640">
        <f t="shared" ca="1" si="566"/>
        <v>0</v>
      </c>
      <c r="GM238" s="530">
        <f t="shared" ca="1" si="567"/>
        <v>0</v>
      </c>
      <c r="GN238" s="530">
        <f t="shared" ca="1" si="568"/>
        <v>0</v>
      </c>
      <c r="GO238" s="622">
        <f t="shared" ca="1" si="569"/>
        <v>0</v>
      </c>
      <c r="GP238" s="530">
        <f t="shared" ca="1" si="635"/>
        <v>0</v>
      </c>
      <c r="GQ238" s="545">
        <f t="shared" ca="1" si="636"/>
        <v>0</v>
      </c>
      <c r="GR238" s="625">
        <f t="shared" ca="1" si="570"/>
        <v>0</v>
      </c>
      <c r="GS238" s="640">
        <f>IF($A238&gt;=BegDate,Assumptions!$C$56*24*($A239-$A238)*(1-VLOOKUP($B238,MAIN!$AA$7:$AM$28,$C238+1))*(1-VLOOKUP($B238,MAIN!$AA$33:$AM$54,$C238+1)),0)*80/168</f>
        <v>257742.85714285713</v>
      </c>
      <c r="GT238" s="1715">
        <f t="shared" si="679"/>
        <v>57.480912830705158</v>
      </c>
      <c r="GU238" s="1715">
        <f>IF($A238&gt;=BegDate,VLOOKUP($A238,GasTable,13)+Assumptions!$C$58,0)</f>
        <v>3.913303511241319</v>
      </c>
      <c r="GV238" s="1715">
        <f>GU238*Assumptions!$C$57/1000</f>
        <v>28.371450456499563</v>
      </c>
      <c r="GW238" s="625">
        <f>IF(Assumptions!$C$60="Hourly",MAX(0,GS238*(GT238-GV238)),GS238*(GT238-GV238))</f>
        <v>7502756.0022202479</v>
      </c>
      <c r="GX238" s="640">
        <f>IF($A238&gt;=BegDate,Assumptions!$C$56*24*($A239-$A238)*(1-VLOOKUP($B238,MAIN!$AA$7:$AM$28,$C238+1))*(1-VLOOKUP($B238,MAIN!$AA$33:$AM$54,$C238+1)),0)*16/168</f>
        <v>51548.571428571428</v>
      </c>
      <c r="GY238" s="1715">
        <f t="shared" si="680"/>
        <v>57.480912830705158</v>
      </c>
      <c r="GZ238" s="1715">
        <f>IF($A238&gt;=BegDate,VLOOKUP($A238,GasTable,13)+Assumptions!$C$58,0)</f>
        <v>3.913303511241319</v>
      </c>
      <c r="HA238" s="1715">
        <f>GZ238*Assumptions!$C$57/1000</f>
        <v>28.371450456499563</v>
      </c>
      <c r="HB238" s="625">
        <f>IF(Assumptions!$C$60="Hourly",MAX(0,GX238*(GY238-HA238)),GX238*(GY238-HA238))</f>
        <v>1500551.2004440494</v>
      </c>
      <c r="HC238" s="640">
        <f>IF($A238&gt;=BegDate,Assumptions!$C$56*24*($A239-$A238)*(1-VLOOKUP($B238,MAIN!$AA$7:$AM$28,$C238+1))*(1-VLOOKUP($B238,MAIN!$AA$33:$AM$54,$C238+1)),0)*16/168</f>
        <v>51548.571428571428</v>
      </c>
      <c r="HD238" s="1715">
        <f t="shared" si="681"/>
        <v>32.369487305819128</v>
      </c>
      <c r="HE238" s="1715">
        <f>IF($A238&gt;=BegDate,VLOOKUP($A238,GasTable,13)+Assumptions!$C$58,0)</f>
        <v>3.913303511241319</v>
      </c>
      <c r="HF238" s="1715">
        <f>HE238*Assumptions!$C$57/1000</f>
        <v>28.371450456499563</v>
      </c>
      <c r="HG238" s="625">
        <f>IF(Assumptions!$C$60="Hourly",MAX(0,HC238*(HD238-HF238)),HC238*(HD238-HF238))</f>
        <v>206093.08810121025</v>
      </c>
      <c r="HH238" s="640">
        <f>IF($A238&gt;=BegDate,Assumptions!$C$56*24*($A239-$A238)*(1-VLOOKUP($B238,MAIN!$AA$7:$AM$28,$C238+1))*(1-VLOOKUP($B238,MAIN!$AA$33:$AM$54,$C238+1)),0)*56/168</f>
        <v>180420</v>
      </c>
      <c r="HI238" s="1715">
        <f t="shared" si="682"/>
        <v>32.369487305819128</v>
      </c>
      <c r="HJ238" s="1715">
        <f>IF($A238&gt;=BegDate,VLOOKUP($A238,GasTable,13)+Assumptions!$C$58,0)</f>
        <v>3.913303511241319</v>
      </c>
      <c r="HK238" s="1715">
        <f>HJ238*Assumptions!$C$57/1000</f>
        <v>28.371450456499563</v>
      </c>
      <c r="HL238" s="625">
        <f>IF(Assumptions!$C$60="Hourly",MAX(0,HH238*(HI238-HK238)),HH238*(HI238-HK238))</f>
        <v>721325.80835423584</v>
      </c>
      <c r="HM238" s="640">
        <f>IF(AND(Assumptions!$H$71="Yes",A238&gt;=Assumptions!$H$72,A238&lt;=Assumptions!$H$73),Assumptions!$H$74*Assumptions!$C$9*1000,0)</f>
        <v>0</v>
      </c>
      <c r="HN238" s="530"/>
      <c r="HO238" s="545"/>
      <c r="HP238" s="545"/>
      <c r="HQ238" s="545"/>
      <c r="HR238" s="545"/>
      <c r="HS238" s="545"/>
      <c r="HT238" s="545"/>
      <c r="HU238" s="545"/>
      <c r="HV238" s="545"/>
      <c r="HW238" s="545"/>
      <c r="HX238" s="545"/>
      <c r="HY238" s="545"/>
      <c r="HZ238" s="545"/>
      <c r="IA238" s="545"/>
      <c r="IB238" s="545"/>
      <c r="IC238" s="545"/>
      <c r="ID238" s="545"/>
      <c r="IE238" s="545"/>
      <c r="IF238" s="545"/>
      <c r="IG238" s="545"/>
      <c r="IH238" s="545"/>
      <c r="II238" s="1464"/>
      <c r="IJ238" s="1463"/>
      <c r="IK238" s="1463"/>
    </row>
    <row r="239" spans="1:245">
      <c r="A239" s="177">
        <f t="shared" si="637"/>
        <v>43405</v>
      </c>
      <c r="B239" s="349">
        <f t="shared" si="638"/>
        <v>2018</v>
      </c>
      <c r="C239" s="15">
        <f t="shared" si="686"/>
        <v>11</v>
      </c>
      <c r="D239" s="612">
        <f t="shared" si="639"/>
        <v>43426</v>
      </c>
      <c r="E239" s="609">
        <f t="shared" si="687"/>
        <v>43405</v>
      </c>
      <c r="F239" s="614">
        <f t="shared" si="688"/>
        <v>43434</v>
      </c>
      <c r="G239" s="1349">
        <v>0</v>
      </c>
      <c r="H239" s="152">
        <f t="shared" si="683"/>
        <v>1</v>
      </c>
      <c r="I239" s="154">
        <f>IF(Assumptions!$L$25=4,VLOOKUP($A239,'Henwood Reference'!$E$9:$R$320,10),(VLOOKUP($A239,PriceTable,2,0)+IF(BasisNumber&lt;&gt;1,VLOOKUP($A239,BasisTable,2,0),0)+I$1)/(1-I$2))</f>
        <v>58.345287459738316</v>
      </c>
      <c r="J239" s="154">
        <f>IF(Assumptions!$L$25=4,VLOOKUP($A239,'Henwood Reference'!$E$9:$R$320,10),(VLOOKUP($A239,PriceTable,3,0)+IF(BasisNumber&lt;&gt;1,VLOOKUP($A239,BasisTable,2,0),0)+J$1)/(1-J$2))</f>
        <v>58.345287459738316</v>
      </c>
      <c r="K239" s="154">
        <f>IF(Assumptions!$L$25=4,VLOOKUP($A239,'Henwood Reference'!$E$9:$R$320,10),(VLOOKUP($A239,PriceTable,4,0)+IF(BasisNumber&lt;&gt;1,VLOOKUP($A239,BasisTable,2,0),0)+K$1)/(1-K$2))</f>
        <v>58.345287459738316</v>
      </c>
      <c r="L239" s="474">
        <f>IF(Assumptions!$L$25=4,VLOOKUP($A239,'Henwood Reference'!$E$9:$R$320,10),(VLOOKUP($A239,PriceTableWeekend,2,0)+IF(BasisNumber&lt;&gt;1,VLOOKUP($A239,BasisTable,2,0),0)+L$1)/(1-L$2))</f>
        <v>58.345287459738316</v>
      </c>
      <c r="M239" s="154">
        <f>IF(Assumptions!$L$25=4,VLOOKUP($A239,'Henwood Reference'!$E$9:$R$320,10),(VLOOKUP($A239,PriceTableWeekend,3,0)+IF(BasisNumber&lt;&gt;1,VLOOKUP($A239,BasisTable,2,0),0)+M$1)/(1-M$2))</f>
        <v>58.345287459738316</v>
      </c>
      <c r="N239" s="156">
        <f>IF(Assumptions!$L$25=4,VLOOKUP($A239,'Henwood Reference'!$E$9:$R$320,10),(VLOOKUP($A239,PriceTableWeekend,4,0)+IF(BasisNumber&lt;&gt;1,VLOOKUP($A239,BasisTable,2,0),0)+N$1)/(1-N$2))</f>
        <v>58.345287459738316</v>
      </c>
      <c r="O239" s="154">
        <f>IF(Assumptions!$L$25=4,VLOOKUP($A239,'Henwood Reference'!$E$9:$R$320,11),(VLOOKUP($A239,PriceTableWeekend,6,0)+IF(BasisNumber&lt;&gt;1,VLOOKUP($A239,BasisTable,3,0),0)+O$1)/(1-O$2))</f>
        <v>35.148997328227317</v>
      </c>
      <c r="P239" s="154">
        <f>IF(Assumptions!$L$25=4,VLOOKUP($A239,'Henwood Reference'!$E$9:$R$320,11),(VLOOKUP($A239,PriceTableWeekend,7,0)+IF(BasisNumber&lt;&gt;1,VLOOKUP($A239,BasisTable,3,0),0)+P$1)/(1-P$2))</f>
        <v>35.148997328227317</v>
      </c>
      <c r="Q239" s="156">
        <f>IF(Assumptions!$L$25=4,VLOOKUP($A239,'Henwood Reference'!$E$9:$R$320,11),(VLOOKUP($A239,PriceTableWeekend,8,0)+IF(BasisNumber&lt;&gt;1,VLOOKUP($A239,BasisTable,3,0),0)+Q$1)/(1-Q$2))</f>
        <v>35.148997328227317</v>
      </c>
      <c r="R239" s="154">
        <f>IF(Assumptions!$L$25=4,VLOOKUP($A239,'Henwood Reference'!$E$9:$R$320,11),(VLOOKUP($A239,PriceTable,6,0)+IF(BasisNumber&lt;&gt;1,VLOOKUP($A239,BasisTable,3,0),0)+R$1)/(1-R$2))</f>
        <v>35.148997328227317</v>
      </c>
      <c r="S239" s="154">
        <f>IF(Assumptions!$L$25=4,VLOOKUP($A239,'Henwood Reference'!$E$9:$R$320,11),(VLOOKUP($A239,PriceTable,7,0)+IF(BasisNumber&lt;&gt;1,VLOOKUP($A239,BasisTable,3,0),0)+S$1)/(1-S$2))</f>
        <v>35.148997328227317</v>
      </c>
      <c r="T239" s="155">
        <f>IF(Assumptions!$L$25=4,VLOOKUP($A239,'Henwood Reference'!$E$9:$R$320,11),(VLOOKUP($A239,PriceTable,8,0)+IF(BasisNumber&lt;&gt;1,VLOOKUP($A239,BasisTable,3,0),0)+T$1)/(1-T$2))</f>
        <v>35.148997328227317</v>
      </c>
      <c r="U239" s="173">
        <f t="shared" si="640"/>
        <v>0.09</v>
      </c>
      <c r="V239" s="173">
        <f t="shared" si="641"/>
        <v>0.1</v>
      </c>
      <c r="W239" s="174">
        <f t="shared" si="642"/>
        <v>0.11</v>
      </c>
      <c r="X239" s="173">
        <f t="shared" si="643"/>
        <v>0.09</v>
      </c>
      <c r="Y239" s="173">
        <f t="shared" si="644"/>
        <v>0.1</v>
      </c>
      <c r="Z239" s="174">
        <f t="shared" si="645"/>
        <v>0.11</v>
      </c>
      <c r="AA239" s="173">
        <f t="shared" si="646"/>
        <v>0.09</v>
      </c>
      <c r="AB239" s="173">
        <f t="shared" si="647"/>
        <v>0.11</v>
      </c>
      <c r="AC239" s="174">
        <f t="shared" si="648"/>
        <v>0.13</v>
      </c>
      <c r="AD239" s="173">
        <f t="shared" si="649"/>
        <v>0.09</v>
      </c>
      <c r="AE239" s="173">
        <f t="shared" si="650"/>
        <v>0.11</v>
      </c>
      <c r="AF239" s="174">
        <f t="shared" si="651"/>
        <v>0.13</v>
      </c>
      <c r="AG239" s="173">
        <f t="shared" si="652"/>
        <v>-0.1</v>
      </c>
      <c r="AH239" s="173">
        <f t="shared" si="653"/>
        <v>0.6</v>
      </c>
      <c r="AI239" s="174">
        <f t="shared" si="654"/>
        <v>0.1</v>
      </c>
      <c r="AJ239" s="173">
        <f t="shared" si="655"/>
        <v>-0.1</v>
      </c>
      <c r="AK239" s="173">
        <f t="shared" si="656"/>
        <v>0.6</v>
      </c>
      <c r="AL239" s="174">
        <f t="shared" si="657"/>
        <v>0.1</v>
      </c>
      <c r="AM239" s="173">
        <f t="shared" si="658"/>
        <v>-0.01</v>
      </c>
      <c r="AN239" s="173">
        <f t="shared" si="659"/>
        <v>0.16</v>
      </c>
      <c r="AO239" s="174">
        <f t="shared" si="660"/>
        <v>0.01</v>
      </c>
      <c r="AP239" s="173">
        <f t="shared" si="661"/>
        <v>-0.01</v>
      </c>
      <c r="AQ239" s="173">
        <f t="shared" si="662"/>
        <v>0.16</v>
      </c>
      <c r="AR239" s="175">
        <f t="shared" si="663"/>
        <v>0.01</v>
      </c>
      <c r="AS239" s="521">
        <f t="shared" si="691"/>
        <v>0.5</v>
      </c>
      <c r="AT239" s="349">
        <f t="shared" si="689"/>
        <v>21</v>
      </c>
      <c r="AU239" s="159">
        <f t="shared" si="582"/>
        <v>4</v>
      </c>
      <c r="AV239" s="159">
        <f t="shared" si="583"/>
        <v>4</v>
      </c>
      <c r="AW239" s="159">
        <f t="shared" si="692"/>
        <v>1</v>
      </c>
      <c r="AX239" s="15">
        <f t="shared" si="690"/>
        <v>30</v>
      </c>
      <c r="AY239" s="607">
        <f>IF(E239="",0,MIN((1-(1-VLOOKUP(B239,MAIN!$AA$7:$AM$28,C239+1))*(1-VLOOKUP(B239,MAIN!$AA$33:$AM$54,C239+1))),1))</f>
        <v>3.0000000000000027E-2</v>
      </c>
      <c r="AZ239" s="337">
        <v>48888</v>
      </c>
      <c r="BA239" s="509">
        <v>9312</v>
      </c>
      <c r="BB239" s="509">
        <v>11640</v>
      </c>
      <c r="BC239" s="511">
        <v>34920</v>
      </c>
      <c r="BD239" s="153">
        <v>0.97</v>
      </c>
      <c r="BE239" s="474">
        <v>0.97</v>
      </c>
      <c r="BF239" s="474">
        <v>0.97</v>
      </c>
      <c r="BG239" s="515">
        <v>0.9699999927729368</v>
      </c>
      <c r="BH239" s="262">
        <v>195552</v>
      </c>
      <c r="BI239" s="509">
        <v>37248</v>
      </c>
      <c r="BJ239" s="509">
        <v>46560</v>
      </c>
      <c r="BK239" s="511">
        <v>139680</v>
      </c>
      <c r="BL239" s="153">
        <v>0.97</v>
      </c>
      <c r="BM239" s="474">
        <v>0.97</v>
      </c>
      <c r="BN239" s="474">
        <v>0.97</v>
      </c>
      <c r="BO239" s="474">
        <v>0.9699999927729368</v>
      </c>
      <c r="BP239" s="261">
        <f t="shared" si="666"/>
        <v>69840</v>
      </c>
      <c r="BQ239" s="578">
        <f t="shared" si="667"/>
        <v>104760</v>
      </c>
      <c r="BR239" s="259">
        <f t="shared" si="668"/>
        <v>279360</v>
      </c>
      <c r="BS239" s="578">
        <f t="shared" si="669"/>
        <v>419040</v>
      </c>
      <c r="BT239" s="216">
        <f t="shared" si="670"/>
        <v>18.548939082819988</v>
      </c>
      <c r="BU239" s="218">
        <f t="shared" si="585"/>
        <v>58.345287459738316</v>
      </c>
      <c r="BV239" s="216">
        <f t="shared" si="586"/>
        <v>58.345287459738316</v>
      </c>
      <c r="BW239" s="216">
        <f t="shared" si="587"/>
        <v>35.148997328227317</v>
      </c>
      <c r="BX239" s="216">
        <f t="shared" si="671"/>
        <v>35.14899706634688</v>
      </c>
      <c r="BY239" s="216">
        <f t="shared" si="588"/>
        <v>54.479239104486481</v>
      </c>
      <c r="BZ239" s="216">
        <f t="shared" si="589"/>
        <v>48.035825091773276</v>
      </c>
      <c r="CA239" s="264">
        <f t="shared" si="590"/>
        <v>58.345287459738316</v>
      </c>
      <c r="CB239" s="216">
        <f t="shared" si="591"/>
        <v>58.345287459738316</v>
      </c>
      <c r="CC239" s="216">
        <f t="shared" si="592"/>
        <v>35.148997328227317</v>
      </c>
      <c r="CD239" s="216">
        <f t="shared" si="672"/>
        <v>35.14899706634688</v>
      </c>
      <c r="CE239" s="216">
        <f t="shared" si="593"/>
        <v>54.479239104486481</v>
      </c>
      <c r="CF239" s="571">
        <f t="shared" si="594"/>
        <v>48.035825091773276</v>
      </c>
      <c r="CG239" s="573">
        <f t="shared" si="595"/>
        <v>0.1</v>
      </c>
      <c r="CH239" s="219">
        <f t="shared" si="596"/>
        <v>0.1</v>
      </c>
      <c r="CI239" s="219">
        <f t="shared" si="597"/>
        <v>0.11</v>
      </c>
      <c r="CJ239" s="219">
        <f t="shared" si="598"/>
        <v>0.10108434850256069</v>
      </c>
      <c r="CK239" s="219">
        <f t="shared" si="599"/>
        <v>0.10108434850256069</v>
      </c>
      <c r="CL239" s="219">
        <f t="shared" si="600"/>
        <v>0.11</v>
      </c>
      <c r="CM239" s="219">
        <f t="shared" si="601"/>
        <v>9.3079277531189011E-2</v>
      </c>
      <c r="CN239" s="569">
        <f t="shared" si="602"/>
        <v>9.3079277531189011E-2</v>
      </c>
      <c r="CO239" s="264">
        <f t="shared" si="685"/>
        <v>28.99717430415809</v>
      </c>
      <c r="CP239" s="216">
        <f t="shared" si="673"/>
        <v>28.99717430415809</v>
      </c>
      <c r="CQ239" s="216">
        <f t="shared" ca="1" si="532"/>
        <v>28.99717430415809</v>
      </c>
      <c r="CR239" s="216">
        <f t="shared" ca="1" si="533"/>
        <v>28.99717430415809</v>
      </c>
      <c r="CS239" s="1626">
        <f t="shared" ca="1" si="534"/>
        <v>28.997174304158086</v>
      </c>
      <c r="CT239" s="216">
        <f t="shared" si="674"/>
        <v>28.99717430415809</v>
      </c>
      <c r="CU239" s="575">
        <f t="shared" si="603"/>
        <v>0.151</v>
      </c>
      <c r="CV239" s="154">
        <f t="shared" si="604"/>
        <v>0.5</v>
      </c>
      <c r="CW239" s="216">
        <f>IF(OR($BQ239,$BS239),SpreadOptPowerMargin,0)*((1+Assumptions!$C$26)^($B239-YEAR(Assumptions!$C$17)))</f>
        <v>2.4225630089834325</v>
      </c>
      <c r="CX239" s="216">
        <f>IF(OR($BQ239,$BS239),SpreadOptPowerMargin,0)*((1+Assumptions!$C$26)^($B239-YEAR(Assumptions!$C$17)))</f>
        <v>2.4225630089834325</v>
      </c>
      <c r="CY239" s="216">
        <f>IF(OR($BQ239,$BS239),SpreadOptPowerMargin,0)*((1+Assumptions!$C$26)^($B239-YEAR(Assumptions!$C$17)))</f>
        <v>2.4225630089834325</v>
      </c>
      <c r="CZ239" s="216">
        <f>IF(OR($BQ239,$BS239),SpreadOptPowerMargin,0)*((1+Assumptions!$C$26)^($B239-YEAR(Assumptions!$C$17)))</f>
        <v>2.4225630089834325</v>
      </c>
      <c r="DA239" s="440">
        <f t="shared" si="605"/>
        <v>2.4225630089834325</v>
      </c>
      <c r="DB239" s="479">
        <f t="shared" si="606"/>
        <v>0.1</v>
      </c>
      <c r="DC239" s="479">
        <f t="shared" si="607"/>
        <v>0.1</v>
      </c>
      <c r="DD239" s="479">
        <f t="shared" si="608"/>
        <v>0.11</v>
      </c>
      <c r="DE239" s="479">
        <f t="shared" si="609"/>
        <v>0.11</v>
      </c>
      <c r="DF239" s="479">
        <f t="shared" si="610"/>
        <v>9.3079277531189011E-2</v>
      </c>
      <c r="DG239" s="574">
        <f t="shared" si="611"/>
        <v>9.3079277531189011E-2</v>
      </c>
      <c r="DH239" s="216">
        <f t="shared" si="612"/>
        <v>28.363409550048662</v>
      </c>
      <c r="DI239" s="216">
        <f t="shared" si="613"/>
        <v>28.363409550048662</v>
      </c>
      <c r="DJ239" s="216">
        <f t="shared" ca="1" si="535"/>
        <v>9.203977314048398</v>
      </c>
      <c r="DK239" s="216">
        <f t="shared" ca="1" si="536"/>
        <v>9.2039771338493992</v>
      </c>
      <c r="DL239" s="216">
        <f t="shared" ca="1" si="537"/>
        <v>19.088987377741926</v>
      </c>
      <c r="DM239" s="216"/>
      <c r="DN239" s="216"/>
      <c r="DO239" s="216"/>
      <c r="DP239" s="216"/>
      <c r="DQ239" s="216"/>
      <c r="DR239" s="216"/>
      <c r="DS239" s="216"/>
      <c r="DT239" s="216"/>
      <c r="DU239" s="216"/>
      <c r="DV239" s="216"/>
      <c r="DW239" s="1371">
        <f t="shared" si="614"/>
        <v>9.203977314048398</v>
      </c>
      <c r="DX239" s="216">
        <f t="shared" si="615"/>
        <v>9.2039771338493992</v>
      </c>
      <c r="DY239" s="440">
        <f t="shared" si="616"/>
        <v>19.848106273982211</v>
      </c>
      <c r="DZ239" s="180">
        <f t="shared" si="617"/>
        <v>1386630.3660827789</v>
      </c>
      <c r="EA239" s="180">
        <f t="shared" si="618"/>
        <v>264120.06973005313</v>
      </c>
      <c r="EB239" s="180">
        <f t="shared" ca="1" si="538"/>
        <v>107134.29593552335</v>
      </c>
      <c r="EC239" s="180">
        <f t="shared" ca="1" si="539"/>
        <v>321402.88151402102</v>
      </c>
      <c r="ED239" s="180">
        <f t="shared" ca="1" si="540"/>
        <v>1999762.3176922442</v>
      </c>
      <c r="EE239" s="581">
        <f t="shared" si="619"/>
        <v>1316336.295566824</v>
      </c>
      <c r="EF239" s="554">
        <f t="shared" si="620"/>
        <v>250730.72296510934</v>
      </c>
      <c r="EG239" s="554">
        <f t="shared" ca="1" si="541"/>
        <v>43408.58657559866</v>
      </c>
      <c r="EH239" s="554">
        <f t="shared" ca="1" si="542"/>
        <v>130225.75058193112</v>
      </c>
      <c r="EI239" s="561">
        <f t="shared" ca="1" si="621"/>
        <v>1740701.355689463</v>
      </c>
      <c r="EJ239" s="581">
        <f t="shared" si="675"/>
        <v>70294.070515954867</v>
      </c>
      <c r="EK239" s="554">
        <f t="shared" si="676"/>
        <v>13389.346764943795</v>
      </c>
      <c r="EL239" s="554">
        <f t="shared" ca="1" si="543"/>
        <v>63725.709359924687</v>
      </c>
      <c r="EM239" s="554">
        <f t="shared" ca="1" si="544"/>
        <v>191177.1309320899</v>
      </c>
      <c r="EN239" s="561">
        <f t="shared" ca="1" si="545"/>
        <v>259060.96200278122</v>
      </c>
      <c r="EO239" s="180">
        <f t="shared" si="622"/>
        <v>5546521.4643311156</v>
      </c>
      <c r="EP239" s="180">
        <f t="shared" si="623"/>
        <v>1056480.2789202125</v>
      </c>
      <c r="EQ239" s="180">
        <f t="shared" si="624"/>
        <v>428537.18374209339</v>
      </c>
      <c r="ER239" s="180">
        <f t="shared" si="625"/>
        <v>1285611.5260560841</v>
      </c>
      <c r="ES239" s="180">
        <f t="shared" si="626"/>
        <v>8317150.4530495051</v>
      </c>
      <c r="ET239" s="1482">
        <f t="shared" ca="1" si="546"/>
        <v>5265345.1822672961</v>
      </c>
      <c r="EU239" s="180">
        <f t="shared" ca="1" si="547"/>
        <v>1002922.8918604373</v>
      </c>
      <c r="EV239" s="180">
        <f t="shared" ca="1" si="548"/>
        <v>173634.34630239464</v>
      </c>
      <c r="EW239" s="180">
        <f t="shared" ca="1" si="549"/>
        <v>520903.00232772448</v>
      </c>
      <c r="EX239" s="555">
        <f t="shared" ca="1" si="693"/>
        <v>6962805.4227578528</v>
      </c>
      <c r="EY239" s="180">
        <f t="shared" ca="1" si="550"/>
        <v>281176.28206381947</v>
      </c>
      <c r="EZ239" s="180">
        <f t="shared" ca="1" si="551"/>
        <v>53557.387059775181</v>
      </c>
      <c r="FA239" s="180">
        <f t="shared" ca="1" si="552"/>
        <v>254902.83743969875</v>
      </c>
      <c r="FB239" s="180">
        <f t="shared" ca="1" si="553"/>
        <v>764708.52372835961</v>
      </c>
      <c r="FC239" s="180">
        <f t="shared" ca="1" si="554"/>
        <v>1354345.0302916523</v>
      </c>
      <c r="FD239" s="262">
        <f>IF(AX239,IF(VLOOKUP(C239,MAIN!$L$17:$M$28,2)="Yes",VLOOKUP(CALC!B239,MAIN!$H$17:$I$20,2),0),0)</f>
        <v>0</v>
      </c>
      <c r="FE239" s="623">
        <f t="shared" si="627"/>
        <v>0</v>
      </c>
      <c r="FF239" s="535">
        <f t="shared" si="628"/>
        <v>0</v>
      </c>
      <c r="FG239" s="535">
        <f t="shared" si="629"/>
        <v>0</v>
      </c>
      <c r="FH239" s="624">
        <f t="shared" si="630"/>
        <v>0</v>
      </c>
      <c r="FI239" s="632">
        <f>IF(AX239,VLOOKUP(CALC!B239,MAIN!$H$17:$K$20,4),0)</f>
        <v>0</v>
      </c>
      <c r="FJ239" s="535">
        <f t="shared" si="631"/>
        <v>0</v>
      </c>
      <c r="FK239" s="648">
        <f t="shared" si="677"/>
        <v>0</v>
      </c>
      <c r="FL239" s="530">
        <f t="shared" ca="1" si="555"/>
        <v>0</v>
      </c>
      <c r="FM239" s="530">
        <f t="shared" ca="1" si="556"/>
        <v>0</v>
      </c>
      <c r="FN239" s="530">
        <f t="shared" ca="1" si="557"/>
        <v>0</v>
      </c>
      <c r="FO239" s="622">
        <f t="shared" ca="1" si="558"/>
        <v>0</v>
      </c>
      <c r="FP239" s="530">
        <f t="shared" ca="1" si="559"/>
        <v>0</v>
      </c>
      <c r="FQ239" s="530">
        <f t="shared" ca="1" si="560"/>
        <v>0</v>
      </c>
      <c r="FR239" s="530">
        <f t="shared" ca="1" si="561"/>
        <v>0</v>
      </c>
      <c r="FS239" s="625">
        <f t="shared" ca="1" si="562"/>
        <v>0</v>
      </c>
      <c r="FT239" s="640">
        <f ca="1">IF(AND(Assumptions!$H$71="Yes",A239&gt;=Assumptions!$H$72,A239&lt;=Assumptions!$H$73),0,IF(AND($A239&gt;=Assumptions!$C$17,$A239&lt;=Assumptions!$C$18),MAX(AZ239*(1+VLOOKUP($C239,WeatherCapacityAdjustment,2))-FL239,0),0))</f>
        <v>48888</v>
      </c>
      <c r="FU239" s="530">
        <f ca="1">IF(AND(Assumptions!$H$71="Yes",A239&gt;=Assumptions!$H$72,A239&lt;=Assumptions!$H$73),0,IF(AND($A239&gt;=Assumptions!$C$17,$A239&lt;=Assumptions!$C$18),MAX(BA239*(1+VLOOKUP($C239,WeatherCapacityAdjustment,2))-FM239,0),0))</f>
        <v>9312</v>
      </c>
      <c r="FV239" s="530">
        <f ca="1">IF(AND(Assumptions!$H$71="Yes",A239&gt;=Assumptions!$H$72,A239&lt;=Assumptions!$H$73),0,IF(AND($A239&gt;=Assumptions!$C$17,$A239&lt;=Assumptions!$C$18),MAX(BB239*(1+VLOOKUP($C239,WeatherCapacityAdjustment,2))-FN239,0),0))</f>
        <v>11640</v>
      </c>
      <c r="FW239" s="622">
        <f ca="1">IF(AND(Assumptions!$H$71="Yes",A239&gt;=Assumptions!$H$72,A239&lt;=Assumptions!$H$73),0,IF(AND($A239&gt;=Assumptions!$C$17,$A239&lt;=Assumptions!$C$18),MAX(BC239*(1+VLOOKUP($C239,WeatherCapacityAdjustment,3))-FO239,0),0))</f>
        <v>34920</v>
      </c>
      <c r="FX239" s="621">
        <f ca="1">IF(AND(Assumptions!$H$71="Yes",A239&gt;=Assumptions!$H$72,A239&lt;=Assumptions!$H$73),0,IF(ET239&gt;0,MAX(BH239*(1+VLOOKUP($C239,WeatherCapacityAdjustment,2))-FP239,0),0))</f>
        <v>195552</v>
      </c>
      <c r="FY239" s="530">
        <f ca="1">IF(AND(Assumptions!$H$71="Yes",A239&gt;=Assumptions!$H$72,A239&lt;=Assumptions!$H$73),0,IF(EU239&gt;0,MAX(BI239*(1+VLOOKUP($C239,WeatherCapacityAdjustment,3))-FQ239,0),0))</f>
        <v>37248</v>
      </c>
      <c r="FZ239" s="530">
        <f ca="1">IF(AND(Assumptions!$H$71="Yes",A239&gt;=Assumptions!$H$72,A239&lt;=Assumptions!$H$73),0,IF(EV239&gt;0,MAX(BJ239*(1+VLOOKUP($C239,WeatherCapacityAdjustment,2))-FR239,0),0))</f>
        <v>46560</v>
      </c>
      <c r="GA239" s="622">
        <f ca="1">IF(AND(Assumptions!$H$71="Yes",A239&gt;=Assumptions!$H$72,A239&lt;=Assumptions!$H$73),0,IF(EW239&gt;0,MAX(BK239*(1+VLOOKUP($C239,WeatherCapacityAdjustment,2))-FS239,0),0))</f>
        <v>139680</v>
      </c>
      <c r="GB239" s="530">
        <f t="shared" ca="1" si="632"/>
        <v>523800</v>
      </c>
      <c r="GC239" s="545">
        <f t="shared" ca="1" si="633"/>
        <v>48.035825091773276</v>
      </c>
      <c r="GD239" s="530">
        <f t="shared" ca="1" si="563"/>
        <v>25161165.183070846</v>
      </c>
      <c r="GE239" s="1485">
        <f t="shared" ca="1" si="564"/>
        <v>746255.76480000012</v>
      </c>
      <c r="GF239" s="1776">
        <f t="shared" ca="1" si="565"/>
        <v>2985023.0592000005</v>
      </c>
      <c r="GG239" s="545">
        <f t="shared" si="530"/>
        <v>4.0706472544540144</v>
      </c>
      <c r="GH239" s="622">
        <f t="shared" ca="1" si="531"/>
        <v>15188719.900518006</v>
      </c>
      <c r="GI239" s="621">
        <f t="shared" ca="1" si="678"/>
        <v>523800</v>
      </c>
      <c r="GJ239" s="638">
        <f t="shared" si="634"/>
        <v>2.4225630089834325</v>
      </c>
      <c r="GK239" s="625">
        <f t="shared" ca="1" si="684"/>
        <v>1268938.5041055218</v>
      </c>
      <c r="GL239" s="640">
        <f t="shared" ca="1" si="566"/>
        <v>0</v>
      </c>
      <c r="GM239" s="530">
        <f t="shared" ca="1" si="567"/>
        <v>0</v>
      </c>
      <c r="GN239" s="530">
        <f t="shared" ca="1" si="568"/>
        <v>0</v>
      </c>
      <c r="GO239" s="622">
        <f t="shared" ca="1" si="569"/>
        <v>0</v>
      </c>
      <c r="GP239" s="530">
        <f t="shared" ca="1" si="635"/>
        <v>0</v>
      </c>
      <c r="GQ239" s="545">
        <f t="shared" ca="1" si="636"/>
        <v>0</v>
      </c>
      <c r="GR239" s="625">
        <f t="shared" ca="1" si="570"/>
        <v>0</v>
      </c>
      <c r="GS239" s="640">
        <f>IF($A239&gt;=BegDate,Assumptions!$C$56*24*($A240-$A239)*(1-VLOOKUP($B239,MAIN!$AA$7:$AM$28,$C239+1))*(1-VLOOKUP($B239,MAIN!$AA$33:$AM$54,$C239+1)),0)*80/168</f>
        <v>249428.57142857142</v>
      </c>
      <c r="GT239" s="1715">
        <f t="shared" si="679"/>
        <v>58.345287459738316</v>
      </c>
      <c r="GU239" s="1715">
        <f>IF($A239&gt;=BegDate,VLOOKUP($A239,GasTable,13)+Assumptions!$C$58,0)</f>
        <v>4.0706472544540144</v>
      </c>
      <c r="GV239" s="1715">
        <f>GU239*Assumptions!$C$57/1000</f>
        <v>29.512192594791607</v>
      </c>
      <c r="GW239" s="625">
        <f>IF(Assumptions!$C$60="Hourly",MAX(0,GS239*(GT239-GV239)),GS239*(GT239-GV239))</f>
        <v>7191797.6620281357</v>
      </c>
      <c r="GX239" s="640">
        <f>IF($A239&gt;=BegDate,Assumptions!$C$56*24*($A240-$A239)*(1-VLOOKUP($B239,MAIN!$AA$7:$AM$28,$C239+1))*(1-VLOOKUP($B239,MAIN!$AA$33:$AM$54,$C239+1)),0)*16/168</f>
        <v>49885.714285714283</v>
      </c>
      <c r="GY239" s="1715">
        <f t="shared" si="680"/>
        <v>58.345287459738316</v>
      </c>
      <c r="GZ239" s="1715">
        <f>IF($A239&gt;=BegDate,VLOOKUP($A239,GasTable,13)+Assumptions!$C$58,0)</f>
        <v>4.0706472544540144</v>
      </c>
      <c r="HA239" s="1715">
        <f>GZ239*Assumptions!$C$57/1000</f>
        <v>29.512192594791607</v>
      </c>
      <c r="HB239" s="625">
        <f>IF(Assumptions!$C$60="Hourly",MAX(0,GX239*(GY239-HA239)),GX239*(GY239-HA239))</f>
        <v>1438359.5324056272</v>
      </c>
      <c r="HC239" s="640">
        <f>IF($A239&gt;=BegDate,Assumptions!$C$56*24*($A240-$A239)*(1-VLOOKUP($B239,MAIN!$AA$7:$AM$28,$C239+1))*(1-VLOOKUP($B239,MAIN!$AA$33:$AM$54,$C239+1)),0)*16/168</f>
        <v>49885.714285714283</v>
      </c>
      <c r="HD239" s="1715">
        <f t="shared" si="681"/>
        <v>35.148997328227317</v>
      </c>
      <c r="HE239" s="1715">
        <f>IF($A239&gt;=BegDate,VLOOKUP($A239,GasTable,13)+Assumptions!$C$58,0)</f>
        <v>4.0706472544540144</v>
      </c>
      <c r="HF239" s="1715">
        <f>HE239*Assumptions!$C$57/1000</f>
        <v>29.512192594791607</v>
      </c>
      <c r="HG239" s="625">
        <f>IF(Assumptions!$C$60="Hourly",MAX(0,HC239*(HD239-HF239)),HC239*(HD239-HF239))</f>
        <v>281196.03041653568</v>
      </c>
      <c r="HH239" s="640">
        <f>IF($A239&gt;=BegDate,Assumptions!$C$56*24*($A240-$A239)*(1-VLOOKUP($B239,MAIN!$AA$7:$AM$28,$C239+1))*(1-VLOOKUP($B239,MAIN!$AA$33:$AM$54,$C239+1)),0)*56/168</f>
        <v>174600</v>
      </c>
      <c r="HI239" s="1715">
        <f t="shared" si="682"/>
        <v>35.148997328227317</v>
      </c>
      <c r="HJ239" s="1715">
        <f>IF($A239&gt;=BegDate,VLOOKUP($A239,GasTable,13)+Assumptions!$C$58,0)</f>
        <v>4.0706472544540144</v>
      </c>
      <c r="HK239" s="1715">
        <f>HJ239*Assumptions!$C$57/1000</f>
        <v>29.512192594791607</v>
      </c>
      <c r="HL239" s="625">
        <f>IF(Assumptions!$C$60="Hourly",MAX(0,HH239*(HI239-HK239)),HH239*(HI239-HK239))</f>
        <v>984186.10645787499</v>
      </c>
      <c r="HM239" s="640">
        <f>IF(AND(Assumptions!$H$71="Yes",A239&gt;=Assumptions!$H$72,A239&lt;=Assumptions!$H$73),Assumptions!$H$74*Assumptions!$C$9*1000,0)</f>
        <v>0</v>
      </c>
      <c r="HN239" s="530"/>
      <c r="HO239" s="545"/>
      <c r="HP239" s="545"/>
      <c r="HQ239" s="545"/>
      <c r="HR239" s="545"/>
      <c r="HS239" s="545"/>
      <c r="HT239" s="545"/>
      <c r="HU239" s="545"/>
      <c r="HV239" s="545"/>
      <c r="HW239" s="545"/>
      <c r="HX239" s="545"/>
      <c r="HY239" s="545"/>
      <c r="HZ239" s="545"/>
      <c r="IA239" s="545"/>
      <c r="IB239" s="545"/>
      <c r="IC239" s="545"/>
      <c r="ID239" s="545"/>
      <c r="IE239" s="545"/>
      <c r="IF239" s="545"/>
      <c r="IG239" s="545"/>
      <c r="IH239" s="545"/>
      <c r="II239" s="1464"/>
      <c r="IJ239" s="1463"/>
      <c r="IK239" s="1463"/>
    </row>
    <row r="240" spans="1:245">
      <c r="A240" s="177">
        <f t="shared" si="637"/>
        <v>43435</v>
      </c>
      <c r="B240" s="349">
        <f t="shared" si="638"/>
        <v>2018</v>
      </c>
      <c r="C240" s="15">
        <f t="shared" si="686"/>
        <v>12</v>
      </c>
      <c r="D240" s="612">
        <f t="shared" si="639"/>
        <v>43459</v>
      </c>
      <c r="E240" s="609">
        <f t="shared" si="687"/>
        <v>43435</v>
      </c>
      <c r="F240" s="614">
        <f t="shared" si="688"/>
        <v>43465</v>
      </c>
      <c r="G240" s="1349">
        <v>0</v>
      </c>
      <c r="H240" s="152">
        <f t="shared" si="683"/>
        <v>1</v>
      </c>
      <c r="I240" s="154">
        <f>IF(Assumptions!$L$25=4,VLOOKUP($A240,'Henwood Reference'!$E$9:$R$320,10),(VLOOKUP($A240,PriceTable,2,0)+IF(BasisNumber&lt;&gt;1,VLOOKUP($A240,BasisTable,2,0),0)+I$1)/(1-I$2))</f>
        <v>58.320578799655244</v>
      </c>
      <c r="J240" s="154">
        <f>IF(Assumptions!$L$25=4,VLOOKUP($A240,'Henwood Reference'!$E$9:$R$320,10),(VLOOKUP($A240,PriceTable,3,0)+IF(BasisNumber&lt;&gt;1,VLOOKUP($A240,BasisTable,2,0),0)+J$1)/(1-J$2))</f>
        <v>58.320578799655244</v>
      </c>
      <c r="K240" s="154">
        <f>IF(Assumptions!$L$25=4,VLOOKUP($A240,'Henwood Reference'!$E$9:$R$320,10),(VLOOKUP($A240,PriceTable,4,0)+IF(BasisNumber&lt;&gt;1,VLOOKUP($A240,BasisTable,2,0),0)+K$1)/(1-K$2))</f>
        <v>58.320578799655244</v>
      </c>
      <c r="L240" s="474">
        <f>IF(Assumptions!$L$25=4,VLOOKUP($A240,'Henwood Reference'!$E$9:$R$320,10),(VLOOKUP($A240,PriceTableWeekend,2,0)+IF(BasisNumber&lt;&gt;1,VLOOKUP($A240,BasisTable,2,0),0)+L$1)/(1-L$2))</f>
        <v>58.320578799655244</v>
      </c>
      <c r="M240" s="154">
        <f>IF(Assumptions!$L$25=4,VLOOKUP($A240,'Henwood Reference'!$E$9:$R$320,10),(VLOOKUP($A240,PriceTableWeekend,3,0)+IF(BasisNumber&lt;&gt;1,VLOOKUP($A240,BasisTable,2,0),0)+M$1)/(1-M$2))</f>
        <v>58.320578799655244</v>
      </c>
      <c r="N240" s="156">
        <f>IF(Assumptions!$L$25=4,VLOOKUP($A240,'Henwood Reference'!$E$9:$R$320,10),(VLOOKUP($A240,PriceTableWeekend,4,0)+IF(BasisNumber&lt;&gt;1,VLOOKUP($A240,BasisTable,2,0),0)+N$1)/(1-N$2))</f>
        <v>58.320578799655244</v>
      </c>
      <c r="O240" s="154">
        <f>IF(Assumptions!$L$25=4,VLOOKUP($A240,'Henwood Reference'!$E$9:$R$320,11),(VLOOKUP($A240,PriceTableWeekend,6,0)+IF(BasisNumber&lt;&gt;1,VLOOKUP($A240,BasisTable,3,0),0)+O$1)/(1-O$2))</f>
        <v>35.961240969223937</v>
      </c>
      <c r="P240" s="154">
        <f>IF(Assumptions!$L$25=4,VLOOKUP($A240,'Henwood Reference'!$E$9:$R$320,11),(VLOOKUP($A240,PriceTableWeekend,7,0)+IF(BasisNumber&lt;&gt;1,VLOOKUP($A240,BasisTable,3,0),0)+P$1)/(1-P$2))</f>
        <v>35.961240969223937</v>
      </c>
      <c r="Q240" s="156">
        <f>IF(Assumptions!$L$25=4,VLOOKUP($A240,'Henwood Reference'!$E$9:$R$320,11),(VLOOKUP($A240,PriceTableWeekend,8,0)+IF(BasisNumber&lt;&gt;1,VLOOKUP($A240,BasisTable,3,0),0)+Q$1)/(1-Q$2))</f>
        <v>35.961240969223937</v>
      </c>
      <c r="R240" s="154">
        <f>IF(Assumptions!$L$25=4,VLOOKUP($A240,'Henwood Reference'!$E$9:$R$320,11),(VLOOKUP($A240,PriceTable,6,0)+IF(BasisNumber&lt;&gt;1,VLOOKUP($A240,BasisTable,3,0),0)+R$1)/(1-R$2))</f>
        <v>35.961240969223937</v>
      </c>
      <c r="S240" s="154">
        <f>IF(Assumptions!$L$25=4,VLOOKUP($A240,'Henwood Reference'!$E$9:$R$320,11),(VLOOKUP($A240,PriceTable,7,0)+IF(BasisNumber&lt;&gt;1,VLOOKUP($A240,BasisTable,3,0),0)+S$1)/(1-S$2))</f>
        <v>35.961240969223937</v>
      </c>
      <c r="T240" s="155">
        <f>IF(Assumptions!$L$25=4,VLOOKUP($A240,'Henwood Reference'!$E$9:$R$320,11),(VLOOKUP($A240,PriceTable,8,0)+IF(BasisNumber&lt;&gt;1,VLOOKUP($A240,BasisTable,3,0),0)+T$1)/(1-T$2))</f>
        <v>35.961240969223937</v>
      </c>
      <c r="U240" s="173">
        <f t="shared" si="640"/>
        <v>0.09</v>
      </c>
      <c r="V240" s="173">
        <f t="shared" si="641"/>
        <v>0.1</v>
      </c>
      <c r="W240" s="174">
        <f t="shared" si="642"/>
        <v>0.11</v>
      </c>
      <c r="X240" s="173">
        <f t="shared" si="643"/>
        <v>0.09</v>
      </c>
      <c r="Y240" s="173">
        <f t="shared" si="644"/>
        <v>0.1</v>
      </c>
      <c r="Z240" s="174">
        <f t="shared" si="645"/>
        <v>0.11</v>
      </c>
      <c r="AA240" s="173">
        <f t="shared" si="646"/>
        <v>0.09</v>
      </c>
      <c r="AB240" s="173">
        <f t="shared" si="647"/>
        <v>0.11</v>
      </c>
      <c r="AC240" s="174">
        <f t="shared" si="648"/>
        <v>0.13</v>
      </c>
      <c r="AD240" s="173">
        <f t="shared" si="649"/>
        <v>0.09</v>
      </c>
      <c r="AE240" s="173">
        <f t="shared" si="650"/>
        <v>0.11</v>
      </c>
      <c r="AF240" s="174">
        <f t="shared" si="651"/>
        <v>0.13</v>
      </c>
      <c r="AG240" s="173">
        <f t="shared" si="652"/>
        <v>-0.25</v>
      </c>
      <c r="AH240" s="173">
        <f t="shared" si="653"/>
        <v>0.6</v>
      </c>
      <c r="AI240" s="174">
        <f t="shared" si="654"/>
        <v>0.25</v>
      </c>
      <c r="AJ240" s="173">
        <f t="shared" si="655"/>
        <v>-0.25</v>
      </c>
      <c r="AK240" s="173">
        <f t="shared" si="656"/>
        <v>0.6</v>
      </c>
      <c r="AL240" s="174">
        <f t="shared" si="657"/>
        <v>0.25</v>
      </c>
      <c r="AM240" s="173">
        <f t="shared" si="658"/>
        <v>-0.01</v>
      </c>
      <c r="AN240" s="173">
        <f t="shared" si="659"/>
        <v>0.16</v>
      </c>
      <c r="AO240" s="174">
        <f t="shared" si="660"/>
        <v>0.01</v>
      </c>
      <c r="AP240" s="173">
        <f t="shared" si="661"/>
        <v>-0.01</v>
      </c>
      <c r="AQ240" s="173">
        <f t="shared" si="662"/>
        <v>0.16</v>
      </c>
      <c r="AR240" s="175">
        <f t="shared" si="663"/>
        <v>0.01</v>
      </c>
      <c r="AS240" s="521">
        <f t="shared" si="691"/>
        <v>0.5</v>
      </c>
      <c r="AT240" s="349">
        <f t="shared" si="689"/>
        <v>20</v>
      </c>
      <c r="AU240" s="159">
        <f t="shared" si="582"/>
        <v>5</v>
      </c>
      <c r="AV240" s="159">
        <f t="shared" si="583"/>
        <v>5</v>
      </c>
      <c r="AW240" s="159">
        <f t="shared" si="692"/>
        <v>1</v>
      </c>
      <c r="AX240" s="15">
        <f t="shared" si="690"/>
        <v>31</v>
      </c>
      <c r="AY240" s="607">
        <f>IF(E240="",0,MIN((1-(1-VLOOKUP(B240,MAIN!$AA$7:$AM$28,C240+1))*(1-VLOOKUP(B240,MAIN!$AA$33:$AM$54,C240+1))),1))</f>
        <v>3.0000000000000027E-2</v>
      </c>
      <c r="AZ240" s="337">
        <v>46560</v>
      </c>
      <c r="BA240" s="509">
        <v>11640</v>
      </c>
      <c r="BB240" s="509">
        <v>13968</v>
      </c>
      <c r="BC240" s="511">
        <v>36084</v>
      </c>
      <c r="BD240" s="153">
        <v>0.97</v>
      </c>
      <c r="BE240" s="474">
        <v>0.97</v>
      </c>
      <c r="BF240" s="474">
        <v>0.97</v>
      </c>
      <c r="BG240" s="515">
        <v>0.97</v>
      </c>
      <c r="BH240" s="262">
        <v>186240</v>
      </c>
      <c r="BI240" s="509">
        <v>46560</v>
      </c>
      <c r="BJ240" s="509">
        <v>55872</v>
      </c>
      <c r="BK240" s="511">
        <v>144336</v>
      </c>
      <c r="BL240" s="153">
        <v>0.97</v>
      </c>
      <c r="BM240" s="474">
        <v>0.97</v>
      </c>
      <c r="BN240" s="474">
        <v>0.97</v>
      </c>
      <c r="BO240" s="474">
        <v>0.97</v>
      </c>
      <c r="BP240" s="261">
        <f t="shared" si="666"/>
        <v>72168</v>
      </c>
      <c r="BQ240" s="578">
        <f t="shared" si="667"/>
        <v>108252</v>
      </c>
      <c r="BR240" s="259">
        <f t="shared" si="668"/>
        <v>288672</v>
      </c>
      <c r="BS240" s="578">
        <f t="shared" si="669"/>
        <v>433008</v>
      </c>
      <c r="BT240" s="216">
        <f t="shared" si="670"/>
        <v>18.631074606433948</v>
      </c>
      <c r="BU240" s="218">
        <f t="shared" si="585"/>
        <v>58.320578799655244</v>
      </c>
      <c r="BV240" s="216">
        <f t="shared" si="586"/>
        <v>58.320578799655244</v>
      </c>
      <c r="BW240" s="216">
        <f t="shared" si="587"/>
        <v>35.961240969223937</v>
      </c>
      <c r="BX240" s="216">
        <f t="shared" si="671"/>
        <v>35.961240969223937</v>
      </c>
      <c r="BY240" s="216">
        <f t="shared" si="588"/>
        <v>53.992965026023384</v>
      </c>
      <c r="BZ240" s="216">
        <f t="shared" si="589"/>
        <v>47.982390340423571</v>
      </c>
      <c r="CA240" s="264">
        <f t="shared" si="590"/>
        <v>58.320578799655244</v>
      </c>
      <c r="CB240" s="216">
        <f t="shared" si="591"/>
        <v>58.320578799655244</v>
      </c>
      <c r="CC240" s="216">
        <f t="shared" si="592"/>
        <v>35.961240969223937</v>
      </c>
      <c r="CD240" s="216">
        <f t="shared" si="672"/>
        <v>35.961240969223937</v>
      </c>
      <c r="CE240" s="216">
        <f t="shared" si="593"/>
        <v>53.992965026023384</v>
      </c>
      <c r="CF240" s="571">
        <f t="shared" si="594"/>
        <v>47.982390340423571</v>
      </c>
      <c r="CG240" s="573">
        <f t="shared" si="595"/>
        <v>0.1</v>
      </c>
      <c r="CH240" s="219">
        <f t="shared" si="596"/>
        <v>0.1</v>
      </c>
      <c r="CI240" s="219">
        <f t="shared" si="597"/>
        <v>0.11</v>
      </c>
      <c r="CJ240" s="219">
        <f t="shared" si="598"/>
        <v>0.10129975401036091</v>
      </c>
      <c r="CK240" s="219">
        <f t="shared" si="599"/>
        <v>0.10129975401036091</v>
      </c>
      <c r="CL240" s="219">
        <f t="shared" si="600"/>
        <v>0.11</v>
      </c>
      <c r="CM240" s="219">
        <f t="shared" si="601"/>
        <v>9.3121897871964121E-2</v>
      </c>
      <c r="CN240" s="569">
        <f t="shared" si="602"/>
        <v>9.3121897871964121E-2</v>
      </c>
      <c r="CO240" s="264">
        <f t="shared" si="685"/>
        <v>30.193898489355824</v>
      </c>
      <c r="CP240" s="216">
        <f t="shared" si="673"/>
        <v>30.193898489355824</v>
      </c>
      <c r="CQ240" s="216">
        <f t="shared" ca="1" si="532"/>
        <v>30.193898489355824</v>
      </c>
      <c r="CR240" s="216">
        <f t="shared" ca="1" si="533"/>
        <v>30.193898489355824</v>
      </c>
      <c r="CS240" s="1626">
        <f t="shared" ca="1" si="534"/>
        <v>30.193898489355824</v>
      </c>
      <c r="CT240" s="216">
        <f t="shared" si="674"/>
        <v>30.193898489355824</v>
      </c>
      <c r="CU240" s="575">
        <f t="shared" si="603"/>
        <v>0.151</v>
      </c>
      <c r="CV240" s="154">
        <f t="shared" si="604"/>
        <v>0.5</v>
      </c>
      <c r="CW240" s="216">
        <f>IF(OR($BQ240,$BS240),SpreadOptPowerMargin,0)*((1+Assumptions!$C$26)^($B240-YEAR(Assumptions!$C$17)))</f>
        <v>2.4225630089834325</v>
      </c>
      <c r="CX240" s="216">
        <f>IF(OR($BQ240,$BS240),SpreadOptPowerMargin,0)*((1+Assumptions!$C$26)^($B240-YEAR(Assumptions!$C$17)))</f>
        <v>2.4225630089834325</v>
      </c>
      <c r="CY240" s="216">
        <f>IF(OR($BQ240,$BS240),SpreadOptPowerMargin,0)*((1+Assumptions!$C$26)^($B240-YEAR(Assumptions!$C$17)))</f>
        <v>2.4225630089834325</v>
      </c>
      <c r="CZ240" s="216">
        <f>IF(OR($BQ240,$BS240),SpreadOptPowerMargin,0)*((1+Assumptions!$C$26)^($B240-YEAR(Assumptions!$C$17)))</f>
        <v>2.4225630089834325</v>
      </c>
      <c r="DA240" s="440">
        <f t="shared" si="605"/>
        <v>2.4225630089834325</v>
      </c>
      <c r="DB240" s="479">
        <f t="shared" si="606"/>
        <v>0.1</v>
      </c>
      <c r="DC240" s="479">
        <f t="shared" si="607"/>
        <v>0.1</v>
      </c>
      <c r="DD240" s="479">
        <f t="shared" si="608"/>
        <v>0.11</v>
      </c>
      <c r="DE240" s="479">
        <f t="shared" si="609"/>
        <v>0.11</v>
      </c>
      <c r="DF240" s="479">
        <f t="shared" si="610"/>
        <v>9.3121897871964121E-2</v>
      </c>
      <c r="DG240" s="574">
        <f t="shared" si="611"/>
        <v>9.3121897871964121E-2</v>
      </c>
      <c r="DH240" s="216">
        <f t="shared" si="612"/>
        <v>27.404032064890551</v>
      </c>
      <c r="DI240" s="216">
        <f t="shared" si="613"/>
        <v>27.404032064890551</v>
      </c>
      <c r="DJ240" s="216">
        <f t="shared" ca="1" si="535"/>
        <v>9.2260145553467403</v>
      </c>
      <c r="DK240" s="216">
        <f t="shared" ca="1" si="536"/>
        <v>9.2260145553467403</v>
      </c>
      <c r="DL240" s="216">
        <f t="shared" ca="1" si="537"/>
        <v>18.243001215776072</v>
      </c>
      <c r="DM240" s="216"/>
      <c r="DN240" s="216"/>
      <c r="DO240" s="216"/>
      <c r="DP240" s="216"/>
      <c r="DQ240" s="216"/>
      <c r="DR240" s="216"/>
      <c r="DS240" s="216"/>
      <c r="DT240" s="216"/>
      <c r="DU240" s="216"/>
      <c r="DV240" s="216"/>
      <c r="DW240" s="1371">
        <f t="shared" si="614"/>
        <v>9.2260145553467403</v>
      </c>
      <c r="DX240" s="216">
        <f t="shared" si="615"/>
        <v>9.2260145553467403</v>
      </c>
      <c r="DY240" s="440">
        <f t="shared" si="616"/>
        <v>18.999142248649864</v>
      </c>
      <c r="DZ240" s="180">
        <f t="shared" si="617"/>
        <v>1275931.7329413041</v>
      </c>
      <c r="EA240" s="180">
        <f t="shared" si="618"/>
        <v>318982.93323532603</v>
      </c>
      <c r="EB240" s="180">
        <f t="shared" ca="1" si="538"/>
        <v>128868.97130908327</v>
      </c>
      <c r="EC240" s="180">
        <f t="shared" ca="1" si="539"/>
        <v>332911.50921513175</v>
      </c>
      <c r="ED240" s="180">
        <f t="shared" ca="1" si="540"/>
        <v>1974841.3676101915</v>
      </c>
      <c r="EE240" s="581">
        <f t="shared" si="619"/>
        <v>1196783.7015492725</v>
      </c>
      <c r="EF240" s="554">
        <f t="shared" si="620"/>
        <v>299195.92538731813</v>
      </c>
      <c r="EG240" s="554">
        <f t="shared" ca="1" si="541"/>
        <v>46719.879649317227</v>
      </c>
      <c r="EH240" s="554">
        <f t="shared" ca="1" si="542"/>
        <v>120693.02242740284</v>
      </c>
      <c r="EI240" s="561">
        <f t="shared" ca="1" si="621"/>
        <v>1663392.5290133113</v>
      </c>
      <c r="EJ240" s="581">
        <f t="shared" si="675"/>
        <v>79148.031392031582</v>
      </c>
      <c r="EK240" s="554">
        <f t="shared" si="676"/>
        <v>19787.007848007896</v>
      </c>
      <c r="EL240" s="554">
        <f t="shared" ca="1" si="543"/>
        <v>82149.09165976604</v>
      </c>
      <c r="EM240" s="554">
        <f t="shared" ca="1" si="544"/>
        <v>212218.48678772891</v>
      </c>
      <c r="EN240" s="561">
        <f t="shared" ca="1" si="545"/>
        <v>311448.8385968802</v>
      </c>
      <c r="EO240" s="180">
        <f t="shared" si="622"/>
        <v>5103726.9317652164</v>
      </c>
      <c r="EP240" s="180">
        <f t="shared" si="623"/>
        <v>1275931.7329413041</v>
      </c>
      <c r="EQ240" s="180">
        <f t="shared" si="624"/>
        <v>515475.88523633307</v>
      </c>
      <c r="ER240" s="180">
        <f t="shared" si="625"/>
        <v>1331646.036860527</v>
      </c>
      <c r="ES240" s="180">
        <f t="shared" si="626"/>
        <v>8226780.5868033804</v>
      </c>
      <c r="ET240" s="1482">
        <f t="shared" ca="1" si="546"/>
        <v>4787134.8061970901</v>
      </c>
      <c r="EU240" s="180">
        <f t="shared" ca="1" si="547"/>
        <v>1196783.7015492725</v>
      </c>
      <c r="EV240" s="180">
        <f t="shared" ca="1" si="548"/>
        <v>186879.51859726891</v>
      </c>
      <c r="EW240" s="180">
        <f t="shared" ca="1" si="549"/>
        <v>482772.08970961138</v>
      </c>
      <c r="EX240" s="555">
        <f t="shared" ca="1" si="693"/>
        <v>6653570.1160532432</v>
      </c>
      <c r="EY240" s="180">
        <f t="shared" ca="1" si="550"/>
        <v>316592.12556812633</v>
      </c>
      <c r="EZ240" s="180">
        <f t="shared" ca="1" si="551"/>
        <v>79148.031392031582</v>
      </c>
      <c r="FA240" s="180">
        <f t="shared" ca="1" si="552"/>
        <v>328596.36663906416</v>
      </c>
      <c r="FB240" s="180">
        <f t="shared" ca="1" si="553"/>
        <v>848873.94715091563</v>
      </c>
      <c r="FC240" s="180">
        <f t="shared" ca="1" si="554"/>
        <v>1573210.4707501372</v>
      </c>
      <c r="FD240" s="262">
        <f>IF(AX240,IF(VLOOKUP(C240,MAIN!$L$17:$M$28,2)="Yes",VLOOKUP(CALC!B240,MAIN!$H$17:$I$20,2),0),0)</f>
        <v>0</v>
      </c>
      <c r="FE240" s="623">
        <f t="shared" si="627"/>
        <v>0</v>
      </c>
      <c r="FF240" s="535">
        <f t="shared" si="628"/>
        <v>0</v>
      </c>
      <c r="FG240" s="535">
        <f t="shared" si="629"/>
        <v>0</v>
      </c>
      <c r="FH240" s="624">
        <f t="shared" si="630"/>
        <v>0</v>
      </c>
      <c r="FI240" s="632">
        <f>IF(AX240,VLOOKUP(CALC!B240,MAIN!$H$17:$K$20,4),0)</f>
        <v>0</v>
      </c>
      <c r="FJ240" s="535">
        <f t="shared" si="631"/>
        <v>0</v>
      </c>
      <c r="FK240" s="648">
        <f t="shared" si="677"/>
        <v>0</v>
      </c>
      <c r="FL240" s="530">
        <f t="shared" ca="1" si="555"/>
        <v>0</v>
      </c>
      <c r="FM240" s="530">
        <f t="shared" ca="1" si="556"/>
        <v>0</v>
      </c>
      <c r="FN240" s="530">
        <f t="shared" ca="1" si="557"/>
        <v>0</v>
      </c>
      <c r="FO240" s="622">
        <f t="shared" ca="1" si="558"/>
        <v>0</v>
      </c>
      <c r="FP240" s="530">
        <f t="shared" ca="1" si="559"/>
        <v>0</v>
      </c>
      <c r="FQ240" s="530">
        <f t="shared" ca="1" si="560"/>
        <v>0</v>
      </c>
      <c r="FR240" s="530">
        <f t="shared" ca="1" si="561"/>
        <v>0</v>
      </c>
      <c r="FS240" s="625">
        <f t="shared" ca="1" si="562"/>
        <v>0</v>
      </c>
      <c r="FT240" s="640">
        <f ca="1">IF(AND(Assumptions!$H$71="Yes",A240&gt;=Assumptions!$H$72,A240&lt;=Assumptions!$H$73),0,IF(AND($A240&gt;=Assumptions!$C$17,$A240&lt;=Assumptions!$C$18),MAX(AZ240*(1+VLOOKUP($C240,WeatherCapacityAdjustment,2))-FL240,0),0))</f>
        <v>46560</v>
      </c>
      <c r="FU240" s="530">
        <f ca="1">IF(AND(Assumptions!$H$71="Yes",A240&gt;=Assumptions!$H$72,A240&lt;=Assumptions!$H$73),0,IF(AND($A240&gt;=Assumptions!$C$17,$A240&lt;=Assumptions!$C$18),MAX(BA240*(1+VLOOKUP($C240,WeatherCapacityAdjustment,2))-FM240,0),0))</f>
        <v>11640</v>
      </c>
      <c r="FV240" s="530">
        <f ca="1">IF(AND(Assumptions!$H$71="Yes",A240&gt;=Assumptions!$H$72,A240&lt;=Assumptions!$H$73),0,IF(AND($A240&gt;=Assumptions!$C$17,$A240&lt;=Assumptions!$C$18),MAX(BB240*(1+VLOOKUP($C240,WeatherCapacityAdjustment,2))-FN240,0),0))</f>
        <v>13968</v>
      </c>
      <c r="FW240" s="622">
        <f ca="1">IF(AND(Assumptions!$H$71="Yes",A240&gt;=Assumptions!$H$72,A240&lt;=Assumptions!$H$73),0,IF(AND($A240&gt;=Assumptions!$C$17,$A240&lt;=Assumptions!$C$18),MAX(BC240*(1+VLOOKUP($C240,WeatherCapacityAdjustment,3))-FO240,0),0))</f>
        <v>36084</v>
      </c>
      <c r="FX240" s="621">
        <f ca="1">IF(AND(Assumptions!$H$71="Yes",A240&gt;=Assumptions!$H$72,A240&lt;=Assumptions!$H$73),0,IF(ET240&gt;0,MAX(BH240*(1+VLOOKUP($C240,WeatherCapacityAdjustment,2))-FP240,0),0))</f>
        <v>186240</v>
      </c>
      <c r="FY240" s="530">
        <f ca="1">IF(AND(Assumptions!$H$71="Yes",A240&gt;=Assumptions!$H$72,A240&lt;=Assumptions!$H$73),0,IF(EU240&gt;0,MAX(BI240*(1+VLOOKUP($C240,WeatherCapacityAdjustment,3))-FQ240,0),0))</f>
        <v>46560</v>
      </c>
      <c r="FZ240" s="530">
        <f ca="1">IF(AND(Assumptions!$H$71="Yes",A240&gt;=Assumptions!$H$72,A240&lt;=Assumptions!$H$73),0,IF(EV240&gt;0,MAX(BJ240*(1+VLOOKUP($C240,WeatherCapacityAdjustment,2))-FR240,0),0))</f>
        <v>55872</v>
      </c>
      <c r="GA240" s="622">
        <f ca="1">IF(AND(Assumptions!$H$71="Yes",A240&gt;=Assumptions!$H$72,A240&lt;=Assumptions!$H$73),0,IF(EW240&gt;0,MAX(BK240*(1+VLOOKUP($C240,WeatherCapacityAdjustment,2))-FS240,0),0))</f>
        <v>144336</v>
      </c>
      <c r="GB240" s="530">
        <f t="shared" ca="1" si="632"/>
        <v>541260</v>
      </c>
      <c r="GC240" s="545">
        <f t="shared" ca="1" si="633"/>
        <v>47.982390340423571</v>
      </c>
      <c r="GD240" s="530">
        <f t="shared" ca="1" si="563"/>
        <v>25970948.595657654</v>
      </c>
      <c r="GE240" s="1485">
        <f t="shared" ca="1" si="564"/>
        <v>771449.21783999994</v>
      </c>
      <c r="GF240" s="1776">
        <f t="shared" ca="1" si="565"/>
        <v>3085796.8713599998</v>
      </c>
      <c r="GG240" s="545">
        <f t="shared" si="530"/>
        <v>4.2368957329705275</v>
      </c>
      <c r="GH240" s="622">
        <f t="shared" ca="1" si="531"/>
        <v>16342749.496348733</v>
      </c>
      <c r="GI240" s="621">
        <f t="shared" ca="1" si="678"/>
        <v>541260</v>
      </c>
      <c r="GJ240" s="638">
        <f t="shared" si="634"/>
        <v>2.4225630089834325</v>
      </c>
      <c r="GK240" s="625">
        <f t="shared" ca="1" si="684"/>
        <v>1311236.4542423727</v>
      </c>
      <c r="GL240" s="640">
        <f t="shared" ca="1" si="566"/>
        <v>0</v>
      </c>
      <c r="GM240" s="530">
        <f t="shared" ca="1" si="567"/>
        <v>0</v>
      </c>
      <c r="GN240" s="530">
        <f t="shared" ca="1" si="568"/>
        <v>0</v>
      </c>
      <c r="GO240" s="622">
        <f t="shared" ca="1" si="569"/>
        <v>0</v>
      </c>
      <c r="GP240" s="530">
        <f t="shared" ca="1" si="635"/>
        <v>0</v>
      </c>
      <c r="GQ240" s="545">
        <f t="shared" ca="1" si="636"/>
        <v>0</v>
      </c>
      <c r="GR240" s="625">
        <f t="shared" ca="1" si="570"/>
        <v>0</v>
      </c>
      <c r="GS240" s="640">
        <f>IF($A240&gt;=BegDate,Assumptions!$C$56*24*($A241-$A240)*(1-VLOOKUP($B240,MAIN!$AA$7:$AM$28,$C240+1))*(1-VLOOKUP($B240,MAIN!$AA$33:$AM$54,$C240+1)),0)*80/168</f>
        <v>257742.85714285713</v>
      </c>
      <c r="GT240" s="1715">
        <f t="shared" si="679"/>
        <v>58.320578799655244</v>
      </c>
      <c r="GU240" s="1715">
        <f>IF($A240&gt;=BegDate,VLOOKUP($A240,GasTable,13)+Assumptions!$C$58,0)</f>
        <v>4.2368957329705275</v>
      </c>
      <c r="GV240" s="1715">
        <f>GU240*Assumptions!$C$57/1000</f>
        <v>30.717494064036323</v>
      </c>
      <c r="GW240" s="625">
        <f>IF(Assumptions!$C$60="Hourly",MAX(0,GS240*(GT240-GV240)),GS240*(GT240-GV240))</f>
        <v>7114497.9257148076</v>
      </c>
      <c r="GX240" s="640">
        <f>IF($A240&gt;=BegDate,Assumptions!$C$56*24*($A241-$A240)*(1-VLOOKUP($B240,MAIN!$AA$7:$AM$28,$C240+1))*(1-VLOOKUP($B240,MAIN!$AA$33:$AM$54,$C240+1)),0)*16/168</f>
        <v>51548.571428571428</v>
      </c>
      <c r="GY240" s="1715">
        <f t="shared" si="680"/>
        <v>58.320578799655244</v>
      </c>
      <c r="GZ240" s="1715">
        <f>IF($A240&gt;=BegDate,VLOOKUP($A240,GasTable,13)+Assumptions!$C$58,0)</f>
        <v>4.2368957329705275</v>
      </c>
      <c r="HA240" s="1715">
        <f>GZ240*Assumptions!$C$57/1000</f>
        <v>30.717494064036323</v>
      </c>
      <c r="HB240" s="625">
        <f>IF(Assumptions!$C$60="Hourly",MAX(0,GX240*(GY240-HA240)),GX240*(GY240-HA240))</f>
        <v>1422899.5851429617</v>
      </c>
      <c r="HC240" s="640">
        <f>IF($A240&gt;=BegDate,Assumptions!$C$56*24*($A241-$A240)*(1-VLOOKUP($B240,MAIN!$AA$7:$AM$28,$C240+1))*(1-VLOOKUP($B240,MAIN!$AA$33:$AM$54,$C240+1)),0)*16/168</f>
        <v>51548.571428571428</v>
      </c>
      <c r="HD240" s="1715">
        <f t="shared" si="681"/>
        <v>35.961240969223937</v>
      </c>
      <c r="HE240" s="1715">
        <f>IF($A240&gt;=BegDate,VLOOKUP($A240,GasTable,13)+Assumptions!$C$58,0)</f>
        <v>4.2368957329705275</v>
      </c>
      <c r="HF240" s="1715">
        <f>HE240*Assumptions!$C$57/1000</f>
        <v>30.717494064036323</v>
      </c>
      <c r="HG240" s="625">
        <f>IF(Assumptions!$C$60="Hourly",MAX(0,HC240*(HD240-HF240)),HC240*(HD240-HF240))</f>
        <v>270307.66189541406</v>
      </c>
      <c r="HH240" s="640">
        <f>IF($A240&gt;=BegDate,Assumptions!$C$56*24*($A241-$A240)*(1-VLOOKUP($B240,MAIN!$AA$7:$AM$28,$C240+1))*(1-VLOOKUP($B240,MAIN!$AA$33:$AM$54,$C240+1)),0)*56/168</f>
        <v>180420</v>
      </c>
      <c r="HI240" s="1715">
        <f t="shared" si="682"/>
        <v>35.961240969223937</v>
      </c>
      <c r="HJ240" s="1715">
        <f>IF($A240&gt;=BegDate,VLOOKUP($A240,GasTable,13)+Assumptions!$C$58,0)</f>
        <v>4.2368957329705275</v>
      </c>
      <c r="HK240" s="1715">
        <f>HJ240*Assumptions!$C$57/1000</f>
        <v>30.717494064036323</v>
      </c>
      <c r="HL240" s="625">
        <f>IF(Assumptions!$C$60="Hourly",MAX(0,HH240*(HI240-HK240)),HH240*(HI240-HK240))</f>
        <v>946076.81663394929</v>
      </c>
      <c r="HM240" s="640">
        <f>IF(AND(Assumptions!$H$71="Yes",A240&gt;=Assumptions!$H$72,A240&lt;=Assumptions!$H$73),Assumptions!$H$74*Assumptions!$C$9*1000,0)</f>
        <v>0</v>
      </c>
      <c r="HN240" s="530"/>
      <c r="HO240" s="545"/>
      <c r="HP240" s="545"/>
      <c r="HQ240" s="545"/>
      <c r="HR240" s="545"/>
      <c r="HS240" s="545"/>
      <c r="HT240" s="545"/>
      <c r="HU240" s="545"/>
      <c r="HV240" s="545"/>
      <c r="HW240" s="545"/>
      <c r="HX240" s="545"/>
      <c r="HY240" s="545"/>
      <c r="HZ240" s="545"/>
      <c r="IA240" s="545"/>
      <c r="IB240" s="545"/>
      <c r="IC240" s="545"/>
      <c r="ID240" s="545"/>
      <c r="IE240" s="545"/>
      <c r="IF240" s="545"/>
      <c r="IG240" s="545"/>
      <c r="IH240" s="545"/>
      <c r="II240" s="1464"/>
      <c r="IJ240" s="1463"/>
      <c r="IK240" s="1463"/>
    </row>
    <row r="241" spans="1:245">
      <c r="A241" s="177">
        <f t="shared" si="637"/>
        <v>43466</v>
      </c>
      <c r="B241" s="349">
        <f t="shared" si="638"/>
        <v>2019</v>
      </c>
      <c r="C241" s="15">
        <f t="shared" ref="C241:C256" si="694">MONTH(A241)</f>
        <v>1</v>
      </c>
      <c r="D241" s="612">
        <f t="shared" si="639"/>
        <v>43466</v>
      </c>
      <c r="E241" s="609">
        <f t="shared" ref="E241:E256" si="695">IF(OR(BegDate&gt;=A242,EndDate&lt;A241,AND(VolumeMonthlyOverFlag,INDEX(VolumeMonthlyOver,C241)=0),NOT(INDEX(MonthKnockOutTable,C241))),"",MAX(A241,BegDate))</f>
        <v>43466</v>
      </c>
      <c r="F241" s="614">
        <f t="shared" ref="F241:F256" si="696">IF(E241="","",MIN(A242-1,EndDate))</f>
        <v>43496</v>
      </c>
      <c r="G241" s="1349">
        <v>0</v>
      </c>
      <c r="H241" s="152">
        <f t="shared" si="683"/>
        <v>1</v>
      </c>
      <c r="I241" s="154">
        <f>IF(Assumptions!$L$25=4,VLOOKUP($A241,'Henwood Reference'!$E$9:$R$320,10),(VLOOKUP($A241,PriceTable,2,0)+IF(BasisNumber&lt;&gt;1,VLOOKUP($A241,BasisTable,2,0),0)+I$1)/(1-I$2))</f>
        <v>63.014221586572653</v>
      </c>
      <c r="J241" s="154">
        <f>IF(Assumptions!$L$25=4,VLOOKUP($A241,'Henwood Reference'!$E$9:$R$320,10),(VLOOKUP($A241,PriceTable,3,0)+IF(BasisNumber&lt;&gt;1,VLOOKUP($A241,BasisTable,2,0),0)+J$1)/(1-J$2))</f>
        <v>63.014221586572653</v>
      </c>
      <c r="K241" s="154">
        <f>IF(Assumptions!$L$25=4,VLOOKUP($A241,'Henwood Reference'!$E$9:$R$320,10),(VLOOKUP($A241,PriceTable,4,0)+IF(BasisNumber&lt;&gt;1,VLOOKUP($A241,BasisTable,2,0),0)+K$1)/(1-K$2))</f>
        <v>63.014221586572653</v>
      </c>
      <c r="L241" s="474">
        <f>IF(Assumptions!$L$25=4,VLOOKUP($A241,'Henwood Reference'!$E$9:$R$320,10),(VLOOKUP($A241,PriceTableWeekend,2,0)+IF(BasisNumber&lt;&gt;1,VLOOKUP($A241,BasisTable,2,0),0)+L$1)/(1-L$2))</f>
        <v>63.014221586572653</v>
      </c>
      <c r="M241" s="154">
        <f>IF(Assumptions!$L$25=4,VLOOKUP($A241,'Henwood Reference'!$E$9:$R$320,10),(VLOOKUP($A241,PriceTableWeekend,3,0)+IF(BasisNumber&lt;&gt;1,VLOOKUP($A241,BasisTable,2,0),0)+M$1)/(1-M$2))</f>
        <v>63.014221586572653</v>
      </c>
      <c r="N241" s="156">
        <f>IF(Assumptions!$L$25=4,VLOOKUP($A241,'Henwood Reference'!$E$9:$R$320,10),(VLOOKUP($A241,PriceTableWeekend,4,0)+IF(BasisNumber&lt;&gt;1,VLOOKUP($A241,BasisTable,2,0),0)+N$1)/(1-N$2))</f>
        <v>63.014221586572653</v>
      </c>
      <c r="O241" s="154">
        <f>IF(Assumptions!$L$25=4,VLOOKUP($A241,'Henwood Reference'!$E$9:$R$320,11),(VLOOKUP($A241,PriceTableWeekend,6,0)+IF(BasisNumber&lt;&gt;1,VLOOKUP($A241,BasisTable,3,0),0)+O$1)/(1-O$2))</f>
        <v>34.847214609099439</v>
      </c>
      <c r="P241" s="154">
        <f>IF(Assumptions!$L$25=4,VLOOKUP($A241,'Henwood Reference'!$E$9:$R$320,11),(VLOOKUP($A241,PriceTableWeekend,7,0)+IF(BasisNumber&lt;&gt;1,VLOOKUP($A241,BasisTable,3,0),0)+P$1)/(1-P$2))</f>
        <v>34.847214609099439</v>
      </c>
      <c r="Q241" s="156">
        <f>IF(Assumptions!$L$25=4,VLOOKUP($A241,'Henwood Reference'!$E$9:$R$320,11),(VLOOKUP($A241,PriceTableWeekend,8,0)+IF(BasisNumber&lt;&gt;1,VLOOKUP($A241,BasisTable,3,0),0)+Q$1)/(1-Q$2))</f>
        <v>34.847214609099439</v>
      </c>
      <c r="R241" s="154">
        <f>IF(Assumptions!$L$25=4,VLOOKUP($A241,'Henwood Reference'!$E$9:$R$320,11),(VLOOKUP($A241,PriceTable,6,0)+IF(BasisNumber&lt;&gt;1,VLOOKUP($A241,BasisTable,3,0),0)+R$1)/(1-R$2))</f>
        <v>34.847214609099439</v>
      </c>
      <c r="S241" s="154">
        <f>IF(Assumptions!$L$25=4,VLOOKUP($A241,'Henwood Reference'!$E$9:$R$320,11),(VLOOKUP($A241,PriceTable,7,0)+IF(BasisNumber&lt;&gt;1,VLOOKUP($A241,BasisTable,3,0),0)+S$1)/(1-S$2))</f>
        <v>34.847214609099439</v>
      </c>
      <c r="T241" s="155">
        <f>IF(Assumptions!$L$25=4,VLOOKUP($A241,'Henwood Reference'!$E$9:$R$320,11),(VLOOKUP($A241,PriceTable,8,0)+IF(BasisNumber&lt;&gt;1,VLOOKUP($A241,BasisTable,3,0),0)+T$1)/(1-T$2))</f>
        <v>34.847214609099439</v>
      </c>
      <c r="U241" s="173">
        <f t="shared" si="640"/>
        <v>0.09</v>
      </c>
      <c r="V241" s="173">
        <f t="shared" si="641"/>
        <v>0.1</v>
      </c>
      <c r="W241" s="174">
        <f t="shared" si="642"/>
        <v>0.11</v>
      </c>
      <c r="X241" s="173">
        <f t="shared" si="643"/>
        <v>0.09</v>
      </c>
      <c r="Y241" s="173">
        <f t="shared" si="644"/>
        <v>0.1</v>
      </c>
      <c r="Z241" s="174">
        <f t="shared" si="645"/>
        <v>0.11</v>
      </c>
      <c r="AA241" s="173">
        <f t="shared" si="646"/>
        <v>0.09</v>
      </c>
      <c r="AB241" s="173">
        <f t="shared" si="647"/>
        <v>0.11</v>
      </c>
      <c r="AC241" s="174">
        <f t="shared" si="648"/>
        <v>0.13</v>
      </c>
      <c r="AD241" s="173">
        <f t="shared" si="649"/>
        <v>0.09</v>
      </c>
      <c r="AE241" s="173">
        <f t="shared" si="650"/>
        <v>0.11</v>
      </c>
      <c r="AF241" s="174">
        <f t="shared" si="651"/>
        <v>0.13</v>
      </c>
      <c r="AG241" s="173">
        <f t="shared" si="652"/>
        <v>-0.25</v>
      </c>
      <c r="AH241" s="173">
        <f t="shared" si="653"/>
        <v>0.6</v>
      </c>
      <c r="AI241" s="174">
        <f t="shared" si="654"/>
        <v>0.25</v>
      </c>
      <c r="AJ241" s="173">
        <f t="shared" si="655"/>
        <v>-0.25</v>
      </c>
      <c r="AK241" s="173">
        <f t="shared" si="656"/>
        <v>0.6</v>
      </c>
      <c r="AL241" s="174">
        <f t="shared" si="657"/>
        <v>0.25</v>
      </c>
      <c r="AM241" s="173">
        <f t="shared" si="658"/>
        <v>-0.01</v>
      </c>
      <c r="AN241" s="173">
        <f t="shared" si="659"/>
        <v>0.16</v>
      </c>
      <c r="AO241" s="174">
        <f t="shared" si="660"/>
        <v>0.01</v>
      </c>
      <c r="AP241" s="173">
        <f t="shared" si="661"/>
        <v>-0.01</v>
      </c>
      <c r="AQ241" s="173">
        <f t="shared" si="662"/>
        <v>0.16</v>
      </c>
      <c r="AR241" s="175">
        <f t="shared" si="663"/>
        <v>0.01</v>
      </c>
      <c r="AS241" s="521">
        <f t="shared" si="691"/>
        <v>0.5</v>
      </c>
      <c r="AT241" s="349">
        <f t="shared" ref="AT241:AT256" si="697">AX241-SUM(AU241:AW241)</f>
        <v>22</v>
      </c>
      <c r="AU241" s="159">
        <f t="shared" si="582"/>
        <v>4</v>
      </c>
      <c r="AV241" s="159">
        <f t="shared" si="583"/>
        <v>4</v>
      </c>
      <c r="AW241" s="159">
        <f t="shared" si="692"/>
        <v>1</v>
      </c>
      <c r="AX241" s="15">
        <f t="shared" ref="AX241:AX256" si="698">IF(E241="",0,F241-E241+1)</f>
        <v>31</v>
      </c>
      <c r="AY241" s="607">
        <f>IF(E241="",0,MIN((1-(1-VLOOKUP(B241,MAIN!$AA$7:$AM$28,C241+1))*(1-VLOOKUP(B241,MAIN!$AA$33:$AM$54,C241+1))),1))</f>
        <v>3.0000000000000027E-2</v>
      </c>
      <c r="AZ241" s="337">
        <v>51216</v>
      </c>
      <c r="BA241" s="509">
        <v>9312</v>
      </c>
      <c r="BB241" s="509">
        <v>11640</v>
      </c>
      <c r="BC241" s="511">
        <v>36084</v>
      </c>
      <c r="BD241" s="153">
        <v>0.96999999638646839</v>
      </c>
      <c r="BE241" s="474">
        <v>0.96999999638646839</v>
      </c>
      <c r="BF241" s="474">
        <v>0.96999999638646839</v>
      </c>
      <c r="BG241" s="515">
        <v>0.9699999927729368</v>
      </c>
      <c r="BH241" s="262">
        <v>204864</v>
      </c>
      <c r="BI241" s="509">
        <v>37248</v>
      </c>
      <c r="BJ241" s="509">
        <v>46560</v>
      </c>
      <c r="BK241" s="511">
        <v>144336</v>
      </c>
      <c r="BL241" s="153">
        <v>0.96999999638646839</v>
      </c>
      <c r="BM241" s="474">
        <v>0.96999999638646839</v>
      </c>
      <c r="BN241" s="474">
        <v>0.96999999638646839</v>
      </c>
      <c r="BO241" s="474">
        <v>0.9699999927729368</v>
      </c>
      <c r="BP241" s="261">
        <f t="shared" si="666"/>
        <v>72168</v>
      </c>
      <c r="BQ241" s="578">
        <f t="shared" si="667"/>
        <v>108252</v>
      </c>
      <c r="BR241" s="259">
        <f t="shared" si="668"/>
        <v>288672</v>
      </c>
      <c r="BS241" s="578">
        <f t="shared" si="669"/>
        <v>433008</v>
      </c>
      <c r="BT241" s="216">
        <f t="shared" si="670"/>
        <v>18.715947980835043</v>
      </c>
      <c r="BU241" s="218">
        <f t="shared" si="585"/>
        <v>63.014221351826393</v>
      </c>
      <c r="BV241" s="216">
        <f t="shared" si="586"/>
        <v>63.014221351826393</v>
      </c>
      <c r="BW241" s="216">
        <f t="shared" si="587"/>
        <v>34.847214479283451</v>
      </c>
      <c r="BX241" s="216">
        <f t="shared" si="671"/>
        <v>34.847214349467457</v>
      </c>
      <c r="BY241" s="216">
        <f t="shared" si="588"/>
        <v>58.471155727222701</v>
      </c>
      <c r="BZ241" s="216">
        <f t="shared" si="589"/>
        <v>50.596508601304286</v>
      </c>
      <c r="CA241" s="264">
        <f t="shared" si="590"/>
        <v>63.014221351826393</v>
      </c>
      <c r="CB241" s="216">
        <f t="shared" si="591"/>
        <v>63.014221351826393</v>
      </c>
      <c r="CC241" s="216">
        <f t="shared" si="592"/>
        <v>34.847214479283451</v>
      </c>
      <c r="CD241" s="216">
        <f t="shared" si="672"/>
        <v>34.847214349467457</v>
      </c>
      <c r="CE241" s="216">
        <f t="shared" si="593"/>
        <v>58.471155727222701</v>
      </c>
      <c r="CF241" s="571">
        <f t="shared" si="594"/>
        <v>50.596508601304286</v>
      </c>
      <c r="CG241" s="573">
        <f t="shared" si="595"/>
        <v>0.1</v>
      </c>
      <c r="CH241" s="219">
        <f t="shared" si="596"/>
        <v>0.1</v>
      </c>
      <c r="CI241" s="219">
        <f t="shared" si="597"/>
        <v>0.11</v>
      </c>
      <c r="CJ241" s="219">
        <f t="shared" si="598"/>
        <v>0.10096950165288952</v>
      </c>
      <c r="CK241" s="219">
        <f t="shared" si="599"/>
        <v>0.10096950165288952</v>
      </c>
      <c r="CL241" s="219">
        <f t="shared" si="600"/>
        <v>0.11</v>
      </c>
      <c r="CM241" s="219">
        <f t="shared" si="601"/>
        <v>9.329442489120636E-2</v>
      </c>
      <c r="CN241" s="569">
        <f t="shared" si="602"/>
        <v>9.329442489120636E-2</v>
      </c>
      <c r="CO241" s="264">
        <f t="shared" si="685"/>
        <v>29.336194883181122</v>
      </c>
      <c r="CP241" s="216">
        <f t="shared" si="673"/>
        <v>29.336194883181122</v>
      </c>
      <c r="CQ241" s="216">
        <f t="shared" ca="1" si="532"/>
        <v>29.336194883181122</v>
      </c>
      <c r="CR241" s="216">
        <f t="shared" ca="1" si="533"/>
        <v>29.336194883181122</v>
      </c>
      <c r="CS241" s="1626">
        <f t="shared" ca="1" si="534"/>
        <v>29.336194883181125</v>
      </c>
      <c r="CT241" s="216">
        <f t="shared" si="674"/>
        <v>29.336194883181122</v>
      </c>
      <c r="CU241" s="575">
        <f t="shared" si="603"/>
        <v>0.151</v>
      </c>
      <c r="CV241" s="154">
        <f t="shared" si="604"/>
        <v>0.5</v>
      </c>
      <c r="CW241" s="216">
        <f>IF(OR($BQ241,$BS241),SpreadOptPowerMargin,0)*((1+Assumptions!$C$26)^($B241-YEAR(Assumptions!$C$17)))</f>
        <v>2.4710142691631019</v>
      </c>
      <c r="CX241" s="216">
        <f>IF(OR($BQ241,$BS241),SpreadOptPowerMargin,0)*((1+Assumptions!$C$26)^($B241-YEAR(Assumptions!$C$17)))</f>
        <v>2.4710142691631019</v>
      </c>
      <c r="CY241" s="216">
        <f>IF(OR($BQ241,$BS241),SpreadOptPowerMargin,0)*((1+Assumptions!$C$26)^($B241-YEAR(Assumptions!$C$17)))</f>
        <v>2.4710142691631019</v>
      </c>
      <c r="CZ241" s="216">
        <f>IF(OR($BQ241,$BS241),SpreadOptPowerMargin,0)*((1+Assumptions!$C$26)^($B241-YEAR(Assumptions!$C$17)))</f>
        <v>2.4710142691631019</v>
      </c>
      <c r="DA241" s="440">
        <f t="shared" si="605"/>
        <v>2.4710142691631014</v>
      </c>
      <c r="DB241" s="479">
        <f t="shared" si="606"/>
        <v>0.1</v>
      </c>
      <c r="DC241" s="479">
        <f t="shared" si="607"/>
        <v>0.1</v>
      </c>
      <c r="DD241" s="479">
        <f t="shared" si="608"/>
        <v>0.11</v>
      </c>
      <c r="DE241" s="479">
        <f t="shared" si="609"/>
        <v>0.11</v>
      </c>
      <c r="DF241" s="479">
        <f t="shared" si="610"/>
        <v>9.329442489120636E-2</v>
      </c>
      <c r="DG241" s="574">
        <f t="shared" si="611"/>
        <v>9.329442489120636E-2</v>
      </c>
      <c r="DH241" s="216">
        <f t="shared" si="612"/>
        <v>32.406331731072179</v>
      </c>
      <c r="DI241" s="216">
        <f t="shared" si="613"/>
        <v>32.406331731072179</v>
      </c>
      <c r="DJ241" s="216">
        <f t="shared" ca="1" si="535"/>
        <v>8.8443419907512499</v>
      </c>
      <c r="DK241" s="216">
        <f t="shared" ca="1" si="536"/>
        <v>8.8443419031612009</v>
      </c>
      <c r="DL241" s="216">
        <f t="shared" ca="1" si="537"/>
        <v>21.054976867368552</v>
      </c>
      <c r="DM241" s="216"/>
      <c r="DN241" s="216"/>
      <c r="DO241" s="216"/>
      <c r="DP241" s="216"/>
      <c r="DQ241" s="216"/>
      <c r="DR241" s="216"/>
      <c r="DS241" s="216"/>
      <c r="DT241" s="216"/>
      <c r="DU241" s="216"/>
      <c r="DV241" s="216"/>
      <c r="DW241" s="1371">
        <f t="shared" si="614"/>
        <v>8.8443419907512499</v>
      </c>
      <c r="DX241" s="216">
        <f t="shared" si="615"/>
        <v>8.8443419031612009</v>
      </c>
      <c r="DY241" s="440">
        <f t="shared" si="616"/>
        <v>22.018787837863044</v>
      </c>
      <c r="DZ241" s="180">
        <f t="shared" si="617"/>
        <v>1659722.6859385928</v>
      </c>
      <c r="EA241" s="180">
        <f t="shared" si="618"/>
        <v>301767.76107974414</v>
      </c>
      <c r="EB241" s="180">
        <f t="shared" ca="1" si="538"/>
        <v>102948.14077234454</v>
      </c>
      <c r="EC241" s="180">
        <f t="shared" ca="1" si="539"/>
        <v>319139.23323366878</v>
      </c>
      <c r="ED241" s="180">
        <f t="shared" ca="1" si="540"/>
        <v>2279243.3558463803</v>
      </c>
      <c r="EE241" s="581">
        <f t="shared" si="619"/>
        <v>1598298.3368086787</v>
      </c>
      <c r="EF241" s="554">
        <f t="shared" si="620"/>
        <v>290599.69760157797</v>
      </c>
      <c r="EG241" s="554">
        <f t="shared" ca="1" si="541"/>
        <v>35385.662005572602</v>
      </c>
      <c r="EH241" s="554">
        <f t="shared" ca="1" si="542"/>
        <v>109695.54753299471</v>
      </c>
      <c r="EI241" s="561">
        <f t="shared" ca="1" si="621"/>
        <v>2033979.2439488242</v>
      </c>
      <c r="EJ241" s="581">
        <f t="shared" si="675"/>
        <v>61424.349129914073</v>
      </c>
      <c r="EK241" s="554">
        <f t="shared" si="676"/>
        <v>11168.063478166179</v>
      </c>
      <c r="EL241" s="554">
        <f t="shared" ca="1" si="543"/>
        <v>67562.478766771936</v>
      </c>
      <c r="EM241" s="554">
        <f t="shared" ca="1" si="544"/>
        <v>209443.68570067408</v>
      </c>
      <c r="EN241" s="561">
        <f t="shared" ca="1" si="545"/>
        <v>245264.11189755611</v>
      </c>
      <c r="EO241" s="180">
        <f t="shared" si="622"/>
        <v>6638890.7437543711</v>
      </c>
      <c r="EP241" s="180">
        <f t="shared" si="623"/>
        <v>1207071.0443189766</v>
      </c>
      <c r="EQ241" s="180">
        <f t="shared" si="624"/>
        <v>411792.56308937818</v>
      </c>
      <c r="ER241" s="180">
        <f t="shared" si="625"/>
        <v>1276556.9329346751</v>
      </c>
      <c r="ES241" s="180">
        <f t="shared" si="626"/>
        <v>9534311.2840974014</v>
      </c>
      <c r="ET241" s="1482">
        <f t="shared" ca="1" si="546"/>
        <v>6393193.3472347148</v>
      </c>
      <c r="EU241" s="180">
        <f t="shared" ca="1" si="547"/>
        <v>1162398.7904063119</v>
      </c>
      <c r="EV241" s="180">
        <f t="shared" ca="1" si="548"/>
        <v>141542.64802229041</v>
      </c>
      <c r="EW241" s="180">
        <f t="shared" ca="1" si="549"/>
        <v>438782.19013197883</v>
      </c>
      <c r="EX241" s="555">
        <f t="shared" ca="1" si="693"/>
        <v>8135916.975795296</v>
      </c>
      <c r="EY241" s="180">
        <f t="shared" ca="1" si="550"/>
        <v>245697.39651965629</v>
      </c>
      <c r="EZ241" s="180">
        <f t="shared" ca="1" si="551"/>
        <v>44672.253912664717</v>
      </c>
      <c r="FA241" s="180">
        <f t="shared" ca="1" si="552"/>
        <v>270249.91506708774</v>
      </c>
      <c r="FB241" s="180">
        <f t="shared" ca="1" si="553"/>
        <v>837774.7428026963</v>
      </c>
      <c r="FC241" s="180">
        <f t="shared" ca="1" si="554"/>
        <v>1398394.3083021054</v>
      </c>
      <c r="FD241" s="262">
        <f>IF(AX241,IF(VLOOKUP(C241,MAIN!$L$17:$M$28,2)="Yes",VLOOKUP(CALC!B241,MAIN!$H$17:$I$20,2),0),0)</f>
        <v>0</v>
      </c>
      <c r="FE241" s="623">
        <f t="shared" si="627"/>
        <v>0</v>
      </c>
      <c r="FF241" s="535">
        <f t="shared" si="628"/>
        <v>0</v>
      </c>
      <c r="FG241" s="535">
        <f t="shared" si="629"/>
        <v>0</v>
      </c>
      <c r="FH241" s="624">
        <f t="shared" si="630"/>
        <v>0</v>
      </c>
      <c r="FI241" s="632">
        <f>IF(AX241,VLOOKUP(CALC!B241,MAIN!$H$17:$K$20,4),0)</f>
        <v>0</v>
      </c>
      <c r="FJ241" s="535">
        <f t="shared" si="631"/>
        <v>0</v>
      </c>
      <c r="FK241" s="648">
        <f t="shared" si="677"/>
        <v>0</v>
      </c>
      <c r="FL241" s="530">
        <f t="shared" ca="1" si="555"/>
        <v>0</v>
      </c>
      <c r="FM241" s="530">
        <f t="shared" ca="1" si="556"/>
        <v>0</v>
      </c>
      <c r="FN241" s="530">
        <f t="shared" ca="1" si="557"/>
        <v>0</v>
      </c>
      <c r="FO241" s="622">
        <f t="shared" ca="1" si="558"/>
        <v>0</v>
      </c>
      <c r="FP241" s="530">
        <f t="shared" ca="1" si="559"/>
        <v>0</v>
      </c>
      <c r="FQ241" s="530">
        <f t="shared" ca="1" si="560"/>
        <v>0</v>
      </c>
      <c r="FR241" s="530">
        <f t="shared" ca="1" si="561"/>
        <v>0</v>
      </c>
      <c r="FS241" s="625">
        <f t="shared" ca="1" si="562"/>
        <v>0</v>
      </c>
      <c r="FT241" s="640">
        <f ca="1">IF(AND(Assumptions!$H$71="Yes",A241&gt;=Assumptions!$H$72,A241&lt;=Assumptions!$H$73),0,IF(AND($A241&gt;=Assumptions!$C$17,$A241&lt;=Assumptions!$C$18),MAX(AZ241*(1+VLOOKUP($C241,WeatherCapacityAdjustment,2))-FL241,0),0))</f>
        <v>51216</v>
      </c>
      <c r="FU241" s="530">
        <f ca="1">IF(AND(Assumptions!$H$71="Yes",A241&gt;=Assumptions!$H$72,A241&lt;=Assumptions!$H$73),0,IF(AND($A241&gt;=Assumptions!$C$17,$A241&lt;=Assumptions!$C$18),MAX(BA241*(1+VLOOKUP($C241,WeatherCapacityAdjustment,2))-FM241,0),0))</f>
        <v>9312</v>
      </c>
      <c r="FV241" s="530">
        <f ca="1">IF(AND(Assumptions!$H$71="Yes",A241&gt;=Assumptions!$H$72,A241&lt;=Assumptions!$H$73),0,IF(AND($A241&gt;=Assumptions!$C$17,$A241&lt;=Assumptions!$C$18),MAX(BB241*(1+VLOOKUP($C241,WeatherCapacityAdjustment,2))-FN241,0),0))</f>
        <v>11640</v>
      </c>
      <c r="FW241" s="622">
        <f ca="1">IF(AND(Assumptions!$H$71="Yes",A241&gt;=Assumptions!$H$72,A241&lt;=Assumptions!$H$73),0,IF(AND($A241&gt;=Assumptions!$C$17,$A241&lt;=Assumptions!$C$18),MAX(BC241*(1+VLOOKUP($C241,WeatherCapacityAdjustment,3))-FO241,0),0))</f>
        <v>36084</v>
      </c>
      <c r="FX241" s="621">
        <f ca="1">IF(AND(Assumptions!$H$71="Yes",A241&gt;=Assumptions!$H$72,A241&lt;=Assumptions!$H$73),0,IF(ET241&gt;0,MAX(BH241*(1+VLOOKUP($C241,WeatherCapacityAdjustment,2))-FP241,0),0))</f>
        <v>204864</v>
      </c>
      <c r="FY241" s="530">
        <f ca="1">IF(AND(Assumptions!$H$71="Yes",A241&gt;=Assumptions!$H$72,A241&lt;=Assumptions!$H$73),0,IF(EU241&gt;0,MAX(BI241*(1+VLOOKUP($C241,WeatherCapacityAdjustment,3))-FQ241,0),0))</f>
        <v>37248</v>
      </c>
      <c r="FZ241" s="530">
        <f ca="1">IF(AND(Assumptions!$H$71="Yes",A241&gt;=Assumptions!$H$72,A241&lt;=Assumptions!$H$73),0,IF(EV241&gt;0,MAX(BJ241*(1+VLOOKUP($C241,WeatherCapacityAdjustment,2))-FR241,0),0))</f>
        <v>46560</v>
      </c>
      <c r="GA241" s="622">
        <f ca="1">IF(AND(Assumptions!$H$71="Yes",A241&gt;=Assumptions!$H$72,A241&lt;=Assumptions!$H$73),0,IF(EW241&gt;0,MAX(BK241*(1+VLOOKUP($C241,WeatherCapacityAdjustment,2))-FS241,0),0))</f>
        <v>144336</v>
      </c>
      <c r="GB241" s="530">
        <f t="shared" ca="1" si="632"/>
        <v>541260</v>
      </c>
      <c r="GC241" s="545">
        <f t="shared" ca="1" si="633"/>
        <v>50.596508601304294</v>
      </c>
      <c r="GD241" s="530">
        <f t="shared" ca="1" si="563"/>
        <v>27385866.24554196</v>
      </c>
      <c r="GE241" s="1485">
        <f t="shared" ca="1" si="564"/>
        <v>771767.47872000001</v>
      </c>
      <c r="GF241" s="1776">
        <f t="shared" ca="1" si="565"/>
        <v>3087069.9148800001</v>
      </c>
      <c r="GG241" s="545">
        <f t="shared" si="530"/>
        <v>4.1148426903931234</v>
      </c>
      <c r="GH241" s="622">
        <f t="shared" ca="1" si="531"/>
        <v>15878508.842470612</v>
      </c>
      <c r="GI241" s="621">
        <f t="shared" ca="1" si="678"/>
        <v>541260</v>
      </c>
      <c r="GJ241" s="638">
        <f t="shared" si="634"/>
        <v>2.4710142691631014</v>
      </c>
      <c r="GK241" s="625">
        <f t="shared" ca="1" si="684"/>
        <v>1337461.1833272204</v>
      </c>
      <c r="GL241" s="640">
        <f t="shared" ca="1" si="566"/>
        <v>0</v>
      </c>
      <c r="GM241" s="530">
        <f t="shared" ca="1" si="567"/>
        <v>0</v>
      </c>
      <c r="GN241" s="530">
        <f t="shared" ca="1" si="568"/>
        <v>0</v>
      </c>
      <c r="GO241" s="622">
        <f t="shared" ca="1" si="569"/>
        <v>0</v>
      </c>
      <c r="GP241" s="530">
        <f t="shared" ca="1" si="635"/>
        <v>0</v>
      </c>
      <c r="GQ241" s="545">
        <f t="shared" ca="1" si="636"/>
        <v>0</v>
      </c>
      <c r="GR241" s="625">
        <f t="shared" ca="1" si="570"/>
        <v>0</v>
      </c>
      <c r="GS241" s="640">
        <f>IF($A241&gt;=BegDate,Assumptions!$C$56*24*($A242-$A241)*(1-VLOOKUP($B241,MAIN!$AA$7:$AM$28,$C241+1))*(1-VLOOKUP($B241,MAIN!$AA$33:$AM$54,$C241+1)),0)*80/168</f>
        <v>257742.85714285713</v>
      </c>
      <c r="GT241" s="1715">
        <f t="shared" si="679"/>
        <v>63.014221586572653</v>
      </c>
      <c r="GU241" s="1715">
        <f>IF($A241&gt;=BegDate,VLOOKUP($A241,GasTable,13)+Assumptions!$C$58,0)</f>
        <v>4.1148426903931234</v>
      </c>
      <c r="GV241" s="1715">
        <f>GU241*Assumptions!$C$57/1000</f>
        <v>29.832609505350145</v>
      </c>
      <c r="GW241" s="625">
        <f>IF(Assumptions!$C$60="Hourly",MAX(0,GS241*(GT241-GV241)),GS241*(GT241-GV241))</f>
        <v>8552323.5024202354</v>
      </c>
      <c r="GX241" s="640">
        <f>IF($A241&gt;=BegDate,Assumptions!$C$56*24*($A242-$A241)*(1-VLOOKUP($B241,MAIN!$AA$7:$AM$28,$C241+1))*(1-VLOOKUP($B241,MAIN!$AA$33:$AM$54,$C241+1)),0)*16/168</f>
        <v>51548.571428571428</v>
      </c>
      <c r="GY241" s="1715">
        <f t="shared" si="680"/>
        <v>63.014221586572653</v>
      </c>
      <c r="GZ241" s="1715">
        <f>IF($A241&gt;=BegDate,VLOOKUP($A241,GasTable,13)+Assumptions!$C$58,0)</f>
        <v>4.1148426903931234</v>
      </c>
      <c r="HA241" s="1715">
        <f>GZ241*Assumptions!$C$57/1000</f>
        <v>29.832609505350145</v>
      </c>
      <c r="HB241" s="625">
        <f>IF(Assumptions!$C$60="Hourly",MAX(0,GX241*(GY241-HA241)),GX241*(GY241-HA241))</f>
        <v>1710464.7004840472</v>
      </c>
      <c r="HC241" s="640">
        <f>IF($A241&gt;=BegDate,Assumptions!$C$56*24*($A242-$A241)*(1-VLOOKUP($B241,MAIN!$AA$7:$AM$28,$C241+1))*(1-VLOOKUP($B241,MAIN!$AA$33:$AM$54,$C241+1)),0)*16/168</f>
        <v>51548.571428571428</v>
      </c>
      <c r="HD241" s="1715">
        <f t="shared" si="681"/>
        <v>34.847214609099439</v>
      </c>
      <c r="HE241" s="1715">
        <f>IF($A241&gt;=BegDate,VLOOKUP($A241,GasTable,13)+Assumptions!$C$58,0)</f>
        <v>4.1148426903931234</v>
      </c>
      <c r="HF241" s="1715">
        <f>HE241*Assumptions!$C$57/1000</f>
        <v>29.832609505350145</v>
      </c>
      <c r="HG241" s="625">
        <f>IF(Assumptions!$C$60="Hourly",MAX(0,HC241*(HD241-HF241)),HC241*(HD241-HF241))</f>
        <v>258495.72937669928</v>
      </c>
      <c r="HH241" s="640">
        <f>IF($A241&gt;=BegDate,Assumptions!$C$56*24*($A242-$A241)*(1-VLOOKUP($B241,MAIN!$AA$7:$AM$28,$C241+1))*(1-VLOOKUP($B241,MAIN!$AA$33:$AM$54,$C241+1)),0)*56/168</f>
        <v>180420</v>
      </c>
      <c r="HI241" s="1715">
        <f t="shared" si="682"/>
        <v>34.847214609099439</v>
      </c>
      <c r="HJ241" s="1715">
        <f>IF($A241&gt;=BegDate,VLOOKUP($A241,GasTable,13)+Assumptions!$C$58,0)</f>
        <v>4.1148426903931234</v>
      </c>
      <c r="HK241" s="1715">
        <f>HJ241*Assumptions!$C$57/1000</f>
        <v>29.832609505350145</v>
      </c>
      <c r="HL241" s="625">
        <f>IF(Assumptions!$C$60="Hourly",MAX(0,HH241*(HI241-HK241)),HH241*(HI241-HK241))</f>
        <v>904735.05281844747</v>
      </c>
      <c r="HM241" s="640">
        <f>IF(AND(Assumptions!$H$71="Yes",A241&gt;=Assumptions!$H$72,A241&lt;=Assumptions!$H$73),Assumptions!$H$74*Assumptions!$C$9*1000,0)</f>
        <v>0</v>
      </c>
      <c r="HN241" s="530"/>
      <c r="HO241" s="545"/>
      <c r="HP241" s="545"/>
      <c r="HQ241" s="545"/>
      <c r="HR241" s="545"/>
      <c r="HS241" s="545"/>
      <c r="HT241" s="545"/>
      <c r="HU241" s="545"/>
      <c r="HV241" s="545"/>
      <c r="HW241" s="545"/>
      <c r="HX241" s="545"/>
      <c r="HY241" s="545"/>
      <c r="HZ241" s="545"/>
      <c r="IA241" s="545"/>
      <c r="IB241" s="545"/>
      <c r="IC241" s="545"/>
      <c r="ID241" s="545"/>
      <c r="IE241" s="545"/>
      <c r="IF241" s="545"/>
      <c r="IG241" s="545"/>
      <c r="IH241" s="545"/>
      <c r="II241" s="1464"/>
      <c r="IJ241" s="1463"/>
      <c r="IK241" s="1463"/>
    </row>
    <row r="242" spans="1:245">
      <c r="A242" s="177">
        <f t="shared" si="637"/>
        <v>43497</v>
      </c>
      <c r="B242" s="349">
        <f t="shared" si="638"/>
        <v>2019</v>
      </c>
      <c r="C242" s="15">
        <f t="shared" si="694"/>
        <v>2</v>
      </c>
      <c r="D242" s="612" t="str">
        <f t="shared" si="639"/>
        <v/>
      </c>
      <c r="E242" s="609">
        <f t="shared" si="695"/>
        <v>43497</v>
      </c>
      <c r="F242" s="614">
        <f t="shared" si="696"/>
        <v>43524</v>
      </c>
      <c r="G242" s="1349">
        <v>0</v>
      </c>
      <c r="H242" s="152">
        <f t="shared" si="683"/>
        <v>1</v>
      </c>
      <c r="I242" s="154">
        <f>IF(Assumptions!$L$25=4,VLOOKUP($A242,'Henwood Reference'!$E$9:$R$320,10),(VLOOKUP($A242,PriceTable,2,0)+IF(BasisNumber&lt;&gt;1,VLOOKUP($A242,BasisTable,2,0),0)+I$1)/(1-I$2))</f>
        <v>54.025696652076135</v>
      </c>
      <c r="J242" s="154">
        <f>IF(Assumptions!$L$25=4,VLOOKUP($A242,'Henwood Reference'!$E$9:$R$320,10),(VLOOKUP($A242,PriceTable,3,0)+IF(BasisNumber&lt;&gt;1,VLOOKUP($A242,BasisTable,2,0),0)+J$1)/(1-J$2))</f>
        <v>54.025696652076135</v>
      </c>
      <c r="K242" s="154">
        <f>IF(Assumptions!$L$25=4,VLOOKUP($A242,'Henwood Reference'!$E$9:$R$320,10),(VLOOKUP($A242,PriceTable,4,0)+IF(BasisNumber&lt;&gt;1,VLOOKUP($A242,BasisTable,2,0),0)+K$1)/(1-K$2))</f>
        <v>54.025696652076135</v>
      </c>
      <c r="L242" s="474">
        <f>IF(Assumptions!$L$25=4,VLOOKUP($A242,'Henwood Reference'!$E$9:$R$320,10),(VLOOKUP($A242,PriceTableWeekend,2,0)+IF(BasisNumber&lt;&gt;1,VLOOKUP($A242,BasisTable,2,0),0)+L$1)/(1-L$2))</f>
        <v>54.025696652076135</v>
      </c>
      <c r="M242" s="154">
        <f>IF(Assumptions!$L$25=4,VLOOKUP($A242,'Henwood Reference'!$E$9:$R$320,10),(VLOOKUP($A242,PriceTableWeekend,3,0)+IF(BasisNumber&lt;&gt;1,VLOOKUP($A242,BasisTable,2,0),0)+M$1)/(1-M$2))</f>
        <v>54.025696652076135</v>
      </c>
      <c r="N242" s="156">
        <f>IF(Assumptions!$L$25=4,VLOOKUP($A242,'Henwood Reference'!$E$9:$R$320,10),(VLOOKUP($A242,PriceTableWeekend,4,0)+IF(BasisNumber&lt;&gt;1,VLOOKUP($A242,BasisTable,2,0),0)+N$1)/(1-N$2))</f>
        <v>54.025696652076135</v>
      </c>
      <c r="O242" s="154">
        <f>IF(Assumptions!$L$25=4,VLOOKUP($A242,'Henwood Reference'!$E$9:$R$320,11),(VLOOKUP($A242,PriceTableWeekend,6,0)+IF(BasisNumber&lt;&gt;1,VLOOKUP($A242,BasisTable,3,0),0)+O$1)/(1-O$2))</f>
        <v>29.868271064751184</v>
      </c>
      <c r="P242" s="154">
        <f>IF(Assumptions!$L$25=4,VLOOKUP($A242,'Henwood Reference'!$E$9:$R$320,11),(VLOOKUP($A242,PriceTableWeekend,7,0)+IF(BasisNumber&lt;&gt;1,VLOOKUP($A242,BasisTable,3,0),0)+P$1)/(1-P$2))</f>
        <v>29.868271064751184</v>
      </c>
      <c r="Q242" s="156">
        <f>IF(Assumptions!$L$25=4,VLOOKUP($A242,'Henwood Reference'!$E$9:$R$320,11),(VLOOKUP($A242,PriceTableWeekend,8,0)+IF(BasisNumber&lt;&gt;1,VLOOKUP($A242,BasisTable,3,0),0)+Q$1)/(1-Q$2))</f>
        <v>29.868271064751184</v>
      </c>
      <c r="R242" s="154">
        <f>IF(Assumptions!$L$25=4,VLOOKUP($A242,'Henwood Reference'!$E$9:$R$320,11),(VLOOKUP($A242,PriceTable,6,0)+IF(BasisNumber&lt;&gt;1,VLOOKUP($A242,BasisTable,3,0),0)+R$1)/(1-R$2))</f>
        <v>29.868271064751184</v>
      </c>
      <c r="S242" s="154">
        <f>IF(Assumptions!$L$25=4,VLOOKUP($A242,'Henwood Reference'!$E$9:$R$320,11),(VLOOKUP($A242,PriceTable,7,0)+IF(BasisNumber&lt;&gt;1,VLOOKUP($A242,BasisTable,3,0),0)+S$1)/(1-S$2))</f>
        <v>29.868271064751184</v>
      </c>
      <c r="T242" s="155">
        <f>IF(Assumptions!$L$25=4,VLOOKUP($A242,'Henwood Reference'!$E$9:$R$320,11),(VLOOKUP($A242,PriceTable,8,0)+IF(BasisNumber&lt;&gt;1,VLOOKUP($A242,BasisTable,3,0),0)+T$1)/(1-T$2))</f>
        <v>29.868271064751184</v>
      </c>
      <c r="U242" s="173">
        <f t="shared" si="640"/>
        <v>0.09</v>
      </c>
      <c r="V242" s="173">
        <f t="shared" si="641"/>
        <v>0.1</v>
      </c>
      <c r="W242" s="174">
        <f t="shared" si="642"/>
        <v>0.11</v>
      </c>
      <c r="X242" s="173">
        <f t="shared" si="643"/>
        <v>0.09</v>
      </c>
      <c r="Y242" s="173">
        <f t="shared" si="644"/>
        <v>0.1</v>
      </c>
      <c r="Z242" s="174">
        <f t="shared" si="645"/>
        <v>0.11</v>
      </c>
      <c r="AA242" s="173">
        <f t="shared" si="646"/>
        <v>0.09</v>
      </c>
      <c r="AB242" s="173">
        <f t="shared" si="647"/>
        <v>0.11</v>
      </c>
      <c r="AC242" s="174">
        <f t="shared" si="648"/>
        <v>0.13</v>
      </c>
      <c r="AD242" s="173">
        <f t="shared" si="649"/>
        <v>0.09</v>
      </c>
      <c r="AE242" s="173">
        <f t="shared" si="650"/>
        <v>0.11</v>
      </c>
      <c r="AF242" s="174">
        <f t="shared" si="651"/>
        <v>0.13</v>
      </c>
      <c r="AG242" s="173">
        <f t="shared" si="652"/>
        <v>-0.25</v>
      </c>
      <c r="AH242" s="173">
        <f t="shared" si="653"/>
        <v>0.65</v>
      </c>
      <c r="AI242" s="174">
        <f t="shared" si="654"/>
        <v>0.25</v>
      </c>
      <c r="AJ242" s="173">
        <f t="shared" si="655"/>
        <v>-0.25</v>
      </c>
      <c r="AK242" s="173">
        <f t="shared" si="656"/>
        <v>0.65</v>
      </c>
      <c r="AL242" s="174">
        <f t="shared" si="657"/>
        <v>0.25</v>
      </c>
      <c r="AM242" s="173">
        <f t="shared" si="658"/>
        <v>-0.01</v>
      </c>
      <c r="AN242" s="173">
        <f t="shared" si="659"/>
        <v>0.16</v>
      </c>
      <c r="AO242" s="174">
        <f t="shared" si="660"/>
        <v>0.01</v>
      </c>
      <c r="AP242" s="173">
        <f t="shared" si="661"/>
        <v>-0.01</v>
      </c>
      <c r="AQ242" s="173">
        <f t="shared" si="662"/>
        <v>0.16</v>
      </c>
      <c r="AR242" s="175">
        <f t="shared" si="663"/>
        <v>0.01</v>
      </c>
      <c r="AS242" s="521">
        <f t="shared" ref="AS242:AS257" si="699">IF(CorrPeakOffPeakOverFlag,INDEX(CorrPeakOffPeakOver,C242),CorrPeakOffPeak)</f>
        <v>0.5</v>
      </c>
      <c r="AT242" s="349">
        <f t="shared" si="697"/>
        <v>20</v>
      </c>
      <c r="AU242" s="159">
        <f t="shared" si="582"/>
        <v>4</v>
      </c>
      <c r="AV242" s="159">
        <f t="shared" si="583"/>
        <v>4</v>
      </c>
      <c r="AW242" s="159">
        <f t="shared" ref="AW242:AW257" si="700">IF(OR(E242="",D242="",D242&lt;BegDate,D242&gt;EndDate),0,1)</f>
        <v>0</v>
      </c>
      <c r="AX242" s="15">
        <f t="shared" si="698"/>
        <v>28</v>
      </c>
      <c r="AY242" s="607">
        <f>IF(E242="",0,MIN((1-(1-VLOOKUP(B242,MAIN!$AA$7:$AM$28,C242+1))*(1-VLOOKUP(B242,MAIN!$AA$33:$AM$54,C242+1))),1))</f>
        <v>3.0000000000000027E-2</v>
      </c>
      <c r="AZ242" s="337">
        <v>46560</v>
      </c>
      <c r="BA242" s="509">
        <v>9312</v>
      </c>
      <c r="BB242" s="509">
        <v>9312</v>
      </c>
      <c r="BC242" s="511">
        <v>32592</v>
      </c>
      <c r="BD242" s="153">
        <v>0.97</v>
      </c>
      <c r="BE242" s="474">
        <v>0.97</v>
      </c>
      <c r="BF242" s="474">
        <v>0.97</v>
      </c>
      <c r="BG242" s="515">
        <v>0.9699999927729368</v>
      </c>
      <c r="BH242" s="262">
        <v>186240</v>
      </c>
      <c r="BI242" s="509">
        <v>37248</v>
      </c>
      <c r="BJ242" s="509">
        <v>37248</v>
      </c>
      <c r="BK242" s="511">
        <v>130368</v>
      </c>
      <c r="BL242" s="153">
        <v>0.97</v>
      </c>
      <c r="BM242" s="474">
        <v>0.97</v>
      </c>
      <c r="BN242" s="474">
        <v>0.97</v>
      </c>
      <c r="BO242" s="474">
        <v>0.9699999927729368</v>
      </c>
      <c r="BP242" s="261">
        <f t="shared" si="666"/>
        <v>65184</v>
      </c>
      <c r="BQ242" s="578">
        <f t="shared" si="667"/>
        <v>97776</v>
      </c>
      <c r="BR242" s="259">
        <f t="shared" si="668"/>
        <v>260736</v>
      </c>
      <c r="BS242" s="578">
        <f t="shared" si="669"/>
        <v>391104</v>
      </c>
      <c r="BT242" s="216">
        <f t="shared" si="670"/>
        <v>18.800821355236138</v>
      </c>
      <c r="BU242" s="218">
        <f t="shared" si="585"/>
        <v>54.025696652076135</v>
      </c>
      <c r="BV242" s="216">
        <f t="shared" si="586"/>
        <v>54.025696652076135</v>
      </c>
      <c r="BW242" s="216">
        <f t="shared" si="587"/>
        <v>29.868271064751184</v>
      </c>
      <c r="BX242" s="216">
        <f t="shared" si="671"/>
        <v>29.868270842215225</v>
      </c>
      <c r="BY242" s="216">
        <f t="shared" si="588"/>
        <v>50.574635853886853</v>
      </c>
      <c r="BZ242" s="216">
        <f t="shared" si="589"/>
        <v>43.672514183329646</v>
      </c>
      <c r="CA242" s="264">
        <f t="shared" si="590"/>
        <v>54.025696652076135</v>
      </c>
      <c r="CB242" s="216">
        <f t="shared" si="591"/>
        <v>54.025696652076135</v>
      </c>
      <c r="CC242" s="216">
        <f t="shared" si="592"/>
        <v>29.868271064751184</v>
      </c>
      <c r="CD242" s="216">
        <f t="shared" si="672"/>
        <v>29.868270842215225</v>
      </c>
      <c r="CE242" s="216">
        <f t="shared" si="593"/>
        <v>50.574635853886853</v>
      </c>
      <c r="CF242" s="571">
        <f t="shared" si="594"/>
        <v>43.672514183329646</v>
      </c>
      <c r="CG242" s="573">
        <f t="shared" si="595"/>
        <v>0.1</v>
      </c>
      <c r="CH242" s="219">
        <f t="shared" si="596"/>
        <v>0.1</v>
      </c>
      <c r="CI242" s="219">
        <f t="shared" si="597"/>
        <v>0.11</v>
      </c>
      <c r="CJ242" s="219">
        <f t="shared" si="598"/>
        <v>0.10085104834728052</v>
      </c>
      <c r="CK242" s="219">
        <f t="shared" si="599"/>
        <v>0.10085104834728052</v>
      </c>
      <c r="CL242" s="219">
        <f t="shared" si="600"/>
        <v>0.11</v>
      </c>
      <c r="CM242" s="219">
        <f t="shared" si="601"/>
        <v>9.3240313796946542E-2</v>
      </c>
      <c r="CN242" s="569">
        <f t="shared" si="602"/>
        <v>9.3240313796946542E-2</v>
      </c>
      <c r="CO242" s="264">
        <f t="shared" si="685"/>
        <v>27.061068537197066</v>
      </c>
      <c r="CP242" s="216">
        <f t="shared" si="673"/>
        <v>27.061068537197066</v>
      </c>
      <c r="CQ242" s="216">
        <f t="shared" ca="1" si="532"/>
        <v>27.061068537197066</v>
      </c>
      <c r="CR242" s="216">
        <f t="shared" ca="1" si="533"/>
        <v>27.061068537197066</v>
      </c>
      <c r="CS242" s="1626">
        <f t="shared" ca="1" si="534"/>
        <v>27.061068537197063</v>
      </c>
      <c r="CT242" s="216">
        <f t="shared" si="674"/>
        <v>27.061068537197066</v>
      </c>
      <c r="CU242" s="575">
        <f t="shared" si="603"/>
        <v>0.15</v>
      </c>
      <c r="CV242" s="154">
        <f t="shared" si="604"/>
        <v>0.5</v>
      </c>
      <c r="CW242" s="216">
        <f>IF(OR($BQ242,$BS242),SpreadOptPowerMargin,0)*((1+Assumptions!$C$26)^($B242-YEAR(Assumptions!$C$17)))</f>
        <v>2.4710142691631019</v>
      </c>
      <c r="CX242" s="216">
        <f>IF(OR($BQ242,$BS242),SpreadOptPowerMargin,0)*((1+Assumptions!$C$26)^($B242-YEAR(Assumptions!$C$17)))</f>
        <v>2.4710142691631019</v>
      </c>
      <c r="CY242" s="216">
        <f>IF(OR($BQ242,$BS242),SpreadOptPowerMargin,0)*((1+Assumptions!$C$26)^($B242-YEAR(Assumptions!$C$17)))</f>
        <v>2.4710142691631019</v>
      </c>
      <c r="CZ242" s="216">
        <f>IF(OR($BQ242,$BS242),SpreadOptPowerMargin,0)*((1+Assumptions!$C$26)^($B242-YEAR(Assumptions!$C$17)))</f>
        <v>2.4710142691631019</v>
      </c>
      <c r="DA242" s="440">
        <f t="shared" si="605"/>
        <v>2.4710142691631019</v>
      </c>
      <c r="DB242" s="479">
        <f t="shared" si="606"/>
        <v>0.1</v>
      </c>
      <c r="DC242" s="479">
        <f t="shared" si="607"/>
        <v>0.1</v>
      </c>
      <c r="DD242" s="479">
        <f t="shared" si="608"/>
        <v>0.11</v>
      </c>
      <c r="DE242" s="479">
        <f t="shared" si="609"/>
        <v>0.11</v>
      </c>
      <c r="DF242" s="479">
        <f t="shared" si="610"/>
        <v>9.3240313796946542E-2</v>
      </c>
      <c r="DG242" s="574">
        <f t="shared" si="611"/>
        <v>9.3240313796946542E-2</v>
      </c>
      <c r="DH242" s="216">
        <f t="shared" si="612"/>
        <v>25.894541631093318</v>
      </c>
      <c r="DI242" s="216">
        <f t="shared" si="613"/>
        <v>25.894541631093318</v>
      </c>
      <c r="DJ242" s="216">
        <f t="shared" ca="1" si="535"/>
        <v>6.5543617997416233</v>
      </c>
      <c r="DK242" s="216">
        <f t="shared" ca="1" si="536"/>
        <v>6.5543616617016376</v>
      </c>
      <c r="DL242" s="216">
        <f t="shared" ca="1" si="537"/>
        <v>16.660778921335872</v>
      </c>
      <c r="DM242" s="216"/>
      <c r="DN242" s="216"/>
      <c r="DO242" s="216"/>
      <c r="DP242" s="216"/>
      <c r="DQ242" s="216"/>
      <c r="DR242" s="216"/>
      <c r="DS242" s="216"/>
      <c r="DT242" s="216"/>
      <c r="DU242" s="216"/>
      <c r="DV242" s="216"/>
      <c r="DW242" s="1371">
        <f t="shared" si="614"/>
        <v>6.5543617997416233</v>
      </c>
      <c r="DX242" s="216">
        <f t="shared" si="615"/>
        <v>6.5543616617016376</v>
      </c>
      <c r="DY242" s="440">
        <f t="shared" si="616"/>
        <v>17.60589308592926</v>
      </c>
      <c r="DZ242" s="180">
        <f t="shared" si="617"/>
        <v>1205649.8583437048</v>
      </c>
      <c r="EA242" s="180">
        <f t="shared" si="618"/>
        <v>241129.97166874097</v>
      </c>
      <c r="EB242" s="180">
        <f t="shared" ca="1" si="538"/>
        <v>61034.217079193993</v>
      </c>
      <c r="EC242" s="180">
        <f t="shared" ca="1" si="539"/>
        <v>213619.75527817977</v>
      </c>
      <c r="ED242" s="180">
        <f t="shared" ca="1" si="540"/>
        <v>1629024.3198125362</v>
      </c>
      <c r="EE242" s="581">
        <f t="shared" si="619"/>
        <v>1140422.6606565353</v>
      </c>
      <c r="EF242" s="554">
        <f t="shared" si="620"/>
        <v>228084.53213130709</v>
      </c>
      <c r="EG242" s="554">
        <f t="shared" ca="1" si="541"/>
        <v>3130.5850621371333</v>
      </c>
      <c r="EH242" s="554">
        <f t="shared" ca="1" si="542"/>
        <v>10957.040464587977</v>
      </c>
      <c r="EI242" s="561">
        <f t="shared" ca="1" si="621"/>
        <v>1382594.8183145679</v>
      </c>
      <c r="EJ242" s="581">
        <f t="shared" si="675"/>
        <v>65227.197687169537</v>
      </c>
      <c r="EK242" s="554">
        <f t="shared" si="676"/>
        <v>13045.439537433878</v>
      </c>
      <c r="EL242" s="554">
        <f t="shared" ca="1" si="543"/>
        <v>57903.632017056858</v>
      </c>
      <c r="EM242" s="554">
        <f t="shared" ca="1" si="544"/>
        <v>202662.7148135918</v>
      </c>
      <c r="EN242" s="561">
        <f t="shared" ca="1" si="545"/>
        <v>246429.50149796833</v>
      </c>
      <c r="EO242" s="180">
        <f t="shared" si="622"/>
        <v>4822599.4333748193</v>
      </c>
      <c r="EP242" s="180">
        <f t="shared" si="623"/>
        <v>964519.88667496387</v>
      </c>
      <c r="EQ242" s="180">
        <f t="shared" si="624"/>
        <v>244136.86831677597</v>
      </c>
      <c r="ER242" s="180">
        <f t="shared" si="625"/>
        <v>854479.02111271909</v>
      </c>
      <c r="ES242" s="180">
        <f t="shared" si="626"/>
        <v>6885735.209479277</v>
      </c>
      <c r="ET242" s="1482">
        <f t="shared" ca="1" si="546"/>
        <v>4561690.6426261412</v>
      </c>
      <c r="EU242" s="180">
        <f t="shared" ca="1" si="547"/>
        <v>912338.12852522836</v>
      </c>
      <c r="EV242" s="180">
        <f t="shared" ca="1" si="548"/>
        <v>12522.340248548533</v>
      </c>
      <c r="EW242" s="180">
        <f t="shared" ca="1" si="549"/>
        <v>43828.161858351908</v>
      </c>
      <c r="EX242" s="555">
        <f t="shared" ca="1" si="693"/>
        <v>5530379.2732582698</v>
      </c>
      <c r="EY242" s="180">
        <f t="shared" ca="1" si="550"/>
        <v>260908.79074867815</v>
      </c>
      <c r="EZ242" s="180">
        <f t="shared" ca="1" si="551"/>
        <v>52181.758149735513</v>
      </c>
      <c r="FA242" s="180">
        <f t="shared" ca="1" si="552"/>
        <v>231614.52806822743</v>
      </c>
      <c r="FB242" s="180">
        <f t="shared" ca="1" si="553"/>
        <v>810650.85925436718</v>
      </c>
      <c r="FC242" s="180">
        <f t="shared" ca="1" si="554"/>
        <v>1355355.9362210073</v>
      </c>
      <c r="FD242" s="262">
        <f>IF(AX242,IF(VLOOKUP(C242,MAIN!$L$17:$M$28,2)="Yes",VLOOKUP(CALC!B242,MAIN!$H$17:$I$20,2),0),0)</f>
        <v>0</v>
      </c>
      <c r="FE242" s="623">
        <f t="shared" si="627"/>
        <v>0</v>
      </c>
      <c r="FF242" s="535">
        <f t="shared" si="628"/>
        <v>0</v>
      </c>
      <c r="FG242" s="535">
        <f t="shared" si="629"/>
        <v>0</v>
      </c>
      <c r="FH242" s="624">
        <f t="shared" si="630"/>
        <v>0</v>
      </c>
      <c r="FI242" s="632">
        <f>IF(AX242,VLOOKUP(CALC!B242,MAIN!$H$17:$K$20,4),0)</f>
        <v>0</v>
      </c>
      <c r="FJ242" s="535">
        <f t="shared" si="631"/>
        <v>0</v>
      </c>
      <c r="FK242" s="648">
        <f t="shared" si="677"/>
        <v>0</v>
      </c>
      <c r="FL242" s="530">
        <f t="shared" ca="1" si="555"/>
        <v>0</v>
      </c>
      <c r="FM242" s="530">
        <f t="shared" ca="1" si="556"/>
        <v>0</v>
      </c>
      <c r="FN242" s="530">
        <f t="shared" ca="1" si="557"/>
        <v>0</v>
      </c>
      <c r="FO242" s="622">
        <f t="shared" ca="1" si="558"/>
        <v>0</v>
      </c>
      <c r="FP242" s="530">
        <f t="shared" ca="1" si="559"/>
        <v>0</v>
      </c>
      <c r="FQ242" s="530">
        <f t="shared" ca="1" si="560"/>
        <v>0</v>
      </c>
      <c r="FR242" s="530">
        <f t="shared" ca="1" si="561"/>
        <v>0</v>
      </c>
      <c r="FS242" s="625">
        <f t="shared" ca="1" si="562"/>
        <v>0</v>
      </c>
      <c r="FT242" s="640">
        <f ca="1">IF(AND(Assumptions!$H$71="Yes",A242&gt;=Assumptions!$H$72,A242&lt;=Assumptions!$H$73),0,IF(AND($A242&gt;=Assumptions!$C$17,$A242&lt;=Assumptions!$C$18),MAX(AZ242*(1+VLOOKUP($C242,WeatherCapacityAdjustment,2))-FL242,0),0))</f>
        <v>46560</v>
      </c>
      <c r="FU242" s="530">
        <f ca="1">IF(AND(Assumptions!$H$71="Yes",A242&gt;=Assumptions!$H$72,A242&lt;=Assumptions!$H$73),0,IF(AND($A242&gt;=Assumptions!$C$17,$A242&lt;=Assumptions!$C$18),MAX(BA242*(1+VLOOKUP($C242,WeatherCapacityAdjustment,2))-FM242,0),0))</f>
        <v>9312</v>
      </c>
      <c r="FV242" s="530">
        <f ca="1">IF(AND(Assumptions!$H$71="Yes",A242&gt;=Assumptions!$H$72,A242&lt;=Assumptions!$H$73),0,IF(AND($A242&gt;=Assumptions!$C$17,$A242&lt;=Assumptions!$C$18),MAX(BB242*(1+VLOOKUP($C242,WeatherCapacityAdjustment,2))-FN242,0),0))</f>
        <v>9312</v>
      </c>
      <c r="FW242" s="622">
        <f ca="1">IF(AND(Assumptions!$H$71="Yes",A242&gt;=Assumptions!$H$72,A242&lt;=Assumptions!$H$73),0,IF(AND($A242&gt;=Assumptions!$C$17,$A242&lt;=Assumptions!$C$18),MAX(BC242*(1+VLOOKUP($C242,WeatherCapacityAdjustment,3))-FO242,0),0))</f>
        <v>32592</v>
      </c>
      <c r="FX242" s="621">
        <f ca="1">IF(AND(Assumptions!$H$71="Yes",A242&gt;=Assumptions!$H$72,A242&lt;=Assumptions!$H$73),0,IF(ET242&gt;0,MAX(BH242*(1+VLOOKUP($C242,WeatherCapacityAdjustment,2))-FP242,0),0))</f>
        <v>186240</v>
      </c>
      <c r="FY242" s="530">
        <f ca="1">IF(AND(Assumptions!$H$71="Yes",A242&gt;=Assumptions!$H$72,A242&lt;=Assumptions!$H$73),0,IF(EU242&gt;0,MAX(BI242*(1+VLOOKUP($C242,WeatherCapacityAdjustment,3))-FQ242,0),0))</f>
        <v>37248</v>
      </c>
      <c r="FZ242" s="530">
        <f ca="1">IF(AND(Assumptions!$H$71="Yes",A242&gt;=Assumptions!$H$72,A242&lt;=Assumptions!$H$73),0,IF(EV242&gt;0,MAX(BJ242*(1+VLOOKUP($C242,WeatherCapacityAdjustment,2))-FR242,0),0))</f>
        <v>37248</v>
      </c>
      <c r="GA242" s="622">
        <f ca="1">IF(AND(Assumptions!$H$71="Yes",A242&gt;=Assumptions!$H$72,A242&lt;=Assumptions!$H$73),0,IF(EW242&gt;0,MAX(BK242*(1+VLOOKUP($C242,WeatherCapacityAdjustment,2))-FS242,0),0))</f>
        <v>130368</v>
      </c>
      <c r="GB242" s="530">
        <f t="shared" ca="1" si="632"/>
        <v>488880</v>
      </c>
      <c r="GC242" s="545">
        <f t="shared" ca="1" si="633"/>
        <v>43.672514183329646</v>
      </c>
      <c r="GD242" s="530">
        <f t="shared" ca="1" si="563"/>
        <v>21350618.733946197</v>
      </c>
      <c r="GE242" s="1485">
        <f t="shared" ca="1" si="564"/>
        <v>697367.76479999989</v>
      </c>
      <c r="GF242" s="1776">
        <f t="shared" ca="1" si="565"/>
        <v>2789471.0591999996</v>
      </c>
      <c r="GG242" s="545">
        <f t="shared" ref="GG242:GG288" si="701">IF(BQ242,VLOOKUP(A242,GasTable,13),0)</f>
        <v>3.794157359785352</v>
      </c>
      <c r="GH242" s="622">
        <f t="shared" ref="GH242:GH300" ca="1" si="702">(GE242+GF242)*GG242</f>
        <v>13229615.1864649</v>
      </c>
      <c r="GI242" s="621">
        <f t="shared" ca="1" si="678"/>
        <v>488880</v>
      </c>
      <c r="GJ242" s="638">
        <f t="shared" si="634"/>
        <v>2.4710142691631019</v>
      </c>
      <c r="GK242" s="625">
        <f t="shared" ca="1" si="684"/>
        <v>1208029.4559084573</v>
      </c>
      <c r="GL242" s="640">
        <f t="shared" ca="1" si="566"/>
        <v>0</v>
      </c>
      <c r="GM242" s="530">
        <f t="shared" ca="1" si="567"/>
        <v>0</v>
      </c>
      <c r="GN242" s="530">
        <f t="shared" ca="1" si="568"/>
        <v>0</v>
      </c>
      <c r="GO242" s="622">
        <f t="shared" ca="1" si="569"/>
        <v>0</v>
      </c>
      <c r="GP242" s="530">
        <f t="shared" ca="1" si="635"/>
        <v>0</v>
      </c>
      <c r="GQ242" s="545">
        <f t="shared" ca="1" si="636"/>
        <v>0</v>
      </c>
      <c r="GR242" s="625">
        <f t="shared" ca="1" si="570"/>
        <v>0</v>
      </c>
      <c r="GS242" s="640">
        <f>IF($A242&gt;=BegDate,Assumptions!$C$56*24*($A243-$A242)*(1-VLOOKUP($B242,MAIN!$AA$7:$AM$28,$C242+1))*(1-VLOOKUP($B242,MAIN!$AA$33:$AM$54,$C242+1)),0)*80/168</f>
        <v>232800</v>
      </c>
      <c r="GT242" s="1715">
        <f t="shared" si="679"/>
        <v>54.025696652076135</v>
      </c>
      <c r="GU242" s="1715">
        <f>IF($A242&gt;=BegDate,VLOOKUP($A242,GasTable,13)+Assumptions!$C$58,0)</f>
        <v>3.794157359785352</v>
      </c>
      <c r="GV242" s="1715">
        <f>GU242*Assumptions!$C$57/1000</f>
        <v>27.507640858443803</v>
      </c>
      <c r="GW242" s="625">
        <f>IF(Assumptions!$C$60="Hourly",MAX(0,GS242*(GT242-GV242)),GS242*(GT242-GV242))</f>
        <v>6173403.388757607</v>
      </c>
      <c r="GX242" s="640">
        <f>IF($A242&gt;=BegDate,Assumptions!$C$56*24*($A243-$A242)*(1-VLOOKUP($B242,MAIN!$AA$7:$AM$28,$C242+1))*(1-VLOOKUP($B242,MAIN!$AA$33:$AM$54,$C242+1)),0)*16/168</f>
        <v>46560</v>
      </c>
      <c r="GY242" s="1715">
        <f t="shared" si="680"/>
        <v>54.025696652076135</v>
      </c>
      <c r="GZ242" s="1715">
        <f>IF($A242&gt;=BegDate,VLOOKUP($A242,GasTable,13)+Assumptions!$C$58,0)</f>
        <v>3.794157359785352</v>
      </c>
      <c r="HA242" s="1715">
        <f>GZ242*Assumptions!$C$57/1000</f>
        <v>27.507640858443803</v>
      </c>
      <c r="HB242" s="625">
        <f>IF(Assumptions!$C$60="Hourly",MAX(0,GX242*(GY242-HA242)),GX242*(GY242-HA242))</f>
        <v>1234680.6777515213</v>
      </c>
      <c r="HC242" s="640">
        <f>IF($A242&gt;=BegDate,Assumptions!$C$56*24*($A243-$A242)*(1-VLOOKUP($B242,MAIN!$AA$7:$AM$28,$C242+1))*(1-VLOOKUP($B242,MAIN!$AA$33:$AM$54,$C242+1)),0)*16/168</f>
        <v>46560</v>
      </c>
      <c r="HD242" s="1715">
        <f t="shared" si="681"/>
        <v>29.868271064751184</v>
      </c>
      <c r="HE242" s="1715">
        <f>IF($A242&gt;=BegDate,VLOOKUP($A242,GasTable,13)+Assumptions!$C$58,0)</f>
        <v>3.794157359785352</v>
      </c>
      <c r="HF242" s="1715">
        <f>HE242*Assumptions!$C$57/1000</f>
        <v>27.507640858443803</v>
      </c>
      <c r="HG242" s="625">
        <f>IF(Assumptions!$C$60="Hourly",MAX(0,HC242*(HD242-HF242)),HC242*(HD242-HF242))</f>
        <v>109910.94240567164</v>
      </c>
      <c r="HH242" s="640">
        <f>IF($A242&gt;=BegDate,Assumptions!$C$56*24*($A243-$A242)*(1-VLOOKUP($B242,MAIN!$AA$7:$AM$28,$C242+1))*(1-VLOOKUP($B242,MAIN!$AA$33:$AM$54,$C242+1)),0)*56/168</f>
        <v>162960</v>
      </c>
      <c r="HI242" s="1715">
        <f t="shared" si="682"/>
        <v>29.868271064751184</v>
      </c>
      <c r="HJ242" s="1715">
        <f>IF($A242&gt;=BegDate,VLOOKUP($A242,GasTable,13)+Assumptions!$C$58,0)</f>
        <v>3.794157359785352</v>
      </c>
      <c r="HK242" s="1715">
        <f>HJ242*Assumptions!$C$57/1000</f>
        <v>27.507640858443803</v>
      </c>
      <c r="HL242" s="625">
        <f>IF(Assumptions!$C$60="Hourly",MAX(0,HH242*(HI242-HK242)),HH242*(HI242-HK242))</f>
        <v>384688.2984198507</v>
      </c>
      <c r="HM242" s="640">
        <f>IF(AND(Assumptions!$H$71="Yes",A242&gt;=Assumptions!$H$72,A242&lt;=Assumptions!$H$73),Assumptions!$H$74*Assumptions!$C$9*1000,0)</f>
        <v>0</v>
      </c>
      <c r="HN242" s="530"/>
      <c r="HO242" s="545"/>
      <c r="HP242" s="545"/>
      <c r="HQ242" s="545"/>
      <c r="HR242" s="545"/>
      <c r="HS242" s="545"/>
      <c r="HT242" s="545"/>
      <c r="HU242" s="545"/>
      <c r="HV242" s="545"/>
      <c r="HW242" s="545"/>
      <c r="HX242" s="545"/>
      <c r="HY242" s="545"/>
      <c r="HZ242" s="545"/>
      <c r="IA242" s="545"/>
      <c r="IB242" s="545"/>
      <c r="IC242" s="545"/>
      <c r="ID242" s="545"/>
      <c r="IE242" s="545"/>
      <c r="IF242" s="545"/>
      <c r="IG242" s="545"/>
      <c r="IH242" s="545"/>
      <c r="II242" s="1464"/>
      <c r="IJ242" s="1463"/>
      <c r="IK242" s="1463"/>
    </row>
    <row r="243" spans="1:245">
      <c r="A243" s="177">
        <f t="shared" si="637"/>
        <v>43525</v>
      </c>
      <c r="B243" s="349">
        <f t="shared" si="638"/>
        <v>2019</v>
      </c>
      <c r="C243" s="15">
        <f t="shared" si="694"/>
        <v>3</v>
      </c>
      <c r="D243" s="612" t="str">
        <f t="shared" si="639"/>
        <v/>
      </c>
      <c r="E243" s="609">
        <f t="shared" si="695"/>
        <v>43525</v>
      </c>
      <c r="F243" s="614">
        <f t="shared" si="696"/>
        <v>43555</v>
      </c>
      <c r="G243" s="1349">
        <v>0</v>
      </c>
      <c r="H243" s="152">
        <f t="shared" si="683"/>
        <v>1</v>
      </c>
      <c r="I243" s="154">
        <f>IF(Assumptions!$L$25=4,VLOOKUP($A243,'Henwood Reference'!$E$9:$R$320,10),(VLOOKUP($A243,PriceTable,2,0)+IF(BasisNumber&lt;&gt;1,VLOOKUP($A243,BasisTable,2,0),0)+I$1)/(1-I$2))</f>
        <v>43.742940671905927</v>
      </c>
      <c r="J243" s="154">
        <f>IF(Assumptions!$L$25=4,VLOOKUP($A243,'Henwood Reference'!$E$9:$R$320,10),(VLOOKUP($A243,PriceTable,3,0)+IF(BasisNumber&lt;&gt;1,VLOOKUP($A243,BasisTable,2,0),0)+J$1)/(1-J$2))</f>
        <v>43.742940671905927</v>
      </c>
      <c r="K243" s="154">
        <f>IF(Assumptions!$L$25=4,VLOOKUP($A243,'Henwood Reference'!$E$9:$R$320,10),(VLOOKUP($A243,PriceTable,4,0)+IF(BasisNumber&lt;&gt;1,VLOOKUP($A243,BasisTable,2,0),0)+K$1)/(1-K$2))</f>
        <v>43.742940671905927</v>
      </c>
      <c r="L243" s="474">
        <f>IF(Assumptions!$L$25=4,VLOOKUP($A243,'Henwood Reference'!$E$9:$R$320,10),(VLOOKUP($A243,PriceTableWeekend,2,0)+IF(BasisNumber&lt;&gt;1,VLOOKUP($A243,BasisTable,2,0),0)+L$1)/(1-L$2))</f>
        <v>43.742940671905927</v>
      </c>
      <c r="M243" s="154">
        <f>IF(Assumptions!$L$25=4,VLOOKUP($A243,'Henwood Reference'!$E$9:$R$320,10),(VLOOKUP($A243,PriceTableWeekend,3,0)+IF(BasisNumber&lt;&gt;1,VLOOKUP($A243,BasisTable,2,0),0)+M$1)/(1-M$2))</f>
        <v>43.742940671905927</v>
      </c>
      <c r="N243" s="156">
        <f>IF(Assumptions!$L$25=4,VLOOKUP($A243,'Henwood Reference'!$E$9:$R$320,10),(VLOOKUP($A243,PriceTableWeekend,4,0)+IF(BasisNumber&lt;&gt;1,VLOOKUP($A243,BasisTable,2,0),0)+N$1)/(1-N$2))</f>
        <v>43.742940671905927</v>
      </c>
      <c r="O243" s="154">
        <f>IF(Assumptions!$L$25=4,VLOOKUP($A243,'Henwood Reference'!$E$9:$R$320,11),(VLOOKUP($A243,PriceTableWeekend,6,0)+IF(BasisNumber&lt;&gt;1,VLOOKUP($A243,BasisTable,3,0),0)+O$1)/(1-O$2))</f>
        <v>29.060760631819022</v>
      </c>
      <c r="P243" s="154">
        <f>IF(Assumptions!$L$25=4,VLOOKUP($A243,'Henwood Reference'!$E$9:$R$320,11),(VLOOKUP($A243,PriceTableWeekend,7,0)+IF(BasisNumber&lt;&gt;1,VLOOKUP($A243,BasisTable,3,0),0)+P$1)/(1-P$2))</f>
        <v>29.060760631819022</v>
      </c>
      <c r="Q243" s="156">
        <f>IF(Assumptions!$L$25=4,VLOOKUP($A243,'Henwood Reference'!$E$9:$R$320,11),(VLOOKUP($A243,PriceTableWeekend,8,0)+IF(BasisNumber&lt;&gt;1,VLOOKUP($A243,BasisTable,3,0),0)+Q$1)/(1-Q$2))</f>
        <v>29.060760631819022</v>
      </c>
      <c r="R243" s="154">
        <f>IF(Assumptions!$L$25=4,VLOOKUP($A243,'Henwood Reference'!$E$9:$R$320,11),(VLOOKUP($A243,PriceTable,6,0)+IF(BasisNumber&lt;&gt;1,VLOOKUP($A243,BasisTable,3,0),0)+R$1)/(1-R$2))</f>
        <v>29.060760631819022</v>
      </c>
      <c r="S243" s="154">
        <f>IF(Assumptions!$L$25=4,VLOOKUP($A243,'Henwood Reference'!$E$9:$R$320,11),(VLOOKUP($A243,PriceTable,7,0)+IF(BasisNumber&lt;&gt;1,VLOOKUP($A243,BasisTable,3,0),0)+S$1)/(1-S$2))</f>
        <v>29.060760631819022</v>
      </c>
      <c r="T243" s="155">
        <f>IF(Assumptions!$L$25=4,VLOOKUP($A243,'Henwood Reference'!$E$9:$R$320,11),(VLOOKUP($A243,PriceTable,8,0)+IF(BasisNumber&lt;&gt;1,VLOOKUP($A243,BasisTable,3,0),0)+T$1)/(1-T$2))</f>
        <v>29.060760631819022</v>
      </c>
      <c r="U243" s="173">
        <f t="shared" si="640"/>
        <v>0.09</v>
      </c>
      <c r="V243" s="173">
        <f t="shared" si="641"/>
        <v>0.1</v>
      </c>
      <c r="W243" s="174">
        <f t="shared" si="642"/>
        <v>0.11</v>
      </c>
      <c r="X243" s="173">
        <f t="shared" si="643"/>
        <v>0.09</v>
      </c>
      <c r="Y243" s="173">
        <f t="shared" si="644"/>
        <v>0.1</v>
      </c>
      <c r="Z243" s="174">
        <f t="shared" si="645"/>
        <v>0.11</v>
      </c>
      <c r="AA243" s="173">
        <f t="shared" si="646"/>
        <v>0.09</v>
      </c>
      <c r="AB243" s="173">
        <f t="shared" si="647"/>
        <v>0.11</v>
      </c>
      <c r="AC243" s="174">
        <f t="shared" si="648"/>
        <v>0.13</v>
      </c>
      <c r="AD243" s="173">
        <f t="shared" si="649"/>
        <v>0.09</v>
      </c>
      <c r="AE243" s="173">
        <f t="shared" si="650"/>
        <v>0.11</v>
      </c>
      <c r="AF243" s="174">
        <f t="shared" si="651"/>
        <v>0.13</v>
      </c>
      <c r="AG243" s="173">
        <f t="shared" si="652"/>
        <v>-0.1</v>
      </c>
      <c r="AH243" s="173">
        <f t="shared" si="653"/>
        <v>0.65</v>
      </c>
      <c r="AI243" s="174">
        <f t="shared" si="654"/>
        <v>0.1</v>
      </c>
      <c r="AJ243" s="173">
        <f t="shared" si="655"/>
        <v>-0.1</v>
      </c>
      <c r="AK243" s="173">
        <f t="shared" si="656"/>
        <v>0.65</v>
      </c>
      <c r="AL243" s="174">
        <f t="shared" si="657"/>
        <v>0.1</v>
      </c>
      <c r="AM243" s="173">
        <f t="shared" si="658"/>
        <v>-0.01</v>
      </c>
      <c r="AN243" s="173">
        <f t="shared" si="659"/>
        <v>0.16</v>
      </c>
      <c r="AO243" s="174">
        <f t="shared" si="660"/>
        <v>0.01</v>
      </c>
      <c r="AP243" s="173">
        <f t="shared" si="661"/>
        <v>-0.01</v>
      </c>
      <c r="AQ243" s="173">
        <f t="shared" si="662"/>
        <v>0.16</v>
      </c>
      <c r="AR243" s="175">
        <f t="shared" si="663"/>
        <v>0.01</v>
      </c>
      <c r="AS243" s="521">
        <f t="shared" si="699"/>
        <v>0.5</v>
      </c>
      <c r="AT243" s="349">
        <f t="shared" si="697"/>
        <v>21</v>
      </c>
      <c r="AU243" s="159">
        <f t="shared" si="582"/>
        <v>5</v>
      </c>
      <c r="AV243" s="159">
        <f t="shared" si="583"/>
        <v>5</v>
      </c>
      <c r="AW243" s="159">
        <f t="shared" si="700"/>
        <v>0</v>
      </c>
      <c r="AX243" s="15">
        <f t="shared" si="698"/>
        <v>31</v>
      </c>
      <c r="AY243" s="607">
        <f>IF(E243="",0,MIN((1-(1-VLOOKUP(B243,MAIN!$AA$7:$AM$28,C243+1))*(1-VLOOKUP(B243,MAIN!$AA$33:$AM$54,C243+1))),1))</f>
        <v>3.0000000000000027E-2</v>
      </c>
      <c r="AZ243" s="337">
        <v>48888</v>
      </c>
      <c r="BA243" s="509">
        <v>11640</v>
      </c>
      <c r="BB243" s="509">
        <v>11640</v>
      </c>
      <c r="BC243" s="511">
        <v>36084</v>
      </c>
      <c r="BD243" s="153">
        <v>0.96999999638646839</v>
      </c>
      <c r="BE243" s="474">
        <v>0.96999999638646839</v>
      </c>
      <c r="BF243" s="474">
        <v>0.96999999638646839</v>
      </c>
      <c r="BG243" s="515">
        <v>0.97000000722706314</v>
      </c>
      <c r="BH243" s="262">
        <v>195552</v>
      </c>
      <c r="BI243" s="509">
        <v>46560</v>
      </c>
      <c r="BJ243" s="509">
        <v>46560</v>
      </c>
      <c r="BK243" s="511">
        <v>144336</v>
      </c>
      <c r="BL243" s="153">
        <v>0.96999999638646839</v>
      </c>
      <c r="BM243" s="474">
        <v>0.96999999638646839</v>
      </c>
      <c r="BN243" s="474">
        <v>0.96999999638646839</v>
      </c>
      <c r="BO243" s="474">
        <v>0.97000000722706314</v>
      </c>
      <c r="BP243" s="261">
        <f t="shared" si="666"/>
        <v>72168</v>
      </c>
      <c r="BQ243" s="578">
        <f t="shared" si="667"/>
        <v>108252</v>
      </c>
      <c r="BR243" s="259">
        <f t="shared" si="668"/>
        <v>288672</v>
      </c>
      <c r="BS243" s="578">
        <f t="shared" si="669"/>
        <v>433008</v>
      </c>
      <c r="BT243" s="216">
        <f t="shared" si="670"/>
        <v>18.87748117727584</v>
      </c>
      <c r="BU243" s="218">
        <f t="shared" si="585"/>
        <v>43.742940508950781</v>
      </c>
      <c r="BV243" s="216">
        <f t="shared" si="586"/>
        <v>43.742940508950781</v>
      </c>
      <c r="BW243" s="216">
        <f t="shared" si="587"/>
        <v>29.060760523559253</v>
      </c>
      <c r="BX243" s="216">
        <f t="shared" si="671"/>
        <v>29.06076084833856</v>
      </c>
      <c r="BY243" s="216">
        <f t="shared" si="588"/>
        <v>41.374846962919896</v>
      </c>
      <c r="BZ243" s="216">
        <f t="shared" si="589"/>
        <v>37.270151591392782</v>
      </c>
      <c r="CA243" s="264">
        <f t="shared" si="590"/>
        <v>43.742940508950781</v>
      </c>
      <c r="CB243" s="216">
        <f t="shared" si="591"/>
        <v>43.742940508950781</v>
      </c>
      <c r="CC243" s="216">
        <f t="shared" si="592"/>
        <v>29.060760523559253</v>
      </c>
      <c r="CD243" s="216">
        <f t="shared" si="672"/>
        <v>29.06076084833856</v>
      </c>
      <c r="CE243" s="216">
        <f t="shared" si="593"/>
        <v>41.374846962919896</v>
      </c>
      <c r="CF243" s="571">
        <f t="shared" si="594"/>
        <v>37.270151591392782</v>
      </c>
      <c r="CG243" s="573">
        <f t="shared" si="595"/>
        <v>0.1</v>
      </c>
      <c r="CH243" s="219">
        <f t="shared" si="596"/>
        <v>0.1</v>
      </c>
      <c r="CI243" s="219">
        <f t="shared" si="597"/>
        <v>0.11</v>
      </c>
      <c r="CJ243" s="219">
        <f t="shared" si="598"/>
        <v>0.10114250933659069</v>
      </c>
      <c r="CK243" s="219">
        <f t="shared" si="599"/>
        <v>0.10114250933659069</v>
      </c>
      <c r="CL243" s="219">
        <f t="shared" si="600"/>
        <v>0.11</v>
      </c>
      <c r="CM243" s="219">
        <f t="shared" si="601"/>
        <v>9.2819274161914184E-2</v>
      </c>
      <c r="CN243" s="569">
        <f t="shared" si="602"/>
        <v>9.2819274161914184E-2</v>
      </c>
      <c r="CO243" s="264">
        <f t="shared" si="685"/>
        <v>25.580031524178995</v>
      </c>
      <c r="CP243" s="216">
        <f t="shared" si="673"/>
        <v>25.580031524178995</v>
      </c>
      <c r="CQ243" s="216">
        <f t="shared" ca="1" si="532"/>
        <v>25.580031524178995</v>
      </c>
      <c r="CR243" s="216">
        <f t="shared" ca="1" si="533"/>
        <v>25.580031524178995</v>
      </c>
      <c r="CS243" s="1626">
        <f t="shared" ca="1" si="534"/>
        <v>25.580031524178995</v>
      </c>
      <c r="CT243" s="216">
        <f t="shared" si="674"/>
        <v>25.580031524178995</v>
      </c>
      <c r="CU243" s="575">
        <f t="shared" si="603"/>
        <v>0.15</v>
      </c>
      <c r="CV243" s="154">
        <f t="shared" si="604"/>
        <v>0.5</v>
      </c>
      <c r="CW243" s="216">
        <f>IF(OR($BQ243,$BS243),SpreadOptPowerMargin,0)*((1+Assumptions!$C$26)^($B243-YEAR(Assumptions!$C$17)))</f>
        <v>2.4710142691631019</v>
      </c>
      <c r="CX243" s="216">
        <f>IF(OR($BQ243,$BS243),SpreadOptPowerMargin,0)*((1+Assumptions!$C$26)^($B243-YEAR(Assumptions!$C$17)))</f>
        <v>2.4710142691631019</v>
      </c>
      <c r="CY243" s="216">
        <f>IF(OR($BQ243,$BS243),SpreadOptPowerMargin,0)*((1+Assumptions!$C$26)^($B243-YEAR(Assumptions!$C$17)))</f>
        <v>2.4710142691631019</v>
      </c>
      <c r="CZ243" s="216">
        <f>IF(OR($BQ243,$BS243),SpreadOptPowerMargin,0)*((1+Assumptions!$C$26)^($B243-YEAR(Assumptions!$C$17)))</f>
        <v>2.4710142691631019</v>
      </c>
      <c r="DA243" s="440">
        <f t="shared" si="605"/>
        <v>2.4710142691631014</v>
      </c>
      <c r="DB243" s="479">
        <f t="shared" si="606"/>
        <v>0.1</v>
      </c>
      <c r="DC243" s="479">
        <f t="shared" si="607"/>
        <v>0.1</v>
      </c>
      <c r="DD243" s="479">
        <f t="shared" si="608"/>
        <v>0.11</v>
      </c>
      <c r="DE243" s="479">
        <f t="shared" si="609"/>
        <v>0.11</v>
      </c>
      <c r="DF243" s="479">
        <f t="shared" si="610"/>
        <v>9.2819274161914184E-2</v>
      </c>
      <c r="DG243" s="574">
        <f t="shared" si="611"/>
        <v>9.2819274161914184E-2</v>
      </c>
      <c r="DH243" s="216">
        <f t="shared" si="612"/>
        <v>17.812578648104864</v>
      </c>
      <c r="DI243" s="216">
        <f t="shared" si="613"/>
        <v>17.812578648104864</v>
      </c>
      <c r="DJ243" s="216">
        <f t="shared" ca="1" si="535"/>
        <v>6.6512041393778176</v>
      </c>
      <c r="DK243" s="216">
        <f t="shared" ca="1" si="536"/>
        <v>6.6512043462810739</v>
      </c>
      <c r="DL243" s="216">
        <f t="shared" ca="1" si="537"/>
        <v>12.356776990296167</v>
      </c>
      <c r="DM243" s="216"/>
      <c r="DN243" s="216"/>
      <c r="DO243" s="216"/>
      <c r="DP243" s="216"/>
      <c r="DQ243" s="216"/>
      <c r="DR243" s="216"/>
      <c r="DS243" s="216"/>
      <c r="DT243" s="216"/>
      <c r="DU243" s="216"/>
      <c r="DV243" s="216"/>
      <c r="DW243" s="1371">
        <f t="shared" si="614"/>
        <v>6.6512041393778176</v>
      </c>
      <c r="DX243" s="216">
        <f t="shared" si="615"/>
        <v>6.6512043462810739</v>
      </c>
      <c r="DY243" s="440">
        <f t="shared" si="616"/>
        <v>12.891972750859615</v>
      </c>
      <c r="DZ243" s="180">
        <f t="shared" si="617"/>
        <v>870821.34494855057</v>
      </c>
      <c r="EA243" s="180">
        <f t="shared" si="618"/>
        <v>207338.41546394062</v>
      </c>
      <c r="EB243" s="180">
        <f t="shared" ca="1" si="538"/>
        <v>77420.016182357795</v>
      </c>
      <c r="EC243" s="180">
        <f t="shared" ca="1" si="539"/>
        <v>240002.05763120626</v>
      </c>
      <c r="ED243" s="180">
        <f t="shared" ca="1" si="540"/>
        <v>1337645.8227535407</v>
      </c>
      <c r="EE243" s="581">
        <f t="shared" si="619"/>
        <v>767145.3488566773</v>
      </c>
      <c r="EF243" s="554">
        <f t="shared" si="620"/>
        <v>182653.65448968508</v>
      </c>
      <c r="EG243" s="554">
        <f t="shared" ca="1" si="541"/>
        <v>11753.079459727684</v>
      </c>
      <c r="EH243" s="554">
        <f t="shared" ca="1" si="542"/>
        <v>36434.558044492347</v>
      </c>
      <c r="EI243" s="561">
        <f t="shared" ca="1" si="621"/>
        <v>997986.64085058263</v>
      </c>
      <c r="EJ243" s="581">
        <f t="shared" si="675"/>
        <v>103675.99609187327</v>
      </c>
      <c r="EK243" s="554">
        <f t="shared" si="676"/>
        <v>24684.760974255536</v>
      </c>
      <c r="EL243" s="554">
        <f t="shared" ca="1" si="543"/>
        <v>65666.936722630111</v>
      </c>
      <c r="EM243" s="554">
        <f t="shared" ca="1" si="544"/>
        <v>203567.49958671391</v>
      </c>
      <c r="EN243" s="561">
        <f t="shared" ca="1" si="545"/>
        <v>339659.18190295808</v>
      </c>
      <c r="EO243" s="180">
        <f t="shared" si="622"/>
        <v>3483285.3797942023</v>
      </c>
      <c r="EP243" s="180">
        <f t="shared" si="623"/>
        <v>829353.66185576248</v>
      </c>
      <c r="EQ243" s="180">
        <f t="shared" si="624"/>
        <v>309680.06472943118</v>
      </c>
      <c r="ER243" s="180">
        <f t="shared" si="625"/>
        <v>960008.23052482505</v>
      </c>
      <c r="ES243" s="180">
        <f t="shared" si="626"/>
        <v>5582327.3369042203</v>
      </c>
      <c r="ET243" s="1482">
        <f t="shared" ca="1" si="546"/>
        <v>3068581.3954267092</v>
      </c>
      <c r="EU243" s="180">
        <f t="shared" ca="1" si="547"/>
        <v>730614.61795874033</v>
      </c>
      <c r="EV243" s="180">
        <f t="shared" ca="1" si="548"/>
        <v>47012.317838910734</v>
      </c>
      <c r="EW243" s="180">
        <f t="shared" ca="1" si="549"/>
        <v>145738.23217796939</v>
      </c>
      <c r="EX243" s="555">
        <f t="shared" ca="1" si="693"/>
        <v>3991946.56340233</v>
      </c>
      <c r="EY243" s="180">
        <f t="shared" ca="1" si="550"/>
        <v>414703.98436749307</v>
      </c>
      <c r="EZ243" s="180">
        <f t="shared" ca="1" si="551"/>
        <v>98739.043897022144</v>
      </c>
      <c r="FA243" s="180">
        <f t="shared" ca="1" si="552"/>
        <v>262667.74689052044</v>
      </c>
      <c r="FB243" s="180">
        <f t="shared" ca="1" si="553"/>
        <v>814269.99834685563</v>
      </c>
      <c r="FC243" s="180">
        <f t="shared" ca="1" si="554"/>
        <v>1590380.7735018902</v>
      </c>
      <c r="FD243" s="262">
        <f>IF(AX243,IF(VLOOKUP(C243,MAIN!$L$17:$M$28,2)="Yes",VLOOKUP(CALC!B243,MAIN!$H$17:$I$20,2),0),0)</f>
        <v>0</v>
      </c>
      <c r="FE243" s="623">
        <f t="shared" si="627"/>
        <v>0</v>
      </c>
      <c r="FF243" s="535">
        <f t="shared" si="628"/>
        <v>0</v>
      </c>
      <c r="FG243" s="535">
        <f t="shared" si="629"/>
        <v>0</v>
      </c>
      <c r="FH243" s="624">
        <f t="shared" si="630"/>
        <v>0</v>
      </c>
      <c r="FI243" s="632">
        <f>IF(AX243,VLOOKUP(CALC!B243,MAIN!$H$17:$K$20,4),0)</f>
        <v>0</v>
      </c>
      <c r="FJ243" s="535">
        <f t="shared" si="631"/>
        <v>0</v>
      </c>
      <c r="FK243" s="648">
        <f t="shared" si="677"/>
        <v>0</v>
      </c>
      <c r="FL243" s="530">
        <f t="shared" ca="1" si="555"/>
        <v>0</v>
      </c>
      <c r="FM243" s="530">
        <f t="shared" ca="1" si="556"/>
        <v>0</v>
      </c>
      <c r="FN243" s="530">
        <f t="shared" ca="1" si="557"/>
        <v>0</v>
      </c>
      <c r="FO243" s="622">
        <f t="shared" ca="1" si="558"/>
        <v>0</v>
      </c>
      <c r="FP243" s="530">
        <f t="shared" ca="1" si="559"/>
        <v>0</v>
      </c>
      <c r="FQ243" s="530">
        <f t="shared" ca="1" si="560"/>
        <v>0</v>
      </c>
      <c r="FR243" s="530">
        <f t="shared" ca="1" si="561"/>
        <v>0</v>
      </c>
      <c r="FS243" s="625">
        <f t="shared" ca="1" si="562"/>
        <v>0</v>
      </c>
      <c r="FT243" s="640">
        <f ca="1">IF(AND(Assumptions!$H$71="Yes",A243&gt;=Assumptions!$H$72,A243&lt;=Assumptions!$H$73),0,IF(AND($A243&gt;=Assumptions!$C$17,$A243&lt;=Assumptions!$C$18),MAX(AZ243*(1+VLOOKUP($C243,WeatherCapacityAdjustment,2))-FL243,0),0))</f>
        <v>48888</v>
      </c>
      <c r="FU243" s="530">
        <f ca="1">IF(AND(Assumptions!$H$71="Yes",A243&gt;=Assumptions!$H$72,A243&lt;=Assumptions!$H$73),0,IF(AND($A243&gt;=Assumptions!$C$17,$A243&lt;=Assumptions!$C$18),MAX(BA243*(1+VLOOKUP($C243,WeatherCapacityAdjustment,2))-FM243,0),0))</f>
        <v>11640</v>
      </c>
      <c r="FV243" s="530">
        <f ca="1">IF(AND(Assumptions!$H$71="Yes",A243&gt;=Assumptions!$H$72,A243&lt;=Assumptions!$H$73),0,IF(AND($A243&gt;=Assumptions!$C$17,$A243&lt;=Assumptions!$C$18),MAX(BB243*(1+VLOOKUP($C243,WeatherCapacityAdjustment,2))-FN243,0),0))</f>
        <v>11640</v>
      </c>
      <c r="FW243" s="622">
        <f ca="1">IF(AND(Assumptions!$H$71="Yes",A243&gt;=Assumptions!$H$72,A243&lt;=Assumptions!$H$73),0,IF(AND($A243&gt;=Assumptions!$C$17,$A243&lt;=Assumptions!$C$18),MAX(BC243*(1+VLOOKUP($C243,WeatherCapacityAdjustment,3))-FO243,0),0))</f>
        <v>36084</v>
      </c>
      <c r="FX243" s="621">
        <f ca="1">IF(AND(Assumptions!$H$71="Yes",A243&gt;=Assumptions!$H$72,A243&lt;=Assumptions!$H$73),0,IF(ET243&gt;0,MAX(BH243*(1+VLOOKUP($C243,WeatherCapacityAdjustment,2))-FP243,0),0))</f>
        <v>195552</v>
      </c>
      <c r="FY243" s="530">
        <f ca="1">IF(AND(Assumptions!$H$71="Yes",A243&gt;=Assumptions!$H$72,A243&lt;=Assumptions!$H$73),0,IF(EU243&gt;0,MAX(BI243*(1+VLOOKUP($C243,WeatherCapacityAdjustment,3))-FQ243,0),0))</f>
        <v>46560</v>
      </c>
      <c r="FZ243" s="530">
        <f ca="1">IF(AND(Assumptions!$H$71="Yes",A243&gt;=Assumptions!$H$72,A243&lt;=Assumptions!$H$73),0,IF(EV243&gt;0,MAX(BJ243*(1+VLOOKUP($C243,WeatherCapacityAdjustment,2))-FR243,0),0))</f>
        <v>46560</v>
      </c>
      <c r="GA243" s="622">
        <f ca="1">IF(AND(Assumptions!$H$71="Yes",A243&gt;=Assumptions!$H$72,A243&lt;=Assumptions!$H$73),0,IF(EW243&gt;0,MAX(BK243*(1+VLOOKUP($C243,WeatherCapacityAdjustment,2))-FS243,0),0))</f>
        <v>144336</v>
      </c>
      <c r="GB243" s="530">
        <f t="shared" ca="1" si="632"/>
        <v>541260</v>
      </c>
      <c r="GC243" s="545">
        <f t="shared" ca="1" si="633"/>
        <v>37.270151591392782</v>
      </c>
      <c r="GD243" s="530">
        <f t="shared" ca="1" si="563"/>
        <v>20172842.250357255</v>
      </c>
      <c r="GE243" s="1485">
        <f t="shared" ca="1" si="564"/>
        <v>772404.00048000005</v>
      </c>
      <c r="GF243" s="1776">
        <f t="shared" ca="1" si="565"/>
        <v>3089616.0019200002</v>
      </c>
      <c r="GG243" s="545">
        <f t="shared" si="701"/>
        <v>3.5850274866968728</v>
      </c>
      <c r="GH243" s="622">
        <f t="shared" ca="1" si="702"/>
        <v>13845447.862777123</v>
      </c>
      <c r="GI243" s="621">
        <f t="shared" ca="1" si="678"/>
        <v>541260</v>
      </c>
      <c r="GJ243" s="638">
        <f t="shared" si="634"/>
        <v>2.4710142691631014</v>
      </c>
      <c r="GK243" s="625">
        <f t="shared" ca="1" si="684"/>
        <v>1337461.1833272204</v>
      </c>
      <c r="GL243" s="640">
        <f t="shared" ca="1" si="566"/>
        <v>0</v>
      </c>
      <c r="GM243" s="530">
        <f t="shared" ca="1" si="567"/>
        <v>0</v>
      </c>
      <c r="GN243" s="530">
        <f t="shared" ca="1" si="568"/>
        <v>0</v>
      </c>
      <c r="GO243" s="622">
        <f t="shared" ca="1" si="569"/>
        <v>0</v>
      </c>
      <c r="GP243" s="530">
        <f t="shared" ca="1" si="635"/>
        <v>0</v>
      </c>
      <c r="GQ243" s="545">
        <f t="shared" ca="1" si="636"/>
        <v>0</v>
      </c>
      <c r="GR243" s="625">
        <f t="shared" ca="1" si="570"/>
        <v>0</v>
      </c>
      <c r="GS243" s="640">
        <f>IF($A243&gt;=BegDate,Assumptions!$C$56*24*($A244-$A243)*(1-VLOOKUP($B243,MAIN!$AA$7:$AM$28,$C243+1))*(1-VLOOKUP($B243,MAIN!$AA$33:$AM$54,$C243+1)),0)*80/168</f>
        <v>257742.85714285713</v>
      </c>
      <c r="GT243" s="1715">
        <f t="shared" si="679"/>
        <v>43.742940671905927</v>
      </c>
      <c r="GU243" s="1715">
        <f>IF($A243&gt;=BegDate,VLOOKUP($A243,GasTable,13)+Assumptions!$C$58,0)</f>
        <v>3.5850274866968728</v>
      </c>
      <c r="GV243" s="1715">
        <f>GU243*Assumptions!$C$57/1000</f>
        <v>25.991449278552327</v>
      </c>
      <c r="GW243" s="625">
        <f>IF(Assumptions!$C$60="Hourly",MAX(0,GS243*(GT243-GV243)),GS243*(GT243-GV243))</f>
        <v>4575320.1102697952</v>
      </c>
      <c r="GX243" s="640">
        <f>IF($A243&gt;=BegDate,Assumptions!$C$56*24*($A244-$A243)*(1-VLOOKUP($B243,MAIN!$AA$7:$AM$28,$C243+1))*(1-VLOOKUP($B243,MAIN!$AA$33:$AM$54,$C243+1)),0)*16/168</f>
        <v>51548.571428571428</v>
      </c>
      <c r="GY243" s="1715">
        <f t="shared" si="680"/>
        <v>43.742940671905927</v>
      </c>
      <c r="GZ243" s="1715">
        <f>IF($A243&gt;=BegDate,VLOOKUP($A243,GasTable,13)+Assumptions!$C$58,0)</f>
        <v>3.5850274866968728</v>
      </c>
      <c r="HA243" s="1715">
        <f>GZ243*Assumptions!$C$57/1000</f>
        <v>25.991449278552327</v>
      </c>
      <c r="HB243" s="625">
        <f>IF(Assumptions!$C$60="Hourly",MAX(0,GX243*(GY243-HA243)),GX243*(GY243-HA243))</f>
        <v>915064.02205395896</v>
      </c>
      <c r="HC243" s="640">
        <f>IF($A243&gt;=BegDate,Assumptions!$C$56*24*($A244-$A243)*(1-VLOOKUP($B243,MAIN!$AA$7:$AM$28,$C243+1))*(1-VLOOKUP($B243,MAIN!$AA$33:$AM$54,$C243+1)),0)*16/168</f>
        <v>51548.571428571428</v>
      </c>
      <c r="HD243" s="1715">
        <f t="shared" si="681"/>
        <v>29.060760631819022</v>
      </c>
      <c r="HE243" s="1715">
        <f>IF($A243&gt;=BegDate,VLOOKUP($A243,GasTable,13)+Assumptions!$C$58,0)</f>
        <v>3.5850274866968728</v>
      </c>
      <c r="HF243" s="1715">
        <f>HE243*Assumptions!$C$57/1000</f>
        <v>25.991449278552327</v>
      </c>
      <c r="HG243" s="625">
        <f>IF(Assumptions!$C$60="Hourly",MAX(0,HC243*(HD243-HF243)),HC243*(HD243-HF243))</f>
        <v>158218.61553039346</v>
      </c>
      <c r="HH243" s="640">
        <f>IF($A243&gt;=BegDate,Assumptions!$C$56*24*($A244-$A243)*(1-VLOOKUP($B243,MAIN!$AA$7:$AM$28,$C243+1))*(1-VLOOKUP($B243,MAIN!$AA$33:$AM$54,$C243+1)),0)*56/168</f>
        <v>180420</v>
      </c>
      <c r="HI243" s="1715">
        <f t="shared" si="682"/>
        <v>29.060760631819022</v>
      </c>
      <c r="HJ243" s="1715">
        <f>IF($A243&gt;=BegDate,VLOOKUP($A243,GasTable,13)+Assumptions!$C$58,0)</f>
        <v>3.5850274866968728</v>
      </c>
      <c r="HK243" s="1715">
        <f>HJ243*Assumptions!$C$57/1000</f>
        <v>25.991449278552327</v>
      </c>
      <c r="HL243" s="625">
        <f>IF(Assumptions!$C$60="Hourly",MAX(0,HH243*(HI243-HK243)),HH243*(HI243-HK243))</f>
        <v>553765.15435637708</v>
      </c>
      <c r="HM243" s="640">
        <f>IF(AND(Assumptions!$H$71="Yes",A243&gt;=Assumptions!$H$72,A243&lt;=Assumptions!$H$73),Assumptions!$H$74*Assumptions!$C$9*1000,0)</f>
        <v>0</v>
      </c>
      <c r="HN243" s="530"/>
      <c r="HO243" s="545"/>
      <c r="HP243" s="545"/>
      <c r="HQ243" s="545"/>
      <c r="HR243" s="545"/>
      <c r="HS243" s="545"/>
      <c r="HT243" s="545"/>
      <c r="HU243" s="545"/>
      <c r="HV243" s="545"/>
      <c r="HW243" s="545"/>
      <c r="HX243" s="545"/>
      <c r="HY243" s="545"/>
      <c r="HZ243" s="545"/>
      <c r="IA243" s="545"/>
      <c r="IB243" s="545"/>
      <c r="IC243" s="545"/>
      <c r="ID243" s="545"/>
      <c r="IE243" s="545"/>
      <c r="IF243" s="545"/>
      <c r="IG243" s="545"/>
      <c r="IH243" s="545"/>
      <c r="II243" s="1464"/>
      <c r="IJ243" s="1463"/>
      <c r="IK243" s="1463"/>
    </row>
    <row r="244" spans="1:245">
      <c r="A244" s="177">
        <f t="shared" si="637"/>
        <v>43556</v>
      </c>
      <c r="B244" s="349">
        <f t="shared" si="638"/>
        <v>2019</v>
      </c>
      <c r="C244" s="15">
        <f t="shared" si="694"/>
        <v>4</v>
      </c>
      <c r="D244" s="612" t="str">
        <f t="shared" si="639"/>
        <v/>
      </c>
      <c r="E244" s="609">
        <f t="shared" si="695"/>
        <v>43556</v>
      </c>
      <c r="F244" s="614">
        <f t="shared" si="696"/>
        <v>43585</v>
      </c>
      <c r="G244" s="1349">
        <v>0</v>
      </c>
      <c r="H244" s="152">
        <f t="shared" si="683"/>
        <v>1</v>
      </c>
      <c r="I244" s="154">
        <f>IF(Assumptions!$L$25=4,VLOOKUP($A244,'Henwood Reference'!$E$9:$R$320,10),(VLOOKUP($A244,PriceTable,2,0)+IF(BasisNumber&lt;&gt;1,VLOOKUP($A244,BasisTable,2,0),0)+I$1)/(1-I$2))</f>
        <v>42.355765073424962</v>
      </c>
      <c r="J244" s="154">
        <f>IF(Assumptions!$L$25=4,VLOOKUP($A244,'Henwood Reference'!$E$9:$R$320,10),(VLOOKUP($A244,PriceTable,3,0)+IF(BasisNumber&lt;&gt;1,VLOOKUP($A244,BasisTable,2,0),0)+J$1)/(1-J$2))</f>
        <v>42.355765073424962</v>
      </c>
      <c r="K244" s="154">
        <f>IF(Assumptions!$L$25=4,VLOOKUP($A244,'Henwood Reference'!$E$9:$R$320,10),(VLOOKUP($A244,PriceTable,4,0)+IF(BasisNumber&lt;&gt;1,VLOOKUP($A244,BasisTable,2,0),0)+K$1)/(1-K$2))</f>
        <v>42.355765073424962</v>
      </c>
      <c r="L244" s="474">
        <f>IF(Assumptions!$L$25=4,VLOOKUP($A244,'Henwood Reference'!$E$9:$R$320,10),(VLOOKUP($A244,PriceTableWeekend,2,0)+IF(BasisNumber&lt;&gt;1,VLOOKUP($A244,BasisTable,2,0),0)+L$1)/(1-L$2))</f>
        <v>42.355765073424962</v>
      </c>
      <c r="M244" s="154">
        <f>IF(Assumptions!$L$25=4,VLOOKUP($A244,'Henwood Reference'!$E$9:$R$320,10),(VLOOKUP($A244,PriceTableWeekend,3,0)+IF(BasisNumber&lt;&gt;1,VLOOKUP($A244,BasisTable,2,0),0)+M$1)/(1-M$2))</f>
        <v>42.355765073424962</v>
      </c>
      <c r="N244" s="156">
        <f>IF(Assumptions!$L$25=4,VLOOKUP($A244,'Henwood Reference'!$E$9:$R$320,10),(VLOOKUP($A244,PriceTableWeekend,4,0)+IF(BasisNumber&lt;&gt;1,VLOOKUP($A244,BasisTable,2,0),0)+N$1)/(1-N$2))</f>
        <v>42.355765073424962</v>
      </c>
      <c r="O244" s="154">
        <f>IF(Assumptions!$L$25=4,VLOOKUP($A244,'Henwood Reference'!$E$9:$R$320,11),(VLOOKUP($A244,PriceTableWeekend,6,0)+IF(BasisNumber&lt;&gt;1,VLOOKUP($A244,BasisTable,3,0),0)+O$1)/(1-O$2))</f>
        <v>28.962425877673397</v>
      </c>
      <c r="P244" s="154">
        <f>IF(Assumptions!$L$25=4,VLOOKUP($A244,'Henwood Reference'!$E$9:$R$320,11),(VLOOKUP($A244,PriceTableWeekend,7,0)+IF(BasisNumber&lt;&gt;1,VLOOKUP($A244,BasisTable,3,0),0)+P$1)/(1-P$2))</f>
        <v>28.962425877673397</v>
      </c>
      <c r="Q244" s="156">
        <f>IF(Assumptions!$L$25=4,VLOOKUP($A244,'Henwood Reference'!$E$9:$R$320,11),(VLOOKUP($A244,PriceTableWeekend,8,0)+IF(BasisNumber&lt;&gt;1,VLOOKUP($A244,BasisTable,3,0),0)+Q$1)/(1-Q$2))</f>
        <v>28.962425877673397</v>
      </c>
      <c r="R244" s="154">
        <f>IF(Assumptions!$L$25=4,VLOOKUP($A244,'Henwood Reference'!$E$9:$R$320,11),(VLOOKUP($A244,PriceTable,6,0)+IF(BasisNumber&lt;&gt;1,VLOOKUP($A244,BasisTable,3,0),0)+R$1)/(1-R$2))</f>
        <v>28.962425877673397</v>
      </c>
      <c r="S244" s="154">
        <f>IF(Assumptions!$L$25=4,VLOOKUP($A244,'Henwood Reference'!$E$9:$R$320,11),(VLOOKUP($A244,PriceTable,7,0)+IF(BasisNumber&lt;&gt;1,VLOOKUP($A244,BasisTable,3,0),0)+S$1)/(1-S$2))</f>
        <v>28.962425877673397</v>
      </c>
      <c r="T244" s="155">
        <f>IF(Assumptions!$L$25=4,VLOOKUP($A244,'Henwood Reference'!$E$9:$R$320,11),(VLOOKUP($A244,PriceTable,8,0)+IF(BasisNumber&lt;&gt;1,VLOOKUP($A244,BasisTable,3,0),0)+T$1)/(1-T$2))</f>
        <v>28.962425877673397</v>
      </c>
      <c r="U244" s="173">
        <f t="shared" si="640"/>
        <v>0.09</v>
      </c>
      <c r="V244" s="173">
        <f t="shared" si="641"/>
        <v>0.1</v>
      </c>
      <c r="W244" s="174">
        <f t="shared" si="642"/>
        <v>0.11</v>
      </c>
      <c r="X244" s="173">
        <f t="shared" si="643"/>
        <v>0.09</v>
      </c>
      <c r="Y244" s="173">
        <f t="shared" si="644"/>
        <v>0.1</v>
      </c>
      <c r="Z244" s="174">
        <f t="shared" si="645"/>
        <v>0.11</v>
      </c>
      <c r="AA244" s="173">
        <f t="shared" si="646"/>
        <v>0.09</v>
      </c>
      <c r="AB244" s="173">
        <f t="shared" si="647"/>
        <v>0.11</v>
      </c>
      <c r="AC244" s="174">
        <f t="shared" si="648"/>
        <v>0.13</v>
      </c>
      <c r="AD244" s="173">
        <f t="shared" si="649"/>
        <v>0.09</v>
      </c>
      <c r="AE244" s="173">
        <f t="shared" si="650"/>
        <v>0.11</v>
      </c>
      <c r="AF244" s="174">
        <f t="shared" si="651"/>
        <v>0.13</v>
      </c>
      <c r="AG244" s="173">
        <f t="shared" si="652"/>
        <v>-0.1</v>
      </c>
      <c r="AH244" s="173">
        <f t="shared" si="653"/>
        <v>0.65</v>
      </c>
      <c r="AI244" s="174">
        <f t="shared" si="654"/>
        <v>0.1</v>
      </c>
      <c r="AJ244" s="173">
        <f t="shared" si="655"/>
        <v>-0.1</v>
      </c>
      <c r="AK244" s="173">
        <f t="shared" si="656"/>
        <v>0.65</v>
      </c>
      <c r="AL244" s="174">
        <f t="shared" si="657"/>
        <v>0.1</v>
      </c>
      <c r="AM244" s="173">
        <f t="shared" si="658"/>
        <v>-0.01</v>
      </c>
      <c r="AN244" s="173">
        <f t="shared" si="659"/>
        <v>0.16</v>
      </c>
      <c r="AO244" s="174">
        <f t="shared" si="660"/>
        <v>0.01</v>
      </c>
      <c r="AP244" s="173">
        <f t="shared" si="661"/>
        <v>-0.01</v>
      </c>
      <c r="AQ244" s="173">
        <f t="shared" si="662"/>
        <v>0.16</v>
      </c>
      <c r="AR244" s="175">
        <f t="shared" si="663"/>
        <v>0.01</v>
      </c>
      <c r="AS244" s="521">
        <f t="shared" si="699"/>
        <v>0.5</v>
      </c>
      <c r="AT244" s="349">
        <f t="shared" si="697"/>
        <v>22</v>
      </c>
      <c r="AU244" s="159">
        <f t="shared" si="582"/>
        <v>4</v>
      </c>
      <c r="AV244" s="159">
        <f t="shared" si="583"/>
        <v>4</v>
      </c>
      <c r="AW244" s="159">
        <f t="shared" si="700"/>
        <v>0</v>
      </c>
      <c r="AX244" s="15">
        <f t="shared" si="698"/>
        <v>30</v>
      </c>
      <c r="AY244" s="607">
        <f>IF(E244="",0,MIN((1-(1-VLOOKUP(B244,MAIN!$AA$7:$AM$28,C244+1))*(1-VLOOKUP(B244,MAIN!$AA$33:$AM$54,C244+1))),1))</f>
        <v>0.127</v>
      </c>
      <c r="AZ244" s="337">
        <v>46094.400000000001</v>
      </c>
      <c r="BA244" s="509">
        <v>8380.7999999999993</v>
      </c>
      <c r="BB244" s="509">
        <v>8380.7999999999993</v>
      </c>
      <c r="BC244" s="511">
        <v>31428</v>
      </c>
      <c r="BD244" s="153">
        <v>0.873</v>
      </c>
      <c r="BE244" s="474">
        <v>0.873</v>
      </c>
      <c r="BF244" s="474">
        <v>0.873</v>
      </c>
      <c r="BG244" s="515">
        <v>0.87300000650435683</v>
      </c>
      <c r="BH244" s="262">
        <v>184377.60000000001</v>
      </c>
      <c r="BI244" s="509">
        <v>33523.199999999997</v>
      </c>
      <c r="BJ244" s="509">
        <v>33523.199999999997</v>
      </c>
      <c r="BK244" s="511">
        <v>125712</v>
      </c>
      <c r="BL244" s="153">
        <v>0.873</v>
      </c>
      <c r="BM244" s="474">
        <v>0.873</v>
      </c>
      <c r="BN244" s="474">
        <v>0.873</v>
      </c>
      <c r="BO244" s="474">
        <v>0.87300000650435683</v>
      </c>
      <c r="BP244" s="261">
        <f t="shared" si="666"/>
        <v>62856</v>
      </c>
      <c r="BQ244" s="578">
        <f t="shared" si="667"/>
        <v>94284</v>
      </c>
      <c r="BR244" s="259">
        <f t="shared" si="668"/>
        <v>251424</v>
      </c>
      <c r="BS244" s="578">
        <f t="shared" si="669"/>
        <v>377136</v>
      </c>
      <c r="BT244" s="216">
        <f t="shared" si="670"/>
        <v>18.962354551676935</v>
      </c>
      <c r="BU244" s="218">
        <f t="shared" si="585"/>
        <v>42.355765073424962</v>
      </c>
      <c r="BV244" s="216">
        <f t="shared" si="586"/>
        <v>42.355765073424962</v>
      </c>
      <c r="BW244" s="216">
        <f t="shared" si="587"/>
        <v>28.962425877673397</v>
      </c>
      <c r="BX244" s="216">
        <f t="shared" si="671"/>
        <v>28.962426093460284</v>
      </c>
      <c r="BY244" s="216">
        <f t="shared" si="588"/>
        <v>40.569986513991417</v>
      </c>
      <c r="BZ244" s="216">
        <f t="shared" si="589"/>
        <v>36.700799707147702</v>
      </c>
      <c r="CA244" s="264">
        <f t="shared" si="590"/>
        <v>42.355765073424962</v>
      </c>
      <c r="CB244" s="216">
        <f t="shared" si="591"/>
        <v>42.355765073424962</v>
      </c>
      <c r="CC244" s="216">
        <f t="shared" si="592"/>
        <v>28.962425877673397</v>
      </c>
      <c r="CD244" s="216">
        <f t="shared" si="672"/>
        <v>28.962426093460284</v>
      </c>
      <c r="CE244" s="216">
        <f t="shared" si="593"/>
        <v>40.569986513991417</v>
      </c>
      <c r="CF244" s="571">
        <f t="shared" si="594"/>
        <v>36.700799707147702</v>
      </c>
      <c r="CG244" s="573">
        <f t="shared" si="595"/>
        <v>0.1</v>
      </c>
      <c r="CH244" s="219">
        <f t="shared" si="596"/>
        <v>0.1</v>
      </c>
      <c r="CI244" s="219">
        <f t="shared" si="597"/>
        <v>0.11</v>
      </c>
      <c r="CJ244" s="219">
        <f t="shared" si="598"/>
        <v>0.10096014135114131</v>
      </c>
      <c r="CK244" s="219">
        <f t="shared" si="599"/>
        <v>0.10096014135114131</v>
      </c>
      <c r="CL244" s="219">
        <f t="shared" si="600"/>
        <v>0.11</v>
      </c>
      <c r="CM244" s="219">
        <f t="shared" si="601"/>
        <v>9.2632497090663971E-2</v>
      </c>
      <c r="CN244" s="569">
        <f t="shared" si="602"/>
        <v>9.2632497090663971E-2</v>
      </c>
      <c r="CO244" s="264">
        <f t="shared" si="685"/>
        <v>24.781150998812581</v>
      </c>
      <c r="CP244" s="216">
        <f t="shared" si="673"/>
        <v>24.781150998812581</v>
      </c>
      <c r="CQ244" s="216">
        <f t="shared" ca="1" si="532"/>
        <v>24.781150998812581</v>
      </c>
      <c r="CR244" s="216">
        <f t="shared" ca="1" si="533"/>
        <v>24.781150998812581</v>
      </c>
      <c r="CS244" s="1626">
        <f t="shared" ca="1" si="534"/>
        <v>24.781150998812578</v>
      </c>
      <c r="CT244" s="216">
        <f t="shared" si="674"/>
        <v>24.781150998812581</v>
      </c>
      <c r="CU244" s="575">
        <f t="shared" si="603"/>
        <v>0.15</v>
      </c>
      <c r="CV244" s="154">
        <f t="shared" si="604"/>
        <v>0.5</v>
      </c>
      <c r="CW244" s="216">
        <f>IF(OR($BQ244,$BS244),SpreadOptPowerMargin,0)*((1+Assumptions!$C$26)^($B244-YEAR(Assumptions!$C$17)))</f>
        <v>2.4710142691631019</v>
      </c>
      <c r="CX244" s="216">
        <f>IF(OR($BQ244,$BS244),SpreadOptPowerMargin,0)*((1+Assumptions!$C$26)^($B244-YEAR(Assumptions!$C$17)))</f>
        <v>2.4710142691631019</v>
      </c>
      <c r="CY244" s="216">
        <f>IF(OR($BQ244,$BS244),SpreadOptPowerMargin,0)*((1+Assumptions!$C$26)^($B244-YEAR(Assumptions!$C$17)))</f>
        <v>2.4710142691631019</v>
      </c>
      <c r="CZ244" s="216">
        <f>IF(OR($BQ244,$BS244),SpreadOptPowerMargin,0)*((1+Assumptions!$C$26)^($B244-YEAR(Assumptions!$C$17)))</f>
        <v>2.4710142691631019</v>
      </c>
      <c r="DA244" s="440">
        <f t="shared" si="605"/>
        <v>2.4710142691631019</v>
      </c>
      <c r="DB244" s="479">
        <f t="shared" si="606"/>
        <v>0.1</v>
      </c>
      <c r="DC244" s="479">
        <f t="shared" si="607"/>
        <v>0.1</v>
      </c>
      <c r="DD244" s="479">
        <f t="shared" si="608"/>
        <v>0.11</v>
      </c>
      <c r="DE244" s="479">
        <f t="shared" si="609"/>
        <v>0.11</v>
      </c>
      <c r="DF244" s="479">
        <f t="shared" si="610"/>
        <v>9.2632497090663971E-2</v>
      </c>
      <c r="DG244" s="574">
        <f t="shared" si="611"/>
        <v>9.2632497090663971E-2</v>
      </c>
      <c r="DH244" s="216">
        <f t="shared" si="612"/>
        <v>17.184360416929518</v>
      </c>
      <c r="DI244" s="216">
        <f t="shared" si="613"/>
        <v>17.184360416929518</v>
      </c>
      <c r="DJ244" s="216">
        <f t="shared" ca="1" si="535"/>
        <v>6.9341685476004589</v>
      </c>
      <c r="DK244" s="216">
        <f t="shared" ca="1" si="536"/>
        <v>6.9341686888525711</v>
      </c>
      <c r="DL244" s="216">
        <f t="shared" ca="1" si="537"/>
        <v>12.395735047397318</v>
      </c>
      <c r="DM244" s="216"/>
      <c r="DN244" s="216"/>
      <c r="DO244" s="216"/>
      <c r="DP244" s="216"/>
      <c r="DQ244" s="216"/>
      <c r="DR244" s="216"/>
      <c r="DS244" s="216"/>
      <c r="DT244" s="216"/>
      <c r="DU244" s="216"/>
      <c r="DV244" s="216"/>
      <c r="DW244" s="1371">
        <f t="shared" si="614"/>
        <v>6.9341685476004589</v>
      </c>
      <c r="DX244" s="216">
        <f t="shared" si="615"/>
        <v>6.9341686888525711</v>
      </c>
      <c r="DY244" s="440">
        <f t="shared" si="616"/>
        <v>12.856501674741285</v>
      </c>
      <c r="DZ244" s="180">
        <f t="shared" si="617"/>
        <v>792102.78280211601</v>
      </c>
      <c r="EA244" s="180">
        <f t="shared" si="618"/>
        <v>144018.68778220291</v>
      </c>
      <c r="EB244" s="180">
        <f t="shared" ca="1" si="538"/>
        <v>58113.879763729921</v>
      </c>
      <c r="EC244" s="180">
        <f t="shared" ca="1" si="539"/>
        <v>217927.05355325859</v>
      </c>
      <c r="ED244" s="180">
        <f t="shared" ca="1" si="540"/>
        <v>1168719.4832088088</v>
      </c>
      <c r="EE244" s="581">
        <f t="shared" si="619"/>
        <v>696191.37087230117</v>
      </c>
      <c r="EF244" s="554">
        <f t="shared" si="620"/>
        <v>126580.2492495093</v>
      </c>
      <c r="EG244" s="554">
        <f t="shared" ca="1" si="541"/>
        <v>14333.352117754588</v>
      </c>
      <c r="EH244" s="554">
        <f t="shared" ca="1" si="542"/>
        <v>53750.077223330001</v>
      </c>
      <c r="EI244" s="561">
        <f t="shared" ca="1" si="621"/>
        <v>890855.04946289491</v>
      </c>
      <c r="EJ244" s="581">
        <f t="shared" si="675"/>
        <v>95911.411929814843</v>
      </c>
      <c r="EK244" s="554">
        <f t="shared" si="676"/>
        <v>17438.438532693603</v>
      </c>
      <c r="EL244" s="554">
        <f t="shared" ca="1" si="543"/>
        <v>43780.527645975337</v>
      </c>
      <c r="EM244" s="554">
        <f t="shared" ca="1" si="544"/>
        <v>164176.97632992858</v>
      </c>
      <c r="EN244" s="561">
        <f t="shared" ca="1" si="545"/>
        <v>277864.43374591391</v>
      </c>
      <c r="EO244" s="180">
        <f t="shared" si="622"/>
        <v>3168411.131208464</v>
      </c>
      <c r="EP244" s="180">
        <f t="shared" si="623"/>
        <v>576074.75112881162</v>
      </c>
      <c r="EQ244" s="180">
        <f t="shared" si="624"/>
        <v>232455.51905491969</v>
      </c>
      <c r="ER244" s="180">
        <f t="shared" si="625"/>
        <v>871708.21421303437</v>
      </c>
      <c r="ES244" s="180">
        <f t="shared" si="626"/>
        <v>4848649.6156052295</v>
      </c>
      <c r="ET244" s="1482">
        <f t="shared" ca="1" si="546"/>
        <v>2784765.4834892047</v>
      </c>
      <c r="EU244" s="180">
        <f t="shared" ca="1" si="547"/>
        <v>506320.99699803721</v>
      </c>
      <c r="EV244" s="180">
        <f t="shared" ca="1" si="548"/>
        <v>57333.408471018352</v>
      </c>
      <c r="EW244" s="180">
        <f t="shared" ca="1" si="549"/>
        <v>215000.30889332001</v>
      </c>
      <c r="EX244" s="555">
        <f t="shared" ca="1" si="693"/>
        <v>3563420.1978515806</v>
      </c>
      <c r="EY244" s="180">
        <f t="shared" ca="1" si="550"/>
        <v>383645.64771925937</v>
      </c>
      <c r="EZ244" s="180">
        <f t="shared" ca="1" si="551"/>
        <v>69753.75413077441</v>
      </c>
      <c r="FA244" s="180">
        <f t="shared" ca="1" si="552"/>
        <v>175122.11058390135</v>
      </c>
      <c r="FB244" s="180">
        <f t="shared" ca="1" si="553"/>
        <v>656707.90531971434</v>
      </c>
      <c r="FC244" s="180">
        <f t="shared" ca="1" si="554"/>
        <v>1285229.4177536489</v>
      </c>
      <c r="FD244" s="262">
        <f>IF(AX244,IF(VLOOKUP(C244,MAIN!$L$17:$M$28,2)="Yes",VLOOKUP(CALC!B244,MAIN!$H$17:$I$20,2),0),0)</f>
        <v>0</v>
      </c>
      <c r="FE244" s="623">
        <f t="shared" si="627"/>
        <v>0</v>
      </c>
      <c r="FF244" s="535">
        <f t="shared" si="628"/>
        <v>0</v>
      </c>
      <c r="FG244" s="535">
        <f t="shared" si="629"/>
        <v>0</v>
      </c>
      <c r="FH244" s="624">
        <f t="shared" si="630"/>
        <v>0</v>
      </c>
      <c r="FI244" s="632">
        <f>IF(AX244,VLOOKUP(CALC!B244,MAIN!$H$17:$K$20,4),0)</f>
        <v>0</v>
      </c>
      <c r="FJ244" s="535">
        <f t="shared" si="631"/>
        <v>0</v>
      </c>
      <c r="FK244" s="648">
        <f t="shared" si="677"/>
        <v>0</v>
      </c>
      <c r="FL244" s="530">
        <f t="shared" ca="1" si="555"/>
        <v>0</v>
      </c>
      <c r="FM244" s="530">
        <f t="shared" ca="1" si="556"/>
        <v>0</v>
      </c>
      <c r="FN244" s="530">
        <f t="shared" ca="1" si="557"/>
        <v>0</v>
      </c>
      <c r="FO244" s="622">
        <f t="shared" ca="1" si="558"/>
        <v>0</v>
      </c>
      <c r="FP244" s="530">
        <f t="shared" ca="1" si="559"/>
        <v>0</v>
      </c>
      <c r="FQ244" s="530">
        <f t="shared" ca="1" si="560"/>
        <v>0</v>
      </c>
      <c r="FR244" s="530">
        <f t="shared" ca="1" si="561"/>
        <v>0</v>
      </c>
      <c r="FS244" s="625">
        <f t="shared" ca="1" si="562"/>
        <v>0</v>
      </c>
      <c r="FT244" s="640">
        <f ca="1">IF(AND(Assumptions!$H$71="Yes",A244&gt;=Assumptions!$H$72,A244&lt;=Assumptions!$H$73),0,IF(AND($A244&gt;=Assumptions!$C$17,$A244&lt;=Assumptions!$C$18),MAX(AZ244*(1+VLOOKUP($C244,WeatherCapacityAdjustment,2))-FL244,0),0))</f>
        <v>46094.400000000001</v>
      </c>
      <c r="FU244" s="530">
        <f ca="1">IF(AND(Assumptions!$H$71="Yes",A244&gt;=Assumptions!$H$72,A244&lt;=Assumptions!$H$73),0,IF(AND($A244&gt;=Assumptions!$C$17,$A244&lt;=Assumptions!$C$18),MAX(BA244*(1+VLOOKUP($C244,WeatherCapacityAdjustment,2))-FM244,0),0))</f>
        <v>8380.7999999999993</v>
      </c>
      <c r="FV244" s="530">
        <f ca="1">IF(AND(Assumptions!$H$71="Yes",A244&gt;=Assumptions!$H$72,A244&lt;=Assumptions!$H$73),0,IF(AND($A244&gt;=Assumptions!$C$17,$A244&lt;=Assumptions!$C$18),MAX(BB244*(1+VLOOKUP($C244,WeatherCapacityAdjustment,2))-FN244,0),0))</f>
        <v>8380.7999999999993</v>
      </c>
      <c r="FW244" s="622">
        <f ca="1">IF(AND(Assumptions!$H$71="Yes",A244&gt;=Assumptions!$H$72,A244&lt;=Assumptions!$H$73),0,IF(AND($A244&gt;=Assumptions!$C$17,$A244&lt;=Assumptions!$C$18),MAX(BC244*(1+VLOOKUP($C244,WeatherCapacityAdjustment,3))-FO244,0),0))</f>
        <v>31428</v>
      </c>
      <c r="FX244" s="621">
        <f ca="1">IF(AND(Assumptions!$H$71="Yes",A244&gt;=Assumptions!$H$72,A244&lt;=Assumptions!$H$73),0,IF(ET244&gt;0,MAX(BH244*(1+VLOOKUP($C244,WeatherCapacityAdjustment,2))-FP244,0),0))</f>
        <v>184377.60000000001</v>
      </c>
      <c r="FY244" s="530">
        <f ca="1">IF(AND(Assumptions!$H$71="Yes",A244&gt;=Assumptions!$H$72,A244&lt;=Assumptions!$H$73),0,IF(EU244&gt;0,MAX(BI244*(1+VLOOKUP($C244,WeatherCapacityAdjustment,3))-FQ244,0),0))</f>
        <v>33523.199999999997</v>
      </c>
      <c r="FZ244" s="530">
        <f ca="1">IF(AND(Assumptions!$H$71="Yes",A244&gt;=Assumptions!$H$72,A244&lt;=Assumptions!$H$73),0,IF(EV244&gt;0,MAX(BJ244*(1+VLOOKUP($C244,WeatherCapacityAdjustment,2))-FR244,0),0))</f>
        <v>33523.199999999997</v>
      </c>
      <c r="GA244" s="622">
        <f ca="1">IF(AND(Assumptions!$H$71="Yes",A244&gt;=Assumptions!$H$72,A244&lt;=Assumptions!$H$73),0,IF(EW244&gt;0,MAX(BK244*(1+VLOOKUP($C244,WeatherCapacityAdjustment,2))-FS244,0),0))</f>
        <v>125712</v>
      </c>
      <c r="GB244" s="530">
        <f t="shared" ca="1" si="632"/>
        <v>471420</v>
      </c>
      <c r="GC244" s="545">
        <f t="shared" ca="1" si="633"/>
        <v>36.700799707147709</v>
      </c>
      <c r="GD244" s="530">
        <f t="shared" ca="1" si="563"/>
        <v>17301490.997943569</v>
      </c>
      <c r="GE244" s="1485">
        <f t="shared" ca="1" si="564"/>
        <v>673016.16312000004</v>
      </c>
      <c r="GF244" s="1776">
        <f t="shared" ca="1" si="565"/>
        <v>2692064.6524800002</v>
      </c>
      <c r="GG244" s="545">
        <f t="shared" si="701"/>
        <v>3.4716343660166284</v>
      </c>
      <c r="GH244" s="622">
        <f t="shared" ca="1" si="702"/>
        <v>11682330.203860227</v>
      </c>
      <c r="GI244" s="621">
        <f t="shared" ca="1" si="678"/>
        <v>471420</v>
      </c>
      <c r="GJ244" s="638">
        <f t="shared" si="634"/>
        <v>2.4710142691631019</v>
      </c>
      <c r="GK244" s="625">
        <f t="shared" ca="1" si="684"/>
        <v>1164885.5467688695</v>
      </c>
      <c r="GL244" s="640">
        <f t="shared" ca="1" si="566"/>
        <v>0</v>
      </c>
      <c r="GM244" s="530">
        <f t="shared" ca="1" si="567"/>
        <v>0</v>
      </c>
      <c r="GN244" s="530">
        <f t="shared" ca="1" si="568"/>
        <v>0</v>
      </c>
      <c r="GO244" s="622">
        <f t="shared" ca="1" si="569"/>
        <v>0</v>
      </c>
      <c r="GP244" s="530">
        <f t="shared" ca="1" si="635"/>
        <v>0</v>
      </c>
      <c r="GQ244" s="545">
        <f t="shared" ca="1" si="636"/>
        <v>0</v>
      </c>
      <c r="GR244" s="625">
        <f t="shared" ca="1" si="570"/>
        <v>0</v>
      </c>
      <c r="GS244" s="640">
        <f>IF($A244&gt;=BegDate,Assumptions!$C$56*24*($A245-$A244)*(1-VLOOKUP($B244,MAIN!$AA$7:$AM$28,$C244+1))*(1-VLOOKUP($B244,MAIN!$AA$33:$AM$54,$C244+1)),0)*80/168</f>
        <v>224485.71428571429</v>
      </c>
      <c r="GT244" s="1715">
        <f t="shared" si="679"/>
        <v>42.355765073424962</v>
      </c>
      <c r="GU244" s="1715">
        <f>IF($A244&gt;=BegDate,VLOOKUP($A244,GasTable,13)+Assumptions!$C$58,0)</f>
        <v>3.4716343660166284</v>
      </c>
      <c r="GV244" s="1715">
        <f>GU244*Assumptions!$C$57/1000</f>
        <v>25.169349153620555</v>
      </c>
      <c r="GW244" s="625">
        <f>IF(Assumptions!$C$60="Hourly",MAX(0,GS244*(GT244-GV244)),GS244*(GT244-GV244))</f>
        <v>3858104.8537686635</v>
      </c>
      <c r="GX244" s="640">
        <f>IF($A244&gt;=BegDate,Assumptions!$C$56*24*($A245-$A244)*(1-VLOOKUP($B244,MAIN!$AA$7:$AM$28,$C244+1))*(1-VLOOKUP($B244,MAIN!$AA$33:$AM$54,$C244+1)),0)*16/168</f>
        <v>44897.142857142855</v>
      </c>
      <c r="GY244" s="1715">
        <f t="shared" si="680"/>
        <v>42.355765073424962</v>
      </c>
      <c r="GZ244" s="1715">
        <f>IF($A244&gt;=BegDate,VLOOKUP($A244,GasTable,13)+Assumptions!$C$58,0)</f>
        <v>3.4716343660166284</v>
      </c>
      <c r="HA244" s="1715">
        <f>GZ244*Assumptions!$C$57/1000</f>
        <v>25.169349153620555</v>
      </c>
      <c r="HB244" s="625">
        <f>IF(Assumptions!$C$60="Hourly",MAX(0,GX244*(GY244-HA244)),GX244*(GY244-HA244))</f>
        <v>771620.97075373272</v>
      </c>
      <c r="HC244" s="640">
        <f>IF($A244&gt;=BegDate,Assumptions!$C$56*24*($A245-$A244)*(1-VLOOKUP($B244,MAIN!$AA$7:$AM$28,$C244+1))*(1-VLOOKUP($B244,MAIN!$AA$33:$AM$54,$C244+1)),0)*16/168</f>
        <v>44897.142857142855</v>
      </c>
      <c r="HD244" s="1715">
        <f t="shared" si="681"/>
        <v>28.962425877673397</v>
      </c>
      <c r="HE244" s="1715">
        <f>IF($A244&gt;=BegDate,VLOOKUP($A244,GasTable,13)+Assumptions!$C$58,0)</f>
        <v>3.4716343660166284</v>
      </c>
      <c r="HF244" s="1715">
        <f>HE244*Assumptions!$C$57/1000</f>
        <v>25.169349153620555</v>
      </c>
      <c r="HG244" s="625">
        <f>IF(Assumptions!$C$60="Hourly",MAX(0,HC244*(HD244-HF244)),HC244*(HD244-HF244))</f>
        <v>170298.30754790385</v>
      </c>
      <c r="HH244" s="640">
        <f>IF($A244&gt;=BegDate,Assumptions!$C$56*24*($A245-$A244)*(1-VLOOKUP($B244,MAIN!$AA$7:$AM$28,$C244+1))*(1-VLOOKUP($B244,MAIN!$AA$33:$AM$54,$C244+1)),0)*56/168</f>
        <v>157140</v>
      </c>
      <c r="HI244" s="1715">
        <f t="shared" si="682"/>
        <v>28.962425877673397</v>
      </c>
      <c r="HJ244" s="1715">
        <f>IF($A244&gt;=BegDate,VLOOKUP($A244,GasTable,13)+Assumptions!$C$58,0)</f>
        <v>3.4716343660166284</v>
      </c>
      <c r="HK244" s="1715">
        <f>HJ244*Assumptions!$C$57/1000</f>
        <v>25.169349153620555</v>
      </c>
      <c r="HL244" s="625">
        <f>IF(Assumptions!$C$60="Hourly",MAX(0,HH244*(HI244-HK244)),HH244*(HI244-HK244))</f>
        <v>596044.0764176636</v>
      </c>
      <c r="HM244" s="640">
        <f>IF(AND(Assumptions!$H$71="Yes",A244&gt;=Assumptions!$H$72,A244&lt;=Assumptions!$H$73),Assumptions!$H$74*Assumptions!$C$9*1000,0)</f>
        <v>0</v>
      </c>
      <c r="HN244" s="530"/>
      <c r="HO244" s="545"/>
      <c r="HP244" s="545"/>
      <c r="HQ244" s="545"/>
      <c r="HR244" s="545"/>
      <c r="HS244" s="545"/>
      <c r="HT244" s="545"/>
      <c r="HU244" s="545"/>
      <c r="HV244" s="545"/>
      <c r="HW244" s="545"/>
      <c r="HX244" s="545"/>
      <c r="HY244" s="545"/>
      <c r="HZ244" s="545"/>
      <c r="IA244" s="545"/>
      <c r="IB244" s="545"/>
      <c r="IC244" s="545"/>
      <c r="ID244" s="545"/>
      <c r="IE244" s="545"/>
      <c r="IF244" s="545"/>
      <c r="IG244" s="545"/>
      <c r="IH244" s="545"/>
      <c r="II244" s="1464"/>
      <c r="IJ244" s="1463"/>
      <c r="IK244" s="1463"/>
    </row>
    <row r="245" spans="1:245">
      <c r="A245" s="177">
        <f t="shared" si="637"/>
        <v>43586</v>
      </c>
      <c r="B245" s="349">
        <f t="shared" si="638"/>
        <v>2019</v>
      </c>
      <c r="C245" s="15">
        <f t="shared" si="694"/>
        <v>5</v>
      </c>
      <c r="D245" s="612">
        <f t="shared" si="639"/>
        <v>43612</v>
      </c>
      <c r="E245" s="609">
        <f t="shared" si="695"/>
        <v>43586</v>
      </c>
      <c r="F245" s="614">
        <f t="shared" si="696"/>
        <v>43616</v>
      </c>
      <c r="G245" s="1349">
        <v>0</v>
      </c>
      <c r="H245" s="152">
        <f t="shared" si="683"/>
        <v>1</v>
      </c>
      <c r="I245" s="154">
        <f>IF(Assumptions!$L$25=4,VLOOKUP($A245,'Henwood Reference'!$E$9:$R$320,10),(VLOOKUP($A245,PriceTable,2,0)+IF(BasisNumber&lt;&gt;1,VLOOKUP($A245,BasisTable,2,0),0)+I$1)/(1-I$2))</f>
        <v>47.295374716114971</v>
      </c>
      <c r="J245" s="154">
        <f>IF(Assumptions!$L$25=4,VLOOKUP($A245,'Henwood Reference'!$E$9:$R$320,10),(VLOOKUP($A245,PriceTable,3,0)+IF(BasisNumber&lt;&gt;1,VLOOKUP($A245,BasisTable,2,0),0)+J$1)/(1-J$2))</f>
        <v>47.295374716114971</v>
      </c>
      <c r="K245" s="154">
        <f>IF(Assumptions!$L$25=4,VLOOKUP($A245,'Henwood Reference'!$E$9:$R$320,10),(VLOOKUP($A245,PriceTable,4,0)+IF(BasisNumber&lt;&gt;1,VLOOKUP($A245,BasisTable,2,0),0)+K$1)/(1-K$2))</f>
        <v>47.295374716114971</v>
      </c>
      <c r="L245" s="474">
        <f>IF(Assumptions!$L$25=4,VLOOKUP($A245,'Henwood Reference'!$E$9:$R$320,10),(VLOOKUP($A245,PriceTableWeekend,2,0)+IF(BasisNumber&lt;&gt;1,VLOOKUP($A245,BasisTable,2,0),0)+L$1)/(1-L$2))</f>
        <v>47.295374716114971</v>
      </c>
      <c r="M245" s="154">
        <f>IF(Assumptions!$L$25=4,VLOOKUP($A245,'Henwood Reference'!$E$9:$R$320,10),(VLOOKUP($A245,PriceTableWeekend,3,0)+IF(BasisNumber&lt;&gt;1,VLOOKUP($A245,BasisTable,2,0),0)+M$1)/(1-M$2))</f>
        <v>47.295374716114971</v>
      </c>
      <c r="N245" s="156">
        <f>IF(Assumptions!$L$25=4,VLOOKUP($A245,'Henwood Reference'!$E$9:$R$320,10),(VLOOKUP($A245,PriceTableWeekend,4,0)+IF(BasisNumber&lt;&gt;1,VLOOKUP($A245,BasisTable,2,0),0)+N$1)/(1-N$2))</f>
        <v>47.295374716114971</v>
      </c>
      <c r="O245" s="154">
        <f>IF(Assumptions!$L$25=4,VLOOKUP($A245,'Henwood Reference'!$E$9:$R$320,11),(VLOOKUP($A245,PriceTableWeekend,6,0)+IF(BasisNumber&lt;&gt;1,VLOOKUP($A245,BasisTable,3,0),0)+O$1)/(1-O$2))</f>
        <v>29.395244477031408</v>
      </c>
      <c r="P245" s="154">
        <f>IF(Assumptions!$L$25=4,VLOOKUP($A245,'Henwood Reference'!$E$9:$R$320,11),(VLOOKUP($A245,PriceTableWeekend,7,0)+IF(BasisNumber&lt;&gt;1,VLOOKUP($A245,BasisTable,3,0),0)+P$1)/(1-P$2))</f>
        <v>29.395244477031408</v>
      </c>
      <c r="Q245" s="156">
        <f>IF(Assumptions!$L$25=4,VLOOKUP($A245,'Henwood Reference'!$E$9:$R$320,11),(VLOOKUP($A245,PriceTableWeekend,8,0)+IF(BasisNumber&lt;&gt;1,VLOOKUP($A245,BasisTable,3,0),0)+Q$1)/(1-Q$2))</f>
        <v>29.395244477031408</v>
      </c>
      <c r="R245" s="154">
        <f>IF(Assumptions!$L$25=4,VLOOKUP($A245,'Henwood Reference'!$E$9:$R$320,11),(VLOOKUP($A245,PriceTable,6,0)+IF(BasisNumber&lt;&gt;1,VLOOKUP($A245,BasisTable,3,0),0)+R$1)/(1-R$2))</f>
        <v>29.395244477031408</v>
      </c>
      <c r="S245" s="154">
        <f>IF(Assumptions!$L$25=4,VLOOKUP($A245,'Henwood Reference'!$E$9:$R$320,11),(VLOOKUP($A245,PriceTable,7,0)+IF(BasisNumber&lt;&gt;1,VLOOKUP($A245,BasisTable,3,0),0)+S$1)/(1-S$2))</f>
        <v>29.395244477031408</v>
      </c>
      <c r="T245" s="155">
        <f>IF(Assumptions!$L$25=4,VLOOKUP($A245,'Henwood Reference'!$E$9:$R$320,11),(VLOOKUP($A245,PriceTable,8,0)+IF(BasisNumber&lt;&gt;1,VLOOKUP($A245,BasisTable,3,0),0)+T$1)/(1-T$2))</f>
        <v>29.395244477031408</v>
      </c>
      <c r="U245" s="173">
        <f t="shared" si="640"/>
        <v>0.09</v>
      </c>
      <c r="V245" s="173">
        <f t="shared" si="641"/>
        <v>0.1</v>
      </c>
      <c r="W245" s="174">
        <f t="shared" si="642"/>
        <v>0.11</v>
      </c>
      <c r="X245" s="173">
        <f t="shared" si="643"/>
        <v>0.09</v>
      </c>
      <c r="Y245" s="173">
        <f t="shared" si="644"/>
        <v>0.1</v>
      </c>
      <c r="Z245" s="174">
        <f t="shared" si="645"/>
        <v>0.11</v>
      </c>
      <c r="AA245" s="173">
        <f t="shared" si="646"/>
        <v>0.09</v>
      </c>
      <c r="AB245" s="173">
        <f t="shared" si="647"/>
        <v>0.11</v>
      </c>
      <c r="AC245" s="174">
        <f t="shared" si="648"/>
        <v>0.13</v>
      </c>
      <c r="AD245" s="173">
        <f t="shared" si="649"/>
        <v>0.09</v>
      </c>
      <c r="AE245" s="173">
        <f t="shared" si="650"/>
        <v>0.11</v>
      </c>
      <c r="AF245" s="174">
        <f t="shared" si="651"/>
        <v>0.13</v>
      </c>
      <c r="AG245" s="173">
        <f t="shared" si="652"/>
        <v>-0.1</v>
      </c>
      <c r="AH245" s="173">
        <f t="shared" si="653"/>
        <v>0.65</v>
      </c>
      <c r="AI245" s="174">
        <f t="shared" si="654"/>
        <v>0.1</v>
      </c>
      <c r="AJ245" s="173">
        <f t="shared" si="655"/>
        <v>-0.1</v>
      </c>
      <c r="AK245" s="173">
        <f t="shared" si="656"/>
        <v>0.65</v>
      </c>
      <c r="AL245" s="174">
        <f t="shared" si="657"/>
        <v>0.1</v>
      </c>
      <c r="AM245" s="173">
        <f t="shared" si="658"/>
        <v>-0.01</v>
      </c>
      <c r="AN245" s="173">
        <f t="shared" si="659"/>
        <v>0.16</v>
      </c>
      <c r="AO245" s="174">
        <f t="shared" si="660"/>
        <v>0.01</v>
      </c>
      <c r="AP245" s="173">
        <f t="shared" si="661"/>
        <v>-0.01</v>
      </c>
      <c r="AQ245" s="173">
        <f t="shared" si="662"/>
        <v>0.16</v>
      </c>
      <c r="AR245" s="175">
        <f t="shared" si="663"/>
        <v>0.01</v>
      </c>
      <c r="AS245" s="521">
        <f t="shared" si="699"/>
        <v>0.5</v>
      </c>
      <c r="AT245" s="349">
        <f t="shared" si="697"/>
        <v>22</v>
      </c>
      <c r="AU245" s="159">
        <f t="shared" si="582"/>
        <v>4</v>
      </c>
      <c r="AV245" s="159">
        <f t="shared" si="583"/>
        <v>4</v>
      </c>
      <c r="AW245" s="159">
        <f t="shared" si="700"/>
        <v>1</v>
      </c>
      <c r="AX245" s="15">
        <f t="shared" si="698"/>
        <v>31</v>
      </c>
      <c r="AY245" s="607">
        <f>IF(E245="",0,MIN((1-(1-VLOOKUP(B245,MAIN!$AA$7:$AM$28,C245+1))*(1-VLOOKUP(B245,MAIN!$AA$33:$AM$54,C245+1))),1))</f>
        <v>3.0000000000000027E-2</v>
      </c>
      <c r="AZ245" s="337">
        <v>51216</v>
      </c>
      <c r="BA245" s="509">
        <v>9312</v>
      </c>
      <c r="BB245" s="509">
        <v>11640</v>
      </c>
      <c r="BC245" s="511">
        <v>36084</v>
      </c>
      <c r="BD245" s="153">
        <v>0.97</v>
      </c>
      <c r="BE245" s="474">
        <v>0.97</v>
      </c>
      <c r="BF245" s="474">
        <v>0.97</v>
      </c>
      <c r="BG245" s="515">
        <v>0.97</v>
      </c>
      <c r="BH245" s="262">
        <v>204864</v>
      </c>
      <c r="BI245" s="509">
        <v>37248</v>
      </c>
      <c r="BJ245" s="509">
        <v>46560</v>
      </c>
      <c r="BK245" s="511">
        <v>144336</v>
      </c>
      <c r="BL245" s="153">
        <v>0.97</v>
      </c>
      <c r="BM245" s="474">
        <v>0.97</v>
      </c>
      <c r="BN245" s="474">
        <v>0.97</v>
      </c>
      <c r="BO245" s="474">
        <v>0.97</v>
      </c>
      <c r="BP245" s="261">
        <f t="shared" si="666"/>
        <v>72168</v>
      </c>
      <c r="BQ245" s="578">
        <f t="shared" si="667"/>
        <v>108252</v>
      </c>
      <c r="BR245" s="259">
        <f t="shared" si="668"/>
        <v>288672</v>
      </c>
      <c r="BS245" s="578">
        <f t="shared" si="669"/>
        <v>433008</v>
      </c>
      <c r="BT245" s="216">
        <f t="shared" si="670"/>
        <v>19.044490075290895</v>
      </c>
      <c r="BU245" s="218">
        <f t="shared" si="585"/>
        <v>47.295374716114971</v>
      </c>
      <c r="BV245" s="216">
        <f t="shared" si="586"/>
        <v>47.295374716114971</v>
      </c>
      <c r="BW245" s="216">
        <f t="shared" si="587"/>
        <v>29.395244477031408</v>
      </c>
      <c r="BX245" s="216">
        <f t="shared" si="671"/>
        <v>29.395244477031408</v>
      </c>
      <c r="BY245" s="216">
        <f t="shared" si="588"/>
        <v>44.408256935617622</v>
      </c>
      <c r="BZ245" s="216">
        <f t="shared" si="589"/>
        <v>39.403919449422219</v>
      </c>
      <c r="CA245" s="264">
        <f t="shared" si="590"/>
        <v>47.295374716114971</v>
      </c>
      <c r="CB245" s="216">
        <f t="shared" si="591"/>
        <v>47.295374716114971</v>
      </c>
      <c r="CC245" s="216">
        <f t="shared" si="592"/>
        <v>29.395244477031408</v>
      </c>
      <c r="CD245" s="216">
        <f t="shared" si="672"/>
        <v>29.395244477031408</v>
      </c>
      <c r="CE245" s="216">
        <f t="shared" si="593"/>
        <v>44.408256935617622</v>
      </c>
      <c r="CF245" s="571">
        <f t="shared" si="594"/>
        <v>39.403919449422219</v>
      </c>
      <c r="CG245" s="573">
        <f t="shared" si="595"/>
        <v>0.1</v>
      </c>
      <c r="CH245" s="219">
        <f t="shared" si="596"/>
        <v>0.1</v>
      </c>
      <c r="CI245" s="219">
        <f t="shared" si="597"/>
        <v>0.11</v>
      </c>
      <c r="CJ245" s="219">
        <f t="shared" si="598"/>
        <v>0.10107686213484024</v>
      </c>
      <c r="CK245" s="219">
        <f t="shared" si="599"/>
        <v>0.10107686213484024</v>
      </c>
      <c r="CL245" s="219">
        <f t="shared" si="600"/>
        <v>0.11</v>
      </c>
      <c r="CM245" s="219">
        <f t="shared" si="601"/>
        <v>9.2986862281470864E-2</v>
      </c>
      <c r="CN245" s="569">
        <f t="shared" si="602"/>
        <v>9.2986862281470864E-2</v>
      </c>
      <c r="CO245" s="264">
        <f t="shared" si="685"/>
        <v>24.564402363578349</v>
      </c>
      <c r="CP245" s="216">
        <f t="shared" si="673"/>
        <v>24.564402363578349</v>
      </c>
      <c r="CQ245" s="216">
        <f t="shared" ca="1" si="532"/>
        <v>24.564402363578349</v>
      </c>
      <c r="CR245" s="216">
        <f t="shared" ca="1" si="533"/>
        <v>24.564402363578349</v>
      </c>
      <c r="CS245" s="1626">
        <f t="shared" ca="1" si="534"/>
        <v>24.564402363578349</v>
      </c>
      <c r="CT245" s="216">
        <f t="shared" si="674"/>
        <v>24.564402363578349</v>
      </c>
      <c r="CU245" s="575">
        <f t="shared" si="603"/>
        <v>0.15</v>
      </c>
      <c r="CV245" s="154">
        <f t="shared" si="604"/>
        <v>0.5</v>
      </c>
      <c r="CW245" s="216">
        <f>IF(OR($BQ245,$BS245),SpreadOptPowerMargin,0)*((1+Assumptions!$C$26)^($B245-YEAR(Assumptions!$C$17)))</f>
        <v>2.4710142691631019</v>
      </c>
      <c r="CX245" s="216">
        <f>IF(OR($BQ245,$BS245),SpreadOptPowerMargin,0)*((1+Assumptions!$C$26)^($B245-YEAR(Assumptions!$C$17)))</f>
        <v>2.4710142691631019</v>
      </c>
      <c r="CY245" s="216">
        <f>IF(OR($BQ245,$BS245),SpreadOptPowerMargin,0)*((1+Assumptions!$C$26)^($B245-YEAR(Assumptions!$C$17)))</f>
        <v>2.4710142691631019</v>
      </c>
      <c r="CZ245" s="216">
        <f>IF(OR($BQ245,$BS245),SpreadOptPowerMargin,0)*((1+Assumptions!$C$26)^($B245-YEAR(Assumptions!$C$17)))</f>
        <v>2.4710142691631019</v>
      </c>
      <c r="DA245" s="440">
        <f t="shared" si="605"/>
        <v>2.4710142691631014</v>
      </c>
      <c r="DB245" s="479">
        <f t="shared" si="606"/>
        <v>0.1</v>
      </c>
      <c r="DC245" s="479">
        <f t="shared" si="607"/>
        <v>0.1</v>
      </c>
      <c r="DD245" s="479">
        <f t="shared" si="608"/>
        <v>0.11</v>
      </c>
      <c r="DE245" s="479">
        <f t="shared" si="609"/>
        <v>0.11</v>
      </c>
      <c r="DF245" s="479">
        <f t="shared" si="610"/>
        <v>9.2986862281470864E-2</v>
      </c>
      <c r="DG245" s="574">
        <f t="shared" si="611"/>
        <v>9.2986862281470864E-2</v>
      </c>
      <c r="DH245" s="216">
        <f t="shared" si="612"/>
        <v>21.734703325589916</v>
      </c>
      <c r="DI245" s="216">
        <f t="shared" si="613"/>
        <v>21.734703325589916</v>
      </c>
      <c r="DJ245" s="216">
        <f t="shared" ca="1" si="535"/>
        <v>7.3275562821105478</v>
      </c>
      <c r="DK245" s="216">
        <f t="shared" ca="1" si="536"/>
        <v>7.3275562821105478</v>
      </c>
      <c r="DL245" s="216">
        <f t="shared" ca="1" si="537"/>
        <v>14.765617878887555</v>
      </c>
      <c r="DM245" s="216"/>
      <c r="DN245" s="216"/>
      <c r="DO245" s="216"/>
      <c r="DP245" s="216"/>
      <c r="DQ245" s="216"/>
      <c r="DR245" s="216"/>
      <c r="DS245" s="216"/>
      <c r="DT245" s="216"/>
      <c r="DU245" s="216"/>
      <c r="DV245" s="216"/>
      <c r="DW245" s="1371">
        <f t="shared" si="614"/>
        <v>7.3275562821105478</v>
      </c>
      <c r="DX245" s="216">
        <f t="shared" si="615"/>
        <v>7.3275562821105478</v>
      </c>
      <c r="DY245" s="440">
        <f t="shared" si="616"/>
        <v>15.383165381690411</v>
      </c>
      <c r="DZ245" s="180">
        <f t="shared" si="617"/>
        <v>1113164.565523413</v>
      </c>
      <c r="EA245" s="180">
        <f t="shared" si="618"/>
        <v>202393.55736789329</v>
      </c>
      <c r="EB245" s="180">
        <f t="shared" ca="1" si="538"/>
        <v>85292.755123766779</v>
      </c>
      <c r="EC245" s="180">
        <f t="shared" ca="1" si="539"/>
        <v>264407.54088367702</v>
      </c>
      <c r="ED245" s="180">
        <f t="shared" ca="1" si="540"/>
        <v>1598407.6666253356</v>
      </c>
      <c r="EE245" s="581">
        <f t="shared" si="619"/>
        <v>1037634.0131980581</v>
      </c>
      <c r="EF245" s="554">
        <f t="shared" si="620"/>
        <v>188660.7296723742</v>
      </c>
      <c r="EG245" s="554">
        <f t="shared" ca="1" si="541"/>
        <v>27468.396107535093</v>
      </c>
      <c r="EH245" s="554">
        <f t="shared" ca="1" si="542"/>
        <v>85152.027933358782</v>
      </c>
      <c r="EI245" s="561">
        <f t="shared" ca="1" si="621"/>
        <v>1338915.1669113263</v>
      </c>
      <c r="EJ245" s="581">
        <f t="shared" si="675"/>
        <v>75530.552325354889</v>
      </c>
      <c r="EK245" s="554">
        <f t="shared" si="676"/>
        <v>13732.827695519081</v>
      </c>
      <c r="EL245" s="554">
        <f t="shared" ca="1" si="543"/>
        <v>57824.359016231683</v>
      </c>
      <c r="EM245" s="554">
        <f t="shared" ca="1" si="544"/>
        <v>179255.51295031823</v>
      </c>
      <c r="EN245" s="561">
        <f t="shared" ca="1" si="545"/>
        <v>259492.49971400923</v>
      </c>
      <c r="EO245" s="180">
        <f t="shared" si="622"/>
        <v>4452658.262093652</v>
      </c>
      <c r="EP245" s="180">
        <f t="shared" si="623"/>
        <v>809574.22947157314</v>
      </c>
      <c r="EQ245" s="180">
        <f t="shared" si="624"/>
        <v>341171.02049506712</v>
      </c>
      <c r="ER245" s="180">
        <f t="shared" si="625"/>
        <v>1057630.1635347081</v>
      </c>
      <c r="ES245" s="180">
        <f t="shared" si="626"/>
        <v>6661033.6755950013</v>
      </c>
      <c r="ET245" s="1482">
        <f t="shared" ca="1" si="546"/>
        <v>4150536.0527922325</v>
      </c>
      <c r="EU245" s="180">
        <f t="shared" ca="1" si="547"/>
        <v>754642.91868949682</v>
      </c>
      <c r="EV245" s="180">
        <f t="shared" ca="1" si="548"/>
        <v>109873.58443014037</v>
      </c>
      <c r="EW245" s="180">
        <f t="shared" ca="1" si="549"/>
        <v>340608.11173343513</v>
      </c>
      <c r="EX245" s="555">
        <f t="shared" ca="1" si="693"/>
        <v>5355660.6676453045</v>
      </c>
      <c r="EY245" s="180">
        <f t="shared" ca="1" si="550"/>
        <v>302122.20930141956</v>
      </c>
      <c r="EZ245" s="180">
        <f t="shared" ca="1" si="551"/>
        <v>54931.310782076325</v>
      </c>
      <c r="FA245" s="180">
        <f t="shared" ca="1" si="552"/>
        <v>231297.43606492673</v>
      </c>
      <c r="FB245" s="180">
        <f t="shared" ca="1" si="553"/>
        <v>717022.0518012729</v>
      </c>
      <c r="FC245" s="180">
        <f t="shared" ca="1" si="554"/>
        <v>1305373.0079496969</v>
      </c>
      <c r="FD245" s="262">
        <f>IF(AX245,IF(VLOOKUP(C245,MAIN!$L$17:$M$28,2)="Yes",VLOOKUP(CALC!B245,MAIN!$H$17:$I$20,2),0),0)</f>
        <v>0</v>
      </c>
      <c r="FE245" s="623">
        <f t="shared" si="627"/>
        <v>0</v>
      </c>
      <c r="FF245" s="535">
        <f t="shared" si="628"/>
        <v>0</v>
      </c>
      <c r="FG245" s="535">
        <f t="shared" si="629"/>
        <v>0</v>
      </c>
      <c r="FH245" s="624">
        <f t="shared" si="630"/>
        <v>0</v>
      </c>
      <c r="FI245" s="632">
        <f>IF(AX245,VLOOKUP(CALC!B245,MAIN!$H$17:$K$20,4),0)</f>
        <v>0</v>
      </c>
      <c r="FJ245" s="535">
        <f t="shared" si="631"/>
        <v>0</v>
      </c>
      <c r="FK245" s="648">
        <f t="shared" si="677"/>
        <v>0</v>
      </c>
      <c r="FL245" s="530">
        <f t="shared" ca="1" si="555"/>
        <v>0</v>
      </c>
      <c r="FM245" s="530">
        <f t="shared" ca="1" si="556"/>
        <v>0</v>
      </c>
      <c r="FN245" s="530">
        <f t="shared" ca="1" si="557"/>
        <v>0</v>
      </c>
      <c r="FO245" s="622">
        <f t="shared" ca="1" si="558"/>
        <v>0</v>
      </c>
      <c r="FP245" s="530">
        <f t="shared" ca="1" si="559"/>
        <v>0</v>
      </c>
      <c r="FQ245" s="530">
        <f t="shared" ca="1" si="560"/>
        <v>0</v>
      </c>
      <c r="FR245" s="530">
        <f t="shared" ca="1" si="561"/>
        <v>0</v>
      </c>
      <c r="FS245" s="625">
        <f t="shared" ca="1" si="562"/>
        <v>0</v>
      </c>
      <c r="FT245" s="640">
        <f ca="1">IF(AND(Assumptions!$H$71="Yes",A245&gt;=Assumptions!$H$72,A245&lt;=Assumptions!$H$73),0,IF(AND($A245&gt;=Assumptions!$C$17,$A245&lt;=Assumptions!$C$18),MAX(AZ245*(1+VLOOKUP($C245,WeatherCapacityAdjustment,2))-FL245,0),0))</f>
        <v>51216</v>
      </c>
      <c r="FU245" s="530">
        <f ca="1">IF(AND(Assumptions!$H$71="Yes",A245&gt;=Assumptions!$H$72,A245&lt;=Assumptions!$H$73),0,IF(AND($A245&gt;=Assumptions!$C$17,$A245&lt;=Assumptions!$C$18),MAX(BA245*(1+VLOOKUP($C245,WeatherCapacityAdjustment,2))-FM245,0),0))</f>
        <v>9312</v>
      </c>
      <c r="FV245" s="530">
        <f ca="1">IF(AND(Assumptions!$H$71="Yes",A245&gt;=Assumptions!$H$72,A245&lt;=Assumptions!$H$73),0,IF(AND($A245&gt;=Assumptions!$C$17,$A245&lt;=Assumptions!$C$18),MAX(BB245*(1+VLOOKUP($C245,WeatherCapacityAdjustment,2))-FN245,0),0))</f>
        <v>11640</v>
      </c>
      <c r="FW245" s="622">
        <f ca="1">IF(AND(Assumptions!$H$71="Yes",A245&gt;=Assumptions!$H$72,A245&lt;=Assumptions!$H$73),0,IF(AND($A245&gt;=Assumptions!$C$17,$A245&lt;=Assumptions!$C$18),MAX(BC245*(1+VLOOKUP($C245,WeatherCapacityAdjustment,3))-FO245,0),0))</f>
        <v>36084</v>
      </c>
      <c r="FX245" s="621">
        <f ca="1">IF(AND(Assumptions!$H$71="Yes",A245&gt;=Assumptions!$H$72,A245&lt;=Assumptions!$H$73),0,IF(ET245&gt;0,MAX(BH245*(1+VLOOKUP($C245,WeatherCapacityAdjustment,2))-FP245,0),0))</f>
        <v>204864</v>
      </c>
      <c r="FY245" s="530">
        <f ca="1">IF(AND(Assumptions!$H$71="Yes",A245&gt;=Assumptions!$H$72,A245&lt;=Assumptions!$H$73),0,IF(EU245&gt;0,MAX(BI245*(1+VLOOKUP($C245,WeatherCapacityAdjustment,3))-FQ245,0),0))</f>
        <v>37248</v>
      </c>
      <c r="FZ245" s="530">
        <f ca="1">IF(AND(Assumptions!$H$71="Yes",A245&gt;=Assumptions!$H$72,A245&lt;=Assumptions!$H$73),0,IF(EV245&gt;0,MAX(BJ245*(1+VLOOKUP($C245,WeatherCapacityAdjustment,2))-FR245,0),0))</f>
        <v>46560</v>
      </c>
      <c r="GA245" s="622">
        <f ca="1">IF(AND(Assumptions!$H$71="Yes",A245&gt;=Assumptions!$H$72,A245&lt;=Assumptions!$H$73),0,IF(EW245&gt;0,MAX(BK245*(1+VLOOKUP($C245,WeatherCapacityAdjustment,2))-FS245,0),0))</f>
        <v>144336</v>
      </c>
      <c r="GB245" s="530">
        <f t="shared" ca="1" si="632"/>
        <v>541260</v>
      </c>
      <c r="GC245" s="545">
        <f t="shared" ca="1" si="633"/>
        <v>39.403919449422219</v>
      </c>
      <c r="GD245" s="530">
        <f t="shared" ca="1" si="563"/>
        <v>21327765.44119427</v>
      </c>
      <c r="GE245" s="1485">
        <f t="shared" ca="1" si="564"/>
        <v>773040.52223999996</v>
      </c>
      <c r="GF245" s="1776">
        <f t="shared" ca="1" si="565"/>
        <v>3092162.0889599998</v>
      </c>
      <c r="GG245" s="545">
        <f t="shared" si="701"/>
        <v>3.4398529031270093</v>
      </c>
      <c r="GH245" s="622">
        <f t="shared" ca="1" si="702"/>
        <v>13295728.423310416</v>
      </c>
      <c r="GI245" s="621">
        <f t="shared" ca="1" si="678"/>
        <v>541260</v>
      </c>
      <c r="GJ245" s="638">
        <f t="shared" si="634"/>
        <v>2.4710142691631014</v>
      </c>
      <c r="GK245" s="625">
        <f t="shared" ca="1" si="684"/>
        <v>1337461.1833272204</v>
      </c>
      <c r="GL245" s="640">
        <f t="shared" ca="1" si="566"/>
        <v>0</v>
      </c>
      <c r="GM245" s="530">
        <f t="shared" ca="1" si="567"/>
        <v>0</v>
      </c>
      <c r="GN245" s="530">
        <f t="shared" ca="1" si="568"/>
        <v>0</v>
      </c>
      <c r="GO245" s="622">
        <f t="shared" ca="1" si="569"/>
        <v>0</v>
      </c>
      <c r="GP245" s="530">
        <f t="shared" ca="1" si="635"/>
        <v>0</v>
      </c>
      <c r="GQ245" s="545">
        <f t="shared" ca="1" si="636"/>
        <v>0</v>
      </c>
      <c r="GR245" s="625">
        <f t="shared" ca="1" si="570"/>
        <v>0</v>
      </c>
      <c r="GS245" s="640">
        <f>IF($A245&gt;=BegDate,Assumptions!$C$56*24*($A246-$A245)*(1-VLOOKUP($B245,MAIN!$AA$7:$AM$28,$C245+1))*(1-VLOOKUP($B245,MAIN!$AA$33:$AM$54,$C245+1)),0)*80/168</f>
        <v>257742.85714285713</v>
      </c>
      <c r="GT245" s="1715">
        <f t="shared" si="679"/>
        <v>47.295374716114971</v>
      </c>
      <c r="GU245" s="1715">
        <f>IF($A245&gt;=BegDate,VLOOKUP($A245,GasTable,13)+Assumptions!$C$58,0)</f>
        <v>3.4398529031270093</v>
      </c>
      <c r="GV245" s="1715">
        <f>GU245*Assumptions!$C$57/1000</f>
        <v>24.938933547670818</v>
      </c>
      <c r="GW245" s="625">
        <f>IF(Assumptions!$C$60="Hourly",MAX(0,GS245*(GT245-GV245)),GS245*(GT245-GV245))</f>
        <v>5762213.0223009912</v>
      </c>
      <c r="GX245" s="640">
        <f>IF($A245&gt;=BegDate,Assumptions!$C$56*24*($A246-$A245)*(1-VLOOKUP($B245,MAIN!$AA$7:$AM$28,$C245+1))*(1-VLOOKUP($B245,MAIN!$AA$33:$AM$54,$C245+1)),0)*16/168</f>
        <v>51548.571428571428</v>
      </c>
      <c r="GY245" s="1715">
        <f t="shared" si="680"/>
        <v>47.295374716114971</v>
      </c>
      <c r="GZ245" s="1715">
        <f>IF($A245&gt;=BegDate,VLOOKUP($A245,GasTable,13)+Assumptions!$C$58,0)</f>
        <v>3.4398529031270093</v>
      </c>
      <c r="HA245" s="1715">
        <f>GZ245*Assumptions!$C$57/1000</f>
        <v>24.938933547670818</v>
      </c>
      <c r="HB245" s="625">
        <f>IF(Assumptions!$C$60="Hourly",MAX(0,GX245*(GY245-HA245)),GX245*(GY245-HA245))</f>
        <v>1152442.6044601982</v>
      </c>
      <c r="HC245" s="640">
        <f>IF($A245&gt;=BegDate,Assumptions!$C$56*24*($A246-$A245)*(1-VLOOKUP($B245,MAIN!$AA$7:$AM$28,$C245+1))*(1-VLOOKUP($B245,MAIN!$AA$33:$AM$54,$C245+1)),0)*16/168</f>
        <v>51548.571428571428</v>
      </c>
      <c r="HD245" s="1715">
        <f t="shared" si="681"/>
        <v>29.395244477031408</v>
      </c>
      <c r="HE245" s="1715">
        <f>IF($A245&gt;=BegDate,VLOOKUP($A245,GasTable,13)+Assumptions!$C$58,0)</f>
        <v>3.4398529031270093</v>
      </c>
      <c r="HF245" s="1715">
        <f>HE245*Assumptions!$C$57/1000</f>
        <v>24.938933547670818</v>
      </c>
      <c r="HG245" s="625">
        <f>IF(Assumptions!$C$60="Hourly",MAX(0,HC245*(HD245-HF245)),HC245*(HD245-HF245))</f>
        <v>229716.46225006791</v>
      </c>
      <c r="HH245" s="640">
        <f>IF($A245&gt;=BegDate,Assumptions!$C$56*24*($A246-$A245)*(1-VLOOKUP($B245,MAIN!$AA$7:$AM$28,$C245+1))*(1-VLOOKUP($B245,MAIN!$AA$33:$AM$54,$C245+1)),0)*56/168</f>
        <v>180420</v>
      </c>
      <c r="HI245" s="1715">
        <f t="shared" si="682"/>
        <v>29.395244477031408</v>
      </c>
      <c r="HJ245" s="1715">
        <f>IF($A245&gt;=BegDate,VLOOKUP($A245,GasTable,13)+Assumptions!$C$58,0)</f>
        <v>3.4398529031270093</v>
      </c>
      <c r="HK245" s="1715">
        <f>HJ245*Assumptions!$C$57/1000</f>
        <v>24.938933547670818</v>
      </c>
      <c r="HL245" s="625">
        <f>IF(Assumptions!$C$60="Hourly",MAX(0,HH245*(HI245-HK245)),HH245*(HI245-HK245))</f>
        <v>804007.61787523772</v>
      </c>
      <c r="HM245" s="640">
        <f>IF(AND(Assumptions!$H$71="Yes",A245&gt;=Assumptions!$H$72,A245&lt;=Assumptions!$H$73),Assumptions!$H$74*Assumptions!$C$9*1000,0)</f>
        <v>0</v>
      </c>
      <c r="HN245" s="530"/>
      <c r="HO245" s="545"/>
      <c r="HP245" s="545"/>
      <c r="HQ245" s="545"/>
      <c r="HR245" s="545"/>
      <c r="HS245" s="545"/>
      <c r="HT245" s="545"/>
      <c r="HU245" s="545"/>
      <c r="HV245" s="545"/>
      <c r="HW245" s="545"/>
      <c r="HX245" s="545"/>
      <c r="HY245" s="545"/>
      <c r="HZ245" s="545"/>
      <c r="IA245" s="545"/>
      <c r="IB245" s="545"/>
      <c r="IC245" s="545"/>
      <c r="ID245" s="545"/>
      <c r="IE245" s="545"/>
      <c r="IF245" s="545"/>
      <c r="IG245" s="545"/>
      <c r="IH245" s="545"/>
      <c r="II245" s="1464"/>
      <c r="IJ245" s="1463"/>
      <c r="IK245" s="1463"/>
    </row>
    <row r="246" spans="1:245">
      <c r="A246" s="177">
        <f t="shared" si="637"/>
        <v>43617</v>
      </c>
      <c r="B246" s="349">
        <f t="shared" si="638"/>
        <v>2019</v>
      </c>
      <c r="C246" s="15">
        <f t="shared" si="694"/>
        <v>6</v>
      </c>
      <c r="D246" s="612" t="str">
        <f t="shared" si="639"/>
        <v/>
      </c>
      <c r="E246" s="609">
        <f t="shared" si="695"/>
        <v>43617</v>
      </c>
      <c r="F246" s="614">
        <f t="shared" si="696"/>
        <v>43646</v>
      </c>
      <c r="G246" s="1349">
        <v>0</v>
      </c>
      <c r="H246" s="152">
        <f t="shared" si="683"/>
        <v>1</v>
      </c>
      <c r="I246" s="154">
        <f>IF(Assumptions!$L$25=4,VLOOKUP($A246,'Henwood Reference'!$E$9:$R$320,10),(VLOOKUP($A246,PriceTable,2,0)+IF(BasisNumber&lt;&gt;1,VLOOKUP($A246,BasisTable,2,0),0)+I$1)/(1-I$2))</f>
        <v>47.587465356206792</v>
      </c>
      <c r="J246" s="154">
        <f>IF(Assumptions!$L$25=4,VLOOKUP($A246,'Henwood Reference'!$E$9:$R$320,10),(VLOOKUP($A246,PriceTable,3,0)+IF(BasisNumber&lt;&gt;1,VLOOKUP($A246,BasisTable,2,0),0)+J$1)/(1-J$2))</f>
        <v>47.587465356206792</v>
      </c>
      <c r="K246" s="154">
        <f>IF(Assumptions!$L$25=4,VLOOKUP($A246,'Henwood Reference'!$E$9:$R$320,10),(VLOOKUP($A246,PriceTable,4,0)+IF(BasisNumber&lt;&gt;1,VLOOKUP($A246,BasisTable,2,0),0)+K$1)/(1-K$2))</f>
        <v>47.587465356206792</v>
      </c>
      <c r="L246" s="474">
        <f>IF(Assumptions!$L$25=4,VLOOKUP($A246,'Henwood Reference'!$E$9:$R$320,10),(VLOOKUP($A246,PriceTableWeekend,2,0)+IF(BasisNumber&lt;&gt;1,VLOOKUP($A246,BasisTable,2,0),0)+L$1)/(1-L$2))</f>
        <v>47.587465356206792</v>
      </c>
      <c r="M246" s="154">
        <f>IF(Assumptions!$L$25=4,VLOOKUP($A246,'Henwood Reference'!$E$9:$R$320,10),(VLOOKUP($A246,PriceTableWeekend,3,0)+IF(BasisNumber&lt;&gt;1,VLOOKUP($A246,BasisTable,2,0),0)+M$1)/(1-M$2))</f>
        <v>47.587465356206792</v>
      </c>
      <c r="N246" s="156">
        <f>IF(Assumptions!$L$25=4,VLOOKUP($A246,'Henwood Reference'!$E$9:$R$320,10),(VLOOKUP($A246,PriceTableWeekend,4,0)+IF(BasisNumber&lt;&gt;1,VLOOKUP($A246,BasisTable,2,0),0)+N$1)/(1-N$2))</f>
        <v>47.587465356206792</v>
      </c>
      <c r="O246" s="154">
        <f>IF(Assumptions!$L$25=4,VLOOKUP($A246,'Henwood Reference'!$E$9:$R$320,11),(VLOOKUP($A246,PriceTableWeekend,6,0)+IF(BasisNumber&lt;&gt;1,VLOOKUP($A246,BasisTable,3,0),0)+O$1)/(1-O$2))</f>
        <v>28.076830365893748</v>
      </c>
      <c r="P246" s="154">
        <f>IF(Assumptions!$L$25=4,VLOOKUP($A246,'Henwood Reference'!$E$9:$R$320,11),(VLOOKUP($A246,PriceTableWeekend,7,0)+IF(BasisNumber&lt;&gt;1,VLOOKUP($A246,BasisTable,3,0),0)+P$1)/(1-P$2))</f>
        <v>28.076830365893748</v>
      </c>
      <c r="Q246" s="156">
        <f>IF(Assumptions!$L$25=4,VLOOKUP($A246,'Henwood Reference'!$E$9:$R$320,11),(VLOOKUP($A246,PriceTableWeekend,8,0)+IF(BasisNumber&lt;&gt;1,VLOOKUP($A246,BasisTable,3,0),0)+Q$1)/(1-Q$2))</f>
        <v>28.076830365893748</v>
      </c>
      <c r="R246" s="154">
        <f>IF(Assumptions!$L$25=4,VLOOKUP($A246,'Henwood Reference'!$E$9:$R$320,11),(VLOOKUP($A246,PriceTable,6,0)+IF(BasisNumber&lt;&gt;1,VLOOKUP($A246,BasisTable,3,0),0)+R$1)/(1-R$2))</f>
        <v>28.076830365893748</v>
      </c>
      <c r="S246" s="154">
        <f>IF(Assumptions!$L$25=4,VLOOKUP($A246,'Henwood Reference'!$E$9:$R$320,11),(VLOOKUP($A246,PriceTable,7,0)+IF(BasisNumber&lt;&gt;1,VLOOKUP($A246,BasisTable,3,0),0)+S$1)/(1-S$2))</f>
        <v>28.076830365893748</v>
      </c>
      <c r="T246" s="155">
        <f>IF(Assumptions!$L$25=4,VLOOKUP($A246,'Henwood Reference'!$E$9:$R$320,11),(VLOOKUP($A246,PriceTable,8,0)+IF(BasisNumber&lt;&gt;1,VLOOKUP($A246,BasisTable,3,0),0)+T$1)/(1-T$2))</f>
        <v>28.076830365893748</v>
      </c>
      <c r="U246" s="173">
        <f t="shared" si="640"/>
        <v>0.09</v>
      </c>
      <c r="V246" s="173">
        <f t="shared" si="641"/>
        <v>0.1</v>
      </c>
      <c r="W246" s="174">
        <f t="shared" si="642"/>
        <v>0.11</v>
      </c>
      <c r="X246" s="173">
        <f t="shared" si="643"/>
        <v>0.09</v>
      </c>
      <c r="Y246" s="173">
        <f t="shared" si="644"/>
        <v>0.1</v>
      </c>
      <c r="Z246" s="174">
        <f t="shared" si="645"/>
        <v>0.11</v>
      </c>
      <c r="AA246" s="173">
        <f t="shared" si="646"/>
        <v>0.09</v>
      </c>
      <c r="AB246" s="173">
        <f t="shared" si="647"/>
        <v>0.11</v>
      </c>
      <c r="AC246" s="174">
        <f t="shared" si="648"/>
        <v>0.13</v>
      </c>
      <c r="AD246" s="173">
        <f t="shared" si="649"/>
        <v>0.09</v>
      </c>
      <c r="AE246" s="173">
        <f t="shared" si="650"/>
        <v>0.11</v>
      </c>
      <c r="AF246" s="174">
        <f t="shared" si="651"/>
        <v>0.13</v>
      </c>
      <c r="AG246" s="173">
        <f t="shared" si="652"/>
        <v>-0.35</v>
      </c>
      <c r="AH246" s="173">
        <f t="shared" si="653"/>
        <v>0.65</v>
      </c>
      <c r="AI246" s="174">
        <f t="shared" si="654"/>
        <v>0.2</v>
      </c>
      <c r="AJ246" s="173">
        <f t="shared" si="655"/>
        <v>-0.35</v>
      </c>
      <c r="AK246" s="173">
        <f t="shared" si="656"/>
        <v>0.65</v>
      </c>
      <c r="AL246" s="174">
        <f t="shared" si="657"/>
        <v>0.2</v>
      </c>
      <c r="AM246" s="173">
        <f t="shared" si="658"/>
        <v>-0.01</v>
      </c>
      <c r="AN246" s="173">
        <f t="shared" si="659"/>
        <v>0.16</v>
      </c>
      <c r="AO246" s="174">
        <f t="shared" si="660"/>
        <v>0.01</v>
      </c>
      <c r="AP246" s="173">
        <f t="shared" si="661"/>
        <v>-0.01</v>
      </c>
      <c r="AQ246" s="173">
        <f t="shared" si="662"/>
        <v>0.16</v>
      </c>
      <c r="AR246" s="175">
        <f t="shared" si="663"/>
        <v>0.01</v>
      </c>
      <c r="AS246" s="521">
        <f t="shared" si="699"/>
        <v>0.5</v>
      </c>
      <c r="AT246" s="349">
        <f t="shared" si="697"/>
        <v>20</v>
      </c>
      <c r="AU246" s="159">
        <f t="shared" si="582"/>
        <v>5</v>
      </c>
      <c r="AV246" s="159">
        <f t="shared" si="583"/>
        <v>5</v>
      </c>
      <c r="AW246" s="159">
        <f t="shared" si="700"/>
        <v>0</v>
      </c>
      <c r="AX246" s="15">
        <f t="shared" si="698"/>
        <v>30</v>
      </c>
      <c r="AY246" s="607">
        <f>IF(E246="",0,MIN((1-(1-VLOOKUP(B246,MAIN!$AA$7:$AM$28,C246+1))*(1-VLOOKUP(B246,MAIN!$AA$33:$AM$54,C246+1))),1))</f>
        <v>3.0000000000000027E-2</v>
      </c>
      <c r="AZ246" s="337">
        <v>46560</v>
      </c>
      <c r="BA246" s="509">
        <v>11640</v>
      </c>
      <c r="BB246" s="509">
        <v>11640</v>
      </c>
      <c r="BC246" s="511">
        <v>34920</v>
      </c>
      <c r="BD246" s="153">
        <v>0.97000000722706314</v>
      </c>
      <c r="BE246" s="474">
        <v>0.97000000722706314</v>
      </c>
      <c r="BF246" s="474">
        <v>0.97000000722706314</v>
      </c>
      <c r="BG246" s="515">
        <v>0.97000000722706314</v>
      </c>
      <c r="BH246" s="262">
        <v>186240</v>
      </c>
      <c r="BI246" s="509">
        <v>46560</v>
      </c>
      <c r="BJ246" s="509">
        <v>46560</v>
      </c>
      <c r="BK246" s="511">
        <v>139680</v>
      </c>
      <c r="BL246" s="153">
        <v>0.97000000722706314</v>
      </c>
      <c r="BM246" s="474">
        <v>0.97000000722706314</v>
      </c>
      <c r="BN246" s="474">
        <v>0.97000000722706314</v>
      </c>
      <c r="BO246" s="474">
        <v>0.97000000722706314</v>
      </c>
      <c r="BP246" s="261">
        <f t="shared" si="666"/>
        <v>69840</v>
      </c>
      <c r="BQ246" s="578">
        <f t="shared" si="667"/>
        <v>104760</v>
      </c>
      <c r="BR246" s="259">
        <f t="shared" si="668"/>
        <v>279360</v>
      </c>
      <c r="BS246" s="578">
        <f t="shared" si="669"/>
        <v>419040</v>
      </c>
      <c r="BT246" s="216">
        <f t="shared" si="670"/>
        <v>19.129363449691994</v>
      </c>
      <c r="BU246" s="218">
        <f t="shared" si="585"/>
        <v>47.587465710761037</v>
      </c>
      <c r="BV246" s="216">
        <f t="shared" si="586"/>
        <v>47.587465710761037</v>
      </c>
      <c r="BW246" s="216">
        <f t="shared" si="587"/>
        <v>28.076830575082436</v>
      </c>
      <c r="BX246" s="216">
        <f t="shared" si="671"/>
        <v>28.076830575082436</v>
      </c>
      <c r="BY246" s="216">
        <f t="shared" si="588"/>
        <v>44.335693188147928</v>
      </c>
      <c r="BZ246" s="216">
        <f t="shared" si="589"/>
        <v>38.916072317126094</v>
      </c>
      <c r="CA246" s="264">
        <f t="shared" si="590"/>
        <v>47.587465710761037</v>
      </c>
      <c r="CB246" s="216">
        <f t="shared" si="591"/>
        <v>47.587465710761037</v>
      </c>
      <c r="CC246" s="216">
        <f t="shared" si="592"/>
        <v>28.076830575082436</v>
      </c>
      <c r="CD246" s="216">
        <f t="shared" si="672"/>
        <v>28.076830575082436</v>
      </c>
      <c r="CE246" s="216">
        <f t="shared" si="593"/>
        <v>44.335693188147928</v>
      </c>
      <c r="CF246" s="571">
        <f t="shared" si="594"/>
        <v>38.916072317126094</v>
      </c>
      <c r="CG246" s="573">
        <f t="shared" si="595"/>
        <v>0.1</v>
      </c>
      <c r="CH246" s="219">
        <f t="shared" si="596"/>
        <v>0.1</v>
      </c>
      <c r="CI246" s="219">
        <f t="shared" si="597"/>
        <v>0.11</v>
      </c>
      <c r="CJ246" s="219">
        <f t="shared" si="598"/>
        <v>0.10106464085175752</v>
      </c>
      <c r="CK246" s="219">
        <f t="shared" si="599"/>
        <v>0.10106464085175752</v>
      </c>
      <c r="CL246" s="219">
        <f t="shared" si="600"/>
        <v>0.11</v>
      </c>
      <c r="CM246" s="219">
        <f t="shared" si="601"/>
        <v>9.3142565030023619E-2</v>
      </c>
      <c r="CN246" s="569">
        <f t="shared" si="602"/>
        <v>9.3142565030023619E-2</v>
      </c>
      <c r="CO246" s="264">
        <f t="shared" si="685"/>
        <v>24.829594909844165</v>
      </c>
      <c r="CP246" s="216">
        <f t="shared" si="673"/>
        <v>24.829594909844165</v>
      </c>
      <c r="CQ246" s="216">
        <f t="shared" ca="1" si="532"/>
        <v>24.829594909844165</v>
      </c>
      <c r="CR246" s="216">
        <f t="shared" ca="1" si="533"/>
        <v>24.829594909844165</v>
      </c>
      <c r="CS246" s="1626">
        <f t="shared" ca="1" si="534"/>
        <v>24.829594909844165</v>
      </c>
      <c r="CT246" s="216">
        <f t="shared" si="674"/>
        <v>24.829594909844165</v>
      </c>
      <c r="CU246" s="575">
        <f t="shared" si="603"/>
        <v>0.15</v>
      </c>
      <c r="CV246" s="154">
        <f t="shared" si="604"/>
        <v>0.5</v>
      </c>
      <c r="CW246" s="216">
        <f>IF(OR($BQ246,$BS246),SpreadOptPowerMargin,0)*((1+Assumptions!$C$26)^($B246-YEAR(Assumptions!$C$17)))</f>
        <v>2.4710142691631019</v>
      </c>
      <c r="CX246" s="216">
        <f>IF(OR($BQ246,$BS246),SpreadOptPowerMargin,0)*((1+Assumptions!$C$26)^($B246-YEAR(Assumptions!$C$17)))</f>
        <v>2.4710142691631019</v>
      </c>
      <c r="CY246" s="216">
        <f>IF(OR($BQ246,$BS246),SpreadOptPowerMargin,0)*((1+Assumptions!$C$26)^($B246-YEAR(Assumptions!$C$17)))</f>
        <v>2.4710142691631019</v>
      </c>
      <c r="CZ246" s="216">
        <f>IF(OR($BQ246,$BS246),SpreadOptPowerMargin,0)*((1+Assumptions!$C$26)^($B246-YEAR(Assumptions!$C$17)))</f>
        <v>2.4710142691631019</v>
      </c>
      <c r="DA246" s="440">
        <f t="shared" si="605"/>
        <v>2.4710142691631019</v>
      </c>
      <c r="DB246" s="479">
        <f t="shared" si="606"/>
        <v>0.1</v>
      </c>
      <c r="DC246" s="479">
        <f t="shared" si="607"/>
        <v>0.1</v>
      </c>
      <c r="DD246" s="479">
        <f t="shared" si="608"/>
        <v>0.11</v>
      </c>
      <c r="DE246" s="479">
        <f t="shared" si="609"/>
        <v>0.11</v>
      </c>
      <c r="DF246" s="479">
        <f t="shared" si="610"/>
        <v>9.3142565030023619E-2</v>
      </c>
      <c r="DG246" s="574">
        <f t="shared" si="611"/>
        <v>9.3142565030023619E-2</v>
      </c>
      <c r="DH246" s="216">
        <f t="shared" si="612"/>
        <v>21.8049607667873</v>
      </c>
      <c r="DI246" s="216">
        <f t="shared" si="613"/>
        <v>21.8049607667873</v>
      </c>
      <c r="DJ246" s="216">
        <f t="shared" ca="1" si="535"/>
        <v>6.3696136929430445</v>
      </c>
      <c r="DK246" s="216">
        <f t="shared" ca="1" si="536"/>
        <v>6.3696136929430445</v>
      </c>
      <c r="DL246" s="216">
        <f t="shared" ca="1" si="537"/>
        <v>14.198373716617919</v>
      </c>
      <c r="DM246" s="216"/>
      <c r="DN246" s="216"/>
      <c r="DO246" s="216"/>
      <c r="DP246" s="216"/>
      <c r="DQ246" s="216"/>
      <c r="DR246" s="216"/>
      <c r="DS246" s="216"/>
      <c r="DT246" s="216"/>
      <c r="DU246" s="216"/>
      <c r="DV246" s="216"/>
      <c r="DW246" s="1371">
        <f t="shared" si="614"/>
        <v>6.3696136929430445</v>
      </c>
      <c r="DX246" s="216">
        <f t="shared" si="615"/>
        <v>6.3696136929430445</v>
      </c>
      <c r="DY246" s="440">
        <f t="shared" si="616"/>
        <v>14.944806511745409</v>
      </c>
      <c r="DZ246" s="180">
        <f t="shared" si="617"/>
        <v>1015238.9733016167</v>
      </c>
      <c r="EA246" s="180">
        <f t="shared" si="618"/>
        <v>253809.74332540418</v>
      </c>
      <c r="EB246" s="180">
        <f t="shared" ca="1" si="538"/>
        <v>74142.303385857042</v>
      </c>
      <c r="EC246" s="180">
        <f t="shared" ca="1" si="539"/>
        <v>222426.91015757111</v>
      </c>
      <c r="ED246" s="180">
        <f t="shared" ca="1" si="540"/>
        <v>1487421.6305528933</v>
      </c>
      <c r="EE246" s="581">
        <f t="shared" si="619"/>
        <v>944556.04011845554</v>
      </c>
      <c r="EF246" s="554">
        <f t="shared" si="620"/>
        <v>236139.01002961388</v>
      </c>
      <c r="EG246" s="554">
        <f t="shared" ca="1" si="541"/>
        <v>9035.2170503149646</v>
      </c>
      <c r="EH246" s="554">
        <f t="shared" ca="1" si="542"/>
        <v>27105.65115094489</v>
      </c>
      <c r="EI246" s="561">
        <f t="shared" ca="1" si="621"/>
        <v>1216835.9183493282</v>
      </c>
      <c r="EJ246" s="581">
        <f t="shared" si="675"/>
        <v>70682.933183161193</v>
      </c>
      <c r="EK246" s="554">
        <f t="shared" si="676"/>
        <v>17670.733295790298</v>
      </c>
      <c r="EL246" s="554">
        <f t="shared" ca="1" si="543"/>
        <v>65107.086335542073</v>
      </c>
      <c r="EM246" s="554">
        <f t="shared" ca="1" si="544"/>
        <v>195321.25900662621</v>
      </c>
      <c r="EN246" s="561">
        <f t="shared" ca="1" si="545"/>
        <v>270585.71220356505</v>
      </c>
      <c r="EO246" s="180">
        <f t="shared" si="622"/>
        <v>4060955.8932064669</v>
      </c>
      <c r="EP246" s="180">
        <f t="shared" si="623"/>
        <v>1015238.9733016167</v>
      </c>
      <c r="EQ246" s="180">
        <f t="shared" si="624"/>
        <v>296569.21354342817</v>
      </c>
      <c r="ER246" s="180">
        <f t="shared" si="625"/>
        <v>889707.64063028444</v>
      </c>
      <c r="ES246" s="180">
        <f t="shared" si="626"/>
        <v>6262471.7206817959</v>
      </c>
      <c r="ET246" s="1482">
        <f t="shared" ca="1" si="546"/>
        <v>3778224.1604738222</v>
      </c>
      <c r="EU246" s="180">
        <f t="shared" ca="1" si="547"/>
        <v>944556.04011845554</v>
      </c>
      <c r="EV246" s="180">
        <f t="shared" ca="1" si="548"/>
        <v>36140.868201259858</v>
      </c>
      <c r="EW246" s="180">
        <f t="shared" ca="1" si="549"/>
        <v>108422.60460377956</v>
      </c>
      <c r="EX246" s="555">
        <f t="shared" ca="1" si="693"/>
        <v>4867343.6733973166</v>
      </c>
      <c r="EY246" s="180">
        <f t="shared" ca="1" si="550"/>
        <v>282731.73273264477</v>
      </c>
      <c r="EZ246" s="180">
        <f t="shared" ca="1" si="551"/>
        <v>70682.933183161193</v>
      </c>
      <c r="FA246" s="180">
        <f t="shared" ca="1" si="552"/>
        <v>260428.34534216829</v>
      </c>
      <c r="FB246" s="180">
        <f t="shared" ca="1" si="553"/>
        <v>781285.03602650482</v>
      </c>
      <c r="FC246" s="180">
        <f t="shared" ca="1" si="554"/>
        <v>1395128.0472844793</v>
      </c>
      <c r="FD246" s="262">
        <f>IF(AX246,IF(VLOOKUP(C246,MAIN!$L$17:$M$28,2)="Yes",VLOOKUP(CALC!B246,MAIN!$H$17:$I$20,2),0),0)</f>
        <v>0</v>
      </c>
      <c r="FE246" s="623">
        <f t="shared" si="627"/>
        <v>0</v>
      </c>
      <c r="FF246" s="535">
        <f t="shared" si="628"/>
        <v>0</v>
      </c>
      <c r="FG246" s="535">
        <f t="shared" si="629"/>
        <v>0</v>
      </c>
      <c r="FH246" s="624">
        <f t="shared" si="630"/>
        <v>0</v>
      </c>
      <c r="FI246" s="632">
        <f>IF(AX246,VLOOKUP(CALC!B246,MAIN!$H$17:$K$20,4),0)</f>
        <v>0</v>
      </c>
      <c r="FJ246" s="535">
        <f t="shared" si="631"/>
        <v>0</v>
      </c>
      <c r="FK246" s="648">
        <f t="shared" si="677"/>
        <v>0</v>
      </c>
      <c r="FL246" s="530">
        <f t="shared" ca="1" si="555"/>
        <v>0</v>
      </c>
      <c r="FM246" s="530">
        <f t="shared" ca="1" si="556"/>
        <v>0</v>
      </c>
      <c r="FN246" s="530">
        <f t="shared" ca="1" si="557"/>
        <v>0</v>
      </c>
      <c r="FO246" s="622">
        <f t="shared" ca="1" si="558"/>
        <v>0</v>
      </c>
      <c r="FP246" s="530">
        <f t="shared" ca="1" si="559"/>
        <v>0</v>
      </c>
      <c r="FQ246" s="530">
        <f t="shared" ca="1" si="560"/>
        <v>0</v>
      </c>
      <c r="FR246" s="530">
        <f t="shared" ca="1" si="561"/>
        <v>0</v>
      </c>
      <c r="FS246" s="625">
        <f t="shared" ca="1" si="562"/>
        <v>0</v>
      </c>
      <c r="FT246" s="640">
        <f ca="1">IF(AND(Assumptions!$H$71="Yes",A246&gt;=Assumptions!$H$72,A246&lt;=Assumptions!$H$73),0,IF(AND($A246&gt;=Assumptions!$C$17,$A246&lt;=Assumptions!$C$18),MAX(AZ246*(1+VLOOKUP($C246,WeatherCapacityAdjustment,2))-FL246,0),0))</f>
        <v>46560</v>
      </c>
      <c r="FU246" s="530">
        <f ca="1">IF(AND(Assumptions!$H$71="Yes",A246&gt;=Assumptions!$H$72,A246&lt;=Assumptions!$H$73),0,IF(AND($A246&gt;=Assumptions!$C$17,$A246&lt;=Assumptions!$C$18),MAX(BA246*(1+VLOOKUP($C246,WeatherCapacityAdjustment,2))-FM246,0),0))</f>
        <v>11640</v>
      </c>
      <c r="FV246" s="530">
        <f ca="1">IF(AND(Assumptions!$H$71="Yes",A246&gt;=Assumptions!$H$72,A246&lt;=Assumptions!$H$73),0,IF(AND($A246&gt;=Assumptions!$C$17,$A246&lt;=Assumptions!$C$18),MAX(BB246*(1+VLOOKUP($C246,WeatherCapacityAdjustment,2))-FN246,0),0))</f>
        <v>11640</v>
      </c>
      <c r="FW246" s="622">
        <f ca="1">IF(AND(Assumptions!$H$71="Yes",A246&gt;=Assumptions!$H$72,A246&lt;=Assumptions!$H$73),0,IF(AND($A246&gt;=Assumptions!$C$17,$A246&lt;=Assumptions!$C$18),MAX(BC246*(1+VLOOKUP($C246,WeatherCapacityAdjustment,3))-FO246,0),0))</f>
        <v>34920</v>
      </c>
      <c r="FX246" s="621">
        <f ca="1">IF(AND(Assumptions!$H$71="Yes",A246&gt;=Assumptions!$H$72,A246&lt;=Assumptions!$H$73),0,IF(ET246&gt;0,MAX(BH246*(1+VLOOKUP($C246,WeatherCapacityAdjustment,2))-FP246,0),0))</f>
        <v>186240</v>
      </c>
      <c r="FY246" s="530">
        <f ca="1">IF(AND(Assumptions!$H$71="Yes",A246&gt;=Assumptions!$H$72,A246&lt;=Assumptions!$H$73),0,IF(EU246&gt;0,MAX(BI246*(1+VLOOKUP($C246,WeatherCapacityAdjustment,3))-FQ246,0),0))</f>
        <v>46560</v>
      </c>
      <c r="FZ246" s="530">
        <f ca="1">IF(AND(Assumptions!$H$71="Yes",A246&gt;=Assumptions!$H$72,A246&lt;=Assumptions!$H$73),0,IF(EV246&gt;0,MAX(BJ246*(1+VLOOKUP($C246,WeatherCapacityAdjustment,2))-FR246,0),0))</f>
        <v>46560</v>
      </c>
      <c r="GA246" s="622">
        <f ca="1">IF(AND(Assumptions!$H$71="Yes",A246&gt;=Assumptions!$H$72,A246&lt;=Assumptions!$H$73),0,IF(EW246&gt;0,MAX(BK246*(1+VLOOKUP($C246,WeatherCapacityAdjustment,2))-FS246,0),0))</f>
        <v>139680</v>
      </c>
      <c r="GB246" s="530">
        <f t="shared" ca="1" si="632"/>
        <v>523800</v>
      </c>
      <c r="GC246" s="545">
        <f t="shared" ca="1" si="633"/>
        <v>38.916072317126094</v>
      </c>
      <c r="GD246" s="530">
        <f t="shared" ca="1" si="563"/>
        <v>20384238.679710653</v>
      </c>
      <c r="GE246" s="1485">
        <f t="shared" ca="1" si="564"/>
        <v>748411.72560000001</v>
      </c>
      <c r="GF246" s="1776">
        <f t="shared" ca="1" si="565"/>
        <v>2993646.9024</v>
      </c>
      <c r="GG246" s="545">
        <f t="shared" si="701"/>
        <v>3.4755580034104088</v>
      </c>
      <c r="GH246" s="622">
        <f t="shared" ca="1" si="702"/>
        <v>13005741.813776374</v>
      </c>
      <c r="GI246" s="621">
        <f t="shared" ca="1" si="678"/>
        <v>523800</v>
      </c>
      <c r="GJ246" s="638">
        <f t="shared" si="634"/>
        <v>2.4710142691631019</v>
      </c>
      <c r="GK246" s="625">
        <f t="shared" ca="1" si="684"/>
        <v>1294317.2741876328</v>
      </c>
      <c r="GL246" s="640">
        <f t="shared" ca="1" si="566"/>
        <v>0</v>
      </c>
      <c r="GM246" s="530">
        <f t="shared" ca="1" si="567"/>
        <v>0</v>
      </c>
      <c r="GN246" s="530">
        <f t="shared" ca="1" si="568"/>
        <v>0</v>
      </c>
      <c r="GO246" s="622">
        <f t="shared" ca="1" si="569"/>
        <v>0</v>
      </c>
      <c r="GP246" s="530">
        <f t="shared" ca="1" si="635"/>
        <v>0</v>
      </c>
      <c r="GQ246" s="545">
        <f t="shared" ca="1" si="636"/>
        <v>0</v>
      </c>
      <c r="GR246" s="625">
        <f t="shared" ca="1" si="570"/>
        <v>0</v>
      </c>
      <c r="GS246" s="640">
        <f>IF($A246&gt;=BegDate,Assumptions!$C$56*24*($A247-$A246)*(1-VLOOKUP($B246,MAIN!$AA$7:$AM$28,$C246+1))*(1-VLOOKUP($B246,MAIN!$AA$33:$AM$54,$C246+1)),0)*80/168</f>
        <v>249428.57142857142</v>
      </c>
      <c r="GT246" s="1715">
        <f t="shared" si="679"/>
        <v>47.587465356206792</v>
      </c>
      <c r="GU246" s="1715">
        <f>IF($A246&gt;=BegDate,VLOOKUP($A246,GasTable,13)+Assumptions!$C$58,0)</f>
        <v>3.4755580034104088</v>
      </c>
      <c r="GV246" s="1715">
        <f>GU246*Assumptions!$C$57/1000</f>
        <v>25.197795524725464</v>
      </c>
      <c r="GW246" s="625">
        <f>IF(Assumptions!$C$60="Hourly",MAX(0,GS246*(GT246-GV246)),GS246*(GT246-GV246))</f>
        <v>5584623.360823771</v>
      </c>
      <c r="GX246" s="640">
        <f>IF($A246&gt;=BegDate,Assumptions!$C$56*24*($A247-$A246)*(1-VLOOKUP($B246,MAIN!$AA$7:$AM$28,$C246+1))*(1-VLOOKUP($B246,MAIN!$AA$33:$AM$54,$C246+1)),0)*16/168</f>
        <v>49885.714285714283</v>
      </c>
      <c r="GY246" s="1715">
        <f t="shared" si="680"/>
        <v>47.587465356206792</v>
      </c>
      <c r="GZ246" s="1715">
        <f>IF($A246&gt;=BegDate,VLOOKUP($A246,GasTable,13)+Assumptions!$C$58,0)</f>
        <v>3.4755580034104088</v>
      </c>
      <c r="HA246" s="1715">
        <f>GZ246*Assumptions!$C$57/1000</f>
        <v>25.197795524725464</v>
      </c>
      <c r="HB246" s="625">
        <f>IF(Assumptions!$C$60="Hourly",MAX(0,GX246*(GY246-HA246)),GX246*(GY246-HA246))</f>
        <v>1116924.6721647542</v>
      </c>
      <c r="HC246" s="640">
        <f>IF($A246&gt;=BegDate,Assumptions!$C$56*24*($A247-$A246)*(1-VLOOKUP($B246,MAIN!$AA$7:$AM$28,$C246+1))*(1-VLOOKUP($B246,MAIN!$AA$33:$AM$54,$C246+1)),0)*16/168</f>
        <v>49885.714285714283</v>
      </c>
      <c r="HD246" s="1715">
        <f t="shared" si="681"/>
        <v>28.076830365893748</v>
      </c>
      <c r="HE246" s="1715">
        <f>IF($A246&gt;=BegDate,VLOOKUP($A246,GasTable,13)+Assumptions!$C$58,0)</f>
        <v>3.4755580034104088</v>
      </c>
      <c r="HF246" s="1715">
        <f>HE246*Assumptions!$C$57/1000</f>
        <v>25.197795524725464</v>
      </c>
      <c r="HG246" s="625">
        <f>IF(Assumptions!$C$60="Hourly",MAX(0,HC246*(HD246-HF246)),HC246*(HD246-HF246))</f>
        <v>143622.70950513781</v>
      </c>
      <c r="HH246" s="640">
        <f>IF($A246&gt;=BegDate,Assumptions!$C$56*24*($A247-$A246)*(1-VLOOKUP($B246,MAIN!$AA$7:$AM$28,$C246+1))*(1-VLOOKUP($B246,MAIN!$AA$33:$AM$54,$C246+1)),0)*56/168</f>
        <v>174600</v>
      </c>
      <c r="HI246" s="1715">
        <f t="shared" si="682"/>
        <v>28.076830365893748</v>
      </c>
      <c r="HJ246" s="1715">
        <f>IF($A246&gt;=BegDate,VLOOKUP($A246,GasTable,13)+Assumptions!$C$58,0)</f>
        <v>3.4755580034104088</v>
      </c>
      <c r="HK246" s="1715">
        <f>HJ246*Assumptions!$C$57/1000</f>
        <v>25.197795524725464</v>
      </c>
      <c r="HL246" s="625">
        <f>IF(Assumptions!$C$60="Hourly",MAX(0,HH246*(HI246-HK246)),HH246*(HI246-HK246))</f>
        <v>502679.48326798243</v>
      </c>
      <c r="HM246" s="640">
        <f>IF(AND(Assumptions!$H$71="Yes",A246&gt;=Assumptions!$H$72,A246&lt;=Assumptions!$H$73),Assumptions!$H$74*Assumptions!$C$9*1000,0)</f>
        <v>0</v>
      </c>
      <c r="HN246" s="530"/>
      <c r="HO246" s="545"/>
      <c r="HP246" s="545"/>
      <c r="HQ246" s="545"/>
      <c r="HR246" s="545"/>
      <c r="HS246" s="545"/>
      <c r="HT246" s="545"/>
      <c r="HU246" s="545"/>
      <c r="HV246" s="545"/>
      <c r="HW246" s="545"/>
      <c r="HX246" s="545"/>
      <c r="HY246" s="545"/>
      <c r="HZ246" s="545"/>
      <c r="IA246" s="545"/>
      <c r="IB246" s="545"/>
      <c r="IC246" s="545"/>
      <c r="ID246" s="545"/>
      <c r="IE246" s="545"/>
      <c r="IF246" s="545"/>
      <c r="IG246" s="545"/>
      <c r="IH246" s="545"/>
      <c r="II246" s="1464"/>
      <c r="IJ246" s="1463"/>
      <c r="IK246" s="1463"/>
    </row>
    <row r="247" spans="1:245">
      <c r="A247" s="177">
        <f t="shared" si="637"/>
        <v>43647</v>
      </c>
      <c r="B247" s="349">
        <f t="shared" si="638"/>
        <v>2019</v>
      </c>
      <c r="C247" s="15">
        <f t="shared" si="694"/>
        <v>7</v>
      </c>
      <c r="D247" s="612">
        <f t="shared" si="639"/>
        <v>43650</v>
      </c>
      <c r="E247" s="609">
        <f t="shared" si="695"/>
        <v>43647</v>
      </c>
      <c r="F247" s="614">
        <f t="shared" si="696"/>
        <v>43677</v>
      </c>
      <c r="G247" s="1349">
        <v>0</v>
      </c>
      <c r="H247" s="152">
        <f t="shared" si="683"/>
        <v>1</v>
      </c>
      <c r="I247" s="154">
        <f>IF(Assumptions!$L$25=4,VLOOKUP($A247,'Henwood Reference'!$E$9:$R$320,10),(VLOOKUP($A247,PriceTable,2,0)+IF(BasisNumber&lt;&gt;1,VLOOKUP($A247,BasisTable,2,0),0)+I$1)/(1-I$2))</f>
        <v>70.705310490815918</v>
      </c>
      <c r="J247" s="154">
        <f>IF(Assumptions!$L$25=4,VLOOKUP($A247,'Henwood Reference'!$E$9:$R$320,10),(VLOOKUP($A247,PriceTable,3,0)+IF(BasisNumber&lt;&gt;1,VLOOKUP($A247,BasisTable,2,0),0)+J$1)/(1-J$2))</f>
        <v>70.705310490815918</v>
      </c>
      <c r="K247" s="154">
        <f>IF(Assumptions!$L$25=4,VLOOKUP($A247,'Henwood Reference'!$E$9:$R$320,10),(VLOOKUP($A247,PriceTable,4,0)+IF(BasisNumber&lt;&gt;1,VLOOKUP($A247,BasisTable,2,0),0)+K$1)/(1-K$2))</f>
        <v>70.705310490815918</v>
      </c>
      <c r="L247" s="474">
        <f>IF(Assumptions!$L$25=4,VLOOKUP($A247,'Henwood Reference'!$E$9:$R$320,10),(VLOOKUP($A247,PriceTableWeekend,2,0)+IF(BasisNumber&lt;&gt;1,VLOOKUP($A247,BasisTable,2,0),0)+L$1)/(1-L$2))</f>
        <v>70.705310490815918</v>
      </c>
      <c r="M247" s="154">
        <f>IF(Assumptions!$L$25=4,VLOOKUP($A247,'Henwood Reference'!$E$9:$R$320,10),(VLOOKUP($A247,PriceTableWeekend,3,0)+IF(BasisNumber&lt;&gt;1,VLOOKUP($A247,BasisTable,2,0),0)+M$1)/(1-M$2))</f>
        <v>70.705310490815918</v>
      </c>
      <c r="N247" s="156">
        <f>IF(Assumptions!$L$25=4,VLOOKUP($A247,'Henwood Reference'!$E$9:$R$320,10),(VLOOKUP($A247,PriceTableWeekend,4,0)+IF(BasisNumber&lt;&gt;1,VLOOKUP($A247,BasisTable,2,0),0)+N$1)/(1-N$2))</f>
        <v>70.705310490815918</v>
      </c>
      <c r="O247" s="154">
        <f>IF(Assumptions!$L$25=4,VLOOKUP($A247,'Henwood Reference'!$E$9:$R$320,11),(VLOOKUP($A247,PriceTableWeekend,6,0)+IF(BasisNumber&lt;&gt;1,VLOOKUP($A247,BasisTable,3,0),0)+O$1)/(1-O$2))</f>
        <v>33.143036899476414</v>
      </c>
      <c r="P247" s="154">
        <f>IF(Assumptions!$L$25=4,VLOOKUP($A247,'Henwood Reference'!$E$9:$R$320,11),(VLOOKUP($A247,PriceTableWeekend,7,0)+IF(BasisNumber&lt;&gt;1,VLOOKUP($A247,BasisTable,3,0),0)+P$1)/(1-P$2))</f>
        <v>33.143036899476414</v>
      </c>
      <c r="Q247" s="156">
        <f>IF(Assumptions!$L$25=4,VLOOKUP($A247,'Henwood Reference'!$E$9:$R$320,11),(VLOOKUP($A247,PriceTableWeekend,8,0)+IF(BasisNumber&lt;&gt;1,VLOOKUP($A247,BasisTable,3,0),0)+Q$1)/(1-Q$2))</f>
        <v>33.143036899476414</v>
      </c>
      <c r="R247" s="154">
        <f>IF(Assumptions!$L$25=4,VLOOKUP($A247,'Henwood Reference'!$E$9:$R$320,11),(VLOOKUP($A247,PriceTable,6,0)+IF(BasisNumber&lt;&gt;1,VLOOKUP($A247,BasisTable,3,0),0)+R$1)/(1-R$2))</f>
        <v>33.143036899476414</v>
      </c>
      <c r="S247" s="154">
        <f>IF(Assumptions!$L$25=4,VLOOKUP($A247,'Henwood Reference'!$E$9:$R$320,11),(VLOOKUP($A247,PriceTable,7,0)+IF(BasisNumber&lt;&gt;1,VLOOKUP($A247,BasisTable,3,0),0)+S$1)/(1-S$2))</f>
        <v>33.143036899476414</v>
      </c>
      <c r="T247" s="155">
        <f>IF(Assumptions!$L$25=4,VLOOKUP($A247,'Henwood Reference'!$E$9:$R$320,11),(VLOOKUP($A247,PriceTable,8,0)+IF(BasisNumber&lt;&gt;1,VLOOKUP($A247,BasisTable,3,0),0)+T$1)/(1-T$2))</f>
        <v>33.143036899476414</v>
      </c>
      <c r="U247" s="173">
        <f t="shared" si="640"/>
        <v>0.09</v>
      </c>
      <c r="V247" s="173">
        <f t="shared" si="641"/>
        <v>0.1</v>
      </c>
      <c r="W247" s="174">
        <f t="shared" si="642"/>
        <v>0.11</v>
      </c>
      <c r="X247" s="173">
        <f t="shared" si="643"/>
        <v>0.09</v>
      </c>
      <c r="Y247" s="173">
        <f t="shared" si="644"/>
        <v>0.1</v>
      </c>
      <c r="Z247" s="174">
        <f t="shared" si="645"/>
        <v>0.11</v>
      </c>
      <c r="AA247" s="173">
        <f t="shared" si="646"/>
        <v>0.09</v>
      </c>
      <c r="AB247" s="173">
        <f t="shared" si="647"/>
        <v>0.11</v>
      </c>
      <c r="AC247" s="174">
        <f t="shared" si="648"/>
        <v>0.13</v>
      </c>
      <c r="AD247" s="173">
        <f t="shared" si="649"/>
        <v>0.09</v>
      </c>
      <c r="AE247" s="173">
        <f t="shared" si="650"/>
        <v>0.11</v>
      </c>
      <c r="AF247" s="174">
        <f t="shared" si="651"/>
        <v>0.13</v>
      </c>
      <c r="AG247" s="173">
        <f t="shared" si="652"/>
        <v>-0.35</v>
      </c>
      <c r="AH247" s="173">
        <f t="shared" si="653"/>
        <v>0.65</v>
      </c>
      <c r="AI247" s="174">
        <f t="shared" si="654"/>
        <v>0.35</v>
      </c>
      <c r="AJ247" s="173">
        <f t="shared" si="655"/>
        <v>-0.35</v>
      </c>
      <c r="AK247" s="173">
        <f t="shared" si="656"/>
        <v>0.65</v>
      </c>
      <c r="AL247" s="174">
        <f t="shared" si="657"/>
        <v>0.35</v>
      </c>
      <c r="AM247" s="173">
        <f t="shared" si="658"/>
        <v>-0.01</v>
      </c>
      <c r="AN247" s="173">
        <f t="shared" si="659"/>
        <v>0.16</v>
      </c>
      <c r="AO247" s="174">
        <f t="shared" si="660"/>
        <v>0.01</v>
      </c>
      <c r="AP247" s="173">
        <f t="shared" si="661"/>
        <v>-0.01</v>
      </c>
      <c r="AQ247" s="173">
        <f t="shared" si="662"/>
        <v>0.16</v>
      </c>
      <c r="AR247" s="175">
        <f t="shared" si="663"/>
        <v>0.01</v>
      </c>
      <c r="AS247" s="521">
        <f t="shared" si="699"/>
        <v>0.5</v>
      </c>
      <c r="AT247" s="349">
        <f t="shared" si="697"/>
        <v>22</v>
      </c>
      <c r="AU247" s="159">
        <f t="shared" si="582"/>
        <v>4</v>
      </c>
      <c r="AV247" s="159">
        <f t="shared" si="583"/>
        <v>4</v>
      </c>
      <c r="AW247" s="159">
        <f t="shared" si="700"/>
        <v>1</v>
      </c>
      <c r="AX247" s="15">
        <f t="shared" si="698"/>
        <v>31</v>
      </c>
      <c r="AY247" s="607">
        <f>IF(E247="",0,MIN((1-(1-VLOOKUP(B247,MAIN!$AA$7:$AM$28,C247+1))*(1-VLOOKUP(B247,MAIN!$AA$33:$AM$54,C247+1))),1))</f>
        <v>3.0000000000000027E-2</v>
      </c>
      <c r="AZ247" s="337">
        <v>51216</v>
      </c>
      <c r="BA247" s="509">
        <v>9312</v>
      </c>
      <c r="BB247" s="509">
        <v>11640</v>
      </c>
      <c r="BC247" s="511">
        <v>36084</v>
      </c>
      <c r="BD247" s="153">
        <v>0.97000000361353156</v>
      </c>
      <c r="BE247" s="474">
        <v>0.97000000361353156</v>
      </c>
      <c r="BF247" s="474">
        <v>0.97000000361353156</v>
      </c>
      <c r="BG247" s="515">
        <v>0.96999998554587363</v>
      </c>
      <c r="BH247" s="262">
        <v>204864</v>
      </c>
      <c r="BI247" s="509">
        <v>37248</v>
      </c>
      <c r="BJ247" s="509">
        <v>46560</v>
      </c>
      <c r="BK247" s="511">
        <v>144336</v>
      </c>
      <c r="BL247" s="153">
        <v>0.97000000361353156</v>
      </c>
      <c r="BM247" s="474">
        <v>0.97000000361353156</v>
      </c>
      <c r="BN247" s="474">
        <v>0.97000000361353156</v>
      </c>
      <c r="BO247" s="474">
        <v>0.96999998554587363</v>
      </c>
      <c r="BP247" s="261">
        <f t="shared" si="666"/>
        <v>72168</v>
      </c>
      <c r="BQ247" s="578">
        <f t="shared" si="667"/>
        <v>108252</v>
      </c>
      <c r="BR247" s="259">
        <f t="shared" si="668"/>
        <v>288672</v>
      </c>
      <c r="BS247" s="578">
        <f t="shared" si="669"/>
        <v>433008</v>
      </c>
      <c r="BT247" s="216">
        <f t="shared" si="670"/>
        <v>19.211498973305954</v>
      </c>
      <c r="BU247" s="218">
        <f t="shared" si="585"/>
        <v>70.705310754213727</v>
      </c>
      <c r="BV247" s="216">
        <f t="shared" si="586"/>
        <v>70.705310754213727</v>
      </c>
      <c r="BW247" s="216">
        <f t="shared" si="587"/>
        <v>33.143037022943851</v>
      </c>
      <c r="BX247" s="216">
        <f t="shared" si="671"/>
        <v>33.143036405606679</v>
      </c>
      <c r="BY247" s="216">
        <f t="shared" si="588"/>
        <v>64.646879507234715</v>
      </c>
      <c r="BZ247" s="216">
        <f t="shared" si="589"/>
        <v>54.145598473358703</v>
      </c>
      <c r="CA247" s="264">
        <f t="shared" si="590"/>
        <v>70.705310754213727</v>
      </c>
      <c r="CB247" s="216">
        <f t="shared" si="591"/>
        <v>70.705310754213727</v>
      </c>
      <c r="CC247" s="216">
        <f t="shared" si="592"/>
        <v>33.143037022943851</v>
      </c>
      <c r="CD247" s="216">
        <f t="shared" si="672"/>
        <v>33.143036405606679</v>
      </c>
      <c r="CE247" s="216">
        <f t="shared" si="593"/>
        <v>64.646879507234715</v>
      </c>
      <c r="CF247" s="571">
        <f t="shared" si="594"/>
        <v>54.145598473358703</v>
      </c>
      <c r="CG247" s="573">
        <f t="shared" si="595"/>
        <v>0.1</v>
      </c>
      <c r="CH247" s="219">
        <f t="shared" si="596"/>
        <v>0.1</v>
      </c>
      <c r="CI247" s="219">
        <f t="shared" si="597"/>
        <v>0.11</v>
      </c>
      <c r="CJ247" s="219">
        <f t="shared" si="598"/>
        <v>0.10083428990560003</v>
      </c>
      <c r="CK247" s="219">
        <f t="shared" si="599"/>
        <v>0.10083428990560003</v>
      </c>
      <c r="CL247" s="219">
        <f t="shared" si="600"/>
        <v>0.11</v>
      </c>
      <c r="CM247" s="219">
        <f t="shared" si="601"/>
        <v>9.3782328779038387E-2</v>
      </c>
      <c r="CN247" s="569">
        <f t="shared" si="602"/>
        <v>9.3782328779038387E-2</v>
      </c>
      <c r="CO247" s="264">
        <f t="shared" si="685"/>
        <v>25.47637181786515</v>
      </c>
      <c r="CP247" s="216">
        <f t="shared" si="673"/>
        <v>25.47637181786515</v>
      </c>
      <c r="CQ247" s="216">
        <f t="shared" ref="CQ247:CQ300" ca="1" si="703">IF(OR(BQ247,BS247),VLOOKUP(A247,GasTable,13)*IF(EV247,HeatRatePeak,HeatRateOffPeak)*(1+VLOOKUP($B247,HeatRateDegradation,$C247+1))/1000,0)</f>
        <v>25.47637181786515</v>
      </c>
      <c r="CR247" s="216">
        <f t="shared" ref="CR247:CR300" ca="1" si="704">IF(OR(BQ247,BS247),VLOOKUP(A247,GasTable,13)*IF(EW247,HeatRatePeak,HeatRateOffPeak)*(1+VLOOKUP($B247,HeatRateDegradation,$C247+1))/1000,0)</f>
        <v>25.47637181786515</v>
      </c>
      <c r="CS247" s="1626">
        <f t="shared" ref="CS247:CS300" ca="1" si="705">IF(BQ247,(CO247*AZ247+CP247*BA247+CQ247*BB247+CR247*BC247)/BQ247,0)</f>
        <v>25.476371817865147</v>
      </c>
      <c r="CT247" s="216">
        <f t="shared" si="674"/>
        <v>25.47637181786515</v>
      </c>
      <c r="CU247" s="575">
        <f t="shared" si="603"/>
        <v>0.15</v>
      </c>
      <c r="CV247" s="154">
        <f t="shared" si="604"/>
        <v>0.5</v>
      </c>
      <c r="CW247" s="216">
        <f>IF(OR($BQ247,$BS247),SpreadOptPowerMargin,0)*((1+Assumptions!$C$26)^($B247-YEAR(Assumptions!$C$17)))</f>
        <v>2.4710142691631019</v>
      </c>
      <c r="CX247" s="216">
        <f>IF(OR($BQ247,$BS247),SpreadOptPowerMargin,0)*((1+Assumptions!$C$26)^($B247-YEAR(Assumptions!$C$17)))</f>
        <v>2.4710142691631019</v>
      </c>
      <c r="CY247" s="216">
        <f>IF(OR($BQ247,$BS247),SpreadOptPowerMargin,0)*((1+Assumptions!$C$26)^($B247-YEAR(Assumptions!$C$17)))</f>
        <v>2.4710142691631019</v>
      </c>
      <c r="CZ247" s="216">
        <f>IF(OR($BQ247,$BS247),SpreadOptPowerMargin,0)*((1+Assumptions!$C$26)^($B247-YEAR(Assumptions!$C$17)))</f>
        <v>2.4710142691631019</v>
      </c>
      <c r="DA247" s="440">
        <f t="shared" si="605"/>
        <v>2.4710142691631014</v>
      </c>
      <c r="DB247" s="479">
        <f t="shared" si="606"/>
        <v>0.1</v>
      </c>
      <c r="DC247" s="479">
        <f t="shared" si="607"/>
        <v>0.1</v>
      </c>
      <c r="DD247" s="479">
        <f t="shared" si="608"/>
        <v>0.11</v>
      </c>
      <c r="DE247" s="479">
        <f t="shared" si="609"/>
        <v>0.11</v>
      </c>
      <c r="DF247" s="479">
        <f t="shared" si="610"/>
        <v>9.3782328779038387E-2</v>
      </c>
      <c r="DG247" s="574">
        <f t="shared" si="611"/>
        <v>9.3782328779038387E-2</v>
      </c>
      <c r="DH247" s="216">
        <f t="shared" si="612"/>
        <v>43.200909996067487</v>
      </c>
      <c r="DI247" s="216">
        <f t="shared" si="613"/>
        <v>43.200909996067487</v>
      </c>
      <c r="DJ247" s="216">
        <f t="shared" ref="DJ247:DJ300" ca="1" si="706">IF(AND(BW247&gt;0,CQ247&gt;0,DD247&gt;0,CU247&gt;0),newSPRDOPT(BW247,CQ247,CY247,0,DD247,CU247,CV247,BT247*365.25,OCallPut,0),0)</f>
        <v>9.5399122185466183</v>
      </c>
      <c r="DK247" s="216">
        <f t="shared" ref="DK247:DK300" ca="1" si="707">IF(AND(BX247&gt;0,CR247&gt;0,DE247&gt;0,CU247&gt;0),newSPRDOPT(BX247,CR247,CZ247,0,DE247,CU247,CV247,BT247*365.25,OCallPut,0),0)</f>
        <v>9.5399117709890806</v>
      </c>
      <c r="DL247" s="216">
        <f t="shared" ref="DL247:DL300" ca="1" si="708">IF(OVolType,IF(AND(BZ247&gt;0,CS247&gt;0,DF247&gt;0,CU247&gt;0),newSPRDOPT(BZ247,CS247,DA247,0,DF247,CU247,CV247,BT247*365.25,OCallPut,0),0),IF(BQ247,(DH247*AZ247+DI247*BA247+DJ247*BB247+DK247*BC247)/BQ247,0))</f>
        <v>27.292343347658608</v>
      </c>
      <c r="DM247" s="216"/>
      <c r="DN247" s="216"/>
      <c r="DO247" s="216"/>
      <c r="DP247" s="216"/>
      <c r="DQ247" s="216"/>
      <c r="DR247" s="216"/>
      <c r="DS247" s="216"/>
      <c r="DT247" s="216"/>
      <c r="DU247" s="216"/>
      <c r="DV247" s="216"/>
      <c r="DW247" s="1371">
        <f t="shared" si="614"/>
        <v>9.5399122185466183</v>
      </c>
      <c r="DX247" s="216">
        <f t="shared" si="615"/>
        <v>9.5399117709890806</v>
      </c>
      <c r="DY247" s="440">
        <f t="shared" si="616"/>
        <v>28.36111512775954</v>
      </c>
      <c r="DZ247" s="180">
        <f t="shared" si="617"/>
        <v>2212577.8063585926</v>
      </c>
      <c r="EA247" s="180">
        <f t="shared" si="618"/>
        <v>402286.87388338044</v>
      </c>
      <c r="EB247" s="180">
        <f t="shared" ref="EB247:EB300" ca="1" si="709">DJ247*BB247</f>
        <v>111044.57822388264</v>
      </c>
      <c r="EC247" s="180">
        <f t="shared" ref="EC247:EC300" ca="1" si="710">DK247*BC247</f>
        <v>344238.17634437</v>
      </c>
      <c r="ED247" s="180">
        <f t="shared" ref="ED247:ED300" ca="1" si="711">DL247*BQ247</f>
        <v>2954450.7520707399</v>
      </c>
      <c r="EE247" s="581">
        <f t="shared" si="619"/>
        <v>2189889.8697545715</v>
      </c>
      <c r="EF247" s="554">
        <f t="shared" si="620"/>
        <v>398161.79450083117</v>
      </c>
      <c r="EG247" s="554">
        <f t="shared" ref="EG247:EG300" ca="1" si="712">IF(BQ247,IF(OCallPut,IF(BW247&gt;(CQ247+CY247),BW247-(CQ247+CY247),0),IF((CQ247+CY247)&gt;BW247,(CQ247+CY247)-BW247,0))*BB247,0)</f>
        <v>60477.376894057561</v>
      </c>
      <c r="EH247" s="554">
        <f t="shared" ref="EH247:EH300" ca="1" si="713">IF(BQ247,IF(OCallPut,IF(BX247&gt;(CR247+CZ247),BX247-(CR247+CZ247),0),IF((CR247+CZ247)&gt;BX247,(CR247+CZ247)-BX247,0))*BC247,0)</f>
        <v>187479.84609558393</v>
      </c>
      <c r="EI247" s="561">
        <f t="shared" ca="1" si="621"/>
        <v>2836008.8872450441</v>
      </c>
      <c r="EJ247" s="581">
        <f t="shared" si="675"/>
        <v>22687.936604021117</v>
      </c>
      <c r="EK247" s="554">
        <f t="shared" si="676"/>
        <v>4125.0793825492729</v>
      </c>
      <c r="EL247" s="554">
        <f t="shared" ref="EL247:EL300" ca="1" si="714">EB247-EG247</f>
        <v>50567.201329825075</v>
      </c>
      <c r="EM247" s="554">
        <f t="shared" ref="EM247:EM300" ca="1" si="715">EC247-EH247</f>
        <v>156758.33024878608</v>
      </c>
      <c r="EN247" s="561">
        <f t="shared" ref="EN247:EN300" ca="1" si="716">ED247-EI247</f>
        <v>118441.86482569575</v>
      </c>
      <c r="EO247" s="180">
        <f t="shared" si="622"/>
        <v>8850311.2254343703</v>
      </c>
      <c r="EP247" s="180">
        <f t="shared" si="623"/>
        <v>1609147.4955335218</v>
      </c>
      <c r="EQ247" s="180">
        <f t="shared" si="624"/>
        <v>444178.31289553054</v>
      </c>
      <c r="ER247" s="180">
        <f t="shared" si="625"/>
        <v>1376952.70537748</v>
      </c>
      <c r="ES247" s="180">
        <f t="shared" si="626"/>
        <v>12280589.739240903</v>
      </c>
      <c r="ET247" s="1482">
        <f t="shared" ref="ET247:ET300" ca="1" si="717">IF(EI247,IF(OCallPut,IF(CA247&gt;(CT247+CW247),CA247-(CT247+CW247),0),IF((CT247+CW247)&gt;CA247,(CT247+CW247)-CA247,0))*BH247,0)</f>
        <v>8759559.4790182859</v>
      </c>
      <c r="EU247" s="180">
        <f t="shared" ref="EU247:EU300" ca="1" si="718">IF(EI247,IF(OCallPut,IF(CB247&gt;(CT247+CX247),CB247-(CT247+CX247),0),IF((CT247+CX247)&gt;CB247,(CT247+CX247)-CB247,0))*BI247,0)</f>
        <v>1592647.1780033247</v>
      </c>
      <c r="EV247" s="180">
        <f t="shared" ref="EV247:EV300" ca="1" si="719">IF(EI247,IF(OCallPut,IF(CC247&gt;(CT247+CY247),CC247-(CT247+CY247),0),IF((CT247+CY247)&gt;CC247,(CT247+CY247)-CC247,0))*BJ247,0)</f>
        <v>241909.50757623024</v>
      </c>
      <c r="EW247" s="180">
        <f t="shared" ref="EW247:EW300" ca="1" si="720">IF(EI247,IF(OCallPut,IF(CD247&gt;(CT247+CZ247),CD247-(CT247+CZ247),0),IF((CT247+CZ247)&gt;CD247,(CT247+CZ247)-CD247,0))*BK247,0)</f>
        <v>749919.3843823357</v>
      </c>
      <c r="EX247" s="555">
        <f t="shared" ca="1" si="693"/>
        <v>11344035.548980176</v>
      </c>
      <c r="EY247" s="180">
        <f t="shared" ref="EY247:EY300" ca="1" si="721">EO247-ET247</f>
        <v>90751.746416084468</v>
      </c>
      <c r="EZ247" s="180">
        <f t="shared" ref="EZ247:EZ300" ca="1" si="722">EP247-EU247</f>
        <v>16500.317530197091</v>
      </c>
      <c r="FA247" s="180">
        <f t="shared" ref="FA247:FA300" ca="1" si="723">EQ247-EV247</f>
        <v>202268.8053193003</v>
      </c>
      <c r="FB247" s="180">
        <f t="shared" ref="FB247:FB300" ca="1" si="724">ER247-EW247</f>
        <v>627033.32099514431</v>
      </c>
      <c r="FC247" s="180">
        <f t="shared" ref="FC247:FC300" ca="1" si="725">ES247-EX247</f>
        <v>936554.19026072696</v>
      </c>
      <c r="FD247" s="262">
        <f>IF(AX247,IF(VLOOKUP(C247,MAIN!$L$17:$M$28,2)="Yes",VLOOKUP(CALC!B247,MAIN!$H$17:$I$20,2),0),0)</f>
        <v>0</v>
      </c>
      <c r="FE247" s="623">
        <f t="shared" si="627"/>
        <v>0</v>
      </c>
      <c r="FF247" s="535">
        <f t="shared" si="628"/>
        <v>0</v>
      </c>
      <c r="FG247" s="535">
        <f t="shared" si="629"/>
        <v>0</v>
      </c>
      <c r="FH247" s="624">
        <f t="shared" si="630"/>
        <v>0</v>
      </c>
      <c r="FI247" s="632">
        <f>IF(AX247,VLOOKUP(CALC!B247,MAIN!$H$17:$K$20,4),0)</f>
        <v>0</v>
      </c>
      <c r="FJ247" s="535">
        <f t="shared" si="631"/>
        <v>0</v>
      </c>
      <c r="FK247" s="648">
        <f t="shared" si="677"/>
        <v>0</v>
      </c>
      <c r="FL247" s="530">
        <f t="shared" ref="FL247:FL300" ca="1" si="726">IF($EI247&gt;0,MIN(FE247,AZ247*(1+VLOOKUP($C247,WeatherCapacityAdjustment,2))),0)</f>
        <v>0</v>
      </c>
      <c r="FM247" s="530">
        <f t="shared" ref="FM247:FM300" ca="1" si="727">IF($EI247&gt;0,MIN(FF247,BA247*(1+VLOOKUP($C247,WeatherCapacityAdjustment,2))),0)</f>
        <v>0</v>
      </c>
      <c r="FN247" s="530">
        <f t="shared" ref="FN247:FN300" ca="1" si="728">IF($EI247&gt;0,MIN(FG247,BB247*(1+VLOOKUP($C247,WeatherCapacityAdjustment,2))),0)</f>
        <v>0</v>
      </c>
      <c r="FO247" s="622">
        <f t="shared" ref="FO247:FO300" ca="1" si="729">IF($EI247&gt;0,MIN(FH247,BC247*(1+VLOOKUP($C247,WeatherCapacityAdjustment,3))),0)</f>
        <v>0</v>
      </c>
      <c r="FP247" s="530">
        <f t="shared" ref="FP247:FP300" ca="1" si="730">IF(ET247&gt;0,MIN(FE247-FL247,BH247*(1+VLOOKUP($C247,WeatherCapacityAdjustment,2))),0)</f>
        <v>0</v>
      </c>
      <c r="FQ247" s="530">
        <f t="shared" ref="FQ247:FQ300" ca="1" si="731">IF(EU247&gt;0,MIN(FF247-FM247,BI247*(1+VLOOKUP($C247,WeatherCapacityAdjustment,2))),0)</f>
        <v>0</v>
      </c>
      <c r="FR247" s="530">
        <f t="shared" ref="FR247:FR300" ca="1" si="732">IF(EV247&gt;0,MIN(FG247-FN247,BJ247*(1+VLOOKUP($C247,WeatherCapacityAdjustment,2))),0)</f>
        <v>0</v>
      </c>
      <c r="FS247" s="625">
        <f t="shared" ref="FS247:FS300" ca="1" si="733">IF(EW247&gt;0,MIN(FH247-FO247,BK247*(1+VLOOKUP($C247,WeatherCapacityAdjustment,3))),0)</f>
        <v>0</v>
      </c>
      <c r="FT247" s="640">
        <f ca="1">IF(AND(Assumptions!$H$71="Yes",A247&gt;=Assumptions!$H$72,A247&lt;=Assumptions!$H$73),0,IF(AND($A247&gt;=Assumptions!$C$17,$A247&lt;=Assumptions!$C$18),MAX(AZ247*(1+VLOOKUP($C247,WeatherCapacityAdjustment,2))-FL247,0),0))</f>
        <v>51216</v>
      </c>
      <c r="FU247" s="530">
        <f ca="1">IF(AND(Assumptions!$H$71="Yes",A247&gt;=Assumptions!$H$72,A247&lt;=Assumptions!$H$73),0,IF(AND($A247&gt;=Assumptions!$C$17,$A247&lt;=Assumptions!$C$18),MAX(BA247*(1+VLOOKUP($C247,WeatherCapacityAdjustment,2))-FM247,0),0))</f>
        <v>9312</v>
      </c>
      <c r="FV247" s="530">
        <f ca="1">IF(AND(Assumptions!$H$71="Yes",A247&gt;=Assumptions!$H$72,A247&lt;=Assumptions!$H$73),0,IF(AND($A247&gt;=Assumptions!$C$17,$A247&lt;=Assumptions!$C$18),MAX(BB247*(1+VLOOKUP($C247,WeatherCapacityAdjustment,2))-FN247,0),0))</f>
        <v>11640</v>
      </c>
      <c r="FW247" s="622">
        <f ca="1">IF(AND(Assumptions!$H$71="Yes",A247&gt;=Assumptions!$H$72,A247&lt;=Assumptions!$H$73),0,IF(AND($A247&gt;=Assumptions!$C$17,$A247&lt;=Assumptions!$C$18),MAX(BC247*(1+VLOOKUP($C247,WeatherCapacityAdjustment,3))-FO247,0),0))</f>
        <v>36084</v>
      </c>
      <c r="FX247" s="621">
        <f ca="1">IF(AND(Assumptions!$H$71="Yes",A247&gt;=Assumptions!$H$72,A247&lt;=Assumptions!$H$73),0,IF(ET247&gt;0,MAX(BH247*(1+VLOOKUP($C247,WeatherCapacityAdjustment,2))-FP247,0),0))</f>
        <v>204864</v>
      </c>
      <c r="FY247" s="530">
        <f ca="1">IF(AND(Assumptions!$H$71="Yes",A247&gt;=Assumptions!$H$72,A247&lt;=Assumptions!$H$73),0,IF(EU247&gt;0,MAX(BI247*(1+VLOOKUP($C247,WeatherCapacityAdjustment,3))-FQ247,0),0))</f>
        <v>37248</v>
      </c>
      <c r="FZ247" s="530">
        <f ca="1">IF(AND(Assumptions!$H$71="Yes",A247&gt;=Assumptions!$H$72,A247&lt;=Assumptions!$H$73),0,IF(EV247&gt;0,MAX(BJ247*(1+VLOOKUP($C247,WeatherCapacityAdjustment,2))-FR247,0),0))</f>
        <v>46560</v>
      </c>
      <c r="GA247" s="622">
        <f ca="1">IF(AND(Assumptions!$H$71="Yes",A247&gt;=Assumptions!$H$72,A247&lt;=Assumptions!$H$73),0,IF(EW247&gt;0,MAX(BK247*(1+VLOOKUP($C247,WeatherCapacityAdjustment,2))-FS247,0),0))</f>
        <v>144336</v>
      </c>
      <c r="GB247" s="530">
        <f t="shared" ca="1" si="632"/>
        <v>541260</v>
      </c>
      <c r="GC247" s="545">
        <f t="shared" ca="1" si="633"/>
        <v>54.145598473358703</v>
      </c>
      <c r="GD247" s="530">
        <f t="shared" ref="GD247:GD300" ca="1" si="734">(FT247*BU247+FX247*CA247+FU247*BV247+FY247*CB247+FV247*BW247+FZ247*CC247+FW247*BX247+GA247*CD247)</f>
        <v>29306846.629690129</v>
      </c>
      <c r="GE247" s="1485">
        <f t="shared" ref="GE247:GE300" ca="1" si="735">+IF(BQ247,((FL247+FM247+FT247+FU247)*HeatRatePeak/1000*(1+VLOOKUP($C247,WeatherHeatRateAdjustment,2))+(FN247+FV247)*IF(EV247&gt;0,HeatRatePeak,HeatRateOffPeak)/1000*(1+VLOOKUP($C247,WeatherHeatRateAdjustment,2))+(FO247+FW247)*IF(EW247&gt;0,HeatRatePeak,HeatRateOffPeak)/1000*(1+VLOOKUP($C247,WeatherHeatRateAdjustment,3)))*(1+VLOOKUP($B247,HeatRateDegradation,$C247+1)),0)</f>
        <v>773677.04399999988</v>
      </c>
      <c r="GF247" s="1776">
        <f t="shared" ref="GF247:GF300" ca="1" si="736">IF(BQ247,((FP247+FQ247+FR247+FX247+FY247+FZ247)*HeatRatePeak/1000*(1+VLOOKUP($C247,WeatherHeatRateAdjustment,2))+(FS247+GA247)*HeatRatePeak/1000*(1+VLOOKUP($C247,WeatherHeatRateAdjustment,3)))*(1+VLOOKUP($B247,HeatRateDegradation,$C247+1)),0)</f>
        <v>3094708.1759999995</v>
      </c>
      <c r="GG247" s="545">
        <f t="shared" si="701"/>
        <v>3.5646245722492167</v>
      </c>
      <c r="GH247" s="622">
        <f t="shared" ca="1" si="702"/>
        <v>13789341.01013769</v>
      </c>
      <c r="GI247" s="621">
        <f t="shared" ca="1" si="678"/>
        <v>541260</v>
      </c>
      <c r="GJ247" s="638">
        <f t="shared" si="634"/>
        <v>2.4710142691631014</v>
      </c>
      <c r="GK247" s="625">
        <f t="shared" ca="1" si="684"/>
        <v>1337461.1833272204</v>
      </c>
      <c r="GL247" s="640">
        <f t="shared" ref="GL247:GL300" ca="1" si="737">MAX(FE247-FL247-FP247,0)</f>
        <v>0</v>
      </c>
      <c r="GM247" s="530">
        <f t="shared" ref="GM247:GM300" ca="1" si="738">MAX(FF247-FM247-FQ247,0)</f>
        <v>0</v>
      </c>
      <c r="GN247" s="530">
        <f t="shared" ref="GN247:GN300" ca="1" si="739">MAX(FG247-FN247-FR247,0)</f>
        <v>0</v>
      </c>
      <c r="GO247" s="622">
        <f t="shared" ref="GO247:GO300" ca="1" si="740">MAX(FH247-FO247-FS247,0)</f>
        <v>0</v>
      </c>
      <c r="GP247" s="530">
        <f t="shared" ca="1" si="635"/>
        <v>0</v>
      </c>
      <c r="GQ247" s="545">
        <f t="shared" ca="1" si="636"/>
        <v>0</v>
      </c>
      <c r="GR247" s="625">
        <f t="shared" ref="GR247:GR300" ca="1" si="741">(GL247*BU247+GM247*BV247+GN247*BW247+GO247*BX247)</f>
        <v>0</v>
      </c>
      <c r="GS247" s="640">
        <f>IF($A247&gt;=BegDate,Assumptions!$C$56*24*($A248-$A247)*(1-VLOOKUP($B247,MAIN!$AA$7:$AM$28,$C247+1))*(1-VLOOKUP($B247,MAIN!$AA$33:$AM$54,$C247+1)),0)*80/168</f>
        <v>257742.85714285713</v>
      </c>
      <c r="GT247" s="1715">
        <f t="shared" si="679"/>
        <v>70.705310490815918</v>
      </c>
      <c r="GU247" s="1715">
        <f>IF($A247&gt;=BegDate,VLOOKUP($A247,GasTable,13)+Assumptions!$C$58,0)</f>
        <v>3.5646245722492167</v>
      </c>
      <c r="GV247" s="1715">
        <f>GU247*Assumptions!$C$57/1000</f>
        <v>25.843528148806822</v>
      </c>
      <c r="GW247" s="625">
        <f>IF(Assumptions!$C$60="Hourly",MAX(0,GS247*(GT247-GV247)),GS247*(GT247-GV247))</f>
        <v>11562803.957350399</v>
      </c>
      <c r="GX247" s="640">
        <f>IF($A247&gt;=BegDate,Assumptions!$C$56*24*($A248-$A247)*(1-VLOOKUP($B247,MAIN!$AA$7:$AM$28,$C247+1))*(1-VLOOKUP($B247,MAIN!$AA$33:$AM$54,$C247+1)),0)*16/168</f>
        <v>51548.571428571428</v>
      </c>
      <c r="GY247" s="1715">
        <f t="shared" si="680"/>
        <v>70.705310490815918</v>
      </c>
      <c r="GZ247" s="1715">
        <f>IF($A247&gt;=BegDate,VLOOKUP($A247,GasTable,13)+Assumptions!$C$58,0)</f>
        <v>3.5646245722492167</v>
      </c>
      <c r="HA247" s="1715">
        <f>GZ247*Assumptions!$C$57/1000</f>
        <v>25.843528148806822</v>
      </c>
      <c r="HB247" s="625">
        <f>IF(Assumptions!$C$60="Hourly",MAX(0,GX247*(GY247-HA247)),GX247*(GY247-HA247))</f>
        <v>2312560.7914700801</v>
      </c>
      <c r="HC247" s="640">
        <f>IF($A247&gt;=BegDate,Assumptions!$C$56*24*($A248-$A247)*(1-VLOOKUP($B247,MAIN!$AA$7:$AM$28,$C247+1))*(1-VLOOKUP($B247,MAIN!$AA$33:$AM$54,$C247+1)),0)*16/168</f>
        <v>51548.571428571428</v>
      </c>
      <c r="HD247" s="1715">
        <f t="shared" si="681"/>
        <v>33.143036899476414</v>
      </c>
      <c r="HE247" s="1715">
        <f>IF($A247&gt;=BegDate,VLOOKUP($A247,GasTable,13)+Assumptions!$C$58,0)</f>
        <v>3.5646245722492167</v>
      </c>
      <c r="HF247" s="1715">
        <f>HE247*Assumptions!$C$57/1000</f>
        <v>25.843528148806822</v>
      </c>
      <c r="HG247" s="625">
        <f>IF(Assumptions!$C$60="Hourly",MAX(0,HC247*(HD247-HF247)),HC247*(HD247-HF247))</f>
        <v>376279.24822737364</v>
      </c>
      <c r="HH247" s="640">
        <f>IF($A247&gt;=BegDate,Assumptions!$C$56*24*($A248-$A247)*(1-VLOOKUP($B247,MAIN!$AA$7:$AM$28,$C247+1))*(1-VLOOKUP($B247,MAIN!$AA$33:$AM$54,$C247+1)),0)*56/168</f>
        <v>180420</v>
      </c>
      <c r="HI247" s="1715">
        <f t="shared" si="682"/>
        <v>33.143036899476414</v>
      </c>
      <c r="HJ247" s="1715">
        <f>IF($A247&gt;=BegDate,VLOOKUP($A247,GasTable,13)+Assumptions!$C$58,0)</f>
        <v>3.5646245722492167</v>
      </c>
      <c r="HK247" s="1715">
        <f>HJ247*Assumptions!$C$57/1000</f>
        <v>25.843528148806822</v>
      </c>
      <c r="HL247" s="625">
        <f>IF(Assumptions!$C$60="Hourly",MAX(0,HH247*(HI247-HK247)),HH247*(HI247-HK247))</f>
        <v>1316977.3687958077</v>
      </c>
      <c r="HM247" s="640">
        <f>IF(AND(Assumptions!$H$71="Yes",A247&gt;=Assumptions!$H$72,A247&lt;=Assumptions!$H$73),Assumptions!$H$74*Assumptions!$C$9*1000,0)</f>
        <v>0</v>
      </c>
      <c r="HN247" s="530"/>
      <c r="HO247" s="545"/>
      <c r="HP247" s="545"/>
      <c r="HQ247" s="545"/>
      <c r="HR247" s="545"/>
      <c r="HS247" s="545"/>
      <c r="HT247" s="545"/>
      <c r="HU247" s="545"/>
      <c r="HV247" s="545"/>
      <c r="HW247" s="545"/>
      <c r="HX247" s="545"/>
      <c r="HY247" s="545"/>
      <c r="HZ247" s="545"/>
      <c r="IA247" s="545"/>
      <c r="IB247" s="545"/>
      <c r="IC247" s="545"/>
      <c r="ID247" s="545"/>
      <c r="IE247" s="545"/>
      <c r="IF247" s="545"/>
      <c r="IG247" s="545"/>
      <c r="IH247" s="545"/>
      <c r="II247" s="1464"/>
      <c r="IJ247" s="1463"/>
      <c r="IK247" s="1463"/>
    </row>
    <row r="248" spans="1:245">
      <c r="A248" s="177">
        <f t="shared" si="637"/>
        <v>43678</v>
      </c>
      <c r="B248" s="349">
        <f t="shared" si="638"/>
        <v>2019</v>
      </c>
      <c r="C248" s="15">
        <f t="shared" si="694"/>
        <v>8</v>
      </c>
      <c r="D248" s="612" t="str">
        <f t="shared" si="639"/>
        <v/>
      </c>
      <c r="E248" s="609">
        <f t="shared" si="695"/>
        <v>43678</v>
      </c>
      <c r="F248" s="614">
        <f t="shared" si="696"/>
        <v>43708</v>
      </c>
      <c r="G248" s="1349">
        <v>0</v>
      </c>
      <c r="H248" s="152">
        <f t="shared" si="683"/>
        <v>1</v>
      </c>
      <c r="I248" s="154">
        <f>IF(Assumptions!$L$25=4,VLOOKUP($A248,'Henwood Reference'!$E$9:$R$320,10),(VLOOKUP($A248,PriceTable,2,0)+IF(BasisNumber&lt;&gt;1,VLOOKUP($A248,BasisTable,2,0),0)+I$1)/(1-I$2))</f>
        <v>85.532006199217577</v>
      </c>
      <c r="J248" s="154">
        <f>IF(Assumptions!$L$25=4,VLOOKUP($A248,'Henwood Reference'!$E$9:$R$320,10),(VLOOKUP($A248,PriceTable,3,0)+IF(BasisNumber&lt;&gt;1,VLOOKUP($A248,BasisTable,2,0),0)+J$1)/(1-J$2))</f>
        <v>85.532006199217577</v>
      </c>
      <c r="K248" s="154">
        <f>IF(Assumptions!$L$25=4,VLOOKUP($A248,'Henwood Reference'!$E$9:$R$320,10),(VLOOKUP($A248,PriceTable,4,0)+IF(BasisNumber&lt;&gt;1,VLOOKUP($A248,BasisTable,2,0),0)+K$1)/(1-K$2))</f>
        <v>85.532006199217577</v>
      </c>
      <c r="L248" s="474">
        <f>IF(Assumptions!$L$25=4,VLOOKUP($A248,'Henwood Reference'!$E$9:$R$320,10),(VLOOKUP($A248,PriceTableWeekend,2,0)+IF(BasisNumber&lt;&gt;1,VLOOKUP($A248,BasisTable,2,0),0)+L$1)/(1-L$2))</f>
        <v>85.532006199217577</v>
      </c>
      <c r="M248" s="154">
        <f>IF(Assumptions!$L$25=4,VLOOKUP($A248,'Henwood Reference'!$E$9:$R$320,10),(VLOOKUP($A248,PriceTableWeekend,3,0)+IF(BasisNumber&lt;&gt;1,VLOOKUP($A248,BasisTable,2,0),0)+M$1)/(1-M$2))</f>
        <v>85.532006199217577</v>
      </c>
      <c r="N248" s="156">
        <f>IF(Assumptions!$L$25=4,VLOOKUP($A248,'Henwood Reference'!$E$9:$R$320,10),(VLOOKUP($A248,PriceTableWeekend,4,0)+IF(BasisNumber&lt;&gt;1,VLOOKUP($A248,BasisTable,2,0),0)+N$1)/(1-N$2))</f>
        <v>85.532006199217577</v>
      </c>
      <c r="O248" s="154">
        <f>IF(Assumptions!$L$25=4,VLOOKUP($A248,'Henwood Reference'!$E$9:$R$320,11),(VLOOKUP($A248,PriceTableWeekend,6,0)+IF(BasisNumber&lt;&gt;1,VLOOKUP($A248,BasisTable,3,0),0)+O$1)/(1-O$2))</f>
        <v>37.00242105773706</v>
      </c>
      <c r="P248" s="154">
        <f>IF(Assumptions!$L$25=4,VLOOKUP($A248,'Henwood Reference'!$E$9:$R$320,11),(VLOOKUP($A248,PriceTableWeekend,7,0)+IF(BasisNumber&lt;&gt;1,VLOOKUP($A248,BasisTable,3,0),0)+P$1)/(1-P$2))</f>
        <v>37.00242105773706</v>
      </c>
      <c r="Q248" s="156">
        <f>IF(Assumptions!$L$25=4,VLOOKUP($A248,'Henwood Reference'!$E$9:$R$320,11),(VLOOKUP($A248,PriceTableWeekend,8,0)+IF(BasisNumber&lt;&gt;1,VLOOKUP($A248,BasisTable,3,0),0)+Q$1)/(1-Q$2))</f>
        <v>37.00242105773706</v>
      </c>
      <c r="R248" s="154">
        <f>IF(Assumptions!$L$25=4,VLOOKUP($A248,'Henwood Reference'!$E$9:$R$320,11),(VLOOKUP($A248,PriceTable,6,0)+IF(BasisNumber&lt;&gt;1,VLOOKUP($A248,BasisTable,3,0),0)+R$1)/(1-R$2))</f>
        <v>37.00242105773706</v>
      </c>
      <c r="S248" s="154">
        <f>IF(Assumptions!$L$25=4,VLOOKUP($A248,'Henwood Reference'!$E$9:$R$320,11),(VLOOKUP($A248,PriceTable,7,0)+IF(BasisNumber&lt;&gt;1,VLOOKUP($A248,BasisTable,3,0),0)+S$1)/(1-S$2))</f>
        <v>37.00242105773706</v>
      </c>
      <c r="T248" s="155">
        <f>IF(Assumptions!$L$25=4,VLOOKUP($A248,'Henwood Reference'!$E$9:$R$320,11),(VLOOKUP($A248,PriceTable,8,0)+IF(BasisNumber&lt;&gt;1,VLOOKUP($A248,BasisTable,3,0),0)+T$1)/(1-T$2))</f>
        <v>37.00242105773706</v>
      </c>
      <c r="U248" s="173">
        <f t="shared" si="640"/>
        <v>0.09</v>
      </c>
      <c r="V248" s="173">
        <f t="shared" si="641"/>
        <v>0.1</v>
      </c>
      <c r="W248" s="174">
        <f t="shared" si="642"/>
        <v>0.11</v>
      </c>
      <c r="X248" s="173">
        <f t="shared" si="643"/>
        <v>0.09</v>
      </c>
      <c r="Y248" s="173">
        <f t="shared" si="644"/>
        <v>0.1</v>
      </c>
      <c r="Z248" s="174">
        <f t="shared" si="645"/>
        <v>0.11</v>
      </c>
      <c r="AA248" s="173">
        <f t="shared" si="646"/>
        <v>0.09</v>
      </c>
      <c r="AB248" s="173">
        <f t="shared" si="647"/>
        <v>0.11</v>
      </c>
      <c r="AC248" s="174">
        <f t="shared" si="648"/>
        <v>0.13</v>
      </c>
      <c r="AD248" s="173">
        <f t="shared" si="649"/>
        <v>0.09</v>
      </c>
      <c r="AE248" s="173">
        <f t="shared" si="650"/>
        <v>0.11</v>
      </c>
      <c r="AF248" s="174">
        <f t="shared" si="651"/>
        <v>0.13</v>
      </c>
      <c r="AG248" s="173">
        <f t="shared" si="652"/>
        <v>-0.35</v>
      </c>
      <c r="AH248" s="173">
        <f t="shared" si="653"/>
        <v>3</v>
      </c>
      <c r="AI248" s="174">
        <f t="shared" si="654"/>
        <v>0.35</v>
      </c>
      <c r="AJ248" s="173">
        <f t="shared" si="655"/>
        <v>-0.35</v>
      </c>
      <c r="AK248" s="173">
        <f t="shared" si="656"/>
        <v>3</v>
      </c>
      <c r="AL248" s="174">
        <f t="shared" si="657"/>
        <v>0.35</v>
      </c>
      <c r="AM248" s="173">
        <f t="shared" si="658"/>
        <v>-0.01</v>
      </c>
      <c r="AN248" s="173">
        <f t="shared" si="659"/>
        <v>0.16</v>
      </c>
      <c r="AO248" s="174">
        <f t="shared" si="660"/>
        <v>0.01</v>
      </c>
      <c r="AP248" s="173">
        <f t="shared" si="661"/>
        <v>-0.01</v>
      </c>
      <c r="AQ248" s="173">
        <f t="shared" si="662"/>
        <v>0.16</v>
      </c>
      <c r="AR248" s="175">
        <f t="shared" si="663"/>
        <v>0.01</v>
      </c>
      <c r="AS248" s="521">
        <f t="shared" si="699"/>
        <v>0.5</v>
      </c>
      <c r="AT248" s="349">
        <f t="shared" si="697"/>
        <v>22</v>
      </c>
      <c r="AU248" s="159">
        <f t="shared" si="582"/>
        <v>5</v>
      </c>
      <c r="AV248" s="159">
        <f t="shared" si="583"/>
        <v>4</v>
      </c>
      <c r="AW248" s="159">
        <f t="shared" si="700"/>
        <v>0</v>
      </c>
      <c r="AX248" s="15">
        <f t="shared" si="698"/>
        <v>31</v>
      </c>
      <c r="AY248" s="607">
        <f>IF(E248="",0,MIN((1-(1-VLOOKUP(B248,MAIN!$AA$7:$AM$28,C248+1))*(1-VLOOKUP(B248,MAIN!$AA$33:$AM$54,C248+1))),1))</f>
        <v>3.0000000000000027E-2</v>
      </c>
      <c r="AZ248" s="337">
        <v>51216</v>
      </c>
      <c r="BA248" s="509">
        <v>11640</v>
      </c>
      <c r="BB248" s="509">
        <v>9312</v>
      </c>
      <c r="BC248" s="511">
        <v>36084</v>
      </c>
      <c r="BD248" s="153">
        <v>0.96999998915940522</v>
      </c>
      <c r="BE248" s="474">
        <v>0.96999998915940522</v>
      </c>
      <c r="BF248" s="474">
        <v>0.96999998915940522</v>
      </c>
      <c r="BG248" s="515">
        <v>0.97000000722706314</v>
      </c>
      <c r="BH248" s="262">
        <v>204864</v>
      </c>
      <c r="BI248" s="509">
        <v>46560</v>
      </c>
      <c r="BJ248" s="509">
        <v>37248</v>
      </c>
      <c r="BK248" s="511">
        <v>144336</v>
      </c>
      <c r="BL248" s="153">
        <v>0.96999998915940522</v>
      </c>
      <c r="BM248" s="474">
        <v>0.96999998915940522</v>
      </c>
      <c r="BN248" s="474">
        <v>0.96999998915940522</v>
      </c>
      <c r="BO248" s="474">
        <v>0.97000000722706314</v>
      </c>
      <c r="BP248" s="261">
        <f t="shared" si="666"/>
        <v>72168</v>
      </c>
      <c r="BQ248" s="578">
        <f t="shared" si="667"/>
        <v>108252</v>
      </c>
      <c r="BR248" s="259">
        <f t="shared" si="668"/>
        <v>288672</v>
      </c>
      <c r="BS248" s="578">
        <f t="shared" si="669"/>
        <v>433008</v>
      </c>
      <c r="BT248" s="216">
        <f t="shared" si="670"/>
        <v>19.296372347707049</v>
      </c>
      <c r="BU248" s="218">
        <f t="shared" si="585"/>
        <v>85.532005243322928</v>
      </c>
      <c r="BV248" s="216">
        <f t="shared" si="586"/>
        <v>85.532005243322928</v>
      </c>
      <c r="BW248" s="216">
        <f t="shared" si="587"/>
        <v>37.002420644202779</v>
      </c>
      <c r="BX248" s="216">
        <f t="shared" si="671"/>
        <v>37.002421333426582</v>
      </c>
      <c r="BY248" s="216">
        <f t="shared" si="588"/>
        <v>79.270123359565474</v>
      </c>
      <c r="BZ248" s="216">
        <f t="shared" si="589"/>
        <v>65.18088935085251</v>
      </c>
      <c r="CA248" s="264">
        <f t="shared" si="590"/>
        <v>85.532005243322928</v>
      </c>
      <c r="CB248" s="216">
        <f t="shared" si="591"/>
        <v>85.532005243322928</v>
      </c>
      <c r="CC248" s="216">
        <f t="shared" si="592"/>
        <v>37.002420644202779</v>
      </c>
      <c r="CD248" s="216">
        <f t="shared" si="672"/>
        <v>37.002421333426582</v>
      </c>
      <c r="CE248" s="216">
        <f t="shared" si="593"/>
        <v>79.270123359565474</v>
      </c>
      <c r="CF248" s="571">
        <f t="shared" si="594"/>
        <v>65.18088935085251</v>
      </c>
      <c r="CG248" s="573">
        <f t="shared" si="595"/>
        <v>0.1</v>
      </c>
      <c r="CH248" s="219">
        <f t="shared" si="596"/>
        <v>0.1</v>
      </c>
      <c r="CI248" s="219">
        <f t="shared" si="597"/>
        <v>0.11</v>
      </c>
      <c r="CJ248" s="219">
        <f t="shared" si="598"/>
        <v>0.10060783586725826</v>
      </c>
      <c r="CK248" s="219">
        <f t="shared" si="599"/>
        <v>0.10060783586725826</v>
      </c>
      <c r="CL248" s="219">
        <f t="shared" si="600"/>
        <v>0.11</v>
      </c>
      <c r="CM248" s="219">
        <f t="shared" si="601"/>
        <v>9.3972140600304996E-2</v>
      </c>
      <c r="CN248" s="569">
        <f t="shared" si="602"/>
        <v>9.3972140600304996E-2</v>
      </c>
      <c r="CO248" s="264">
        <f t="shared" si="685"/>
        <v>26.404210156783748</v>
      </c>
      <c r="CP248" s="216">
        <f t="shared" si="673"/>
        <v>26.404210156783748</v>
      </c>
      <c r="CQ248" s="216">
        <f t="shared" ca="1" si="703"/>
        <v>26.404210156783748</v>
      </c>
      <c r="CR248" s="216">
        <f t="shared" ca="1" si="704"/>
        <v>26.404210156783748</v>
      </c>
      <c r="CS248" s="1626">
        <f t="shared" ca="1" si="705"/>
        <v>26.404210156783748</v>
      </c>
      <c r="CT248" s="216">
        <f t="shared" si="674"/>
        <v>26.404210156783748</v>
      </c>
      <c r="CU248" s="575">
        <f t="shared" si="603"/>
        <v>0.15</v>
      </c>
      <c r="CV248" s="154">
        <f t="shared" si="604"/>
        <v>0.5</v>
      </c>
      <c r="CW248" s="216">
        <f>IF(OR($BQ248,$BS248),SpreadOptPowerMargin,0)*((1+Assumptions!$C$26)^($B248-YEAR(Assumptions!$C$17)))</f>
        <v>2.4710142691631019</v>
      </c>
      <c r="CX248" s="216">
        <f>IF(OR($BQ248,$BS248),SpreadOptPowerMargin,0)*((1+Assumptions!$C$26)^($B248-YEAR(Assumptions!$C$17)))</f>
        <v>2.4710142691631019</v>
      </c>
      <c r="CY248" s="216">
        <f>IF(OR($BQ248,$BS248),SpreadOptPowerMargin,0)*((1+Assumptions!$C$26)^($B248-YEAR(Assumptions!$C$17)))</f>
        <v>2.4710142691631019</v>
      </c>
      <c r="CZ248" s="216">
        <f>IF(OR($BQ248,$BS248),SpreadOptPowerMargin,0)*((1+Assumptions!$C$26)^($B248-YEAR(Assumptions!$C$17)))</f>
        <v>2.4710142691631019</v>
      </c>
      <c r="DA248" s="440">
        <f t="shared" si="605"/>
        <v>2.4710142691631014</v>
      </c>
      <c r="DB248" s="479">
        <f t="shared" si="606"/>
        <v>0.1</v>
      </c>
      <c r="DC248" s="479">
        <f t="shared" si="607"/>
        <v>0.1</v>
      </c>
      <c r="DD248" s="479">
        <f t="shared" si="608"/>
        <v>0.11</v>
      </c>
      <c r="DE248" s="479">
        <f t="shared" si="609"/>
        <v>0.11</v>
      </c>
      <c r="DF248" s="479">
        <f t="shared" si="610"/>
        <v>9.3972140600304996E-2</v>
      </c>
      <c r="DG248" s="574">
        <f t="shared" si="611"/>
        <v>9.3972140600304996E-2</v>
      </c>
      <c r="DH248" s="216">
        <f t="shared" si="612"/>
        <v>56.905209597690913</v>
      </c>
      <c r="DI248" s="216">
        <f t="shared" si="613"/>
        <v>56.905209597690913</v>
      </c>
      <c r="DJ248" s="216">
        <f t="shared" ca="1" si="706"/>
        <v>11.947159913605367</v>
      </c>
      <c r="DK248" s="216">
        <f t="shared" ca="1" si="707"/>
        <v>11.947160443827173</v>
      </c>
      <c r="DL248" s="216">
        <f t="shared" ca="1" si="708"/>
        <v>36.987371198734706</v>
      </c>
      <c r="DM248" s="216"/>
      <c r="DN248" s="216"/>
      <c r="DO248" s="216"/>
      <c r="DP248" s="216"/>
      <c r="DQ248" s="216"/>
      <c r="DR248" s="216"/>
      <c r="DS248" s="216"/>
      <c r="DT248" s="216"/>
      <c r="DU248" s="216"/>
      <c r="DV248" s="216"/>
      <c r="DW248" s="1371">
        <f t="shared" si="614"/>
        <v>11.947159913605367</v>
      </c>
      <c r="DX248" s="216">
        <f t="shared" si="615"/>
        <v>11.947160443827173</v>
      </c>
      <c r="DY248" s="440">
        <f t="shared" si="616"/>
        <v>38.051834100460155</v>
      </c>
      <c r="DZ248" s="180">
        <f t="shared" si="617"/>
        <v>2914457.2147553377</v>
      </c>
      <c r="EA248" s="180">
        <f t="shared" si="618"/>
        <v>662376.63971712219</v>
      </c>
      <c r="EB248" s="180">
        <f t="shared" ca="1" si="709"/>
        <v>111251.95311549318</v>
      </c>
      <c r="EC248" s="180">
        <f t="shared" ca="1" si="710"/>
        <v>431101.33745505969</v>
      </c>
      <c r="ED248" s="180">
        <f t="shared" ca="1" si="711"/>
        <v>4003956.9070054293</v>
      </c>
      <c r="EE248" s="581">
        <f t="shared" si="619"/>
        <v>2901733.686342733</v>
      </c>
      <c r="EF248" s="554">
        <f t="shared" si="620"/>
        <v>659484.92871425755</v>
      </c>
      <c r="EG248" s="554">
        <f t="shared" ca="1" si="712"/>
        <v>75680.451184399208</v>
      </c>
      <c r="EH248" s="554">
        <f t="shared" ca="1" si="713"/>
        <v>293261.77320949867</v>
      </c>
      <c r="EI248" s="561">
        <f t="shared" ca="1" si="621"/>
        <v>3930160.8394508869</v>
      </c>
      <c r="EJ248" s="581">
        <f t="shared" si="675"/>
        <v>12723.528412604704</v>
      </c>
      <c r="EK248" s="554">
        <f t="shared" si="676"/>
        <v>2891.7110028646421</v>
      </c>
      <c r="EL248" s="554">
        <f t="shared" ca="1" si="714"/>
        <v>35571.501931093968</v>
      </c>
      <c r="EM248" s="554">
        <f t="shared" ca="1" si="715"/>
        <v>137839.56424556102</v>
      </c>
      <c r="EN248" s="561">
        <f t="shared" ca="1" si="716"/>
        <v>73796.067554542329</v>
      </c>
      <c r="EO248" s="180">
        <f t="shared" si="622"/>
        <v>11657828.859021351</v>
      </c>
      <c r="EP248" s="180">
        <f t="shared" si="623"/>
        <v>2649506.5588684888</v>
      </c>
      <c r="EQ248" s="180">
        <f t="shared" si="624"/>
        <v>445007.8124619727</v>
      </c>
      <c r="ER248" s="180">
        <f t="shared" si="625"/>
        <v>1724405.3498202388</v>
      </c>
      <c r="ES248" s="180">
        <f t="shared" si="626"/>
        <v>16476748.580172051</v>
      </c>
      <c r="ET248" s="1482">
        <f t="shared" ca="1" si="717"/>
        <v>11606934.745370932</v>
      </c>
      <c r="EU248" s="180">
        <f t="shared" ca="1" si="718"/>
        <v>2637939.7148570302</v>
      </c>
      <c r="EV248" s="180">
        <f t="shared" ca="1" si="719"/>
        <v>302721.80473759683</v>
      </c>
      <c r="EW248" s="180">
        <f t="shared" ca="1" si="720"/>
        <v>1173047.0928379947</v>
      </c>
      <c r="EX248" s="555">
        <f t="shared" ca="1" si="693"/>
        <v>15720643.357803555</v>
      </c>
      <c r="EY248" s="180">
        <f t="shared" ca="1" si="721"/>
        <v>50894.113650418818</v>
      </c>
      <c r="EZ248" s="180">
        <f t="shared" ca="1" si="722"/>
        <v>11566.844011458568</v>
      </c>
      <c r="FA248" s="180">
        <f t="shared" ca="1" si="723"/>
        <v>142286.00772437587</v>
      </c>
      <c r="FB248" s="180">
        <f t="shared" ca="1" si="724"/>
        <v>551358.25698224409</v>
      </c>
      <c r="FC248" s="180">
        <f t="shared" ca="1" si="725"/>
        <v>756105.22236849554</v>
      </c>
      <c r="FD248" s="262">
        <f>IF(AX248,IF(VLOOKUP(C248,MAIN!$L$17:$M$28,2)="Yes",VLOOKUP(CALC!B248,MAIN!$H$17:$I$20,2),0),0)</f>
        <v>0</v>
      </c>
      <c r="FE248" s="623">
        <f t="shared" si="627"/>
        <v>0</v>
      </c>
      <c r="FF248" s="535">
        <f t="shared" si="628"/>
        <v>0</v>
      </c>
      <c r="FG248" s="535">
        <f t="shared" si="629"/>
        <v>0</v>
      </c>
      <c r="FH248" s="624">
        <f t="shared" si="630"/>
        <v>0</v>
      </c>
      <c r="FI248" s="632">
        <f>IF(AX248,VLOOKUP(CALC!B248,MAIN!$H$17:$K$20,4),0)</f>
        <v>0</v>
      </c>
      <c r="FJ248" s="535">
        <f t="shared" si="631"/>
        <v>0</v>
      </c>
      <c r="FK248" s="648">
        <f t="shared" si="677"/>
        <v>0</v>
      </c>
      <c r="FL248" s="530">
        <f t="shared" ca="1" si="726"/>
        <v>0</v>
      </c>
      <c r="FM248" s="530">
        <f t="shared" ca="1" si="727"/>
        <v>0</v>
      </c>
      <c r="FN248" s="530">
        <f t="shared" ca="1" si="728"/>
        <v>0</v>
      </c>
      <c r="FO248" s="622">
        <f t="shared" ca="1" si="729"/>
        <v>0</v>
      </c>
      <c r="FP248" s="530">
        <f t="shared" ca="1" si="730"/>
        <v>0</v>
      </c>
      <c r="FQ248" s="530">
        <f t="shared" ca="1" si="731"/>
        <v>0</v>
      </c>
      <c r="FR248" s="530">
        <f t="shared" ca="1" si="732"/>
        <v>0</v>
      </c>
      <c r="FS248" s="625">
        <f t="shared" ca="1" si="733"/>
        <v>0</v>
      </c>
      <c r="FT248" s="640">
        <f ca="1">IF(AND(Assumptions!$H$71="Yes",A248&gt;=Assumptions!$H$72,A248&lt;=Assumptions!$H$73),0,IF(AND($A248&gt;=Assumptions!$C$17,$A248&lt;=Assumptions!$C$18),MAX(AZ248*(1+VLOOKUP($C248,WeatherCapacityAdjustment,2))-FL248,0),0))</f>
        <v>51216</v>
      </c>
      <c r="FU248" s="530">
        <f ca="1">IF(AND(Assumptions!$H$71="Yes",A248&gt;=Assumptions!$H$72,A248&lt;=Assumptions!$H$73),0,IF(AND($A248&gt;=Assumptions!$C$17,$A248&lt;=Assumptions!$C$18),MAX(BA248*(1+VLOOKUP($C248,WeatherCapacityAdjustment,2))-FM248,0),0))</f>
        <v>11640</v>
      </c>
      <c r="FV248" s="530">
        <f ca="1">IF(AND(Assumptions!$H$71="Yes",A248&gt;=Assumptions!$H$72,A248&lt;=Assumptions!$H$73),0,IF(AND($A248&gt;=Assumptions!$C$17,$A248&lt;=Assumptions!$C$18),MAX(BB248*(1+VLOOKUP($C248,WeatherCapacityAdjustment,2))-FN248,0),0))</f>
        <v>9312</v>
      </c>
      <c r="FW248" s="622">
        <f ca="1">IF(AND(Assumptions!$H$71="Yes",A248&gt;=Assumptions!$H$72,A248&lt;=Assumptions!$H$73),0,IF(AND($A248&gt;=Assumptions!$C$17,$A248&lt;=Assumptions!$C$18),MAX(BC248*(1+VLOOKUP($C248,WeatherCapacityAdjustment,3))-FO248,0),0))</f>
        <v>36084</v>
      </c>
      <c r="FX248" s="621">
        <f ca="1">IF(AND(Assumptions!$H$71="Yes",A248&gt;=Assumptions!$H$72,A248&lt;=Assumptions!$H$73),0,IF(ET248&gt;0,MAX(BH248*(1+VLOOKUP($C248,WeatherCapacityAdjustment,2))-FP248,0),0))</f>
        <v>204864</v>
      </c>
      <c r="FY248" s="530">
        <f ca="1">IF(AND(Assumptions!$H$71="Yes",A248&gt;=Assumptions!$H$72,A248&lt;=Assumptions!$H$73),0,IF(EU248&gt;0,MAX(BI248*(1+VLOOKUP($C248,WeatherCapacityAdjustment,3))-FQ248,0),0))</f>
        <v>46560</v>
      </c>
      <c r="FZ248" s="530">
        <f ca="1">IF(AND(Assumptions!$H$71="Yes",A248&gt;=Assumptions!$H$72,A248&lt;=Assumptions!$H$73),0,IF(EV248&gt;0,MAX(BJ248*(1+VLOOKUP($C248,WeatherCapacityAdjustment,2))-FR248,0),0))</f>
        <v>37248</v>
      </c>
      <c r="GA248" s="622">
        <f ca="1">IF(AND(Assumptions!$H$71="Yes",A248&gt;=Assumptions!$H$72,A248&lt;=Assumptions!$H$73),0,IF(EW248&gt;0,MAX(BK248*(1+VLOOKUP($C248,WeatherCapacityAdjustment,2))-FS248,0),0))</f>
        <v>144336</v>
      </c>
      <c r="GB248" s="530">
        <f t="shared" ca="1" si="632"/>
        <v>541260</v>
      </c>
      <c r="GC248" s="545">
        <f t="shared" ca="1" si="633"/>
        <v>65.180889350852496</v>
      </c>
      <c r="GD248" s="530">
        <f t="shared" ca="1" si="734"/>
        <v>35279808.170042425</v>
      </c>
      <c r="GE248" s="1485">
        <f t="shared" ca="1" si="735"/>
        <v>773995.30487999995</v>
      </c>
      <c r="GF248" s="1776">
        <f t="shared" ca="1" si="736"/>
        <v>3095981.2195199998</v>
      </c>
      <c r="GG248" s="545">
        <f t="shared" si="701"/>
        <v>3.6929275150258256</v>
      </c>
      <c r="GH248" s="622">
        <f t="shared" ca="1" si="702"/>
        <v>14291542.789460771</v>
      </c>
      <c r="GI248" s="621">
        <f t="shared" ca="1" si="678"/>
        <v>541260</v>
      </c>
      <c r="GJ248" s="638">
        <f t="shared" si="634"/>
        <v>2.4710142691631014</v>
      </c>
      <c r="GK248" s="625">
        <f t="shared" ca="1" si="684"/>
        <v>1337461.1833272204</v>
      </c>
      <c r="GL248" s="640">
        <f t="shared" ca="1" si="737"/>
        <v>0</v>
      </c>
      <c r="GM248" s="530">
        <f t="shared" ca="1" si="738"/>
        <v>0</v>
      </c>
      <c r="GN248" s="530">
        <f t="shared" ca="1" si="739"/>
        <v>0</v>
      </c>
      <c r="GO248" s="622">
        <f t="shared" ca="1" si="740"/>
        <v>0</v>
      </c>
      <c r="GP248" s="530">
        <f t="shared" ca="1" si="635"/>
        <v>0</v>
      </c>
      <c r="GQ248" s="545">
        <f t="shared" ca="1" si="636"/>
        <v>0</v>
      </c>
      <c r="GR248" s="625">
        <f t="shared" ca="1" si="741"/>
        <v>0</v>
      </c>
      <c r="GS248" s="640">
        <f>IF($A248&gt;=BegDate,Assumptions!$C$56*24*($A249-$A248)*(1-VLOOKUP($B248,MAIN!$AA$7:$AM$28,$C248+1))*(1-VLOOKUP($B248,MAIN!$AA$33:$AM$54,$C248+1)),0)*80/168</f>
        <v>257742.85714285713</v>
      </c>
      <c r="GT248" s="1715">
        <f t="shared" si="679"/>
        <v>85.532006199217577</v>
      </c>
      <c r="GU248" s="1715">
        <f>IF($A248&gt;=BegDate,VLOOKUP($A248,GasTable,13)+Assumptions!$C$58,0)</f>
        <v>3.6929275150258256</v>
      </c>
      <c r="GV248" s="1715">
        <f>GU248*Assumptions!$C$57/1000</f>
        <v>26.773724483937237</v>
      </c>
      <c r="GW248" s="625">
        <f>IF(Assumptions!$C$60="Hourly",MAX(0,GS248*(GT248-GV248)),GS248*(GT248-GV248))</f>
        <v>15144527.410101255</v>
      </c>
      <c r="GX248" s="640">
        <f>IF($A248&gt;=BegDate,Assumptions!$C$56*24*($A249-$A248)*(1-VLOOKUP($B248,MAIN!$AA$7:$AM$28,$C248+1))*(1-VLOOKUP($B248,MAIN!$AA$33:$AM$54,$C248+1)),0)*16/168</f>
        <v>51548.571428571428</v>
      </c>
      <c r="GY248" s="1715">
        <f t="shared" si="680"/>
        <v>85.532006199217577</v>
      </c>
      <c r="GZ248" s="1715">
        <f>IF($A248&gt;=BegDate,VLOOKUP($A248,GasTable,13)+Assumptions!$C$58,0)</f>
        <v>3.6929275150258256</v>
      </c>
      <c r="HA248" s="1715">
        <f>GZ248*Assumptions!$C$57/1000</f>
        <v>26.773724483937237</v>
      </c>
      <c r="HB248" s="625">
        <f>IF(Assumptions!$C$60="Hourly",MAX(0,GX248*(GY248-HA248)),GX248*(GY248-HA248))</f>
        <v>3028905.482020251</v>
      </c>
      <c r="HC248" s="640">
        <f>IF($A248&gt;=BegDate,Assumptions!$C$56*24*($A249-$A248)*(1-VLOOKUP($B248,MAIN!$AA$7:$AM$28,$C248+1))*(1-VLOOKUP($B248,MAIN!$AA$33:$AM$54,$C248+1)),0)*16/168</f>
        <v>51548.571428571428</v>
      </c>
      <c r="HD248" s="1715">
        <f t="shared" si="681"/>
        <v>37.00242105773706</v>
      </c>
      <c r="HE248" s="1715">
        <f>IF($A248&gt;=BegDate,VLOOKUP($A248,GasTable,13)+Assumptions!$C$58,0)</f>
        <v>3.6929275150258256</v>
      </c>
      <c r="HF248" s="1715">
        <f>HE248*Assumptions!$C$57/1000</f>
        <v>26.773724483937237</v>
      </c>
      <c r="HG248" s="625">
        <f>IF(Assumptions!$C$60="Hourly",MAX(0,HC248*(HD248-HF248)),HC248*(HD248-HF248))</f>
        <v>527274.69595570397</v>
      </c>
      <c r="HH248" s="640">
        <f>IF($A248&gt;=BegDate,Assumptions!$C$56*24*($A249-$A248)*(1-VLOOKUP($B248,MAIN!$AA$7:$AM$28,$C248+1))*(1-VLOOKUP($B248,MAIN!$AA$33:$AM$54,$C248+1)),0)*56/168</f>
        <v>180420</v>
      </c>
      <c r="HI248" s="1715">
        <f t="shared" si="682"/>
        <v>37.00242105773706</v>
      </c>
      <c r="HJ248" s="1715">
        <f>IF($A248&gt;=BegDate,VLOOKUP($A248,GasTable,13)+Assumptions!$C$58,0)</f>
        <v>3.6929275150258256</v>
      </c>
      <c r="HK248" s="1715">
        <f>HJ248*Assumptions!$C$57/1000</f>
        <v>26.773724483937237</v>
      </c>
      <c r="HL248" s="625">
        <f>IF(Assumptions!$C$60="Hourly",MAX(0,HH248*(HI248-HK248)),HH248*(HI248-HK248))</f>
        <v>1845461.4358449641</v>
      </c>
      <c r="HM248" s="640">
        <f>IF(AND(Assumptions!$H$71="Yes",A248&gt;=Assumptions!$H$72,A248&lt;=Assumptions!$H$73),Assumptions!$H$74*Assumptions!$C$9*1000,0)</f>
        <v>0</v>
      </c>
      <c r="HN248" s="530"/>
      <c r="HO248" s="545"/>
      <c r="HP248" s="545"/>
      <c r="HQ248" s="545"/>
      <c r="HR248" s="545"/>
      <c r="HS248" s="545"/>
      <c r="HT248" s="545"/>
      <c r="HU248" s="545"/>
      <c r="HV248" s="545"/>
      <c r="HW248" s="545"/>
      <c r="HX248" s="545"/>
      <c r="HY248" s="545"/>
      <c r="HZ248" s="545"/>
      <c r="IA248" s="545"/>
      <c r="IB248" s="545"/>
      <c r="IC248" s="545"/>
      <c r="ID248" s="545"/>
      <c r="IE248" s="545"/>
      <c r="IF248" s="545"/>
      <c r="IG248" s="545"/>
      <c r="IH248" s="545"/>
      <c r="II248" s="1464"/>
      <c r="IJ248" s="1463"/>
      <c r="IK248" s="1463"/>
    </row>
    <row r="249" spans="1:245">
      <c r="A249" s="177">
        <f t="shared" si="637"/>
        <v>43709</v>
      </c>
      <c r="B249" s="349">
        <f t="shared" si="638"/>
        <v>2019</v>
      </c>
      <c r="C249" s="15">
        <f t="shared" si="694"/>
        <v>9</v>
      </c>
      <c r="D249" s="612">
        <f t="shared" si="639"/>
        <v>43710</v>
      </c>
      <c r="E249" s="609">
        <f t="shared" si="695"/>
        <v>43709</v>
      </c>
      <c r="F249" s="614">
        <f t="shared" si="696"/>
        <v>43738</v>
      </c>
      <c r="G249" s="1349">
        <v>0</v>
      </c>
      <c r="H249" s="152">
        <f t="shared" si="683"/>
        <v>1</v>
      </c>
      <c r="I249" s="154">
        <f>IF(Assumptions!$L$25=4,VLOOKUP($A249,'Henwood Reference'!$E$9:$R$320,10),(VLOOKUP($A249,PriceTable,2,0)+IF(BasisNumber&lt;&gt;1,VLOOKUP($A249,BasisTable,2,0),0)+I$1)/(1-I$2))</f>
        <v>72.788987510882421</v>
      </c>
      <c r="J249" s="154">
        <f>IF(Assumptions!$L$25=4,VLOOKUP($A249,'Henwood Reference'!$E$9:$R$320,10),(VLOOKUP($A249,PriceTable,3,0)+IF(BasisNumber&lt;&gt;1,VLOOKUP($A249,BasisTable,2,0),0)+J$1)/(1-J$2))</f>
        <v>72.788987510882421</v>
      </c>
      <c r="K249" s="154">
        <f>IF(Assumptions!$L$25=4,VLOOKUP($A249,'Henwood Reference'!$E$9:$R$320,10),(VLOOKUP($A249,PriceTable,4,0)+IF(BasisNumber&lt;&gt;1,VLOOKUP($A249,BasisTable,2,0),0)+K$1)/(1-K$2))</f>
        <v>72.788987510882421</v>
      </c>
      <c r="L249" s="474">
        <f>IF(Assumptions!$L$25=4,VLOOKUP($A249,'Henwood Reference'!$E$9:$R$320,10),(VLOOKUP($A249,PriceTableWeekend,2,0)+IF(BasisNumber&lt;&gt;1,VLOOKUP($A249,BasisTable,2,0),0)+L$1)/(1-L$2))</f>
        <v>72.788987510882421</v>
      </c>
      <c r="M249" s="154">
        <f>IF(Assumptions!$L$25=4,VLOOKUP($A249,'Henwood Reference'!$E$9:$R$320,10),(VLOOKUP($A249,PriceTableWeekend,3,0)+IF(BasisNumber&lt;&gt;1,VLOOKUP($A249,BasisTable,2,0),0)+M$1)/(1-M$2))</f>
        <v>72.788987510882421</v>
      </c>
      <c r="N249" s="156">
        <f>IF(Assumptions!$L$25=4,VLOOKUP($A249,'Henwood Reference'!$E$9:$R$320,10),(VLOOKUP($A249,PriceTableWeekend,4,0)+IF(BasisNumber&lt;&gt;1,VLOOKUP($A249,BasisTable,2,0),0)+N$1)/(1-N$2))</f>
        <v>72.788987510882421</v>
      </c>
      <c r="O249" s="154">
        <f>IF(Assumptions!$L$25=4,VLOOKUP($A249,'Henwood Reference'!$E$9:$R$320,11),(VLOOKUP($A249,PriceTableWeekend,6,0)+IF(BasisNumber&lt;&gt;1,VLOOKUP($A249,BasisTable,3,0),0)+O$1)/(1-O$2))</f>
        <v>34.966090400777702</v>
      </c>
      <c r="P249" s="154">
        <f>IF(Assumptions!$L$25=4,VLOOKUP($A249,'Henwood Reference'!$E$9:$R$320,11),(VLOOKUP($A249,PriceTableWeekend,7,0)+IF(BasisNumber&lt;&gt;1,VLOOKUP($A249,BasisTable,3,0),0)+P$1)/(1-P$2))</f>
        <v>34.966090400777702</v>
      </c>
      <c r="Q249" s="156">
        <f>IF(Assumptions!$L$25=4,VLOOKUP($A249,'Henwood Reference'!$E$9:$R$320,11),(VLOOKUP($A249,PriceTableWeekend,8,0)+IF(BasisNumber&lt;&gt;1,VLOOKUP($A249,BasisTable,3,0),0)+Q$1)/(1-Q$2))</f>
        <v>34.966090400777702</v>
      </c>
      <c r="R249" s="154">
        <f>IF(Assumptions!$L$25=4,VLOOKUP($A249,'Henwood Reference'!$E$9:$R$320,11),(VLOOKUP($A249,PriceTable,6,0)+IF(BasisNumber&lt;&gt;1,VLOOKUP($A249,BasisTable,3,0),0)+R$1)/(1-R$2))</f>
        <v>34.966090400777702</v>
      </c>
      <c r="S249" s="154">
        <f>IF(Assumptions!$L$25=4,VLOOKUP($A249,'Henwood Reference'!$E$9:$R$320,11),(VLOOKUP($A249,PriceTable,7,0)+IF(BasisNumber&lt;&gt;1,VLOOKUP($A249,BasisTable,3,0),0)+S$1)/(1-S$2))</f>
        <v>34.966090400777702</v>
      </c>
      <c r="T249" s="155">
        <f>IF(Assumptions!$L$25=4,VLOOKUP($A249,'Henwood Reference'!$E$9:$R$320,11),(VLOOKUP($A249,PriceTable,8,0)+IF(BasisNumber&lt;&gt;1,VLOOKUP($A249,BasisTable,3,0),0)+T$1)/(1-T$2))</f>
        <v>34.966090400777702</v>
      </c>
      <c r="U249" s="173">
        <f t="shared" si="640"/>
        <v>0.09</v>
      </c>
      <c r="V249" s="173">
        <f t="shared" si="641"/>
        <v>0.1</v>
      </c>
      <c r="W249" s="174">
        <f t="shared" si="642"/>
        <v>0.11</v>
      </c>
      <c r="X249" s="173">
        <f t="shared" si="643"/>
        <v>0.09</v>
      </c>
      <c r="Y249" s="173">
        <f t="shared" si="644"/>
        <v>0.1</v>
      </c>
      <c r="Z249" s="174">
        <f t="shared" si="645"/>
        <v>0.11</v>
      </c>
      <c r="AA249" s="173">
        <f t="shared" si="646"/>
        <v>0.09</v>
      </c>
      <c r="AB249" s="173">
        <f t="shared" si="647"/>
        <v>0.11</v>
      </c>
      <c r="AC249" s="174">
        <f t="shared" si="648"/>
        <v>0.13</v>
      </c>
      <c r="AD249" s="173">
        <f t="shared" si="649"/>
        <v>0.09</v>
      </c>
      <c r="AE249" s="173">
        <f t="shared" si="650"/>
        <v>0.11</v>
      </c>
      <c r="AF249" s="174">
        <f t="shared" si="651"/>
        <v>0.13</v>
      </c>
      <c r="AG249" s="173">
        <f t="shared" si="652"/>
        <v>-0.35</v>
      </c>
      <c r="AH249" s="173">
        <f t="shared" si="653"/>
        <v>3</v>
      </c>
      <c r="AI249" s="174">
        <f t="shared" si="654"/>
        <v>0.2</v>
      </c>
      <c r="AJ249" s="173">
        <f t="shared" si="655"/>
        <v>-0.35</v>
      </c>
      <c r="AK249" s="173">
        <f t="shared" si="656"/>
        <v>3</v>
      </c>
      <c r="AL249" s="174">
        <f t="shared" si="657"/>
        <v>0.2</v>
      </c>
      <c r="AM249" s="173">
        <f t="shared" si="658"/>
        <v>-0.01</v>
      </c>
      <c r="AN249" s="173">
        <f t="shared" si="659"/>
        <v>0.16</v>
      </c>
      <c r="AO249" s="174">
        <f t="shared" si="660"/>
        <v>0.01</v>
      </c>
      <c r="AP249" s="173">
        <f t="shared" si="661"/>
        <v>-0.01</v>
      </c>
      <c r="AQ249" s="173">
        <f t="shared" si="662"/>
        <v>0.16</v>
      </c>
      <c r="AR249" s="175">
        <f t="shared" si="663"/>
        <v>0.01</v>
      </c>
      <c r="AS249" s="521">
        <f t="shared" si="699"/>
        <v>0.5</v>
      </c>
      <c r="AT249" s="349">
        <f t="shared" si="697"/>
        <v>20</v>
      </c>
      <c r="AU249" s="159">
        <f t="shared" si="582"/>
        <v>4</v>
      </c>
      <c r="AV249" s="159">
        <f t="shared" si="583"/>
        <v>5</v>
      </c>
      <c r="AW249" s="159">
        <f t="shared" si="700"/>
        <v>1</v>
      </c>
      <c r="AX249" s="15">
        <f t="shared" si="698"/>
        <v>30</v>
      </c>
      <c r="AY249" s="607">
        <f>IF(E249="",0,MIN((1-(1-VLOOKUP(B249,MAIN!$AA$7:$AM$28,C249+1))*(1-VLOOKUP(B249,MAIN!$AA$33:$AM$54,C249+1))),1))</f>
        <v>3.0000000000000027E-2</v>
      </c>
      <c r="AZ249" s="337">
        <v>46560</v>
      </c>
      <c r="BA249" s="509">
        <v>9312</v>
      </c>
      <c r="BB249" s="509">
        <v>13968</v>
      </c>
      <c r="BC249" s="511">
        <v>34920</v>
      </c>
      <c r="BD249" s="153">
        <v>0.9699999927729368</v>
      </c>
      <c r="BE249" s="474">
        <v>0.9699999927729368</v>
      </c>
      <c r="BF249" s="474">
        <v>0.9699999927729368</v>
      </c>
      <c r="BG249" s="515">
        <v>0.9699999927729368</v>
      </c>
      <c r="BH249" s="262">
        <v>186240</v>
      </c>
      <c r="BI249" s="509">
        <v>37248</v>
      </c>
      <c r="BJ249" s="509">
        <v>55872</v>
      </c>
      <c r="BK249" s="511">
        <v>139680</v>
      </c>
      <c r="BL249" s="153">
        <v>0.9699999927729368</v>
      </c>
      <c r="BM249" s="474">
        <v>0.9699999927729368</v>
      </c>
      <c r="BN249" s="474">
        <v>0.9699999927729368</v>
      </c>
      <c r="BO249" s="474">
        <v>0.9699999927729368</v>
      </c>
      <c r="BP249" s="261">
        <f t="shared" si="666"/>
        <v>69840</v>
      </c>
      <c r="BQ249" s="578">
        <f t="shared" si="667"/>
        <v>104760</v>
      </c>
      <c r="BR249" s="259">
        <f t="shared" si="668"/>
        <v>279360</v>
      </c>
      <c r="BS249" s="578">
        <f t="shared" si="669"/>
        <v>419040</v>
      </c>
      <c r="BT249" s="216">
        <f t="shared" si="670"/>
        <v>19.381245722108144</v>
      </c>
      <c r="BU249" s="218">
        <f t="shared" si="585"/>
        <v>72.788986968562199</v>
      </c>
      <c r="BV249" s="216">
        <f t="shared" si="586"/>
        <v>72.788986968562199</v>
      </c>
      <c r="BW249" s="216">
        <f t="shared" si="587"/>
        <v>34.966090140260029</v>
      </c>
      <c r="BX249" s="216">
        <f t="shared" si="671"/>
        <v>34.966090140260029</v>
      </c>
      <c r="BY249" s="216">
        <f t="shared" si="588"/>
        <v>65.224407602901763</v>
      </c>
      <c r="BZ249" s="216">
        <f t="shared" si="589"/>
        <v>55.138301782021188</v>
      </c>
      <c r="CA249" s="264">
        <f t="shared" si="590"/>
        <v>72.788986968562199</v>
      </c>
      <c r="CB249" s="216">
        <f t="shared" si="591"/>
        <v>72.788986968562199</v>
      </c>
      <c r="CC249" s="216">
        <f t="shared" si="592"/>
        <v>34.966090140260029</v>
      </c>
      <c r="CD249" s="216">
        <f t="shared" si="672"/>
        <v>34.966090140260029</v>
      </c>
      <c r="CE249" s="216">
        <f t="shared" si="593"/>
        <v>65.224407602901763</v>
      </c>
      <c r="CF249" s="571">
        <f t="shared" si="594"/>
        <v>55.138301782021188</v>
      </c>
      <c r="CG249" s="573">
        <f t="shared" si="595"/>
        <v>0.1</v>
      </c>
      <c r="CH249" s="219">
        <f t="shared" si="596"/>
        <v>0.1</v>
      </c>
      <c r="CI249" s="219">
        <f t="shared" si="597"/>
        <v>0.11</v>
      </c>
      <c r="CJ249" s="219">
        <f t="shared" si="598"/>
        <v>0.10108160768833475</v>
      </c>
      <c r="CK249" s="219">
        <f t="shared" si="599"/>
        <v>0.10108160768833475</v>
      </c>
      <c r="CL249" s="219">
        <f t="shared" si="600"/>
        <v>0.11</v>
      </c>
      <c r="CM249" s="219">
        <f t="shared" si="601"/>
        <v>9.3802388307741569E-2</v>
      </c>
      <c r="CN249" s="569">
        <f t="shared" si="602"/>
        <v>9.3802388307741569E-2</v>
      </c>
      <c r="CO249" s="264">
        <f t="shared" si="685"/>
        <v>27.512420884629702</v>
      </c>
      <c r="CP249" s="216">
        <f t="shared" si="673"/>
        <v>27.512420884629702</v>
      </c>
      <c r="CQ249" s="216">
        <f t="shared" ca="1" si="703"/>
        <v>27.512420884629702</v>
      </c>
      <c r="CR249" s="216">
        <f t="shared" ca="1" si="704"/>
        <v>27.512420884629702</v>
      </c>
      <c r="CS249" s="1626">
        <f t="shared" ca="1" si="705"/>
        <v>27.512420884629702</v>
      </c>
      <c r="CT249" s="216">
        <f t="shared" si="674"/>
        <v>27.512420884629702</v>
      </c>
      <c r="CU249" s="575">
        <f t="shared" si="603"/>
        <v>0.15</v>
      </c>
      <c r="CV249" s="154">
        <f t="shared" si="604"/>
        <v>0.5</v>
      </c>
      <c r="CW249" s="216">
        <f>IF(OR($BQ249,$BS249),SpreadOptPowerMargin,0)*((1+Assumptions!$C$26)^($B249-YEAR(Assumptions!$C$17)))</f>
        <v>2.4710142691631019</v>
      </c>
      <c r="CX249" s="216">
        <f>IF(OR($BQ249,$BS249),SpreadOptPowerMargin,0)*((1+Assumptions!$C$26)^($B249-YEAR(Assumptions!$C$17)))</f>
        <v>2.4710142691631019</v>
      </c>
      <c r="CY249" s="216">
        <f>IF(OR($BQ249,$BS249),SpreadOptPowerMargin,0)*((1+Assumptions!$C$26)^($B249-YEAR(Assumptions!$C$17)))</f>
        <v>2.4710142691631019</v>
      </c>
      <c r="CZ249" s="216">
        <f>IF(OR($BQ249,$BS249),SpreadOptPowerMargin,0)*((1+Assumptions!$C$26)^($B249-YEAR(Assumptions!$C$17)))</f>
        <v>2.4710142691631019</v>
      </c>
      <c r="DA249" s="440">
        <f t="shared" si="605"/>
        <v>2.4710142691631019</v>
      </c>
      <c r="DB249" s="479">
        <f t="shared" si="606"/>
        <v>0.1</v>
      </c>
      <c r="DC249" s="479">
        <f t="shared" si="607"/>
        <v>0.1</v>
      </c>
      <c r="DD249" s="479">
        <f t="shared" si="608"/>
        <v>0.11</v>
      </c>
      <c r="DE249" s="479">
        <f t="shared" si="609"/>
        <v>0.11</v>
      </c>
      <c r="DF249" s="479">
        <f t="shared" si="610"/>
        <v>9.3802388307741569E-2</v>
      </c>
      <c r="DG249" s="574">
        <f t="shared" si="611"/>
        <v>9.3802388307741569E-2</v>
      </c>
      <c r="DH249" s="216">
        <f t="shared" si="612"/>
        <v>43.383491787801063</v>
      </c>
      <c r="DI249" s="216">
        <f t="shared" si="613"/>
        <v>43.383491787801063</v>
      </c>
      <c r="DJ249" s="216">
        <f t="shared" ca="1" si="706"/>
        <v>9.8681439243832223</v>
      </c>
      <c r="DK249" s="216">
        <f t="shared" ca="1" si="707"/>
        <v>9.8681439243832223</v>
      </c>
      <c r="DL249" s="216">
        <f t="shared" ca="1" si="708"/>
        <v>26.581488839291577</v>
      </c>
      <c r="DM249" s="216"/>
      <c r="DN249" s="216"/>
      <c r="DO249" s="216"/>
      <c r="DP249" s="216"/>
      <c r="DQ249" s="216"/>
      <c r="DR249" s="216"/>
      <c r="DS249" s="216"/>
      <c r="DT249" s="216"/>
      <c r="DU249" s="216"/>
      <c r="DV249" s="216"/>
      <c r="DW249" s="1371">
        <f t="shared" si="614"/>
        <v>9.8681439243832223</v>
      </c>
      <c r="DX249" s="216">
        <f t="shared" si="615"/>
        <v>9.8681439243832223</v>
      </c>
      <c r="DY249" s="440">
        <f t="shared" si="616"/>
        <v>27.742996118206069</v>
      </c>
      <c r="DZ249" s="180">
        <f t="shared" si="617"/>
        <v>2019935.3776400175</v>
      </c>
      <c r="EA249" s="180">
        <f t="shared" si="618"/>
        <v>403987.07552800351</v>
      </c>
      <c r="EB249" s="180">
        <f t="shared" ca="1" si="709"/>
        <v>137838.23433578486</v>
      </c>
      <c r="EC249" s="180">
        <f t="shared" ca="1" si="710"/>
        <v>344595.58583946212</v>
      </c>
      <c r="ED249" s="180">
        <f t="shared" ca="1" si="711"/>
        <v>2784676.7708041854</v>
      </c>
      <c r="EE249" s="581">
        <f t="shared" si="619"/>
        <v>1993026.492495663</v>
      </c>
      <c r="EF249" s="554">
        <f t="shared" si="620"/>
        <v>398605.29849913262</v>
      </c>
      <c r="EG249" s="554">
        <f t="shared" ca="1" si="712"/>
        <v>69597.724850974191</v>
      </c>
      <c r="EH249" s="554">
        <f t="shared" ca="1" si="713"/>
        <v>173994.31212743549</v>
      </c>
      <c r="EI249" s="561">
        <f t="shared" ca="1" si="621"/>
        <v>2635223.8279732056</v>
      </c>
      <c r="EJ249" s="581">
        <f t="shared" si="675"/>
        <v>26908.885144354543</v>
      </c>
      <c r="EK249" s="554">
        <f t="shared" si="676"/>
        <v>5381.7770288708853</v>
      </c>
      <c r="EL249" s="554">
        <f t="shared" ca="1" si="714"/>
        <v>68240.509484810667</v>
      </c>
      <c r="EM249" s="554">
        <f t="shared" ca="1" si="715"/>
        <v>170601.27371202662</v>
      </c>
      <c r="EN249" s="561">
        <f t="shared" ca="1" si="716"/>
        <v>149452.94283097982</v>
      </c>
      <c r="EO249" s="180">
        <f t="shared" si="622"/>
        <v>8079741.5105600702</v>
      </c>
      <c r="EP249" s="180">
        <f t="shared" si="623"/>
        <v>1615948.302112014</v>
      </c>
      <c r="EQ249" s="180">
        <f t="shared" si="624"/>
        <v>551352.93734313943</v>
      </c>
      <c r="ER249" s="180">
        <f t="shared" si="625"/>
        <v>1378382.3433578485</v>
      </c>
      <c r="ES249" s="180">
        <f t="shared" si="626"/>
        <v>11625425.093373071</v>
      </c>
      <c r="ET249" s="1482">
        <f t="shared" ca="1" si="717"/>
        <v>7972105.969982652</v>
      </c>
      <c r="EU249" s="180">
        <f t="shared" ca="1" si="718"/>
        <v>1594421.1939965305</v>
      </c>
      <c r="EV249" s="180">
        <f t="shared" ca="1" si="719"/>
        <v>278390.89940389676</v>
      </c>
      <c r="EW249" s="180">
        <f t="shared" ca="1" si="720"/>
        <v>695977.24850974197</v>
      </c>
      <c r="EX249" s="555">
        <f t="shared" ca="1" si="693"/>
        <v>10540895.311892821</v>
      </c>
      <c r="EY249" s="180">
        <f t="shared" ca="1" si="721"/>
        <v>107635.54057741817</v>
      </c>
      <c r="EZ249" s="180">
        <f t="shared" ca="1" si="722"/>
        <v>21527.108115483541</v>
      </c>
      <c r="FA249" s="180">
        <f t="shared" ca="1" si="723"/>
        <v>272962.03793924267</v>
      </c>
      <c r="FB249" s="180">
        <f t="shared" ca="1" si="724"/>
        <v>682405.0948481065</v>
      </c>
      <c r="FC249" s="180">
        <f t="shared" ca="1" si="725"/>
        <v>1084529.7814802509</v>
      </c>
      <c r="FD249" s="262">
        <f>IF(AX249,IF(VLOOKUP(C249,MAIN!$L$17:$M$28,2)="Yes",VLOOKUP(CALC!B249,MAIN!$H$17:$I$20,2),0),0)</f>
        <v>0</v>
      </c>
      <c r="FE249" s="623">
        <f t="shared" si="627"/>
        <v>0</v>
      </c>
      <c r="FF249" s="535">
        <f t="shared" si="628"/>
        <v>0</v>
      </c>
      <c r="FG249" s="535">
        <f t="shared" si="629"/>
        <v>0</v>
      </c>
      <c r="FH249" s="624">
        <f t="shared" si="630"/>
        <v>0</v>
      </c>
      <c r="FI249" s="632">
        <f>IF(AX249,VLOOKUP(CALC!B249,MAIN!$H$17:$K$20,4),0)</f>
        <v>0</v>
      </c>
      <c r="FJ249" s="535">
        <f t="shared" si="631"/>
        <v>0</v>
      </c>
      <c r="FK249" s="648">
        <f t="shared" si="677"/>
        <v>0</v>
      </c>
      <c r="FL249" s="530">
        <f t="shared" ca="1" si="726"/>
        <v>0</v>
      </c>
      <c r="FM249" s="530">
        <f t="shared" ca="1" si="727"/>
        <v>0</v>
      </c>
      <c r="FN249" s="530">
        <f t="shared" ca="1" si="728"/>
        <v>0</v>
      </c>
      <c r="FO249" s="622">
        <f t="shared" ca="1" si="729"/>
        <v>0</v>
      </c>
      <c r="FP249" s="530">
        <f t="shared" ca="1" si="730"/>
        <v>0</v>
      </c>
      <c r="FQ249" s="530">
        <f t="shared" ca="1" si="731"/>
        <v>0</v>
      </c>
      <c r="FR249" s="530">
        <f t="shared" ca="1" si="732"/>
        <v>0</v>
      </c>
      <c r="FS249" s="625">
        <f t="shared" ca="1" si="733"/>
        <v>0</v>
      </c>
      <c r="FT249" s="640">
        <f ca="1">IF(AND(Assumptions!$H$71="Yes",A249&gt;=Assumptions!$H$72,A249&lt;=Assumptions!$H$73),0,IF(AND($A249&gt;=Assumptions!$C$17,$A249&lt;=Assumptions!$C$18),MAX(AZ249*(1+VLOOKUP($C249,WeatherCapacityAdjustment,2))-FL249,0),0))</f>
        <v>46560</v>
      </c>
      <c r="FU249" s="530">
        <f ca="1">IF(AND(Assumptions!$H$71="Yes",A249&gt;=Assumptions!$H$72,A249&lt;=Assumptions!$H$73),0,IF(AND($A249&gt;=Assumptions!$C$17,$A249&lt;=Assumptions!$C$18),MAX(BA249*(1+VLOOKUP($C249,WeatherCapacityAdjustment,2))-FM249,0),0))</f>
        <v>9312</v>
      </c>
      <c r="FV249" s="530">
        <f ca="1">IF(AND(Assumptions!$H$71="Yes",A249&gt;=Assumptions!$H$72,A249&lt;=Assumptions!$H$73),0,IF(AND($A249&gt;=Assumptions!$C$17,$A249&lt;=Assumptions!$C$18),MAX(BB249*(1+VLOOKUP($C249,WeatherCapacityAdjustment,2))-FN249,0),0))</f>
        <v>13968</v>
      </c>
      <c r="FW249" s="622">
        <f ca="1">IF(AND(Assumptions!$H$71="Yes",A249&gt;=Assumptions!$H$72,A249&lt;=Assumptions!$H$73),0,IF(AND($A249&gt;=Assumptions!$C$17,$A249&lt;=Assumptions!$C$18),MAX(BC249*(1+VLOOKUP($C249,WeatherCapacityAdjustment,3))-FO249,0),0))</f>
        <v>34920</v>
      </c>
      <c r="FX249" s="621">
        <f ca="1">IF(AND(Assumptions!$H$71="Yes",A249&gt;=Assumptions!$H$72,A249&lt;=Assumptions!$H$73),0,IF(ET249&gt;0,MAX(BH249*(1+VLOOKUP($C249,WeatherCapacityAdjustment,2))-FP249,0),0))</f>
        <v>186240</v>
      </c>
      <c r="FY249" s="530">
        <f ca="1">IF(AND(Assumptions!$H$71="Yes",A249&gt;=Assumptions!$H$72,A249&lt;=Assumptions!$H$73),0,IF(EU249&gt;0,MAX(BI249*(1+VLOOKUP($C249,WeatherCapacityAdjustment,3))-FQ249,0),0))</f>
        <v>37248</v>
      </c>
      <c r="FZ249" s="530">
        <f ca="1">IF(AND(Assumptions!$H$71="Yes",A249&gt;=Assumptions!$H$72,A249&lt;=Assumptions!$H$73),0,IF(EV249&gt;0,MAX(BJ249*(1+VLOOKUP($C249,WeatherCapacityAdjustment,2))-FR249,0),0))</f>
        <v>55872</v>
      </c>
      <c r="GA249" s="622">
        <f ca="1">IF(AND(Assumptions!$H$71="Yes",A249&gt;=Assumptions!$H$72,A249&lt;=Assumptions!$H$73),0,IF(EW249&gt;0,MAX(BK249*(1+VLOOKUP($C249,WeatherCapacityAdjustment,2))-FS249,0),0))</f>
        <v>139680</v>
      </c>
      <c r="GB249" s="530">
        <f t="shared" ca="1" si="632"/>
        <v>523800</v>
      </c>
      <c r="GC249" s="545">
        <f t="shared" ca="1" si="633"/>
        <v>55.138301782021188</v>
      </c>
      <c r="GD249" s="530">
        <f t="shared" ca="1" si="734"/>
        <v>28881442.473422699</v>
      </c>
      <c r="GE249" s="1485">
        <f t="shared" ca="1" si="735"/>
        <v>749335.70880000002</v>
      </c>
      <c r="GF249" s="1776">
        <f t="shared" ca="1" si="736"/>
        <v>2997342.8352000001</v>
      </c>
      <c r="GG249" s="545">
        <f t="shared" si="701"/>
        <v>3.8463417371226272</v>
      </c>
      <c r="GH249" s="622">
        <f t="shared" ca="1" si="702"/>
        <v>14411006.059369037</v>
      </c>
      <c r="GI249" s="621">
        <f t="shared" ca="1" si="678"/>
        <v>523800</v>
      </c>
      <c r="GJ249" s="638">
        <f t="shared" si="634"/>
        <v>2.4710142691631019</v>
      </c>
      <c r="GK249" s="625">
        <f t="shared" ca="1" si="684"/>
        <v>1294317.2741876328</v>
      </c>
      <c r="GL249" s="640">
        <f t="shared" ca="1" si="737"/>
        <v>0</v>
      </c>
      <c r="GM249" s="530">
        <f t="shared" ca="1" si="738"/>
        <v>0</v>
      </c>
      <c r="GN249" s="530">
        <f t="shared" ca="1" si="739"/>
        <v>0</v>
      </c>
      <c r="GO249" s="622">
        <f t="shared" ca="1" si="740"/>
        <v>0</v>
      </c>
      <c r="GP249" s="530">
        <f t="shared" ca="1" si="635"/>
        <v>0</v>
      </c>
      <c r="GQ249" s="545">
        <f t="shared" ca="1" si="636"/>
        <v>0</v>
      </c>
      <c r="GR249" s="625">
        <f t="shared" ca="1" si="741"/>
        <v>0</v>
      </c>
      <c r="GS249" s="640">
        <f>IF($A249&gt;=BegDate,Assumptions!$C$56*24*($A250-$A249)*(1-VLOOKUP($B249,MAIN!$AA$7:$AM$28,$C249+1))*(1-VLOOKUP($B249,MAIN!$AA$33:$AM$54,$C249+1)),0)*80/168</f>
        <v>249428.57142857142</v>
      </c>
      <c r="GT249" s="1715">
        <f t="shared" si="679"/>
        <v>72.788987510882421</v>
      </c>
      <c r="GU249" s="1715">
        <f>IF($A249&gt;=BegDate,VLOOKUP($A249,GasTable,13)+Assumptions!$C$58,0)</f>
        <v>3.8463417371226272</v>
      </c>
      <c r="GV249" s="1715">
        <f>GU249*Assumptions!$C$57/1000</f>
        <v>27.885977594139046</v>
      </c>
      <c r="GW249" s="625">
        <f>IF(Assumptions!$C$60="Hourly",MAX(0,GS249*(GT249-GV249)),GS249*(GT249-GV249))</f>
        <v>11200093.616376275</v>
      </c>
      <c r="GX249" s="640">
        <f>IF($A249&gt;=BegDate,Assumptions!$C$56*24*($A250-$A249)*(1-VLOOKUP($B249,MAIN!$AA$7:$AM$28,$C249+1))*(1-VLOOKUP($B249,MAIN!$AA$33:$AM$54,$C249+1)),0)*16/168</f>
        <v>49885.714285714283</v>
      </c>
      <c r="GY249" s="1715">
        <f t="shared" si="680"/>
        <v>72.788987510882421</v>
      </c>
      <c r="GZ249" s="1715">
        <f>IF($A249&gt;=BegDate,VLOOKUP($A249,GasTable,13)+Assumptions!$C$58,0)</f>
        <v>3.8463417371226272</v>
      </c>
      <c r="HA249" s="1715">
        <f>GZ249*Assumptions!$C$57/1000</f>
        <v>27.885977594139046</v>
      </c>
      <c r="HB249" s="625">
        <f>IF(Assumptions!$C$60="Hourly",MAX(0,GX249*(GY249-HA249)),GX249*(GY249-HA249))</f>
        <v>2240018.7232752549</v>
      </c>
      <c r="HC249" s="640">
        <f>IF($A249&gt;=BegDate,Assumptions!$C$56*24*($A250-$A249)*(1-VLOOKUP($B249,MAIN!$AA$7:$AM$28,$C249+1))*(1-VLOOKUP($B249,MAIN!$AA$33:$AM$54,$C249+1)),0)*16/168</f>
        <v>49885.714285714283</v>
      </c>
      <c r="HD249" s="1715">
        <f t="shared" si="681"/>
        <v>34.966090400777702</v>
      </c>
      <c r="HE249" s="1715">
        <f>IF($A249&gt;=BegDate,VLOOKUP($A249,GasTable,13)+Assumptions!$C$58,0)</f>
        <v>3.8463417371226272</v>
      </c>
      <c r="HF249" s="1715">
        <f>HE249*Assumptions!$C$57/1000</f>
        <v>27.885977594139046</v>
      </c>
      <c r="HG249" s="625">
        <f>IF(Assumptions!$C$60="Hourly",MAX(0,HC249*(HD249-HF249)),HC249*(HD249-HF249))</f>
        <v>353196.48458260263</v>
      </c>
      <c r="HH249" s="640">
        <f>IF($A249&gt;=BegDate,Assumptions!$C$56*24*($A250-$A249)*(1-VLOOKUP($B249,MAIN!$AA$7:$AM$28,$C249+1))*(1-VLOOKUP($B249,MAIN!$AA$33:$AM$54,$C249+1)),0)*56/168</f>
        <v>174600</v>
      </c>
      <c r="HI249" s="1715">
        <f t="shared" si="682"/>
        <v>34.966090400777702</v>
      </c>
      <c r="HJ249" s="1715">
        <f>IF($A249&gt;=BegDate,VLOOKUP($A249,GasTable,13)+Assumptions!$C$58,0)</f>
        <v>3.8463417371226272</v>
      </c>
      <c r="HK249" s="1715">
        <f>HJ249*Assumptions!$C$57/1000</f>
        <v>27.885977594139046</v>
      </c>
      <c r="HL249" s="625">
        <f>IF(Assumptions!$C$60="Hourly",MAX(0,HH249*(HI249-HK249)),HH249*(HI249-HK249))</f>
        <v>1236187.6960391093</v>
      </c>
      <c r="HM249" s="640">
        <f>IF(AND(Assumptions!$H$71="Yes",A249&gt;=Assumptions!$H$72,A249&lt;=Assumptions!$H$73),Assumptions!$H$74*Assumptions!$C$9*1000,0)</f>
        <v>0</v>
      </c>
      <c r="HN249" s="530"/>
      <c r="HO249" s="545"/>
      <c r="HP249" s="545"/>
      <c r="HQ249" s="545"/>
      <c r="HR249" s="545"/>
      <c r="HS249" s="545"/>
      <c r="HT249" s="545"/>
      <c r="HU249" s="545"/>
      <c r="HV249" s="545"/>
      <c r="HW249" s="545"/>
      <c r="HX249" s="545"/>
      <c r="HY249" s="545"/>
      <c r="HZ249" s="545"/>
      <c r="IA249" s="545"/>
      <c r="IB249" s="545"/>
      <c r="IC249" s="545"/>
      <c r="ID249" s="545"/>
      <c r="IE249" s="545"/>
      <c r="IF249" s="545"/>
      <c r="IG249" s="545"/>
      <c r="IH249" s="545"/>
      <c r="II249" s="1464"/>
      <c r="IJ249" s="1463"/>
      <c r="IK249" s="1463"/>
    </row>
    <row r="250" spans="1:245">
      <c r="A250" s="177">
        <f t="shared" si="637"/>
        <v>43739</v>
      </c>
      <c r="B250" s="349">
        <f t="shared" si="638"/>
        <v>2019</v>
      </c>
      <c r="C250" s="15">
        <f t="shared" si="694"/>
        <v>10</v>
      </c>
      <c r="D250" s="612" t="str">
        <f t="shared" si="639"/>
        <v/>
      </c>
      <c r="E250" s="609">
        <f t="shared" si="695"/>
        <v>43739</v>
      </c>
      <c r="F250" s="614">
        <f t="shared" si="696"/>
        <v>43769</v>
      </c>
      <c r="G250" s="1349">
        <v>0</v>
      </c>
      <c r="H250" s="152">
        <f t="shared" si="683"/>
        <v>1</v>
      </c>
      <c r="I250" s="154">
        <f>IF(Assumptions!$L$25=4,VLOOKUP($A250,'Henwood Reference'!$E$9:$R$320,10),(VLOOKUP($A250,PriceTable,2,0)+IF(BasisNumber&lt;&gt;1,VLOOKUP($A250,BasisTable,2,0),0)+I$1)/(1-I$2))</f>
        <v>58.944473894999</v>
      </c>
      <c r="J250" s="154">
        <f>IF(Assumptions!$L$25=4,VLOOKUP($A250,'Henwood Reference'!$E$9:$R$320,10),(VLOOKUP($A250,PriceTable,3,0)+IF(BasisNumber&lt;&gt;1,VLOOKUP($A250,BasisTable,2,0),0)+J$1)/(1-J$2))</f>
        <v>58.944473894999</v>
      </c>
      <c r="K250" s="154">
        <f>IF(Assumptions!$L$25=4,VLOOKUP($A250,'Henwood Reference'!$E$9:$R$320,10),(VLOOKUP($A250,PriceTable,4,0)+IF(BasisNumber&lt;&gt;1,VLOOKUP($A250,BasisTable,2,0),0)+K$1)/(1-K$2))</f>
        <v>58.944473894999</v>
      </c>
      <c r="L250" s="474">
        <f>IF(Assumptions!$L$25=4,VLOOKUP($A250,'Henwood Reference'!$E$9:$R$320,10),(VLOOKUP($A250,PriceTableWeekend,2,0)+IF(BasisNumber&lt;&gt;1,VLOOKUP($A250,BasisTable,2,0),0)+L$1)/(1-L$2))</f>
        <v>58.944473894999</v>
      </c>
      <c r="M250" s="154">
        <f>IF(Assumptions!$L$25=4,VLOOKUP($A250,'Henwood Reference'!$E$9:$R$320,10),(VLOOKUP($A250,PriceTableWeekend,3,0)+IF(BasisNumber&lt;&gt;1,VLOOKUP($A250,BasisTable,2,0),0)+M$1)/(1-M$2))</f>
        <v>58.944473894999</v>
      </c>
      <c r="N250" s="156">
        <f>IF(Assumptions!$L$25=4,VLOOKUP($A250,'Henwood Reference'!$E$9:$R$320,10),(VLOOKUP($A250,PriceTableWeekend,4,0)+IF(BasisNumber&lt;&gt;1,VLOOKUP($A250,BasisTable,2,0),0)+N$1)/(1-N$2))</f>
        <v>58.944473894999</v>
      </c>
      <c r="O250" s="154">
        <f>IF(Assumptions!$L$25=4,VLOOKUP($A250,'Henwood Reference'!$E$9:$R$320,11),(VLOOKUP($A250,PriceTableWeekend,6,0)+IF(BasisNumber&lt;&gt;1,VLOOKUP($A250,BasisTable,3,0),0)+O$1)/(1-O$2))</f>
        <v>32.860706894240529</v>
      </c>
      <c r="P250" s="154">
        <f>IF(Assumptions!$L$25=4,VLOOKUP($A250,'Henwood Reference'!$E$9:$R$320,11),(VLOOKUP($A250,PriceTableWeekend,7,0)+IF(BasisNumber&lt;&gt;1,VLOOKUP($A250,BasisTable,3,0),0)+P$1)/(1-P$2))</f>
        <v>32.860706894240529</v>
      </c>
      <c r="Q250" s="156">
        <f>IF(Assumptions!$L$25=4,VLOOKUP($A250,'Henwood Reference'!$E$9:$R$320,11),(VLOOKUP($A250,PriceTableWeekend,8,0)+IF(BasisNumber&lt;&gt;1,VLOOKUP($A250,BasisTable,3,0),0)+Q$1)/(1-Q$2))</f>
        <v>32.860706894240529</v>
      </c>
      <c r="R250" s="154">
        <f>IF(Assumptions!$L$25=4,VLOOKUP($A250,'Henwood Reference'!$E$9:$R$320,11),(VLOOKUP($A250,PriceTable,6,0)+IF(BasisNumber&lt;&gt;1,VLOOKUP($A250,BasisTable,3,0),0)+R$1)/(1-R$2))</f>
        <v>32.860706894240529</v>
      </c>
      <c r="S250" s="154">
        <f>IF(Assumptions!$L$25=4,VLOOKUP($A250,'Henwood Reference'!$E$9:$R$320,11),(VLOOKUP($A250,PriceTable,7,0)+IF(BasisNumber&lt;&gt;1,VLOOKUP($A250,BasisTable,3,0),0)+S$1)/(1-S$2))</f>
        <v>32.860706894240529</v>
      </c>
      <c r="T250" s="155">
        <f>IF(Assumptions!$L$25=4,VLOOKUP($A250,'Henwood Reference'!$E$9:$R$320,11),(VLOOKUP($A250,PriceTable,8,0)+IF(BasisNumber&lt;&gt;1,VLOOKUP($A250,BasisTable,3,0),0)+T$1)/(1-T$2))</f>
        <v>32.860706894240529</v>
      </c>
      <c r="U250" s="173">
        <f t="shared" si="640"/>
        <v>0.09</v>
      </c>
      <c r="V250" s="173">
        <f t="shared" si="641"/>
        <v>0.1</v>
      </c>
      <c r="W250" s="174">
        <f t="shared" si="642"/>
        <v>0.11</v>
      </c>
      <c r="X250" s="173">
        <f t="shared" si="643"/>
        <v>0.09</v>
      </c>
      <c r="Y250" s="173">
        <f t="shared" si="644"/>
        <v>0.1</v>
      </c>
      <c r="Z250" s="174">
        <f t="shared" si="645"/>
        <v>0.11</v>
      </c>
      <c r="AA250" s="173">
        <f t="shared" si="646"/>
        <v>0.09</v>
      </c>
      <c r="AB250" s="173">
        <f t="shared" si="647"/>
        <v>0.11</v>
      </c>
      <c r="AC250" s="174">
        <f t="shared" si="648"/>
        <v>0.13</v>
      </c>
      <c r="AD250" s="173">
        <f t="shared" si="649"/>
        <v>0.09</v>
      </c>
      <c r="AE250" s="173">
        <f t="shared" si="650"/>
        <v>0.11</v>
      </c>
      <c r="AF250" s="174">
        <f t="shared" si="651"/>
        <v>0.13</v>
      </c>
      <c r="AG250" s="173">
        <f t="shared" si="652"/>
        <v>-0.1</v>
      </c>
      <c r="AH250" s="173">
        <f t="shared" si="653"/>
        <v>3</v>
      </c>
      <c r="AI250" s="174">
        <f t="shared" si="654"/>
        <v>0.1</v>
      </c>
      <c r="AJ250" s="173">
        <f t="shared" si="655"/>
        <v>-0.1</v>
      </c>
      <c r="AK250" s="173">
        <f t="shared" si="656"/>
        <v>3</v>
      </c>
      <c r="AL250" s="174">
        <f t="shared" si="657"/>
        <v>0.1</v>
      </c>
      <c r="AM250" s="173">
        <f t="shared" si="658"/>
        <v>-0.01</v>
      </c>
      <c r="AN250" s="173">
        <f t="shared" si="659"/>
        <v>0.16</v>
      </c>
      <c r="AO250" s="174">
        <f t="shared" si="660"/>
        <v>0.01</v>
      </c>
      <c r="AP250" s="173">
        <f t="shared" si="661"/>
        <v>-0.01</v>
      </c>
      <c r="AQ250" s="173">
        <f t="shared" si="662"/>
        <v>0.16</v>
      </c>
      <c r="AR250" s="175">
        <f t="shared" si="663"/>
        <v>0.01</v>
      </c>
      <c r="AS250" s="521">
        <f t="shared" si="699"/>
        <v>0.5</v>
      </c>
      <c r="AT250" s="349">
        <f t="shared" si="697"/>
        <v>23</v>
      </c>
      <c r="AU250" s="159">
        <f t="shared" si="582"/>
        <v>4</v>
      </c>
      <c r="AV250" s="159">
        <f t="shared" si="583"/>
        <v>4</v>
      </c>
      <c r="AW250" s="159">
        <f t="shared" si="700"/>
        <v>0</v>
      </c>
      <c r="AX250" s="15">
        <f t="shared" si="698"/>
        <v>31</v>
      </c>
      <c r="AY250" s="607">
        <f>IF(E250="",0,MIN((1-(1-VLOOKUP(B250,MAIN!$AA$7:$AM$28,C250+1))*(1-VLOOKUP(B250,MAIN!$AA$33:$AM$54,C250+1))),1))</f>
        <v>3.0000000000000027E-2</v>
      </c>
      <c r="AZ250" s="337">
        <v>53544</v>
      </c>
      <c r="BA250" s="509">
        <v>9312</v>
      </c>
      <c r="BB250" s="509">
        <v>9312</v>
      </c>
      <c r="BC250" s="511">
        <v>36084</v>
      </c>
      <c r="BD250" s="153">
        <v>0.97000001445412631</v>
      </c>
      <c r="BE250" s="474">
        <v>0.97000001445412631</v>
      </c>
      <c r="BF250" s="474">
        <v>0.97000001445412631</v>
      </c>
      <c r="BG250" s="515">
        <v>0.9699999927729368</v>
      </c>
      <c r="BH250" s="262">
        <v>214176</v>
      </c>
      <c r="BI250" s="509">
        <v>37248</v>
      </c>
      <c r="BJ250" s="509">
        <v>37248</v>
      </c>
      <c r="BK250" s="511">
        <v>144336</v>
      </c>
      <c r="BL250" s="153">
        <v>0.97000001445412631</v>
      </c>
      <c r="BM250" s="474">
        <v>0.97000001445412631</v>
      </c>
      <c r="BN250" s="474">
        <v>0.97000001445412631</v>
      </c>
      <c r="BO250" s="474">
        <v>0.9699999927729368</v>
      </c>
      <c r="BP250" s="261">
        <f t="shared" si="666"/>
        <v>72168</v>
      </c>
      <c r="BQ250" s="578">
        <f t="shared" si="667"/>
        <v>108252</v>
      </c>
      <c r="BR250" s="259">
        <f t="shared" si="668"/>
        <v>288672</v>
      </c>
      <c r="BS250" s="578">
        <f t="shared" si="669"/>
        <v>433008</v>
      </c>
      <c r="BT250" s="216">
        <f t="shared" si="670"/>
        <v>19.463381245722108</v>
      </c>
      <c r="BU250" s="218">
        <f t="shared" si="585"/>
        <v>58.944474773340104</v>
      </c>
      <c r="BV250" s="216">
        <f t="shared" si="586"/>
        <v>58.944474773340104</v>
      </c>
      <c r="BW250" s="216">
        <f t="shared" si="587"/>
        <v>32.860707383903218</v>
      </c>
      <c r="BX250" s="216">
        <f t="shared" si="671"/>
        <v>32.860706649409188</v>
      </c>
      <c r="BY250" s="216">
        <f t="shared" si="588"/>
        <v>55.578827368251474</v>
      </c>
      <c r="BZ250" s="216">
        <f t="shared" si="589"/>
        <v>48.006120461970717</v>
      </c>
      <c r="CA250" s="264">
        <f t="shared" si="590"/>
        <v>58.944474773340104</v>
      </c>
      <c r="CB250" s="216">
        <f t="shared" si="591"/>
        <v>58.944474773340104</v>
      </c>
      <c r="CC250" s="216">
        <f t="shared" si="592"/>
        <v>32.860707383903218</v>
      </c>
      <c r="CD250" s="216">
        <f t="shared" si="672"/>
        <v>32.860706649409188</v>
      </c>
      <c r="CE250" s="216">
        <f t="shared" si="593"/>
        <v>55.578827368251474</v>
      </c>
      <c r="CF250" s="571">
        <f t="shared" si="594"/>
        <v>48.006120461970717</v>
      </c>
      <c r="CG250" s="573">
        <f t="shared" si="595"/>
        <v>0.1</v>
      </c>
      <c r="CH250" s="219">
        <f t="shared" si="596"/>
        <v>0.1</v>
      </c>
      <c r="CI250" s="219">
        <f t="shared" si="597"/>
        <v>0.11</v>
      </c>
      <c r="CJ250" s="219">
        <f t="shared" si="598"/>
        <v>0.10076984867018435</v>
      </c>
      <c r="CK250" s="219">
        <f t="shared" si="599"/>
        <v>0.10076984867018435</v>
      </c>
      <c r="CL250" s="219">
        <f t="shared" si="600"/>
        <v>0.11</v>
      </c>
      <c r="CM250" s="219">
        <f t="shared" si="601"/>
        <v>9.3183671714272026E-2</v>
      </c>
      <c r="CN250" s="569">
        <f t="shared" si="602"/>
        <v>9.3183671714272026E-2</v>
      </c>
      <c r="CO250" s="264">
        <f t="shared" si="685"/>
        <v>28.70014884832003</v>
      </c>
      <c r="CP250" s="216">
        <f t="shared" si="673"/>
        <v>28.70014884832003</v>
      </c>
      <c r="CQ250" s="216">
        <f t="shared" ca="1" si="703"/>
        <v>28.70014884832003</v>
      </c>
      <c r="CR250" s="216">
        <f t="shared" ca="1" si="704"/>
        <v>28.70014884832003</v>
      </c>
      <c r="CS250" s="1626">
        <f t="shared" ca="1" si="705"/>
        <v>28.700148848320033</v>
      </c>
      <c r="CT250" s="216">
        <f t="shared" si="674"/>
        <v>28.70014884832003</v>
      </c>
      <c r="CU250" s="575">
        <f t="shared" si="603"/>
        <v>0.15</v>
      </c>
      <c r="CV250" s="154">
        <f t="shared" si="604"/>
        <v>0.5</v>
      </c>
      <c r="CW250" s="216">
        <f>IF(OR($BQ250,$BS250),SpreadOptPowerMargin,0)*((1+Assumptions!$C$26)^($B250-YEAR(Assumptions!$C$17)))</f>
        <v>2.4710142691631019</v>
      </c>
      <c r="CX250" s="216">
        <f>IF(OR($BQ250,$BS250),SpreadOptPowerMargin,0)*((1+Assumptions!$C$26)^($B250-YEAR(Assumptions!$C$17)))</f>
        <v>2.4710142691631019</v>
      </c>
      <c r="CY250" s="216">
        <f>IF(OR($BQ250,$BS250),SpreadOptPowerMargin,0)*((1+Assumptions!$C$26)^($B250-YEAR(Assumptions!$C$17)))</f>
        <v>2.4710142691631019</v>
      </c>
      <c r="CZ250" s="216">
        <f>IF(OR($BQ250,$BS250),SpreadOptPowerMargin,0)*((1+Assumptions!$C$26)^($B250-YEAR(Assumptions!$C$17)))</f>
        <v>2.4710142691631019</v>
      </c>
      <c r="DA250" s="440">
        <f t="shared" si="605"/>
        <v>2.4710142691631014</v>
      </c>
      <c r="DB250" s="479">
        <f t="shared" si="606"/>
        <v>0.1</v>
      </c>
      <c r="DC250" s="479">
        <f t="shared" si="607"/>
        <v>0.1</v>
      </c>
      <c r="DD250" s="479">
        <f t="shared" si="608"/>
        <v>0.11</v>
      </c>
      <c r="DE250" s="479">
        <f t="shared" si="609"/>
        <v>0.11</v>
      </c>
      <c r="DF250" s="479">
        <f t="shared" si="610"/>
        <v>9.3183671714272026E-2</v>
      </c>
      <c r="DG250" s="574">
        <f t="shared" si="611"/>
        <v>9.3183671714272026E-2</v>
      </c>
      <c r="DH250" s="216">
        <f t="shared" si="612"/>
        <v>29.198171281355165</v>
      </c>
      <c r="DI250" s="216">
        <f t="shared" si="613"/>
        <v>29.198171281355165</v>
      </c>
      <c r="DJ250" s="216">
        <f t="shared" ca="1" si="706"/>
        <v>7.905027025344288</v>
      </c>
      <c r="DK250" s="216">
        <f t="shared" ca="1" si="707"/>
        <v>7.9050265478180419</v>
      </c>
      <c r="DL250" s="216">
        <f t="shared" ca="1" si="708"/>
        <v>19.336338319767041</v>
      </c>
      <c r="DM250" s="216"/>
      <c r="DN250" s="216"/>
      <c r="DO250" s="216"/>
      <c r="DP250" s="216"/>
      <c r="DQ250" s="216"/>
      <c r="DR250" s="216"/>
      <c r="DS250" s="216"/>
      <c r="DT250" s="216"/>
      <c r="DU250" s="216"/>
      <c r="DV250" s="216"/>
      <c r="DW250" s="1371">
        <f t="shared" si="614"/>
        <v>7.905027025344288</v>
      </c>
      <c r="DX250" s="216">
        <f t="shared" si="615"/>
        <v>7.9050265478180419</v>
      </c>
      <c r="DY250" s="440">
        <f t="shared" si="616"/>
        <v>20.268788047078413</v>
      </c>
      <c r="DZ250" s="180">
        <f t="shared" si="617"/>
        <v>1563386.8830888809</v>
      </c>
      <c r="EA250" s="180">
        <f t="shared" si="618"/>
        <v>271893.37097197928</v>
      </c>
      <c r="EB250" s="180">
        <f t="shared" ca="1" si="709"/>
        <v>73611.611660006005</v>
      </c>
      <c r="EC250" s="180">
        <f t="shared" ca="1" si="710"/>
        <v>285244.97795146622</v>
      </c>
      <c r="ED250" s="180">
        <f t="shared" ca="1" si="711"/>
        <v>2093197.2957914218</v>
      </c>
      <c r="EE250" s="581">
        <f t="shared" si="619"/>
        <v>1487094.1993012058</v>
      </c>
      <c r="EF250" s="554">
        <f t="shared" si="620"/>
        <v>258625.07813934013</v>
      </c>
      <c r="EG250" s="554">
        <f t="shared" ca="1" si="712"/>
        <v>15733.036208903839</v>
      </c>
      <c r="EH250" s="554">
        <f t="shared" ca="1" si="713"/>
        <v>60965.488806019792</v>
      </c>
      <c r="EI250" s="561">
        <f t="shared" ca="1" si="621"/>
        <v>1822417.8024554695</v>
      </c>
      <c r="EJ250" s="581">
        <f t="shared" si="675"/>
        <v>76292.683787675109</v>
      </c>
      <c r="EK250" s="554">
        <f t="shared" si="676"/>
        <v>13268.292832639156</v>
      </c>
      <c r="EL250" s="554">
        <f t="shared" ca="1" si="714"/>
        <v>57878.575451102166</v>
      </c>
      <c r="EM250" s="554">
        <f t="shared" ca="1" si="715"/>
        <v>224279.48914544642</v>
      </c>
      <c r="EN250" s="561">
        <f t="shared" ca="1" si="716"/>
        <v>270779.49333595228</v>
      </c>
      <c r="EO250" s="180">
        <f t="shared" si="622"/>
        <v>6253547.5323555237</v>
      </c>
      <c r="EP250" s="180">
        <f t="shared" si="623"/>
        <v>1087573.4838879171</v>
      </c>
      <c r="EQ250" s="180">
        <f t="shared" si="624"/>
        <v>294446.44664002402</v>
      </c>
      <c r="ER250" s="180">
        <f t="shared" si="625"/>
        <v>1140979.9118058649</v>
      </c>
      <c r="ES250" s="180">
        <f t="shared" si="626"/>
        <v>8776547.3746893294</v>
      </c>
      <c r="ET250" s="1482">
        <f t="shared" ca="1" si="717"/>
        <v>5948376.7972048232</v>
      </c>
      <c r="EU250" s="180">
        <f t="shared" ca="1" si="718"/>
        <v>1034500.3125573605</v>
      </c>
      <c r="EV250" s="180">
        <f t="shared" ca="1" si="719"/>
        <v>62932.144835615356</v>
      </c>
      <c r="EW250" s="180">
        <f t="shared" ca="1" si="720"/>
        <v>243861.95522407917</v>
      </c>
      <c r="EX250" s="555">
        <f t="shared" ca="1" si="693"/>
        <v>7289671.209821878</v>
      </c>
      <c r="EY250" s="180">
        <f t="shared" ca="1" si="721"/>
        <v>305170.73515070044</v>
      </c>
      <c r="EZ250" s="180">
        <f t="shared" ca="1" si="722"/>
        <v>53073.171330556623</v>
      </c>
      <c r="FA250" s="180">
        <f t="shared" ca="1" si="723"/>
        <v>231514.30180440866</v>
      </c>
      <c r="FB250" s="180">
        <f t="shared" ca="1" si="724"/>
        <v>897117.95658178569</v>
      </c>
      <c r="FC250" s="180">
        <f t="shared" ca="1" si="725"/>
        <v>1486876.1648674514</v>
      </c>
      <c r="FD250" s="262">
        <f>IF(AX250,IF(VLOOKUP(C250,MAIN!$L$17:$M$28,2)="Yes",VLOOKUP(CALC!B250,MAIN!$H$17:$I$20,2),0),0)</f>
        <v>0</v>
      </c>
      <c r="FE250" s="623">
        <f t="shared" si="627"/>
        <v>0</v>
      </c>
      <c r="FF250" s="535">
        <f t="shared" si="628"/>
        <v>0</v>
      </c>
      <c r="FG250" s="535">
        <f t="shared" si="629"/>
        <v>0</v>
      </c>
      <c r="FH250" s="624">
        <f t="shared" si="630"/>
        <v>0</v>
      </c>
      <c r="FI250" s="632">
        <f>IF(AX250,VLOOKUP(CALC!B250,MAIN!$H$17:$K$20,4),0)</f>
        <v>0</v>
      </c>
      <c r="FJ250" s="535">
        <f t="shared" si="631"/>
        <v>0</v>
      </c>
      <c r="FK250" s="648">
        <f t="shared" si="677"/>
        <v>0</v>
      </c>
      <c r="FL250" s="530">
        <f t="shared" ca="1" si="726"/>
        <v>0</v>
      </c>
      <c r="FM250" s="530">
        <f t="shared" ca="1" si="727"/>
        <v>0</v>
      </c>
      <c r="FN250" s="530">
        <f t="shared" ca="1" si="728"/>
        <v>0</v>
      </c>
      <c r="FO250" s="622">
        <f t="shared" ca="1" si="729"/>
        <v>0</v>
      </c>
      <c r="FP250" s="530">
        <f t="shared" ca="1" si="730"/>
        <v>0</v>
      </c>
      <c r="FQ250" s="530">
        <f t="shared" ca="1" si="731"/>
        <v>0</v>
      </c>
      <c r="FR250" s="530">
        <f t="shared" ca="1" si="732"/>
        <v>0</v>
      </c>
      <c r="FS250" s="625">
        <f t="shared" ca="1" si="733"/>
        <v>0</v>
      </c>
      <c r="FT250" s="640">
        <f ca="1">IF(AND(Assumptions!$H$71="Yes",A250&gt;=Assumptions!$H$72,A250&lt;=Assumptions!$H$73),0,IF(AND($A250&gt;=Assumptions!$C$17,$A250&lt;=Assumptions!$C$18),MAX(AZ250*(1+VLOOKUP($C250,WeatherCapacityAdjustment,2))-FL250,0),0))</f>
        <v>53544</v>
      </c>
      <c r="FU250" s="530">
        <f ca="1">IF(AND(Assumptions!$H$71="Yes",A250&gt;=Assumptions!$H$72,A250&lt;=Assumptions!$H$73),0,IF(AND($A250&gt;=Assumptions!$C$17,$A250&lt;=Assumptions!$C$18),MAX(BA250*(1+VLOOKUP($C250,WeatherCapacityAdjustment,2))-FM250,0),0))</f>
        <v>9312</v>
      </c>
      <c r="FV250" s="530">
        <f ca="1">IF(AND(Assumptions!$H$71="Yes",A250&gt;=Assumptions!$H$72,A250&lt;=Assumptions!$H$73),0,IF(AND($A250&gt;=Assumptions!$C$17,$A250&lt;=Assumptions!$C$18),MAX(BB250*(1+VLOOKUP($C250,WeatherCapacityAdjustment,2))-FN250,0),0))</f>
        <v>9312</v>
      </c>
      <c r="FW250" s="622">
        <f ca="1">IF(AND(Assumptions!$H$71="Yes",A250&gt;=Assumptions!$H$72,A250&lt;=Assumptions!$H$73),0,IF(AND($A250&gt;=Assumptions!$C$17,$A250&lt;=Assumptions!$C$18),MAX(BC250*(1+VLOOKUP($C250,WeatherCapacityAdjustment,3))-FO250,0),0))</f>
        <v>36084</v>
      </c>
      <c r="FX250" s="621">
        <f ca="1">IF(AND(Assumptions!$H$71="Yes",A250&gt;=Assumptions!$H$72,A250&lt;=Assumptions!$H$73),0,IF(ET250&gt;0,MAX(BH250*(1+VLOOKUP($C250,WeatherCapacityAdjustment,2))-FP250,0),0))</f>
        <v>214176</v>
      </c>
      <c r="FY250" s="530">
        <f ca="1">IF(AND(Assumptions!$H$71="Yes",A250&gt;=Assumptions!$H$72,A250&lt;=Assumptions!$H$73),0,IF(EU250&gt;0,MAX(BI250*(1+VLOOKUP($C250,WeatherCapacityAdjustment,3))-FQ250,0),0))</f>
        <v>37248</v>
      </c>
      <c r="FZ250" s="530">
        <f ca="1">IF(AND(Assumptions!$H$71="Yes",A250&gt;=Assumptions!$H$72,A250&lt;=Assumptions!$H$73),0,IF(EV250&gt;0,MAX(BJ250*(1+VLOOKUP($C250,WeatherCapacityAdjustment,2))-FR250,0),0))</f>
        <v>37248</v>
      </c>
      <c r="GA250" s="622">
        <f ca="1">IF(AND(Assumptions!$H$71="Yes",A250&gt;=Assumptions!$H$72,A250&lt;=Assumptions!$H$73),0,IF(EW250&gt;0,MAX(BK250*(1+VLOOKUP($C250,WeatherCapacityAdjustment,2))-FS250,0),0))</f>
        <v>144336</v>
      </c>
      <c r="GB250" s="530">
        <f t="shared" ca="1" si="632"/>
        <v>541260</v>
      </c>
      <c r="GC250" s="545">
        <f t="shared" ca="1" si="633"/>
        <v>48.00612046197071</v>
      </c>
      <c r="GD250" s="530">
        <f t="shared" ca="1" si="734"/>
        <v>25983792.761246268</v>
      </c>
      <c r="GE250" s="1485">
        <f t="shared" ca="1" si="735"/>
        <v>774631.82663999998</v>
      </c>
      <c r="GF250" s="1776">
        <f t="shared" ca="1" si="736"/>
        <v>3098527.3065599999</v>
      </c>
      <c r="GG250" s="545">
        <f t="shared" si="701"/>
        <v>4.0107421439220143</v>
      </c>
      <c r="GH250" s="622">
        <f t="shared" ca="1" si="702"/>
        <v>15534242.565641699</v>
      </c>
      <c r="GI250" s="621">
        <f t="shared" ca="1" si="678"/>
        <v>541260</v>
      </c>
      <c r="GJ250" s="638">
        <f t="shared" si="634"/>
        <v>2.4710142691631014</v>
      </c>
      <c r="GK250" s="625">
        <f t="shared" ca="1" si="684"/>
        <v>1337461.1833272204</v>
      </c>
      <c r="GL250" s="640">
        <f t="shared" ca="1" si="737"/>
        <v>0</v>
      </c>
      <c r="GM250" s="530">
        <f t="shared" ca="1" si="738"/>
        <v>0</v>
      </c>
      <c r="GN250" s="530">
        <f t="shared" ca="1" si="739"/>
        <v>0</v>
      </c>
      <c r="GO250" s="622">
        <f t="shared" ca="1" si="740"/>
        <v>0</v>
      </c>
      <c r="GP250" s="530">
        <f t="shared" ca="1" si="635"/>
        <v>0</v>
      </c>
      <c r="GQ250" s="545">
        <f t="shared" ca="1" si="636"/>
        <v>0</v>
      </c>
      <c r="GR250" s="625">
        <f t="shared" ca="1" si="741"/>
        <v>0</v>
      </c>
      <c r="GS250" s="640">
        <f>IF($A250&gt;=BegDate,Assumptions!$C$56*24*($A251-$A250)*(1-VLOOKUP($B250,MAIN!$AA$7:$AM$28,$C250+1))*(1-VLOOKUP($B250,MAIN!$AA$33:$AM$54,$C250+1)),0)*80/168</f>
        <v>257742.85714285713</v>
      </c>
      <c r="GT250" s="1715">
        <f t="shared" si="679"/>
        <v>58.944473894999</v>
      </c>
      <c r="GU250" s="1715">
        <f>IF($A250&gt;=BegDate,VLOOKUP($A250,GasTable,13)+Assumptions!$C$58,0)</f>
        <v>4.0107421439220143</v>
      </c>
      <c r="GV250" s="1715">
        <f>GU250*Assumptions!$C$57/1000</f>
        <v>29.077880543434603</v>
      </c>
      <c r="GW250" s="625">
        <f>IF(Assumptions!$C$60="Hourly",MAX(0,GS250*(GT250-GV250)),GS250*(GT250-GV250))</f>
        <v>7697901.1035560686</v>
      </c>
      <c r="GX250" s="640">
        <f>IF($A250&gt;=BegDate,Assumptions!$C$56*24*($A251-$A250)*(1-VLOOKUP($B250,MAIN!$AA$7:$AM$28,$C250+1))*(1-VLOOKUP($B250,MAIN!$AA$33:$AM$54,$C250+1)),0)*16/168</f>
        <v>51548.571428571428</v>
      </c>
      <c r="GY250" s="1715">
        <f t="shared" si="680"/>
        <v>58.944473894999</v>
      </c>
      <c r="GZ250" s="1715">
        <f>IF($A250&gt;=BegDate,VLOOKUP($A250,GasTable,13)+Assumptions!$C$58,0)</f>
        <v>4.0107421439220143</v>
      </c>
      <c r="HA250" s="1715">
        <f>GZ250*Assumptions!$C$57/1000</f>
        <v>29.077880543434603</v>
      </c>
      <c r="HB250" s="625">
        <f>IF(Assumptions!$C$60="Hourly",MAX(0,GX250*(GY250-HA250)),GX250*(GY250-HA250))</f>
        <v>1539580.2207112138</v>
      </c>
      <c r="HC250" s="640">
        <f>IF($A250&gt;=BegDate,Assumptions!$C$56*24*($A251-$A250)*(1-VLOOKUP($B250,MAIN!$AA$7:$AM$28,$C250+1))*(1-VLOOKUP($B250,MAIN!$AA$33:$AM$54,$C250+1)),0)*16/168</f>
        <v>51548.571428571428</v>
      </c>
      <c r="HD250" s="1715">
        <f t="shared" si="681"/>
        <v>32.860706894240529</v>
      </c>
      <c r="HE250" s="1715">
        <f>IF($A250&gt;=BegDate,VLOOKUP($A250,GasTable,13)+Assumptions!$C$58,0)</f>
        <v>4.0107421439220143</v>
      </c>
      <c r="HF250" s="1715">
        <f>HE250*Assumptions!$C$57/1000</f>
        <v>29.077880543434603</v>
      </c>
      <c r="HG250" s="625">
        <f>IF(Assumptions!$C$60="Hourly",MAX(0,HC250*(HD250-HF250)),HC250*(HD250-HF250))</f>
        <v>194999.2943464015</v>
      </c>
      <c r="HH250" s="640">
        <f>IF($A250&gt;=BegDate,Assumptions!$C$56*24*($A251-$A250)*(1-VLOOKUP($B250,MAIN!$AA$7:$AM$28,$C250+1))*(1-VLOOKUP($B250,MAIN!$AA$33:$AM$54,$C250+1)),0)*56/168</f>
        <v>180420</v>
      </c>
      <c r="HI250" s="1715">
        <f t="shared" si="682"/>
        <v>32.860706894240529</v>
      </c>
      <c r="HJ250" s="1715">
        <f>IF($A250&gt;=BegDate,VLOOKUP($A250,GasTable,13)+Assumptions!$C$58,0)</f>
        <v>4.0107421439220143</v>
      </c>
      <c r="HK250" s="1715">
        <f>HJ250*Assumptions!$C$57/1000</f>
        <v>29.077880543434603</v>
      </c>
      <c r="HL250" s="625">
        <f>IF(Assumptions!$C$60="Hourly",MAX(0,HH250*(HI250-HK250)),HH250*(HI250-HK250))</f>
        <v>682497.53021240525</v>
      </c>
      <c r="HM250" s="640">
        <f>IF(AND(Assumptions!$H$71="Yes",A250&gt;=Assumptions!$H$72,A250&lt;=Assumptions!$H$73),Assumptions!$H$74*Assumptions!$C$9*1000,0)</f>
        <v>0</v>
      </c>
      <c r="HN250" s="530"/>
      <c r="HO250" s="545"/>
      <c r="HP250" s="545"/>
      <c r="HQ250" s="545"/>
      <c r="HR250" s="545"/>
      <c r="HS250" s="545"/>
      <c r="HT250" s="545"/>
      <c r="HU250" s="545"/>
      <c r="HV250" s="545"/>
      <c r="HW250" s="545"/>
      <c r="HX250" s="545"/>
      <c r="HY250" s="545"/>
      <c r="HZ250" s="545"/>
      <c r="IA250" s="545"/>
      <c r="IB250" s="545"/>
      <c r="IC250" s="545"/>
      <c r="ID250" s="545"/>
      <c r="IE250" s="545"/>
      <c r="IF250" s="545"/>
      <c r="IG250" s="545"/>
      <c r="IH250" s="545"/>
      <c r="II250" s="1464"/>
      <c r="IJ250" s="1463"/>
      <c r="IK250" s="1463"/>
    </row>
    <row r="251" spans="1:245">
      <c r="A251" s="177">
        <f t="shared" si="637"/>
        <v>43770</v>
      </c>
      <c r="B251" s="349">
        <f t="shared" si="638"/>
        <v>2019</v>
      </c>
      <c r="C251" s="15">
        <f t="shared" si="694"/>
        <v>11</v>
      </c>
      <c r="D251" s="612">
        <f t="shared" si="639"/>
        <v>43797</v>
      </c>
      <c r="E251" s="609">
        <f t="shared" si="695"/>
        <v>43770</v>
      </c>
      <c r="F251" s="614">
        <f t="shared" si="696"/>
        <v>43799</v>
      </c>
      <c r="G251" s="1349">
        <v>0</v>
      </c>
      <c r="H251" s="152">
        <f t="shared" si="683"/>
        <v>1</v>
      </c>
      <c r="I251" s="154">
        <f>IF(Assumptions!$L$25=4,VLOOKUP($A251,'Henwood Reference'!$E$9:$R$320,10),(VLOOKUP($A251,PriceTable,2,0)+IF(BasisNumber&lt;&gt;1,VLOOKUP($A251,BasisTable,2,0),0)+I$1)/(1-I$2))</f>
        <v>62.050395314828265</v>
      </c>
      <c r="J251" s="154">
        <f>IF(Assumptions!$L$25=4,VLOOKUP($A251,'Henwood Reference'!$E$9:$R$320,10),(VLOOKUP($A251,PriceTable,3,0)+IF(BasisNumber&lt;&gt;1,VLOOKUP($A251,BasisTable,2,0),0)+J$1)/(1-J$2))</f>
        <v>62.050395314828265</v>
      </c>
      <c r="K251" s="154">
        <f>IF(Assumptions!$L$25=4,VLOOKUP($A251,'Henwood Reference'!$E$9:$R$320,10),(VLOOKUP($A251,PriceTable,4,0)+IF(BasisNumber&lt;&gt;1,VLOOKUP($A251,BasisTable,2,0),0)+K$1)/(1-K$2))</f>
        <v>62.050395314828265</v>
      </c>
      <c r="L251" s="474">
        <f>IF(Assumptions!$L$25=4,VLOOKUP($A251,'Henwood Reference'!$E$9:$R$320,10),(VLOOKUP($A251,PriceTableWeekend,2,0)+IF(BasisNumber&lt;&gt;1,VLOOKUP($A251,BasisTable,2,0),0)+L$1)/(1-L$2))</f>
        <v>62.050395314828265</v>
      </c>
      <c r="M251" s="154">
        <f>IF(Assumptions!$L$25=4,VLOOKUP($A251,'Henwood Reference'!$E$9:$R$320,10),(VLOOKUP($A251,PriceTableWeekend,3,0)+IF(BasisNumber&lt;&gt;1,VLOOKUP($A251,BasisTable,2,0),0)+M$1)/(1-M$2))</f>
        <v>62.050395314828265</v>
      </c>
      <c r="N251" s="156">
        <f>IF(Assumptions!$L$25=4,VLOOKUP($A251,'Henwood Reference'!$E$9:$R$320,10),(VLOOKUP($A251,PriceTableWeekend,4,0)+IF(BasisNumber&lt;&gt;1,VLOOKUP($A251,BasisTable,2,0),0)+N$1)/(1-N$2))</f>
        <v>62.050395314828265</v>
      </c>
      <c r="O251" s="154">
        <f>IF(Assumptions!$L$25=4,VLOOKUP($A251,'Henwood Reference'!$E$9:$R$320,11),(VLOOKUP($A251,PriceTableWeekend,6,0)+IF(BasisNumber&lt;&gt;1,VLOOKUP($A251,BasisTable,3,0),0)+O$1)/(1-O$2))</f>
        <v>35.151542463040492</v>
      </c>
      <c r="P251" s="154">
        <f>IF(Assumptions!$L$25=4,VLOOKUP($A251,'Henwood Reference'!$E$9:$R$320,11),(VLOOKUP($A251,PriceTableWeekend,7,0)+IF(BasisNumber&lt;&gt;1,VLOOKUP($A251,BasisTable,3,0),0)+P$1)/(1-P$2))</f>
        <v>35.151542463040492</v>
      </c>
      <c r="Q251" s="156">
        <f>IF(Assumptions!$L$25=4,VLOOKUP($A251,'Henwood Reference'!$E$9:$R$320,11),(VLOOKUP($A251,PriceTableWeekend,8,0)+IF(BasisNumber&lt;&gt;1,VLOOKUP($A251,BasisTable,3,0),0)+Q$1)/(1-Q$2))</f>
        <v>35.151542463040492</v>
      </c>
      <c r="R251" s="154">
        <f>IF(Assumptions!$L$25=4,VLOOKUP($A251,'Henwood Reference'!$E$9:$R$320,11),(VLOOKUP($A251,PriceTable,6,0)+IF(BasisNumber&lt;&gt;1,VLOOKUP($A251,BasisTable,3,0),0)+R$1)/(1-R$2))</f>
        <v>35.151542463040492</v>
      </c>
      <c r="S251" s="154">
        <f>IF(Assumptions!$L$25=4,VLOOKUP($A251,'Henwood Reference'!$E$9:$R$320,11),(VLOOKUP($A251,PriceTable,7,0)+IF(BasisNumber&lt;&gt;1,VLOOKUP($A251,BasisTable,3,0),0)+S$1)/(1-S$2))</f>
        <v>35.151542463040492</v>
      </c>
      <c r="T251" s="155">
        <f>IF(Assumptions!$L$25=4,VLOOKUP($A251,'Henwood Reference'!$E$9:$R$320,11),(VLOOKUP($A251,PriceTable,8,0)+IF(BasisNumber&lt;&gt;1,VLOOKUP($A251,BasisTable,3,0),0)+T$1)/(1-T$2))</f>
        <v>35.151542463040492</v>
      </c>
      <c r="U251" s="173">
        <f t="shared" si="640"/>
        <v>0.09</v>
      </c>
      <c r="V251" s="173">
        <f t="shared" si="641"/>
        <v>0.1</v>
      </c>
      <c r="W251" s="174">
        <f t="shared" si="642"/>
        <v>0.11</v>
      </c>
      <c r="X251" s="173">
        <f t="shared" si="643"/>
        <v>0.09</v>
      </c>
      <c r="Y251" s="173">
        <f t="shared" si="644"/>
        <v>0.1</v>
      </c>
      <c r="Z251" s="174">
        <f t="shared" si="645"/>
        <v>0.11</v>
      </c>
      <c r="AA251" s="173">
        <f t="shared" si="646"/>
        <v>0.09</v>
      </c>
      <c r="AB251" s="173">
        <f t="shared" si="647"/>
        <v>0.11</v>
      </c>
      <c r="AC251" s="174">
        <f t="shared" si="648"/>
        <v>0.13</v>
      </c>
      <c r="AD251" s="173">
        <f t="shared" si="649"/>
        <v>0.09</v>
      </c>
      <c r="AE251" s="173">
        <f t="shared" si="650"/>
        <v>0.11</v>
      </c>
      <c r="AF251" s="174">
        <f t="shared" si="651"/>
        <v>0.13</v>
      </c>
      <c r="AG251" s="173">
        <f t="shared" si="652"/>
        <v>-0.1</v>
      </c>
      <c r="AH251" s="173">
        <f t="shared" si="653"/>
        <v>0.6</v>
      </c>
      <c r="AI251" s="174">
        <f t="shared" si="654"/>
        <v>0.1</v>
      </c>
      <c r="AJ251" s="173">
        <f t="shared" si="655"/>
        <v>-0.1</v>
      </c>
      <c r="AK251" s="173">
        <f t="shared" si="656"/>
        <v>0.6</v>
      </c>
      <c r="AL251" s="174">
        <f t="shared" si="657"/>
        <v>0.1</v>
      </c>
      <c r="AM251" s="173">
        <f t="shared" si="658"/>
        <v>-0.01</v>
      </c>
      <c r="AN251" s="173">
        <f t="shared" si="659"/>
        <v>0.16</v>
      </c>
      <c r="AO251" s="174">
        <f t="shared" si="660"/>
        <v>0.01</v>
      </c>
      <c r="AP251" s="173">
        <f t="shared" si="661"/>
        <v>-0.01</v>
      </c>
      <c r="AQ251" s="173">
        <f t="shared" si="662"/>
        <v>0.16</v>
      </c>
      <c r="AR251" s="175">
        <f t="shared" si="663"/>
        <v>0.01</v>
      </c>
      <c r="AS251" s="521">
        <f t="shared" si="699"/>
        <v>0.5</v>
      </c>
      <c r="AT251" s="349">
        <f t="shared" si="697"/>
        <v>20</v>
      </c>
      <c r="AU251" s="159">
        <f t="shared" si="582"/>
        <v>5</v>
      </c>
      <c r="AV251" s="159">
        <f t="shared" si="583"/>
        <v>4</v>
      </c>
      <c r="AW251" s="159">
        <f t="shared" si="700"/>
        <v>1</v>
      </c>
      <c r="AX251" s="15">
        <f t="shared" si="698"/>
        <v>30</v>
      </c>
      <c r="AY251" s="607">
        <f>IF(E251="",0,MIN((1-(1-VLOOKUP(B251,MAIN!$AA$7:$AM$28,C251+1))*(1-VLOOKUP(B251,MAIN!$AA$33:$AM$54,C251+1))),1))</f>
        <v>3.0000000000000027E-2</v>
      </c>
      <c r="AZ251" s="337">
        <v>46560</v>
      </c>
      <c r="BA251" s="509">
        <v>11640</v>
      </c>
      <c r="BB251" s="509">
        <v>11640</v>
      </c>
      <c r="BC251" s="511">
        <v>34920</v>
      </c>
      <c r="BD251" s="153">
        <v>0.97</v>
      </c>
      <c r="BE251" s="474">
        <v>0.97</v>
      </c>
      <c r="BF251" s="474">
        <v>0.97</v>
      </c>
      <c r="BG251" s="515">
        <v>0.9699999927729368</v>
      </c>
      <c r="BH251" s="262">
        <v>186240</v>
      </c>
      <c r="BI251" s="509">
        <v>46560</v>
      </c>
      <c r="BJ251" s="509">
        <v>46560</v>
      </c>
      <c r="BK251" s="511">
        <v>139680</v>
      </c>
      <c r="BL251" s="153">
        <v>0.97</v>
      </c>
      <c r="BM251" s="474">
        <v>0.97</v>
      </c>
      <c r="BN251" s="474">
        <v>0.97</v>
      </c>
      <c r="BO251" s="474">
        <v>0.9699999927729368</v>
      </c>
      <c r="BP251" s="261">
        <f t="shared" si="666"/>
        <v>69840</v>
      </c>
      <c r="BQ251" s="578">
        <f t="shared" si="667"/>
        <v>104760</v>
      </c>
      <c r="BR251" s="259">
        <f t="shared" si="668"/>
        <v>279360</v>
      </c>
      <c r="BS251" s="578">
        <f t="shared" si="669"/>
        <v>419040</v>
      </c>
      <c r="BT251" s="216">
        <f t="shared" si="670"/>
        <v>19.548254620123203</v>
      </c>
      <c r="BU251" s="218">
        <f t="shared" si="585"/>
        <v>62.050395314828265</v>
      </c>
      <c r="BV251" s="216">
        <f t="shared" si="586"/>
        <v>62.050395314828265</v>
      </c>
      <c r="BW251" s="216">
        <f t="shared" si="587"/>
        <v>35.151542463040492</v>
      </c>
      <c r="BX251" s="216">
        <f t="shared" si="671"/>
        <v>35.151542201141091</v>
      </c>
      <c r="BY251" s="216">
        <f t="shared" si="588"/>
        <v>57.567253172863644</v>
      </c>
      <c r="BZ251" s="216">
        <f t="shared" si="589"/>
        <v>50.095349515622793</v>
      </c>
      <c r="CA251" s="264">
        <f t="shared" si="590"/>
        <v>62.050395314828265</v>
      </c>
      <c r="CB251" s="216">
        <f t="shared" si="591"/>
        <v>62.050395314828265</v>
      </c>
      <c r="CC251" s="216">
        <f t="shared" si="592"/>
        <v>35.151542463040492</v>
      </c>
      <c r="CD251" s="216">
        <f t="shared" si="672"/>
        <v>35.151542201141091</v>
      </c>
      <c r="CE251" s="216">
        <f t="shared" si="593"/>
        <v>57.567253172863644</v>
      </c>
      <c r="CF251" s="571">
        <f t="shared" si="594"/>
        <v>50.095349515622793</v>
      </c>
      <c r="CG251" s="573">
        <f t="shared" si="595"/>
        <v>0.1</v>
      </c>
      <c r="CH251" s="219">
        <f t="shared" si="596"/>
        <v>0.1</v>
      </c>
      <c r="CI251" s="219">
        <f t="shared" si="597"/>
        <v>0.11</v>
      </c>
      <c r="CJ251" s="219">
        <f t="shared" si="598"/>
        <v>0.10102677352623973</v>
      </c>
      <c r="CK251" s="219">
        <f t="shared" si="599"/>
        <v>0.10102677352623973</v>
      </c>
      <c r="CL251" s="219">
        <f t="shared" si="600"/>
        <v>0.11</v>
      </c>
      <c r="CM251" s="219">
        <f t="shared" si="601"/>
        <v>9.3257424495397978E-2</v>
      </c>
      <c r="CN251" s="569">
        <f t="shared" si="602"/>
        <v>9.3257424495397978E-2</v>
      </c>
      <c r="CO251" s="264">
        <f t="shared" si="685"/>
        <v>29.866372783659049</v>
      </c>
      <c r="CP251" s="216">
        <f t="shared" si="673"/>
        <v>29.866372783659049</v>
      </c>
      <c r="CQ251" s="216">
        <f t="shared" ca="1" si="703"/>
        <v>29.866372783659049</v>
      </c>
      <c r="CR251" s="216">
        <f t="shared" ca="1" si="704"/>
        <v>29.866372783659049</v>
      </c>
      <c r="CS251" s="1626">
        <f t="shared" ca="1" si="705"/>
        <v>29.866372783659049</v>
      </c>
      <c r="CT251" s="216">
        <f t="shared" si="674"/>
        <v>29.866372783659049</v>
      </c>
      <c r="CU251" s="575">
        <f t="shared" si="603"/>
        <v>0.15</v>
      </c>
      <c r="CV251" s="154">
        <f t="shared" si="604"/>
        <v>0.5</v>
      </c>
      <c r="CW251" s="216">
        <f>IF(OR($BQ251,$BS251),SpreadOptPowerMargin,0)*((1+Assumptions!$C$26)^($B251-YEAR(Assumptions!$C$17)))</f>
        <v>2.4710142691631019</v>
      </c>
      <c r="CX251" s="216">
        <f>IF(OR($BQ251,$BS251),SpreadOptPowerMargin,0)*((1+Assumptions!$C$26)^($B251-YEAR(Assumptions!$C$17)))</f>
        <v>2.4710142691631019</v>
      </c>
      <c r="CY251" s="216">
        <f>IF(OR($BQ251,$BS251),SpreadOptPowerMargin,0)*((1+Assumptions!$C$26)^($B251-YEAR(Assumptions!$C$17)))</f>
        <v>2.4710142691631019</v>
      </c>
      <c r="CZ251" s="216">
        <f>IF(OR($BQ251,$BS251),SpreadOptPowerMargin,0)*((1+Assumptions!$C$26)^($B251-YEAR(Assumptions!$C$17)))</f>
        <v>2.4710142691631019</v>
      </c>
      <c r="DA251" s="440">
        <f t="shared" si="605"/>
        <v>2.4710142691631019</v>
      </c>
      <c r="DB251" s="479">
        <f t="shared" si="606"/>
        <v>0.1</v>
      </c>
      <c r="DC251" s="479">
        <f t="shared" si="607"/>
        <v>0.1</v>
      </c>
      <c r="DD251" s="479">
        <f t="shared" si="608"/>
        <v>0.11</v>
      </c>
      <c r="DE251" s="479">
        <f t="shared" si="609"/>
        <v>0.11</v>
      </c>
      <c r="DF251" s="479">
        <f t="shared" si="610"/>
        <v>9.3257424495397978E-2</v>
      </c>
      <c r="DG251" s="574">
        <f t="shared" si="611"/>
        <v>9.3257424495397978E-2</v>
      </c>
      <c r="DH251" s="216">
        <f t="shared" si="612"/>
        <v>31.14529484895866</v>
      </c>
      <c r="DI251" s="216">
        <f t="shared" si="613"/>
        <v>31.14529484895866</v>
      </c>
      <c r="DJ251" s="216">
        <f t="shared" ca="1" si="706"/>
        <v>8.9329418526448059</v>
      </c>
      <c r="DK251" s="216">
        <f t="shared" ca="1" si="707"/>
        <v>8.9329416770778565</v>
      </c>
      <c r="DL251" s="216">
        <f t="shared" ca="1" si="708"/>
        <v>20.339928237271632</v>
      </c>
      <c r="DM251" s="216"/>
      <c r="DN251" s="216"/>
      <c r="DO251" s="216"/>
      <c r="DP251" s="216"/>
      <c r="DQ251" s="216"/>
      <c r="DR251" s="216"/>
      <c r="DS251" s="216"/>
      <c r="DT251" s="216"/>
      <c r="DU251" s="216"/>
      <c r="DV251" s="216"/>
      <c r="DW251" s="1371">
        <f t="shared" si="614"/>
        <v>8.9329418526448059</v>
      </c>
      <c r="DX251" s="216">
        <f t="shared" si="615"/>
        <v>8.9329416770778565</v>
      </c>
      <c r="DY251" s="440">
        <f t="shared" si="616"/>
        <v>21.273137903185741</v>
      </c>
      <c r="DZ251" s="180">
        <f t="shared" si="617"/>
        <v>1450124.9281675152</v>
      </c>
      <c r="EA251" s="180">
        <f t="shared" si="618"/>
        <v>362531.2320418788</v>
      </c>
      <c r="EB251" s="180">
        <f t="shared" ca="1" si="709"/>
        <v>103979.44316478554</v>
      </c>
      <c r="EC251" s="180">
        <f t="shared" ca="1" si="710"/>
        <v>311938.32336355874</v>
      </c>
      <c r="ED251" s="180">
        <f t="shared" ca="1" si="711"/>
        <v>2130810.8821365763</v>
      </c>
      <c r="EE251" s="581">
        <f t="shared" si="619"/>
        <v>1383437.6646790046</v>
      </c>
      <c r="EF251" s="554">
        <f t="shared" si="620"/>
        <v>345859.41616975114</v>
      </c>
      <c r="EG251" s="554">
        <f t="shared" ca="1" si="712"/>
        <v>32756.768974941486</v>
      </c>
      <c r="EH251" s="554">
        <f t="shared" ca="1" si="713"/>
        <v>98270.29777929734</v>
      </c>
      <c r="EI251" s="561">
        <f t="shared" ca="1" si="621"/>
        <v>1860324.1476029952</v>
      </c>
      <c r="EJ251" s="581">
        <f t="shared" si="675"/>
        <v>66687.263488510624</v>
      </c>
      <c r="EK251" s="554">
        <f t="shared" si="676"/>
        <v>16671.815872127656</v>
      </c>
      <c r="EL251" s="554">
        <f t="shared" ca="1" si="714"/>
        <v>71222.674189844052</v>
      </c>
      <c r="EM251" s="554">
        <f t="shared" ca="1" si="715"/>
        <v>213668.0255842614</v>
      </c>
      <c r="EN251" s="561">
        <f t="shared" ca="1" si="716"/>
        <v>270486.73453358118</v>
      </c>
      <c r="EO251" s="180">
        <f t="shared" si="622"/>
        <v>5800499.7126700608</v>
      </c>
      <c r="EP251" s="180">
        <f t="shared" si="623"/>
        <v>1450124.9281675152</v>
      </c>
      <c r="EQ251" s="180">
        <f t="shared" si="624"/>
        <v>415917.77265914215</v>
      </c>
      <c r="ER251" s="180">
        <f t="shared" si="625"/>
        <v>1247753.293454235</v>
      </c>
      <c r="ES251" s="180">
        <f t="shared" si="626"/>
        <v>8914295.7069509532</v>
      </c>
      <c r="ET251" s="1482">
        <f t="shared" ca="1" si="717"/>
        <v>5533750.6587160183</v>
      </c>
      <c r="EU251" s="180">
        <f t="shared" ca="1" si="718"/>
        <v>1383437.6646790046</v>
      </c>
      <c r="EV251" s="180">
        <f t="shared" ca="1" si="719"/>
        <v>131027.07589976594</v>
      </c>
      <c r="EW251" s="180">
        <f t="shared" ca="1" si="720"/>
        <v>393081.19111718936</v>
      </c>
      <c r="EX251" s="555">
        <f t="shared" ca="1" si="693"/>
        <v>7441296.5904119778</v>
      </c>
      <c r="EY251" s="180">
        <f t="shared" ca="1" si="721"/>
        <v>266749.05395404249</v>
      </c>
      <c r="EZ251" s="180">
        <f t="shared" ca="1" si="722"/>
        <v>66687.263488510624</v>
      </c>
      <c r="FA251" s="180">
        <f t="shared" ca="1" si="723"/>
        <v>284890.69675937621</v>
      </c>
      <c r="FB251" s="180">
        <f t="shared" ca="1" si="724"/>
        <v>854672.1023370456</v>
      </c>
      <c r="FC251" s="180">
        <f t="shared" ca="1" si="725"/>
        <v>1472999.1165389754</v>
      </c>
      <c r="FD251" s="262">
        <f>IF(AX251,IF(VLOOKUP(C251,MAIN!$L$17:$M$28,2)="Yes",VLOOKUP(CALC!B251,MAIN!$H$17:$I$20,2),0),0)</f>
        <v>0</v>
      </c>
      <c r="FE251" s="623">
        <f t="shared" si="627"/>
        <v>0</v>
      </c>
      <c r="FF251" s="535">
        <f t="shared" si="628"/>
        <v>0</v>
      </c>
      <c r="FG251" s="535">
        <f t="shared" si="629"/>
        <v>0</v>
      </c>
      <c r="FH251" s="624">
        <f t="shared" si="630"/>
        <v>0</v>
      </c>
      <c r="FI251" s="632">
        <f>IF(AX251,VLOOKUP(CALC!B251,MAIN!$H$17:$K$20,4),0)</f>
        <v>0</v>
      </c>
      <c r="FJ251" s="535">
        <f t="shared" si="631"/>
        <v>0</v>
      </c>
      <c r="FK251" s="648">
        <f t="shared" si="677"/>
        <v>0</v>
      </c>
      <c r="FL251" s="530">
        <f t="shared" ca="1" si="726"/>
        <v>0</v>
      </c>
      <c r="FM251" s="530">
        <f t="shared" ca="1" si="727"/>
        <v>0</v>
      </c>
      <c r="FN251" s="530">
        <f t="shared" ca="1" si="728"/>
        <v>0</v>
      </c>
      <c r="FO251" s="622">
        <f t="shared" ca="1" si="729"/>
        <v>0</v>
      </c>
      <c r="FP251" s="530">
        <f t="shared" ca="1" si="730"/>
        <v>0</v>
      </c>
      <c r="FQ251" s="530">
        <f t="shared" ca="1" si="731"/>
        <v>0</v>
      </c>
      <c r="FR251" s="530">
        <f t="shared" ca="1" si="732"/>
        <v>0</v>
      </c>
      <c r="FS251" s="625">
        <f t="shared" ca="1" si="733"/>
        <v>0</v>
      </c>
      <c r="FT251" s="640">
        <f ca="1">IF(AND(Assumptions!$H$71="Yes",A251&gt;=Assumptions!$H$72,A251&lt;=Assumptions!$H$73),0,IF(AND($A251&gt;=Assumptions!$C$17,$A251&lt;=Assumptions!$C$18),MAX(AZ251*(1+VLOOKUP($C251,WeatherCapacityAdjustment,2))-FL251,0),0))</f>
        <v>46560</v>
      </c>
      <c r="FU251" s="530">
        <f ca="1">IF(AND(Assumptions!$H$71="Yes",A251&gt;=Assumptions!$H$72,A251&lt;=Assumptions!$H$73),0,IF(AND($A251&gt;=Assumptions!$C$17,$A251&lt;=Assumptions!$C$18),MAX(BA251*(1+VLOOKUP($C251,WeatherCapacityAdjustment,2))-FM251,0),0))</f>
        <v>11640</v>
      </c>
      <c r="FV251" s="530">
        <f ca="1">IF(AND(Assumptions!$H$71="Yes",A251&gt;=Assumptions!$H$72,A251&lt;=Assumptions!$H$73),0,IF(AND($A251&gt;=Assumptions!$C$17,$A251&lt;=Assumptions!$C$18),MAX(BB251*(1+VLOOKUP($C251,WeatherCapacityAdjustment,2))-FN251,0),0))</f>
        <v>11640</v>
      </c>
      <c r="FW251" s="622">
        <f ca="1">IF(AND(Assumptions!$H$71="Yes",A251&gt;=Assumptions!$H$72,A251&lt;=Assumptions!$H$73),0,IF(AND($A251&gt;=Assumptions!$C$17,$A251&lt;=Assumptions!$C$18),MAX(BC251*(1+VLOOKUP($C251,WeatherCapacityAdjustment,3))-FO251,0),0))</f>
        <v>34920</v>
      </c>
      <c r="FX251" s="621">
        <f ca="1">IF(AND(Assumptions!$H$71="Yes",A251&gt;=Assumptions!$H$72,A251&lt;=Assumptions!$H$73),0,IF(ET251&gt;0,MAX(BH251*(1+VLOOKUP($C251,WeatherCapacityAdjustment,2))-FP251,0),0))</f>
        <v>186240</v>
      </c>
      <c r="FY251" s="530">
        <f ca="1">IF(AND(Assumptions!$H$71="Yes",A251&gt;=Assumptions!$H$72,A251&lt;=Assumptions!$H$73),0,IF(EU251&gt;0,MAX(BI251*(1+VLOOKUP($C251,WeatherCapacityAdjustment,3))-FQ251,0),0))</f>
        <v>46560</v>
      </c>
      <c r="FZ251" s="530">
        <f ca="1">IF(AND(Assumptions!$H$71="Yes",A251&gt;=Assumptions!$H$72,A251&lt;=Assumptions!$H$73),0,IF(EV251&gt;0,MAX(BJ251*(1+VLOOKUP($C251,WeatherCapacityAdjustment,2))-FR251,0),0))</f>
        <v>46560</v>
      </c>
      <c r="GA251" s="622">
        <f ca="1">IF(AND(Assumptions!$H$71="Yes",A251&gt;=Assumptions!$H$72,A251&lt;=Assumptions!$H$73),0,IF(EW251&gt;0,MAX(BK251*(1+VLOOKUP($C251,WeatherCapacityAdjustment,2))-FS251,0),0))</f>
        <v>139680</v>
      </c>
      <c r="GB251" s="530">
        <f t="shared" ca="1" si="632"/>
        <v>523800</v>
      </c>
      <c r="GC251" s="545">
        <f t="shared" ca="1" si="633"/>
        <v>50.095349515622793</v>
      </c>
      <c r="GD251" s="530">
        <f t="shared" ca="1" si="734"/>
        <v>26239944.076283216</v>
      </c>
      <c r="GE251" s="1485">
        <f t="shared" ca="1" si="735"/>
        <v>749951.69760000007</v>
      </c>
      <c r="GF251" s="1776">
        <f t="shared" ca="1" si="736"/>
        <v>2999806.7904000003</v>
      </c>
      <c r="GG251" s="545">
        <f t="shared" si="701"/>
        <v>4.1720036408063752</v>
      </c>
      <c r="GH251" s="622">
        <f t="shared" ca="1" si="702"/>
        <v>15644006.064080611</v>
      </c>
      <c r="GI251" s="621">
        <f t="shared" ca="1" si="678"/>
        <v>523800</v>
      </c>
      <c r="GJ251" s="638">
        <f t="shared" si="634"/>
        <v>2.4710142691631019</v>
      </c>
      <c r="GK251" s="625">
        <f t="shared" ca="1" si="684"/>
        <v>1294317.2741876328</v>
      </c>
      <c r="GL251" s="640">
        <f t="shared" ca="1" si="737"/>
        <v>0</v>
      </c>
      <c r="GM251" s="530">
        <f t="shared" ca="1" si="738"/>
        <v>0</v>
      </c>
      <c r="GN251" s="530">
        <f t="shared" ca="1" si="739"/>
        <v>0</v>
      </c>
      <c r="GO251" s="622">
        <f t="shared" ca="1" si="740"/>
        <v>0</v>
      </c>
      <c r="GP251" s="530">
        <f t="shared" ca="1" si="635"/>
        <v>0</v>
      </c>
      <c r="GQ251" s="545">
        <f t="shared" ca="1" si="636"/>
        <v>0</v>
      </c>
      <c r="GR251" s="625">
        <f t="shared" ca="1" si="741"/>
        <v>0</v>
      </c>
      <c r="GS251" s="640">
        <f>IF($A251&gt;=BegDate,Assumptions!$C$56*24*($A252-$A251)*(1-VLOOKUP($B251,MAIN!$AA$7:$AM$28,$C251+1))*(1-VLOOKUP($B251,MAIN!$AA$33:$AM$54,$C251+1)),0)*80/168</f>
        <v>249428.57142857142</v>
      </c>
      <c r="GT251" s="1715">
        <f t="shared" si="679"/>
        <v>62.050395314828265</v>
      </c>
      <c r="GU251" s="1715">
        <f>IF($A251&gt;=BegDate,VLOOKUP($A251,GasTable,13)+Assumptions!$C$58,0)</f>
        <v>4.1720036408063752</v>
      </c>
      <c r="GV251" s="1715">
        <f>GU251*Assumptions!$C$57/1000</f>
        <v>30.24702639584622</v>
      </c>
      <c r="GW251" s="625">
        <f>IF(Assumptions!$C$60="Hourly",MAX(0,GS251*(GT251-GV251)),GS251*(GT251-GV251))</f>
        <v>7932668.8760775216</v>
      </c>
      <c r="GX251" s="640">
        <f>IF($A251&gt;=BegDate,Assumptions!$C$56*24*($A252-$A251)*(1-VLOOKUP($B251,MAIN!$AA$7:$AM$28,$C251+1))*(1-VLOOKUP($B251,MAIN!$AA$33:$AM$54,$C251+1)),0)*16/168</f>
        <v>49885.714285714283</v>
      </c>
      <c r="GY251" s="1715">
        <f t="shared" si="680"/>
        <v>62.050395314828265</v>
      </c>
      <c r="GZ251" s="1715">
        <f>IF($A251&gt;=BegDate,VLOOKUP($A251,GasTable,13)+Assumptions!$C$58,0)</f>
        <v>4.1720036408063752</v>
      </c>
      <c r="HA251" s="1715">
        <f>GZ251*Assumptions!$C$57/1000</f>
        <v>30.24702639584622</v>
      </c>
      <c r="HB251" s="625">
        <f>IF(Assumptions!$C$60="Hourly",MAX(0,GX251*(GY251-HA251)),GX251*(GY251-HA251))</f>
        <v>1586533.7752155042</v>
      </c>
      <c r="HC251" s="640">
        <f>IF($A251&gt;=BegDate,Assumptions!$C$56*24*($A252-$A251)*(1-VLOOKUP($B251,MAIN!$AA$7:$AM$28,$C251+1))*(1-VLOOKUP($B251,MAIN!$AA$33:$AM$54,$C251+1)),0)*16/168</f>
        <v>49885.714285714283</v>
      </c>
      <c r="HD251" s="1715">
        <f t="shared" si="681"/>
        <v>35.151542463040492</v>
      </c>
      <c r="HE251" s="1715">
        <f>IF($A251&gt;=BegDate,VLOOKUP($A251,GasTable,13)+Assumptions!$C$58,0)</f>
        <v>4.1720036408063752</v>
      </c>
      <c r="HF251" s="1715">
        <f>HE251*Assumptions!$C$57/1000</f>
        <v>30.24702639584622</v>
      </c>
      <c r="HG251" s="625">
        <f>IF(Assumptions!$C$60="Hourly",MAX(0,HC251*(HD251-HF251)),HC251*(HD251-HF251))</f>
        <v>244665.28723774856</v>
      </c>
      <c r="HH251" s="640">
        <f>IF($A251&gt;=BegDate,Assumptions!$C$56*24*($A252-$A251)*(1-VLOOKUP($B251,MAIN!$AA$7:$AM$28,$C251+1))*(1-VLOOKUP($B251,MAIN!$AA$33:$AM$54,$C251+1)),0)*56/168</f>
        <v>174600</v>
      </c>
      <c r="HI251" s="1715">
        <f t="shared" si="682"/>
        <v>35.151542463040492</v>
      </c>
      <c r="HJ251" s="1715">
        <f>IF($A251&gt;=BegDate,VLOOKUP($A251,GasTable,13)+Assumptions!$C$58,0)</f>
        <v>4.1720036408063752</v>
      </c>
      <c r="HK251" s="1715">
        <f>HJ251*Assumptions!$C$57/1000</f>
        <v>30.24702639584622</v>
      </c>
      <c r="HL251" s="625">
        <f>IF(Assumptions!$C$60="Hourly",MAX(0,HH251*(HI251-HK251)),HH251*(HI251-HK251))</f>
        <v>856328.50533212</v>
      </c>
      <c r="HM251" s="640">
        <f>IF(AND(Assumptions!$H$71="Yes",A251&gt;=Assumptions!$H$72,A251&lt;=Assumptions!$H$73),Assumptions!$H$74*Assumptions!$C$9*1000,0)</f>
        <v>0</v>
      </c>
      <c r="HN251" s="530"/>
      <c r="HO251" s="545"/>
      <c r="HP251" s="545"/>
      <c r="HQ251" s="545"/>
      <c r="HR251" s="545"/>
      <c r="HS251" s="545"/>
      <c r="HT251" s="545"/>
      <c r="HU251" s="545"/>
      <c r="HV251" s="545"/>
      <c r="HW251" s="545"/>
      <c r="HX251" s="545"/>
      <c r="HY251" s="545"/>
      <c r="HZ251" s="545"/>
      <c r="IA251" s="545"/>
      <c r="IB251" s="545"/>
      <c r="IC251" s="545"/>
      <c r="ID251" s="545"/>
      <c r="IE251" s="545"/>
      <c r="IF251" s="545"/>
      <c r="IG251" s="545"/>
      <c r="IH251" s="545"/>
      <c r="II251" s="1464"/>
      <c r="IJ251" s="1463"/>
      <c r="IK251" s="1463"/>
    </row>
    <row r="252" spans="1:245">
      <c r="A252" s="177">
        <f t="shared" si="637"/>
        <v>43800</v>
      </c>
      <c r="B252" s="349">
        <f t="shared" si="638"/>
        <v>2019</v>
      </c>
      <c r="C252" s="15">
        <f t="shared" si="694"/>
        <v>12</v>
      </c>
      <c r="D252" s="612">
        <f t="shared" si="639"/>
        <v>43824</v>
      </c>
      <c r="E252" s="609">
        <f t="shared" si="695"/>
        <v>43800</v>
      </c>
      <c r="F252" s="614">
        <f t="shared" si="696"/>
        <v>43830</v>
      </c>
      <c r="G252" s="1349">
        <v>0</v>
      </c>
      <c r="H252" s="152">
        <f t="shared" si="683"/>
        <v>1</v>
      </c>
      <c r="I252" s="154">
        <f>IF(Assumptions!$L$25=4,VLOOKUP($A252,'Henwood Reference'!$E$9:$R$320,10),(VLOOKUP($A252,PriceTable,2,0)+IF(BasisNumber&lt;&gt;1,VLOOKUP($A252,BasisTable,2,0),0)+I$1)/(1-I$2))</f>
        <v>58.340188620634471</v>
      </c>
      <c r="J252" s="154">
        <f>IF(Assumptions!$L$25=4,VLOOKUP($A252,'Henwood Reference'!$E$9:$R$320,10),(VLOOKUP($A252,PriceTable,3,0)+IF(BasisNumber&lt;&gt;1,VLOOKUP($A252,BasisTable,2,0),0)+J$1)/(1-J$2))</f>
        <v>58.340188620634471</v>
      </c>
      <c r="K252" s="154">
        <f>IF(Assumptions!$L$25=4,VLOOKUP($A252,'Henwood Reference'!$E$9:$R$320,10),(VLOOKUP($A252,PriceTable,4,0)+IF(BasisNumber&lt;&gt;1,VLOOKUP($A252,BasisTable,2,0),0)+K$1)/(1-K$2))</f>
        <v>58.340188620634471</v>
      </c>
      <c r="L252" s="474">
        <f>IF(Assumptions!$L$25=4,VLOOKUP($A252,'Henwood Reference'!$E$9:$R$320,10),(VLOOKUP($A252,PriceTableWeekend,2,0)+IF(BasisNumber&lt;&gt;1,VLOOKUP($A252,BasisTable,2,0),0)+L$1)/(1-L$2))</f>
        <v>58.340188620634471</v>
      </c>
      <c r="M252" s="154">
        <f>IF(Assumptions!$L$25=4,VLOOKUP($A252,'Henwood Reference'!$E$9:$R$320,10),(VLOOKUP($A252,PriceTableWeekend,3,0)+IF(BasisNumber&lt;&gt;1,VLOOKUP($A252,BasisTable,2,0),0)+M$1)/(1-M$2))</f>
        <v>58.340188620634471</v>
      </c>
      <c r="N252" s="156">
        <f>IF(Assumptions!$L$25=4,VLOOKUP($A252,'Henwood Reference'!$E$9:$R$320,10),(VLOOKUP($A252,PriceTableWeekend,4,0)+IF(BasisNumber&lt;&gt;1,VLOOKUP($A252,BasisTable,2,0),0)+N$1)/(1-N$2))</f>
        <v>58.340188620634471</v>
      </c>
      <c r="O252" s="154">
        <f>IF(Assumptions!$L$25=4,VLOOKUP($A252,'Henwood Reference'!$E$9:$R$320,11),(VLOOKUP($A252,PriceTableWeekend,6,0)+IF(BasisNumber&lt;&gt;1,VLOOKUP($A252,BasisTable,3,0),0)+O$1)/(1-O$2))</f>
        <v>36.588978046973672</v>
      </c>
      <c r="P252" s="154">
        <f>IF(Assumptions!$L$25=4,VLOOKUP($A252,'Henwood Reference'!$E$9:$R$320,11),(VLOOKUP($A252,PriceTableWeekend,7,0)+IF(BasisNumber&lt;&gt;1,VLOOKUP($A252,BasisTable,3,0),0)+P$1)/(1-P$2))</f>
        <v>36.588978046973672</v>
      </c>
      <c r="Q252" s="156">
        <f>IF(Assumptions!$L$25=4,VLOOKUP($A252,'Henwood Reference'!$E$9:$R$320,11),(VLOOKUP($A252,PriceTableWeekend,8,0)+IF(BasisNumber&lt;&gt;1,VLOOKUP($A252,BasisTable,3,0),0)+Q$1)/(1-Q$2))</f>
        <v>36.588978046973672</v>
      </c>
      <c r="R252" s="154">
        <f>IF(Assumptions!$L$25=4,VLOOKUP($A252,'Henwood Reference'!$E$9:$R$320,11),(VLOOKUP($A252,PriceTable,6,0)+IF(BasisNumber&lt;&gt;1,VLOOKUP($A252,BasisTable,3,0),0)+R$1)/(1-R$2))</f>
        <v>36.588978046973672</v>
      </c>
      <c r="S252" s="154">
        <f>IF(Assumptions!$L$25=4,VLOOKUP($A252,'Henwood Reference'!$E$9:$R$320,11),(VLOOKUP($A252,PriceTable,7,0)+IF(BasisNumber&lt;&gt;1,VLOOKUP($A252,BasisTable,3,0),0)+S$1)/(1-S$2))</f>
        <v>36.588978046973672</v>
      </c>
      <c r="T252" s="155">
        <f>IF(Assumptions!$L$25=4,VLOOKUP($A252,'Henwood Reference'!$E$9:$R$320,11),(VLOOKUP($A252,PriceTable,8,0)+IF(BasisNumber&lt;&gt;1,VLOOKUP($A252,BasisTable,3,0),0)+T$1)/(1-T$2))</f>
        <v>36.588978046973672</v>
      </c>
      <c r="U252" s="173">
        <f t="shared" si="640"/>
        <v>0.09</v>
      </c>
      <c r="V252" s="173">
        <f t="shared" si="641"/>
        <v>0.1</v>
      </c>
      <c r="W252" s="174">
        <f t="shared" si="642"/>
        <v>0.11</v>
      </c>
      <c r="X252" s="173">
        <f t="shared" si="643"/>
        <v>0.09</v>
      </c>
      <c r="Y252" s="173">
        <f t="shared" si="644"/>
        <v>0.1</v>
      </c>
      <c r="Z252" s="174">
        <f t="shared" si="645"/>
        <v>0.11</v>
      </c>
      <c r="AA252" s="173">
        <f t="shared" si="646"/>
        <v>0.09</v>
      </c>
      <c r="AB252" s="173">
        <f t="shared" si="647"/>
        <v>0.11</v>
      </c>
      <c r="AC252" s="174">
        <f t="shared" si="648"/>
        <v>0.13</v>
      </c>
      <c r="AD252" s="173">
        <f t="shared" si="649"/>
        <v>0.09</v>
      </c>
      <c r="AE252" s="173">
        <f t="shared" si="650"/>
        <v>0.11</v>
      </c>
      <c r="AF252" s="174">
        <f t="shared" si="651"/>
        <v>0.13</v>
      </c>
      <c r="AG252" s="173">
        <f t="shared" si="652"/>
        <v>-0.25</v>
      </c>
      <c r="AH252" s="173">
        <f t="shared" si="653"/>
        <v>0.6</v>
      </c>
      <c r="AI252" s="174">
        <f t="shared" si="654"/>
        <v>0.25</v>
      </c>
      <c r="AJ252" s="173">
        <f t="shared" si="655"/>
        <v>-0.25</v>
      </c>
      <c r="AK252" s="173">
        <f t="shared" si="656"/>
        <v>0.6</v>
      </c>
      <c r="AL252" s="174">
        <f t="shared" si="657"/>
        <v>0.25</v>
      </c>
      <c r="AM252" s="173">
        <f t="shared" si="658"/>
        <v>-0.01</v>
      </c>
      <c r="AN252" s="173">
        <f t="shared" si="659"/>
        <v>0.16</v>
      </c>
      <c r="AO252" s="174">
        <f t="shared" si="660"/>
        <v>0.01</v>
      </c>
      <c r="AP252" s="173">
        <f t="shared" si="661"/>
        <v>-0.01</v>
      </c>
      <c r="AQ252" s="173">
        <f t="shared" si="662"/>
        <v>0.16</v>
      </c>
      <c r="AR252" s="175">
        <f t="shared" si="663"/>
        <v>0.01</v>
      </c>
      <c r="AS252" s="521">
        <f t="shared" si="699"/>
        <v>0.5</v>
      </c>
      <c r="AT252" s="349">
        <f t="shared" si="697"/>
        <v>21</v>
      </c>
      <c r="AU252" s="159">
        <f t="shared" si="582"/>
        <v>4</v>
      </c>
      <c r="AV252" s="159">
        <f t="shared" si="583"/>
        <v>5</v>
      </c>
      <c r="AW252" s="159">
        <f t="shared" si="700"/>
        <v>1</v>
      </c>
      <c r="AX252" s="15">
        <f t="shared" si="698"/>
        <v>31</v>
      </c>
      <c r="AY252" s="607">
        <f>IF(E252="",0,MIN((1-(1-VLOOKUP(B252,MAIN!$AA$7:$AM$28,C252+1))*(1-VLOOKUP(B252,MAIN!$AA$33:$AM$54,C252+1))),1))</f>
        <v>3.0000000000000027E-2</v>
      </c>
      <c r="AZ252" s="337">
        <v>48888</v>
      </c>
      <c r="BA252" s="509">
        <v>9312</v>
      </c>
      <c r="BB252" s="509">
        <v>13968</v>
      </c>
      <c r="BC252" s="511">
        <v>36084</v>
      </c>
      <c r="BD252" s="153">
        <v>0.97</v>
      </c>
      <c r="BE252" s="474">
        <v>0.97</v>
      </c>
      <c r="BF252" s="474">
        <v>0.97</v>
      </c>
      <c r="BG252" s="515">
        <v>0.97</v>
      </c>
      <c r="BH252" s="262">
        <v>195552</v>
      </c>
      <c r="BI252" s="509">
        <v>37248</v>
      </c>
      <c r="BJ252" s="509">
        <v>55872</v>
      </c>
      <c r="BK252" s="511">
        <v>144336</v>
      </c>
      <c r="BL252" s="153">
        <v>0.97</v>
      </c>
      <c r="BM252" s="474">
        <v>0.97</v>
      </c>
      <c r="BN252" s="474">
        <v>0.97</v>
      </c>
      <c r="BO252" s="474">
        <v>0.97</v>
      </c>
      <c r="BP252" s="261">
        <f t="shared" si="666"/>
        <v>72168</v>
      </c>
      <c r="BQ252" s="578">
        <f t="shared" si="667"/>
        <v>108252</v>
      </c>
      <c r="BR252" s="259">
        <f t="shared" si="668"/>
        <v>288672</v>
      </c>
      <c r="BS252" s="578">
        <f t="shared" si="669"/>
        <v>433008</v>
      </c>
      <c r="BT252" s="216">
        <f t="shared" si="670"/>
        <v>19.630390143737166</v>
      </c>
      <c r="BU252" s="218">
        <f t="shared" si="585"/>
        <v>58.340188620634471</v>
      </c>
      <c r="BV252" s="216">
        <f t="shared" si="586"/>
        <v>58.340188620634471</v>
      </c>
      <c r="BW252" s="216">
        <f t="shared" si="587"/>
        <v>36.588978046973672</v>
      </c>
      <c r="BX252" s="216">
        <f t="shared" si="671"/>
        <v>36.588978046973672</v>
      </c>
      <c r="BY252" s="216">
        <f t="shared" si="588"/>
        <v>54.130276896700124</v>
      </c>
      <c r="BZ252" s="216">
        <f t="shared" si="589"/>
        <v>48.28317728012464</v>
      </c>
      <c r="CA252" s="264">
        <f t="shared" si="590"/>
        <v>58.340188620634471</v>
      </c>
      <c r="CB252" s="216">
        <f t="shared" si="591"/>
        <v>58.340188620634471</v>
      </c>
      <c r="CC252" s="216">
        <f t="shared" si="592"/>
        <v>36.588978046973672</v>
      </c>
      <c r="CD252" s="216">
        <f t="shared" si="672"/>
        <v>36.588978046973672</v>
      </c>
      <c r="CE252" s="216">
        <f t="shared" si="593"/>
        <v>54.130276896700124</v>
      </c>
      <c r="CF252" s="571">
        <f t="shared" si="594"/>
        <v>48.28317728012464</v>
      </c>
      <c r="CG252" s="573">
        <f t="shared" si="595"/>
        <v>0.1</v>
      </c>
      <c r="CH252" s="219">
        <f t="shared" si="596"/>
        <v>0.1</v>
      </c>
      <c r="CI252" s="219">
        <f t="shared" si="597"/>
        <v>0.11</v>
      </c>
      <c r="CJ252" s="219">
        <f t="shared" si="598"/>
        <v>0.10131964752909557</v>
      </c>
      <c r="CK252" s="219">
        <f t="shared" si="599"/>
        <v>0.10131964752909557</v>
      </c>
      <c r="CL252" s="219">
        <f t="shared" si="600"/>
        <v>0.11</v>
      </c>
      <c r="CM252" s="219">
        <f t="shared" si="601"/>
        <v>9.3097562358410116E-2</v>
      </c>
      <c r="CN252" s="569">
        <f t="shared" si="602"/>
        <v>9.3097562358410116E-2</v>
      </c>
      <c r="CO252" s="264">
        <f t="shared" si="685"/>
        <v>31.098905885417288</v>
      </c>
      <c r="CP252" s="216">
        <f t="shared" si="673"/>
        <v>31.098905885417288</v>
      </c>
      <c r="CQ252" s="216">
        <f t="shared" ca="1" si="703"/>
        <v>31.098905885417288</v>
      </c>
      <c r="CR252" s="216">
        <f t="shared" ca="1" si="704"/>
        <v>31.098905885417288</v>
      </c>
      <c r="CS252" s="1626">
        <f t="shared" ca="1" si="705"/>
        <v>31.098905885417285</v>
      </c>
      <c r="CT252" s="216">
        <f t="shared" si="674"/>
        <v>31.098905885417288</v>
      </c>
      <c r="CU252" s="575">
        <f t="shared" si="603"/>
        <v>0.15</v>
      </c>
      <c r="CV252" s="154">
        <f t="shared" si="604"/>
        <v>0.5</v>
      </c>
      <c r="CW252" s="216">
        <f>IF(OR($BQ252,$BS252),SpreadOptPowerMargin,0)*((1+Assumptions!$C$26)^($B252-YEAR(Assumptions!$C$17)))</f>
        <v>2.4710142691631019</v>
      </c>
      <c r="CX252" s="216">
        <f>IF(OR($BQ252,$BS252),SpreadOptPowerMargin,0)*((1+Assumptions!$C$26)^($B252-YEAR(Assumptions!$C$17)))</f>
        <v>2.4710142691631019</v>
      </c>
      <c r="CY252" s="216">
        <f>IF(OR($BQ252,$BS252),SpreadOptPowerMargin,0)*((1+Assumptions!$C$26)^($B252-YEAR(Assumptions!$C$17)))</f>
        <v>2.4710142691631019</v>
      </c>
      <c r="CZ252" s="216">
        <f>IF(OR($BQ252,$BS252),SpreadOptPowerMargin,0)*((1+Assumptions!$C$26)^($B252-YEAR(Assumptions!$C$17)))</f>
        <v>2.4710142691631019</v>
      </c>
      <c r="DA252" s="440">
        <f t="shared" si="605"/>
        <v>2.4710142691631014</v>
      </c>
      <c r="DB252" s="479">
        <f t="shared" si="606"/>
        <v>0.1</v>
      </c>
      <c r="DC252" s="479">
        <f t="shared" si="607"/>
        <v>0.1</v>
      </c>
      <c r="DD252" s="479">
        <f t="shared" si="608"/>
        <v>0.11</v>
      </c>
      <c r="DE252" s="479">
        <f t="shared" si="609"/>
        <v>0.11</v>
      </c>
      <c r="DF252" s="479">
        <f t="shared" si="610"/>
        <v>9.3097562358410116E-2</v>
      </c>
      <c r="DG252" s="574">
        <f t="shared" si="611"/>
        <v>9.3097562358410116E-2</v>
      </c>
      <c r="DH252" s="216">
        <f t="shared" si="612"/>
        <v>26.795167909583881</v>
      </c>
      <c r="DI252" s="216">
        <f t="shared" si="613"/>
        <v>26.795167909583881</v>
      </c>
      <c r="DJ252" s="216">
        <f t="shared" ca="1" si="706"/>
        <v>9.3707358385507984</v>
      </c>
      <c r="DK252" s="216">
        <f t="shared" ca="1" si="707"/>
        <v>9.3707358385507984</v>
      </c>
      <c r="DL252" s="216">
        <f t="shared" ca="1" si="708"/>
        <v>17.99403198011473</v>
      </c>
      <c r="DM252" s="216"/>
      <c r="DN252" s="216"/>
      <c r="DO252" s="216"/>
      <c r="DP252" s="216"/>
      <c r="DQ252" s="216"/>
      <c r="DR252" s="216"/>
      <c r="DS252" s="216"/>
      <c r="DT252" s="216"/>
      <c r="DU252" s="216"/>
      <c r="DV252" s="216"/>
      <c r="DW252" s="1371">
        <f t="shared" si="614"/>
        <v>9.3707358385507984</v>
      </c>
      <c r="DX252" s="216">
        <f t="shared" si="615"/>
        <v>9.3707358385507984</v>
      </c>
      <c r="DY252" s="440">
        <f t="shared" si="616"/>
        <v>18.738710070289013</v>
      </c>
      <c r="DZ252" s="180">
        <f t="shared" si="617"/>
        <v>1309962.1687637367</v>
      </c>
      <c r="EA252" s="180">
        <f t="shared" si="618"/>
        <v>249516.60357404509</v>
      </c>
      <c r="EB252" s="180">
        <f t="shared" ca="1" si="709"/>
        <v>130890.43819287755</v>
      </c>
      <c r="EC252" s="180">
        <f t="shared" ca="1" si="710"/>
        <v>338133.63199826702</v>
      </c>
      <c r="ED252" s="180">
        <f t="shared" ca="1" si="711"/>
        <v>1947889.9499113797</v>
      </c>
      <c r="EE252" s="581">
        <f t="shared" si="619"/>
        <v>1210968.884768452</v>
      </c>
      <c r="EF252" s="554">
        <f t="shared" si="620"/>
        <v>230660.73995589564</v>
      </c>
      <c r="EG252" s="554">
        <f t="shared" ca="1" si="712"/>
        <v>42170.200640949399</v>
      </c>
      <c r="EH252" s="554">
        <f t="shared" ca="1" si="713"/>
        <v>108939.68498911928</v>
      </c>
      <c r="EI252" s="561">
        <f t="shared" ca="1" si="621"/>
        <v>1592739.5103544164</v>
      </c>
      <c r="EJ252" s="581">
        <f t="shared" si="675"/>
        <v>98993.283995284699</v>
      </c>
      <c r="EK252" s="554">
        <f t="shared" si="676"/>
        <v>18855.863618149451</v>
      </c>
      <c r="EL252" s="554">
        <f t="shared" ca="1" si="714"/>
        <v>88720.237551928149</v>
      </c>
      <c r="EM252" s="554">
        <f t="shared" ca="1" si="715"/>
        <v>229193.94700914773</v>
      </c>
      <c r="EN252" s="561">
        <f t="shared" ca="1" si="716"/>
        <v>355150.43955696328</v>
      </c>
      <c r="EO252" s="180">
        <f t="shared" si="622"/>
        <v>5239848.6750549469</v>
      </c>
      <c r="EP252" s="180">
        <f t="shared" si="623"/>
        <v>998066.41429618036</v>
      </c>
      <c r="EQ252" s="180">
        <f t="shared" si="624"/>
        <v>523561.75277151022</v>
      </c>
      <c r="ER252" s="180">
        <f t="shared" si="625"/>
        <v>1352534.5279930681</v>
      </c>
      <c r="ES252" s="180">
        <f t="shared" si="626"/>
        <v>8114011.3701157048</v>
      </c>
      <c r="ET252" s="1482">
        <f t="shared" ca="1" si="717"/>
        <v>4843875.5390738081</v>
      </c>
      <c r="EU252" s="180">
        <f t="shared" ca="1" si="718"/>
        <v>922642.95982358255</v>
      </c>
      <c r="EV252" s="180">
        <f t="shared" ca="1" si="719"/>
        <v>168680.8025637976</v>
      </c>
      <c r="EW252" s="180">
        <f t="shared" ca="1" si="720"/>
        <v>435758.73995647713</v>
      </c>
      <c r="EX252" s="555">
        <f t="shared" ca="1" si="693"/>
        <v>6370958.0414176648</v>
      </c>
      <c r="EY252" s="180">
        <f t="shared" ca="1" si="721"/>
        <v>395973.1359811388</v>
      </c>
      <c r="EZ252" s="180">
        <f t="shared" ca="1" si="722"/>
        <v>75423.454472597805</v>
      </c>
      <c r="FA252" s="180">
        <f t="shared" ca="1" si="723"/>
        <v>354880.95020771259</v>
      </c>
      <c r="FB252" s="180">
        <f t="shared" ca="1" si="724"/>
        <v>916775.78803659091</v>
      </c>
      <c r="FC252" s="180">
        <f t="shared" ca="1" si="725"/>
        <v>1743053.32869804</v>
      </c>
      <c r="FD252" s="262">
        <f>IF(AX252,IF(VLOOKUP(C252,MAIN!$L$17:$M$28,2)="Yes",VLOOKUP(CALC!B252,MAIN!$H$17:$I$20,2),0),0)</f>
        <v>0</v>
      </c>
      <c r="FE252" s="623">
        <f t="shared" si="627"/>
        <v>0</v>
      </c>
      <c r="FF252" s="535">
        <f t="shared" si="628"/>
        <v>0</v>
      </c>
      <c r="FG252" s="535">
        <f t="shared" si="629"/>
        <v>0</v>
      </c>
      <c r="FH252" s="624">
        <f t="shared" si="630"/>
        <v>0</v>
      </c>
      <c r="FI252" s="632">
        <f>IF(AX252,VLOOKUP(CALC!B252,MAIN!$H$17:$K$20,4),0)</f>
        <v>0</v>
      </c>
      <c r="FJ252" s="535">
        <f t="shared" si="631"/>
        <v>0</v>
      </c>
      <c r="FK252" s="648">
        <f t="shared" si="677"/>
        <v>0</v>
      </c>
      <c r="FL252" s="530">
        <f t="shared" ca="1" si="726"/>
        <v>0</v>
      </c>
      <c r="FM252" s="530">
        <f t="shared" ca="1" si="727"/>
        <v>0</v>
      </c>
      <c r="FN252" s="530">
        <f t="shared" ca="1" si="728"/>
        <v>0</v>
      </c>
      <c r="FO252" s="622">
        <f t="shared" ca="1" si="729"/>
        <v>0</v>
      </c>
      <c r="FP252" s="530">
        <f t="shared" ca="1" si="730"/>
        <v>0</v>
      </c>
      <c r="FQ252" s="530">
        <f t="shared" ca="1" si="731"/>
        <v>0</v>
      </c>
      <c r="FR252" s="530">
        <f t="shared" ca="1" si="732"/>
        <v>0</v>
      </c>
      <c r="FS252" s="625">
        <f t="shared" ca="1" si="733"/>
        <v>0</v>
      </c>
      <c r="FT252" s="640">
        <f ca="1">IF(AND(Assumptions!$H$71="Yes",A252&gt;=Assumptions!$H$72,A252&lt;=Assumptions!$H$73),0,IF(AND($A252&gt;=Assumptions!$C$17,$A252&lt;=Assumptions!$C$18),MAX(AZ252*(1+VLOOKUP($C252,WeatherCapacityAdjustment,2))-FL252,0),0))</f>
        <v>48888</v>
      </c>
      <c r="FU252" s="530">
        <f ca="1">IF(AND(Assumptions!$H$71="Yes",A252&gt;=Assumptions!$H$72,A252&lt;=Assumptions!$H$73),0,IF(AND($A252&gt;=Assumptions!$C$17,$A252&lt;=Assumptions!$C$18),MAX(BA252*(1+VLOOKUP($C252,WeatherCapacityAdjustment,2))-FM252,0),0))</f>
        <v>9312</v>
      </c>
      <c r="FV252" s="530">
        <f ca="1">IF(AND(Assumptions!$H$71="Yes",A252&gt;=Assumptions!$H$72,A252&lt;=Assumptions!$H$73),0,IF(AND($A252&gt;=Assumptions!$C$17,$A252&lt;=Assumptions!$C$18),MAX(BB252*(1+VLOOKUP($C252,WeatherCapacityAdjustment,2))-FN252,0),0))</f>
        <v>13968</v>
      </c>
      <c r="FW252" s="622">
        <f ca="1">IF(AND(Assumptions!$H$71="Yes",A252&gt;=Assumptions!$H$72,A252&lt;=Assumptions!$H$73),0,IF(AND($A252&gt;=Assumptions!$C$17,$A252&lt;=Assumptions!$C$18),MAX(BC252*(1+VLOOKUP($C252,WeatherCapacityAdjustment,3))-FO252,0),0))</f>
        <v>36084</v>
      </c>
      <c r="FX252" s="621">
        <f ca="1">IF(AND(Assumptions!$H$71="Yes",A252&gt;=Assumptions!$H$72,A252&lt;=Assumptions!$H$73),0,IF(ET252&gt;0,MAX(BH252*(1+VLOOKUP($C252,WeatherCapacityAdjustment,2))-FP252,0),0))</f>
        <v>195552</v>
      </c>
      <c r="FY252" s="530">
        <f ca="1">IF(AND(Assumptions!$H$71="Yes",A252&gt;=Assumptions!$H$72,A252&lt;=Assumptions!$H$73),0,IF(EU252&gt;0,MAX(BI252*(1+VLOOKUP($C252,WeatherCapacityAdjustment,3))-FQ252,0),0))</f>
        <v>37248</v>
      </c>
      <c r="FZ252" s="530">
        <f ca="1">IF(AND(Assumptions!$H$71="Yes",A252&gt;=Assumptions!$H$72,A252&lt;=Assumptions!$H$73),0,IF(EV252&gt;0,MAX(BJ252*(1+VLOOKUP($C252,WeatherCapacityAdjustment,2))-FR252,0),0))</f>
        <v>55872</v>
      </c>
      <c r="GA252" s="622">
        <f ca="1">IF(AND(Assumptions!$H$71="Yes",A252&gt;=Assumptions!$H$72,A252&lt;=Assumptions!$H$73),0,IF(EW252&gt;0,MAX(BK252*(1+VLOOKUP($C252,WeatherCapacityAdjustment,2))-FS252,0),0))</f>
        <v>144336</v>
      </c>
      <c r="GB252" s="530">
        <f t="shared" ca="1" si="632"/>
        <v>541260</v>
      </c>
      <c r="GC252" s="545">
        <f t="shared" ca="1" si="633"/>
        <v>48.28317728012464</v>
      </c>
      <c r="GD252" s="530">
        <f t="shared" ca="1" si="734"/>
        <v>26133752.534640264</v>
      </c>
      <c r="GE252" s="1485">
        <f t="shared" ca="1" si="735"/>
        <v>775268.3483999999</v>
      </c>
      <c r="GF252" s="1776">
        <f t="shared" ca="1" si="736"/>
        <v>3101073.3935999996</v>
      </c>
      <c r="GG252" s="545">
        <f t="shared" si="701"/>
        <v>4.3423915949309926</v>
      </c>
      <c r="GH252" s="622">
        <f t="shared" ca="1" si="702"/>
        <v>16832593.799540959</v>
      </c>
      <c r="GI252" s="621">
        <f t="shared" ca="1" si="678"/>
        <v>541260</v>
      </c>
      <c r="GJ252" s="638">
        <f t="shared" si="634"/>
        <v>2.4710142691631014</v>
      </c>
      <c r="GK252" s="625">
        <f t="shared" ca="1" si="684"/>
        <v>1337461.1833272204</v>
      </c>
      <c r="GL252" s="640">
        <f t="shared" ca="1" si="737"/>
        <v>0</v>
      </c>
      <c r="GM252" s="530">
        <f t="shared" ca="1" si="738"/>
        <v>0</v>
      </c>
      <c r="GN252" s="530">
        <f t="shared" ca="1" si="739"/>
        <v>0</v>
      </c>
      <c r="GO252" s="622">
        <f t="shared" ca="1" si="740"/>
        <v>0</v>
      </c>
      <c r="GP252" s="530">
        <f t="shared" ca="1" si="635"/>
        <v>0</v>
      </c>
      <c r="GQ252" s="545">
        <f t="shared" ca="1" si="636"/>
        <v>0</v>
      </c>
      <c r="GR252" s="625">
        <f t="shared" ca="1" si="741"/>
        <v>0</v>
      </c>
      <c r="GS252" s="640">
        <f>IF($A252&gt;=BegDate,Assumptions!$C$56*24*($A253-$A252)*(1-VLOOKUP($B252,MAIN!$AA$7:$AM$28,$C252+1))*(1-VLOOKUP($B252,MAIN!$AA$33:$AM$54,$C252+1)),0)*80/168</f>
        <v>257742.85714285713</v>
      </c>
      <c r="GT252" s="1715">
        <f t="shared" si="679"/>
        <v>58.340188620634471</v>
      </c>
      <c r="GU252" s="1715">
        <f>IF($A252&gt;=BegDate,VLOOKUP($A252,GasTable,13)+Assumptions!$C$58,0)</f>
        <v>4.3423915949309926</v>
      </c>
      <c r="GV252" s="1715">
        <f>GU252*Assumptions!$C$57/1000</f>
        <v>31.482339063249697</v>
      </c>
      <c r="GW252" s="625">
        <f>IF(Assumptions!$C$60="Hourly",MAX(0,GS252*(GT252-GV252)),GS252*(GT252-GV252))</f>
        <v>6922418.881633373</v>
      </c>
      <c r="GX252" s="640">
        <f>IF($A252&gt;=BegDate,Assumptions!$C$56*24*($A253-$A252)*(1-VLOOKUP($B252,MAIN!$AA$7:$AM$28,$C252+1))*(1-VLOOKUP($B252,MAIN!$AA$33:$AM$54,$C252+1)),0)*16/168</f>
        <v>51548.571428571428</v>
      </c>
      <c r="GY252" s="1715">
        <f t="shared" si="680"/>
        <v>58.340188620634471</v>
      </c>
      <c r="GZ252" s="1715">
        <f>IF($A252&gt;=BegDate,VLOOKUP($A252,GasTable,13)+Assumptions!$C$58,0)</f>
        <v>4.3423915949309926</v>
      </c>
      <c r="HA252" s="1715">
        <f>GZ252*Assumptions!$C$57/1000</f>
        <v>31.482339063249697</v>
      </c>
      <c r="HB252" s="625">
        <f>IF(Assumptions!$C$60="Hourly",MAX(0,GX252*(GY252-HA252)),GX252*(GY252-HA252))</f>
        <v>1384483.7763266745</v>
      </c>
      <c r="HC252" s="640">
        <f>IF($A252&gt;=BegDate,Assumptions!$C$56*24*($A253-$A252)*(1-VLOOKUP($B252,MAIN!$AA$7:$AM$28,$C252+1))*(1-VLOOKUP($B252,MAIN!$AA$33:$AM$54,$C252+1)),0)*16/168</f>
        <v>51548.571428571428</v>
      </c>
      <c r="HD252" s="1715">
        <f t="shared" si="681"/>
        <v>36.588978046973672</v>
      </c>
      <c r="HE252" s="1715">
        <f>IF($A252&gt;=BegDate,VLOOKUP($A252,GasTable,13)+Assumptions!$C$58,0)</f>
        <v>4.3423915949309926</v>
      </c>
      <c r="HF252" s="1715">
        <f>HE252*Assumptions!$C$57/1000</f>
        <v>31.482339063249697</v>
      </c>
      <c r="HG252" s="625">
        <f>IF(Assumptions!$C$60="Hourly",MAX(0,HC252*(HD252-HF252)),HC252*(HD252-HF252))</f>
        <v>263239.94441242277</v>
      </c>
      <c r="HH252" s="640">
        <f>IF($A252&gt;=BegDate,Assumptions!$C$56*24*($A253-$A252)*(1-VLOOKUP($B252,MAIN!$AA$7:$AM$28,$C252+1))*(1-VLOOKUP($B252,MAIN!$AA$33:$AM$54,$C252+1)),0)*56/168</f>
        <v>180420</v>
      </c>
      <c r="HI252" s="1715">
        <f t="shared" si="682"/>
        <v>36.588978046973672</v>
      </c>
      <c r="HJ252" s="1715">
        <f>IF($A252&gt;=BegDate,VLOOKUP($A252,GasTable,13)+Assumptions!$C$58,0)</f>
        <v>4.3423915949309926</v>
      </c>
      <c r="HK252" s="1715">
        <f>HJ252*Assumptions!$C$57/1000</f>
        <v>31.482339063249697</v>
      </c>
      <c r="HL252" s="625">
        <f>IF(Assumptions!$C$60="Hourly",MAX(0,HH252*(HI252-HK252)),HH252*(HI252-HK252))</f>
        <v>921339.80544347968</v>
      </c>
      <c r="HM252" s="640">
        <f>IF(AND(Assumptions!$H$71="Yes",A252&gt;=Assumptions!$H$72,A252&lt;=Assumptions!$H$73),Assumptions!$H$74*Assumptions!$C$9*1000,0)</f>
        <v>0</v>
      </c>
      <c r="HN252" s="530"/>
      <c r="HO252" s="545"/>
      <c r="HP252" s="545"/>
      <c r="HQ252" s="545"/>
      <c r="HR252" s="545"/>
      <c r="HS252" s="545"/>
      <c r="HT252" s="545"/>
      <c r="HU252" s="545"/>
      <c r="HV252" s="545"/>
      <c r="HW252" s="545"/>
      <c r="HX252" s="545"/>
      <c r="HY252" s="545"/>
      <c r="HZ252" s="545"/>
      <c r="IA252" s="545"/>
      <c r="IB252" s="545"/>
      <c r="IC252" s="545"/>
      <c r="ID252" s="545"/>
      <c r="IE252" s="545"/>
      <c r="IF252" s="545"/>
      <c r="IG252" s="545"/>
      <c r="IH252" s="545"/>
      <c r="II252" s="1464"/>
      <c r="IJ252" s="1463"/>
      <c r="IK252" s="1463"/>
    </row>
    <row r="253" spans="1:245">
      <c r="A253" s="177">
        <f t="shared" si="637"/>
        <v>43831</v>
      </c>
      <c r="B253" s="349">
        <f t="shared" si="638"/>
        <v>2020</v>
      </c>
      <c r="C253" s="15">
        <f t="shared" si="694"/>
        <v>1</v>
      </c>
      <c r="D253" s="612">
        <f t="shared" si="639"/>
        <v>43831</v>
      </c>
      <c r="E253" s="609">
        <f t="shared" si="695"/>
        <v>43831</v>
      </c>
      <c r="F253" s="614">
        <f t="shared" si="696"/>
        <v>43861</v>
      </c>
      <c r="G253" s="1349">
        <v>0</v>
      </c>
      <c r="H253" s="152">
        <f t="shared" si="683"/>
        <v>1</v>
      </c>
      <c r="I253" s="154">
        <f>IF(Assumptions!$L$25=4,VLOOKUP($A253,'Henwood Reference'!$E$9:$R$320,10),(VLOOKUP($A253,PriceTable,2,0)+IF(BasisNumber&lt;&gt;1,VLOOKUP($A253,BasisTable,2,0),0)+I$1)/(1-I$2))</f>
        <v>61.428916755005567</v>
      </c>
      <c r="J253" s="154">
        <f>IF(Assumptions!$L$25=4,VLOOKUP($A253,'Henwood Reference'!$E$9:$R$320,10),(VLOOKUP($A253,PriceTable,3,0)+IF(BasisNumber&lt;&gt;1,VLOOKUP($A253,BasisTable,2,0),0)+J$1)/(1-J$2))</f>
        <v>61.428916755005567</v>
      </c>
      <c r="K253" s="154">
        <f>IF(Assumptions!$L$25=4,VLOOKUP($A253,'Henwood Reference'!$E$9:$R$320,10),(VLOOKUP($A253,PriceTable,4,0)+IF(BasisNumber&lt;&gt;1,VLOOKUP($A253,BasisTable,2,0),0)+K$1)/(1-K$2))</f>
        <v>61.428916755005567</v>
      </c>
      <c r="L253" s="474">
        <f>IF(Assumptions!$L$25=4,VLOOKUP($A253,'Henwood Reference'!$E$9:$R$320,10),(VLOOKUP($A253,PriceTableWeekend,2,0)+IF(BasisNumber&lt;&gt;1,VLOOKUP($A253,BasisTable,2,0),0)+L$1)/(1-L$2))</f>
        <v>61.428916755005567</v>
      </c>
      <c r="M253" s="154">
        <f>IF(Assumptions!$L$25=4,VLOOKUP($A253,'Henwood Reference'!$E$9:$R$320,10),(VLOOKUP($A253,PriceTableWeekend,3,0)+IF(BasisNumber&lt;&gt;1,VLOOKUP($A253,BasisTable,2,0),0)+M$1)/(1-M$2))</f>
        <v>61.428916755005567</v>
      </c>
      <c r="N253" s="156">
        <f>IF(Assumptions!$L$25=4,VLOOKUP($A253,'Henwood Reference'!$E$9:$R$320,10),(VLOOKUP($A253,PriceTableWeekend,4,0)+IF(BasisNumber&lt;&gt;1,VLOOKUP($A253,BasisTable,2,0),0)+N$1)/(1-N$2))</f>
        <v>61.428916755005567</v>
      </c>
      <c r="O253" s="154">
        <f>IF(Assumptions!$L$25=4,VLOOKUP($A253,'Henwood Reference'!$E$9:$R$320,11),(VLOOKUP($A253,PriceTableWeekend,6,0)+IF(BasisNumber&lt;&gt;1,VLOOKUP($A253,BasisTable,3,0),0)+O$1)/(1-O$2))</f>
        <v>34.622128542076865</v>
      </c>
      <c r="P253" s="154">
        <f>IF(Assumptions!$L$25=4,VLOOKUP($A253,'Henwood Reference'!$E$9:$R$320,11),(VLOOKUP($A253,PriceTableWeekend,7,0)+IF(BasisNumber&lt;&gt;1,VLOOKUP($A253,BasisTable,3,0),0)+P$1)/(1-P$2))</f>
        <v>34.622128542076865</v>
      </c>
      <c r="Q253" s="156">
        <f>IF(Assumptions!$L$25=4,VLOOKUP($A253,'Henwood Reference'!$E$9:$R$320,11),(VLOOKUP($A253,PriceTableWeekend,8,0)+IF(BasisNumber&lt;&gt;1,VLOOKUP($A253,BasisTable,3,0),0)+Q$1)/(1-Q$2))</f>
        <v>34.622128542076865</v>
      </c>
      <c r="R253" s="154">
        <f>IF(Assumptions!$L$25=4,VLOOKUP($A253,'Henwood Reference'!$E$9:$R$320,11),(VLOOKUP($A253,PriceTable,6,0)+IF(BasisNumber&lt;&gt;1,VLOOKUP($A253,BasisTable,3,0),0)+R$1)/(1-R$2))</f>
        <v>34.622128542076865</v>
      </c>
      <c r="S253" s="154">
        <f>IF(Assumptions!$L$25=4,VLOOKUP($A253,'Henwood Reference'!$E$9:$R$320,11),(VLOOKUP($A253,PriceTable,7,0)+IF(BasisNumber&lt;&gt;1,VLOOKUP($A253,BasisTable,3,0),0)+S$1)/(1-S$2))</f>
        <v>34.622128542076865</v>
      </c>
      <c r="T253" s="155">
        <f>IF(Assumptions!$L$25=4,VLOOKUP($A253,'Henwood Reference'!$E$9:$R$320,11),(VLOOKUP($A253,PriceTable,8,0)+IF(BasisNumber&lt;&gt;1,VLOOKUP($A253,BasisTable,3,0),0)+T$1)/(1-T$2))</f>
        <v>34.622128542076865</v>
      </c>
      <c r="U253" s="173">
        <f t="shared" si="640"/>
        <v>0.09</v>
      </c>
      <c r="V253" s="173">
        <f t="shared" si="641"/>
        <v>0.1</v>
      </c>
      <c r="W253" s="174">
        <f t="shared" si="642"/>
        <v>0.11</v>
      </c>
      <c r="X253" s="173">
        <f t="shared" si="643"/>
        <v>0.09</v>
      </c>
      <c r="Y253" s="173">
        <f t="shared" si="644"/>
        <v>0.1</v>
      </c>
      <c r="Z253" s="174">
        <f t="shared" si="645"/>
        <v>0.11</v>
      </c>
      <c r="AA253" s="173">
        <f t="shared" si="646"/>
        <v>0.09</v>
      </c>
      <c r="AB253" s="173">
        <f t="shared" si="647"/>
        <v>0.11</v>
      </c>
      <c r="AC253" s="174">
        <f t="shared" si="648"/>
        <v>0.13</v>
      </c>
      <c r="AD253" s="173">
        <f t="shared" si="649"/>
        <v>0.09</v>
      </c>
      <c r="AE253" s="173">
        <f t="shared" si="650"/>
        <v>0.11</v>
      </c>
      <c r="AF253" s="174">
        <f t="shared" si="651"/>
        <v>0.13</v>
      </c>
      <c r="AG253" s="173">
        <f t="shared" si="652"/>
        <v>-0.25</v>
      </c>
      <c r="AH253" s="173">
        <f t="shared" si="653"/>
        <v>0.6</v>
      </c>
      <c r="AI253" s="174">
        <f t="shared" si="654"/>
        <v>0.25</v>
      </c>
      <c r="AJ253" s="173">
        <f t="shared" si="655"/>
        <v>-0.25</v>
      </c>
      <c r="AK253" s="173">
        <f t="shared" si="656"/>
        <v>0.6</v>
      </c>
      <c r="AL253" s="174">
        <f t="shared" si="657"/>
        <v>0.25</v>
      </c>
      <c r="AM253" s="173">
        <f t="shared" si="658"/>
        <v>-0.01</v>
      </c>
      <c r="AN253" s="173">
        <f t="shared" si="659"/>
        <v>0.16</v>
      </c>
      <c r="AO253" s="174">
        <f t="shared" si="660"/>
        <v>0.01</v>
      </c>
      <c r="AP253" s="173">
        <f t="shared" si="661"/>
        <v>-0.01</v>
      </c>
      <c r="AQ253" s="173">
        <f t="shared" si="662"/>
        <v>0.16</v>
      </c>
      <c r="AR253" s="175">
        <f t="shared" si="663"/>
        <v>0.01</v>
      </c>
      <c r="AS253" s="521">
        <f t="shared" si="699"/>
        <v>0.5</v>
      </c>
      <c r="AT253" s="349">
        <f t="shared" si="697"/>
        <v>22</v>
      </c>
      <c r="AU253" s="159">
        <f t="shared" si="582"/>
        <v>4</v>
      </c>
      <c r="AV253" s="159">
        <f t="shared" si="583"/>
        <v>4</v>
      </c>
      <c r="AW253" s="159">
        <f t="shared" si="700"/>
        <v>1</v>
      </c>
      <c r="AX253" s="15">
        <f t="shared" si="698"/>
        <v>31</v>
      </c>
      <c r="AY253" s="607">
        <f>IF(E253="",0,MIN((1-(1-VLOOKUP(B253,MAIN!$AA$7:$AM$28,C253+1))*(1-VLOOKUP(B253,MAIN!$AA$33:$AM$54,C253+1))),1))</f>
        <v>3.0000000000000027E-2</v>
      </c>
      <c r="AZ253" s="337">
        <v>51216</v>
      </c>
      <c r="BA253" s="509">
        <v>9312</v>
      </c>
      <c r="BB253" s="509">
        <v>11640</v>
      </c>
      <c r="BC253" s="511">
        <v>36084</v>
      </c>
      <c r="BD253" s="153">
        <v>0.96999999638646839</v>
      </c>
      <c r="BE253" s="474">
        <v>0.96999999638646839</v>
      </c>
      <c r="BF253" s="474">
        <v>0.96999999638646839</v>
      </c>
      <c r="BG253" s="515">
        <v>0.9699999927729368</v>
      </c>
      <c r="BH253" s="262">
        <v>204864</v>
      </c>
      <c r="BI253" s="509">
        <v>37248</v>
      </c>
      <c r="BJ253" s="509">
        <v>46560</v>
      </c>
      <c r="BK253" s="511">
        <v>144336</v>
      </c>
      <c r="BL253" s="153">
        <v>0.96999999638646839</v>
      </c>
      <c r="BM253" s="474">
        <v>0.96999999638646839</v>
      </c>
      <c r="BN253" s="474">
        <v>0.96999999638646839</v>
      </c>
      <c r="BO253" s="474">
        <v>0.9699999927729368</v>
      </c>
      <c r="BP253" s="261">
        <f t="shared" si="666"/>
        <v>72168</v>
      </c>
      <c r="BQ253" s="578">
        <f t="shared" si="667"/>
        <v>108252</v>
      </c>
      <c r="BR253" s="259">
        <f t="shared" si="668"/>
        <v>288672</v>
      </c>
      <c r="BS253" s="578">
        <f t="shared" si="669"/>
        <v>433008</v>
      </c>
      <c r="BT253" s="216">
        <f t="shared" si="670"/>
        <v>19.715263518138261</v>
      </c>
      <c r="BU253" s="218">
        <f t="shared" si="585"/>
        <v>61.428916526165018</v>
      </c>
      <c r="BV253" s="216">
        <f t="shared" si="586"/>
        <v>61.428916526165018</v>
      </c>
      <c r="BW253" s="216">
        <f t="shared" si="587"/>
        <v>34.622128413099382</v>
      </c>
      <c r="BX253" s="216">
        <f t="shared" si="671"/>
        <v>34.622128284121906</v>
      </c>
      <c r="BY253" s="216">
        <f t="shared" si="588"/>
        <v>57.105241024057655</v>
      </c>
      <c r="BZ253" s="216">
        <f t="shared" si="589"/>
        <v>49.610870110745736</v>
      </c>
      <c r="CA253" s="264">
        <f t="shared" si="590"/>
        <v>61.428916526165018</v>
      </c>
      <c r="CB253" s="216">
        <f t="shared" si="591"/>
        <v>61.428916526165018</v>
      </c>
      <c r="CC253" s="216">
        <f t="shared" si="592"/>
        <v>34.622128413099382</v>
      </c>
      <c r="CD253" s="216">
        <f t="shared" si="672"/>
        <v>34.622128284121906</v>
      </c>
      <c r="CE253" s="216">
        <f t="shared" si="593"/>
        <v>57.105241024057655</v>
      </c>
      <c r="CF253" s="571">
        <f t="shared" si="594"/>
        <v>49.610870110745736</v>
      </c>
      <c r="CG253" s="573">
        <f t="shared" si="595"/>
        <v>0.1</v>
      </c>
      <c r="CH253" s="219">
        <f t="shared" si="596"/>
        <v>0.1</v>
      </c>
      <c r="CI253" s="219">
        <f t="shared" si="597"/>
        <v>0.11</v>
      </c>
      <c r="CJ253" s="219">
        <f t="shared" si="598"/>
        <v>0.10098671532504667</v>
      </c>
      <c r="CK253" s="219">
        <f t="shared" si="599"/>
        <v>0.10098671532504667</v>
      </c>
      <c r="CL253" s="219">
        <f t="shared" si="600"/>
        <v>0.11</v>
      </c>
      <c r="CM253" s="219">
        <f t="shared" si="601"/>
        <v>9.3256571506432059E-2</v>
      </c>
      <c r="CN253" s="569">
        <f t="shared" si="602"/>
        <v>9.3256571506432059E-2</v>
      </c>
      <c r="CO253" s="264">
        <f t="shared" si="685"/>
        <v>30.532173636771038</v>
      </c>
      <c r="CP253" s="216">
        <f t="shared" si="673"/>
        <v>30.532173636771038</v>
      </c>
      <c r="CQ253" s="216">
        <f t="shared" ca="1" si="703"/>
        <v>30.532173636771038</v>
      </c>
      <c r="CR253" s="216">
        <f t="shared" ca="1" si="704"/>
        <v>30.532173636771038</v>
      </c>
      <c r="CS253" s="1626">
        <f t="shared" ca="1" si="705"/>
        <v>30.532173636771034</v>
      </c>
      <c r="CT253" s="216">
        <f t="shared" si="674"/>
        <v>30.532173636771038</v>
      </c>
      <c r="CU253" s="575">
        <f t="shared" si="603"/>
        <v>0.15</v>
      </c>
      <c r="CV253" s="154">
        <f t="shared" si="604"/>
        <v>0.5</v>
      </c>
      <c r="CW253" s="216">
        <f>IF(OR($BQ253,$BS253),SpreadOptPowerMargin,0)*((1+Assumptions!$C$26)^($B253-YEAR(Assumptions!$C$17)))</f>
        <v>2.5204345545463638</v>
      </c>
      <c r="CX253" s="216">
        <f>IF(OR($BQ253,$BS253),SpreadOptPowerMargin,0)*((1+Assumptions!$C$26)^($B253-YEAR(Assumptions!$C$17)))</f>
        <v>2.5204345545463638</v>
      </c>
      <c r="CY253" s="216">
        <f>IF(OR($BQ253,$BS253),SpreadOptPowerMargin,0)*((1+Assumptions!$C$26)^($B253-YEAR(Assumptions!$C$17)))</f>
        <v>2.5204345545463638</v>
      </c>
      <c r="CZ253" s="216">
        <f>IF(OR($BQ253,$BS253),SpreadOptPowerMargin,0)*((1+Assumptions!$C$26)^($B253-YEAR(Assumptions!$C$17)))</f>
        <v>2.5204345545463638</v>
      </c>
      <c r="DA253" s="440">
        <f t="shared" si="605"/>
        <v>2.5204345545463638</v>
      </c>
      <c r="DB253" s="479">
        <f t="shared" si="606"/>
        <v>0.1</v>
      </c>
      <c r="DC253" s="479">
        <f t="shared" si="607"/>
        <v>0.1</v>
      </c>
      <c r="DD253" s="479">
        <f t="shared" si="608"/>
        <v>0.11</v>
      </c>
      <c r="DE253" s="479">
        <f t="shared" si="609"/>
        <v>0.11</v>
      </c>
      <c r="DF253" s="479">
        <f t="shared" si="610"/>
        <v>9.3256571506432059E-2</v>
      </c>
      <c r="DG253" s="574">
        <f t="shared" si="611"/>
        <v>9.3256571506432059E-2</v>
      </c>
      <c r="DH253" s="216">
        <f t="shared" si="612"/>
        <v>30.013732231546498</v>
      </c>
      <c r="DI253" s="216">
        <f t="shared" si="613"/>
        <v>30.013732231546498</v>
      </c>
      <c r="DJ253" s="216">
        <f t="shared" ca="1" si="706"/>
        <v>8.3017903513428699</v>
      </c>
      <c r="DK253" s="216">
        <f t="shared" ca="1" si="707"/>
        <v>8.3017902679691513</v>
      </c>
      <c r="DL253" s="216">
        <f t="shared" ca="1" si="708"/>
        <v>19.456155869772417</v>
      </c>
      <c r="DM253" s="216"/>
      <c r="DN253" s="216"/>
      <c r="DO253" s="216"/>
      <c r="DP253" s="216"/>
      <c r="DQ253" s="216"/>
      <c r="DR253" s="216"/>
      <c r="DS253" s="216"/>
      <c r="DT253" s="216"/>
      <c r="DU253" s="216"/>
      <c r="DV253" s="216"/>
      <c r="DW253" s="1371">
        <f t="shared" si="614"/>
        <v>8.3017903513428699</v>
      </c>
      <c r="DX253" s="216">
        <f t="shared" si="615"/>
        <v>8.3017902679691513</v>
      </c>
      <c r="DY253" s="440">
        <f t="shared" si="616"/>
        <v>20.441800837213872</v>
      </c>
      <c r="DZ253" s="180">
        <f t="shared" si="617"/>
        <v>1537183.3099708855</v>
      </c>
      <c r="EA253" s="180">
        <f t="shared" si="618"/>
        <v>279487.87454016099</v>
      </c>
      <c r="EB253" s="180">
        <f t="shared" ca="1" si="709"/>
        <v>96632.839689631001</v>
      </c>
      <c r="EC253" s="180">
        <f t="shared" ca="1" si="710"/>
        <v>299561.80002939887</v>
      </c>
      <c r="ED253" s="180">
        <f t="shared" ca="1" si="711"/>
        <v>2106167.7852146034</v>
      </c>
      <c r="EE253" s="581">
        <f t="shared" si="619"/>
        <v>1453321.0076775553</v>
      </c>
      <c r="EF253" s="554">
        <f t="shared" si="620"/>
        <v>264240.18321410101</v>
      </c>
      <c r="EG253" s="554">
        <f t="shared" ca="1" si="712"/>
        <v>18269.215381542228</v>
      </c>
      <c r="EH253" s="554">
        <f t="shared" ca="1" si="713"/>
        <v>56634.563028757671</v>
      </c>
      <c r="EI253" s="561">
        <f t="shared" ca="1" si="621"/>
        <v>1792464.9693019567</v>
      </c>
      <c r="EJ253" s="581">
        <f t="shared" si="675"/>
        <v>83862.302293330198</v>
      </c>
      <c r="EK253" s="554">
        <f t="shared" si="676"/>
        <v>15247.691326059983</v>
      </c>
      <c r="EL253" s="554">
        <f t="shared" ca="1" si="714"/>
        <v>78363.624308088765</v>
      </c>
      <c r="EM253" s="554">
        <f t="shared" ca="1" si="715"/>
        <v>242927.23700064121</v>
      </c>
      <c r="EN253" s="561">
        <f t="shared" ca="1" si="716"/>
        <v>313702.81591264671</v>
      </c>
      <c r="EO253" s="180">
        <f t="shared" si="622"/>
        <v>6148733.2398835421</v>
      </c>
      <c r="EP253" s="180">
        <f t="shared" si="623"/>
        <v>1117951.498160644</v>
      </c>
      <c r="EQ253" s="180">
        <f t="shared" si="624"/>
        <v>386531.358758524</v>
      </c>
      <c r="ER253" s="180">
        <f t="shared" si="625"/>
        <v>1198247.2001175955</v>
      </c>
      <c r="ES253" s="180">
        <f t="shared" si="626"/>
        <v>8851463.2969203051</v>
      </c>
      <c r="ET253" s="1482">
        <f t="shared" ca="1" si="717"/>
        <v>5813284.0307102213</v>
      </c>
      <c r="EU253" s="180">
        <f t="shared" ca="1" si="718"/>
        <v>1056960.732856404</v>
      </c>
      <c r="EV253" s="180">
        <f t="shared" ca="1" si="719"/>
        <v>73076.861526168912</v>
      </c>
      <c r="EW253" s="180">
        <f t="shared" ca="1" si="720"/>
        <v>226538.25211503069</v>
      </c>
      <c r="EX253" s="555">
        <f t="shared" ca="1" si="693"/>
        <v>7169859.877207825</v>
      </c>
      <c r="EY253" s="180">
        <f t="shared" ca="1" si="721"/>
        <v>335449.20917332079</v>
      </c>
      <c r="EZ253" s="180">
        <f t="shared" ca="1" si="722"/>
        <v>60990.765304239932</v>
      </c>
      <c r="FA253" s="180">
        <f t="shared" ca="1" si="723"/>
        <v>313454.49723235506</v>
      </c>
      <c r="FB253" s="180">
        <f t="shared" ca="1" si="724"/>
        <v>971708.94800256484</v>
      </c>
      <c r="FC253" s="180">
        <f t="shared" ca="1" si="725"/>
        <v>1681603.4197124802</v>
      </c>
      <c r="FD253" s="262">
        <f>IF(AX253,IF(VLOOKUP(C253,MAIN!$L$17:$M$28,2)="Yes",VLOOKUP(CALC!B253,MAIN!$H$17:$I$20,2),0),0)</f>
        <v>0</v>
      </c>
      <c r="FE253" s="623">
        <f t="shared" si="627"/>
        <v>0</v>
      </c>
      <c r="FF253" s="535">
        <f t="shared" si="628"/>
        <v>0</v>
      </c>
      <c r="FG253" s="535">
        <f t="shared" si="629"/>
        <v>0</v>
      </c>
      <c r="FH253" s="624">
        <f t="shared" si="630"/>
        <v>0</v>
      </c>
      <c r="FI253" s="632">
        <f>IF(AX253,VLOOKUP(CALC!B253,MAIN!$H$17:$K$20,4),0)</f>
        <v>0</v>
      </c>
      <c r="FJ253" s="535">
        <f t="shared" si="631"/>
        <v>0</v>
      </c>
      <c r="FK253" s="648">
        <f t="shared" si="677"/>
        <v>0</v>
      </c>
      <c r="FL253" s="530">
        <f t="shared" ca="1" si="726"/>
        <v>0</v>
      </c>
      <c r="FM253" s="530">
        <f t="shared" ca="1" si="727"/>
        <v>0</v>
      </c>
      <c r="FN253" s="530">
        <f t="shared" ca="1" si="728"/>
        <v>0</v>
      </c>
      <c r="FO253" s="622">
        <f t="shared" ca="1" si="729"/>
        <v>0</v>
      </c>
      <c r="FP253" s="530">
        <f t="shared" ca="1" si="730"/>
        <v>0</v>
      </c>
      <c r="FQ253" s="530">
        <f t="shared" ca="1" si="731"/>
        <v>0</v>
      </c>
      <c r="FR253" s="530">
        <f t="shared" ca="1" si="732"/>
        <v>0</v>
      </c>
      <c r="FS253" s="625">
        <f t="shared" ca="1" si="733"/>
        <v>0</v>
      </c>
      <c r="FT253" s="640">
        <f ca="1">IF(AND(Assumptions!$H$71="Yes",A253&gt;=Assumptions!$H$72,A253&lt;=Assumptions!$H$73),0,IF(AND($A253&gt;=Assumptions!$C$17,$A253&lt;=Assumptions!$C$18),MAX(AZ253*(1+VLOOKUP($C253,WeatherCapacityAdjustment,2))-FL253,0),0))</f>
        <v>51216</v>
      </c>
      <c r="FU253" s="530">
        <f ca="1">IF(AND(Assumptions!$H$71="Yes",A253&gt;=Assumptions!$H$72,A253&lt;=Assumptions!$H$73),0,IF(AND($A253&gt;=Assumptions!$C$17,$A253&lt;=Assumptions!$C$18),MAX(BA253*(1+VLOOKUP($C253,WeatherCapacityAdjustment,2))-FM253,0),0))</f>
        <v>9312</v>
      </c>
      <c r="FV253" s="530">
        <f ca="1">IF(AND(Assumptions!$H$71="Yes",A253&gt;=Assumptions!$H$72,A253&lt;=Assumptions!$H$73),0,IF(AND($A253&gt;=Assumptions!$C$17,$A253&lt;=Assumptions!$C$18),MAX(BB253*(1+VLOOKUP($C253,WeatherCapacityAdjustment,2))-FN253,0),0))</f>
        <v>11640</v>
      </c>
      <c r="FW253" s="622">
        <f ca="1">IF(AND(Assumptions!$H$71="Yes",A253&gt;=Assumptions!$H$72,A253&lt;=Assumptions!$H$73),0,IF(AND($A253&gt;=Assumptions!$C$17,$A253&lt;=Assumptions!$C$18),MAX(BC253*(1+VLOOKUP($C253,WeatherCapacityAdjustment,3))-FO253,0),0))</f>
        <v>36084</v>
      </c>
      <c r="FX253" s="621">
        <f ca="1">IF(AND(Assumptions!$H$71="Yes",A253&gt;=Assumptions!$H$72,A253&lt;=Assumptions!$H$73),0,IF(ET253&gt;0,MAX(BH253*(1+VLOOKUP($C253,WeatherCapacityAdjustment,2))-FP253,0),0))</f>
        <v>204864</v>
      </c>
      <c r="FY253" s="530">
        <f ca="1">IF(AND(Assumptions!$H$71="Yes",A253&gt;=Assumptions!$H$72,A253&lt;=Assumptions!$H$73),0,IF(EU253&gt;0,MAX(BI253*(1+VLOOKUP($C253,WeatherCapacityAdjustment,3))-FQ253,0),0))</f>
        <v>37248</v>
      </c>
      <c r="FZ253" s="530">
        <f ca="1">IF(AND(Assumptions!$H$71="Yes",A253&gt;=Assumptions!$H$72,A253&lt;=Assumptions!$H$73),0,IF(EV253&gt;0,MAX(BJ253*(1+VLOOKUP($C253,WeatherCapacityAdjustment,2))-FR253,0),0))</f>
        <v>46560</v>
      </c>
      <c r="GA253" s="622">
        <f ca="1">IF(AND(Assumptions!$H$71="Yes",A253&gt;=Assumptions!$H$72,A253&lt;=Assumptions!$H$73),0,IF(EW253&gt;0,MAX(BK253*(1+VLOOKUP($C253,WeatherCapacityAdjustment,2))-FS253,0),0))</f>
        <v>144336</v>
      </c>
      <c r="GB253" s="530">
        <f t="shared" ca="1" si="632"/>
        <v>541260</v>
      </c>
      <c r="GC253" s="545">
        <f t="shared" ca="1" si="633"/>
        <v>49.610870110745736</v>
      </c>
      <c r="GD253" s="530">
        <f t="shared" ca="1" si="734"/>
        <v>26852379.556142237</v>
      </c>
      <c r="GE253" s="1485">
        <f t="shared" ca="1" si="735"/>
        <v>775586.60927999998</v>
      </c>
      <c r="GF253" s="1776">
        <f t="shared" ca="1" si="736"/>
        <v>3102346.4371199999</v>
      </c>
      <c r="GG253" s="545">
        <f t="shared" si="701"/>
        <v>4.2615084130913816</v>
      </c>
      <c r="GH253" s="622">
        <f t="shared" ca="1" si="702"/>
        <v>16525844.302638691</v>
      </c>
      <c r="GI253" s="621">
        <f t="shared" ca="1" si="678"/>
        <v>541260</v>
      </c>
      <c r="GJ253" s="638">
        <f t="shared" si="634"/>
        <v>2.5204345545463638</v>
      </c>
      <c r="GK253" s="625">
        <f t="shared" ca="1" si="684"/>
        <v>1364210.4069937649</v>
      </c>
      <c r="GL253" s="640">
        <f t="shared" ca="1" si="737"/>
        <v>0</v>
      </c>
      <c r="GM253" s="530">
        <f t="shared" ca="1" si="738"/>
        <v>0</v>
      </c>
      <c r="GN253" s="530">
        <f t="shared" ca="1" si="739"/>
        <v>0</v>
      </c>
      <c r="GO253" s="622">
        <f t="shared" ca="1" si="740"/>
        <v>0</v>
      </c>
      <c r="GP253" s="530">
        <f t="shared" ca="1" si="635"/>
        <v>0</v>
      </c>
      <c r="GQ253" s="545">
        <f t="shared" ca="1" si="636"/>
        <v>0</v>
      </c>
      <c r="GR253" s="625">
        <f t="shared" ca="1" si="741"/>
        <v>0</v>
      </c>
      <c r="GS253" s="640">
        <f>IF($A253&gt;=BegDate,Assumptions!$C$56*24*($A254-$A253)*(1-VLOOKUP($B253,MAIN!$AA$7:$AM$28,$C253+1))*(1-VLOOKUP($B253,MAIN!$AA$33:$AM$54,$C253+1)),0)*80/168</f>
        <v>257742.85714285713</v>
      </c>
      <c r="GT253" s="1715">
        <f t="shared" si="679"/>
        <v>61.428916755005567</v>
      </c>
      <c r="GU253" s="1715">
        <f>IF($A253&gt;=BegDate,VLOOKUP($A253,GasTable,13)+Assumptions!$C$58,0)</f>
        <v>4.2615084130913816</v>
      </c>
      <c r="GV253" s="1715">
        <f>GU253*Assumptions!$C$57/1000</f>
        <v>30.895935994912517</v>
      </c>
      <c r="GW253" s="625">
        <f>IF(Assumptions!$C$60="Hourly",MAX(0,GS253*(GT253-GV253)),GS253*(GT253-GV253))</f>
        <v>7869657.6981942682</v>
      </c>
      <c r="GX253" s="640">
        <f>IF($A253&gt;=BegDate,Assumptions!$C$56*24*($A254-$A253)*(1-VLOOKUP($B253,MAIN!$AA$7:$AM$28,$C253+1))*(1-VLOOKUP($B253,MAIN!$AA$33:$AM$54,$C253+1)),0)*16/168</f>
        <v>51548.571428571428</v>
      </c>
      <c r="GY253" s="1715">
        <f t="shared" si="680"/>
        <v>61.428916755005567</v>
      </c>
      <c r="GZ253" s="1715">
        <f>IF($A253&gt;=BegDate,VLOOKUP($A253,GasTable,13)+Assumptions!$C$58,0)</f>
        <v>4.2615084130913816</v>
      </c>
      <c r="HA253" s="1715">
        <f>GZ253*Assumptions!$C$57/1000</f>
        <v>30.895935994912517</v>
      </c>
      <c r="HB253" s="625">
        <f>IF(Assumptions!$C$60="Hourly",MAX(0,GX253*(GY253-HA253)),GX253*(GY253-HA253))</f>
        <v>1573931.5396388536</v>
      </c>
      <c r="HC253" s="640">
        <f>IF($A253&gt;=BegDate,Assumptions!$C$56*24*($A254-$A253)*(1-VLOOKUP($B253,MAIN!$AA$7:$AM$28,$C253+1))*(1-VLOOKUP($B253,MAIN!$AA$33:$AM$54,$C253+1)),0)*16/168</f>
        <v>51548.571428571428</v>
      </c>
      <c r="HD253" s="1715">
        <f t="shared" si="681"/>
        <v>34.622128542076865</v>
      </c>
      <c r="HE253" s="1715">
        <f>IF($A253&gt;=BegDate,VLOOKUP($A253,GasTable,13)+Assumptions!$C$58,0)</f>
        <v>4.2615084130913816</v>
      </c>
      <c r="HF253" s="1715">
        <f>HE253*Assumptions!$C$57/1000</f>
        <v>30.895935994912517</v>
      </c>
      <c r="HG253" s="625">
        <f>IF(Assumptions!$C$60="Hourly",MAX(0,HC253*(HD253-HF253)),HC253*(HD253-HF253))</f>
        <v>192079.90267411195</v>
      </c>
      <c r="HH253" s="640">
        <f>IF($A253&gt;=BegDate,Assumptions!$C$56*24*($A254-$A253)*(1-VLOOKUP($B253,MAIN!$AA$7:$AM$28,$C253+1))*(1-VLOOKUP($B253,MAIN!$AA$33:$AM$54,$C253+1)),0)*56/168</f>
        <v>180420</v>
      </c>
      <c r="HI253" s="1715">
        <f t="shared" si="682"/>
        <v>34.622128542076865</v>
      </c>
      <c r="HJ253" s="1715">
        <f>IF($A253&gt;=BegDate,VLOOKUP($A253,GasTable,13)+Assumptions!$C$58,0)</f>
        <v>4.2615084130913816</v>
      </c>
      <c r="HK253" s="1715">
        <f>HJ253*Assumptions!$C$57/1000</f>
        <v>30.895935994912517</v>
      </c>
      <c r="HL253" s="625">
        <f>IF(Assumptions!$C$60="Hourly",MAX(0,HH253*(HI253-HK253)),HH253*(HI253-HK253))</f>
        <v>672279.65935939178</v>
      </c>
      <c r="HM253" s="640">
        <f>IF(AND(Assumptions!$H$71="Yes",A253&gt;=Assumptions!$H$72,A253&lt;=Assumptions!$H$73),Assumptions!$H$74*Assumptions!$C$9*1000,0)</f>
        <v>0</v>
      </c>
      <c r="HN253" s="530"/>
      <c r="HO253" s="545"/>
      <c r="HP253" s="545"/>
      <c r="HQ253" s="545"/>
      <c r="HR253" s="545"/>
      <c r="HS253" s="545"/>
      <c r="HT253" s="545"/>
      <c r="HU253" s="545"/>
      <c r="HV253" s="545"/>
      <c r="HW253" s="545"/>
      <c r="HX253" s="545"/>
      <c r="HY253" s="545"/>
      <c r="HZ253" s="545"/>
      <c r="IA253" s="545"/>
      <c r="IB253" s="545"/>
      <c r="IC253" s="545"/>
      <c r="ID253" s="545"/>
      <c r="IE253" s="545"/>
      <c r="IF253" s="545"/>
      <c r="IG253" s="545"/>
      <c r="IH253" s="545"/>
      <c r="II253" s="1464"/>
      <c r="IJ253" s="1463"/>
      <c r="IK253" s="1463"/>
    </row>
    <row r="254" spans="1:245">
      <c r="A254" s="177">
        <f t="shared" si="637"/>
        <v>43862</v>
      </c>
      <c r="B254" s="349">
        <f t="shared" si="638"/>
        <v>2020</v>
      </c>
      <c r="C254" s="15">
        <f t="shared" si="694"/>
        <v>2</v>
      </c>
      <c r="D254" s="612" t="str">
        <f t="shared" si="639"/>
        <v/>
      </c>
      <c r="E254" s="609">
        <f t="shared" si="695"/>
        <v>43862</v>
      </c>
      <c r="F254" s="614">
        <f t="shared" si="696"/>
        <v>43890</v>
      </c>
      <c r="G254" s="1349">
        <v>0</v>
      </c>
      <c r="H254" s="152">
        <f t="shared" si="683"/>
        <v>1</v>
      </c>
      <c r="I254" s="154">
        <f>IF(Assumptions!$L$25=4,VLOOKUP($A254,'Henwood Reference'!$E$9:$R$320,10),(VLOOKUP($A254,PriceTable,2,0)+IF(BasisNumber&lt;&gt;1,VLOOKUP($A254,BasisTable,2,0),0)+I$1)/(1-I$2))</f>
        <v>46.030786864179866</v>
      </c>
      <c r="J254" s="154">
        <f>IF(Assumptions!$L$25=4,VLOOKUP($A254,'Henwood Reference'!$E$9:$R$320,10),(VLOOKUP($A254,PriceTable,3,0)+IF(BasisNumber&lt;&gt;1,VLOOKUP($A254,BasisTable,2,0),0)+J$1)/(1-J$2))</f>
        <v>46.030786864179866</v>
      </c>
      <c r="K254" s="154">
        <f>IF(Assumptions!$L$25=4,VLOOKUP($A254,'Henwood Reference'!$E$9:$R$320,10),(VLOOKUP($A254,PriceTable,4,0)+IF(BasisNumber&lt;&gt;1,VLOOKUP($A254,BasisTable,2,0),0)+K$1)/(1-K$2))</f>
        <v>46.030786864179866</v>
      </c>
      <c r="L254" s="474">
        <f>IF(Assumptions!$L$25=4,VLOOKUP($A254,'Henwood Reference'!$E$9:$R$320,10),(VLOOKUP($A254,PriceTableWeekend,2,0)+IF(BasisNumber&lt;&gt;1,VLOOKUP($A254,BasisTable,2,0),0)+L$1)/(1-L$2))</f>
        <v>46.030786864179866</v>
      </c>
      <c r="M254" s="154">
        <f>IF(Assumptions!$L$25=4,VLOOKUP($A254,'Henwood Reference'!$E$9:$R$320,10),(VLOOKUP($A254,PriceTableWeekend,3,0)+IF(BasisNumber&lt;&gt;1,VLOOKUP($A254,BasisTable,2,0),0)+M$1)/(1-M$2))</f>
        <v>46.030786864179866</v>
      </c>
      <c r="N254" s="156">
        <f>IF(Assumptions!$L$25=4,VLOOKUP($A254,'Henwood Reference'!$E$9:$R$320,10),(VLOOKUP($A254,PriceTableWeekend,4,0)+IF(BasisNumber&lt;&gt;1,VLOOKUP($A254,BasisTable,2,0),0)+N$1)/(1-N$2))</f>
        <v>46.030786864179866</v>
      </c>
      <c r="O254" s="154">
        <f>IF(Assumptions!$L$25=4,VLOOKUP($A254,'Henwood Reference'!$E$9:$R$320,11),(VLOOKUP($A254,PriceTableWeekend,6,0)+IF(BasisNumber&lt;&gt;1,VLOOKUP($A254,BasisTable,3,0),0)+O$1)/(1-O$2))</f>
        <v>28.629897073054547</v>
      </c>
      <c r="P254" s="154">
        <f>IF(Assumptions!$L$25=4,VLOOKUP($A254,'Henwood Reference'!$E$9:$R$320,11),(VLOOKUP($A254,PriceTableWeekend,7,0)+IF(BasisNumber&lt;&gt;1,VLOOKUP($A254,BasisTable,3,0),0)+P$1)/(1-P$2))</f>
        <v>28.629897073054547</v>
      </c>
      <c r="Q254" s="156">
        <f>IF(Assumptions!$L$25=4,VLOOKUP($A254,'Henwood Reference'!$E$9:$R$320,11),(VLOOKUP($A254,PriceTableWeekend,8,0)+IF(BasisNumber&lt;&gt;1,VLOOKUP($A254,BasisTable,3,0),0)+Q$1)/(1-Q$2))</f>
        <v>28.629897073054547</v>
      </c>
      <c r="R254" s="154">
        <f>IF(Assumptions!$L$25=4,VLOOKUP($A254,'Henwood Reference'!$E$9:$R$320,11),(VLOOKUP($A254,PriceTable,6,0)+IF(BasisNumber&lt;&gt;1,VLOOKUP($A254,BasisTable,3,0),0)+R$1)/(1-R$2))</f>
        <v>28.629897073054547</v>
      </c>
      <c r="S254" s="154">
        <f>IF(Assumptions!$L$25=4,VLOOKUP($A254,'Henwood Reference'!$E$9:$R$320,11),(VLOOKUP($A254,PriceTable,7,0)+IF(BasisNumber&lt;&gt;1,VLOOKUP($A254,BasisTable,3,0),0)+S$1)/(1-S$2))</f>
        <v>28.629897073054547</v>
      </c>
      <c r="T254" s="155">
        <f>IF(Assumptions!$L$25=4,VLOOKUP($A254,'Henwood Reference'!$E$9:$R$320,11),(VLOOKUP($A254,PriceTable,8,0)+IF(BasisNumber&lt;&gt;1,VLOOKUP($A254,BasisTable,3,0),0)+T$1)/(1-T$2))</f>
        <v>28.629897073054547</v>
      </c>
      <c r="U254" s="173">
        <f t="shared" si="640"/>
        <v>0.09</v>
      </c>
      <c r="V254" s="173">
        <f t="shared" si="641"/>
        <v>0.1</v>
      </c>
      <c r="W254" s="174">
        <f t="shared" si="642"/>
        <v>0.11</v>
      </c>
      <c r="X254" s="173">
        <f t="shared" si="643"/>
        <v>0.09</v>
      </c>
      <c r="Y254" s="173">
        <f t="shared" si="644"/>
        <v>0.1</v>
      </c>
      <c r="Z254" s="174">
        <f t="shared" si="645"/>
        <v>0.11</v>
      </c>
      <c r="AA254" s="173">
        <f t="shared" si="646"/>
        <v>0.09</v>
      </c>
      <c r="AB254" s="173">
        <f t="shared" si="647"/>
        <v>0.11</v>
      </c>
      <c r="AC254" s="174">
        <f t="shared" si="648"/>
        <v>0.13</v>
      </c>
      <c r="AD254" s="173">
        <f t="shared" si="649"/>
        <v>0.09</v>
      </c>
      <c r="AE254" s="173">
        <f t="shared" si="650"/>
        <v>0.11</v>
      </c>
      <c r="AF254" s="174">
        <f t="shared" si="651"/>
        <v>0.13</v>
      </c>
      <c r="AG254" s="173">
        <f t="shared" si="652"/>
        <v>-0.25</v>
      </c>
      <c r="AH254" s="173">
        <f t="shared" si="653"/>
        <v>0.65</v>
      </c>
      <c r="AI254" s="174">
        <f t="shared" si="654"/>
        <v>0.25</v>
      </c>
      <c r="AJ254" s="173">
        <f t="shared" si="655"/>
        <v>-0.25</v>
      </c>
      <c r="AK254" s="173">
        <f t="shared" si="656"/>
        <v>0.65</v>
      </c>
      <c r="AL254" s="174">
        <f t="shared" si="657"/>
        <v>0.25</v>
      </c>
      <c r="AM254" s="173">
        <f t="shared" si="658"/>
        <v>-0.01</v>
      </c>
      <c r="AN254" s="173">
        <f t="shared" si="659"/>
        <v>0.16</v>
      </c>
      <c r="AO254" s="174">
        <f t="shared" si="660"/>
        <v>0.01</v>
      </c>
      <c r="AP254" s="173">
        <f t="shared" si="661"/>
        <v>-0.01</v>
      </c>
      <c r="AQ254" s="173">
        <f t="shared" si="662"/>
        <v>0.16</v>
      </c>
      <c r="AR254" s="175">
        <f t="shared" si="663"/>
        <v>0.01</v>
      </c>
      <c r="AS254" s="521">
        <f t="shared" si="699"/>
        <v>0.5</v>
      </c>
      <c r="AT254" s="349">
        <f t="shared" si="697"/>
        <v>20</v>
      </c>
      <c r="AU254" s="159">
        <f t="shared" si="582"/>
        <v>5</v>
      </c>
      <c r="AV254" s="159">
        <f t="shared" si="583"/>
        <v>4</v>
      </c>
      <c r="AW254" s="159">
        <f t="shared" si="700"/>
        <v>0</v>
      </c>
      <c r="AX254" s="15">
        <f t="shared" si="698"/>
        <v>29</v>
      </c>
      <c r="AY254" s="607">
        <f>IF(E254="",0,MIN((1-(1-VLOOKUP(B254,MAIN!$AA$7:$AM$28,C254+1))*(1-VLOOKUP(B254,MAIN!$AA$33:$AM$54,C254+1))),1))</f>
        <v>3.0000000000000027E-2</v>
      </c>
      <c r="AZ254" s="337">
        <v>46560</v>
      </c>
      <c r="BA254" s="509">
        <v>11640</v>
      </c>
      <c r="BB254" s="509">
        <v>9312</v>
      </c>
      <c r="BC254" s="511">
        <v>33756</v>
      </c>
      <c r="BD254" s="153">
        <v>0.97</v>
      </c>
      <c r="BE254" s="474">
        <v>0.97</v>
      </c>
      <c r="BF254" s="474">
        <v>0.97</v>
      </c>
      <c r="BG254" s="515">
        <v>0.9699999927729368</v>
      </c>
      <c r="BH254" s="262">
        <v>186240</v>
      </c>
      <c r="BI254" s="509">
        <v>46560</v>
      </c>
      <c r="BJ254" s="509">
        <v>37248</v>
      </c>
      <c r="BK254" s="511">
        <v>135024</v>
      </c>
      <c r="BL254" s="153">
        <v>0.97</v>
      </c>
      <c r="BM254" s="474">
        <v>0.97</v>
      </c>
      <c r="BN254" s="474">
        <v>0.97</v>
      </c>
      <c r="BO254" s="474">
        <v>0.9699999927729368</v>
      </c>
      <c r="BP254" s="261">
        <f t="shared" si="666"/>
        <v>67512</v>
      </c>
      <c r="BQ254" s="578">
        <f t="shared" si="667"/>
        <v>101268</v>
      </c>
      <c r="BR254" s="259">
        <f t="shared" si="668"/>
        <v>270048</v>
      </c>
      <c r="BS254" s="578">
        <f t="shared" si="669"/>
        <v>405072</v>
      </c>
      <c r="BT254" s="216">
        <f t="shared" si="670"/>
        <v>19.800136892539356</v>
      </c>
      <c r="BU254" s="218">
        <f t="shared" si="585"/>
        <v>46.030786864179866</v>
      </c>
      <c r="BV254" s="216">
        <f t="shared" si="586"/>
        <v>46.030786864179866</v>
      </c>
      <c r="BW254" s="216">
        <f t="shared" si="587"/>
        <v>28.629897073054547</v>
      </c>
      <c r="BX254" s="216">
        <f t="shared" si="671"/>
        <v>28.629896859745191</v>
      </c>
      <c r="BY254" s="216">
        <f t="shared" si="588"/>
        <v>43.630664134369475</v>
      </c>
      <c r="BZ254" s="216">
        <f t="shared" si="589"/>
        <v>38.630408376161384</v>
      </c>
      <c r="CA254" s="264">
        <f t="shared" si="590"/>
        <v>46.030786864179866</v>
      </c>
      <c r="CB254" s="216">
        <f t="shared" si="591"/>
        <v>46.030786864179866</v>
      </c>
      <c r="CC254" s="216">
        <f t="shared" si="592"/>
        <v>28.629897073054547</v>
      </c>
      <c r="CD254" s="216">
        <f t="shared" si="672"/>
        <v>28.629896859745191</v>
      </c>
      <c r="CE254" s="216">
        <f t="shared" si="593"/>
        <v>43.630664134369475</v>
      </c>
      <c r="CF254" s="571">
        <f t="shared" si="594"/>
        <v>38.630408376161384</v>
      </c>
      <c r="CG254" s="573">
        <f t="shared" si="595"/>
        <v>0.1</v>
      </c>
      <c r="CH254" s="219">
        <f t="shared" si="596"/>
        <v>0.1</v>
      </c>
      <c r="CI254" s="219">
        <f t="shared" si="597"/>
        <v>0.11</v>
      </c>
      <c r="CJ254" s="219">
        <f t="shared" si="598"/>
        <v>0.10091335885667227</v>
      </c>
      <c r="CK254" s="219">
        <f t="shared" si="599"/>
        <v>0.10091335885667227</v>
      </c>
      <c r="CL254" s="219">
        <f t="shared" si="600"/>
        <v>0.11</v>
      </c>
      <c r="CM254" s="219">
        <f t="shared" si="601"/>
        <v>9.2909346391813821E-2</v>
      </c>
      <c r="CN254" s="569">
        <f t="shared" si="602"/>
        <v>9.2909346391813821E-2</v>
      </c>
      <c r="CO254" s="264">
        <f t="shared" si="685"/>
        <v>28.164237713214856</v>
      </c>
      <c r="CP254" s="216">
        <f t="shared" si="673"/>
        <v>28.164237713214856</v>
      </c>
      <c r="CQ254" s="216">
        <f t="shared" ca="1" si="703"/>
        <v>36.211162774133392</v>
      </c>
      <c r="CR254" s="216">
        <f t="shared" ca="1" si="704"/>
        <v>36.211162774133392</v>
      </c>
      <c r="CS254" s="1626">
        <f t="shared" ca="1" si="705"/>
        <v>31.586493198892857</v>
      </c>
      <c r="CT254" s="216">
        <f t="shared" si="674"/>
        <v>28.164237713214856</v>
      </c>
      <c r="CU254" s="575">
        <f t="shared" si="603"/>
        <v>0.15</v>
      </c>
      <c r="CV254" s="154">
        <f t="shared" si="604"/>
        <v>0.5</v>
      </c>
      <c r="CW254" s="216">
        <f>IF(OR($BQ254,$BS254),SpreadOptPowerMargin,0)*((1+Assumptions!$C$26)^($B254-YEAR(Assumptions!$C$17)))</f>
        <v>2.5204345545463638</v>
      </c>
      <c r="CX254" s="216">
        <f>IF(OR($BQ254,$BS254),SpreadOptPowerMargin,0)*((1+Assumptions!$C$26)^($B254-YEAR(Assumptions!$C$17)))</f>
        <v>2.5204345545463638</v>
      </c>
      <c r="CY254" s="216">
        <f>IF(OR($BQ254,$BS254),SpreadOptPowerMargin,0)*((1+Assumptions!$C$26)^($B254-YEAR(Assumptions!$C$17)))</f>
        <v>2.5204345545463638</v>
      </c>
      <c r="CZ254" s="216">
        <f>IF(OR($BQ254,$BS254),SpreadOptPowerMargin,0)*((1+Assumptions!$C$26)^($B254-YEAR(Assumptions!$C$17)))</f>
        <v>2.5204345545463638</v>
      </c>
      <c r="DA254" s="440">
        <f t="shared" si="605"/>
        <v>2.5204345545463642</v>
      </c>
      <c r="DB254" s="479">
        <f t="shared" si="606"/>
        <v>0.1</v>
      </c>
      <c r="DC254" s="479">
        <f t="shared" si="607"/>
        <v>0.1</v>
      </c>
      <c r="DD254" s="479">
        <f t="shared" si="608"/>
        <v>0.11</v>
      </c>
      <c r="DE254" s="479">
        <f t="shared" si="609"/>
        <v>0.11</v>
      </c>
      <c r="DF254" s="479">
        <f t="shared" si="610"/>
        <v>9.2909346391813821E-2</v>
      </c>
      <c r="DG254" s="574">
        <f t="shared" si="611"/>
        <v>9.2909346391813821E-2</v>
      </c>
      <c r="DH254" s="216">
        <f t="shared" si="612"/>
        <v>18.093043666091088</v>
      </c>
      <c r="DI254" s="216">
        <f t="shared" si="613"/>
        <v>18.093043666091088</v>
      </c>
      <c r="DJ254" s="216">
        <f t="shared" ca="1" si="706"/>
        <v>3.4461742903578982</v>
      </c>
      <c r="DK254" s="216">
        <f t="shared" ca="1" si="707"/>
        <v>3.4461742040178076</v>
      </c>
      <c r="DL254" s="216">
        <f t="shared" ca="1" si="708"/>
        <v>10.28877053735787</v>
      </c>
      <c r="DM254" s="216"/>
      <c r="DN254" s="216"/>
      <c r="DO254" s="216"/>
      <c r="DP254" s="216"/>
      <c r="DQ254" s="216"/>
      <c r="DR254" s="216"/>
      <c r="DS254" s="216"/>
      <c r="DT254" s="216"/>
      <c r="DU254" s="216"/>
      <c r="DV254" s="216"/>
      <c r="DW254" s="1371">
        <f t="shared" si="614"/>
        <v>5.5552695869875874</v>
      </c>
      <c r="DX254" s="216">
        <f t="shared" si="615"/>
        <v>5.5552694660138124</v>
      </c>
      <c r="DY254" s="440">
        <f t="shared" si="616"/>
        <v>12.760886833504088</v>
      </c>
      <c r="DZ254" s="180">
        <f t="shared" si="617"/>
        <v>842412.11309320107</v>
      </c>
      <c r="EA254" s="180">
        <f t="shared" si="618"/>
        <v>210603.02827330027</v>
      </c>
      <c r="EB254" s="180">
        <f t="shared" ca="1" si="709"/>
        <v>32090.774991812748</v>
      </c>
      <c r="EC254" s="180">
        <f t="shared" ca="1" si="710"/>
        <v>116329.05643082512</v>
      </c>
      <c r="ED254" s="180">
        <f t="shared" ca="1" si="711"/>
        <v>1041923.2147771567</v>
      </c>
      <c r="EE254" s="581">
        <f t="shared" si="619"/>
        <v>714515.09560925222</v>
      </c>
      <c r="EF254" s="554">
        <f t="shared" si="620"/>
        <v>178628.77390231306</v>
      </c>
      <c r="EG254" s="554">
        <f t="shared" ca="1" si="712"/>
        <v>0</v>
      </c>
      <c r="EH254" s="554">
        <f t="shared" ca="1" si="713"/>
        <v>0</v>
      </c>
      <c r="EI254" s="561">
        <f t="shared" ca="1" si="621"/>
        <v>458083.83570182783</v>
      </c>
      <c r="EJ254" s="581">
        <f t="shared" si="675"/>
        <v>127897.01748394885</v>
      </c>
      <c r="EK254" s="554">
        <f t="shared" si="676"/>
        <v>31974.254370987212</v>
      </c>
      <c r="EL254" s="554">
        <f t="shared" ca="1" si="714"/>
        <v>32090.774991812748</v>
      </c>
      <c r="EM254" s="554">
        <f t="shared" ca="1" si="715"/>
        <v>116329.05643082512</v>
      </c>
      <c r="EN254" s="561">
        <f t="shared" ca="1" si="716"/>
        <v>583839.37907532882</v>
      </c>
      <c r="EO254" s="180">
        <f t="shared" si="622"/>
        <v>3369648.4523728043</v>
      </c>
      <c r="EP254" s="180">
        <f t="shared" si="623"/>
        <v>842412.11309320107</v>
      </c>
      <c r="EQ254" s="180">
        <f t="shared" si="624"/>
        <v>206922.68157611365</v>
      </c>
      <c r="ER254" s="180">
        <f t="shared" si="625"/>
        <v>750094.70437904901</v>
      </c>
      <c r="ES254" s="180">
        <f t="shared" si="626"/>
        <v>5169077.9514211677</v>
      </c>
      <c r="ET254" s="1482">
        <f t="shared" ca="1" si="717"/>
        <v>2858060.3824370089</v>
      </c>
      <c r="EU254" s="180">
        <f t="shared" ca="1" si="718"/>
        <v>714515.09560925222</v>
      </c>
      <c r="EV254" s="180">
        <f t="shared" ca="1" si="719"/>
        <v>0</v>
      </c>
      <c r="EW254" s="180">
        <f t="shared" ca="1" si="720"/>
        <v>0</v>
      </c>
      <c r="EX254" s="555">
        <f t="shared" ca="1" si="693"/>
        <v>3572575.4780462612</v>
      </c>
      <c r="EY254" s="180">
        <f t="shared" ca="1" si="721"/>
        <v>511588.06993579539</v>
      </c>
      <c r="EZ254" s="180">
        <f t="shared" ca="1" si="722"/>
        <v>127897.01748394885</v>
      </c>
      <c r="FA254" s="180">
        <f t="shared" ca="1" si="723"/>
        <v>206922.68157611365</v>
      </c>
      <c r="FB254" s="180">
        <f t="shared" ca="1" si="724"/>
        <v>750094.70437904901</v>
      </c>
      <c r="FC254" s="180">
        <f t="shared" ca="1" si="725"/>
        <v>1596502.4733749065</v>
      </c>
      <c r="FD254" s="262">
        <f>IF(AX254,IF(VLOOKUP(C254,MAIN!$L$17:$M$28,2)="Yes",VLOOKUP(CALC!B254,MAIN!$H$17:$I$20,2),0),0)</f>
        <v>0</v>
      </c>
      <c r="FE254" s="623">
        <f t="shared" si="627"/>
        <v>0</v>
      </c>
      <c r="FF254" s="535">
        <f t="shared" si="628"/>
        <v>0</v>
      </c>
      <c r="FG254" s="535">
        <f t="shared" si="629"/>
        <v>0</v>
      </c>
      <c r="FH254" s="624">
        <f t="shared" si="630"/>
        <v>0</v>
      </c>
      <c r="FI254" s="632">
        <f>IF(AX254,VLOOKUP(CALC!B254,MAIN!$H$17:$K$20,4),0)</f>
        <v>0</v>
      </c>
      <c r="FJ254" s="535">
        <f t="shared" si="631"/>
        <v>0</v>
      </c>
      <c r="FK254" s="648">
        <f t="shared" si="677"/>
        <v>0</v>
      </c>
      <c r="FL254" s="530">
        <f t="shared" ca="1" si="726"/>
        <v>0</v>
      </c>
      <c r="FM254" s="530">
        <f t="shared" ca="1" si="727"/>
        <v>0</v>
      </c>
      <c r="FN254" s="530">
        <f t="shared" ca="1" si="728"/>
        <v>0</v>
      </c>
      <c r="FO254" s="622">
        <f t="shared" ca="1" si="729"/>
        <v>0</v>
      </c>
      <c r="FP254" s="530">
        <f t="shared" ca="1" si="730"/>
        <v>0</v>
      </c>
      <c r="FQ254" s="530">
        <f t="shared" ca="1" si="731"/>
        <v>0</v>
      </c>
      <c r="FR254" s="530">
        <f t="shared" ca="1" si="732"/>
        <v>0</v>
      </c>
      <c r="FS254" s="625">
        <f t="shared" ca="1" si="733"/>
        <v>0</v>
      </c>
      <c r="FT254" s="640">
        <f ca="1">IF(AND(Assumptions!$H$71="Yes",A254&gt;=Assumptions!$H$72,A254&lt;=Assumptions!$H$73),0,IF(AND($A254&gt;=Assumptions!$C$17,$A254&lt;=Assumptions!$C$18),MAX(AZ254*(1+VLOOKUP($C254,WeatherCapacityAdjustment,2))-FL254,0),0))</f>
        <v>46560</v>
      </c>
      <c r="FU254" s="530">
        <f ca="1">IF(AND(Assumptions!$H$71="Yes",A254&gt;=Assumptions!$H$72,A254&lt;=Assumptions!$H$73),0,IF(AND($A254&gt;=Assumptions!$C$17,$A254&lt;=Assumptions!$C$18),MAX(BA254*(1+VLOOKUP($C254,WeatherCapacityAdjustment,2))-FM254,0),0))</f>
        <v>11640</v>
      </c>
      <c r="FV254" s="530">
        <f ca="1">IF(AND(Assumptions!$H$71="Yes",A254&gt;=Assumptions!$H$72,A254&lt;=Assumptions!$H$73),0,IF(AND($A254&gt;=Assumptions!$C$17,$A254&lt;=Assumptions!$C$18),MAX(BB254*(1+VLOOKUP($C254,WeatherCapacityAdjustment,2))-FN254,0),0))</f>
        <v>9312</v>
      </c>
      <c r="FW254" s="622">
        <f ca="1">IF(AND(Assumptions!$H$71="Yes",A254&gt;=Assumptions!$H$72,A254&lt;=Assumptions!$H$73),0,IF(AND($A254&gt;=Assumptions!$C$17,$A254&lt;=Assumptions!$C$18),MAX(BC254*(1+VLOOKUP($C254,WeatherCapacityAdjustment,3))-FO254,0),0))</f>
        <v>33756</v>
      </c>
      <c r="FX254" s="621">
        <f ca="1">IF(AND(Assumptions!$H$71="Yes",A254&gt;=Assumptions!$H$72,A254&lt;=Assumptions!$H$73),0,IF(ET254&gt;0,MAX(BH254*(1+VLOOKUP($C254,WeatherCapacityAdjustment,2))-FP254,0),0))</f>
        <v>186240</v>
      </c>
      <c r="FY254" s="530">
        <f ca="1">IF(AND(Assumptions!$H$71="Yes",A254&gt;=Assumptions!$H$72,A254&lt;=Assumptions!$H$73),0,IF(EU254&gt;0,MAX(BI254*(1+VLOOKUP($C254,WeatherCapacityAdjustment,3))-FQ254,0),0))</f>
        <v>46560</v>
      </c>
      <c r="FZ254" s="530">
        <f ca="1">IF(AND(Assumptions!$H$71="Yes",A254&gt;=Assumptions!$H$72,A254&lt;=Assumptions!$H$73),0,IF(EV254&gt;0,MAX(BJ254*(1+VLOOKUP($C254,WeatherCapacityAdjustment,2))-FR254,0),0))</f>
        <v>0</v>
      </c>
      <c r="GA254" s="622">
        <f ca="1">IF(AND(Assumptions!$H$71="Yes",A254&gt;=Assumptions!$H$72,A254&lt;=Assumptions!$H$73),0,IF(EW254&gt;0,MAX(BK254*(1+VLOOKUP($C254,WeatherCapacityAdjustment,2))-FS254,0),0))</f>
        <v>0</v>
      </c>
      <c r="GB254" s="530">
        <f t="shared" ca="1" si="632"/>
        <v>334068</v>
      </c>
      <c r="GC254" s="545">
        <f t="shared" ca="1" si="633"/>
        <v>43.78746655596521</v>
      </c>
      <c r="GD254" s="530">
        <f t="shared" ca="1" si="734"/>
        <v>14627991.377418183</v>
      </c>
      <c r="GE254" s="1485">
        <f t="shared" ca="1" si="735"/>
        <v>814044.58728000009</v>
      </c>
      <c r="GF254" s="1776">
        <f t="shared" ca="1" si="736"/>
        <v>1668612.6240000001</v>
      </c>
      <c r="GG254" s="545">
        <f t="shared" si="701"/>
        <v>3.9293928652648251</v>
      </c>
      <c r="GH254" s="622">
        <f t="shared" ca="1" si="702"/>
        <v>9755335.5329019018</v>
      </c>
      <c r="GI254" s="621">
        <f t="shared" ca="1" si="678"/>
        <v>334068</v>
      </c>
      <c r="GJ254" s="638">
        <f t="shared" si="634"/>
        <v>2.5204345545463642</v>
      </c>
      <c r="GK254" s="625">
        <f t="shared" ca="1" si="684"/>
        <v>841996.53076819482</v>
      </c>
      <c r="GL254" s="640">
        <f t="shared" ca="1" si="737"/>
        <v>0</v>
      </c>
      <c r="GM254" s="530">
        <f t="shared" ca="1" si="738"/>
        <v>0</v>
      </c>
      <c r="GN254" s="530">
        <f t="shared" ca="1" si="739"/>
        <v>0</v>
      </c>
      <c r="GO254" s="622">
        <f t="shared" ca="1" si="740"/>
        <v>0</v>
      </c>
      <c r="GP254" s="530">
        <f t="shared" ca="1" si="635"/>
        <v>0</v>
      </c>
      <c r="GQ254" s="545">
        <f t="shared" ca="1" si="636"/>
        <v>0</v>
      </c>
      <c r="GR254" s="625">
        <f t="shared" ca="1" si="741"/>
        <v>0</v>
      </c>
      <c r="GS254" s="640">
        <f>IF($A254&gt;=BegDate,Assumptions!$C$56*24*($A255-$A254)*(1-VLOOKUP($B254,MAIN!$AA$7:$AM$28,$C254+1))*(1-VLOOKUP($B254,MAIN!$AA$33:$AM$54,$C254+1)),0)*80/168</f>
        <v>241114.28571428571</v>
      </c>
      <c r="GT254" s="1715">
        <f t="shared" si="679"/>
        <v>46.030786864179866</v>
      </c>
      <c r="GU254" s="1715">
        <f>IF($A254&gt;=BegDate,VLOOKUP($A254,GasTable,13)+Assumptions!$C$58,0)</f>
        <v>3.9293928652648251</v>
      </c>
      <c r="GV254" s="1715">
        <f>GU254*Assumptions!$C$57/1000</f>
        <v>28.488098273169982</v>
      </c>
      <c r="GW254" s="625">
        <f>IF(Assumptions!$C$60="Hourly",MAX(0,GS254*(GT254-GV254)),GS254*(GT254-GV254))</f>
        <v>4229792.8291294975</v>
      </c>
      <c r="GX254" s="640">
        <f>IF($A254&gt;=BegDate,Assumptions!$C$56*24*($A255-$A254)*(1-VLOOKUP($B254,MAIN!$AA$7:$AM$28,$C254+1))*(1-VLOOKUP($B254,MAIN!$AA$33:$AM$54,$C254+1)),0)*16/168</f>
        <v>48222.857142857145</v>
      </c>
      <c r="GY254" s="1715">
        <f t="shared" si="680"/>
        <v>46.030786864179866</v>
      </c>
      <c r="GZ254" s="1715">
        <f>IF($A254&gt;=BegDate,VLOOKUP($A254,GasTable,13)+Assumptions!$C$58,0)</f>
        <v>3.9293928652648251</v>
      </c>
      <c r="HA254" s="1715">
        <f>GZ254*Assumptions!$C$57/1000</f>
        <v>28.488098273169982</v>
      </c>
      <c r="HB254" s="625">
        <f>IF(Assumptions!$C$60="Hourly",MAX(0,GX254*(GY254-HA254)),GX254*(GY254-HA254))</f>
        <v>845958.5658258996</v>
      </c>
      <c r="HC254" s="640">
        <f>IF($A254&gt;=BegDate,Assumptions!$C$56*24*($A255-$A254)*(1-VLOOKUP($B254,MAIN!$AA$7:$AM$28,$C254+1))*(1-VLOOKUP($B254,MAIN!$AA$33:$AM$54,$C254+1)),0)*16/168</f>
        <v>48222.857142857145</v>
      </c>
      <c r="HD254" s="1715">
        <f t="shared" si="681"/>
        <v>28.629897073054547</v>
      </c>
      <c r="HE254" s="1715">
        <f>IF($A254&gt;=BegDate,VLOOKUP($A254,GasTable,13)+Assumptions!$C$58,0)</f>
        <v>3.9293928652648251</v>
      </c>
      <c r="HF254" s="1715">
        <f>HE254*Assumptions!$C$57/1000</f>
        <v>28.488098273169982</v>
      </c>
      <c r="HG254" s="625">
        <f>IF(Assumptions!$C$60="Hourly",MAX(0,HC254*(HD254-HF254)),HC254*(HD254-HF254))</f>
        <v>6837.943269861983</v>
      </c>
      <c r="HH254" s="640">
        <f>IF($A254&gt;=BegDate,Assumptions!$C$56*24*($A255-$A254)*(1-VLOOKUP($B254,MAIN!$AA$7:$AM$28,$C254+1))*(1-VLOOKUP($B254,MAIN!$AA$33:$AM$54,$C254+1)),0)*56/168</f>
        <v>168780</v>
      </c>
      <c r="HI254" s="1715">
        <f t="shared" si="682"/>
        <v>28.629897073054547</v>
      </c>
      <c r="HJ254" s="1715">
        <f>IF($A254&gt;=BegDate,VLOOKUP($A254,GasTable,13)+Assumptions!$C$58,0)</f>
        <v>3.9293928652648251</v>
      </c>
      <c r="HK254" s="1715">
        <f>HJ254*Assumptions!$C$57/1000</f>
        <v>28.488098273169982</v>
      </c>
      <c r="HL254" s="625">
        <f>IF(Assumptions!$C$60="Hourly",MAX(0,HH254*(HI254-HK254)),HH254*(HI254-HK254))</f>
        <v>23932.801444516939</v>
      </c>
      <c r="HM254" s="640">
        <f>IF(AND(Assumptions!$H$71="Yes",A254&gt;=Assumptions!$H$72,A254&lt;=Assumptions!$H$73),Assumptions!$H$74*Assumptions!$C$9*1000,0)</f>
        <v>0</v>
      </c>
      <c r="HN254" s="530"/>
      <c r="HO254" s="545"/>
      <c r="HP254" s="545"/>
      <c r="HQ254" s="545"/>
      <c r="HR254" s="545"/>
      <c r="HS254" s="545"/>
      <c r="HT254" s="545"/>
      <c r="HU254" s="545"/>
      <c r="HV254" s="545"/>
      <c r="HW254" s="545"/>
      <c r="HX254" s="545"/>
      <c r="HY254" s="545"/>
      <c r="HZ254" s="545"/>
      <c r="IA254" s="545"/>
      <c r="IB254" s="545"/>
      <c r="IC254" s="545"/>
      <c r="ID254" s="545"/>
      <c r="IE254" s="545"/>
      <c r="IF254" s="545"/>
      <c r="IG254" s="545"/>
      <c r="IH254" s="545"/>
      <c r="II254" s="1464"/>
      <c r="IJ254" s="1463"/>
      <c r="IK254" s="1463"/>
    </row>
    <row r="255" spans="1:245">
      <c r="A255" s="177">
        <f t="shared" si="637"/>
        <v>43891</v>
      </c>
      <c r="B255" s="349">
        <f t="shared" si="638"/>
        <v>2020</v>
      </c>
      <c r="C255" s="15">
        <f t="shared" si="694"/>
        <v>3</v>
      </c>
      <c r="D255" s="612" t="str">
        <f t="shared" si="639"/>
        <v/>
      </c>
      <c r="E255" s="609">
        <f t="shared" si="695"/>
        <v>43891</v>
      </c>
      <c r="F255" s="614">
        <f t="shared" si="696"/>
        <v>43921</v>
      </c>
      <c r="G255" s="1349">
        <v>0</v>
      </c>
      <c r="H255" s="152">
        <f t="shared" si="683"/>
        <v>1</v>
      </c>
      <c r="I255" s="154">
        <f>IF(Assumptions!$L$25=4,VLOOKUP($A255,'Henwood Reference'!$E$9:$R$320,10),(VLOOKUP($A255,PriceTable,2,0)+IF(BasisNumber&lt;&gt;1,VLOOKUP($A255,BasisTable,2,0),0)+I$1)/(1-I$2))</f>
        <v>44.190292419521086</v>
      </c>
      <c r="J255" s="154">
        <f>IF(Assumptions!$L$25=4,VLOOKUP($A255,'Henwood Reference'!$E$9:$R$320,10),(VLOOKUP($A255,PriceTable,3,0)+IF(BasisNumber&lt;&gt;1,VLOOKUP($A255,BasisTable,2,0),0)+J$1)/(1-J$2))</f>
        <v>44.190292419521086</v>
      </c>
      <c r="K255" s="154">
        <f>IF(Assumptions!$L$25=4,VLOOKUP($A255,'Henwood Reference'!$E$9:$R$320,10),(VLOOKUP($A255,PriceTable,4,0)+IF(BasisNumber&lt;&gt;1,VLOOKUP($A255,BasisTable,2,0),0)+K$1)/(1-K$2))</f>
        <v>44.190292419521086</v>
      </c>
      <c r="L255" s="474">
        <f>IF(Assumptions!$L$25=4,VLOOKUP($A255,'Henwood Reference'!$E$9:$R$320,10),(VLOOKUP($A255,PriceTableWeekend,2,0)+IF(BasisNumber&lt;&gt;1,VLOOKUP($A255,BasisTable,2,0),0)+L$1)/(1-L$2))</f>
        <v>44.190292419521086</v>
      </c>
      <c r="M255" s="154">
        <f>IF(Assumptions!$L$25=4,VLOOKUP($A255,'Henwood Reference'!$E$9:$R$320,10),(VLOOKUP($A255,PriceTableWeekend,3,0)+IF(BasisNumber&lt;&gt;1,VLOOKUP($A255,BasisTable,2,0),0)+M$1)/(1-M$2))</f>
        <v>44.190292419521086</v>
      </c>
      <c r="N255" s="156">
        <f>IF(Assumptions!$L$25=4,VLOOKUP($A255,'Henwood Reference'!$E$9:$R$320,10),(VLOOKUP($A255,PriceTableWeekend,4,0)+IF(BasisNumber&lt;&gt;1,VLOOKUP($A255,BasisTable,2,0),0)+N$1)/(1-N$2))</f>
        <v>44.190292419521086</v>
      </c>
      <c r="O255" s="154">
        <f>IF(Assumptions!$L$25=4,VLOOKUP($A255,'Henwood Reference'!$E$9:$R$320,11),(VLOOKUP($A255,PriceTableWeekend,6,0)+IF(BasisNumber&lt;&gt;1,VLOOKUP($A255,BasisTable,3,0),0)+O$1)/(1-O$2))</f>
        <v>30.670697226691221</v>
      </c>
      <c r="P255" s="154">
        <f>IF(Assumptions!$L$25=4,VLOOKUP($A255,'Henwood Reference'!$E$9:$R$320,11),(VLOOKUP($A255,PriceTableWeekend,7,0)+IF(BasisNumber&lt;&gt;1,VLOOKUP($A255,BasisTable,3,0),0)+P$1)/(1-P$2))</f>
        <v>30.670697226691221</v>
      </c>
      <c r="Q255" s="156">
        <f>IF(Assumptions!$L$25=4,VLOOKUP($A255,'Henwood Reference'!$E$9:$R$320,11),(VLOOKUP($A255,PriceTableWeekend,8,0)+IF(BasisNumber&lt;&gt;1,VLOOKUP($A255,BasisTable,3,0),0)+Q$1)/(1-Q$2))</f>
        <v>30.670697226691221</v>
      </c>
      <c r="R255" s="154">
        <f>IF(Assumptions!$L$25=4,VLOOKUP($A255,'Henwood Reference'!$E$9:$R$320,11),(VLOOKUP($A255,PriceTable,6,0)+IF(BasisNumber&lt;&gt;1,VLOOKUP($A255,BasisTable,3,0),0)+R$1)/(1-R$2))</f>
        <v>30.670697226691221</v>
      </c>
      <c r="S255" s="154">
        <f>IF(Assumptions!$L$25=4,VLOOKUP($A255,'Henwood Reference'!$E$9:$R$320,11),(VLOOKUP($A255,PriceTable,7,0)+IF(BasisNumber&lt;&gt;1,VLOOKUP($A255,BasisTable,3,0),0)+S$1)/(1-S$2))</f>
        <v>30.670697226691221</v>
      </c>
      <c r="T255" s="155">
        <f>IF(Assumptions!$L$25=4,VLOOKUP($A255,'Henwood Reference'!$E$9:$R$320,11),(VLOOKUP($A255,PriceTable,8,0)+IF(BasisNumber&lt;&gt;1,VLOOKUP($A255,BasisTable,3,0),0)+T$1)/(1-T$2))</f>
        <v>30.670697226691221</v>
      </c>
      <c r="U255" s="173">
        <f t="shared" si="640"/>
        <v>0.09</v>
      </c>
      <c r="V255" s="173">
        <f t="shared" si="641"/>
        <v>0.1</v>
      </c>
      <c r="W255" s="174">
        <f t="shared" si="642"/>
        <v>0.11</v>
      </c>
      <c r="X255" s="173">
        <f t="shared" si="643"/>
        <v>0.09</v>
      </c>
      <c r="Y255" s="173">
        <f t="shared" si="644"/>
        <v>0.1</v>
      </c>
      <c r="Z255" s="174">
        <f t="shared" si="645"/>
        <v>0.11</v>
      </c>
      <c r="AA255" s="173">
        <f t="shared" si="646"/>
        <v>0.09</v>
      </c>
      <c r="AB255" s="173">
        <f t="shared" si="647"/>
        <v>0.11</v>
      </c>
      <c r="AC255" s="174">
        <f t="shared" si="648"/>
        <v>0.13</v>
      </c>
      <c r="AD255" s="173">
        <f t="shared" si="649"/>
        <v>0.09</v>
      </c>
      <c r="AE255" s="173">
        <f t="shared" si="650"/>
        <v>0.11</v>
      </c>
      <c r="AF255" s="174">
        <f t="shared" si="651"/>
        <v>0.13</v>
      </c>
      <c r="AG255" s="173">
        <f t="shared" si="652"/>
        <v>-0.1</v>
      </c>
      <c r="AH255" s="173">
        <f t="shared" si="653"/>
        <v>0.65</v>
      </c>
      <c r="AI255" s="174">
        <f t="shared" si="654"/>
        <v>0.1</v>
      </c>
      <c r="AJ255" s="173">
        <f t="shared" si="655"/>
        <v>-0.1</v>
      </c>
      <c r="AK255" s="173">
        <f t="shared" si="656"/>
        <v>0.65</v>
      </c>
      <c r="AL255" s="174">
        <f t="shared" si="657"/>
        <v>0.1</v>
      </c>
      <c r="AM255" s="173">
        <f t="shared" si="658"/>
        <v>-0.01</v>
      </c>
      <c r="AN255" s="173">
        <f t="shared" si="659"/>
        <v>0.16</v>
      </c>
      <c r="AO255" s="174">
        <f t="shared" si="660"/>
        <v>0.01</v>
      </c>
      <c r="AP255" s="173">
        <f t="shared" si="661"/>
        <v>-0.01</v>
      </c>
      <c r="AQ255" s="173">
        <f t="shared" si="662"/>
        <v>0.16</v>
      </c>
      <c r="AR255" s="175">
        <f t="shared" si="663"/>
        <v>0.01</v>
      </c>
      <c r="AS255" s="521">
        <f t="shared" si="699"/>
        <v>0.5</v>
      </c>
      <c r="AT255" s="349">
        <f t="shared" si="697"/>
        <v>22</v>
      </c>
      <c r="AU255" s="159">
        <f t="shared" si="582"/>
        <v>4</v>
      </c>
      <c r="AV255" s="159">
        <f t="shared" si="583"/>
        <v>5</v>
      </c>
      <c r="AW255" s="159">
        <f t="shared" si="700"/>
        <v>0</v>
      </c>
      <c r="AX255" s="15">
        <f t="shared" si="698"/>
        <v>31</v>
      </c>
      <c r="AY255" s="607">
        <f>IF(E255="",0,MIN((1-(1-VLOOKUP(B255,MAIN!$AA$7:$AM$28,C255+1))*(1-VLOOKUP(B255,MAIN!$AA$33:$AM$54,C255+1))),1))</f>
        <v>3.0000000000000027E-2</v>
      </c>
      <c r="AZ255" s="337">
        <v>51216</v>
      </c>
      <c r="BA255" s="509">
        <v>9312</v>
      </c>
      <c r="BB255" s="509">
        <v>11640</v>
      </c>
      <c r="BC255" s="511">
        <v>36084</v>
      </c>
      <c r="BD255" s="153">
        <v>0.96999999638646839</v>
      </c>
      <c r="BE255" s="474">
        <v>0.96999999638646839</v>
      </c>
      <c r="BF255" s="474">
        <v>0.96999999638646839</v>
      </c>
      <c r="BG255" s="515">
        <v>0.97000000722706314</v>
      </c>
      <c r="BH255" s="262">
        <v>204864</v>
      </c>
      <c r="BI255" s="509">
        <v>37248</v>
      </c>
      <c r="BJ255" s="509">
        <v>46560</v>
      </c>
      <c r="BK255" s="511">
        <v>144336</v>
      </c>
      <c r="BL255" s="153">
        <v>0.96999999638646839</v>
      </c>
      <c r="BM255" s="474">
        <v>0.96999999638646839</v>
      </c>
      <c r="BN255" s="474">
        <v>0.96999999638646839</v>
      </c>
      <c r="BO255" s="474">
        <v>0.97000000722706314</v>
      </c>
      <c r="BP255" s="261">
        <f t="shared" si="666"/>
        <v>72168</v>
      </c>
      <c r="BQ255" s="578">
        <f t="shared" si="667"/>
        <v>108252</v>
      </c>
      <c r="BR255" s="259">
        <f t="shared" si="668"/>
        <v>288672</v>
      </c>
      <c r="BS255" s="578">
        <f t="shared" si="669"/>
        <v>433008</v>
      </c>
      <c r="BT255" s="216">
        <f t="shared" si="670"/>
        <v>19.879534565366189</v>
      </c>
      <c r="BU255" s="218">
        <f t="shared" si="585"/>
        <v>44.190292254899418</v>
      </c>
      <c r="BV255" s="216">
        <f t="shared" si="586"/>
        <v>44.190292254899418</v>
      </c>
      <c r="BW255" s="216">
        <f t="shared" si="587"/>
        <v>30.67069711243397</v>
      </c>
      <c r="BX255" s="216">
        <f t="shared" si="671"/>
        <v>30.670697455205723</v>
      </c>
      <c r="BY255" s="216">
        <f t="shared" si="588"/>
        <v>42.009712393211444</v>
      </c>
      <c r="BZ255" s="216">
        <f t="shared" si="589"/>
        <v>38.230040747209536</v>
      </c>
      <c r="CA255" s="264">
        <f t="shared" si="590"/>
        <v>44.190292254899418</v>
      </c>
      <c r="CB255" s="216">
        <f t="shared" si="591"/>
        <v>44.190292254899418</v>
      </c>
      <c r="CC255" s="216">
        <f t="shared" si="592"/>
        <v>30.67069711243397</v>
      </c>
      <c r="CD255" s="216">
        <f t="shared" si="672"/>
        <v>30.670697455205723</v>
      </c>
      <c r="CE255" s="216">
        <f t="shared" si="593"/>
        <v>42.009712393211444</v>
      </c>
      <c r="CF255" s="571">
        <f t="shared" si="594"/>
        <v>38.230040747209536</v>
      </c>
      <c r="CG255" s="573">
        <f t="shared" si="595"/>
        <v>0.1</v>
      </c>
      <c r="CH255" s="219">
        <f t="shared" si="596"/>
        <v>0.1</v>
      </c>
      <c r="CI255" s="219">
        <f t="shared" si="597"/>
        <v>0.11</v>
      </c>
      <c r="CJ255" s="219">
        <f t="shared" si="598"/>
        <v>0.10118806660104997</v>
      </c>
      <c r="CK255" s="219">
        <f t="shared" si="599"/>
        <v>0.10118806660104997</v>
      </c>
      <c r="CL255" s="219">
        <f t="shared" si="600"/>
        <v>0.11</v>
      </c>
      <c r="CM255" s="219">
        <f t="shared" si="601"/>
        <v>9.2733208143694387E-2</v>
      </c>
      <c r="CN255" s="569">
        <f t="shared" si="602"/>
        <v>9.2733208143694387E-2</v>
      </c>
      <c r="CO255" s="264">
        <f t="shared" si="685"/>
        <v>26.622770879184827</v>
      </c>
      <c r="CP255" s="216">
        <f t="shared" si="673"/>
        <v>26.622770879184827</v>
      </c>
      <c r="CQ255" s="216">
        <f t="shared" ca="1" si="703"/>
        <v>26.622770879184827</v>
      </c>
      <c r="CR255" s="216">
        <f t="shared" ca="1" si="704"/>
        <v>26.622770879184827</v>
      </c>
      <c r="CS255" s="1626">
        <f t="shared" ca="1" si="705"/>
        <v>26.622770879184827</v>
      </c>
      <c r="CT255" s="216">
        <f t="shared" si="674"/>
        <v>26.622770879184827</v>
      </c>
      <c r="CU255" s="575">
        <f t="shared" si="603"/>
        <v>0.15</v>
      </c>
      <c r="CV255" s="154">
        <f t="shared" si="604"/>
        <v>0.5</v>
      </c>
      <c r="CW255" s="216">
        <f>IF(OR($BQ255,$BS255),SpreadOptPowerMargin,0)*((1+Assumptions!$C$26)^($B255-YEAR(Assumptions!$C$17)))</f>
        <v>2.5204345545463638</v>
      </c>
      <c r="CX255" s="216">
        <f>IF(OR($BQ255,$BS255),SpreadOptPowerMargin,0)*((1+Assumptions!$C$26)^($B255-YEAR(Assumptions!$C$17)))</f>
        <v>2.5204345545463638</v>
      </c>
      <c r="CY255" s="216">
        <f>IF(OR($BQ255,$BS255),SpreadOptPowerMargin,0)*((1+Assumptions!$C$26)^($B255-YEAR(Assumptions!$C$17)))</f>
        <v>2.5204345545463638</v>
      </c>
      <c r="CZ255" s="216">
        <f>IF(OR($BQ255,$BS255),SpreadOptPowerMargin,0)*((1+Assumptions!$C$26)^($B255-YEAR(Assumptions!$C$17)))</f>
        <v>2.5204345545463638</v>
      </c>
      <c r="DA255" s="440">
        <f t="shared" si="605"/>
        <v>2.5204345545463638</v>
      </c>
      <c r="DB255" s="479">
        <f t="shared" si="606"/>
        <v>0.1</v>
      </c>
      <c r="DC255" s="479">
        <f t="shared" si="607"/>
        <v>0.1</v>
      </c>
      <c r="DD255" s="479">
        <f t="shared" si="608"/>
        <v>0.11</v>
      </c>
      <c r="DE255" s="479">
        <f t="shared" si="609"/>
        <v>0.11</v>
      </c>
      <c r="DF255" s="479">
        <f t="shared" si="610"/>
        <v>9.2733208143694387E-2</v>
      </c>
      <c r="DG255" s="574">
        <f t="shared" si="611"/>
        <v>9.2733208143694387E-2</v>
      </c>
      <c r="DH255" s="216">
        <f t="shared" si="612"/>
        <v>17.577280023904077</v>
      </c>
      <c r="DI255" s="216">
        <f t="shared" si="613"/>
        <v>17.577280023904077</v>
      </c>
      <c r="DJ255" s="216">
        <f t="shared" ca="1" si="706"/>
        <v>7.38831714178776</v>
      </c>
      <c r="DK255" s="216">
        <f t="shared" ca="1" si="707"/>
        <v>7.3883173644959248</v>
      </c>
      <c r="DL255" s="216">
        <f t="shared" ca="1" si="708"/>
        <v>12.613586550150632</v>
      </c>
      <c r="DM255" s="216"/>
      <c r="DN255" s="216"/>
      <c r="DO255" s="216"/>
      <c r="DP255" s="216"/>
      <c r="DQ255" s="216"/>
      <c r="DR255" s="216"/>
      <c r="DS255" s="216"/>
      <c r="DT255" s="216"/>
      <c r="DU255" s="216"/>
      <c r="DV255" s="216"/>
      <c r="DW255" s="1371">
        <f t="shared" si="614"/>
        <v>7.38831714178776</v>
      </c>
      <c r="DX255" s="216">
        <f t="shared" si="615"/>
        <v>7.3883173644959248</v>
      </c>
      <c r="DY255" s="440">
        <f t="shared" si="616"/>
        <v>13.085371730755519</v>
      </c>
      <c r="DZ255" s="180">
        <f t="shared" si="617"/>
        <v>900237.97370427125</v>
      </c>
      <c r="EA255" s="180">
        <f t="shared" si="618"/>
        <v>163679.63158259477</v>
      </c>
      <c r="EB255" s="180">
        <f t="shared" ca="1" si="709"/>
        <v>86000.011530409523</v>
      </c>
      <c r="EC255" s="180">
        <f t="shared" ca="1" si="710"/>
        <v>266600.04378047097</v>
      </c>
      <c r="ED255" s="180">
        <f t="shared" ca="1" si="711"/>
        <v>1365445.9712269062</v>
      </c>
      <c r="EE255" s="581">
        <f t="shared" si="619"/>
        <v>770651.59863295197</v>
      </c>
      <c r="EF255" s="554">
        <f t="shared" si="620"/>
        <v>140118.47247871856</v>
      </c>
      <c r="EG255" s="554">
        <f t="shared" ca="1" si="712"/>
        <v>17780.003140100365</v>
      </c>
      <c r="EH255" s="554">
        <f t="shared" ca="1" si="713"/>
        <v>55118.022102887044</v>
      </c>
      <c r="EI255" s="561">
        <f t="shared" ca="1" si="621"/>
        <v>983668.0963546579</v>
      </c>
      <c r="EJ255" s="581">
        <f t="shared" si="675"/>
        <v>129586.37507131929</v>
      </c>
      <c r="EK255" s="554">
        <f t="shared" si="676"/>
        <v>23561.159103876213</v>
      </c>
      <c r="EL255" s="554">
        <f t="shared" ca="1" si="714"/>
        <v>68220.008390309158</v>
      </c>
      <c r="EM255" s="554">
        <f t="shared" ca="1" si="715"/>
        <v>211482.02167758392</v>
      </c>
      <c r="EN255" s="561">
        <f t="shared" ca="1" si="716"/>
        <v>381777.87487224827</v>
      </c>
      <c r="EO255" s="180">
        <f t="shared" si="622"/>
        <v>3600951.894817085</v>
      </c>
      <c r="EP255" s="180">
        <f t="shared" si="623"/>
        <v>654718.52633037907</v>
      </c>
      <c r="EQ255" s="180">
        <f t="shared" si="624"/>
        <v>344000.04612163809</v>
      </c>
      <c r="ER255" s="180">
        <f t="shared" si="625"/>
        <v>1066400.1751218839</v>
      </c>
      <c r="ES255" s="180">
        <f t="shared" si="626"/>
        <v>5666070.642390986</v>
      </c>
      <c r="ET255" s="1482">
        <f t="shared" ca="1" si="717"/>
        <v>3082606.3945318079</v>
      </c>
      <c r="EU255" s="180">
        <f t="shared" ca="1" si="718"/>
        <v>560473.88991487422</v>
      </c>
      <c r="EV255" s="180">
        <f t="shared" ca="1" si="719"/>
        <v>71120.012560401461</v>
      </c>
      <c r="EW255" s="180">
        <f t="shared" ca="1" si="720"/>
        <v>220472.08841154817</v>
      </c>
      <c r="EX255" s="555">
        <f t="shared" ca="1" si="693"/>
        <v>3934672.3854186316</v>
      </c>
      <c r="EY255" s="180">
        <f t="shared" ca="1" si="721"/>
        <v>518345.50028527714</v>
      </c>
      <c r="EZ255" s="180">
        <f t="shared" ca="1" si="722"/>
        <v>94244.63641550485</v>
      </c>
      <c r="FA255" s="180">
        <f t="shared" ca="1" si="723"/>
        <v>272880.03356123663</v>
      </c>
      <c r="FB255" s="180">
        <f t="shared" ca="1" si="724"/>
        <v>845928.08671033569</v>
      </c>
      <c r="FC255" s="180">
        <f t="shared" ca="1" si="725"/>
        <v>1731398.2569723544</v>
      </c>
      <c r="FD255" s="262">
        <f>IF(AX255,IF(VLOOKUP(C255,MAIN!$L$17:$M$28,2)="Yes",VLOOKUP(CALC!B255,MAIN!$H$17:$I$20,2),0),0)</f>
        <v>0</v>
      </c>
      <c r="FE255" s="623">
        <f t="shared" si="627"/>
        <v>0</v>
      </c>
      <c r="FF255" s="535">
        <f t="shared" si="628"/>
        <v>0</v>
      </c>
      <c r="FG255" s="535">
        <f t="shared" si="629"/>
        <v>0</v>
      </c>
      <c r="FH255" s="624">
        <f t="shared" si="630"/>
        <v>0</v>
      </c>
      <c r="FI255" s="632">
        <f>IF(AX255,VLOOKUP(CALC!B255,MAIN!$H$17:$K$20,4),0)</f>
        <v>0</v>
      </c>
      <c r="FJ255" s="535">
        <f t="shared" si="631"/>
        <v>0</v>
      </c>
      <c r="FK255" s="648">
        <f t="shared" si="677"/>
        <v>0</v>
      </c>
      <c r="FL255" s="530">
        <f t="shared" ca="1" si="726"/>
        <v>0</v>
      </c>
      <c r="FM255" s="530">
        <f t="shared" ca="1" si="727"/>
        <v>0</v>
      </c>
      <c r="FN255" s="530">
        <f t="shared" ca="1" si="728"/>
        <v>0</v>
      </c>
      <c r="FO255" s="622">
        <f t="shared" ca="1" si="729"/>
        <v>0</v>
      </c>
      <c r="FP255" s="530">
        <f t="shared" ca="1" si="730"/>
        <v>0</v>
      </c>
      <c r="FQ255" s="530">
        <f t="shared" ca="1" si="731"/>
        <v>0</v>
      </c>
      <c r="FR255" s="530">
        <f t="shared" ca="1" si="732"/>
        <v>0</v>
      </c>
      <c r="FS255" s="625">
        <f t="shared" ca="1" si="733"/>
        <v>0</v>
      </c>
      <c r="FT255" s="640">
        <f ca="1">IF(AND(Assumptions!$H$71="Yes",A255&gt;=Assumptions!$H$72,A255&lt;=Assumptions!$H$73),0,IF(AND($A255&gt;=Assumptions!$C$17,$A255&lt;=Assumptions!$C$18),MAX(AZ255*(1+VLOOKUP($C255,WeatherCapacityAdjustment,2))-FL255,0),0))</f>
        <v>51216</v>
      </c>
      <c r="FU255" s="530">
        <f ca="1">IF(AND(Assumptions!$H$71="Yes",A255&gt;=Assumptions!$H$72,A255&lt;=Assumptions!$H$73),0,IF(AND($A255&gt;=Assumptions!$C$17,$A255&lt;=Assumptions!$C$18),MAX(BA255*(1+VLOOKUP($C255,WeatherCapacityAdjustment,2))-FM255,0),0))</f>
        <v>9312</v>
      </c>
      <c r="FV255" s="530">
        <f ca="1">IF(AND(Assumptions!$H$71="Yes",A255&gt;=Assumptions!$H$72,A255&lt;=Assumptions!$H$73),0,IF(AND($A255&gt;=Assumptions!$C$17,$A255&lt;=Assumptions!$C$18),MAX(BB255*(1+VLOOKUP($C255,WeatherCapacityAdjustment,2))-FN255,0),0))</f>
        <v>11640</v>
      </c>
      <c r="FW255" s="622">
        <f ca="1">IF(AND(Assumptions!$H$71="Yes",A255&gt;=Assumptions!$H$72,A255&lt;=Assumptions!$H$73),0,IF(AND($A255&gt;=Assumptions!$C$17,$A255&lt;=Assumptions!$C$18),MAX(BC255*(1+VLOOKUP($C255,WeatherCapacityAdjustment,3))-FO255,0),0))</f>
        <v>36084</v>
      </c>
      <c r="FX255" s="621">
        <f ca="1">IF(AND(Assumptions!$H$71="Yes",A255&gt;=Assumptions!$H$72,A255&lt;=Assumptions!$H$73),0,IF(ET255&gt;0,MAX(BH255*(1+VLOOKUP($C255,WeatherCapacityAdjustment,2))-FP255,0),0))</f>
        <v>204864</v>
      </c>
      <c r="FY255" s="530">
        <f ca="1">IF(AND(Assumptions!$H$71="Yes",A255&gt;=Assumptions!$H$72,A255&lt;=Assumptions!$H$73),0,IF(EU255&gt;0,MAX(BI255*(1+VLOOKUP($C255,WeatherCapacityAdjustment,3))-FQ255,0),0))</f>
        <v>37248</v>
      </c>
      <c r="FZ255" s="530">
        <f ca="1">IF(AND(Assumptions!$H$71="Yes",A255&gt;=Assumptions!$H$72,A255&lt;=Assumptions!$H$73),0,IF(EV255&gt;0,MAX(BJ255*(1+VLOOKUP($C255,WeatherCapacityAdjustment,2))-FR255,0),0))</f>
        <v>46560</v>
      </c>
      <c r="GA255" s="622">
        <f ca="1">IF(AND(Assumptions!$H$71="Yes",A255&gt;=Assumptions!$H$72,A255&lt;=Assumptions!$H$73),0,IF(EW255&gt;0,MAX(BK255*(1+VLOOKUP($C255,WeatherCapacityAdjustment,2))-FS255,0),0))</f>
        <v>144336</v>
      </c>
      <c r="GB255" s="530">
        <f t="shared" ca="1" si="632"/>
        <v>541260</v>
      </c>
      <c r="GC255" s="545">
        <f t="shared" ca="1" si="633"/>
        <v>38.230040747209536</v>
      </c>
      <c r="GD255" s="530">
        <f t="shared" ca="1" si="734"/>
        <v>20692391.854834635</v>
      </c>
      <c r="GE255" s="1485">
        <f t="shared" ca="1" si="735"/>
        <v>776223.13104000001</v>
      </c>
      <c r="GF255" s="1776">
        <f t="shared" ca="1" si="736"/>
        <v>3104892.52416</v>
      </c>
      <c r="GG255" s="545">
        <f t="shared" si="701"/>
        <v>3.7128089565589151</v>
      </c>
      <c r="GH255" s="622">
        <f t="shared" ca="1" si="702"/>
        <v>14409840.966067582</v>
      </c>
      <c r="GI255" s="621">
        <f t="shared" ca="1" si="678"/>
        <v>541260</v>
      </c>
      <c r="GJ255" s="638">
        <f t="shared" si="634"/>
        <v>2.5204345545463638</v>
      </c>
      <c r="GK255" s="625">
        <f t="shared" ca="1" si="684"/>
        <v>1364210.4069937649</v>
      </c>
      <c r="GL255" s="640">
        <f t="shared" ca="1" si="737"/>
        <v>0</v>
      </c>
      <c r="GM255" s="530">
        <f t="shared" ca="1" si="738"/>
        <v>0</v>
      </c>
      <c r="GN255" s="530">
        <f t="shared" ca="1" si="739"/>
        <v>0</v>
      </c>
      <c r="GO255" s="622">
        <f t="shared" ca="1" si="740"/>
        <v>0</v>
      </c>
      <c r="GP255" s="530">
        <f t="shared" ca="1" si="635"/>
        <v>0</v>
      </c>
      <c r="GQ255" s="545">
        <f t="shared" ca="1" si="636"/>
        <v>0</v>
      </c>
      <c r="GR255" s="625">
        <f t="shared" ca="1" si="741"/>
        <v>0</v>
      </c>
      <c r="GS255" s="640">
        <f>IF($A255&gt;=BegDate,Assumptions!$C$56*24*($A256-$A255)*(1-VLOOKUP($B255,MAIN!$AA$7:$AM$28,$C255+1))*(1-VLOOKUP($B255,MAIN!$AA$33:$AM$54,$C255+1)),0)*80/168</f>
        <v>257742.85714285713</v>
      </c>
      <c r="GT255" s="1715">
        <f t="shared" si="679"/>
        <v>44.190292419521086</v>
      </c>
      <c r="GU255" s="1715">
        <f>IF($A255&gt;=BegDate,VLOOKUP($A255,GasTable,13)+Assumptions!$C$58,0)</f>
        <v>3.7128089565589151</v>
      </c>
      <c r="GV255" s="1715">
        <f>GU255*Assumptions!$C$57/1000</f>
        <v>26.917864935052133</v>
      </c>
      <c r="GW255" s="625">
        <f>IF(Assumptions!$C$60="Hourly",MAX(0,GS255*(GT255-GV255)),GS255*(GT255-GV255))</f>
        <v>4451844.8096398404</v>
      </c>
      <c r="GX255" s="640">
        <f>IF($A255&gt;=BegDate,Assumptions!$C$56*24*($A256-$A255)*(1-VLOOKUP($B255,MAIN!$AA$7:$AM$28,$C255+1))*(1-VLOOKUP($B255,MAIN!$AA$33:$AM$54,$C255+1)),0)*16/168</f>
        <v>51548.571428571428</v>
      </c>
      <c r="GY255" s="1715">
        <f t="shared" si="680"/>
        <v>44.190292419521086</v>
      </c>
      <c r="GZ255" s="1715">
        <f>IF($A255&gt;=BegDate,VLOOKUP($A255,GasTable,13)+Assumptions!$C$58,0)</f>
        <v>3.7128089565589151</v>
      </c>
      <c r="HA255" s="1715">
        <f>GZ255*Assumptions!$C$57/1000</f>
        <v>26.917864935052133</v>
      </c>
      <c r="HB255" s="625">
        <f>IF(Assumptions!$C$60="Hourly",MAX(0,GX255*(GY255-HA255)),GX255*(GY255-HA255))</f>
        <v>890368.96192796808</v>
      </c>
      <c r="HC255" s="640">
        <f>IF($A255&gt;=BegDate,Assumptions!$C$56*24*($A256-$A255)*(1-VLOOKUP($B255,MAIN!$AA$7:$AM$28,$C255+1))*(1-VLOOKUP($B255,MAIN!$AA$33:$AM$54,$C255+1)),0)*16/168</f>
        <v>51548.571428571428</v>
      </c>
      <c r="HD255" s="1715">
        <f t="shared" si="681"/>
        <v>30.670697226691221</v>
      </c>
      <c r="HE255" s="1715">
        <f>IF($A255&gt;=BegDate,VLOOKUP($A255,GasTable,13)+Assumptions!$C$58,0)</f>
        <v>3.7128089565589151</v>
      </c>
      <c r="HF255" s="1715">
        <f>HE255*Assumptions!$C$57/1000</f>
        <v>26.917864935052133</v>
      </c>
      <c r="HG255" s="625">
        <f>IF(Assumptions!$C$60="Hourly",MAX(0,HC255*(HD255-HF255)),HC255*(HD255-HF255))</f>
        <v>193453.14344500692</v>
      </c>
      <c r="HH255" s="640">
        <f>IF($A255&gt;=BegDate,Assumptions!$C$56*24*($A256-$A255)*(1-VLOOKUP($B255,MAIN!$AA$7:$AM$28,$C255+1))*(1-VLOOKUP($B255,MAIN!$AA$33:$AM$54,$C255+1)),0)*56/168</f>
        <v>180420</v>
      </c>
      <c r="HI255" s="1715">
        <f t="shared" si="682"/>
        <v>30.670697226691221</v>
      </c>
      <c r="HJ255" s="1715">
        <f>IF($A255&gt;=BegDate,VLOOKUP($A255,GasTable,13)+Assumptions!$C$58,0)</f>
        <v>3.7128089565589151</v>
      </c>
      <c r="HK255" s="1715">
        <f>HJ255*Assumptions!$C$57/1000</f>
        <v>26.917864935052133</v>
      </c>
      <c r="HL255" s="625">
        <f>IF(Assumptions!$C$60="Hourly",MAX(0,HH255*(HI255-HK255)),HH255*(HI255-HK255))</f>
        <v>677086.00205752417</v>
      </c>
      <c r="HM255" s="640">
        <f>IF(AND(Assumptions!$H$71="Yes",A255&gt;=Assumptions!$H$72,A255&lt;=Assumptions!$H$73),Assumptions!$H$74*Assumptions!$C$9*1000,0)</f>
        <v>0</v>
      </c>
      <c r="HN255" s="530"/>
      <c r="HO255" s="545"/>
      <c r="HP255" s="545"/>
      <c r="HQ255" s="545"/>
      <c r="HR255" s="545"/>
      <c r="HS255" s="545"/>
      <c r="HT255" s="545"/>
      <c r="HU255" s="545"/>
      <c r="HV255" s="545"/>
      <c r="HW255" s="545"/>
      <c r="HX255" s="545"/>
      <c r="HY255" s="545"/>
      <c r="HZ255" s="545"/>
      <c r="IA255" s="545"/>
      <c r="IB255" s="545"/>
      <c r="IC255" s="545"/>
      <c r="ID255" s="545"/>
      <c r="IE255" s="545"/>
      <c r="IF255" s="545"/>
      <c r="IG255" s="545"/>
      <c r="IH255" s="545"/>
      <c r="II255" s="1464"/>
      <c r="IJ255" s="1463"/>
      <c r="IK255" s="1463"/>
    </row>
    <row r="256" spans="1:245">
      <c r="A256" s="177">
        <f t="shared" si="637"/>
        <v>43922</v>
      </c>
      <c r="B256" s="349">
        <f t="shared" si="638"/>
        <v>2020</v>
      </c>
      <c r="C256" s="15">
        <f t="shared" si="694"/>
        <v>4</v>
      </c>
      <c r="D256" s="612" t="str">
        <f t="shared" si="639"/>
        <v/>
      </c>
      <c r="E256" s="609">
        <f t="shared" si="695"/>
        <v>43922</v>
      </c>
      <c r="F256" s="614">
        <f t="shared" si="696"/>
        <v>43951</v>
      </c>
      <c r="G256" s="1349">
        <v>0</v>
      </c>
      <c r="H256" s="152">
        <f t="shared" si="683"/>
        <v>1</v>
      </c>
      <c r="I256" s="154">
        <f>IF(Assumptions!$L$25=4,VLOOKUP($A256,'Henwood Reference'!$E$9:$R$320,10),(VLOOKUP($A256,PriceTable,2,0)+IF(BasisNumber&lt;&gt;1,VLOOKUP($A256,BasisTable,2,0),0)+I$1)/(1-I$2))</f>
        <v>42.853385547359352</v>
      </c>
      <c r="J256" s="154">
        <f>IF(Assumptions!$L$25=4,VLOOKUP($A256,'Henwood Reference'!$E$9:$R$320,10),(VLOOKUP($A256,PriceTable,3,0)+IF(BasisNumber&lt;&gt;1,VLOOKUP($A256,BasisTable,2,0),0)+J$1)/(1-J$2))</f>
        <v>42.853385547359352</v>
      </c>
      <c r="K256" s="154">
        <f>IF(Assumptions!$L$25=4,VLOOKUP($A256,'Henwood Reference'!$E$9:$R$320,10),(VLOOKUP($A256,PriceTable,4,0)+IF(BasisNumber&lt;&gt;1,VLOOKUP($A256,BasisTable,2,0),0)+K$1)/(1-K$2))</f>
        <v>42.853385547359352</v>
      </c>
      <c r="L256" s="474">
        <f>IF(Assumptions!$L$25=4,VLOOKUP($A256,'Henwood Reference'!$E$9:$R$320,10),(VLOOKUP($A256,PriceTableWeekend,2,0)+IF(BasisNumber&lt;&gt;1,VLOOKUP($A256,BasisTable,2,0),0)+L$1)/(1-L$2))</f>
        <v>42.853385547359352</v>
      </c>
      <c r="M256" s="154">
        <f>IF(Assumptions!$L$25=4,VLOOKUP($A256,'Henwood Reference'!$E$9:$R$320,10),(VLOOKUP($A256,PriceTableWeekend,3,0)+IF(BasisNumber&lt;&gt;1,VLOOKUP($A256,BasisTable,2,0),0)+M$1)/(1-M$2))</f>
        <v>42.853385547359352</v>
      </c>
      <c r="N256" s="156">
        <f>IF(Assumptions!$L$25=4,VLOOKUP($A256,'Henwood Reference'!$E$9:$R$320,10),(VLOOKUP($A256,PriceTableWeekend,4,0)+IF(BasisNumber&lt;&gt;1,VLOOKUP($A256,BasisTable,2,0),0)+N$1)/(1-N$2))</f>
        <v>42.853385547359352</v>
      </c>
      <c r="O256" s="154">
        <f>IF(Assumptions!$L$25=4,VLOOKUP($A256,'Henwood Reference'!$E$9:$R$320,11),(VLOOKUP($A256,PriceTableWeekend,6,0)+IF(BasisNumber&lt;&gt;1,VLOOKUP($A256,BasisTable,3,0),0)+O$1)/(1-O$2))</f>
        <v>29.879876022551539</v>
      </c>
      <c r="P256" s="154">
        <f>IF(Assumptions!$L$25=4,VLOOKUP($A256,'Henwood Reference'!$E$9:$R$320,11),(VLOOKUP($A256,PriceTableWeekend,7,0)+IF(BasisNumber&lt;&gt;1,VLOOKUP($A256,BasisTable,3,0),0)+P$1)/(1-P$2))</f>
        <v>29.879876022551539</v>
      </c>
      <c r="Q256" s="156">
        <f>IF(Assumptions!$L$25=4,VLOOKUP($A256,'Henwood Reference'!$E$9:$R$320,11),(VLOOKUP($A256,PriceTableWeekend,8,0)+IF(BasisNumber&lt;&gt;1,VLOOKUP($A256,BasisTable,3,0),0)+Q$1)/(1-Q$2))</f>
        <v>29.879876022551539</v>
      </c>
      <c r="R256" s="154">
        <f>IF(Assumptions!$L$25=4,VLOOKUP($A256,'Henwood Reference'!$E$9:$R$320,11),(VLOOKUP($A256,PriceTable,6,0)+IF(BasisNumber&lt;&gt;1,VLOOKUP($A256,BasisTable,3,0),0)+R$1)/(1-R$2))</f>
        <v>29.879876022551539</v>
      </c>
      <c r="S256" s="154">
        <f>IF(Assumptions!$L$25=4,VLOOKUP($A256,'Henwood Reference'!$E$9:$R$320,11),(VLOOKUP($A256,PriceTable,7,0)+IF(BasisNumber&lt;&gt;1,VLOOKUP($A256,BasisTable,3,0),0)+S$1)/(1-S$2))</f>
        <v>29.879876022551539</v>
      </c>
      <c r="T256" s="155">
        <f>IF(Assumptions!$L$25=4,VLOOKUP($A256,'Henwood Reference'!$E$9:$R$320,11),(VLOOKUP($A256,PriceTable,8,0)+IF(BasisNumber&lt;&gt;1,VLOOKUP($A256,BasisTable,3,0),0)+T$1)/(1-T$2))</f>
        <v>29.879876022551539</v>
      </c>
      <c r="U256" s="173">
        <f t="shared" si="640"/>
        <v>0.09</v>
      </c>
      <c r="V256" s="173">
        <f t="shared" si="641"/>
        <v>0.1</v>
      </c>
      <c r="W256" s="174">
        <f t="shared" si="642"/>
        <v>0.11</v>
      </c>
      <c r="X256" s="173">
        <f t="shared" si="643"/>
        <v>0.09</v>
      </c>
      <c r="Y256" s="173">
        <f t="shared" si="644"/>
        <v>0.1</v>
      </c>
      <c r="Z256" s="174">
        <f t="shared" si="645"/>
        <v>0.11</v>
      </c>
      <c r="AA256" s="173">
        <f t="shared" si="646"/>
        <v>0.09</v>
      </c>
      <c r="AB256" s="173">
        <f t="shared" si="647"/>
        <v>0.11</v>
      </c>
      <c r="AC256" s="174">
        <f t="shared" si="648"/>
        <v>0.13</v>
      </c>
      <c r="AD256" s="173">
        <f t="shared" si="649"/>
        <v>0.09</v>
      </c>
      <c r="AE256" s="173">
        <f t="shared" si="650"/>
        <v>0.11</v>
      </c>
      <c r="AF256" s="174">
        <f t="shared" si="651"/>
        <v>0.13</v>
      </c>
      <c r="AG256" s="173">
        <f t="shared" si="652"/>
        <v>-0.1</v>
      </c>
      <c r="AH256" s="173">
        <f t="shared" si="653"/>
        <v>0.65</v>
      </c>
      <c r="AI256" s="174">
        <f t="shared" si="654"/>
        <v>0.1</v>
      </c>
      <c r="AJ256" s="173">
        <f t="shared" si="655"/>
        <v>-0.1</v>
      </c>
      <c r="AK256" s="173">
        <f t="shared" si="656"/>
        <v>0.65</v>
      </c>
      <c r="AL256" s="174">
        <f t="shared" si="657"/>
        <v>0.1</v>
      </c>
      <c r="AM256" s="173">
        <f t="shared" si="658"/>
        <v>-0.01</v>
      </c>
      <c r="AN256" s="173">
        <f t="shared" si="659"/>
        <v>0.16</v>
      </c>
      <c r="AO256" s="174">
        <f t="shared" si="660"/>
        <v>0.01</v>
      </c>
      <c r="AP256" s="173">
        <f t="shared" si="661"/>
        <v>-0.01</v>
      </c>
      <c r="AQ256" s="173">
        <f t="shared" si="662"/>
        <v>0.16</v>
      </c>
      <c r="AR256" s="175">
        <f t="shared" si="663"/>
        <v>0.01</v>
      </c>
      <c r="AS256" s="521">
        <f t="shared" si="699"/>
        <v>0.5</v>
      </c>
      <c r="AT256" s="349">
        <f t="shared" si="697"/>
        <v>22</v>
      </c>
      <c r="AU256" s="159">
        <f t="shared" si="582"/>
        <v>4</v>
      </c>
      <c r="AV256" s="159">
        <f t="shared" si="583"/>
        <v>4</v>
      </c>
      <c r="AW256" s="159">
        <f t="shared" si="700"/>
        <v>0</v>
      </c>
      <c r="AX256" s="15">
        <f t="shared" si="698"/>
        <v>30</v>
      </c>
      <c r="AY256" s="607">
        <f>IF(E256="",0,MIN((1-(1-VLOOKUP(B256,MAIN!$AA$7:$AM$28,C256+1))*(1-VLOOKUP(B256,MAIN!$AA$33:$AM$54,C256+1))),1))</f>
        <v>0.127</v>
      </c>
      <c r="AZ256" s="337">
        <v>46094.400000000001</v>
      </c>
      <c r="BA256" s="509">
        <v>8380.7999999999993</v>
      </c>
      <c r="BB256" s="509">
        <v>8380.7999999999993</v>
      </c>
      <c r="BC256" s="511">
        <v>31428</v>
      </c>
      <c r="BD256" s="153">
        <v>0.873</v>
      </c>
      <c r="BE256" s="474">
        <v>0.873</v>
      </c>
      <c r="BF256" s="474">
        <v>0.873</v>
      </c>
      <c r="BG256" s="515">
        <v>0.87300000650435683</v>
      </c>
      <c r="BH256" s="262">
        <v>184377.60000000001</v>
      </c>
      <c r="BI256" s="509">
        <v>33523.199999999997</v>
      </c>
      <c r="BJ256" s="509">
        <v>33523.199999999997</v>
      </c>
      <c r="BK256" s="511">
        <v>125712</v>
      </c>
      <c r="BL256" s="153">
        <v>0.873</v>
      </c>
      <c r="BM256" s="474">
        <v>0.873</v>
      </c>
      <c r="BN256" s="474">
        <v>0.873</v>
      </c>
      <c r="BO256" s="474">
        <v>0.87300000650435683</v>
      </c>
      <c r="BP256" s="261">
        <f t="shared" si="666"/>
        <v>62856</v>
      </c>
      <c r="BQ256" s="578">
        <f t="shared" si="667"/>
        <v>94284</v>
      </c>
      <c r="BR256" s="259">
        <f t="shared" si="668"/>
        <v>251424</v>
      </c>
      <c r="BS256" s="578">
        <f t="shared" si="669"/>
        <v>377136</v>
      </c>
      <c r="BT256" s="216">
        <f t="shared" si="670"/>
        <v>19.964407939767284</v>
      </c>
      <c r="BU256" s="218">
        <f t="shared" si="585"/>
        <v>42.853385547359352</v>
      </c>
      <c r="BV256" s="216">
        <f t="shared" si="586"/>
        <v>42.853385547359352</v>
      </c>
      <c r="BW256" s="216">
        <f t="shared" si="587"/>
        <v>29.879876022551539</v>
      </c>
      <c r="BX256" s="216">
        <f t="shared" si="671"/>
        <v>29.879876245173961</v>
      </c>
      <c r="BY256" s="216">
        <f t="shared" si="588"/>
        <v>41.123584277384971</v>
      </c>
      <c r="BZ256" s="216">
        <f t="shared" si="589"/>
        <v>37.375681599981306</v>
      </c>
      <c r="CA256" s="264">
        <f t="shared" si="590"/>
        <v>42.853385547359352</v>
      </c>
      <c r="CB256" s="216">
        <f t="shared" si="591"/>
        <v>42.853385547359352</v>
      </c>
      <c r="CC256" s="216">
        <f t="shared" si="592"/>
        <v>29.879876022551539</v>
      </c>
      <c r="CD256" s="216">
        <f t="shared" si="672"/>
        <v>29.879876245173961</v>
      </c>
      <c r="CE256" s="216">
        <f t="shared" si="593"/>
        <v>41.123584277384971</v>
      </c>
      <c r="CF256" s="571">
        <f t="shared" si="594"/>
        <v>37.375681599981306</v>
      </c>
      <c r="CG256" s="573">
        <f t="shared" si="595"/>
        <v>0.1</v>
      </c>
      <c r="CH256" s="219">
        <f t="shared" si="596"/>
        <v>0.1</v>
      </c>
      <c r="CI256" s="219">
        <f t="shared" si="597"/>
        <v>0.11</v>
      </c>
      <c r="CJ256" s="219">
        <f t="shared" si="598"/>
        <v>0.1009776544617315</v>
      </c>
      <c r="CK256" s="219">
        <f t="shared" si="599"/>
        <v>0.1009776544617315</v>
      </c>
      <c r="CL256" s="219">
        <f t="shared" si="600"/>
        <v>0.11</v>
      </c>
      <c r="CM256" s="219">
        <f t="shared" si="601"/>
        <v>9.2600488505511835E-2</v>
      </c>
      <c r="CN256" s="569">
        <f t="shared" si="602"/>
        <v>9.2600488505511835E-2</v>
      </c>
      <c r="CO256" s="264">
        <f t="shared" si="685"/>
        <v>25.791272680743287</v>
      </c>
      <c r="CP256" s="216">
        <f t="shared" si="673"/>
        <v>25.791272680743287</v>
      </c>
      <c r="CQ256" s="216">
        <f t="shared" ca="1" si="703"/>
        <v>25.791272680743287</v>
      </c>
      <c r="CR256" s="216">
        <f t="shared" ca="1" si="704"/>
        <v>25.791272680743287</v>
      </c>
      <c r="CS256" s="1626">
        <f t="shared" ca="1" si="705"/>
        <v>25.791272680743283</v>
      </c>
      <c r="CT256" s="216">
        <f t="shared" si="674"/>
        <v>25.791272680743287</v>
      </c>
      <c r="CU256" s="575">
        <f t="shared" si="603"/>
        <v>0.15</v>
      </c>
      <c r="CV256" s="154">
        <f t="shared" si="604"/>
        <v>0.5</v>
      </c>
      <c r="CW256" s="216">
        <f>IF(OR($BQ256,$BS256),SpreadOptPowerMargin,0)*((1+Assumptions!$C$26)^($B256-YEAR(Assumptions!$C$17)))</f>
        <v>2.5204345545463638</v>
      </c>
      <c r="CX256" s="216">
        <f>IF(OR($BQ256,$BS256),SpreadOptPowerMargin,0)*((1+Assumptions!$C$26)^($B256-YEAR(Assumptions!$C$17)))</f>
        <v>2.5204345545463638</v>
      </c>
      <c r="CY256" s="216">
        <f>IF(OR($BQ256,$BS256),SpreadOptPowerMargin,0)*((1+Assumptions!$C$26)^($B256-YEAR(Assumptions!$C$17)))</f>
        <v>2.5204345545463638</v>
      </c>
      <c r="CZ256" s="216">
        <f>IF(OR($BQ256,$BS256),SpreadOptPowerMargin,0)*((1+Assumptions!$C$26)^($B256-YEAR(Assumptions!$C$17)))</f>
        <v>2.5204345545463638</v>
      </c>
      <c r="DA256" s="440">
        <f t="shared" si="605"/>
        <v>2.5204345545463642</v>
      </c>
      <c r="DB256" s="479">
        <f t="shared" si="606"/>
        <v>0.1</v>
      </c>
      <c r="DC256" s="479">
        <f t="shared" si="607"/>
        <v>0.1</v>
      </c>
      <c r="DD256" s="479">
        <f t="shared" si="608"/>
        <v>0.11</v>
      </c>
      <c r="DE256" s="479">
        <f t="shared" si="609"/>
        <v>0.11</v>
      </c>
      <c r="DF256" s="479">
        <f t="shared" si="610"/>
        <v>9.2600488505511835E-2</v>
      </c>
      <c r="DG256" s="574">
        <f t="shared" si="611"/>
        <v>9.2600488505511835E-2</v>
      </c>
      <c r="DH256" s="216">
        <f t="shared" si="612"/>
        <v>17.01204198361247</v>
      </c>
      <c r="DI256" s="216">
        <f t="shared" si="613"/>
        <v>17.01204198361247</v>
      </c>
      <c r="DJ256" s="216">
        <f t="shared" ca="1" si="706"/>
        <v>7.2332769729602147</v>
      </c>
      <c r="DK256" s="216">
        <f t="shared" ca="1" si="707"/>
        <v>7.2332771180483117</v>
      </c>
      <c r="DL256" s="216">
        <f t="shared" ca="1" si="708"/>
        <v>12.438149372661124</v>
      </c>
      <c r="DM256" s="216"/>
      <c r="DN256" s="216"/>
      <c r="DO256" s="216"/>
      <c r="DP256" s="216"/>
      <c r="DQ256" s="216"/>
      <c r="DR256" s="216"/>
      <c r="DS256" s="216"/>
      <c r="DT256" s="216"/>
      <c r="DU256" s="216"/>
      <c r="DV256" s="216"/>
      <c r="DW256" s="1371">
        <f t="shared" si="614"/>
        <v>7.2332769729602147</v>
      </c>
      <c r="DX256" s="216">
        <f t="shared" si="615"/>
        <v>7.2332771180483117</v>
      </c>
      <c r="DY256" s="440">
        <f t="shared" si="616"/>
        <v>12.88323013858866</v>
      </c>
      <c r="DZ256" s="180">
        <f t="shared" si="617"/>
        <v>784159.86800942663</v>
      </c>
      <c r="EA256" s="180">
        <f t="shared" si="618"/>
        <v>142574.52145625936</v>
      </c>
      <c r="EB256" s="180">
        <f t="shared" ca="1" si="709"/>
        <v>60620.647654984961</v>
      </c>
      <c r="EC256" s="180">
        <f t="shared" ca="1" si="710"/>
        <v>227327.43326602233</v>
      </c>
      <c r="ED256" s="180">
        <f t="shared" ca="1" si="711"/>
        <v>1172718.4754519814</v>
      </c>
      <c r="EE256" s="581">
        <f t="shared" si="619"/>
        <v>670289.93678786571</v>
      </c>
      <c r="EF256" s="554">
        <f t="shared" si="620"/>
        <v>121870.89759779375</v>
      </c>
      <c r="EG256" s="554">
        <f t="shared" ca="1" si="712"/>
        <v>13142.508972284442</v>
      </c>
      <c r="EH256" s="554">
        <f t="shared" ca="1" si="713"/>
        <v>49284.415642644133</v>
      </c>
      <c r="EI256" s="561">
        <f t="shared" ca="1" si="621"/>
        <v>854587.75900058844</v>
      </c>
      <c r="EJ256" s="581">
        <f t="shared" si="675"/>
        <v>113869.93122156092</v>
      </c>
      <c r="EK256" s="554">
        <f t="shared" si="676"/>
        <v>20703.623858465609</v>
      </c>
      <c r="EL256" s="554">
        <f t="shared" ca="1" si="714"/>
        <v>47478.138682700519</v>
      </c>
      <c r="EM256" s="554">
        <f t="shared" ca="1" si="715"/>
        <v>178043.0176233782</v>
      </c>
      <c r="EN256" s="561">
        <f t="shared" ca="1" si="716"/>
        <v>318130.71645139297</v>
      </c>
      <c r="EO256" s="180">
        <f t="shared" si="622"/>
        <v>3136639.4720377065</v>
      </c>
      <c r="EP256" s="180">
        <f t="shared" si="623"/>
        <v>570298.08582503744</v>
      </c>
      <c r="EQ256" s="180">
        <f t="shared" si="624"/>
        <v>242482.59061993985</v>
      </c>
      <c r="ER256" s="180">
        <f t="shared" si="625"/>
        <v>909309.73306408932</v>
      </c>
      <c r="ES256" s="180">
        <f t="shared" si="626"/>
        <v>4858729.881546773</v>
      </c>
      <c r="ET256" s="1482">
        <f t="shared" ca="1" si="717"/>
        <v>2681159.7471514628</v>
      </c>
      <c r="EU256" s="180">
        <f t="shared" ca="1" si="718"/>
        <v>487483.59039117501</v>
      </c>
      <c r="EV256" s="180">
        <f t="shared" ca="1" si="719"/>
        <v>52570.035889137769</v>
      </c>
      <c r="EW256" s="180">
        <f t="shared" ca="1" si="720"/>
        <v>197137.66257057653</v>
      </c>
      <c r="EX256" s="555">
        <f t="shared" ca="1" si="693"/>
        <v>3418351.0360023524</v>
      </c>
      <c r="EY256" s="180">
        <f t="shared" ca="1" si="721"/>
        <v>455479.7248862437</v>
      </c>
      <c r="EZ256" s="180">
        <f t="shared" ca="1" si="722"/>
        <v>82814.495433862437</v>
      </c>
      <c r="FA256" s="180">
        <f t="shared" ca="1" si="723"/>
        <v>189912.55473080208</v>
      </c>
      <c r="FB256" s="180">
        <f t="shared" ca="1" si="724"/>
        <v>712172.07049351279</v>
      </c>
      <c r="FC256" s="180">
        <f t="shared" ca="1" si="725"/>
        <v>1440378.8455444206</v>
      </c>
      <c r="FD256" s="262">
        <f>IF(AX256,IF(VLOOKUP(C256,MAIN!$L$17:$M$28,2)="Yes",VLOOKUP(CALC!B256,MAIN!$H$17:$I$20,2),0),0)</f>
        <v>0</v>
      </c>
      <c r="FE256" s="623">
        <f t="shared" si="627"/>
        <v>0</v>
      </c>
      <c r="FF256" s="535">
        <f t="shared" si="628"/>
        <v>0</v>
      </c>
      <c r="FG256" s="535">
        <f t="shared" si="629"/>
        <v>0</v>
      </c>
      <c r="FH256" s="624">
        <f t="shared" si="630"/>
        <v>0</v>
      </c>
      <c r="FI256" s="632">
        <f>IF(AX256,VLOOKUP(CALC!B256,MAIN!$H$17:$K$20,4),0)</f>
        <v>0</v>
      </c>
      <c r="FJ256" s="535">
        <f t="shared" si="631"/>
        <v>0</v>
      </c>
      <c r="FK256" s="648">
        <f t="shared" si="677"/>
        <v>0</v>
      </c>
      <c r="FL256" s="530">
        <f t="shared" ca="1" si="726"/>
        <v>0</v>
      </c>
      <c r="FM256" s="530">
        <f t="shared" ca="1" si="727"/>
        <v>0</v>
      </c>
      <c r="FN256" s="530">
        <f t="shared" ca="1" si="728"/>
        <v>0</v>
      </c>
      <c r="FO256" s="622">
        <f t="shared" ca="1" si="729"/>
        <v>0</v>
      </c>
      <c r="FP256" s="530">
        <f t="shared" ca="1" si="730"/>
        <v>0</v>
      </c>
      <c r="FQ256" s="530">
        <f t="shared" ca="1" si="731"/>
        <v>0</v>
      </c>
      <c r="FR256" s="530">
        <f t="shared" ca="1" si="732"/>
        <v>0</v>
      </c>
      <c r="FS256" s="625">
        <f t="shared" ca="1" si="733"/>
        <v>0</v>
      </c>
      <c r="FT256" s="640">
        <f ca="1">IF(AND(Assumptions!$H$71="Yes",A256&gt;=Assumptions!$H$72,A256&lt;=Assumptions!$H$73),0,IF(AND($A256&gt;=Assumptions!$C$17,$A256&lt;=Assumptions!$C$18),MAX(AZ256*(1+VLOOKUP($C256,WeatherCapacityAdjustment,2))-FL256,0),0))</f>
        <v>46094.400000000001</v>
      </c>
      <c r="FU256" s="530">
        <f ca="1">IF(AND(Assumptions!$H$71="Yes",A256&gt;=Assumptions!$H$72,A256&lt;=Assumptions!$H$73),0,IF(AND($A256&gt;=Assumptions!$C$17,$A256&lt;=Assumptions!$C$18),MAX(BA256*(1+VLOOKUP($C256,WeatherCapacityAdjustment,2))-FM256,0),0))</f>
        <v>8380.7999999999993</v>
      </c>
      <c r="FV256" s="530">
        <f ca="1">IF(AND(Assumptions!$H$71="Yes",A256&gt;=Assumptions!$H$72,A256&lt;=Assumptions!$H$73),0,IF(AND($A256&gt;=Assumptions!$C$17,$A256&lt;=Assumptions!$C$18),MAX(BB256*(1+VLOOKUP($C256,WeatherCapacityAdjustment,2))-FN256,0),0))</f>
        <v>8380.7999999999993</v>
      </c>
      <c r="FW256" s="622">
        <f ca="1">IF(AND(Assumptions!$H$71="Yes",A256&gt;=Assumptions!$H$72,A256&lt;=Assumptions!$H$73),0,IF(AND($A256&gt;=Assumptions!$C$17,$A256&lt;=Assumptions!$C$18),MAX(BC256*(1+VLOOKUP($C256,WeatherCapacityAdjustment,3))-FO256,0),0))</f>
        <v>31428</v>
      </c>
      <c r="FX256" s="621">
        <f ca="1">IF(AND(Assumptions!$H$71="Yes",A256&gt;=Assumptions!$H$72,A256&lt;=Assumptions!$H$73),0,IF(ET256&gt;0,MAX(BH256*(1+VLOOKUP($C256,WeatherCapacityAdjustment,2))-FP256,0),0))</f>
        <v>184377.60000000001</v>
      </c>
      <c r="FY256" s="530">
        <f ca="1">IF(AND(Assumptions!$H$71="Yes",A256&gt;=Assumptions!$H$72,A256&lt;=Assumptions!$H$73),0,IF(EU256&gt;0,MAX(BI256*(1+VLOOKUP($C256,WeatherCapacityAdjustment,3))-FQ256,0),0))</f>
        <v>33523.199999999997</v>
      </c>
      <c r="FZ256" s="530">
        <f ca="1">IF(AND(Assumptions!$H$71="Yes",A256&gt;=Assumptions!$H$72,A256&lt;=Assumptions!$H$73),0,IF(EV256&gt;0,MAX(BJ256*(1+VLOOKUP($C256,WeatherCapacityAdjustment,2))-FR256,0),0))</f>
        <v>33523.199999999997</v>
      </c>
      <c r="GA256" s="622">
        <f ca="1">IF(AND(Assumptions!$H$71="Yes",A256&gt;=Assumptions!$H$72,A256&lt;=Assumptions!$H$73),0,IF(EW256&gt;0,MAX(BK256*(1+VLOOKUP($C256,WeatherCapacityAdjustment,2))-FS256,0),0))</f>
        <v>125712</v>
      </c>
      <c r="GB256" s="530">
        <f t="shared" ca="1" si="632"/>
        <v>471420</v>
      </c>
      <c r="GC256" s="545">
        <f t="shared" ca="1" si="633"/>
        <v>37.375681599981299</v>
      </c>
      <c r="GD256" s="530">
        <f t="shared" ca="1" si="734"/>
        <v>17619643.819863185</v>
      </c>
      <c r="GE256" s="1485">
        <f t="shared" ca="1" si="735"/>
        <v>676342.50263999996</v>
      </c>
      <c r="GF256" s="1776">
        <f t="shared" ca="1" si="736"/>
        <v>2705370.0105599998</v>
      </c>
      <c r="GG256" s="545">
        <f t="shared" si="701"/>
        <v>3.595374154277474</v>
      </c>
      <c r="GH256" s="622">
        <f t="shared" ca="1" si="702"/>
        <v>12158521.767156001</v>
      </c>
      <c r="GI256" s="621">
        <f t="shared" ca="1" si="678"/>
        <v>471420</v>
      </c>
      <c r="GJ256" s="638">
        <f t="shared" si="634"/>
        <v>2.5204345545463642</v>
      </c>
      <c r="GK256" s="625">
        <f t="shared" ca="1" si="684"/>
        <v>1188183.257704247</v>
      </c>
      <c r="GL256" s="640">
        <f t="shared" ca="1" si="737"/>
        <v>0</v>
      </c>
      <c r="GM256" s="530">
        <f t="shared" ca="1" si="738"/>
        <v>0</v>
      </c>
      <c r="GN256" s="530">
        <f t="shared" ca="1" si="739"/>
        <v>0</v>
      </c>
      <c r="GO256" s="622">
        <f t="shared" ca="1" si="740"/>
        <v>0</v>
      </c>
      <c r="GP256" s="530">
        <f t="shared" ca="1" si="635"/>
        <v>0</v>
      </c>
      <c r="GQ256" s="545">
        <f t="shared" ca="1" si="636"/>
        <v>0</v>
      </c>
      <c r="GR256" s="625">
        <f t="shared" ca="1" si="741"/>
        <v>0</v>
      </c>
      <c r="GS256" s="640">
        <f>IF($A256&gt;=BegDate,Assumptions!$C$56*24*($A257-$A256)*(1-VLOOKUP($B256,MAIN!$AA$7:$AM$28,$C256+1))*(1-VLOOKUP($B256,MAIN!$AA$33:$AM$54,$C256+1)),0)*80/168</f>
        <v>224485.71428571429</v>
      </c>
      <c r="GT256" s="1715">
        <f t="shared" si="679"/>
        <v>42.853385547359352</v>
      </c>
      <c r="GU256" s="1715">
        <f>IF($A256&gt;=BegDate,VLOOKUP($A256,GasTable,13)+Assumptions!$C$58,0)</f>
        <v>3.595374154277474</v>
      </c>
      <c r="GV256" s="1715">
        <f>GU256*Assumptions!$C$57/1000</f>
        <v>26.066462618511686</v>
      </c>
      <c r="GW256" s="625">
        <f>IF(Assumptions!$C$60="Hourly",MAX(0,GS256*(GT256-GV256)),GS256*(GT256-GV256))</f>
        <v>3768424.3843416031</v>
      </c>
      <c r="GX256" s="640">
        <f>IF($A256&gt;=BegDate,Assumptions!$C$56*24*($A257-$A256)*(1-VLOOKUP($B256,MAIN!$AA$7:$AM$28,$C256+1))*(1-VLOOKUP($B256,MAIN!$AA$33:$AM$54,$C256+1)),0)*16/168</f>
        <v>44897.142857142855</v>
      </c>
      <c r="GY256" s="1715">
        <f t="shared" si="680"/>
        <v>42.853385547359352</v>
      </c>
      <c r="GZ256" s="1715">
        <f>IF($A256&gt;=BegDate,VLOOKUP($A256,GasTable,13)+Assumptions!$C$58,0)</f>
        <v>3.595374154277474</v>
      </c>
      <c r="HA256" s="1715">
        <f>GZ256*Assumptions!$C$57/1000</f>
        <v>26.066462618511686</v>
      </c>
      <c r="HB256" s="625">
        <f>IF(Assumptions!$C$60="Hourly",MAX(0,GX256*(GY256-HA256)),GX256*(GY256-HA256))</f>
        <v>753684.87686832063</v>
      </c>
      <c r="HC256" s="640">
        <f>IF($A256&gt;=BegDate,Assumptions!$C$56*24*($A257-$A256)*(1-VLOOKUP($B256,MAIN!$AA$7:$AM$28,$C256+1))*(1-VLOOKUP($B256,MAIN!$AA$33:$AM$54,$C256+1)),0)*16/168</f>
        <v>44897.142857142855</v>
      </c>
      <c r="HD256" s="1715">
        <f t="shared" si="681"/>
        <v>29.879876022551539</v>
      </c>
      <c r="HE256" s="1715">
        <f>IF($A256&gt;=BegDate,VLOOKUP($A256,GasTable,13)+Assumptions!$C$58,0)</f>
        <v>3.595374154277474</v>
      </c>
      <c r="HF256" s="1715">
        <f>HE256*Assumptions!$C$57/1000</f>
        <v>26.066462618511686</v>
      </c>
      <c r="HG256" s="625">
        <f>IF(Assumptions!$C$60="Hourly",MAX(0,HC256*(HD256-HF256)),HC256*(HD256-HF256))</f>
        <v>171211.3663745207</v>
      </c>
      <c r="HH256" s="640">
        <f>IF($A256&gt;=BegDate,Assumptions!$C$56*24*($A257-$A256)*(1-VLOOKUP($B256,MAIN!$AA$7:$AM$28,$C256+1))*(1-VLOOKUP($B256,MAIN!$AA$33:$AM$54,$C256+1)),0)*56/168</f>
        <v>157140</v>
      </c>
      <c r="HI256" s="1715">
        <f t="shared" si="682"/>
        <v>29.879876022551539</v>
      </c>
      <c r="HJ256" s="1715">
        <f>IF($A256&gt;=BegDate,VLOOKUP($A256,GasTable,13)+Assumptions!$C$58,0)</f>
        <v>3.595374154277474</v>
      </c>
      <c r="HK256" s="1715">
        <f>HJ256*Assumptions!$C$57/1000</f>
        <v>26.066462618511686</v>
      </c>
      <c r="HL256" s="625">
        <f>IF(Assumptions!$C$60="Hourly",MAX(0,HH256*(HI256-HK256)),HH256*(HI256-HK256))</f>
        <v>599239.78231082251</v>
      </c>
      <c r="HM256" s="640">
        <f>IF(AND(Assumptions!$H$71="Yes",A256&gt;=Assumptions!$H$72,A256&lt;=Assumptions!$H$73),Assumptions!$H$74*Assumptions!$C$9*1000,0)</f>
        <v>0</v>
      </c>
      <c r="HN256" s="530"/>
      <c r="HO256" s="545"/>
      <c r="HP256" s="545"/>
      <c r="HQ256" s="545"/>
      <c r="HR256" s="545"/>
      <c r="HS256" s="545"/>
      <c r="HT256" s="545"/>
      <c r="HU256" s="545"/>
      <c r="HV256" s="545"/>
      <c r="HW256" s="545"/>
      <c r="HX256" s="545"/>
      <c r="HY256" s="545"/>
      <c r="HZ256" s="545"/>
      <c r="IA256" s="545"/>
      <c r="IB256" s="545"/>
      <c r="IC256" s="545"/>
      <c r="ID256" s="545"/>
      <c r="IE256" s="545"/>
      <c r="IF256" s="545"/>
      <c r="IG256" s="545"/>
      <c r="IH256" s="545"/>
      <c r="II256" s="1464"/>
      <c r="IJ256" s="1463"/>
      <c r="IK256" s="1463"/>
    </row>
    <row r="257" spans="1:249">
      <c r="A257" s="177">
        <f t="shared" si="637"/>
        <v>43952</v>
      </c>
      <c r="B257" s="349">
        <f t="shared" si="638"/>
        <v>2020</v>
      </c>
      <c r="C257" s="15">
        <f t="shared" ref="C257:C272" si="742">MONTH(A257)</f>
        <v>5</v>
      </c>
      <c r="D257" s="612">
        <f t="shared" si="639"/>
        <v>43976</v>
      </c>
      <c r="E257" s="609">
        <f t="shared" ref="E257:E272" si="743">IF(OR(BegDate&gt;=A258,EndDate&lt;A257,AND(VolumeMonthlyOverFlag,INDEX(VolumeMonthlyOver,C257)=0),NOT(INDEX(MonthKnockOutTable,C257))),"",MAX(A257,BegDate))</f>
        <v>43952</v>
      </c>
      <c r="F257" s="614">
        <f t="shared" ref="F257:F272" si="744">IF(E257="","",MIN(A258-1,EndDate))</f>
        <v>43982</v>
      </c>
      <c r="G257" s="1349">
        <v>0</v>
      </c>
      <c r="H257" s="152">
        <f t="shared" si="683"/>
        <v>1</v>
      </c>
      <c r="I257" s="154">
        <f>IF(Assumptions!$L$25=4,VLOOKUP($A257,'Henwood Reference'!$E$9:$R$320,10),(VLOOKUP($A257,PriceTable,2,0)+IF(BasisNumber&lt;&gt;1,VLOOKUP($A257,BasisTable,2,0),0)+I$1)/(1-I$2))</f>
        <v>49.746101138344549</v>
      </c>
      <c r="J257" s="154">
        <f>IF(Assumptions!$L$25=4,VLOOKUP($A257,'Henwood Reference'!$E$9:$R$320,10),(VLOOKUP($A257,PriceTable,3,0)+IF(BasisNumber&lt;&gt;1,VLOOKUP($A257,BasisTable,2,0),0)+J$1)/(1-J$2))</f>
        <v>49.746101138344549</v>
      </c>
      <c r="K257" s="154">
        <f>IF(Assumptions!$L$25=4,VLOOKUP($A257,'Henwood Reference'!$E$9:$R$320,10),(VLOOKUP($A257,PriceTable,4,0)+IF(BasisNumber&lt;&gt;1,VLOOKUP($A257,BasisTable,2,0),0)+K$1)/(1-K$2))</f>
        <v>49.746101138344549</v>
      </c>
      <c r="L257" s="474">
        <f>IF(Assumptions!$L$25=4,VLOOKUP($A257,'Henwood Reference'!$E$9:$R$320,10),(VLOOKUP($A257,PriceTableWeekend,2,0)+IF(BasisNumber&lt;&gt;1,VLOOKUP($A257,BasisTable,2,0),0)+L$1)/(1-L$2))</f>
        <v>49.746101138344549</v>
      </c>
      <c r="M257" s="154">
        <f>IF(Assumptions!$L$25=4,VLOOKUP($A257,'Henwood Reference'!$E$9:$R$320,10),(VLOOKUP($A257,PriceTableWeekend,3,0)+IF(BasisNumber&lt;&gt;1,VLOOKUP($A257,BasisTable,2,0),0)+M$1)/(1-M$2))</f>
        <v>49.746101138344549</v>
      </c>
      <c r="N257" s="156">
        <f>IF(Assumptions!$L$25=4,VLOOKUP($A257,'Henwood Reference'!$E$9:$R$320,10),(VLOOKUP($A257,PriceTableWeekend,4,0)+IF(BasisNumber&lt;&gt;1,VLOOKUP($A257,BasisTable,2,0),0)+N$1)/(1-N$2))</f>
        <v>49.746101138344549</v>
      </c>
      <c r="O257" s="154">
        <f>IF(Assumptions!$L$25=4,VLOOKUP($A257,'Henwood Reference'!$E$9:$R$320,11),(VLOOKUP($A257,PriceTableWeekend,6,0)+IF(BasisNumber&lt;&gt;1,VLOOKUP($A257,BasisTable,3,0),0)+O$1)/(1-O$2))</f>
        <v>29.734698961964455</v>
      </c>
      <c r="P257" s="154">
        <f>IF(Assumptions!$L$25=4,VLOOKUP($A257,'Henwood Reference'!$E$9:$R$320,11),(VLOOKUP($A257,PriceTableWeekend,7,0)+IF(BasisNumber&lt;&gt;1,VLOOKUP($A257,BasisTable,3,0),0)+P$1)/(1-P$2))</f>
        <v>29.734698961964455</v>
      </c>
      <c r="Q257" s="156">
        <f>IF(Assumptions!$L$25=4,VLOOKUP($A257,'Henwood Reference'!$E$9:$R$320,11),(VLOOKUP($A257,PriceTableWeekend,8,0)+IF(BasisNumber&lt;&gt;1,VLOOKUP($A257,BasisTable,3,0),0)+Q$1)/(1-Q$2))</f>
        <v>29.734698961964455</v>
      </c>
      <c r="R257" s="154">
        <f>IF(Assumptions!$L$25=4,VLOOKUP($A257,'Henwood Reference'!$E$9:$R$320,11),(VLOOKUP($A257,PriceTable,6,0)+IF(BasisNumber&lt;&gt;1,VLOOKUP($A257,BasisTable,3,0),0)+R$1)/(1-R$2))</f>
        <v>29.734698961964455</v>
      </c>
      <c r="S257" s="154">
        <f>IF(Assumptions!$L$25=4,VLOOKUP($A257,'Henwood Reference'!$E$9:$R$320,11),(VLOOKUP($A257,PriceTable,7,0)+IF(BasisNumber&lt;&gt;1,VLOOKUP($A257,BasisTable,3,0),0)+S$1)/(1-S$2))</f>
        <v>29.734698961964455</v>
      </c>
      <c r="T257" s="155">
        <f>IF(Assumptions!$L$25=4,VLOOKUP($A257,'Henwood Reference'!$E$9:$R$320,11),(VLOOKUP($A257,PriceTable,8,0)+IF(BasisNumber&lt;&gt;1,VLOOKUP($A257,BasisTable,3,0),0)+T$1)/(1-T$2))</f>
        <v>29.734698961964455</v>
      </c>
      <c r="U257" s="173">
        <f t="shared" si="640"/>
        <v>0.09</v>
      </c>
      <c r="V257" s="173">
        <f t="shared" si="641"/>
        <v>0.1</v>
      </c>
      <c r="W257" s="174">
        <f t="shared" si="642"/>
        <v>0.11</v>
      </c>
      <c r="X257" s="173">
        <f t="shared" si="643"/>
        <v>0.09</v>
      </c>
      <c r="Y257" s="173">
        <f t="shared" si="644"/>
        <v>0.1</v>
      </c>
      <c r="Z257" s="174">
        <f t="shared" si="645"/>
        <v>0.11</v>
      </c>
      <c r="AA257" s="173">
        <f t="shared" si="646"/>
        <v>0.09</v>
      </c>
      <c r="AB257" s="173">
        <f t="shared" si="647"/>
        <v>0.11</v>
      </c>
      <c r="AC257" s="174">
        <f t="shared" si="648"/>
        <v>0.13</v>
      </c>
      <c r="AD257" s="173">
        <f t="shared" si="649"/>
        <v>0.09</v>
      </c>
      <c r="AE257" s="173">
        <f t="shared" si="650"/>
        <v>0.11</v>
      </c>
      <c r="AF257" s="174">
        <f t="shared" si="651"/>
        <v>0.13</v>
      </c>
      <c r="AG257" s="173">
        <f t="shared" si="652"/>
        <v>-0.1</v>
      </c>
      <c r="AH257" s="173">
        <f t="shared" si="653"/>
        <v>0.65</v>
      </c>
      <c r="AI257" s="174">
        <f t="shared" si="654"/>
        <v>0.1</v>
      </c>
      <c r="AJ257" s="173">
        <f t="shared" si="655"/>
        <v>-0.1</v>
      </c>
      <c r="AK257" s="173">
        <f t="shared" si="656"/>
        <v>0.65</v>
      </c>
      <c r="AL257" s="174">
        <f t="shared" si="657"/>
        <v>0.1</v>
      </c>
      <c r="AM257" s="173">
        <f t="shared" si="658"/>
        <v>-0.01</v>
      </c>
      <c r="AN257" s="173">
        <f t="shared" si="659"/>
        <v>0.16</v>
      </c>
      <c r="AO257" s="174">
        <f t="shared" si="660"/>
        <v>0.01</v>
      </c>
      <c r="AP257" s="173">
        <f t="shared" si="661"/>
        <v>-0.01</v>
      </c>
      <c r="AQ257" s="173">
        <f t="shared" si="662"/>
        <v>0.16</v>
      </c>
      <c r="AR257" s="175">
        <f t="shared" si="663"/>
        <v>0.01</v>
      </c>
      <c r="AS257" s="521">
        <f t="shared" si="699"/>
        <v>0.5</v>
      </c>
      <c r="AT257" s="349">
        <f t="shared" ref="AT257:AT272" si="745">AX257-SUM(AU257:AW257)</f>
        <v>20</v>
      </c>
      <c r="AU257" s="159">
        <f t="shared" si="582"/>
        <v>5</v>
      </c>
      <c r="AV257" s="159">
        <f t="shared" si="583"/>
        <v>5</v>
      </c>
      <c r="AW257" s="159">
        <f t="shared" si="700"/>
        <v>1</v>
      </c>
      <c r="AX257" s="15">
        <f t="shared" ref="AX257:AX272" si="746">IF(E257="",0,F257-E257+1)</f>
        <v>31</v>
      </c>
      <c r="AY257" s="607">
        <f>IF(E257="",0,MIN((1-(1-VLOOKUP(B257,MAIN!$AA$7:$AM$28,C257+1))*(1-VLOOKUP(B257,MAIN!$AA$33:$AM$54,C257+1))),1))</f>
        <v>3.0000000000000027E-2</v>
      </c>
      <c r="AZ257" s="337">
        <v>46560</v>
      </c>
      <c r="BA257" s="509">
        <v>11640</v>
      </c>
      <c r="BB257" s="509">
        <v>13968</v>
      </c>
      <c r="BC257" s="511">
        <v>36084</v>
      </c>
      <c r="BD257" s="153">
        <v>0.97</v>
      </c>
      <c r="BE257" s="474">
        <v>0.97</v>
      </c>
      <c r="BF257" s="474">
        <v>0.97</v>
      </c>
      <c r="BG257" s="515">
        <v>0.97</v>
      </c>
      <c r="BH257" s="262">
        <v>186240</v>
      </c>
      <c r="BI257" s="509">
        <v>46560</v>
      </c>
      <c r="BJ257" s="509">
        <v>55872</v>
      </c>
      <c r="BK257" s="511">
        <v>144336</v>
      </c>
      <c r="BL257" s="153">
        <v>0.97</v>
      </c>
      <c r="BM257" s="474">
        <v>0.97</v>
      </c>
      <c r="BN257" s="474">
        <v>0.97</v>
      </c>
      <c r="BO257" s="474">
        <v>0.97</v>
      </c>
      <c r="BP257" s="261">
        <f t="shared" si="666"/>
        <v>72168</v>
      </c>
      <c r="BQ257" s="578">
        <f t="shared" si="667"/>
        <v>108252</v>
      </c>
      <c r="BR257" s="259">
        <f t="shared" si="668"/>
        <v>288672</v>
      </c>
      <c r="BS257" s="578">
        <f t="shared" si="669"/>
        <v>433008</v>
      </c>
      <c r="BT257" s="216">
        <f t="shared" si="670"/>
        <v>20.046543463381244</v>
      </c>
      <c r="BU257" s="218">
        <f t="shared" si="585"/>
        <v>49.746101138344549</v>
      </c>
      <c r="BV257" s="216">
        <f t="shared" si="586"/>
        <v>49.746101138344549</v>
      </c>
      <c r="BW257" s="216">
        <f t="shared" si="587"/>
        <v>29.734698961964455</v>
      </c>
      <c r="BX257" s="216">
        <f t="shared" si="671"/>
        <v>29.734698961964455</v>
      </c>
      <c r="BY257" s="216">
        <f t="shared" si="588"/>
        <v>45.872926523561304</v>
      </c>
      <c r="BZ257" s="216">
        <f t="shared" si="589"/>
        <v>40.493517336362352</v>
      </c>
      <c r="CA257" s="264">
        <f t="shared" si="590"/>
        <v>49.746101138344549</v>
      </c>
      <c r="CB257" s="216">
        <f t="shared" si="591"/>
        <v>49.746101138344549</v>
      </c>
      <c r="CC257" s="216">
        <f t="shared" si="592"/>
        <v>29.734698961964455</v>
      </c>
      <c r="CD257" s="216">
        <f t="shared" si="672"/>
        <v>29.734698961964455</v>
      </c>
      <c r="CE257" s="216">
        <f t="shared" si="593"/>
        <v>45.872926523561304</v>
      </c>
      <c r="CF257" s="571">
        <f t="shared" si="594"/>
        <v>40.493517336362352</v>
      </c>
      <c r="CG257" s="573">
        <f t="shared" si="595"/>
        <v>0.1</v>
      </c>
      <c r="CH257" s="219">
        <f t="shared" si="596"/>
        <v>0.1</v>
      </c>
      <c r="CI257" s="219">
        <f t="shared" si="597"/>
        <v>0.11</v>
      </c>
      <c r="CJ257" s="219">
        <f t="shared" si="598"/>
        <v>0.10126577494973325</v>
      </c>
      <c r="CK257" s="219">
        <f t="shared" si="599"/>
        <v>0.10126577494973325</v>
      </c>
      <c r="CL257" s="219">
        <f t="shared" si="600"/>
        <v>0.11</v>
      </c>
      <c r="CM257" s="219">
        <f t="shared" si="601"/>
        <v>9.3218972320865026E-2</v>
      </c>
      <c r="CN257" s="569">
        <f t="shared" si="602"/>
        <v>9.3218972320865026E-2</v>
      </c>
      <c r="CO257" s="264">
        <f t="shared" si="685"/>
        <v>25.56563723881052</v>
      </c>
      <c r="CP257" s="216">
        <f t="shared" si="673"/>
        <v>25.56563723881052</v>
      </c>
      <c r="CQ257" s="216">
        <f t="shared" ca="1" si="703"/>
        <v>25.56563723881052</v>
      </c>
      <c r="CR257" s="216">
        <f t="shared" ca="1" si="704"/>
        <v>25.56563723881052</v>
      </c>
      <c r="CS257" s="1626">
        <f t="shared" ca="1" si="705"/>
        <v>25.565637238810524</v>
      </c>
      <c r="CT257" s="216">
        <f t="shared" si="674"/>
        <v>25.56563723881052</v>
      </c>
      <c r="CU257" s="575">
        <f t="shared" si="603"/>
        <v>0.15</v>
      </c>
      <c r="CV257" s="154">
        <f t="shared" si="604"/>
        <v>0.5</v>
      </c>
      <c r="CW257" s="216">
        <f>IF(OR($BQ257,$BS257),SpreadOptPowerMargin,0)*((1+Assumptions!$C$26)^($B257-YEAR(Assumptions!$C$17)))</f>
        <v>2.5204345545463638</v>
      </c>
      <c r="CX257" s="216">
        <f>IF(OR($BQ257,$BS257),SpreadOptPowerMargin,0)*((1+Assumptions!$C$26)^($B257-YEAR(Assumptions!$C$17)))</f>
        <v>2.5204345545463638</v>
      </c>
      <c r="CY257" s="216">
        <f>IF(OR($BQ257,$BS257),SpreadOptPowerMargin,0)*((1+Assumptions!$C$26)^($B257-YEAR(Assumptions!$C$17)))</f>
        <v>2.5204345545463638</v>
      </c>
      <c r="CZ257" s="216">
        <f>IF(OR($BQ257,$BS257),SpreadOptPowerMargin,0)*((1+Assumptions!$C$26)^($B257-YEAR(Assumptions!$C$17)))</f>
        <v>2.5204345545463638</v>
      </c>
      <c r="DA257" s="440">
        <f t="shared" si="605"/>
        <v>2.5204345545463638</v>
      </c>
      <c r="DB257" s="479">
        <f t="shared" si="606"/>
        <v>0.1</v>
      </c>
      <c r="DC257" s="479">
        <f t="shared" si="607"/>
        <v>0.1</v>
      </c>
      <c r="DD257" s="479">
        <f t="shared" si="608"/>
        <v>0.11</v>
      </c>
      <c r="DE257" s="479">
        <f t="shared" si="609"/>
        <v>0.11</v>
      </c>
      <c r="DF257" s="479">
        <f t="shared" si="610"/>
        <v>9.3218972320865026E-2</v>
      </c>
      <c r="DG257" s="574">
        <f t="shared" si="611"/>
        <v>9.3218972320865026E-2</v>
      </c>
      <c r="DH257" s="216">
        <f t="shared" si="612"/>
        <v>23.258109984205781</v>
      </c>
      <c r="DI257" s="216">
        <f t="shared" si="613"/>
        <v>23.258109984205781</v>
      </c>
      <c r="DJ257" s="216">
        <f t="shared" ca="1" si="706"/>
        <v>7.2455306170304059</v>
      </c>
      <c r="DK257" s="216">
        <f t="shared" ca="1" si="707"/>
        <v>7.2455306170304059</v>
      </c>
      <c r="DL257" s="216">
        <f t="shared" ca="1" si="708"/>
        <v>15.121305760427502</v>
      </c>
      <c r="DM257" s="216"/>
      <c r="DN257" s="216"/>
      <c r="DO257" s="216"/>
      <c r="DP257" s="216"/>
      <c r="DQ257" s="216"/>
      <c r="DR257" s="216"/>
      <c r="DS257" s="216"/>
      <c r="DT257" s="216"/>
      <c r="DU257" s="216"/>
      <c r="DV257" s="216"/>
      <c r="DW257" s="1371">
        <f t="shared" si="614"/>
        <v>7.2455306170304059</v>
      </c>
      <c r="DX257" s="216">
        <f t="shared" si="615"/>
        <v>7.2455306170304059</v>
      </c>
      <c r="DY257" s="440">
        <f t="shared" si="616"/>
        <v>15.854444255296736</v>
      </c>
      <c r="DZ257" s="180">
        <f t="shared" si="617"/>
        <v>1082897.6008646211</v>
      </c>
      <c r="EA257" s="180">
        <f t="shared" si="618"/>
        <v>270724.40021615528</v>
      </c>
      <c r="EB257" s="180">
        <f t="shared" ca="1" si="709"/>
        <v>101205.57165868071</v>
      </c>
      <c r="EC257" s="180">
        <f t="shared" ca="1" si="710"/>
        <v>261447.72678492518</v>
      </c>
      <c r="ED257" s="180">
        <f t="shared" ca="1" si="711"/>
        <v>1636911.5911777979</v>
      </c>
      <c r="EE257" s="581">
        <f t="shared" si="619"/>
        <v>1008490.9663026257</v>
      </c>
      <c r="EF257" s="554">
        <f t="shared" si="620"/>
        <v>252122.74157565643</v>
      </c>
      <c r="EG257" s="554">
        <f t="shared" ca="1" si="712"/>
        <v>23028.024291110563</v>
      </c>
      <c r="EH257" s="554">
        <f t="shared" ca="1" si="713"/>
        <v>59489.062752035621</v>
      </c>
      <c r="EI257" s="561">
        <f t="shared" ca="1" si="621"/>
        <v>1343130.7949214277</v>
      </c>
      <c r="EJ257" s="581">
        <f t="shared" si="675"/>
        <v>74406.634561995394</v>
      </c>
      <c r="EK257" s="554">
        <f t="shared" si="676"/>
        <v>18601.658640498848</v>
      </c>
      <c r="EL257" s="554">
        <f t="shared" ca="1" si="714"/>
        <v>78177.547367570151</v>
      </c>
      <c r="EM257" s="554">
        <f t="shared" ca="1" si="715"/>
        <v>201958.66403288956</v>
      </c>
      <c r="EN257" s="561">
        <f t="shared" ca="1" si="716"/>
        <v>293780.79625637014</v>
      </c>
      <c r="EO257" s="180">
        <f t="shared" si="622"/>
        <v>4331590.4034584844</v>
      </c>
      <c r="EP257" s="180">
        <f t="shared" si="623"/>
        <v>1082897.6008646211</v>
      </c>
      <c r="EQ257" s="180">
        <f t="shared" si="624"/>
        <v>404822.28663472284</v>
      </c>
      <c r="ER257" s="180">
        <f t="shared" si="625"/>
        <v>1045790.9071397007</v>
      </c>
      <c r="ES257" s="180">
        <f t="shared" si="626"/>
        <v>6865101.1980975289</v>
      </c>
      <c r="ET257" s="1482">
        <f t="shared" ca="1" si="717"/>
        <v>4033963.8652105029</v>
      </c>
      <c r="EU257" s="180">
        <f t="shared" ca="1" si="718"/>
        <v>1008490.9663026257</v>
      </c>
      <c r="EV257" s="180">
        <f t="shared" ca="1" si="719"/>
        <v>92112.097164442253</v>
      </c>
      <c r="EW257" s="180">
        <f t="shared" ca="1" si="720"/>
        <v>237956.25100814248</v>
      </c>
      <c r="EX257" s="555">
        <f t="shared" ca="1" si="693"/>
        <v>5372523.1796857128</v>
      </c>
      <c r="EY257" s="180">
        <f t="shared" ca="1" si="721"/>
        <v>297626.53824798157</v>
      </c>
      <c r="EZ257" s="180">
        <f t="shared" ca="1" si="722"/>
        <v>74406.634561995394</v>
      </c>
      <c r="FA257" s="180">
        <f t="shared" ca="1" si="723"/>
        <v>312710.1894702806</v>
      </c>
      <c r="FB257" s="180">
        <f t="shared" ca="1" si="724"/>
        <v>807834.65613155824</v>
      </c>
      <c r="FC257" s="180">
        <f t="shared" ca="1" si="725"/>
        <v>1492578.0184118161</v>
      </c>
      <c r="FD257" s="262">
        <f>IF(AX257,IF(VLOOKUP(C257,MAIN!$L$17:$M$28,2)="Yes",VLOOKUP(CALC!B257,MAIN!$H$17:$I$20,2),0),0)</f>
        <v>0</v>
      </c>
      <c r="FE257" s="623">
        <f t="shared" si="627"/>
        <v>0</v>
      </c>
      <c r="FF257" s="535">
        <f t="shared" si="628"/>
        <v>0</v>
      </c>
      <c r="FG257" s="535">
        <f t="shared" si="629"/>
        <v>0</v>
      </c>
      <c r="FH257" s="624">
        <f t="shared" si="630"/>
        <v>0</v>
      </c>
      <c r="FI257" s="632">
        <f>IF(AX257,VLOOKUP(CALC!B257,MAIN!$H$17:$K$20,4),0)</f>
        <v>0</v>
      </c>
      <c r="FJ257" s="535">
        <f t="shared" si="631"/>
        <v>0</v>
      </c>
      <c r="FK257" s="648">
        <f t="shared" si="677"/>
        <v>0</v>
      </c>
      <c r="FL257" s="530">
        <f t="shared" ca="1" si="726"/>
        <v>0</v>
      </c>
      <c r="FM257" s="530">
        <f t="shared" ca="1" si="727"/>
        <v>0</v>
      </c>
      <c r="FN257" s="530">
        <f t="shared" ca="1" si="728"/>
        <v>0</v>
      </c>
      <c r="FO257" s="622">
        <f t="shared" ca="1" si="729"/>
        <v>0</v>
      </c>
      <c r="FP257" s="530">
        <f t="shared" ca="1" si="730"/>
        <v>0</v>
      </c>
      <c r="FQ257" s="530">
        <f t="shared" ca="1" si="731"/>
        <v>0</v>
      </c>
      <c r="FR257" s="530">
        <f t="shared" ca="1" si="732"/>
        <v>0</v>
      </c>
      <c r="FS257" s="625">
        <f t="shared" ca="1" si="733"/>
        <v>0</v>
      </c>
      <c r="FT257" s="640">
        <f ca="1">IF(AND(Assumptions!$H$71="Yes",A257&gt;=Assumptions!$H$72,A257&lt;=Assumptions!$H$73),0,IF(AND($A257&gt;=Assumptions!$C$17,$A257&lt;=Assumptions!$C$18),MAX(AZ257*(1+VLOOKUP($C257,WeatherCapacityAdjustment,2))-FL257,0),0))</f>
        <v>46560</v>
      </c>
      <c r="FU257" s="530">
        <f ca="1">IF(AND(Assumptions!$H$71="Yes",A257&gt;=Assumptions!$H$72,A257&lt;=Assumptions!$H$73),0,IF(AND($A257&gt;=Assumptions!$C$17,$A257&lt;=Assumptions!$C$18),MAX(BA257*(1+VLOOKUP($C257,WeatherCapacityAdjustment,2))-FM257,0),0))</f>
        <v>11640</v>
      </c>
      <c r="FV257" s="530">
        <f ca="1">IF(AND(Assumptions!$H$71="Yes",A257&gt;=Assumptions!$H$72,A257&lt;=Assumptions!$H$73),0,IF(AND($A257&gt;=Assumptions!$C$17,$A257&lt;=Assumptions!$C$18),MAX(BB257*(1+VLOOKUP($C257,WeatherCapacityAdjustment,2))-FN257,0),0))</f>
        <v>13968</v>
      </c>
      <c r="FW257" s="622">
        <f ca="1">IF(AND(Assumptions!$H$71="Yes",A257&gt;=Assumptions!$H$72,A257&lt;=Assumptions!$H$73),0,IF(AND($A257&gt;=Assumptions!$C$17,$A257&lt;=Assumptions!$C$18),MAX(BC257*(1+VLOOKUP($C257,WeatherCapacityAdjustment,3))-FO257,0),0))</f>
        <v>36084</v>
      </c>
      <c r="FX257" s="621">
        <f ca="1">IF(AND(Assumptions!$H$71="Yes",A257&gt;=Assumptions!$H$72,A257&lt;=Assumptions!$H$73),0,IF(ET257&gt;0,MAX(BH257*(1+VLOOKUP($C257,WeatherCapacityAdjustment,2))-FP257,0),0))</f>
        <v>186240</v>
      </c>
      <c r="FY257" s="530">
        <f ca="1">IF(AND(Assumptions!$H$71="Yes",A257&gt;=Assumptions!$H$72,A257&lt;=Assumptions!$H$73),0,IF(EU257&gt;0,MAX(BI257*(1+VLOOKUP($C257,WeatherCapacityAdjustment,3))-FQ257,0),0))</f>
        <v>46560</v>
      </c>
      <c r="FZ257" s="530">
        <f ca="1">IF(AND(Assumptions!$H$71="Yes",A257&gt;=Assumptions!$H$72,A257&lt;=Assumptions!$H$73),0,IF(EV257&gt;0,MAX(BJ257*(1+VLOOKUP($C257,WeatherCapacityAdjustment,2))-FR257,0),0))</f>
        <v>55872</v>
      </c>
      <c r="GA257" s="622">
        <f ca="1">IF(AND(Assumptions!$H$71="Yes",A257&gt;=Assumptions!$H$72,A257&lt;=Assumptions!$H$73),0,IF(EW257&gt;0,MAX(BK257*(1+VLOOKUP($C257,WeatherCapacityAdjustment,2))-FS257,0),0))</f>
        <v>144336</v>
      </c>
      <c r="GB257" s="530">
        <f t="shared" ca="1" si="632"/>
        <v>541260</v>
      </c>
      <c r="GC257" s="545">
        <f t="shared" ca="1" si="633"/>
        <v>40.493517336362359</v>
      </c>
      <c r="GD257" s="530">
        <f t="shared" ca="1" si="734"/>
        <v>21917521.19347949</v>
      </c>
      <c r="GE257" s="1485">
        <f t="shared" ca="1" si="735"/>
        <v>776859.65280000004</v>
      </c>
      <c r="GF257" s="1776">
        <f t="shared" ca="1" si="736"/>
        <v>3107438.6112000002</v>
      </c>
      <c r="GG257" s="545">
        <f t="shared" si="701"/>
        <v>3.562459901734925</v>
      </c>
      <c r="GH257" s="622">
        <f t="shared" ca="1" si="702"/>
        <v>13837656.811878581</v>
      </c>
      <c r="GI257" s="621">
        <f t="shared" ca="1" si="678"/>
        <v>541260</v>
      </c>
      <c r="GJ257" s="638">
        <f t="shared" si="634"/>
        <v>2.5204345545463638</v>
      </c>
      <c r="GK257" s="625">
        <f t="shared" ca="1" si="684"/>
        <v>1364210.4069937649</v>
      </c>
      <c r="GL257" s="640">
        <f t="shared" ca="1" si="737"/>
        <v>0</v>
      </c>
      <c r="GM257" s="530">
        <f t="shared" ca="1" si="738"/>
        <v>0</v>
      </c>
      <c r="GN257" s="530">
        <f t="shared" ca="1" si="739"/>
        <v>0</v>
      </c>
      <c r="GO257" s="622">
        <f t="shared" ca="1" si="740"/>
        <v>0</v>
      </c>
      <c r="GP257" s="530">
        <f t="shared" ca="1" si="635"/>
        <v>0</v>
      </c>
      <c r="GQ257" s="545">
        <f t="shared" ca="1" si="636"/>
        <v>0</v>
      </c>
      <c r="GR257" s="625">
        <f t="shared" ca="1" si="741"/>
        <v>0</v>
      </c>
      <c r="GS257" s="640">
        <f>IF($A257&gt;=BegDate,Assumptions!$C$56*24*($A258-$A257)*(1-VLOOKUP($B257,MAIN!$AA$7:$AM$28,$C257+1))*(1-VLOOKUP($B257,MAIN!$AA$33:$AM$54,$C257+1)),0)*80/168</f>
        <v>257742.85714285713</v>
      </c>
      <c r="GT257" s="1715">
        <f t="shared" si="679"/>
        <v>49.746101138344549</v>
      </c>
      <c r="GU257" s="1715">
        <f>IF($A257&gt;=BegDate,VLOOKUP($A257,GasTable,13)+Assumptions!$C$58,0)</f>
        <v>3.562459901734925</v>
      </c>
      <c r="GV257" s="1715">
        <f>GU257*Assumptions!$C$57/1000</f>
        <v>25.827834287578206</v>
      </c>
      <c r="GW257" s="625">
        <f>IF(Assumptions!$C$60="Hourly",MAX(0,GS257*(GT257-GV257)),GS257*(GT257-GV257))</f>
        <v>6164762.4360218048</v>
      </c>
      <c r="GX257" s="640">
        <f>IF($A257&gt;=BegDate,Assumptions!$C$56*24*($A258-$A257)*(1-VLOOKUP($B257,MAIN!$AA$7:$AM$28,$C257+1))*(1-VLOOKUP($B257,MAIN!$AA$33:$AM$54,$C257+1)),0)*16/168</f>
        <v>51548.571428571428</v>
      </c>
      <c r="GY257" s="1715">
        <f t="shared" si="680"/>
        <v>49.746101138344549</v>
      </c>
      <c r="GZ257" s="1715">
        <f>IF($A257&gt;=BegDate,VLOOKUP($A257,GasTable,13)+Assumptions!$C$58,0)</f>
        <v>3.562459901734925</v>
      </c>
      <c r="HA257" s="1715">
        <f>GZ257*Assumptions!$C$57/1000</f>
        <v>25.827834287578206</v>
      </c>
      <c r="HB257" s="625">
        <f>IF(Assumptions!$C$60="Hourly",MAX(0,GX257*(GY257-HA257)),GX257*(GY257-HA257))</f>
        <v>1232952.487204361</v>
      </c>
      <c r="HC257" s="640">
        <f>IF($A257&gt;=BegDate,Assumptions!$C$56*24*($A258-$A257)*(1-VLOOKUP($B257,MAIN!$AA$7:$AM$28,$C257+1))*(1-VLOOKUP($B257,MAIN!$AA$33:$AM$54,$C257+1)),0)*16/168</f>
        <v>51548.571428571428</v>
      </c>
      <c r="HD257" s="1715">
        <f t="shared" si="681"/>
        <v>29.734698961964455</v>
      </c>
      <c r="HE257" s="1715">
        <f>IF($A257&gt;=BegDate,VLOOKUP($A257,GasTable,13)+Assumptions!$C$58,0)</f>
        <v>3.562459901734925</v>
      </c>
      <c r="HF257" s="1715">
        <f>HE257*Assumptions!$C$57/1000</f>
        <v>25.827834287578206</v>
      </c>
      <c r="HG257" s="625">
        <f>IF(Assumptions!$C$60="Hourly",MAX(0,HC257*(HD257-HF257)),HC257*(HD257-HF257))</f>
        <v>201393.292729362</v>
      </c>
      <c r="HH257" s="640">
        <f>IF($A257&gt;=BegDate,Assumptions!$C$56*24*($A258-$A257)*(1-VLOOKUP($B257,MAIN!$AA$7:$AM$28,$C257+1))*(1-VLOOKUP($B257,MAIN!$AA$33:$AM$54,$C257+1)),0)*56/168</f>
        <v>180420</v>
      </c>
      <c r="HI257" s="1715">
        <f t="shared" si="682"/>
        <v>29.734698961964455</v>
      </c>
      <c r="HJ257" s="1715">
        <f>IF($A257&gt;=BegDate,VLOOKUP($A257,GasTable,13)+Assumptions!$C$58,0)</f>
        <v>3.562459901734925</v>
      </c>
      <c r="HK257" s="1715">
        <f>HJ257*Assumptions!$C$57/1000</f>
        <v>25.827834287578206</v>
      </c>
      <c r="HL257" s="625">
        <f>IF(Assumptions!$C$60="Hourly",MAX(0,HH257*(HI257-HK257)),HH257*(HI257-HK257))</f>
        <v>704876.52455276705</v>
      </c>
      <c r="HM257" s="640">
        <f>IF(AND(Assumptions!$H$71="Yes",A257&gt;=Assumptions!$H$72,A257&lt;=Assumptions!$H$73),Assumptions!$H$74*Assumptions!$C$9*1000,0)</f>
        <v>0</v>
      </c>
      <c r="HN257" s="530"/>
      <c r="HO257" s="545"/>
      <c r="HP257" s="545"/>
      <c r="HQ257" s="545"/>
      <c r="HR257" s="545"/>
      <c r="HS257" s="545"/>
      <c r="HT257" s="545"/>
      <c r="HU257" s="545"/>
      <c r="HV257" s="545"/>
      <c r="HW257" s="545"/>
      <c r="HX257" s="545"/>
      <c r="HY257" s="545"/>
      <c r="HZ257" s="545"/>
      <c r="IA257" s="545"/>
      <c r="IB257" s="545"/>
      <c r="IC257" s="545"/>
      <c r="ID257" s="545"/>
      <c r="IE257" s="545"/>
      <c r="IF257" s="545"/>
      <c r="IG257" s="545"/>
      <c r="IH257" s="545"/>
      <c r="II257" s="1464"/>
      <c r="IJ257" s="1463"/>
      <c r="IK257" s="1463"/>
    </row>
    <row r="258" spans="1:249">
      <c r="A258" s="177">
        <f t="shared" si="637"/>
        <v>43983</v>
      </c>
      <c r="B258" s="349">
        <f t="shared" si="638"/>
        <v>2020</v>
      </c>
      <c r="C258" s="15">
        <f t="shared" si="742"/>
        <v>6</v>
      </c>
      <c r="D258" s="612" t="str">
        <f t="shared" si="639"/>
        <v/>
      </c>
      <c r="E258" s="609">
        <f t="shared" si="743"/>
        <v>43983</v>
      </c>
      <c r="F258" s="614">
        <f t="shared" si="744"/>
        <v>44012</v>
      </c>
      <c r="G258" s="1349">
        <v>0</v>
      </c>
      <c r="H258" s="152">
        <f t="shared" si="683"/>
        <v>1</v>
      </c>
      <c r="I258" s="154">
        <f>IF(Assumptions!$L$25=4,VLOOKUP($A258,'Henwood Reference'!$E$9:$R$320,10),(VLOOKUP($A258,PriceTable,2,0)+IF(BasisNumber&lt;&gt;1,VLOOKUP($A258,BasisTable,2,0),0)+I$1)/(1-I$2))</f>
        <v>48.286157821795811</v>
      </c>
      <c r="J258" s="154">
        <f>IF(Assumptions!$L$25=4,VLOOKUP($A258,'Henwood Reference'!$E$9:$R$320,10),(VLOOKUP($A258,PriceTable,3,0)+IF(BasisNumber&lt;&gt;1,VLOOKUP($A258,BasisTable,2,0),0)+J$1)/(1-J$2))</f>
        <v>48.286157821795811</v>
      </c>
      <c r="K258" s="154">
        <f>IF(Assumptions!$L$25=4,VLOOKUP($A258,'Henwood Reference'!$E$9:$R$320,10),(VLOOKUP($A258,PriceTable,4,0)+IF(BasisNumber&lt;&gt;1,VLOOKUP($A258,BasisTable,2,0),0)+K$1)/(1-K$2))</f>
        <v>48.286157821795811</v>
      </c>
      <c r="L258" s="474">
        <f>IF(Assumptions!$L$25=4,VLOOKUP($A258,'Henwood Reference'!$E$9:$R$320,10),(VLOOKUP($A258,PriceTableWeekend,2,0)+IF(BasisNumber&lt;&gt;1,VLOOKUP($A258,BasisTable,2,0),0)+L$1)/(1-L$2))</f>
        <v>48.286157821795811</v>
      </c>
      <c r="M258" s="154">
        <f>IF(Assumptions!$L$25=4,VLOOKUP($A258,'Henwood Reference'!$E$9:$R$320,10),(VLOOKUP($A258,PriceTableWeekend,3,0)+IF(BasisNumber&lt;&gt;1,VLOOKUP($A258,BasisTable,2,0),0)+M$1)/(1-M$2))</f>
        <v>48.286157821795811</v>
      </c>
      <c r="N258" s="156">
        <f>IF(Assumptions!$L$25=4,VLOOKUP($A258,'Henwood Reference'!$E$9:$R$320,10),(VLOOKUP($A258,PriceTableWeekend,4,0)+IF(BasisNumber&lt;&gt;1,VLOOKUP($A258,BasisTable,2,0),0)+N$1)/(1-N$2))</f>
        <v>48.286157821795811</v>
      </c>
      <c r="O258" s="154">
        <f>IF(Assumptions!$L$25=4,VLOOKUP($A258,'Henwood Reference'!$E$9:$R$320,11),(VLOOKUP($A258,PriceTableWeekend,6,0)+IF(BasisNumber&lt;&gt;1,VLOOKUP($A258,BasisTable,3,0),0)+O$1)/(1-O$2))</f>
        <v>29.003018464184713</v>
      </c>
      <c r="P258" s="154">
        <f>IF(Assumptions!$L$25=4,VLOOKUP($A258,'Henwood Reference'!$E$9:$R$320,11),(VLOOKUP($A258,PriceTableWeekend,7,0)+IF(BasisNumber&lt;&gt;1,VLOOKUP($A258,BasisTable,3,0),0)+P$1)/(1-P$2))</f>
        <v>29.003018464184713</v>
      </c>
      <c r="Q258" s="156">
        <f>IF(Assumptions!$L$25=4,VLOOKUP($A258,'Henwood Reference'!$E$9:$R$320,11),(VLOOKUP($A258,PriceTableWeekend,8,0)+IF(BasisNumber&lt;&gt;1,VLOOKUP($A258,BasisTable,3,0),0)+Q$1)/(1-Q$2))</f>
        <v>29.003018464184713</v>
      </c>
      <c r="R258" s="154">
        <f>IF(Assumptions!$L$25=4,VLOOKUP($A258,'Henwood Reference'!$E$9:$R$320,11),(VLOOKUP($A258,PriceTable,6,0)+IF(BasisNumber&lt;&gt;1,VLOOKUP($A258,BasisTable,3,0),0)+R$1)/(1-R$2))</f>
        <v>29.003018464184713</v>
      </c>
      <c r="S258" s="154">
        <f>IF(Assumptions!$L$25=4,VLOOKUP($A258,'Henwood Reference'!$E$9:$R$320,11),(VLOOKUP($A258,PriceTable,7,0)+IF(BasisNumber&lt;&gt;1,VLOOKUP($A258,BasisTable,3,0),0)+S$1)/(1-S$2))</f>
        <v>29.003018464184713</v>
      </c>
      <c r="T258" s="155">
        <f>IF(Assumptions!$L$25=4,VLOOKUP($A258,'Henwood Reference'!$E$9:$R$320,11),(VLOOKUP($A258,PriceTable,8,0)+IF(BasisNumber&lt;&gt;1,VLOOKUP($A258,BasisTable,3,0),0)+T$1)/(1-T$2))</f>
        <v>29.003018464184713</v>
      </c>
      <c r="U258" s="173">
        <f t="shared" si="640"/>
        <v>0.09</v>
      </c>
      <c r="V258" s="173">
        <f t="shared" si="641"/>
        <v>0.1</v>
      </c>
      <c r="W258" s="174">
        <f t="shared" si="642"/>
        <v>0.11</v>
      </c>
      <c r="X258" s="173">
        <f t="shared" si="643"/>
        <v>0.09</v>
      </c>
      <c r="Y258" s="173">
        <f t="shared" si="644"/>
        <v>0.1</v>
      </c>
      <c r="Z258" s="174">
        <f t="shared" si="645"/>
        <v>0.11</v>
      </c>
      <c r="AA258" s="173">
        <f t="shared" si="646"/>
        <v>0.09</v>
      </c>
      <c r="AB258" s="173">
        <f t="shared" si="647"/>
        <v>0.11</v>
      </c>
      <c r="AC258" s="174">
        <f t="shared" si="648"/>
        <v>0.13</v>
      </c>
      <c r="AD258" s="173">
        <f t="shared" si="649"/>
        <v>0.09</v>
      </c>
      <c r="AE258" s="173">
        <f t="shared" si="650"/>
        <v>0.11</v>
      </c>
      <c r="AF258" s="174">
        <f t="shared" si="651"/>
        <v>0.13</v>
      </c>
      <c r="AG258" s="173">
        <f t="shared" si="652"/>
        <v>-0.35</v>
      </c>
      <c r="AH258" s="173">
        <f t="shared" si="653"/>
        <v>0.65</v>
      </c>
      <c r="AI258" s="174">
        <f t="shared" si="654"/>
        <v>0.2</v>
      </c>
      <c r="AJ258" s="173">
        <f t="shared" si="655"/>
        <v>-0.35</v>
      </c>
      <c r="AK258" s="173">
        <f t="shared" si="656"/>
        <v>0.65</v>
      </c>
      <c r="AL258" s="174">
        <f t="shared" si="657"/>
        <v>0.2</v>
      </c>
      <c r="AM258" s="173">
        <f t="shared" si="658"/>
        <v>-0.01</v>
      </c>
      <c r="AN258" s="173">
        <f t="shared" si="659"/>
        <v>0.16</v>
      </c>
      <c r="AO258" s="174">
        <f t="shared" si="660"/>
        <v>0.01</v>
      </c>
      <c r="AP258" s="173">
        <f t="shared" si="661"/>
        <v>-0.01</v>
      </c>
      <c r="AQ258" s="173">
        <f t="shared" si="662"/>
        <v>0.16</v>
      </c>
      <c r="AR258" s="175">
        <f t="shared" si="663"/>
        <v>0.01</v>
      </c>
      <c r="AS258" s="521">
        <f t="shared" ref="AS258:AS273" si="747">IF(CorrPeakOffPeakOverFlag,INDEX(CorrPeakOffPeakOver,C258),CorrPeakOffPeak)</f>
        <v>0.5</v>
      </c>
      <c r="AT258" s="349">
        <f t="shared" si="745"/>
        <v>22</v>
      </c>
      <c r="AU258" s="159">
        <f t="shared" si="582"/>
        <v>4</v>
      </c>
      <c r="AV258" s="159">
        <f t="shared" si="583"/>
        <v>4</v>
      </c>
      <c r="AW258" s="159">
        <f t="shared" ref="AW258:AW273" si="748">IF(OR(E258="",D258="",D258&lt;BegDate,D258&gt;EndDate),0,1)</f>
        <v>0</v>
      </c>
      <c r="AX258" s="15">
        <f t="shared" si="746"/>
        <v>30</v>
      </c>
      <c r="AY258" s="607">
        <f>IF(E258="",0,MIN((1-(1-VLOOKUP(B258,MAIN!$AA$7:$AM$28,C258+1))*(1-VLOOKUP(B258,MAIN!$AA$33:$AM$54,C258+1))),1))</f>
        <v>3.0000000000000027E-2</v>
      </c>
      <c r="AZ258" s="337">
        <v>51216</v>
      </c>
      <c r="BA258" s="509">
        <v>9312</v>
      </c>
      <c r="BB258" s="509">
        <v>9312</v>
      </c>
      <c r="BC258" s="511">
        <v>34920</v>
      </c>
      <c r="BD258" s="153">
        <v>0.97000000722706314</v>
      </c>
      <c r="BE258" s="474">
        <v>0.97000000722706314</v>
      </c>
      <c r="BF258" s="474">
        <v>0.97000000722706314</v>
      </c>
      <c r="BG258" s="515">
        <v>0.97000000722706314</v>
      </c>
      <c r="BH258" s="262">
        <v>204864</v>
      </c>
      <c r="BI258" s="509">
        <v>37248</v>
      </c>
      <c r="BJ258" s="509">
        <v>37248</v>
      </c>
      <c r="BK258" s="511">
        <v>139680</v>
      </c>
      <c r="BL258" s="153">
        <v>0.97000000722706314</v>
      </c>
      <c r="BM258" s="474">
        <v>0.97000000722706314</v>
      </c>
      <c r="BN258" s="474">
        <v>0.97000000722706314</v>
      </c>
      <c r="BO258" s="474">
        <v>0.97000000722706314</v>
      </c>
      <c r="BP258" s="261">
        <f t="shared" si="666"/>
        <v>69840</v>
      </c>
      <c r="BQ258" s="578">
        <f t="shared" si="667"/>
        <v>104760</v>
      </c>
      <c r="BR258" s="259">
        <f t="shared" si="668"/>
        <v>279360</v>
      </c>
      <c r="BS258" s="578">
        <f t="shared" si="669"/>
        <v>419040</v>
      </c>
      <c r="BT258" s="216">
        <f t="shared" si="670"/>
        <v>20.131416837782339</v>
      </c>
      <c r="BU258" s="218">
        <f t="shared" si="585"/>
        <v>48.28615818155572</v>
      </c>
      <c r="BV258" s="216">
        <f t="shared" si="586"/>
        <v>48.28615818155572</v>
      </c>
      <c r="BW258" s="216">
        <f t="shared" si="587"/>
        <v>29.003018680274039</v>
      </c>
      <c r="BX258" s="216">
        <f t="shared" si="671"/>
        <v>29.003018680274039</v>
      </c>
      <c r="BY258" s="216">
        <f t="shared" si="588"/>
        <v>45.715072914718164</v>
      </c>
      <c r="BZ258" s="216">
        <f t="shared" si="589"/>
        <v>40.144388169903458</v>
      </c>
      <c r="CA258" s="264">
        <f t="shared" si="590"/>
        <v>48.28615818155572</v>
      </c>
      <c r="CB258" s="216">
        <f t="shared" si="591"/>
        <v>48.28615818155572</v>
      </c>
      <c r="CC258" s="216">
        <f t="shared" si="592"/>
        <v>29.003018680274039</v>
      </c>
      <c r="CD258" s="216">
        <f t="shared" si="672"/>
        <v>29.003018680274039</v>
      </c>
      <c r="CE258" s="216">
        <f t="shared" si="593"/>
        <v>45.715072914718164</v>
      </c>
      <c r="CF258" s="571">
        <f t="shared" si="594"/>
        <v>40.144388169903458</v>
      </c>
      <c r="CG258" s="573">
        <f t="shared" si="595"/>
        <v>0.1</v>
      </c>
      <c r="CH258" s="219">
        <f t="shared" si="596"/>
        <v>0.1</v>
      </c>
      <c r="CI258" s="219">
        <f t="shared" si="597"/>
        <v>0.11</v>
      </c>
      <c r="CJ258" s="219">
        <f t="shared" si="598"/>
        <v>0.1008538155068219</v>
      </c>
      <c r="CK258" s="219">
        <f t="shared" si="599"/>
        <v>0.1008538155068219</v>
      </c>
      <c r="CL258" s="219">
        <f t="shared" si="600"/>
        <v>0.11</v>
      </c>
      <c r="CM258" s="219">
        <f t="shared" si="601"/>
        <v>9.2993283683715816E-2</v>
      </c>
      <c r="CN258" s="569">
        <f t="shared" si="602"/>
        <v>9.2993283683715816E-2</v>
      </c>
      <c r="CO258" s="264">
        <f t="shared" si="685"/>
        <v>25.841586642480173</v>
      </c>
      <c r="CP258" s="216">
        <f t="shared" si="673"/>
        <v>25.841586642480173</v>
      </c>
      <c r="CQ258" s="216">
        <f t="shared" ca="1" si="703"/>
        <v>25.841586642480173</v>
      </c>
      <c r="CR258" s="216">
        <f t="shared" ca="1" si="704"/>
        <v>25.841586642480173</v>
      </c>
      <c r="CS258" s="1626">
        <f t="shared" ca="1" si="705"/>
        <v>25.841586642480173</v>
      </c>
      <c r="CT258" s="216">
        <f t="shared" si="674"/>
        <v>25.841586642480173</v>
      </c>
      <c r="CU258" s="575">
        <f t="shared" si="603"/>
        <v>0.15</v>
      </c>
      <c r="CV258" s="154">
        <f t="shared" si="604"/>
        <v>0.5</v>
      </c>
      <c r="CW258" s="216">
        <f>IF(OR($BQ258,$BS258),SpreadOptPowerMargin,0)*((1+Assumptions!$C$26)^($B258-YEAR(Assumptions!$C$17)))</f>
        <v>2.5204345545463638</v>
      </c>
      <c r="CX258" s="216">
        <f>IF(OR($BQ258,$BS258),SpreadOptPowerMargin,0)*((1+Assumptions!$C$26)^($B258-YEAR(Assumptions!$C$17)))</f>
        <v>2.5204345545463638</v>
      </c>
      <c r="CY258" s="216">
        <f>IF(OR($BQ258,$BS258),SpreadOptPowerMargin,0)*((1+Assumptions!$C$26)^($B258-YEAR(Assumptions!$C$17)))</f>
        <v>2.5204345545463638</v>
      </c>
      <c r="CZ258" s="216">
        <f>IF(OR($BQ258,$BS258),SpreadOptPowerMargin,0)*((1+Assumptions!$C$26)^($B258-YEAR(Assumptions!$C$17)))</f>
        <v>2.5204345545463638</v>
      </c>
      <c r="DA258" s="440">
        <f t="shared" si="605"/>
        <v>2.5204345545463638</v>
      </c>
      <c r="DB258" s="479">
        <f t="shared" si="606"/>
        <v>0.1</v>
      </c>
      <c r="DC258" s="479">
        <f t="shared" si="607"/>
        <v>0.1</v>
      </c>
      <c r="DD258" s="479">
        <f t="shared" si="608"/>
        <v>0.11</v>
      </c>
      <c r="DE258" s="479">
        <f t="shared" si="609"/>
        <v>0.11</v>
      </c>
      <c r="DF258" s="479">
        <f t="shared" si="610"/>
        <v>9.2993283683715816E-2</v>
      </c>
      <c r="DG258" s="574">
        <f t="shared" si="611"/>
        <v>9.2993283683715816E-2</v>
      </c>
      <c r="DH258" s="216">
        <f t="shared" si="612"/>
        <v>21.745377697876609</v>
      </c>
      <c r="DI258" s="216">
        <f t="shared" si="613"/>
        <v>21.745377697876609</v>
      </c>
      <c r="DJ258" s="216">
        <f t="shared" ca="1" si="706"/>
        <v>6.6761296664409882</v>
      </c>
      <c r="DK258" s="216">
        <f t="shared" ca="1" si="707"/>
        <v>6.6761296664409882</v>
      </c>
      <c r="DL258" s="216">
        <f t="shared" ca="1" si="708"/>
        <v>14.66649019742137</v>
      </c>
      <c r="DM258" s="216"/>
      <c r="DN258" s="216"/>
      <c r="DO258" s="216"/>
      <c r="DP258" s="216"/>
      <c r="DQ258" s="216"/>
      <c r="DR258" s="216"/>
      <c r="DS258" s="216"/>
      <c r="DT258" s="216"/>
      <c r="DU258" s="216"/>
      <c r="DV258" s="216"/>
      <c r="DW258" s="1371">
        <f t="shared" si="614"/>
        <v>6.6761296664409882</v>
      </c>
      <c r="DX258" s="216">
        <f t="shared" si="615"/>
        <v>6.6761296664409882</v>
      </c>
      <c r="DY258" s="440">
        <f t="shared" si="616"/>
        <v>15.382806306826012</v>
      </c>
      <c r="DZ258" s="180">
        <f t="shared" si="617"/>
        <v>1113711.2641744483</v>
      </c>
      <c r="EA258" s="180">
        <f t="shared" si="618"/>
        <v>202492.95712262698</v>
      </c>
      <c r="EB258" s="180">
        <f t="shared" ca="1" si="709"/>
        <v>62168.119453898478</v>
      </c>
      <c r="EC258" s="180">
        <f t="shared" ca="1" si="710"/>
        <v>233130.44795211931</v>
      </c>
      <c r="ED258" s="180">
        <f t="shared" ca="1" si="711"/>
        <v>1536461.5130818626</v>
      </c>
      <c r="EE258" s="581">
        <f t="shared" si="619"/>
        <v>1020434.5997996466</v>
      </c>
      <c r="EF258" s="554">
        <f t="shared" si="620"/>
        <v>185533.56359993576</v>
      </c>
      <c r="EG258" s="554">
        <f t="shared" ca="1" si="712"/>
        <v>5968.9685640007474</v>
      </c>
      <c r="EH258" s="554">
        <f t="shared" ca="1" si="713"/>
        <v>22383.632115002802</v>
      </c>
      <c r="EI258" s="561">
        <f t="shared" ca="1" si="621"/>
        <v>1234320.7640785864</v>
      </c>
      <c r="EJ258" s="581">
        <f t="shared" si="675"/>
        <v>93276.66437480168</v>
      </c>
      <c r="EK258" s="554">
        <f t="shared" si="676"/>
        <v>16959.393522691214</v>
      </c>
      <c r="EL258" s="554">
        <f t="shared" ca="1" si="714"/>
        <v>56199.150889897734</v>
      </c>
      <c r="EM258" s="554">
        <f t="shared" ca="1" si="715"/>
        <v>210746.8158371165</v>
      </c>
      <c r="EN258" s="561">
        <f t="shared" ca="1" si="716"/>
        <v>302140.74900327623</v>
      </c>
      <c r="EO258" s="180">
        <f t="shared" si="622"/>
        <v>4454845.0566977933</v>
      </c>
      <c r="EP258" s="180">
        <f t="shared" si="623"/>
        <v>809971.82849050791</v>
      </c>
      <c r="EQ258" s="180">
        <f t="shared" si="624"/>
        <v>248672.47781559391</v>
      </c>
      <c r="ER258" s="180">
        <f t="shared" si="625"/>
        <v>932521.79180847725</v>
      </c>
      <c r="ES258" s="180">
        <f t="shared" si="626"/>
        <v>6446011.1548123723</v>
      </c>
      <c r="ET258" s="1482">
        <f t="shared" ca="1" si="717"/>
        <v>4081738.3991985866</v>
      </c>
      <c r="EU258" s="180">
        <f t="shared" ca="1" si="718"/>
        <v>742134.25439974305</v>
      </c>
      <c r="EV258" s="180">
        <f t="shared" ca="1" si="719"/>
        <v>23875.87425600299</v>
      </c>
      <c r="EW258" s="180">
        <f t="shared" ca="1" si="720"/>
        <v>89534.528460011206</v>
      </c>
      <c r="EX258" s="555">
        <f t="shared" ca="1" si="693"/>
        <v>4937283.0563143436</v>
      </c>
      <c r="EY258" s="180">
        <f t="shared" ca="1" si="721"/>
        <v>373106.65749920672</v>
      </c>
      <c r="EZ258" s="180">
        <f t="shared" ca="1" si="722"/>
        <v>67837.574090764858</v>
      </c>
      <c r="FA258" s="180">
        <f t="shared" ca="1" si="723"/>
        <v>224796.60355959093</v>
      </c>
      <c r="FB258" s="180">
        <f t="shared" ca="1" si="724"/>
        <v>842987.26334846602</v>
      </c>
      <c r="FC258" s="180">
        <f t="shared" ca="1" si="725"/>
        <v>1508728.0984980287</v>
      </c>
      <c r="FD258" s="262">
        <f>IF(AX258,IF(VLOOKUP(C258,MAIN!$L$17:$M$28,2)="Yes",VLOOKUP(CALC!B258,MAIN!$H$17:$I$20,2),0),0)</f>
        <v>0</v>
      </c>
      <c r="FE258" s="623">
        <f t="shared" si="627"/>
        <v>0</v>
      </c>
      <c r="FF258" s="535">
        <f t="shared" si="628"/>
        <v>0</v>
      </c>
      <c r="FG258" s="535">
        <f t="shared" si="629"/>
        <v>0</v>
      </c>
      <c r="FH258" s="624">
        <f t="shared" si="630"/>
        <v>0</v>
      </c>
      <c r="FI258" s="632">
        <f>IF(AX258,VLOOKUP(CALC!B258,MAIN!$H$17:$K$20,4),0)</f>
        <v>0</v>
      </c>
      <c r="FJ258" s="535">
        <f t="shared" si="631"/>
        <v>0</v>
      </c>
      <c r="FK258" s="648">
        <f t="shared" si="677"/>
        <v>0</v>
      </c>
      <c r="FL258" s="530">
        <f t="shared" ca="1" si="726"/>
        <v>0</v>
      </c>
      <c r="FM258" s="530">
        <f t="shared" ca="1" si="727"/>
        <v>0</v>
      </c>
      <c r="FN258" s="530">
        <f t="shared" ca="1" si="728"/>
        <v>0</v>
      </c>
      <c r="FO258" s="622">
        <f t="shared" ca="1" si="729"/>
        <v>0</v>
      </c>
      <c r="FP258" s="530">
        <f t="shared" ca="1" si="730"/>
        <v>0</v>
      </c>
      <c r="FQ258" s="530">
        <f t="shared" ca="1" si="731"/>
        <v>0</v>
      </c>
      <c r="FR258" s="530">
        <f t="shared" ca="1" si="732"/>
        <v>0</v>
      </c>
      <c r="FS258" s="625">
        <f t="shared" ca="1" si="733"/>
        <v>0</v>
      </c>
      <c r="FT258" s="640">
        <f ca="1">IF(AND(Assumptions!$H$71="Yes",A258&gt;=Assumptions!$H$72,A258&lt;=Assumptions!$H$73),0,IF(AND($A258&gt;=Assumptions!$C$17,$A258&lt;=Assumptions!$C$18),MAX(AZ258*(1+VLOOKUP($C258,WeatherCapacityAdjustment,2))-FL258,0),0))</f>
        <v>51216</v>
      </c>
      <c r="FU258" s="530">
        <f ca="1">IF(AND(Assumptions!$H$71="Yes",A258&gt;=Assumptions!$H$72,A258&lt;=Assumptions!$H$73),0,IF(AND($A258&gt;=Assumptions!$C$17,$A258&lt;=Assumptions!$C$18),MAX(BA258*(1+VLOOKUP($C258,WeatherCapacityAdjustment,2))-FM258,0),0))</f>
        <v>9312</v>
      </c>
      <c r="FV258" s="530">
        <f ca="1">IF(AND(Assumptions!$H$71="Yes",A258&gt;=Assumptions!$H$72,A258&lt;=Assumptions!$H$73),0,IF(AND($A258&gt;=Assumptions!$C$17,$A258&lt;=Assumptions!$C$18),MAX(BB258*(1+VLOOKUP($C258,WeatherCapacityAdjustment,2))-FN258,0),0))</f>
        <v>9312</v>
      </c>
      <c r="FW258" s="622">
        <f ca="1">IF(AND(Assumptions!$H$71="Yes",A258&gt;=Assumptions!$H$72,A258&lt;=Assumptions!$H$73),0,IF(AND($A258&gt;=Assumptions!$C$17,$A258&lt;=Assumptions!$C$18),MAX(BC258*(1+VLOOKUP($C258,WeatherCapacityAdjustment,3))-FO258,0),0))</f>
        <v>34920</v>
      </c>
      <c r="FX258" s="621">
        <f ca="1">IF(AND(Assumptions!$H$71="Yes",A258&gt;=Assumptions!$H$72,A258&lt;=Assumptions!$H$73),0,IF(ET258&gt;0,MAX(BH258*(1+VLOOKUP($C258,WeatherCapacityAdjustment,2))-FP258,0),0))</f>
        <v>204864</v>
      </c>
      <c r="FY258" s="530">
        <f ca="1">IF(AND(Assumptions!$H$71="Yes",A258&gt;=Assumptions!$H$72,A258&lt;=Assumptions!$H$73),0,IF(EU258&gt;0,MAX(BI258*(1+VLOOKUP($C258,WeatherCapacityAdjustment,3))-FQ258,0),0))</f>
        <v>37248</v>
      </c>
      <c r="FZ258" s="530">
        <f ca="1">IF(AND(Assumptions!$H$71="Yes",A258&gt;=Assumptions!$H$72,A258&lt;=Assumptions!$H$73),0,IF(EV258&gt;0,MAX(BJ258*(1+VLOOKUP($C258,WeatherCapacityAdjustment,2))-FR258,0),0))</f>
        <v>37248</v>
      </c>
      <c r="GA258" s="622">
        <f ca="1">IF(AND(Assumptions!$H$71="Yes",A258&gt;=Assumptions!$H$72,A258&lt;=Assumptions!$H$73),0,IF(EW258&gt;0,MAX(BK258*(1+VLOOKUP($C258,WeatherCapacityAdjustment,2))-FS258,0),0))</f>
        <v>139680</v>
      </c>
      <c r="GB258" s="530">
        <f t="shared" ca="1" si="632"/>
        <v>523800</v>
      </c>
      <c r="GC258" s="545">
        <f t="shared" ca="1" si="633"/>
        <v>40.144388169903458</v>
      </c>
      <c r="GD258" s="530">
        <f t="shared" ca="1" si="734"/>
        <v>21027630.52339543</v>
      </c>
      <c r="GE258" s="1485">
        <f t="shared" ca="1" si="735"/>
        <v>752107.65839999996</v>
      </c>
      <c r="GF258" s="1776">
        <f t="shared" ca="1" si="736"/>
        <v>3008430.6335999998</v>
      </c>
      <c r="GG258" s="545">
        <f t="shared" si="701"/>
        <v>3.5994376422456904</v>
      </c>
      <c r="GH258" s="622">
        <f t="shared" ca="1" si="702"/>
        <v>13535823.083331116</v>
      </c>
      <c r="GI258" s="621">
        <f t="shared" ca="1" si="678"/>
        <v>523800</v>
      </c>
      <c r="GJ258" s="638">
        <f t="shared" si="634"/>
        <v>2.5204345545463638</v>
      </c>
      <c r="GK258" s="625">
        <f t="shared" ca="1" si="684"/>
        <v>1320203.6196713853</v>
      </c>
      <c r="GL258" s="640">
        <f t="shared" ca="1" si="737"/>
        <v>0</v>
      </c>
      <c r="GM258" s="530">
        <f t="shared" ca="1" si="738"/>
        <v>0</v>
      </c>
      <c r="GN258" s="530">
        <f t="shared" ca="1" si="739"/>
        <v>0</v>
      </c>
      <c r="GO258" s="622">
        <f t="shared" ca="1" si="740"/>
        <v>0</v>
      </c>
      <c r="GP258" s="530">
        <f t="shared" ca="1" si="635"/>
        <v>0</v>
      </c>
      <c r="GQ258" s="545">
        <f t="shared" ca="1" si="636"/>
        <v>0</v>
      </c>
      <c r="GR258" s="625">
        <f t="shared" ca="1" si="741"/>
        <v>0</v>
      </c>
      <c r="GS258" s="640">
        <f>IF($A258&gt;=BegDate,Assumptions!$C$56*24*($A259-$A258)*(1-VLOOKUP($B258,MAIN!$AA$7:$AM$28,$C258+1))*(1-VLOOKUP($B258,MAIN!$AA$33:$AM$54,$C258+1)),0)*80/168</f>
        <v>249428.57142857142</v>
      </c>
      <c r="GT258" s="1715">
        <f t="shared" si="679"/>
        <v>48.286157821795811</v>
      </c>
      <c r="GU258" s="1715">
        <f>IF($A258&gt;=BegDate,VLOOKUP($A258,GasTable,13)+Assumptions!$C$58,0)</f>
        <v>3.5994376422456904</v>
      </c>
      <c r="GV258" s="1715">
        <f>GU258*Assumptions!$C$57/1000</f>
        <v>26.095922906281256</v>
      </c>
      <c r="GW258" s="625">
        <f>IF(Assumptions!$C$60="Hourly",MAX(0,GS258*(GT258-GV258)),GS258*(GT258-GV258))</f>
        <v>5534878.5946412021</v>
      </c>
      <c r="GX258" s="640">
        <f>IF($A258&gt;=BegDate,Assumptions!$C$56*24*($A259-$A258)*(1-VLOOKUP($B258,MAIN!$AA$7:$AM$28,$C258+1))*(1-VLOOKUP($B258,MAIN!$AA$33:$AM$54,$C258+1)),0)*16/168</f>
        <v>49885.714285714283</v>
      </c>
      <c r="GY258" s="1715">
        <f t="shared" si="680"/>
        <v>48.286157821795811</v>
      </c>
      <c r="GZ258" s="1715">
        <f>IF($A258&gt;=BegDate,VLOOKUP($A258,GasTable,13)+Assumptions!$C$58,0)</f>
        <v>3.5994376422456904</v>
      </c>
      <c r="HA258" s="1715">
        <f>GZ258*Assumptions!$C$57/1000</f>
        <v>26.095922906281256</v>
      </c>
      <c r="HB258" s="625">
        <f>IF(Assumptions!$C$60="Hourly",MAX(0,GX258*(GY258-HA258)),GX258*(GY258-HA258))</f>
        <v>1106975.7189282402</v>
      </c>
      <c r="HC258" s="640">
        <f>IF($A258&gt;=BegDate,Assumptions!$C$56*24*($A259-$A258)*(1-VLOOKUP($B258,MAIN!$AA$7:$AM$28,$C258+1))*(1-VLOOKUP($B258,MAIN!$AA$33:$AM$54,$C258+1)),0)*16/168</f>
        <v>49885.714285714283</v>
      </c>
      <c r="HD258" s="1715">
        <f t="shared" si="681"/>
        <v>29.003018464184713</v>
      </c>
      <c r="HE258" s="1715">
        <f>IF($A258&gt;=BegDate,VLOOKUP($A258,GasTable,13)+Assumptions!$C$58,0)</f>
        <v>3.5994376422456904</v>
      </c>
      <c r="HF258" s="1715">
        <f>HE258*Assumptions!$C$57/1000</f>
        <v>26.095922906281256</v>
      </c>
      <c r="HG258" s="625">
        <f>IF(Assumptions!$C$60="Hourly",MAX(0,HC258*(HD258-HF258)),HC258*(HD258-HF258))</f>
        <v>145022.53840284102</v>
      </c>
      <c r="HH258" s="640">
        <f>IF($A258&gt;=BegDate,Assumptions!$C$56*24*($A259-$A258)*(1-VLOOKUP($B258,MAIN!$AA$7:$AM$28,$C258+1))*(1-VLOOKUP($B258,MAIN!$AA$33:$AM$54,$C258+1)),0)*56/168</f>
        <v>174600</v>
      </c>
      <c r="HI258" s="1715">
        <f t="shared" si="682"/>
        <v>29.003018464184713</v>
      </c>
      <c r="HJ258" s="1715">
        <f>IF($A258&gt;=BegDate,VLOOKUP($A258,GasTable,13)+Assumptions!$C$58,0)</f>
        <v>3.5994376422456904</v>
      </c>
      <c r="HK258" s="1715">
        <f>HJ258*Assumptions!$C$57/1000</f>
        <v>26.095922906281256</v>
      </c>
      <c r="HL258" s="625">
        <f>IF(Assumptions!$C$60="Hourly",MAX(0,HH258*(HI258-HK258)),HH258*(HI258-HK258))</f>
        <v>507578.88440994354</v>
      </c>
      <c r="HM258" s="640">
        <f>IF(AND(Assumptions!$H$71="Yes",A258&gt;=Assumptions!$H$72,A258&lt;=Assumptions!$H$73),Assumptions!$H$74*Assumptions!$C$9*1000,0)</f>
        <v>0</v>
      </c>
      <c r="HN258" s="530"/>
      <c r="HO258" s="545"/>
      <c r="HP258" s="545"/>
      <c r="HQ258" s="545"/>
      <c r="HR258" s="545"/>
      <c r="HS258" s="545"/>
      <c r="HT258" s="545"/>
      <c r="HU258" s="545"/>
      <c r="HV258" s="545"/>
      <c r="HW258" s="545"/>
      <c r="HX258" s="545"/>
      <c r="HY258" s="545"/>
      <c r="HZ258" s="545"/>
      <c r="IA258" s="545"/>
      <c r="IB258" s="545"/>
      <c r="IC258" s="545"/>
      <c r="ID258" s="545"/>
      <c r="IE258" s="545"/>
      <c r="IF258" s="545"/>
      <c r="IG258" s="545"/>
      <c r="IH258" s="545"/>
      <c r="II258" s="1464"/>
      <c r="IJ258" s="1463"/>
      <c r="IK258" s="1463"/>
    </row>
    <row r="259" spans="1:249">
      <c r="A259" s="177">
        <f t="shared" si="637"/>
        <v>44013</v>
      </c>
      <c r="B259" s="349">
        <f t="shared" si="638"/>
        <v>2020</v>
      </c>
      <c r="C259" s="15">
        <f t="shared" si="742"/>
        <v>7</v>
      </c>
      <c r="D259" s="612">
        <f t="shared" si="639"/>
        <v>44016</v>
      </c>
      <c r="E259" s="609">
        <f t="shared" si="743"/>
        <v>44013</v>
      </c>
      <c r="F259" s="614">
        <f t="shared" si="744"/>
        <v>44043</v>
      </c>
      <c r="G259" s="1349">
        <v>0</v>
      </c>
      <c r="H259" s="152">
        <f t="shared" si="683"/>
        <v>1</v>
      </c>
      <c r="I259" s="154">
        <f>IF(Assumptions!$L$25=4,VLOOKUP($A259,'Henwood Reference'!$E$9:$R$320,10),(VLOOKUP($A259,PriceTable,2,0)+IF(BasisNumber&lt;&gt;1,VLOOKUP($A259,BasisTable,2,0),0)+I$1)/(1-I$2))</f>
        <v>71.683736924131395</v>
      </c>
      <c r="J259" s="154">
        <f>IF(Assumptions!$L$25=4,VLOOKUP($A259,'Henwood Reference'!$E$9:$R$320,10),(VLOOKUP($A259,PriceTable,3,0)+IF(BasisNumber&lt;&gt;1,VLOOKUP($A259,BasisTable,2,0),0)+J$1)/(1-J$2))</f>
        <v>71.683736924131395</v>
      </c>
      <c r="K259" s="154">
        <f>IF(Assumptions!$L$25=4,VLOOKUP($A259,'Henwood Reference'!$E$9:$R$320,10),(VLOOKUP($A259,PriceTable,4,0)+IF(BasisNumber&lt;&gt;1,VLOOKUP($A259,BasisTable,2,0),0)+K$1)/(1-K$2))</f>
        <v>71.683736924131395</v>
      </c>
      <c r="L259" s="474">
        <f>IF(Assumptions!$L$25=4,VLOOKUP($A259,'Henwood Reference'!$E$9:$R$320,10),(VLOOKUP($A259,PriceTableWeekend,2,0)+IF(BasisNumber&lt;&gt;1,VLOOKUP($A259,BasisTable,2,0),0)+L$1)/(1-L$2))</f>
        <v>71.683736924131395</v>
      </c>
      <c r="M259" s="154">
        <f>IF(Assumptions!$L$25=4,VLOOKUP($A259,'Henwood Reference'!$E$9:$R$320,10),(VLOOKUP($A259,PriceTableWeekend,3,0)+IF(BasisNumber&lt;&gt;1,VLOOKUP($A259,BasisTable,2,0),0)+M$1)/(1-M$2))</f>
        <v>71.683736924131395</v>
      </c>
      <c r="N259" s="156">
        <f>IF(Assumptions!$L$25=4,VLOOKUP($A259,'Henwood Reference'!$E$9:$R$320,10),(VLOOKUP($A259,PriceTableWeekend,4,0)+IF(BasisNumber&lt;&gt;1,VLOOKUP($A259,BasisTable,2,0),0)+N$1)/(1-N$2))</f>
        <v>71.683736924131395</v>
      </c>
      <c r="O259" s="154">
        <f>IF(Assumptions!$L$25=4,VLOOKUP($A259,'Henwood Reference'!$E$9:$R$320,11),(VLOOKUP($A259,PriceTableWeekend,6,0)+IF(BasisNumber&lt;&gt;1,VLOOKUP($A259,BasisTable,3,0),0)+O$1)/(1-O$2))</f>
        <v>34.186151576096812</v>
      </c>
      <c r="P259" s="154">
        <f>IF(Assumptions!$L$25=4,VLOOKUP($A259,'Henwood Reference'!$E$9:$R$320,11),(VLOOKUP($A259,PriceTableWeekend,7,0)+IF(BasisNumber&lt;&gt;1,VLOOKUP($A259,BasisTable,3,0),0)+P$1)/(1-P$2))</f>
        <v>34.186151576096812</v>
      </c>
      <c r="Q259" s="156">
        <f>IF(Assumptions!$L$25=4,VLOOKUP($A259,'Henwood Reference'!$E$9:$R$320,11),(VLOOKUP($A259,PriceTableWeekend,8,0)+IF(BasisNumber&lt;&gt;1,VLOOKUP($A259,BasisTable,3,0),0)+Q$1)/(1-Q$2))</f>
        <v>34.186151576096812</v>
      </c>
      <c r="R259" s="154">
        <f>IF(Assumptions!$L$25=4,VLOOKUP($A259,'Henwood Reference'!$E$9:$R$320,11),(VLOOKUP($A259,PriceTable,6,0)+IF(BasisNumber&lt;&gt;1,VLOOKUP($A259,BasisTable,3,0),0)+R$1)/(1-R$2))</f>
        <v>34.186151576096812</v>
      </c>
      <c r="S259" s="154">
        <f>IF(Assumptions!$L$25=4,VLOOKUP($A259,'Henwood Reference'!$E$9:$R$320,11),(VLOOKUP($A259,PriceTable,7,0)+IF(BasisNumber&lt;&gt;1,VLOOKUP($A259,BasisTable,3,0),0)+S$1)/(1-S$2))</f>
        <v>34.186151576096812</v>
      </c>
      <c r="T259" s="155">
        <f>IF(Assumptions!$L$25=4,VLOOKUP($A259,'Henwood Reference'!$E$9:$R$320,11),(VLOOKUP($A259,PriceTable,8,0)+IF(BasisNumber&lt;&gt;1,VLOOKUP($A259,BasisTable,3,0),0)+T$1)/(1-T$2))</f>
        <v>34.186151576096812</v>
      </c>
      <c r="U259" s="173">
        <f t="shared" si="640"/>
        <v>0.09</v>
      </c>
      <c r="V259" s="173">
        <f t="shared" si="641"/>
        <v>0.1</v>
      </c>
      <c r="W259" s="174">
        <f t="shared" si="642"/>
        <v>0.11</v>
      </c>
      <c r="X259" s="173">
        <f t="shared" si="643"/>
        <v>0.09</v>
      </c>
      <c r="Y259" s="173">
        <f t="shared" si="644"/>
        <v>0.1</v>
      </c>
      <c r="Z259" s="174">
        <f t="shared" si="645"/>
        <v>0.11</v>
      </c>
      <c r="AA259" s="173">
        <f t="shared" si="646"/>
        <v>0.09</v>
      </c>
      <c r="AB259" s="173">
        <f t="shared" si="647"/>
        <v>0.11</v>
      </c>
      <c r="AC259" s="174">
        <f t="shared" si="648"/>
        <v>0.13</v>
      </c>
      <c r="AD259" s="173">
        <f t="shared" si="649"/>
        <v>0.09</v>
      </c>
      <c r="AE259" s="173">
        <f t="shared" si="650"/>
        <v>0.11</v>
      </c>
      <c r="AF259" s="174">
        <f t="shared" si="651"/>
        <v>0.13</v>
      </c>
      <c r="AG259" s="173">
        <f t="shared" si="652"/>
        <v>-0.35</v>
      </c>
      <c r="AH259" s="173">
        <f t="shared" si="653"/>
        <v>0.65</v>
      </c>
      <c r="AI259" s="174">
        <f t="shared" si="654"/>
        <v>0.35</v>
      </c>
      <c r="AJ259" s="173">
        <f t="shared" si="655"/>
        <v>-0.35</v>
      </c>
      <c r="AK259" s="173">
        <f t="shared" si="656"/>
        <v>0.65</v>
      </c>
      <c r="AL259" s="174">
        <f t="shared" si="657"/>
        <v>0.35</v>
      </c>
      <c r="AM259" s="173">
        <f t="shared" si="658"/>
        <v>-0.01</v>
      </c>
      <c r="AN259" s="173">
        <f t="shared" si="659"/>
        <v>0.16</v>
      </c>
      <c r="AO259" s="174">
        <f t="shared" si="660"/>
        <v>0.01</v>
      </c>
      <c r="AP259" s="173">
        <f t="shared" si="661"/>
        <v>-0.01</v>
      </c>
      <c r="AQ259" s="173">
        <f t="shared" si="662"/>
        <v>0.16</v>
      </c>
      <c r="AR259" s="175">
        <f t="shared" si="663"/>
        <v>0.01</v>
      </c>
      <c r="AS259" s="521">
        <f t="shared" si="747"/>
        <v>0.5</v>
      </c>
      <c r="AT259" s="349">
        <f t="shared" si="745"/>
        <v>23</v>
      </c>
      <c r="AU259" s="159">
        <f t="shared" si="582"/>
        <v>3</v>
      </c>
      <c r="AV259" s="159">
        <f t="shared" si="583"/>
        <v>4</v>
      </c>
      <c r="AW259" s="159">
        <f t="shared" si="748"/>
        <v>1</v>
      </c>
      <c r="AX259" s="15">
        <f t="shared" si="746"/>
        <v>31</v>
      </c>
      <c r="AY259" s="607">
        <f>IF(E259="",0,MIN((1-(1-VLOOKUP(B259,MAIN!$AA$7:$AM$28,C259+1))*(1-VLOOKUP(B259,MAIN!$AA$33:$AM$54,C259+1))),1))</f>
        <v>3.0000000000000027E-2</v>
      </c>
      <c r="AZ259" s="337">
        <v>53544</v>
      </c>
      <c r="BA259" s="509">
        <v>6984</v>
      </c>
      <c r="BB259" s="509">
        <v>11640</v>
      </c>
      <c r="BC259" s="511">
        <v>36084</v>
      </c>
      <c r="BD259" s="153">
        <v>0.97000000361353156</v>
      </c>
      <c r="BE259" s="474">
        <v>0.97000000361353156</v>
      </c>
      <c r="BF259" s="474">
        <v>0.97000000361353156</v>
      </c>
      <c r="BG259" s="515">
        <v>0.96999998554587363</v>
      </c>
      <c r="BH259" s="262">
        <v>214176</v>
      </c>
      <c r="BI259" s="509">
        <v>27936</v>
      </c>
      <c r="BJ259" s="509">
        <v>46560</v>
      </c>
      <c r="BK259" s="511">
        <v>144336</v>
      </c>
      <c r="BL259" s="153">
        <v>0.97000000361353156</v>
      </c>
      <c r="BM259" s="474">
        <v>0.97000000361353156</v>
      </c>
      <c r="BN259" s="474">
        <v>0.97000000361353156</v>
      </c>
      <c r="BO259" s="474">
        <v>0.96999998554587363</v>
      </c>
      <c r="BP259" s="261">
        <f t="shared" si="666"/>
        <v>72168</v>
      </c>
      <c r="BQ259" s="578">
        <f t="shared" si="667"/>
        <v>108252</v>
      </c>
      <c r="BR259" s="259">
        <f t="shared" si="668"/>
        <v>288672</v>
      </c>
      <c r="BS259" s="578">
        <f t="shared" si="669"/>
        <v>433008</v>
      </c>
      <c r="BT259" s="216">
        <f t="shared" si="670"/>
        <v>20.213552361396303</v>
      </c>
      <c r="BU259" s="218">
        <f t="shared" si="585"/>
        <v>71.683737191174117</v>
      </c>
      <c r="BV259" s="216">
        <f t="shared" si="586"/>
        <v>71.683737191174117</v>
      </c>
      <c r="BW259" s="216">
        <f t="shared" si="587"/>
        <v>34.18615170345015</v>
      </c>
      <c r="BX259" s="216">
        <f t="shared" si="671"/>
        <v>34.186151066683458</v>
      </c>
      <c r="BY259" s="216">
        <f t="shared" si="588"/>
        <v>65.635739531863805</v>
      </c>
      <c r="BZ259" s="216">
        <f t="shared" si="589"/>
        <v>55.152543376803699</v>
      </c>
      <c r="CA259" s="264">
        <f t="shared" si="590"/>
        <v>71.683737191174117</v>
      </c>
      <c r="CB259" s="216">
        <f t="shared" si="591"/>
        <v>71.683737191174117</v>
      </c>
      <c r="CC259" s="216">
        <f t="shared" si="592"/>
        <v>34.18615170345015</v>
      </c>
      <c r="CD259" s="216">
        <f t="shared" si="672"/>
        <v>34.186151066683458</v>
      </c>
      <c r="CE259" s="216">
        <f t="shared" si="593"/>
        <v>65.635739531863805</v>
      </c>
      <c r="CF259" s="571">
        <f t="shared" si="594"/>
        <v>55.152543376803699</v>
      </c>
      <c r="CG259" s="573">
        <f t="shared" si="595"/>
        <v>0.1</v>
      </c>
      <c r="CH259" s="219">
        <f t="shared" si="596"/>
        <v>0.1</v>
      </c>
      <c r="CI259" s="219">
        <f t="shared" si="597"/>
        <v>0.11</v>
      </c>
      <c r="CJ259" s="219">
        <f t="shared" si="598"/>
        <v>0.10084796616591792</v>
      </c>
      <c r="CK259" s="219">
        <f t="shared" si="599"/>
        <v>0.10084796616591792</v>
      </c>
      <c r="CL259" s="219">
        <f t="shared" si="600"/>
        <v>0.11</v>
      </c>
      <c r="CM259" s="219">
        <f t="shared" si="601"/>
        <v>9.3744271628299916E-2</v>
      </c>
      <c r="CN259" s="569">
        <f t="shared" si="602"/>
        <v>9.3744271628299916E-2</v>
      </c>
      <c r="CO259" s="264">
        <f t="shared" si="685"/>
        <v>26.514670949019308</v>
      </c>
      <c r="CP259" s="216">
        <f t="shared" si="673"/>
        <v>26.514670949019308</v>
      </c>
      <c r="CQ259" s="216">
        <f t="shared" ca="1" si="703"/>
        <v>26.514670949019308</v>
      </c>
      <c r="CR259" s="216">
        <f t="shared" ca="1" si="704"/>
        <v>26.514670949019308</v>
      </c>
      <c r="CS259" s="1626">
        <f t="shared" ca="1" si="705"/>
        <v>26.514670949019308</v>
      </c>
      <c r="CT259" s="216">
        <f t="shared" si="674"/>
        <v>26.514670949019308</v>
      </c>
      <c r="CU259" s="575">
        <f t="shared" si="603"/>
        <v>0.15</v>
      </c>
      <c r="CV259" s="154">
        <f t="shared" si="604"/>
        <v>0.5</v>
      </c>
      <c r="CW259" s="216">
        <f>IF(OR($BQ259,$BS259),SpreadOptPowerMargin,0)*((1+Assumptions!$C$26)^($B259-YEAR(Assumptions!$C$17)))</f>
        <v>2.5204345545463638</v>
      </c>
      <c r="CX259" s="216">
        <f>IF(OR($BQ259,$BS259),SpreadOptPowerMargin,0)*((1+Assumptions!$C$26)^($B259-YEAR(Assumptions!$C$17)))</f>
        <v>2.5204345545463638</v>
      </c>
      <c r="CY259" s="216">
        <f>IF(OR($BQ259,$BS259),SpreadOptPowerMargin,0)*((1+Assumptions!$C$26)^($B259-YEAR(Assumptions!$C$17)))</f>
        <v>2.5204345545463638</v>
      </c>
      <c r="CZ259" s="216">
        <f>IF(OR($BQ259,$BS259),SpreadOptPowerMargin,0)*((1+Assumptions!$C$26)^($B259-YEAR(Assumptions!$C$17)))</f>
        <v>2.5204345545463638</v>
      </c>
      <c r="DA259" s="440">
        <f t="shared" si="605"/>
        <v>2.5204345545463638</v>
      </c>
      <c r="DB259" s="479">
        <f t="shared" si="606"/>
        <v>0.1</v>
      </c>
      <c r="DC259" s="479">
        <f t="shared" si="607"/>
        <v>0.1</v>
      </c>
      <c r="DD259" s="479">
        <f t="shared" si="608"/>
        <v>0.11</v>
      </c>
      <c r="DE259" s="479">
        <f t="shared" si="609"/>
        <v>0.11</v>
      </c>
      <c r="DF259" s="479">
        <f t="shared" si="610"/>
        <v>9.3744271628299916E-2</v>
      </c>
      <c r="DG259" s="574">
        <f t="shared" si="611"/>
        <v>9.3744271628299916E-2</v>
      </c>
      <c r="DH259" s="216">
        <f t="shared" si="612"/>
        <v>43.222191227673385</v>
      </c>
      <c r="DI259" s="216">
        <f t="shared" si="613"/>
        <v>43.222191227673385</v>
      </c>
      <c r="DJ259" s="216">
        <f t="shared" ca="1" si="706"/>
        <v>9.9046370728069117</v>
      </c>
      <c r="DK259" s="216">
        <f t="shared" ca="1" si="707"/>
        <v>9.904636613980534</v>
      </c>
      <c r="DL259" s="216">
        <f t="shared" ca="1" si="708"/>
        <v>27.441079194477943</v>
      </c>
      <c r="DM259" s="216"/>
      <c r="DN259" s="216"/>
      <c r="DO259" s="216"/>
      <c r="DP259" s="216"/>
      <c r="DQ259" s="216"/>
      <c r="DR259" s="216"/>
      <c r="DS259" s="216"/>
      <c r="DT259" s="216"/>
      <c r="DU259" s="216"/>
      <c r="DV259" s="216"/>
      <c r="DW259" s="1371">
        <f t="shared" si="614"/>
        <v>9.9046370728069117</v>
      </c>
      <c r="DX259" s="216">
        <f t="shared" si="615"/>
        <v>9.904636613980534</v>
      </c>
      <c r="DY259" s="440">
        <f t="shared" si="616"/>
        <v>28.533806984951415</v>
      </c>
      <c r="DZ259" s="180">
        <f t="shared" si="617"/>
        <v>2314289.0070945439</v>
      </c>
      <c r="EA259" s="180">
        <f t="shared" si="618"/>
        <v>301863.78353407094</v>
      </c>
      <c r="EB259" s="180">
        <f t="shared" ca="1" si="709"/>
        <v>115289.97552747246</v>
      </c>
      <c r="EC259" s="180">
        <f t="shared" ca="1" si="710"/>
        <v>357398.90757887356</v>
      </c>
      <c r="ED259" s="180">
        <f t="shared" ca="1" si="711"/>
        <v>2970551.7049606266</v>
      </c>
      <c r="EE259" s="581">
        <f t="shared" si="619"/>
        <v>2283578.3350813063</v>
      </c>
      <c r="EF259" s="554">
        <f t="shared" si="620"/>
        <v>297858.04370625736</v>
      </c>
      <c r="EG259" s="554">
        <f t="shared" ca="1" si="712"/>
        <v>59958.177766655346</v>
      </c>
      <c r="EH259" s="554">
        <f t="shared" ca="1" si="713"/>
        <v>185870.32809954221</v>
      </c>
      <c r="EI259" s="561">
        <f t="shared" ca="1" si="621"/>
        <v>2827264.8846537629</v>
      </c>
      <c r="EJ259" s="581">
        <f t="shared" si="675"/>
        <v>30710.672013237607</v>
      </c>
      <c r="EK259" s="554">
        <f t="shared" si="676"/>
        <v>4005.7398278135806</v>
      </c>
      <c r="EL259" s="554">
        <f t="shared" ca="1" si="714"/>
        <v>55331.797760817113</v>
      </c>
      <c r="EM259" s="554">
        <f t="shared" ca="1" si="715"/>
        <v>171528.57947933135</v>
      </c>
      <c r="EN259" s="561">
        <f t="shared" ca="1" si="716"/>
        <v>143286.82030686364</v>
      </c>
      <c r="EO259" s="180">
        <f t="shared" si="622"/>
        <v>9257156.0283781756</v>
      </c>
      <c r="EP259" s="180">
        <f t="shared" si="623"/>
        <v>1207455.1341362838</v>
      </c>
      <c r="EQ259" s="180">
        <f t="shared" si="624"/>
        <v>461159.90210988984</v>
      </c>
      <c r="ER259" s="180">
        <f t="shared" si="625"/>
        <v>1429595.6303154943</v>
      </c>
      <c r="ES259" s="180">
        <f t="shared" si="626"/>
        <v>12355366.694939842</v>
      </c>
      <c r="ET259" s="1482">
        <f t="shared" ca="1" si="717"/>
        <v>9134313.3403252251</v>
      </c>
      <c r="EU259" s="180">
        <f t="shared" ca="1" si="718"/>
        <v>1191432.1748250294</v>
      </c>
      <c r="EV259" s="180">
        <f t="shared" ca="1" si="719"/>
        <v>239832.71106662138</v>
      </c>
      <c r="EW259" s="180">
        <f t="shared" ca="1" si="720"/>
        <v>743481.31239816884</v>
      </c>
      <c r="EX259" s="555">
        <f t="shared" ca="1" si="693"/>
        <v>11309059.538615046</v>
      </c>
      <c r="EY259" s="180">
        <f t="shared" ca="1" si="721"/>
        <v>122842.68805295043</v>
      </c>
      <c r="EZ259" s="180">
        <f t="shared" ca="1" si="722"/>
        <v>16022.959311254323</v>
      </c>
      <c r="FA259" s="180">
        <f t="shared" ca="1" si="723"/>
        <v>221327.19104326845</v>
      </c>
      <c r="FB259" s="180">
        <f t="shared" ca="1" si="724"/>
        <v>686114.31791732542</v>
      </c>
      <c r="FC259" s="180">
        <f t="shared" ca="1" si="725"/>
        <v>1046307.1563247964</v>
      </c>
      <c r="FD259" s="262">
        <f>IF(AX259,IF(VLOOKUP(C259,MAIN!$L$17:$M$28,2)="Yes",VLOOKUP(CALC!B259,MAIN!$H$17:$I$20,2),0),0)</f>
        <v>0</v>
      </c>
      <c r="FE259" s="623">
        <f t="shared" si="627"/>
        <v>0</v>
      </c>
      <c r="FF259" s="535">
        <f t="shared" si="628"/>
        <v>0</v>
      </c>
      <c r="FG259" s="535">
        <f t="shared" si="629"/>
        <v>0</v>
      </c>
      <c r="FH259" s="624">
        <f t="shared" si="630"/>
        <v>0</v>
      </c>
      <c r="FI259" s="632">
        <f>IF(AX259,VLOOKUP(CALC!B259,MAIN!$H$17:$K$20,4),0)</f>
        <v>0</v>
      </c>
      <c r="FJ259" s="535">
        <f t="shared" si="631"/>
        <v>0</v>
      </c>
      <c r="FK259" s="648">
        <f t="shared" si="677"/>
        <v>0</v>
      </c>
      <c r="FL259" s="530">
        <f t="shared" ca="1" si="726"/>
        <v>0</v>
      </c>
      <c r="FM259" s="530">
        <f t="shared" ca="1" si="727"/>
        <v>0</v>
      </c>
      <c r="FN259" s="530">
        <f t="shared" ca="1" si="728"/>
        <v>0</v>
      </c>
      <c r="FO259" s="622">
        <f t="shared" ca="1" si="729"/>
        <v>0</v>
      </c>
      <c r="FP259" s="530">
        <f t="shared" ca="1" si="730"/>
        <v>0</v>
      </c>
      <c r="FQ259" s="530">
        <f t="shared" ca="1" si="731"/>
        <v>0</v>
      </c>
      <c r="FR259" s="530">
        <f t="shared" ca="1" si="732"/>
        <v>0</v>
      </c>
      <c r="FS259" s="625">
        <f t="shared" ca="1" si="733"/>
        <v>0</v>
      </c>
      <c r="FT259" s="640">
        <f ca="1">IF(AND(Assumptions!$H$71="Yes",A259&gt;=Assumptions!$H$72,A259&lt;=Assumptions!$H$73),0,IF(AND($A259&gt;=Assumptions!$C$17,$A259&lt;=Assumptions!$C$18),MAX(AZ259*(1+VLOOKUP($C259,WeatherCapacityAdjustment,2))-FL259,0),0))</f>
        <v>53544</v>
      </c>
      <c r="FU259" s="530">
        <f ca="1">IF(AND(Assumptions!$H$71="Yes",A259&gt;=Assumptions!$H$72,A259&lt;=Assumptions!$H$73),0,IF(AND($A259&gt;=Assumptions!$C$17,$A259&lt;=Assumptions!$C$18),MAX(BA259*(1+VLOOKUP($C259,WeatherCapacityAdjustment,2))-FM259,0),0))</f>
        <v>6984</v>
      </c>
      <c r="FV259" s="530">
        <f ca="1">IF(AND(Assumptions!$H$71="Yes",A259&gt;=Assumptions!$H$72,A259&lt;=Assumptions!$H$73),0,IF(AND($A259&gt;=Assumptions!$C$17,$A259&lt;=Assumptions!$C$18),MAX(BB259*(1+VLOOKUP($C259,WeatherCapacityAdjustment,2))-FN259,0),0))</f>
        <v>11640</v>
      </c>
      <c r="FW259" s="622">
        <f ca="1">IF(AND(Assumptions!$H$71="Yes",A259&gt;=Assumptions!$H$72,A259&lt;=Assumptions!$H$73),0,IF(AND($A259&gt;=Assumptions!$C$17,$A259&lt;=Assumptions!$C$18),MAX(BC259*(1+VLOOKUP($C259,WeatherCapacityAdjustment,3))-FO259,0),0))</f>
        <v>36084</v>
      </c>
      <c r="FX259" s="621">
        <f ca="1">IF(AND(Assumptions!$H$71="Yes",A259&gt;=Assumptions!$H$72,A259&lt;=Assumptions!$H$73),0,IF(ET259&gt;0,MAX(BH259*(1+VLOOKUP($C259,WeatherCapacityAdjustment,2))-FP259,0),0))</f>
        <v>214176</v>
      </c>
      <c r="FY259" s="530">
        <f ca="1">IF(AND(Assumptions!$H$71="Yes",A259&gt;=Assumptions!$H$72,A259&lt;=Assumptions!$H$73),0,IF(EU259&gt;0,MAX(BI259*(1+VLOOKUP($C259,WeatherCapacityAdjustment,3))-FQ259,0),0))</f>
        <v>27936</v>
      </c>
      <c r="FZ259" s="530">
        <f ca="1">IF(AND(Assumptions!$H$71="Yes",A259&gt;=Assumptions!$H$72,A259&lt;=Assumptions!$H$73),0,IF(EV259&gt;0,MAX(BJ259*(1+VLOOKUP($C259,WeatherCapacityAdjustment,2))-FR259,0),0))</f>
        <v>46560</v>
      </c>
      <c r="GA259" s="622">
        <f ca="1">IF(AND(Assumptions!$H$71="Yes",A259&gt;=Assumptions!$H$72,A259&lt;=Assumptions!$H$73),0,IF(EW259&gt;0,MAX(BK259*(1+VLOOKUP($C259,WeatherCapacityAdjustment,2))-FS259,0),0))</f>
        <v>144336</v>
      </c>
      <c r="GB259" s="530">
        <f t="shared" ca="1" si="632"/>
        <v>541260</v>
      </c>
      <c r="GC259" s="545">
        <f t="shared" ca="1" si="633"/>
        <v>55.152543376803685</v>
      </c>
      <c r="GD259" s="530">
        <f t="shared" ca="1" si="734"/>
        <v>29851865.628128767</v>
      </c>
      <c r="GE259" s="1485">
        <f t="shared" ca="1" si="735"/>
        <v>777496.17456000007</v>
      </c>
      <c r="GF259" s="1776">
        <f t="shared" ca="1" si="736"/>
        <v>3109984.6982400003</v>
      </c>
      <c r="GG259" s="545">
        <f t="shared" si="701"/>
        <v>3.6916788191241929</v>
      </c>
      <c r="GH259" s="622">
        <f t="shared" ca="1" si="702"/>
        <v>14351330.797866192</v>
      </c>
      <c r="GI259" s="621">
        <f t="shared" ca="1" si="678"/>
        <v>541260</v>
      </c>
      <c r="GJ259" s="638">
        <f t="shared" si="634"/>
        <v>2.5204345545463638</v>
      </c>
      <c r="GK259" s="625">
        <f t="shared" ca="1" si="684"/>
        <v>1364210.4069937649</v>
      </c>
      <c r="GL259" s="640">
        <f t="shared" ca="1" si="737"/>
        <v>0</v>
      </c>
      <c r="GM259" s="530">
        <f t="shared" ca="1" si="738"/>
        <v>0</v>
      </c>
      <c r="GN259" s="530">
        <f t="shared" ca="1" si="739"/>
        <v>0</v>
      </c>
      <c r="GO259" s="622">
        <f t="shared" ca="1" si="740"/>
        <v>0</v>
      </c>
      <c r="GP259" s="530">
        <f t="shared" ca="1" si="635"/>
        <v>0</v>
      </c>
      <c r="GQ259" s="545">
        <f t="shared" ca="1" si="636"/>
        <v>0</v>
      </c>
      <c r="GR259" s="625">
        <f t="shared" ca="1" si="741"/>
        <v>0</v>
      </c>
      <c r="GS259" s="640">
        <f>IF($A259&gt;=BegDate,Assumptions!$C$56*24*($A260-$A259)*(1-VLOOKUP($B259,MAIN!$AA$7:$AM$28,$C259+1))*(1-VLOOKUP($B259,MAIN!$AA$33:$AM$54,$C259+1)),0)*80/168</f>
        <v>257742.85714285713</v>
      </c>
      <c r="GT259" s="1715">
        <f t="shared" si="679"/>
        <v>71.683736924131395</v>
      </c>
      <c r="GU259" s="1715">
        <f>IF($A259&gt;=BegDate,VLOOKUP($A259,GasTable,13)+Assumptions!$C$58,0)</f>
        <v>3.6916788191241929</v>
      </c>
      <c r="GV259" s="1715">
        <f>GU259*Assumptions!$C$57/1000</f>
        <v>26.764671438650399</v>
      </c>
      <c r="GW259" s="625">
        <f>IF(Assumptions!$C$60="Hourly",MAX(0,GS259*(GT259-GV259)),GS259*(GT259-GV259))</f>
        <v>11577568.278414974</v>
      </c>
      <c r="GX259" s="640">
        <f>IF($A259&gt;=BegDate,Assumptions!$C$56*24*($A260-$A259)*(1-VLOOKUP($B259,MAIN!$AA$7:$AM$28,$C259+1))*(1-VLOOKUP($B259,MAIN!$AA$33:$AM$54,$C259+1)),0)*16/168</f>
        <v>51548.571428571428</v>
      </c>
      <c r="GY259" s="1715">
        <f t="shared" si="680"/>
        <v>71.683736924131395</v>
      </c>
      <c r="GZ259" s="1715">
        <f>IF($A259&gt;=BegDate,VLOOKUP($A259,GasTable,13)+Assumptions!$C$58,0)</f>
        <v>3.6916788191241929</v>
      </c>
      <c r="HA259" s="1715">
        <f>GZ259*Assumptions!$C$57/1000</f>
        <v>26.764671438650399</v>
      </c>
      <c r="HB259" s="625">
        <f>IF(Assumptions!$C$60="Hourly",MAX(0,GX259*(GY259-HA259)),GX259*(GY259-HA259))</f>
        <v>2315513.655682995</v>
      </c>
      <c r="HC259" s="640">
        <f>IF($A259&gt;=BegDate,Assumptions!$C$56*24*($A260-$A259)*(1-VLOOKUP($B259,MAIN!$AA$7:$AM$28,$C259+1))*(1-VLOOKUP($B259,MAIN!$AA$33:$AM$54,$C259+1)),0)*16/168</f>
        <v>51548.571428571428</v>
      </c>
      <c r="HD259" s="1715">
        <f t="shared" si="681"/>
        <v>34.186151576096812</v>
      </c>
      <c r="HE259" s="1715">
        <f>IF($A259&gt;=BegDate,VLOOKUP($A259,GasTable,13)+Assumptions!$C$58,0)</f>
        <v>3.6916788191241929</v>
      </c>
      <c r="HF259" s="1715">
        <f>HE259*Assumptions!$C$57/1000</f>
        <v>26.764671438650399</v>
      </c>
      <c r="HG259" s="625">
        <f>IF(Assumptions!$C$60="Hourly",MAX(0,HC259*(HD259-HF259)),HC259*(HD259-HF259))</f>
        <v>382566.69897088048</v>
      </c>
      <c r="HH259" s="640">
        <f>IF($A259&gt;=BegDate,Assumptions!$C$56*24*($A260-$A259)*(1-VLOOKUP($B259,MAIN!$AA$7:$AM$28,$C259+1))*(1-VLOOKUP($B259,MAIN!$AA$33:$AM$54,$C259+1)),0)*56/168</f>
        <v>180420</v>
      </c>
      <c r="HI259" s="1715">
        <f t="shared" si="682"/>
        <v>34.186151576096812</v>
      </c>
      <c r="HJ259" s="1715">
        <f>IF($A259&gt;=BegDate,VLOOKUP($A259,GasTable,13)+Assumptions!$C$58,0)</f>
        <v>3.6916788191241929</v>
      </c>
      <c r="HK259" s="1715">
        <f>HJ259*Assumptions!$C$57/1000</f>
        <v>26.764671438650399</v>
      </c>
      <c r="HL259" s="625">
        <f>IF(Assumptions!$C$60="Hourly",MAX(0,HH259*(HI259-HK259)),HH259*(HI259-HK259))</f>
        <v>1338983.4463980817</v>
      </c>
      <c r="HM259" s="640">
        <f>IF(AND(Assumptions!$H$71="Yes",A259&gt;=Assumptions!$H$72,A259&lt;=Assumptions!$H$73),Assumptions!$H$74*Assumptions!$C$9*1000,0)</f>
        <v>0</v>
      </c>
      <c r="HN259" s="530"/>
      <c r="HO259" s="545"/>
      <c r="HP259" s="545"/>
      <c r="HQ259" s="545"/>
      <c r="HR259" s="545"/>
      <c r="HS259" s="545"/>
      <c r="HT259" s="545"/>
      <c r="HU259" s="545"/>
      <c r="HV259" s="545"/>
      <c r="HW259" s="545"/>
      <c r="HX259" s="545"/>
      <c r="HY259" s="545"/>
      <c r="HZ259" s="545"/>
      <c r="IA259" s="545"/>
      <c r="IB259" s="545"/>
      <c r="IC259" s="545"/>
      <c r="ID259" s="545"/>
      <c r="IE259" s="545"/>
      <c r="IF259" s="545"/>
      <c r="IG259" s="545"/>
      <c r="IH259" s="545"/>
      <c r="II259" s="1464"/>
      <c r="IJ259" s="1463"/>
      <c r="IK259" s="1463"/>
    </row>
    <row r="260" spans="1:249">
      <c r="A260" s="177">
        <f t="shared" si="637"/>
        <v>44044</v>
      </c>
      <c r="B260" s="349">
        <f t="shared" si="638"/>
        <v>2020</v>
      </c>
      <c r="C260" s="15">
        <f t="shared" si="742"/>
        <v>8</v>
      </c>
      <c r="D260" s="612" t="str">
        <f t="shared" si="639"/>
        <v/>
      </c>
      <c r="E260" s="609">
        <f t="shared" si="743"/>
        <v>44044</v>
      </c>
      <c r="F260" s="614">
        <f t="shared" si="744"/>
        <v>44074</v>
      </c>
      <c r="G260" s="1349">
        <v>0</v>
      </c>
      <c r="H260" s="152">
        <f t="shared" si="683"/>
        <v>1</v>
      </c>
      <c r="I260" s="154">
        <f>IF(Assumptions!$L$25=4,VLOOKUP($A260,'Henwood Reference'!$E$9:$R$320,10),(VLOOKUP($A260,PriceTable,2,0)+IF(BasisNumber&lt;&gt;1,VLOOKUP($A260,BasisTable,2,0),0)+I$1)/(1-I$2))</f>
        <v>88.951040044358251</v>
      </c>
      <c r="J260" s="154">
        <f>IF(Assumptions!$L$25=4,VLOOKUP($A260,'Henwood Reference'!$E$9:$R$320,10),(VLOOKUP($A260,PriceTable,3,0)+IF(BasisNumber&lt;&gt;1,VLOOKUP($A260,BasisTable,2,0),0)+J$1)/(1-J$2))</f>
        <v>88.951040044358251</v>
      </c>
      <c r="K260" s="154">
        <f>IF(Assumptions!$L$25=4,VLOOKUP($A260,'Henwood Reference'!$E$9:$R$320,10),(VLOOKUP($A260,PriceTable,4,0)+IF(BasisNumber&lt;&gt;1,VLOOKUP($A260,BasisTable,2,0),0)+K$1)/(1-K$2))</f>
        <v>88.951040044358251</v>
      </c>
      <c r="L260" s="474">
        <f>IF(Assumptions!$L$25=4,VLOOKUP($A260,'Henwood Reference'!$E$9:$R$320,10),(VLOOKUP($A260,PriceTableWeekend,2,0)+IF(BasisNumber&lt;&gt;1,VLOOKUP($A260,BasisTable,2,0),0)+L$1)/(1-L$2))</f>
        <v>88.951040044358251</v>
      </c>
      <c r="M260" s="154">
        <f>IF(Assumptions!$L$25=4,VLOOKUP($A260,'Henwood Reference'!$E$9:$R$320,10),(VLOOKUP($A260,PriceTableWeekend,3,0)+IF(BasisNumber&lt;&gt;1,VLOOKUP($A260,BasisTable,2,0),0)+M$1)/(1-M$2))</f>
        <v>88.951040044358251</v>
      </c>
      <c r="N260" s="156">
        <f>IF(Assumptions!$L$25=4,VLOOKUP($A260,'Henwood Reference'!$E$9:$R$320,10),(VLOOKUP($A260,PriceTableWeekend,4,0)+IF(BasisNumber&lt;&gt;1,VLOOKUP($A260,BasisTable,2,0),0)+N$1)/(1-N$2))</f>
        <v>88.951040044358251</v>
      </c>
      <c r="O260" s="154">
        <f>IF(Assumptions!$L$25=4,VLOOKUP($A260,'Henwood Reference'!$E$9:$R$320,11),(VLOOKUP($A260,PriceTableWeekend,6,0)+IF(BasisNumber&lt;&gt;1,VLOOKUP($A260,BasisTable,3,0),0)+O$1)/(1-O$2))</f>
        <v>36.548510746223201</v>
      </c>
      <c r="P260" s="154">
        <f>IF(Assumptions!$L$25=4,VLOOKUP($A260,'Henwood Reference'!$E$9:$R$320,11),(VLOOKUP($A260,PriceTableWeekend,7,0)+IF(BasisNumber&lt;&gt;1,VLOOKUP($A260,BasisTable,3,0),0)+P$1)/(1-P$2))</f>
        <v>36.548510746223201</v>
      </c>
      <c r="Q260" s="156">
        <f>IF(Assumptions!$L$25=4,VLOOKUP($A260,'Henwood Reference'!$E$9:$R$320,11),(VLOOKUP($A260,PriceTableWeekend,8,0)+IF(BasisNumber&lt;&gt;1,VLOOKUP($A260,BasisTable,3,0),0)+Q$1)/(1-Q$2))</f>
        <v>36.548510746223201</v>
      </c>
      <c r="R260" s="154">
        <f>IF(Assumptions!$L$25=4,VLOOKUP($A260,'Henwood Reference'!$E$9:$R$320,11),(VLOOKUP($A260,PriceTable,6,0)+IF(BasisNumber&lt;&gt;1,VLOOKUP($A260,BasisTable,3,0),0)+R$1)/(1-R$2))</f>
        <v>36.548510746223201</v>
      </c>
      <c r="S260" s="154">
        <f>IF(Assumptions!$L$25=4,VLOOKUP($A260,'Henwood Reference'!$E$9:$R$320,11),(VLOOKUP($A260,PriceTable,7,0)+IF(BasisNumber&lt;&gt;1,VLOOKUP($A260,BasisTable,3,0),0)+S$1)/(1-S$2))</f>
        <v>36.548510746223201</v>
      </c>
      <c r="T260" s="155">
        <f>IF(Assumptions!$L$25=4,VLOOKUP($A260,'Henwood Reference'!$E$9:$R$320,11),(VLOOKUP($A260,PriceTable,8,0)+IF(BasisNumber&lt;&gt;1,VLOOKUP($A260,BasisTable,3,0),0)+T$1)/(1-T$2))</f>
        <v>36.548510746223201</v>
      </c>
      <c r="U260" s="173">
        <f t="shared" si="640"/>
        <v>0.09</v>
      </c>
      <c r="V260" s="173">
        <f t="shared" si="641"/>
        <v>0.1</v>
      </c>
      <c r="W260" s="174">
        <f t="shared" si="642"/>
        <v>0.11</v>
      </c>
      <c r="X260" s="173">
        <f t="shared" si="643"/>
        <v>0.09</v>
      </c>
      <c r="Y260" s="173">
        <f t="shared" si="644"/>
        <v>0.1</v>
      </c>
      <c r="Z260" s="174">
        <f t="shared" si="645"/>
        <v>0.11</v>
      </c>
      <c r="AA260" s="173">
        <f t="shared" si="646"/>
        <v>0.09</v>
      </c>
      <c r="AB260" s="173">
        <f t="shared" si="647"/>
        <v>0.11</v>
      </c>
      <c r="AC260" s="174">
        <f t="shared" si="648"/>
        <v>0.13</v>
      </c>
      <c r="AD260" s="173">
        <f t="shared" si="649"/>
        <v>0.09</v>
      </c>
      <c r="AE260" s="173">
        <f t="shared" si="650"/>
        <v>0.11</v>
      </c>
      <c r="AF260" s="174">
        <f t="shared" si="651"/>
        <v>0.13</v>
      </c>
      <c r="AG260" s="173">
        <f t="shared" si="652"/>
        <v>-0.35</v>
      </c>
      <c r="AH260" s="173">
        <f t="shared" si="653"/>
        <v>3</v>
      </c>
      <c r="AI260" s="174">
        <f t="shared" si="654"/>
        <v>0.35</v>
      </c>
      <c r="AJ260" s="173">
        <f t="shared" si="655"/>
        <v>-0.35</v>
      </c>
      <c r="AK260" s="173">
        <f t="shared" si="656"/>
        <v>3</v>
      </c>
      <c r="AL260" s="174">
        <f t="shared" si="657"/>
        <v>0.35</v>
      </c>
      <c r="AM260" s="173">
        <f t="shared" si="658"/>
        <v>-0.01</v>
      </c>
      <c r="AN260" s="173">
        <f t="shared" si="659"/>
        <v>0.16</v>
      </c>
      <c r="AO260" s="174">
        <f t="shared" si="660"/>
        <v>0.01</v>
      </c>
      <c r="AP260" s="173">
        <f t="shared" si="661"/>
        <v>-0.01</v>
      </c>
      <c r="AQ260" s="173">
        <f t="shared" si="662"/>
        <v>0.16</v>
      </c>
      <c r="AR260" s="175">
        <f t="shared" si="663"/>
        <v>0.01</v>
      </c>
      <c r="AS260" s="521">
        <f t="shared" si="747"/>
        <v>0.5</v>
      </c>
      <c r="AT260" s="349">
        <f t="shared" si="745"/>
        <v>21</v>
      </c>
      <c r="AU260" s="159">
        <f t="shared" si="582"/>
        <v>5</v>
      </c>
      <c r="AV260" s="159">
        <f t="shared" si="583"/>
        <v>5</v>
      </c>
      <c r="AW260" s="159">
        <f t="shared" si="748"/>
        <v>0</v>
      </c>
      <c r="AX260" s="15">
        <f t="shared" si="746"/>
        <v>31</v>
      </c>
      <c r="AY260" s="607">
        <f>IF(E260="",0,MIN((1-(1-VLOOKUP(B260,MAIN!$AA$7:$AM$28,C260+1))*(1-VLOOKUP(B260,MAIN!$AA$33:$AM$54,C260+1))),1))</f>
        <v>3.0000000000000027E-2</v>
      </c>
      <c r="AZ260" s="337">
        <v>48888</v>
      </c>
      <c r="BA260" s="509">
        <v>11640</v>
      </c>
      <c r="BB260" s="509">
        <v>11640</v>
      </c>
      <c r="BC260" s="511">
        <v>36084</v>
      </c>
      <c r="BD260" s="153">
        <v>0.96999998915940522</v>
      </c>
      <c r="BE260" s="474">
        <v>0.96999998915940522</v>
      </c>
      <c r="BF260" s="474">
        <v>0.96999998915940522</v>
      </c>
      <c r="BG260" s="515">
        <v>0.97000000722706314</v>
      </c>
      <c r="BH260" s="262">
        <v>195552</v>
      </c>
      <c r="BI260" s="509">
        <v>46560</v>
      </c>
      <c r="BJ260" s="509">
        <v>46560</v>
      </c>
      <c r="BK260" s="511">
        <v>144336</v>
      </c>
      <c r="BL260" s="153">
        <v>0.96999998915940522</v>
      </c>
      <c r="BM260" s="474">
        <v>0.96999998915940522</v>
      </c>
      <c r="BN260" s="474">
        <v>0.96999998915940522</v>
      </c>
      <c r="BO260" s="474">
        <v>0.97000000722706314</v>
      </c>
      <c r="BP260" s="261">
        <f t="shared" si="666"/>
        <v>72168</v>
      </c>
      <c r="BQ260" s="578">
        <f t="shared" si="667"/>
        <v>108252</v>
      </c>
      <c r="BR260" s="259">
        <f t="shared" si="668"/>
        <v>288672</v>
      </c>
      <c r="BS260" s="578">
        <f t="shared" si="669"/>
        <v>433008</v>
      </c>
      <c r="BT260" s="216">
        <f t="shared" si="670"/>
        <v>20.298425735797398</v>
      </c>
      <c r="BU260" s="218">
        <f t="shared" si="585"/>
        <v>88.951039050252916</v>
      </c>
      <c r="BV260" s="216">
        <f t="shared" si="586"/>
        <v>88.951039050252916</v>
      </c>
      <c r="BW260" s="216">
        <f t="shared" si="587"/>
        <v>36.548510337761762</v>
      </c>
      <c r="BX260" s="216">
        <f t="shared" si="671"/>
        <v>36.548511018530824</v>
      </c>
      <c r="BY260" s="216">
        <f t="shared" si="588"/>
        <v>80.499018290173694</v>
      </c>
      <c r="BZ260" s="216">
        <f t="shared" si="589"/>
        <v>65.848849199626073</v>
      </c>
      <c r="CA260" s="264">
        <f t="shared" si="590"/>
        <v>88.951039050252916</v>
      </c>
      <c r="CB260" s="216">
        <f t="shared" si="591"/>
        <v>88.951039050252916</v>
      </c>
      <c r="CC260" s="216">
        <f t="shared" si="592"/>
        <v>36.548510337761762</v>
      </c>
      <c r="CD260" s="216">
        <f t="shared" si="672"/>
        <v>36.548511018530824</v>
      </c>
      <c r="CE260" s="216">
        <f t="shared" si="593"/>
        <v>80.499018290173694</v>
      </c>
      <c r="CF260" s="571">
        <f t="shared" si="594"/>
        <v>65.848849199626073</v>
      </c>
      <c r="CG260" s="573">
        <f t="shared" si="595"/>
        <v>0.1</v>
      </c>
      <c r="CH260" s="219">
        <f t="shared" si="596"/>
        <v>0.1</v>
      </c>
      <c r="CI260" s="219">
        <f t="shared" si="597"/>
        <v>0.11</v>
      </c>
      <c r="CJ260" s="219">
        <f t="shared" si="598"/>
        <v>0.10073927931863347</v>
      </c>
      <c r="CK260" s="219">
        <f t="shared" si="599"/>
        <v>0.10073927931863347</v>
      </c>
      <c r="CL260" s="219">
        <f t="shared" si="600"/>
        <v>0.11</v>
      </c>
      <c r="CM260" s="219">
        <f t="shared" si="601"/>
        <v>9.4200114843234414E-2</v>
      </c>
      <c r="CN260" s="569">
        <f t="shared" si="602"/>
        <v>9.4200114843234414E-2</v>
      </c>
      <c r="CO260" s="264">
        <f t="shared" si="685"/>
        <v>27.480268183868329</v>
      </c>
      <c r="CP260" s="216">
        <f t="shared" si="673"/>
        <v>27.480268183868329</v>
      </c>
      <c r="CQ260" s="216">
        <f t="shared" ca="1" si="703"/>
        <v>27.480268183868329</v>
      </c>
      <c r="CR260" s="216">
        <f t="shared" ca="1" si="704"/>
        <v>27.480268183868329</v>
      </c>
      <c r="CS260" s="1626">
        <f t="shared" ca="1" si="705"/>
        <v>27.480268183868333</v>
      </c>
      <c r="CT260" s="216">
        <f t="shared" si="674"/>
        <v>27.480268183868329</v>
      </c>
      <c r="CU260" s="575">
        <f t="shared" si="603"/>
        <v>0.15</v>
      </c>
      <c r="CV260" s="154">
        <f t="shared" si="604"/>
        <v>0.5</v>
      </c>
      <c r="CW260" s="216">
        <f>IF(OR($BQ260,$BS260),SpreadOptPowerMargin,0)*((1+Assumptions!$C$26)^($B260-YEAR(Assumptions!$C$17)))</f>
        <v>2.5204345545463638</v>
      </c>
      <c r="CX260" s="216">
        <f>IF(OR($BQ260,$BS260),SpreadOptPowerMargin,0)*((1+Assumptions!$C$26)^($B260-YEAR(Assumptions!$C$17)))</f>
        <v>2.5204345545463638</v>
      </c>
      <c r="CY260" s="216">
        <f>IF(OR($BQ260,$BS260),SpreadOptPowerMargin,0)*((1+Assumptions!$C$26)^($B260-YEAR(Assumptions!$C$17)))</f>
        <v>2.5204345545463638</v>
      </c>
      <c r="CZ260" s="216">
        <f>IF(OR($BQ260,$BS260),SpreadOptPowerMargin,0)*((1+Assumptions!$C$26)^($B260-YEAR(Assumptions!$C$17)))</f>
        <v>2.5204345545463638</v>
      </c>
      <c r="DA260" s="440">
        <f t="shared" si="605"/>
        <v>2.5204345545463638</v>
      </c>
      <c r="DB260" s="479">
        <f t="shared" si="606"/>
        <v>0.1</v>
      </c>
      <c r="DC260" s="479">
        <f t="shared" si="607"/>
        <v>0.1</v>
      </c>
      <c r="DD260" s="479">
        <f t="shared" si="608"/>
        <v>0.11</v>
      </c>
      <c r="DE260" s="479">
        <f t="shared" si="609"/>
        <v>0.11</v>
      </c>
      <c r="DF260" s="479">
        <f t="shared" si="610"/>
        <v>9.4200114843234414E-2</v>
      </c>
      <c r="DG260" s="574">
        <f t="shared" si="611"/>
        <v>9.4200114843234414E-2</v>
      </c>
      <c r="DH260" s="216">
        <f t="shared" si="612"/>
        <v>59.251580414937635</v>
      </c>
      <c r="DI260" s="216">
        <f t="shared" si="613"/>
        <v>59.251580414937635</v>
      </c>
      <c r="DJ260" s="216">
        <f t="shared" ca="1" si="706"/>
        <v>11.157623597823271</v>
      </c>
      <c r="DK260" s="216">
        <f t="shared" ca="1" si="707"/>
        <v>11.157624101728231</v>
      </c>
      <c r="DL260" s="216">
        <f t="shared" ca="1" si="708"/>
        <v>36.721577928471746</v>
      </c>
      <c r="DM260" s="216"/>
      <c r="DN260" s="216"/>
      <c r="DO260" s="216"/>
      <c r="DP260" s="216"/>
      <c r="DQ260" s="216"/>
      <c r="DR260" s="216"/>
      <c r="DS260" s="216"/>
      <c r="DT260" s="216"/>
      <c r="DU260" s="216"/>
      <c r="DV260" s="216"/>
      <c r="DW260" s="1371">
        <f t="shared" si="614"/>
        <v>11.157623597823271</v>
      </c>
      <c r="DX260" s="216">
        <f t="shared" si="615"/>
        <v>11.157624101728231</v>
      </c>
      <c r="DY260" s="440">
        <f t="shared" si="616"/>
        <v>38.048868437726505</v>
      </c>
      <c r="DZ260" s="180">
        <f t="shared" si="617"/>
        <v>2896691.263325471</v>
      </c>
      <c r="EA260" s="180">
        <f t="shared" si="618"/>
        <v>689688.3960298741</v>
      </c>
      <c r="EB260" s="180">
        <f t="shared" ca="1" si="709"/>
        <v>129874.73867866288</v>
      </c>
      <c r="EC260" s="180">
        <f t="shared" ca="1" si="710"/>
        <v>402611.70808676153</v>
      </c>
      <c r="ED260" s="180">
        <f t="shared" ca="1" si="711"/>
        <v>3975184.2539129234</v>
      </c>
      <c r="EE260" s="581">
        <f t="shared" si="619"/>
        <v>2881964.0416131471</v>
      </c>
      <c r="EF260" s="554">
        <f t="shared" si="620"/>
        <v>686181.91466979694</v>
      </c>
      <c r="EG260" s="554">
        <f t="shared" ca="1" si="712"/>
        <v>76216.480456399906</v>
      </c>
      <c r="EH260" s="554">
        <f t="shared" ca="1" si="713"/>
        <v>236271.11397971053</v>
      </c>
      <c r="EI260" s="561">
        <f t="shared" ca="1" si="621"/>
        <v>3880633.550719054</v>
      </c>
      <c r="EJ260" s="581">
        <f t="shared" si="675"/>
        <v>14727.221712323837</v>
      </c>
      <c r="EK260" s="554">
        <f t="shared" si="676"/>
        <v>3506.4813600771595</v>
      </c>
      <c r="EL260" s="554">
        <f t="shared" ca="1" si="714"/>
        <v>53658.258222262972</v>
      </c>
      <c r="EM260" s="554">
        <f t="shared" ca="1" si="715"/>
        <v>166340.594107051</v>
      </c>
      <c r="EN260" s="561">
        <f t="shared" ca="1" si="716"/>
        <v>94550.703193869442</v>
      </c>
      <c r="EO260" s="180">
        <f t="shared" si="622"/>
        <v>11586765.053301884</v>
      </c>
      <c r="EP260" s="180">
        <f t="shared" si="623"/>
        <v>2758753.5841194964</v>
      </c>
      <c r="EQ260" s="180">
        <f t="shared" si="624"/>
        <v>519498.95471465151</v>
      </c>
      <c r="ER260" s="180">
        <f t="shared" si="625"/>
        <v>1610446.8323470461</v>
      </c>
      <c r="ES260" s="180">
        <f t="shared" si="626"/>
        <v>16475464.424483078</v>
      </c>
      <c r="ET260" s="1482">
        <f t="shared" ca="1" si="717"/>
        <v>11527856.166452589</v>
      </c>
      <c r="EU260" s="180">
        <f t="shared" ca="1" si="718"/>
        <v>2744727.6586791878</v>
      </c>
      <c r="EV260" s="180">
        <f t="shared" ca="1" si="719"/>
        <v>304865.92182559962</v>
      </c>
      <c r="EW260" s="180">
        <f t="shared" ca="1" si="720"/>
        <v>945084.45591884211</v>
      </c>
      <c r="EX260" s="555">
        <f t="shared" ca="1" si="693"/>
        <v>15522534.202876218</v>
      </c>
      <c r="EY260" s="180">
        <f t="shared" ca="1" si="721"/>
        <v>58908.886849295348</v>
      </c>
      <c r="EZ260" s="180">
        <f t="shared" ca="1" si="722"/>
        <v>14025.925440308638</v>
      </c>
      <c r="FA260" s="180">
        <f t="shared" ca="1" si="723"/>
        <v>214633.03288905189</v>
      </c>
      <c r="FB260" s="180">
        <f t="shared" ca="1" si="724"/>
        <v>665362.37642820401</v>
      </c>
      <c r="FC260" s="180">
        <f t="shared" ca="1" si="725"/>
        <v>952930.22160685994</v>
      </c>
      <c r="FD260" s="262">
        <f>IF(AX260,IF(VLOOKUP(C260,MAIN!$L$17:$M$28,2)="Yes",VLOOKUP(CALC!B260,MAIN!$H$17:$I$20,2),0),0)</f>
        <v>0</v>
      </c>
      <c r="FE260" s="623">
        <f t="shared" si="627"/>
        <v>0</v>
      </c>
      <c r="FF260" s="535">
        <f t="shared" si="628"/>
        <v>0</v>
      </c>
      <c r="FG260" s="535">
        <f t="shared" si="629"/>
        <v>0</v>
      </c>
      <c r="FH260" s="624">
        <f t="shared" si="630"/>
        <v>0</v>
      </c>
      <c r="FI260" s="632">
        <f>IF(AX260,VLOOKUP(CALC!B260,MAIN!$H$17:$K$20,4),0)</f>
        <v>0</v>
      </c>
      <c r="FJ260" s="535">
        <f t="shared" si="631"/>
        <v>0</v>
      </c>
      <c r="FK260" s="648">
        <f t="shared" si="677"/>
        <v>0</v>
      </c>
      <c r="FL260" s="530">
        <f t="shared" ca="1" si="726"/>
        <v>0</v>
      </c>
      <c r="FM260" s="530">
        <f t="shared" ca="1" si="727"/>
        <v>0</v>
      </c>
      <c r="FN260" s="530">
        <f t="shared" ca="1" si="728"/>
        <v>0</v>
      </c>
      <c r="FO260" s="622">
        <f t="shared" ca="1" si="729"/>
        <v>0</v>
      </c>
      <c r="FP260" s="530">
        <f t="shared" ca="1" si="730"/>
        <v>0</v>
      </c>
      <c r="FQ260" s="530">
        <f t="shared" ca="1" si="731"/>
        <v>0</v>
      </c>
      <c r="FR260" s="530">
        <f t="shared" ca="1" si="732"/>
        <v>0</v>
      </c>
      <c r="FS260" s="625">
        <f t="shared" ca="1" si="733"/>
        <v>0</v>
      </c>
      <c r="FT260" s="640">
        <f ca="1">IF(AND(Assumptions!$H$71="Yes",A260&gt;=Assumptions!$H$72,A260&lt;=Assumptions!$H$73),0,IF(AND($A260&gt;=Assumptions!$C$17,$A260&lt;=Assumptions!$C$18),MAX(AZ260*(1+VLOOKUP($C260,WeatherCapacityAdjustment,2))-FL260,0),0))</f>
        <v>48888</v>
      </c>
      <c r="FU260" s="530">
        <f ca="1">IF(AND(Assumptions!$H$71="Yes",A260&gt;=Assumptions!$H$72,A260&lt;=Assumptions!$H$73),0,IF(AND($A260&gt;=Assumptions!$C$17,$A260&lt;=Assumptions!$C$18),MAX(BA260*(1+VLOOKUP($C260,WeatherCapacityAdjustment,2))-FM260,0),0))</f>
        <v>11640</v>
      </c>
      <c r="FV260" s="530">
        <f ca="1">IF(AND(Assumptions!$H$71="Yes",A260&gt;=Assumptions!$H$72,A260&lt;=Assumptions!$H$73),0,IF(AND($A260&gt;=Assumptions!$C$17,$A260&lt;=Assumptions!$C$18),MAX(BB260*(1+VLOOKUP($C260,WeatherCapacityAdjustment,2))-FN260,0),0))</f>
        <v>11640</v>
      </c>
      <c r="FW260" s="622">
        <f ca="1">IF(AND(Assumptions!$H$71="Yes",A260&gt;=Assumptions!$H$72,A260&lt;=Assumptions!$H$73),0,IF(AND($A260&gt;=Assumptions!$C$17,$A260&lt;=Assumptions!$C$18),MAX(BC260*(1+VLOOKUP($C260,WeatherCapacityAdjustment,3))-FO260,0),0))</f>
        <v>36084</v>
      </c>
      <c r="FX260" s="621">
        <f ca="1">IF(AND(Assumptions!$H$71="Yes",A260&gt;=Assumptions!$H$72,A260&lt;=Assumptions!$H$73),0,IF(ET260&gt;0,MAX(BH260*(1+VLOOKUP($C260,WeatherCapacityAdjustment,2))-FP260,0),0))</f>
        <v>195552</v>
      </c>
      <c r="FY260" s="530">
        <f ca="1">IF(AND(Assumptions!$H$71="Yes",A260&gt;=Assumptions!$H$72,A260&lt;=Assumptions!$H$73),0,IF(EU260&gt;0,MAX(BI260*(1+VLOOKUP($C260,WeatherCapacityAdjustment,3))-FQ260,0),0))</f>
        <v>46560</v>
      </c>
      <c r="FZ260" s="530">
        <f ca="1">IF(AND(Assumptions!$H$71="Yes",A260&gt;=Assumptions!$H$72,A260&lt;=Assumptions!$H$73),0,IF(EV260&gt;0,MAX(BJ260*(1+VLOOKUP($C260,WeatherCapacityAdjustment,2))-FR260,0),0))</f>
        <v>46560</v>
      </c>
      <c r="GA260" s="622">
        <f ca="1">IF(AND(Assumptions!$H$71="Yes",A260&gt;=Assumptions!$H$72,A260&lt;=Assumptions!$H$73),0,IF(EW260&gt;0,MAX(BK260*(1+VLOOKUP($C260,WeatherCapacityAdjustment,2))-FS260,0),0))</f>
        <v>144336</v>
      </c>
      <c r="GB260" s="530">
        <f t="shared" ca="1" si="632"/>
        <v>541260</v>
      </c>
      <c r="GC260" s="545">
        <f t="shared" ca="1" si="633"/>
        <v>65.848849199626073</v>
      </c>
      <c r="GD260" s="530">
        <f t="shared" ca="1" si="734"/>
        <v>35641348.117789611</v>
      </c>
      <c r="GE260" s="1485">
        <f t="shared" ca="1" si="735"/>
        <v>777814.43543999991</v>
      </c>
      <c r="GF260" s="1776">
        <f t="shared" ca="1" si="736"/>
        <v>3111257.7417599997</v>
      </c>
      <c r="GG260" s="545">
        <f t="shared" si="701"/>
        <v>3.8245548756848544</v>
      </c>
      <c r="GH260" s="622">
        <f t="shared" ca="1" si="702"/>
        <v>14873969.957200572</v>
      </c>
      <c r="GI260" s="621">
        <f t="shared" ca="1" si="678"/>
        <v>541260</v>
      </c>
      <c r="GJ260" s="638">
        <f t="shared" si="634"/>
        <v>2.5204345545463638</v>
      </c>
      <c r="GK260" s="625">
        <f t="shared" ca="1" si="684"/>
        <v>1364210.4069937649</v>
      </c>
      <c r="GL260" s="640">
        <f t="shared" ca="1" si="737"/>
        <v>0</v>
      </c>
      <c r="GM260" s="530">
        <f t="shared" ca="1" si="738"/>
        <v>0</v>
      </c>
      <c r="GN260" s="530">
        <f t="shared" ca="1" si="739"/>
        <v>0</v>
      </c>
      <c r="GO260" s="622">
        <f t="shared" ca="1" si="740"/>
        <v>0</v>
      </c>
      <c r="GP260" s="530">
        <f t="shared" ca="1" si="635"/>
        <v>0</v>
      </c>
      <c r="GQ260" s="545">
        <f t="shared" ca="1" si="636"/>
        <v>0</v>
      </c>
      <c r="GR260" s="625">
        <f t="shared" ca="1" si="741"/>
        <v>0</v>
      </c>
      <c r="GS260" s="640">
        <f>IF($A260&gt;=BegDate,Assumptions!$C$56*24*($A261-$A260)*(1-VLOOKUP($B260,MAIN!$AA$7:$AM$28,$C260+1))*(1-VLOOKUP($B260,MAIN!$AA$33:$AM$54,$C260+1)),0)*80/168</f>
        <v>257742.85714285713</v>
      </c>
      <c r="GT260" s="1715">
        <f t="shared" si="679"/>
        <v>88.951040044358251</v>
      </c>
      <c r="GU260" s="1715">
        <f>IF($A260&gt;=BegDate,VLOOKUP($A260,GasTable,13)+Assumptions!$C$58,0)</f>
        <v>3.8245548756848544</v>
      </c>
      <c r="GV260" s="1715">
        <f>GU260*Assumptions!$C$57/1000</f>
        <v>27.728022848715195</v>
      </c>
      <c r="GW260" s="625">
        <f>IF(Assumptions!$C$60="Hourly",MAX(0,GS260*(GT260-GV260)),GS260*(GT260-GV260))</f>
        <v>15779795.374911312</v>
      </c>
      <c r="GX260" s="640">
        <f>IF($A260&gt;=BegDate,Assumptions!$C$56*24*($A261-$A260)*(1-VLOOKUP($B260,MAIN!$AA$7:$AM$28,$C260+1))*(1-VLOOKUP($B260,MAIN!$AA$33:$AM$54,$C260+1)),0)*16/168</f>
        <v>51548.571428571428</v>
      </c>
      <c r="GY260" s="1715">
        <f t="shared" si="680"/>
        <v>88.951040044358251</v>
      </c>
      <c r="GZ260" s="1715">
        <f>IF($A260&gt;=BegDate,VLOOKUP($A260,GasTable,13)+Assumptions!$C$58,0)</f>
        <v>3.8245548756848544</v>
      </c>
      <c r="HA260" s="1715">
        <f>GZ260*Assumptions!$C$57/1000</f>
        <v>27.728022848715195</v>
      </c>
      <c r="HB260" s="625">
        <f>IF(Assumptions!$C$60="Hourly",MAX(0,GX260*(GY260-HA260)),GX260*(GY260-HA260))</f>
        <v>3155959.0749822627</v>
      </c>
      <c r="HC260" s="640">
        <f>IF($A260&gt;=BegDate,Assumptions!$C$56*24*($A261-$A260)*(1-VLOOKUP($B260,MAIN!$AA$7:$AM$28,$C260+1))*(1-VLOOKUP($B260,MAIN!$AA$33:$AM$54,$C260+1)),0)*16/168</f>
        <v>51548.571428571428</v>
      </c>
      <c r="HD260" s="1715">
        <f t="shared" si="681"/>
        <v>36.548510746223201</v>
      </c>
      <c r="HE260" s="1715">
        <f>IF($A260&gt;=BegDate,VLOOKUP($A260,GasTable,13)+Assumptions!$C$58,0)</f>
        <v>3.8245548756848544</v>
      </c>
      <c r="HF260" s="1715">
        <f>HE260*Assumptions!$C$57/1000</f>
        <v>27.728022848715195</v>
      </c>
      <c r="HG260" s="625">
        <f>IF(Assumptions!$C$60="Hourly",MAX(0,HC260*(HD260-HF260)),HC260*(HD260-HF260))</f>
        <v>454683.55041954125</v>
      </c>
      <c r="HH260" s="640">
        <f>IF($A260&gt;=BegDate,Assumptions!$C$56*24*($A261-$A260)*(1-VLOOKUP($B260,MAIN!$AA$7:$AM$28,$C260+1))*(1-VLOOKUP($B260,MAIN!$AA$33:$AM$54,$C260+1)),0)*56/168</f>
        <v>180420</v>
      </c>
      <c r="HI260" s="1715">
        <f t="shared" si="682"/>
        <v>36.548510746223201</v>
      </c>
      <c r="HJ260" s="1715">
        <f>IF($A260&gt;=BegDate,VLOOKUP($A260,GasTable,13)+Assumptions!$C$58,0)</f>
        <v>3.8245548756848544</v>
      </c>
      <c r="HK260" s="1715">
        <f>HJ260*Assumptions!$C$57/1000</f>
        <v>27.728022848715195</v>
      </c>
      <c r="HL260" s="625">
        <f>IF(Assumptions!$C$60="Hourly",MAX(0,HH260*(HI260-HK260)),HH260*(HI260-HK260))</f>
        <v>1591392.4264683945</v>
      </c>
      <c r="HM260" s="640">
        <f>IF(AND(Assumptions!$H$71="Yes",A260&gt;=Assumptions!$H$72,A260&lt;=Assumptions!$H$73),Assumptions!$H$74*Assumptions!$C$9*1000,0)</f>
        <v>0</v>
      </c>
      <c r="HN260" s="530"/>
      <c r="HO260" s="545"/>
      <c r="HP260" s="545"/>
      <c r="HQ260" s="545"/>
      <c r="HR260" s="545"/>
      <c r="HS260" s="545"/>
      <c r="HT260" s="545"/>
      <c r="HU260" s="545"/>
      <c r="HV260" s="545"/>
      <c r="HW260" s="545"/>
      <c r="HX260" s="545"/>
      <c r="HY260" s="545"/>
      <c r="HZ260" s="545"/>
      <c r="IA260" s="545"/>
      <c r="IB260" s="545"/>
      <c r="IC260" s="545"/>
      <c r="ID260" s="545"/>
      <c r="IE260" s="545"/>
      <c r="IF260" s="545"/>
      <c r="IG260" s="545"/>
      <c r="IH260" s="545"/>
      <c r="II260" s="1464"/>
      <c r="IJ260" s="1463"/>
      <c r="IK260" s="1463"/>
    </row>
    <row r="261" spans="1:249">
      <c r="A261" s="177">
        <f t="shared" si="637"/>
        <v>44075</v>
      </c>
      <c r="B261" s="349">
        <f t="shared" si="638"/>
        <v>2020</v>
      </c>
      <c r="C261" s="15">
        <f t="shared" si="742"/>
        <v>9</v>
      </c>
      <c r="D261" s="612">
        <f t="shared" si="639"/>
        <v>44081</v>
      </c>
      <c r="E261" s="609">
        <f t="shared" si="743"/>
        <v>44075</v>
      </c>
      <c r="F261" s="614">
        <f t="shared" si="744"/>
        <v>44104</v>
      </c>
      <c r="G261" s="1349">
        <v>0</v>
      </c>
      <c r="H261" s="152">
        <f t="shared" si="683"/>
        <v>1</v>
      </c>
      <c r="I261" s="154">
        <f>IF(Assumptions!$L$25=4,VLOOKUP($A261,'Henwood Reference'!$E$9:$R$320,10),(VLOOKUP($A261,PriceTable,2,0)+IF(BasisNumber&lt;&gt;1,VLOOKUP($A261,BasisTable,2,0),0)+I$1)/(1-I$2))</f>
        <v>74.700953111665427</v>
      </c>
      <c r="J261" s="154">
        <f>IF(Assumptions!$L$25=4,VLOOKUP($A261,'Henwood Reference'!$E$9:$R$320,10),(VLOOKUP($A261,PriceTable,3,0)+IF(BasisNumber&lt;&gt;1,VLOOKUP($A261,BasisTable,2,0),0)+J$1)/(1-J$2))</f>
        <v>74.700953111665427</v>
      </c>
      <c r="K261" s="154">
        <f>IF(Assumptions!$L$25=4,VLOOKUP($A261,'Henwood Reference'!$E$9:$R$320,10),(VLOOKUP($A261,PriceTable,4,0)+IF(BasisNumber&lt;&gt;1,VLOOKUP($A261,BasisTable,2,0),0)+K$1)/(1-K$2))</f>
        <v>74.700953111665427</v>
      </c>
      <c r="L261" s="474">
        <f>IF(Assumptions!$L$25=4,VLOOKUP($A261,'Henwood Reference'!$E$9:$R$320,10),(VLOOKUP($A261,PriceTableWeekend,2,0)+IF(BasisNumber&lt;&gt;1,VLOOKUP($A261,BasisTable,2,0),0)+L$1)/(1-L$2))</f>
        <v>74.700953111665427</v>
      </c>
      <c r="M261" s="154">
        <f>IF(Assumptions!$L$25=4,VLOOKUP($A261,'Henwood Reference'!$E$9:$R$320,10),(VLOOKUP($A261,PriceTableWeekend,3,0)+IF(BasisNumber&lt;&gt;1,VLOOKUP($A261,BasisTable,2,0),0)+M$1)/(1-M$2))</f>
        <v>74.700953111665427</v>
      </c>
      <c r="N261" s="156">
        <f>IF(Assumptions!$L$25=4,VLOOKUP($A261,'Henwood Reference'!$E$9:$R$320,10),(VLOOKUP($A261,PriceTableWeekend,4,0)+IF(BasisNumber&lt;&gt;1,VLOOKUP($A261,BasisTable,2,0),0)+N$1)/(1-N$2))</f>
        <v>74.700953111665427</v>
      </c>
      <c r="O261" s="154">
        <f>IF(Assumptions!$L$25=4,VLOOKUP($A261,'Henwood Reference'!$E$9:$R$320,11),(VLOOKUP($A261,PriceTableWeekend,6,0)+IF(BasisNumber&lt;&gt;1,VLOOKUP($A261,BasisTable,3,0),0)+O$1)/(1-O$2))</f>
        <v>35.180844762964718</v>
      </c>
      <c r="P261" s="154">
        <f>IF(Assumptions!$L$25=4,VLOOKUP($A261,'Henwood Reference'!$E$9:$R$320,11),(VLOOKUP($A261,PriceTableWeekend,7,0)+IF(BasisNumber&lt;&gt;1,VLOOKUP($A261,BasisTable,3,0),0)+P$1)/(1-P$2))</f>
        <v>35.180844762964718</v>
      </c>
      <c r="Q261" s="156">
        <f>IF(Assumptions!$L$25=4,VLOOKUP($A261,'Henwood Reference'!$E$9:$R$320,11),(VLOOKUP($A261,PriceTableWeekend,8,0)+IF(BasisNumber&lt;&gt;1,VLOOKUP($A261,BasisTable,3,0),0)+Q$1)/(1-Q$2))</f>
        <v>35.180844762964718</v>
      </c>
      <c r="R261" s="154">
        <f>IF(Assumptions!$L$25=4,VLOOKUP($A261,'Henwood Reference'!$E$9:$R$320,11),(VLOOKUP($A261,PriceTable,6,0)+IF(BasisNumber&lt;&gt;1,VLOOKUP($A261,BasisTable,3,0),0)+R$1)/(1-R$2))</f>
        <v>35.180844762964718</v>
      </c>
      <c r="S261" s="154">
        <f>IF(Assumptions!$L$25=4,VLOOKUP($A261,'Henwood Reference'!$E$9:$R$320,11),(VLOOKUP($A261,PriceTable,7,0)+IF(BasisNumber&lt;&gt;1,VLOOKUP($A261,BasisTable,3,0),0)+S$1)/(1-S$2))</f>
        <v>35.180844762964718</v>
      </c>
      <c r="T261" s="155">
        <f>IF(Assumptions!$L$25=4,VLOOKUP($A261,'Henwood Reference'!$E$9:$R$320,11),(VLOOKUP($A261,PriceTable,8,0)+IF(BasisNumber&lt;&gt;1,VLOOKUP($A261,BasisTable,3,0),0)+T$1)/(1-T$2))</f>
        <v>35.180844762964718</v>
      </c>
      <c r="U261" s="173">
        <f t="shared" si="640"/>
        <v>0.09</v>
      </c>
      <c r="V261" s="173">
        <f t="shared" si="641"/>
        <v>0.1</v>
      </c>
      <c r="W261" s="174">
        <f t="shared" si="642"/>
        <v>0.11</v>
      </c>
      <c r="X261" s="173">
        <f t="shared" si="643"/>
        <v>0.09</v>
      </c>
      <c r="Y261" s="173">
        <f t="shared" si="644"/>
        <v>0.1</v>
      </c>
      <c r="Z261" s="174">
        <f t="shared" si="645"/>
        <v>0.11</v>
      </c>
      <c r="AA261" s="173">
        <f t="shared" si="646"/>
        <v>0.09</v>
      </c>
      <c r="AB261" s="173">
        <f t="shared" si="647"/>
        <v>0.11</v>
      </c>
      <c r="AC261" s="174">
        <f t="shared" si="648"/>
        <v>0.13</v>
      </c>
      <c r="AD261" s="173">
        <f t="shared" si="649"/>
        <v>0.09</v>
      </c>
      <c r="AE261" s="173">
        <f t="shared" si="650"/>
        <v>0.11</v>
      </c>
      <c r="AF261" s="174">
        <f t="shared" si="651"/>
        <v>0.13</v>
      </c>
      <c r="AG261" s="173">
        <f t="shared" si="652"/>
        <v>-0.35</v>
      </c>
      <c r="AH261" s="173">
        <f t="shared" si="653"/>
        <v>3</v>
      </c>
      <c r="AI261" s="174">
        <f t="shared" si="654"/>
        <v>0.2</v>
      </c>
      <c r="AJ261" s="173">
        <f t="shared" si="655"/>
        <v>-0.35</v>
      </c>
      <c r="AK261" s="173">
        <f t="shared" si="656"/>
        <v>3</v>
      </c>
      <c r="AL261" s="174">
        <f t="shared" si="657"/>
        <v>0.2</v>
      </c>
      <c r="AM261" s="173">
        <f t="shared" si="658"/>
        <v>-0.01</v>
      </c>
      <c r="AN261" s="173">
        <f t="shared" si="659"/>
        <v>0.16</v>
      </c>
      <c r="AO261" s="174">
        <f t="shared" si="660"/>
        <v>0.01</v>
      </c>
      <c r="AP261" s="173">
        <f t="shared" si="661"/>
        <v>-0.01</v>
      </c>
      <c r="AQ261" s="173">
        <f t="shared" si="662"/>
        <v>0.16</v>
      </c>
      <c r="AR261" s="175">
        <f t="shared" si="663"/>
        <v>0.01</v>
      </c>
      <c r="AS261" s="521">
        <f t="shared" si="747"/>
        <v>0.5</v>
      </c>
      <c r="AT261" s="349">
        <f t="shared" si="745"/>
        <v>21</v>
      </c>
      <c r="AU261" s="159">
        <f t="shared" si="582"/>
        <v>4</v>
      </c>
      <c r="AV261" s="159">
        <f t="shared" si="583"/>
        <v>4</v>
      </c>
      <c r="AW261" s="159">
        <f t="shared" si="748"/>
        <v>1</v>
      </c>
      <c r="AX261" s="15">
        <f t="shared" si="746"/>
        <v>30</v>
      </c>
      <c r="AY261" s="607">
        <f>IF(E261="",0,MIN((1-(1-VLOOKUP(B261,MAIN!$AA$7:$AM$28,C261+1))*(1-VLOOKUP(B261,MAIN!$AA$33:$AM$54,C261+1))),1))</f>
        <v>3.0000000000000027E-2</v>
      </c>
      <c r="AZ261" s="337">
        <v>48888</v>
      </c>
      <c r="BA261" s="509">
        <v>9312</v>
      </c>
      <c r="BB261" s="509">
        <v>11640</v>
      </c>
      <c r="BC261" s="511">
        <v>34920</v>
      </c>
      <c r="BD261" s="153">
        <v>0.9699999927729368</v>
      </c>
      <c r="BE261" s="474">
        <v>0.9699999927729368</v>
      </c>
      <c r="BF261" s="474">
        <v>0.9699999927729368</v>
      </c>
      <c r="BG261" s="515">
        <v>0.9699999927729368</v>
      </c>
      <c r="BH261" s="262">
        <v>195552</v>
      </c>
      <c r="BI261" s="509">
        <v>37248</v>
      </c>
      <c r="BJ261" s="509">
        <v>46560</v>
      </c>
      <c r="BK261" s="511">
        <v>139680</v>
      </c>
      <c r="BL261" s="153">
        <v>0.9699999927729368</v>
      </c>
      <c r="BM261" s="474">
        <v>0.9699999927729368</v>
      </c>
      <c r="BN261" s="474">
        <v>0.9699999927729368</v>
      </c>
      <c r="BO261" s="474">
        <v>0.9699999927729368</v>
      </c>
      <c r="BP261" s="261">
        <f t="shared" si="666"/>
        <v>69840</v>
      </c>
      <c r="BQ261" s="578">
        <f t="shared" si="667"/>
        <v>104760</v>
      </c>
      <c r="BR261" s="259">
        <f t="shared" si="668"/>
        <v>279360</v>
      </c>
      <c r="BS261" s="578">
        <f t="shared" si="669"/>
        <v>419040</v>
      </c>
      <c r="BT261" s="216">
        <f t="shared" si="670"/>
        <v>20.383299110198493</v>
      </c>
      <c r="BU261" s="218">
        <f t="shared" si="585"/>
        <v>74.700952555099946</v>
      </c>
      <c r="BV261" s="216">
        <f t="shared" si="586"/>
        <v>74.700952555099946</v>
      </c>
      <c r="BW261" s="216">
        <f t="shared" si="587"/>
        <v>35.180844500847002</v>
      </c>
      <c r="BX261" s="216">
        <f t="shared" si="671"/>
        <v>35.180844500847002</v>
      </c>
      <c r="BY261" s="216">
        <f t="shared" si="588"/>
        <v>68.114267879391122</v>
      </c>
      <c r="BZ261" s="216">
        <f t="shared" si="589"/>
        <v>57.136460086543082</v>
      </c>
      <c r="CA261" s="264">
        <f t="shared" si="590"/>
        <v>74.700952555099946</v>
      </c>
      <c r="CB261" s="216">
        <f t="shared" si="591"/>
        <v>74.700952555099946</v>
      </c>
      <c r="CC261" s="216">
        <f t="shared" si="592"/>
        <v>35.180844500847002</v>
      </c>
      <c r="CD261" s="216">
        <f t="shared" si="672"/>
        <v>35.180844500847002</v>
      </c>
      <c r="CE261" s="216">
        <f t="shared" si="593"/>
        <v>68.114267879391122</v>
      </c>
      <c r="CF261" s="571">
        <f t="shared" si="594"/>
        <v>57.136460086543082</v>
      </c>
      <c r="CG261" s="573">
        <f t="shared" si="595"/>
        <v>0.1</v>
      </c>
      <c r="CH261" s="219">
        <f t="shared" si="596"/>
        <v>0.1</v>
      </c>
      <c r="CI261" s="219">
        <f t="shared" si="597"/>
        <v>0.11</v>
      </c>
      <c r="CJ261" s="219">
        <f t="shared" si="598"/>
        <v>0.10086896637275965</v>
      </c>
      <c r="CK261" s="219">
        <f t="shared" si="599"/>
        <v>0.10086896637275965</v>
      </c>
      <c r="CL261" s="219">
        <f t="shared" si="600"/>
        <v>0.11</v>
      </c>
      <c r="CM261" s="219">
        <f t="shared" si="601"/>
        <v>9.3796027921054875E-2</v>
      </c>
      <c r="CN261" s="569">
        <f t="shared" si="602"/>
        <v>9.3796027921054875E-2</v>
      </c>
      <c r="CO261" s="264">
        <f t="shared" si="685"/>
        <v>28.63358434064104</v>
      </c>
      <c r="CP261" s="216">
        <f t="shared" si="673"/>
        <v>28.63358434064104</v>
      </c>
      <c r="CQ261" s="216">
        <f t="shared" ca="1" si="703"/>
        <v>28.63358434064104</v>
      </c>
      <c r="CR261" s="216">
        <f t="shared" ca="1" si="704"/>
        <v>28.63358434064104</v>
      </c>
      <c r="CS261" s="1626">
        <f t="shared" ca="1" si="705"/>
        <v>28.63358434064104</v>
      </c>
      <c r="CT261" s="216">
        <f t="shared" si="674"/>
        <v>28.63358434064104</v>
      </c>
      <c r="CU261" s="575">
        <f t="shared" si="603"/>
        <v>0.15</v>
      </c>
      <c r="CV261" s="154">
        <f t="shared" si="604"/>
        <v>0.5</v>
      </c>
      <c r="CW261" s="216">
        <f>IF(OR($BQ261,$BS261),SpreadOptPowerMargin,0)*((1+Assumptions!$C$26)^($B261-YEAR(Assumptions!$C$17)))</f>
        <v>2.5204345545463638</v>
      </c>
      <c r="CX261" s="216">
        <f>IF(OR($BQ261,$BS261),SpreadOptPowerMargin,0)*((1+Assumptions!$C$26)^($B261-YEAR(Assumptions!$C$17)))</f>
        <v>2.5204345545463638</v>
      </c>
      <c r="CY261" s="216">
        <f>IF(OR($BQ261,$BS261),SpreadOptPowerMargin,0)*((1+Assumptions!$C$26)^($B261-YEAR(Assumptions!$C$17)))</f>
        <v>2.5204345545463638</v>
      </c>
      <c r="CZ261" s="216">
        <f>IF(OR($BQ261,$BS261),SpreadOptPowerMargin,0)*((1+Assumptions!$C$26)^($B261-YEAR(Assumptions!$C$17)))</f>
        <v>2.5204345545463638</v>
      </c>
      <c r="DA261" s="440">
        <f t="shared" si="605"/>
        <v>2.5204345545463642</v>
      </c>
      <c r="DB261" s="479">
        <f t="shared" si="606"/>
        <v>0.1</v>
      </c>
      <c r="DC261" s="479">
        <f t="shared" si="607"/>
        <v>0.1</v>
      </c>
      <c r="DD261" s="479">
        <f t="shared" si="608"/>
        <v>0.11</v>
      </c>
      <c r="DE261" s="479">
        <f t="shared" si="609"/>
        <v>0.11</v>
      </c>
      <c r="DF261" s="479">
        <f t="shared" si="610"/>
        <v>9.3796027921054875E-2</v>
      </c>
      <c r="DG261" s="574">
        <f t="shared" si="611"/>
        <v>9.3796027921054875E-2</v>
      </c>
      <c r="DH261" s="216">
        <f t="shared" si="612"/>
        <v>44.255317325062322</v>
      </c>
      <c r="DI261" s="216">
        <f t="shared" si="613"/>
        <v>44.255317325062322</v>
      </c>
      <c r="DJ261" s="216">
        <f t="shared" ca="1" si="706"/>
        <v>9.6263050175980567</v>
      </c>
      <c r="DK261" s="216">
        <f t="shared" ca="1" si="707"/>
        <v>9.6263050175980567</v>
      </c>
      <c r="DL261" s="216">
        <f t="shared" ca="1" si="708"/>
        <v>27.605226988028267</v>
      </c>
      <c r="DM261" s="216"/>
      <c r="DN261" s="216"/>
      <c r="DO261" s="216"/>
      <c r="DP261" s="216"/>
      <c r="DQ261" s="216"/>
      <c r="DR261" s="216"/>
      <c r="DS261" s="216"/>
      <c r="DT261" s="216"/>
      <c r="DU261" s="216"/>
      <c r="DV261" s="216"/>
      <c r="DW261" s="1371">
        <f t="shared" si="614"/>
        <v>9.6263050175980567</v>
      </c>
      <c r="DX261" s="216">
        <f t="shared" si="615"/>
        <v>9.6263050175980567</v>
      </c>
      <c r="DY261" s="440">
        <f t="shared" si="616"/>
        <v>28.864645188411536</v>
      </c>
      <c r="DZ261" s="180">
        <f t="shared" si="617"/>
        <v>2163553.9533876469</v>
      </c>
      <c r="EA261" s="180">
        <f t="shared" si="618"/>
        <v>412105.51493098034</v>
      </c>
      <c r="EB261" s="180">
        <f t="shared" ca="1" si="709"/>
        <v>112050.19040484139</v>
      </c>
      <c r="EC261" s="180">
        <f t="shared" ca="1" si="710"/>
        <v>336150.57121452416</v>
      </c>
      <c r="ED261" s="180">
        <f t="shared" ca="1" si="711"/>
        <v>2891923.5792658413</v>
      </c>
      <c r="EE261" s="581">
        <f t="shared" si="619"/>
        <v>2128922.4927658043</v>
      </c>
      <c r="EF261" s="554">
        <f t="shared" si="620"/>
        <v>405509.04624110559</v>
      </c>
      <c r="EG261" s="554">
        <f t="shared" ca="1" si="712"/>
        <v>46872.250049877737</v>
      </c>
      <c r="EH261" s="554">
        <f t="shared" ca="1" si="713"/>
        <v>140616.75014963321</v>
      </c>
      <c r="EI261" s="561">
        <f t="shared" ca="1" si="621"/>
        <v>2721920.5392064205</v>
      </c>
      <c r="EJ261" s="581">
        <f t="shared" si="675"/>
        <v>34631.460621842649</v>
      </c>
      <c r="EK261" s="554">
        <f t="shared" si="676"/>
        <v>6596.4686898747459</v>
      </c>
      <c r="EL261" s="554">
        <f t="shared" ca="1" si="714"/>
        <v>65177.940354963648</v>
      </c>
      <c r="EM261" s="554">
        <f t="shared" ca="1" si="715"/>
        <v>195533.82106489094</v>
      </c>
      <c r="EN261" s="561">
        <f t="shared" ca="1" si="716"/>
        <v>170003.04005942075</v>
      </c>
      <c r="EO261" s="180">
        <f t="shared" si="622"/>
        <v>8654215.8135505877</v>
      </c>
      <c r="EP261" s="180">
        <f t="shared" si="623"/>
        <v>1648422.0597239214</v>
      </c>
      <c r="EQ261" s="180">
        <f t="shared" si="624"/>
        <v>448200.76161936554</v>
      </c>
      <c r="ER261" s="180">
        <f t="shared" si="625"/>
        <v>1344602.2848580966</v>
      </c>
      <c r="ES261" s="180">
        <f t="shared" si="626"/>
        <v>12095440.91975197</v>
      </c>
      <c r="ET261" s="1482">
        <f t="shared" ca="1" si="717"/>
        <v>8515689.9710632171</v>
      </c>
      <c r="EU261" s="180">
        <f t="shared" ca="1" si="718"/>
        <v>1622036.1849644224</v>
      </c>
      <c r="EV261" s="180">
        <f t="shared" ca="1" si="719"/>
        <v>187489.00019951095</v>
      </c>
      <c r="EW261" s="180">
        <f t="shared" ca="1" si="720"/>
        <v>562467.00059853285</v>
      </c>
      <c r="EX261" s="555">
        <f t="shared" ca="1" si="693"/>
        <v>10887682.156825684</v>
      </c>
      <c r="EY261" s="180">
        <f t="shared" ca="1" si="721"/>
        <v>138525.8424873706</v>
      </c>
      <c r="EZ261" s="180">
        <f t="shared" ca="1" si="722"/>
        <v>26385.874759498984</v>
      </c>
      <c r="FA261" s="180">
        <f t="shared" ca="1" si="723"/>
        <v>260711.76141985459</v>
      </c>
      <c r="FB261" s="180">
        <f t="shared" ca="1" si="724"/>
        <v>782135.28425956378</v>
      </c>
      <c r="FC261" s="180">
        <f t="shared" ca="1" si="725"/>
        <v>1207758.7629262861</v>
      </c>
      <c r="FD261" s="262">
        <f>IF(AX261,IF(VLOOKUP(C261,MAIN!$L$17:$M$28,2)="Yes",VLOOKUP(CALC!B261,MAIN!$H$17:$I$20,2),0),0)</f>
        <v>0</v>
      </c>
      <c r="FE261" s="623">
        <f t="shared" si="627"/>
        <v>0</v>
      </c>
      <c r="FF261" s="535">
        <f t="shared" si="628"/>
        <v>0</v>
      </c>
      <c r="FG261" s="535">
        <f t="shared" si="629"/>
        <v>0</v>
      </c>
      <c r="FH261" s="624">
        <f t="shared" si="630"/>
        <v>0</v>
      </c>
      <c r="FI261" s="632">
        <f>IF(AX261,VLOOKUP(CALC!B261,MAIN!$H$17:$K$20,4),0)</f>
        <v>0</v>
      </c>
      <c r="FJ261" s="535">
        <f t="shared" si="631"/>
        <v>0</v>
      </c>
      <c r="FK261" s="648">
        <f t="shared" si="677"/>
        <v>0</v>
      </c>
      <c r="FL261" s="530">
        <f t="shared" ca="1" si="726"/>
        <v>0</v>
      </c>
      <c r="FM261" s="530">
        <f t="shared" ca="1" si="727"/>
        <v>0</v>
      </c>
      <c r="FN261" s="530">
        <f t="shared" ca="1" si="728"/>
        <v>0</v>
      </c>
      <c r="FO261" s="622">
        <f t="shared" ca="1" si="729"/>
        <v>0</v>
      </c>
      <c r="FP261" s="530">
        <f t="shared" ca="1" si="730"/>
        <v>0</v>
      </c>
      <c r="FQ261" s="530">
        <f t="shared" ca="1" si="731"/>
        <v>0</v>
      </c>
      <c r="FR261" s="530">
        <f t="shared" ca="1" si="732"/>
        <v>0</v>
      </c>
      <c r="FS261" s="625">
        <f t="shared" ca="1" si="733"/>
        <v>0</v>
      </c>
      <c r="FT261" s="640">
        <f ca="1">IF(AND(Assumptions!$H$71="Yes",A261&gt;=Assumptions!$H$72,A261&lt;=Assumptions!$H$73),0,IF(AND($A261&gt;=Assumptions!$C$17,$A261&lt;=Assumptions!$C$18),MAX(AZ261*(1+VLOOKUP($C261,WeatherCapacityAdjustment,2))-FL261,0),0))</f>
        <v>48888</v>
      </c>
      <c r="FU261" s="530">
        <f ca="1">IF(AND(Assumptions!$H$71="Yes",A261&gt;=Assumptions!$H$72,A261&lt;=Assumptions!$H$73),0,IF(AND($A261&gt;=Assumptions!$C$17,$A261&lt;=Assumptions!$C$18),MAX(BA261*(1+VLOOKUP($C261,WeatherCapacityAdjustment,2))-FM261,0),0))</f>
        <v>9312</v>
      </c>
      <c r="FV261" s="530">
        <f ca="1">IF(AND(Assumptions!$H$71="Yes",A261&gt;=Assumptions!$H$72,A261&lt;=Assumptions!$H$73),0,IF(AND($A261&gt;=Assumptions!$C$17,$A261&lt;=Assumptions!$C$18),MAX(BB261*(1+VLOOKUP($C261,WeatherCapacityAdjustment,2))-FN261,0),0))</f>
        <v>11640</v>
      </c>
      <c r="FW261" s="622">
        <f ca="1">IF(AND(Assumptions!$H$71="Yes",A261&gt;=Assumptions!$H$72,A261&lt;=Assumptions!$H$73),0,IF(AND($A261&gt;=Assumptions!$C$17,$A261&lt;=Assumptions!$C$18),MAX(BC261*(1+VLOOKUP($C261,WeatherCapacityAdjustment,3))-FO261,0),0))</f>
        <v>34920</v>
      </c>
      <c r="FX261" s="621">
        <f ca="1">IF(AND(Assumptions!$H$71="Yes",A261&gt;=Assumptions!$H$72,A261&lt;=Assumptions!$H$73),0,IF(ET261&gt;0,MAX(BH261*(1+VLOOKUP($C261,WeatherCapacityAdjustment,2))-FP261,0),0))</f>
        <v>195552</v>
      </c>
      <c r="FY261" s="530">
        <f ca="1">IF(AND(Assumptions!$H$71="Yes",A261&gt;=Assumptions!$H$72,A261&lt;=Assumptions!$H$73),0,IF(EU261&gt;0,MAX(BI261*(1+VLOOKUP($C261,WeatherCapacityAdjustment,3))-FQ261,0),0))</f>
        <v>37248</v>
      </c>
      <c r="FZ261" s="530">
        <f ca="1">IF(AND(Assumptions!$H$71="Yes",A261&gt;=Assumptions!$H$72,A261&lt;=Assumptions!$H$73),0,IF(EV261&gt;0,MAX(BJ261*(1+VLOOKUP($C261,WeatherCapacityAdjustment,2))-FR261,0),0))</f>
        <v>46560</v>
      </c>
      <c r="GA261" s="622">
        <f ca="1">IF(AND(Assumptions!$H$71="Yes",A261&gt;=Assumptions!$H$72,A261&lt;=Assumptions!$H$73),0,IF(EW261&gt;0,MAX(BK261*(1+VLOOKUP($C261,WeatherCapacityAdjustment,2))-FS261,0),0))</f>
        <v>139680</v>
      </c>
      <c r="GB261" s="530">
        <f t="shared" ca="1" si="632"/>
        <v>523800</v>
      </c>
      <c r="GC261" s="545">
        <f t="shared" ca="1" si="633"/>
        <v>57.136460086543082</v>
      </c>
      <c r="GD261" s="530">
        <f t="shared" ca="1" si="734"/>
        <v>29928077.793331265</v>
      </c>
      <c r="GE261" s="1485">
        <f t="shared" ca="1" si="735"/>
        <v>753031.64159999997</v>
      </c>
      <c r="GF261" s="1776">
        <f t="shared" ca="1" si="736"/>
        <v>3012126.5663999999</v>
      </c>
      <c r="GG261" s="545">
        <f t="shared" si="701"/>
        <v>3.9834372552420976</v>
      </c>
      <c r="GH261" s="622">
        <f t="shared" ca="1" si="702"/>
        <v>14998271.477627773</v>
      </c>
      <c r="GI261" s="621">
        <f t="shared" ca="1" si="678"/>
        <v>523800</v>
      </c>
      <c r="GJ261" s="638">
        <f t="shared" si="634"/>
        <v>2.5204345545463642</v>
      </c>
      <c r="GK261" s="625">
        <f t="shared" ca="1" si="684"/>
        <v>1320203.6196713855</v>
      </c>
      <c r="GL261" s="640">
        <f t="shared" ca="1" si="737"/>
        <v>0</v>
      </c>
      <c r="GM261" s="530">
        <f t="shared" ca="1" si="738"/>
        <v>0</v>
      </c>
      <c r="GN261" s="530">
        <f t="shared" ca="1" si="739"/>
        <v>0</v>
      </c>
      <c r="GO261" s="622">
        <f t="shared" ca="1" si="740"/>
        <v>0</v>
      </c>
      <c r="GP261" s="530">
        <f t="shared" ca="1" si="635"/>
        <v>0</v>
      </c>
      <c r="GQ261" s="545">
        <f t="shared" ca="1" si="636"/>
        <v>0</v>
      </c>
      <c r="GR261" s="625">
        <f t="shared" ca="1" si="741"/>
        <v>0</v>
      </c>
      <c r="GS261" s="640">
        <f>IF($A261&gt;=BegDate,Assumptions!$C$56*24*($A262-$A261)*(1-VLOOKUP($B261,MAIN!$AA$7:$AM$28,$C261+1))*(1-VLOOKUP($B261,MAIN!$AA$33:$AM$54,$C261+1)),0)*80/168</f>
        <v>249428.57142857142</v>
      </c>
      <c r="GT261" s="1715">
        <f t="shared" si="679"/>
        <v>74.700953111665427</v>
      </c>
      <c r="GU261" s="1715">
        <f>IF($A261&gt;=BegDate,VLOOKUP($A261,GasTable,13)+Assumptions!$C$58,0)</f>
        <v>3.9834372552420976</v>
      </c>
      <c r="GV261" s="1715">
        <f>GU261*Assumptions!$C$57/1000</f>
        <v>28.87992010050521</v>
      </c>
      <c r="GW261" s="625">
        <f>IF(Assumptions!$C$60="Hourly",MAX(0,GS261*(GT261-GV261)),GS261*(GT261-GV261))</f>
        <v>11429074.805355106</v>
      </c>
      <c r="GX261" s="640">
        <f>IF($A261&gt;=BegDate,Assumptions!$C$56*24*($A262-$A261)*(1-VLOOKUP($B261,MAIN!$AA$7:$AM$28,$C261+1))*(1-VLOOKUP($B261,MAIN!$AA$33:$AM$54,$C261+1)),0)*16/168</f>
        <v>49885.714285714283</v>
      </c>
      <c r="GY261" s="1715">
        <f t="shared" si="680"/>
        <v>74.700953111665427</v>
      </c>
      <c r="GZ261" s="1715">
        <f>IF($A261&gt;=BegDate,VLOOKUP($A261,GasTable,13)+Assumptions!$C$58,0)</f>
        <v>3.9834372552420976</v>
      </c>
      <c r="HA261" s="1715">
        <f>GZ261*Assumptions!$C$57/1000</f>
        <v>28.87992010050521</v>
      </c>
      <c r="HB261" s="625">
        <f>IF(Assumptions!$C$60="Hourly",MAX(0,GX261*(GY261-HA261)),GX261*(GY261-HA261))</f>
        <v>2285814.9610710209</v>
      </c>
      <c r="HC261" s="640">
        <f>IF($A261&gt;=BegDate,Assumptions!$C$56*24*($A262-$A261)*(1-VLOOKUP($B261,MAIN!$AA$7:$AM$28,$C261+1))*(1-VLOOKUP($B261,MAIN!$AA$33:$AM$54,$C261+1)),0)*16/168</f>
        <v>49885.714285714283</v>
      </c>
      <c r="HD261" s="1715">
        <f t="shared" si="681"/>
        <v>35.180844762964718</v>
      </c>
      <c r="HE261" s="1715">
        <f>IF($A261&gt;=BegDate,VLOOKUP($A261,GasTable,13)+Assumptions!$C$58,0)</f>
        <v>3.9834372552420976</v>
      </c>
      <c r="HF261" s="1715">
        <f>HE261*Assumptions!$C$57/1000</f>
        <v>28.87992010050521</v>
      </c>
      <c r="HG261" s="625">
        <f>IF(Assumptions!$C$60="Hourly",MAX(0,HC261*(HD261-HF261)),HC261*(HD261-HF261))</f>
        <v>314326.12744726572</v>
      </c>
      <c r="HH261" s="640">
        <f>IF($A261&gt;=BegDate,Assumptions!$C$56*24*($A262-$A261)*(1-VLOOKUP($B261,MAIN!$AA$7:$AM$28,$C261+1))*(1-VLOOKUP($B261,MAIN!$AA$33:$AM$54,$C261+1)),0)*56/168</f>
        <v>174600</v>
      </c>
      <c r="HI261" s="1715">
        <f t="shared" si="682"/>
        <v>35.180844762964718</v>
      </c>
      <c r="HJ261" s="1715">
        <f>IF($A261&gt;=BegDate,VLOOKUP($A261,GasTable,13)+Assumptions!$C$58,0)</f>
        <v>3.9834372552420976</v>
      </c>
      <c r="HK261" s="1715">
        <f>HJ261*Assumptions!$C$57/1000</f>
        <v>28.87992010050521</v>
      </c>
      <c r="HL261" s="625">
        <f>IF(Assumptions!$C$60="Hourly",MAX(0,HH261*(HI261-HK261)),HH261*(HI261-HK261))</f>
        <v>1100141.4460654301</v>
      </c>
      <c r="HM261" s="640">
        <f>IF(AND(Assumptions!$H$71="Yes",A261&gt;=Assumptions!$H$72,A261&lt;=Assumptions!$H$73),Assumptions!$H$74*Assumptions!$C$9*1000,0)</f>
        <v>0</v>
      </c>
      <c r="HN261" s="530"/>
      <c r="HO261" s="545"/>
      <c r="HP261" s="545"/>
      <c r="HQ261" s="545"/>
      <c r="HR261" s="545"/>
      <c r="HS261" s="545"/>
      <c r="HT261" s="545"/>
      <c r="HU261" s="545"/>
      <c r="HV261" s="545"/>
      <c r="HW261" s="545"/>
      <c r="HX261" s="545"/>
      <c r="HY261" s="545"/>
      <c r="HZ261" s="545"/>
      <c r="IA261" s="545"/>
      <c r="IB261" s="545"/>
      <c r="IC261" s="545"/>
      <c r="ID261" s="545"/>
      <c r="IE261" s="545"/>
      <c r="IF261" s="545"/>
      <c r="IG261" s="545"/>
      <c r="IH261" s="545"/>
      <c r="II261" s="1464"/>
      <c r="IJ261" s="1463"/>
      <c r="IK261" s="1463"/>
    </row>
    <row r="262" spans="1:249">
      <c r="A262" s="177">
        <f t="shared" si="637"/>
        <v>44105</v>
      </c>
      <c r="B262" s="349">
        <f t="shared" si="638"/>
        <v>2020</v>
      </c>
      <c r="C262" s="15">
        <f t="shared" si="742"/>
        <v>10</v>
      </c>
      <c r="D262" s="612" t="str">
        <f t="shared" si="639"/>
        <v/>
      </c>
      <c r="E262" s="609">
        <f t="shared" si="743"/>
        <v>44105</v>
      </c>
      <c r="F262" s="614">
        <f t="shared" si="744"/>
        <v>44135</v>
      </c>
      <c r="G262" s="1349">
        <v>0</v>
      </c>
      <c r="H262" s="152">
        <f t="shared" si="683"/>
        <v>1</v>
      </c>
      <c r="I262" s="154">
        <f>IF(Assumptions!$L$25=4,VLOOKUP($A262,'Henwood Reference'!$E$9:$R$320,10),(VLOOKUP($A262,PriceTable,2,0)+IF(BasisNumber&lt;&gt;1,VLOOKUP($A262,BasisTable,2,0),0)+I$1)/(1-I$2))</f>
        <v>60.266014322912902</v>
      </c>
      <c r="J262" s="154">
        <f>IF(Assumptions!$L$25=4,VLOOKUP($A262,'Henwood Reference'!$E$9:$R$320,10),(VLOOKUP($A262,PriceTable,3,0)+IF(BasisNumber&lt;&gt;1,VLOOKUP($A262,BasisTable,2,0),0)+J$1)/(1-J$2))</f>
        <v>60.266014322912902</v>
      </c>
      <c r="K262" s="154">
        <f>IF(Assumptions!$L$25=4,VLOOKUP($A262,'Henwood Reference'!$E$9:$R$320,10),(VLOOKUP($A262,PriceTable,4,0)+IF(BasisNumber&lt;&gt;1,VLOOKUP($A262,BasisTable,2,0),0)+K$1)/(1-K$2))</f>
        <v>60.266014322912902</v>
      </c>
      <c r="L262" s="474">
        <f>IF(Assumptions!$L$25=4,VLOOKUP($A262,'Henwood Reference'!$E$9:$R$320,10),(VLOOKUP($A262,PriceTableWeekend,2,0)+IF(BasisNumber&lt;&gt;1,VLOOKUP($A262,BasisTable,2,0),0)+L$1)/(1-L$2))</f>
        <v>60.266014322912902</v>
      </c>
      <c r="M262" s="154">
        <f>IF(Assumptions!$L$25=4,VLOOKUP($A262,'Henwood Reference'!$E$9:$R$320,10),(VLOOKUP($A262,PriceTableWeekend,3,0)+IF(BasisNumber&lt;&gt;1,VLOOKUP($A262,BasisTable,2,0),0)+M$1)/(1-M$2))</f>
        <v>60.266014322912902</v>
      </c>
      <c r="N262" s="156">
        <f>IF(Assumptions!$L$25=4,VLOOKUP($A262,'Henwood Reference'!$E$9:$R$320,10),(VLOOKUP($A262,PriceTableWeekend,4,0)+IF(BasisNumber&lt;&gt;1,VLOOKUP($A262,BasisTable,2,0),0)+N$1)/(1-N$2))</f>
        <v>60.266014322912902</v>
      </c>
      <c r="O262" s="154">
        <f>IF(Assumptions!$L$25=4,VLOOKUP($A262,'Henwood Reference'!$E$9:$R$320,11),(VLOOKUP($A262,PriceTableWeekend,6,0)+IF(BasisNumber&lt;&gt;1,VLOOKUP($A262,BasisTable,3,0),0)+O$1)/(1-O$2))</f>
        <v>33.554921122285201</v>
      </c>
      <c r="P262" s="154">
        <f>IF(Assumptions!$L$25=4,VLOOKUP($A262,'Henwood Reference'!$E$9:$R$320,11),(VLOOKUP($A262,PriceTableWeekend,7,0)+IF(BasisNumber&lt;&gt;1,VLOOKUP($A262,BasisTable,3,0),0)+P$1)/(1-P$2))</f>
        <v>33.554921122285201</v>
      </c>
      <c r="Q262" s="156">
        <f>IF(Assumptions!$L$25=4,VLOOKUP($A262,'Henwood Reference'!$E$9:$R$320,11),(VLOOKUP($A262,PriceTableWeekend,8,0)+IF(BasisNumber&lt;&gt;1,VLOOKUP($A262,BasisTable,3,0),0)+Q$1)/(1-Q$2))</f>
        <v>33.554921122285201</v>
      </c>
      <c r="R262" s="154">
        <f>IF(Assumptions!$L$25=4,VLOOKUP($A262,'Henwood Reference'!$E$9:$R$320,11),(VLOOKUP($A262,PriceTable,6,0)+IF(BasisNumber&lt;&gt;1,VLOOKUP($A262,BasisTable,3,0),0)+R$1)/(1-R$2))</f>
        <v>33.554921122285201</v>
      </c>
      <c r="S262" s="154">
        <f>IF(Assumptions!$L$25=4,VLOOKUP($A262,'Henwood Reference'!$E$9:$R$320,11),(VLOOKUP($A262,PriceTable,7,0)+IF(BasisNumber&lt;&gt;1,VLOOKUP($A262,BasisTable,3,0),0)+S$1)/(1-S$2))</f>
        <v>33.554921122285201</v>
      </c>
      <c r="T262" s="155">
        <f>IF(Assumptions!$L$25=4,VLOOKUP($A262,'Henwood Reference'!$E$9:$R$320,11),(VLOOKUP($A262,PriceTable,8,0)+IF(BasisNumber&lt;&gt;1,VLOOKUP($A262,BasisTable,3,0),0)+T$1)/(1-T$2))</f>
        <v>33.554921122285201</v>
      </c>
      <c r="U262" s="173">
        <f t="shared" si="640"/>
        <v>0.09</v>
      </c>
      <c r="V262" s="173">
        <f t="shared" si="641"/>
        <v>0.1</v>
      </c>
      <c r="W262" s="174">
        <f t="shared" si="642"/>
        <v>0.11</v>
      </c>
      <c r="X262" s="173">
        <f t="shared" si="643"/>
        <v>0.09</v>
      </c>
      <c r="Y262" s="173">
        <f t="shared" si="644"/>
        <v>0.1</v>
      </c>
      <c r="Z262" s="174">
        <f t="shared" si="645"/>
        <v>0.11</v>
      </c>
      <c r="AA262" s="173">
        <f t="shared" si="646"/>
        <v>0.09</v>
      </c>
      <c r="AB262" s="173">
        <f t="shared" si="647"/>
        <v>0.11</v>
      </c>
      <c r="AC262" s="174">
        <f t="shared" si="648"/>
        <v>0.13</v>
      </c>
      <c r="AD262" s="173">
        <f t="shared" si="649"/>
        <v>0.09</v>
      </c>
      <c r="AE262" s="173">
        <f t="shared" si="650"/>
        <v>0.11</v>
      </c>
      <c r="AF262" s="174">
        <f t="shared" si="651"/>
        <v>0.13</v>
      </c>
      <c r="AG262" s="173">
        <f t="shared" si="652"/>
        <v>-0.1</v>
      </c>
      <c r="AH262" s="173">
        <f t="shared" si="653"/>
        <v>3</v>
      </c>
      <c r="AI262" s="174">
        <f t="shared" si="654"/>
        <v>0.1</v>
      </c>
      <c r="AJ262" s="173">
        <f t="shared" si="655"/>
        <v>-0.1</v>
      </c>
      <c r="AK262" s="173">
        <f t="shared" si="656"/>
        <v>3</v>
      </c>
      <c r="AL262" s="174">
        <f t="shared" si="657"/>
        <v>0.1</v>
      </c>
      <c r="AM262" s="173">
        <f t="shared" si="658"/>
        <v>-0.01</v>
      </c>
      <c r="AN262" s="173">
        <f t="shared" si="659"/>
        <v>0.16</v>
      </c>
      <c r="AO262" s="174">
        <f t="shared" si="660"/>
        <v>0.01</v>
      </c>
      <c r="AP262" s="173">
        <f t="shared" si="661"/>
        <v>-0.01</v>
      </c>
      <c r="AQ262" s="173">
        <f t="shared" si="662"/>
        <v>0.16</v>
      </c>
      <c r="AR262" s="175">
        <f t="shared" si="663"/>
        <v>0.01</v>
      </c>
      <c r="AS262" s="521">
        <f t="shared" si="747"/>
        <v>0.5</v>
      </c>
      <c r="AT262" s="349">
        <f t="shared" si="745"/>
        <v>22</v>
      </c>
      <c r="AU262" s="159">
        <f t="shared" si="582"/>
        <v>5</v>
      </c>
      <c r="AV262" s="159">
        <f t="shared" si="583"/>
        <v>4</v>
      </c>
      <c r="AW262" s="159">
        <f t="shared" si="748"/>
        <v>0</v>
      </c>
      <c r="AX262" s="15">
        <f t="shared" si="746"/>
        <v>31</v>
      </c>
      <c r="AY262" s="607">
        <f>IF(E262="",0,MIN((1-(1-VLOOKUP(B262,MAIN!$AA$7:$AM$28,C262+1))*(1-VLOOKUP(B262,MAIN!$AA$33:$AM$54,C262+1))),1))</f>
        <v>3.0000000000000027E-2</v>
      </c>
      <c r="AZ262" s="337">
        <v>51216</v>
      </c>
      <c r="BA262" s="509">
        <v>11640</v>
      </c>
      <c r="BB262" s="509">
        <v>9312</v>
      </c>
      <c r="BC262" s="511">
        <v>36084</v>
      </c>
      <c r="BD262" s="153">
        <v>0.97000001445412631</v>
      </c>
      <c r="BE262" s="474">
        <v>0.97000001445412631</v>
      </c>
      <c r="BF262" s="474">
        <v>0.97000001445412631</v>
      </c>
      <c r="BG262" s="515">
        <v>0.9699999927729368</v>
      </c>
      <c r="BH262" s="262">
        <v>204864</v>
      </c>
      <c r="BI262" s="509">
        <v>46560</v>
      </c>
      <c r="BJ262" s="509">
        <v>37248</v>
      </c>
      <c r="BK262" s="511">
        <v>144336</v>
      </c>
      <c r="BL262" s="153">
        <v>0.97000001445412631</v>
      </c>
      <c r="BM262" s="474">
        <v>0.97000001445412631</v>
      </c>
      <c r="BN262" s="474">
        <v>0.97000001445412631</v>
      </c>
      <c r="BO262" s="474">
        <v>0.9699999927729368</v>
      </c>
      <c r="BP262" s="261">
        <f t="shared" si="666"/>
        <v>72168</v>
      </c>
      <c r="BQ262" s="578">
        <f t="shared" si="667"/>
        <v>108252</v>
      </c>
      <c r="BR262" s="259">
        <f t="shared" si="668"/>
        <v>288672</v>
      </c>
      <c r="BS262" s="578">
        <f t="shared" si="669"/>
        <v>433008</v>
      </c>
      <c r="BT262" s="216">
        <f t="shared" si="670"/>
        <v>20.465434633812457</v>
      </c>
      <c r="BU262" s="218">
        <f t="shared" si="585"/>
        <v>60.266015220946493</v>
      </c>
      <c r="BV262" s="216">
        <f t="shared" si="586"/>
        <v>60.266015220946493</v>
      </c>
      <c r="BW262" s="216">
        <f t="shared" si="587"/>
        <v>33.55492162229249</v>
      </c>
      <c r="BX262" s="216">
        <f t="shared" si="671"/>
        <v>33.554920872281556</v>
      </c>
      <c r="BY262" s="216">
        <f t="shared" si="588"/>
        <v>56.819422498539531</v>
      </c>
      <c r="BZ262" s="216">
        <f t="shared" si="589"/>
        <v>49.064588623120201</v>
      </c>
      <c r="CA262" s="264">
        <f t="shared" si="590"/>
        <v>60.266015220946493</v>
      </c>
      <c r="CB262" s="216">
        <f t="shared" si="591"/>
        <v>60.266015220946493</v>
      </c>
      <c r="CC262" s="216">
        <f t="shared" si="592"/>
        <v>33.55492162229249</v>
      </c>
      <c r="CD262" s="216">
        <f t="shared" si="672"/>
        <v>33.554920872281556</v>
      </c>
      <c r="CE262" s="216">
        <f t="shared" si="593"/>
        <v>56.819422498539531</v>
      </c>
      <c r="CF262" s="571">
        <f t="shared" si="594"/>
        <v>49.064588623120201</v>
      </c>
      <c r="CG262" s="573">
        <f t="shared" si="595"/>
        <v>0.1</v>
      </c>
      <c r="CH262" s="219">
        <f t="shared" si="596"/>
        <v>0.1</v>
      </c>
      <c r="CI262" s="219">
        <f t="shared" si="597"/>
        <v>0.11</v>
      </c>
      <c r="CJ262" s="219">
        <f t="shared" si="598"/>
        <v>0.10076930875362265</v>
      </c>
      <c r="CK262" s="219">
        <f t="shared" si="599"/>
        <v>0.10076930875362265</v>
      </c>
      <c r="CL262" s="219">
        <f t="shared" si="600"/>
        <v>0.11</v>
      </c>
      <c r="CM262" s="219">
        <f t="shared" si="601"/>
        <v>9.3201885472226936E-2</v>
      </c>
      <c r="CN262" s="569">
        <f t="shared" si="602"/>
        <v>9.3201885472226936E-2</v>
      </c>
      <c r="CO262" s="264">
        <f t="shared" si="685"/>
        <v>29.869653381124618</v>
      </c>
      <c r="CP262" s="216">
        <f t="shared" si="673"/>
        <v>29.869653381124618</v>
      </c>
      <c r="CQ262" s="216">
        <f t="shared" ca="1" si="703"/>
        <v>29.869653381124618</v>
      </c>
      <c r="CR262" s="216">
        <f t="shared" ca="1" si="704"/>
        <v>29.869653381124618</v>
      </c>
      <c r="CS262" s="1626">
        <f t="shared" ca="1" si="705"/>
        <v>29.869653381124618</v>
      </c>
      <c r="CT262" s="216">
        <f t="shared" si="674"/>
        <v>29.869653381124618</v>
      </c>
      <c r="CU262" s="575">
        <f t="shared" si="603"/>
        <v>0.15</v>
      </c>
      <c r="CV262" s="154">
        <f t="shared" si="604"/>
        <v>0.5</v>
      </c>
      <c r="CW262" s="216">
        <f>IF(OR($BQ262,$BS262),SpreadOptPowerMargin,0)*((1+Assumptions!$C$26)^($B262-YEAR(Assumptions!$C$17)))</f>
        <v>2.5204345545463638</v>
      </c>
      <c r="CX262" s="216">
        <f>IF(OR($BQ262,$BS262),SpreadOptPowerMargin,0)*((1+Assumptions!$C$26)^($B262-YEAR(Assumptions!$C$17)))</f>
        <v>2.5204345545463638</v>
      </c>
      <c r="CY262" s="216">
        <f>IF(OR($BQ262,$BS262),SpreadOptPowerMargin,0)*((1+Assumptions!$C$26)^($B262-YEAR(Assumptions!$C$17)))</f>
        <v>2.5204345545463638</v>
      </c>
      <c r="CZ262" s="216">
        <f>IF(OR($BQ262,$BS262),SpreadOptPowerMargin,0)*((1+Assumptions!$C$26)^($B262-YEAR(Assumptions!$C$17)))</f>
        <v>2.5204345545463638</v>
      </c>
      <c r="DA262" s="440">
        <f t="shared" si="605"/>
        <v>2.5204345545463638</v>
      </c>
      <c r="DB262" s="479">
        <f t="shared" si="606"/>
        <v>0.1</v>
      </c>
      <c r="DC262" s="479">
        <f t="shared" si="607"/>
        <v>0.1</v>
      </c>
      <c r="DD262" s="479">
        <f t="shared" si="608"/>
        <v>0.11</v>
      </c>
      <c r="DE262" s="479">
        <f t="shared" si="609"/>
        <v>0.11</v>
      </c>
      <c r="DF262" s="479">
        <f t="shared" si="610"/>
        <v>9.3201885472226936E-2</v>
      </c>
      <c r="DG262" s="574">
        <f t="shared" si="611"/>
        <v>9.3201885472226936E-2</v>
      </c>
      <c r="DH262" s="216">
        <f t="shared" si="612"/>
        <v>29.565613898989394</v>
      </c>
      <c r="DI262" s="216">
        <f t="shared" si="613"/>
        <v>29.565613898989394</v>
      </c>
      <c r="DJ262" s="216">
        <f t="shared" ca="1" si="706"/>
        <v>8.0198378529760497</v>
      </c>
      <c r="DK262" s="216">
        <f t="shared" ca="1" si="707"/>
        <v>8.0198373724597385</v>
      </c>
      <c r="DL262" s="216">
        <f t="shared" ca="1" si="708"/>
        <v>19.557571795395429</v>
      </c>
      <c r="DM262" s="216"/>
      <c r="DN262" s="216"/>
      <c r="DO262" s="216"/>
      <c r="DP262" s="216"/>
      <c r="DQ262" s="216"/>
      <c r="DR262" s="216"/>
      <c r="DS262" s="216"/>
      <c r="DT262" s="216"/>
      <c r="DU262" s="216"/>
      <c r="DV262" s="216"/>
      <c r="DW262" s="1371">
        <f t="shared" si="614"/>
        <v>8.0198378529760497</v>
      </c>
      <c r="DX262" s="216">
        <f t="shared" si="615"/>
        <v>8.0198373724597385</v>
      </c>
      <c r="DY262" s="440">
        <f t="shared" si="616"/>
        <v>20.530288300166532</v>
      </c>
      <c r="DZ262" s="180">
        <f t="shared" si="617"/>
        <v>1514232.4814506408</v>
      </c>
      <c r="EA262" s="180">
        <f t="shared" si="618"/>
        <v>344143.74578423653</v>
      </c>
      <c r="EB262" s="180">
        <f t="shared" ca="1" si="709"/>
        <v>74680.730086912969</v>
      </c>
      <c r="EC262" s="180">
        <f t="shared" ca="1" si="710"/>
        <v>289387.81174783723</v>
      </c>
      <c r="ED262" s="180">
        <f t="shared" ca="1" si="711"/>
        <v>2117146.2619951461</v>
      </c>
      <c r="EE262" s="581">
        <f t="shared" si="619"/>
        <v>1427693.4918426704</v>
      </c>
      <c r="EF262" s="554">
        <f t="shared" si="620"/>
        <v>324475.79360060691</v>
      </c>
      <c r="EG262" s="554">
        <f t="shared" ca="1" si="712"/>
        <v>10846.931289819466</v>
      </c>
      <c r="EH262" s="554">
        <f t="shared" ca="1" si="713"/>
        <v>42031.83168465591</v>
      </c>
      <c r="EI262" s="561">
        <f t="shared" ca="1" si="621"/>
        <v>1805048.0484177526</v>
      </c>
      <c r="EJ262" s="581">
        <f t="shared" si="675"/>
        <v>86538.989607970463</v>
      </c>
      <c r="EK262" s="554">
        <f t="shared" si="676"/>
        <v>19667.952183629619</v>
      </c>
      <c r="EL262" s="554">
        <f t="shared" ca="1" si="714"/>
        <v>63833.798797093506</v>
      </c>
      <c r="EM262" s="554">
        <f t="shared" ca="1" si="715"/>
        <v>247355.98006318131</v>
      </c>
      <c r="EN262" s="561">
        <f t="shared" ca="1" si="716"/>
        <v>312098.21357739344</v>
      </c>
      <c r="EO262" s="180">
        <f t="shared" si="622"/>
        <v>6056929.9258025633</v>
      </c>
      <c r="EP262" s="180">
        <f t="shared" si="623"/>
        <v>1376574.9831369461</v>
      </c>
      <c r="EQ262" s="180">
        <f t="shared" si="624"/>
        <v>298722.92034765187</v>
      </c>
      <c r="ER262" s="180">
        <f t="shared" si="625"/>
        <v>1157551.2469913489</v>
      </c>
      <c r="ES262" s="180">
        <f t="shared" si="626"/>
        <v>8889779.0762785096</v>
      </c>
      <c r="ET262" s="1482">
        <f t="shared" ca="1" si="717"/>
        <v>5710773.9673706815</v>
      </c>
      <c r="EU262" s="180">
        <f t="shared" ca="1" si="718"/>
        <v>1297903.1744024276</v>
      </c>
      <c r="EV262" s="180">
        <f t="shared" ca="1" si="719"/>
        <v>43387.725159277863</v>
      </c>
      <c r="EW262" s="180">
        <f t="shared" ca="1" si="720"/>
        <v>168127.32673862364</v>
      </c>
      <c r="EX262" s="555">
        <f t="shared" ca="1" si="693"/>
        <v>7220192.1936710114</v>
      </c>
      <c r="EY262" s="180">
        <f t="shared" ca="1" si="721"/>
        <v>346155.95843188185</v>
      </c>
      <c r="EZ262" s="180">
        <f t="shared" ca="1" si="722"/>
        <v>78671.808734518476</v>
      </c>
      <c r="FA262" s="180">
        <f t="shared" ca="1" si="723"/>
        <v>255335.19518837403</v>
      </c>
      <c r="FB262" s="180">
        <f t="shared" ca="1" si="724"/>
        <v>989423.92025272525</v>
      </c>
      <c r="FC262" s="180">
        <f t="shared" ca="1" si="725"/>
        <v>1669586.8826074982</v>
      </c>
      <c r="FD262" s="262">
        <f>IF(AX262,IF(VLOOKUP(C262,MAIN!$L$17:$M$28,2)="Yes",VLOOKUP(CALC!B262,MAIN!$H$17:$I$20,2),0),0)</f>
        <v>0</v>
      </c>
      <c r="FE262" s="623">
        <f t="shared" si="627"/>
        <v>0</v>
      </c>
      <c r="FF262" s="535">
        <f t="shared" si="628"/>
        <v>0</v>
      </c>
      <c r="FG262" s="535">
        <f t="shared" si="629"/>
        <v>0</v>
      </c>
      <c r="FH262" s="624">
        <f t="shared" si="630"/>
        <v>0</v>
      </c>
      <c r="FI262" s="632">
        <f>IF(AX262,VLOOKUP(CALC!B262,MAIN!$H$17:$K$20,4),0)</f>
        <v>0</v>
      </c>
      <c r="FJ262" s="535">
        <f t="shared" si="631"/>
        <v>0</v>
      </c>
      <c r="FK262" s="648">
        <f t="shared" si="677"/>
        <v>0</v>
      </c>
      <c r="FL262" s="530">
        <f t="shared" ca="1" si="726"/>
        <v>0</v>
      </c>
      <c r="FM262" s="530">
        <f t="shared" ca="1" si="727"/>
        <v>0</v>
      </c>
      <c r="FN262" s="530">
        <f t="shared" ca="1" si="728"/>
        <v>0</v>
      </c>
      <c r="FO262" s="622">
        <f t="shared" ca="1" si="729"/>
        <v>0</v>
      </c>
      <c r="FP262" s="530">
        <f t="shared" ca="1" si="730"/>
        <v>0</v>
      </c>
      <c r="FQ262" s="530">
        <f t="shared" ca="1" si="731"/>
        <v>0</v>
      </c>
      <c r="FR262" s="530">
        <f t="shared" ca="1" si="732"/>
        <v>0</v>
      </c>
      <c r="FS262" s="625">
        <f t="shared" ca="1" si="733"/>
        <v>0</v>
      </c>
      <c r="FT262" s="640">
        <f ca="1">IF(AND(Assumptions!$H$71="Yes",A262&gt;=Assumptions!$H$72,A262&lt;=Assumptions!$H$73),0,IF(AND($A262&gt;=Assumptions!$C$17,$A262&lt;=Assumptions!$C$18),MAX(AZ262*(1+VLOOKUP($C262,WeatherCapacityAdjustment,2))-FL262,0),0))</f>
        <v>51216</v>
      </c>
      <c r="FU262" s="530">
        <f ca="1">IF(AND(Assumptions!$H$71="Yes",A262&gt;=Assumptions!$H$72,A262&lt;=Assumptions!$H$73),0,IF(AND($A262&gt;=Assumptions!$C$17,$A262&lt;=Assumptions!$C$18),MAX(BA262*(1+VLOOKUP($C262,WeatherCapacityAdjustment,2))-FM262,0),0))</f>
        <v>11640</v>
      </c>
      <c r="FV262" s="530">
        <f ca="1">IF(AND(Assumptions!$H$71="Yes",A262&gt;=Assumptions!$H$72,A262&lt;=Assumptions!$H$73),0,IF(AND($A262&gt;=Assumptions!$C$17,$A262&lt;=Assumptions!$C$18),MAX(BB262*(1+VLOOKUP($C262,WeatherCapacityAdjustment,2))-FN262,0),0))</f>
        <v>9312</v>
      </c>
      <c r="FW262" s="622">
        <f ca="1">IF(AND(Assumptions!$H$71="Yes",A262&gt;=Assumptions!$H$72,A262&lt;=Assumptions!$H$73),0,IF(AND($A262&gt;=Assumptions!$C$17,$A262&lt;=Assumptions!$C$18),MAX(BC262*(1+VLOOKUP($C262,WeatherCapacityAdjustment,3))-FO262,0),0))</f>
        <v>36084</v>
      </c>
      <c r="FX262" s="621">
        <f ca="1">IF(AND(Assumptions!$H$71="Yes",A262&gt;=Assumptions!$H$72,A262&lt;=Assumptions!$H$73),0,IF(ET262&gt;0,MAX(BH262*(1+VLOOKUP($C262,WeatherCapacityAdjustment,2))-FP262,0),0))</f>
        <v>204864</v>
      </c>
      <c r="FY262" s="530">
        <f ca="1">IF(AND(Assumptions!$H$71="Yes",A262&gt;=Assumptions!$H$72,A262&lt;=Assumptions!$H$73),0,IF(EU262&gt;0,MAX(BI262*(1+VLOOKUP($C262,WeatherCapacityAdjustment,3))-FQ262,0),0))</f>
        <v>46560</v>
      </c>
      <c r="FZ262" s="530">
        <f ca="1">IF(AND(Assumptions!$H$71="Yes",A262&gt;=Assumptions!$H$72,A262&lt;=Assumptions!$H$73),0,IF(EV262&gt;0,MAX(BJ262*(1+VLOOKUP($C262,WeatherCapacityAdjustment,2))-FR262,0),0))</f>
        <v>37248</v>
      </c>
      <c r="GA262" s="622">
        <f ca="1">IF(AND(Assumptions!$H$71="Yes",A262&gt;=Assumptions!$H$72,A262&lt;=Assumptions!$H$73),0,IF(EW262&gt;0,MAX(BK262*(1+VLOOKUP($C262,WeatherCapacityAdjustment,2))-FS262,0),0))</f>
        <v>144336</v>
      </c>
      <c r="GB262" s="530">
        <f t="shared" ca="1" si="632"/>
        <v>541260</v>
      </c>
      <c r="GC262" s="545">
        <f t="shared" ca="1" si="633"/>
        <v>49.064588623120201</v>
      </c>
      <c r="GD262" s="530">
        <f t="shared" ca="1" si="734"/>
        <v>26556699.238150038</v>
      </c>
      <c r="GE262" s="1485">
        <f t="shared" ca="1" si="735"/>
        <v>778450.95720000006</v>
      </c>
      <c r="GF262" s="1776">
        <f t="shared" ca="1" si="736"/>
        <v>3113803.8288000003</v>
      </c>
      <c r="GG262" s="545">
        <f t="shared" si="701"/>
        <v>4.1536974011103469</v>
      </c>
      <c r="GH262" s="622">
        <f t="shared" ca="1" si="702"/>
        <v>16167248.589067511</v>
      </c>
      <c r="GI262" s="621">
        <f t="shared" ca="1" si="678"/>
        <v>541260</v>
      </c>
      <c r="GJ262" s="638">
        <f t="shared" si="634"/>
        <v>2.5204345545463638</v>
      </c>
      <c r="GK262" s="625">
        <f t="shared" ca="1" si="684"/>
        <v>1364210.4069937649</v>
      </c>
      <c r="GL262" s="640">
        <f t="shared" ca="1" si="737"/>
        <v>0</v>
      </c>
      <c r="GM262" s="530">
        <f t="shared" ca="1" si="738"/>
        <v>0</v>
      </c>
      <c r="GN262" s="530">
        <f t="shared" ca="1" si="739"/>
        <v>0</v>
      </c>
      <c r="GO262" s="622">
        <f t="shared" ca="1" si="740"/>
        <v>0</v>
      </c>
      <c r="GP262" s="530">
        <f t="shared" ca="1" si="635"/>
        <v>0</v>
      </c>
      <c r="GQ262" s="545">
        <f t="shared" ca="1" si="636"/>
        <v>0</v>
      </c>
      <c r="GR262" s="625">
        <f t="shared" ca="1" si="741"/>
        <v>0</v>
      </c>
      <c r="GS262" s="640">
        <f>IF($A262&gt;=BegDate,Assumptions!$C$56*24*($A263-$A262)*(1-VLOOKUP($B262,MAIN!$AA$7:$AM$28,$C262+1))*(1-VLOOKUP($B262,MAIN!$AA$33:$AM$54,$C262+1)),0)*80/168</f>
        <v>257742.85714285713</v>
      </c>
      <c r="GT262" s="1715">
        <f t="shared" si="679"/>
        <v>60.266014322912902</v>
      </c>
      <c r="GU262" s="1715">
        <f>IF($A262&gt;=BegDate,VLOOKUP($A262,GasTable,13)+Assumptions!$C$58,0)</f>
        <v>4.1536974011103469</v>
      </c>
      <c r="GV262" s="1715">
        <f>GU262*Assumptions!$C$57/1000</f>
        <v>30.114306158050013</v>
      </c>
      <c r="GW262" s="625">
        <f>IF(Assumptions!$C$60="Hourly",MAX(0,GS262*(GT262-GV262)),GS262*(GT262-GV262))</f>
        <v>7771387.410149374</v>
      </c>
      <c r="GX262" s="640">
        <f>IF($A262&gt;=BegDate,Assumptions!$C$56*24*($A263-$A262)*(1-VLOOKUP($B262,MAIN!$AA$7:$AM$28,$C262+1))*(1-VLOOKUP($B262,MAIN!$AA$33:$AM$54,$C262+1)),0)*16/168</f>
        <v>51548.571428571428</v>
      </c>
      <c r="GY262" s="1715">
        <f t="shared" si="680"/>
        <v>60.266014322912902</v>
      </c>
      <c r="GZ262" s="1715">
        <f>IF($A262&gt;=BegDate,VLOOKUP($A262,GasTable,13)+Assumptions!$C$58,0)</f>
        <v>4.1536974011103469</v>
      </c>
      <c r="HA262" s="1715">
        <f>GZ262*Assumptions!$C$57/1000</f>
        <v>30.114306158050013</v>
      </c>
      <c r="HB262" s="625">
        <f>IF(Assumptions!$C$60="Hourly",MAX(0,GX262*(GY262-HA262)),GX262*(GY262-HA262))</f>
        <v>1554277.482029875</v>
      </c>
      <c r="HC262" s="640">
        <f>IF($A262&gt;=BegDate,Assumptions!$C$56*24*($A263-$A262)*(1-VLOOKUP($B262,MAIN!$AA$7:$AM$28,$C262+1))*(1-VLOOKUP($B262,MAIN!$AA$33:$AM$54,$C262+1)),0)*16/168</f>
        <v>51548.571428571428</v>
      </c>
      <c r="HD262" s="1715">
        <f t="shared" si="681"/>
        <v>33.554921122285201</v>
      </c>
      <c r="HE262" s="1715">
        <f>IF($A262&gt;=BegDate,VLOOKUP($A262,GasTable,13)+Assumptions!$C$58,0)</f>
        <v>4.1536974011103469</v>
      </c>
      <c r="HF262" s="1715">
        <f>HE262*Assumptions!$C$57/1000</f>
        <v>30.114306158050013</v>
      </c>
      <c r="HG262" s="625">
        <f>IF(Assumptions!$C$60="Hourly",MAX(0,HC262*(HD262-HF262)),HC262*(HD262-HF262))</f>
        <v>177358.78624208929</v>
      </c>
      <c r="HH262" s="640">
        <f>IF($A262&gt;=BegDate,Assumptions!$C$56*24*($A263-$A262)*(1-VLOOKUP($B262,MAIN!$AA$7:$AM$28,$C262+1))*(1-VLOOKUP($B262,MAIN!$AA$33:$AM$54,$C262+1)),0)*56/168</f>
        <v>180420</v>
      </c>
      <c r="HI262" s="1715">
        <f t="shared" si="682"/>
        <v>33.554921122285201</v>
      </c>
      <c r="HJ262" s="1715">
        <f>IF($A262&gt;=BegDate,VLOOKUP($A262,GasTable,13)+Assumptions!$C$58,0)</f>
        <v>4.1536974011103469</v>
      </c>
      <c r="HK262" s="1715">
        <f>HJ262*Assumptions!$C$57/1000</f>
        <v>30.114306158050013</v>
      </c>
      <c r="HL262" s="625">
        <f>IF(Assumptions!$C$60="Hourly",MAX(0,HH262*(HI262-HK262)),HH262*(HI262-HK262))</f>
        <v>620755.75184731255</v>
      </c>
      <c r="HM262" s="640">
        <f>IF(AND(Assumptions!$H$71="Yes",A262&gt;=Assumptions!$H$72,A262&lt;=Assumptions!$H$73),Assumptions!$H$74*Assumptions!$C$9*1000,0)</f>
        <v>0</v>
      </c>
      <c r="HN262" s="530"/>
      <c r="HO262" s="545"/>
      <c r="HP262" s="545"/>
      <c r="HQ262" s="545"/>
      <c r="HR262" s="545"/>
      <c r="HS262" s="545"/>
      <c r="HT262" s="545"/>
      <c r="HU262" s="545"/>
      <c r="HV262" s="545"/>
      <c r="HW262" s="545"/>
      <c r="HX262" s="545"/>
      <c r="HY262" s="545"/>
      <c r="HZ262" s="545"/>
      <c r="IA262" s="545"/>
      <c r="IB262" s="545"/>
      <c r="IC262" s="545"/>
      <c r="ID262" s="545"/>
      <c r="IE262" s="545"/>
      <c r="IF262" s="545"/>
      <c r="IG262" s="545"/>
      <c r="IH262" s="545"/>
      <c r="II262" s="1464"/>
      <c r="IJ262" s="1463"/>
      <c r="IK262" s="1463"/>
    </row>
    <row r="263" spans="1:249">
      <c r="A263" s="177">
        <f t="shared" si="637"/>
        <v>44136</v>
      </c>
      <c r="B263" s="349">
        <f t="shared" si="638"/>
        <v>2020</v>
      </c>
      <c r="C263" s="15">
        <f t="shared" si="742"/>
        <v>11</v>
      </c>
      <c r="D263" s="612">
        <f t="shared" si="639"/>
        <v>44161</v>
      </c>
      <c r="E263" s="609">
        <f t="shared" si="743"/>
        <v>44136</v>
      </c>
      <c r="F263" s="614">
        <f t="shared" si="744"/>
        <v>44165</v>
      </c>
      <c r="G263" s="1349">
        <v>0</v>
      </c>
      <c r="H263" s="152">
        <f t="shared" si="683"/>
        <v>1</v>
      </c>
      <c r="I263" s="154">
        <f>IF(Assumptions!$L$25=4,VLOOKUP($A263,'Henwood Reference'!$E$9:$R$320,10),(VLOOKUP($A263,PriceTable,2,0)+IF(BasisNumber&lt;&gt;1,VLOOKUP($A263,BasisTable,2,0),0)+I$1)/(1-I$2))</f>
        <v>62.361645935461176</v>
      </c>
      <c r="J263" s="154">
        <f>IF(Assumptions!$L$25=4,VLOOKUP($A263,'Henwood Reference'!$E$9:$R$320,10),(VLOOKUP($A263,PriceTable,3,0)+IF(BasisNumber&lt;&gt;1,VLOOKUP($A263,BasisTable,2,0),0)+J$1)/(1-J$2))</f>
        <v>62.361645935461176</v>
      </c>
      <c r="K263" s="154">
        <f>IF(Assumptions!$L$25=4,VLOOKUP($A263,'Henwood Reference'!$E$9:$R$320,10),(VLOOKUP($A263,PriceTable,4,0)+IF(BasisNumber&lt;&gt;1,VLOOKUP($A263,BasisTable,2,0),0)+K$1)/(1-K$2))</f>
        <v>62.361645935461176</v>
      </c>
      <c r="L263" s="474">
        <f>IF(Assumptions!$L$25=4,VLOOKUP($A263,'Henwood Reference'!$E$9:$R$320,10),(VLOOKUP($A263,PriceTableWeekend,2,0)+IF(BasisNumber&lt;&gt;1,VLOOKUP($A263,BasisTable,2,0),0)+L$1)/(1-L$2))</f>
        <v>62.361645935461176</v>
      </c>
      <c r="M263" s="154">
        <f>IF(Assumptions!$L$25=4,VLOOKUP($A263,'Henwood Reference'!$E$9:$R$320,10),(VLOOKUP($A263,PriceTableWeekend,3,0)+IF(BasisNumber&lt;&gt;1,VLOOKUP($A263,BasisTable,2,0),0)+M$1)/(1-M$2))</f>
        <v>62.361645935461176</v>
      </c>
      <c r="N263" s="156">
        <f>IF(Assumptions!$L$25=4,VLOOKUP($A263,'Henwood Reference'!$E$9:$R$320,10),(VLOOKUP($A263,PriceTableWeekend,4,0)+IF(BasisNumber&lt;&gt;1,VLOOKUP($A263,BasisTable,2,0),0)+N$1)/(1-N$2))</f>
        <v>62.361645935461176</v>
      </c>
      <c r="O263" s="154">
        <f>IF(Assumptions!$L$25=4,VLOOKUP($A263,'Henwood Reference'!$E$9:$R$320,11),(VLOOKUP($A263,PriceTableWeekend,6,0)+IF(BasisNumber&lt;&gt;1,VLOOKUP($A263,BasisTable,3,0),0)+O$1)/(1-O$2))</f>
        <v>36.452072760224198</v>
      </c>
      <c r="P263" s="154">
        <f>IF(Assumptions!$L$25=4,VLOOKUP($A263,'Henwood Reference'!$E$9:$R$320,11),(VLOOKUP($A263,PriceTableWeekend,7,0)+IF(BasisNumber&lt;&gt;1,VLOOKUP($A263,BasisTable,3,0),0)+P$1)/(1-P$2))</f>
        <v>36.452072760224198</v>
      </c>
      <c r="Q263" s="156">
        <f>IF(Assumptions!$L$25=4,VLOOKUP($A263,'Henwood Reference'!$E$9:$R$320,11),(VLOOKUP($A263,PriceTableWeekend,8,0)+IF(BasisNumber&lt;&gt;1,VLOOKUP($A263,BasisTable,3,0),0)+Q$1)/(1-Q$2))</f>
        <v>36.452072760224198</v>
      </c>
      <c r="R263" s="154">
        <f>IF(Assumptions!$L$25=4,VLOOKUP($A263,'Henwood Reference'!$E$9:$R$320,11),(VLOOKUP($A263,PriceTable,6,0)+IF(BasisNumber&lt;&gt;1,VLOOKUP($A263,BasisTable,3,0),0)+R$1)/(1-R$2))</f>
        <v>36.452072760224198</v>
      </c>
      <c r="S263" s="154">
        <f>IF(Assumptions!$L$25=4,VLOOKUP($A263,'Henwood Reference'!$E$9:$R$320,11),(VLOOKUP($A263,PriceTable,7,0)+IF(BasisNumber&lt;&gt;1,VLOOKUP($A263,BasisTable,3,0),0)+S$1)/(1-S$2))</f>
        <v>36.452072760224198</v>
      </c>
      <c r="T263" s="155">
        <f>IF(Assumptions!$L$25=4,VLOOKUP($A263,'Henwood Reference'!$E$9:$R$320,11),(VLOOKUP($A263,PriceTable,8,0)+IF(BasisNumber&lt;&gt;1,VLOOKUP($A263,BasisTable,3,0),0)+T$1)/(1-T$2))</f>
        <v>36.452072760224198</v>
      </c>
      <c r="U263" s="173">
        <f t="shared" si="640"/>
        <v>0.09</v>
      </c>
      <c r="V263" s="173">
        <f t="shared" si="641"/>
        <v>0.1</v>
      </c>
      <c r="W263" s="174">
        <f t="shared" si="642"/>
        <v>0.11</v>
      </c>
      <c r="X263" s="173">
        <f t="shared" si="643"/>
        <v>0.09</v>
      </c>
      <c r="Y263" s="173">
        <f t="shared" si="644"/>
        <v>0.1</v>
      </c>
      <c r="Z263" s="174">
        <f t="shared" si="645"/>
        <v>0.11</v>
      </c>
      <c r="AA263" s="173">
        <f t="shared" si="646"/>
        <v>0.09</v>
      </c>
      <c r="AB263" s="173">
        <f t="shared" si="647"/>
        <v>0.11</v>
      </c>
      <c r="AC263" s="174">
        <f t="shared" si="648"/>
        <v>0.13</v>
      </c>
      <c r="AD263" s="173">
        <f t="shared" si="649"/>
        <v>0.09</v>
      </c>
      <c r="AE263" s="173">
        <f t="shared" si="650"/>
        <v>0.11</v>
      </c>
      <c r="AF263" s="174">
        <f t="shared" si="651"/>
        <v>0.13</v>
      </c>
      <c r="AG263" s="173">
        <f t="shared" si="652"/>
        <v>-0.1</v>
      </c>
      <c r="AH263" s="173">
        <f t="shared" si="653"/>
        <v>0.6</v>
      </c>
      <c r="AI263" s="174">
        <f t="shared" si="654"/>
        <v>0.1</v>
      </c>
      <c r="AJ263" s="173">
        <f t="shared" si="655"/>
        <v>-0.1</v>
      </c>
      <c r="AK263" s="173">
        <f t="shared" si="656"/>
        <v>0.6</v>
      </c>
      <c r="AL263" s="174">
        <f t="shared" si="657"/>
        <v>0.1</v>
      </c>
      <c r="AM263" s="173">
        <f t="shared" si="658"/>
        <v>-0.01</v>
      </c>
      <c r="AN263" s="173">
        <f t="shared" si="659"/>
        <v>0.16</v>
      </c>
      <c r="AO263" s="174">
        <f t="shared" si="660"/>
        <v>0.01</v>
      </c>
      <c r="AP263" s="173">
        <f t="shared" si="661"/>
        <v>-0.01</v>
      </c>
      <c r="AQ263" s="173">
        <f t="shared" si="662"/>
        <v>0.16</v>
      </c>
      <c r="AR263" s="175">
        <f t="shared" si="663"/>
        <v>0.01</v>
      </c>
      <c r="AS263" s="521">
        <f t="shared" si="747"/>
        <v>0.5</v>
      </c>
      <c r="AT263" s="349">
        <f t="shared" si="745"/>
        <v>20</v>
      </c>
      <c r="AU263" s="159">
        <f t="shared" si="582"/>
        <v>4</v>
      </c>
      <c r="AV263" s="159">
        <f t="shared" si="583"/>
        <v>5</v>
      </c>
      <c r="AW263" s="159">
        <f t="shared" si="748"/>
        <v>1</v>
      </c>
      <c r="AX263" s="15">
        <f t="shared" si="746"/>
        <v>30</v>
      </c>
      <c r="AY263" s="607">
        <f>IF(E263="",0,MIN((1-(1-VLOOKUP(B263,MAIN!$AA$7:$AM$28,C263+1))*(1-VLOOKUP(B263,MAIN!$AA$33:$AM$54,C263+1))),1))</f>
        <v>3.0000000000000027E-2</v>
      </c>
      <c r="AZ263" s="337">
        <v>46560</v>
      </c>
      <c r="BA263" s="509">
        <v>9312</v>
      </c>
      <c r="BB263" s="509">
        <v>13968</v>
      </c>
      <c r="BC263" s="511">
        <v>34920</v>
      </c>
      <c r="BD263" s="153">
        <v>0.97</v>
      </c>
      <c r="BE263" s="474">
        <v>0.97</v>
      </c>
      <c r="BF263" s="474">
        <v>0.97</v>
      </c>
      <c r="BG263" s="515">
        <v>0.9699999927729368</v>
      </c>
      <c r="BH263" s="262">
        <v>186240</v>
      </c>
      <c r="BI263" s="509">
        <v>37248</v>
      </c>
      <c r="BJ263" s="509">
        <v>55872</v>
      </c>
      <c r="BK263" s="511">
        <v>139680</v>
      </c>
      <c r="BL263" s="153">
        <v>0.97</v>
      </c>
      <c r="BM263" s="474">
        <v>0.97</v>
      </c>
      <c r="BN263" s="474">
        <v>0.97</v>
      </c>
      <c r="BO263" s="474">
        <v>0.9699999927729368</v>
      </c>
      <c r="BP263" s="261">
        <f t="shared" si="666"/>
        <v>69840</v>
      </c>
      <c r="BQ263" s="578">
        <f t="shared" si="667"/>
        <v>104760</v>
      </c>
      <c r="BR263" s="259">
        <f t="shared" si="668"/>
        <v>279360</v>
      </c>
      <c r="BS263" s="578">
        <f t="shared" si="669"/>
        <v>419040</v>
      </c>
      <c r="BT263" s="216">
        <f t="shared" si="670"/>
        <v>20.550308008213552</v>
      </c>
      <c r="BU263" s="218">
        <f t="shared" si="585"/>
        <v>62.361645935461183</v>
      </c>
      <c r="BV263" s="216">
        <f t="shared" si="586"/>
        <v>62.361645935461183</v>
      </c>
      <c r="BW263" s="216">
        <f t="shared" si="587"/>
        <v>36.452072760224198</v>
      </c>
      <c r="BX263" s="216">
        <f t="shared" si="671"/>
        <v>36.452072488635089</v>
      </c>
      <c r="BY263" s="216">
        <f t="shared" si="588"/>
        <v>57.179731300413792</v>
      </c>
      <c r="BZ263" s="216">
        <f t="shared" si="589"/>
        <v>50.27051169648756</v>
      </c>
      <c r="CA263" s="264">
        <f t="shared" si="590"/>
        <v>62.361645935461183</v>
      </c>
      <c r="CB263" s="216">
        <f t="shared" si="591"/>
        <v>62.361645935461183</v>
      </c>
      <c r="CC263" s="216">
        <f t="shared" si="592"/>
        <v>36.452072760224198</v>
      </c>
      <c r="CD263" s="216">
        <f t="shared" si="672"/>
        <v>36.452072488635089</v>
      </c>
      <c r="CE263" s="216">
        <f t="shared" si="593"/>
        <v>57.179731300413792</v>
      </c>
      <c r="CF263" s="571">
        <f t="shared" si="594"/>
        <v>50.27051169648756</v>
      </c>
      <c r="CG263" s="573">
        <f t="shared" si="595"/>
        <v>0.1</v>
      </c>
      <c r="CH263" s="219">
        <f t="shared" si="596"/>
        <v>0.1</v>
      </c>
      <c r="CI263" s="219">
        <f t="shared" si="597"/>
        <v>0.11</v>
      </c>
      <c r="CJ263" s="219">
        <f t="shared" si="598"/>
        <v>0.10128664446073343</v>
      </c>
      <c r="CK263" s="219">
        <f t="shared" si="599"/>
        <v>0.10128664446073343</v>
      </c>
      <c r="CL263" s="219">
        <f t="shared" si="600"/>
        <v>0.11</v>
      </c>
      <c r="CM263" s="219">
        <f t="shared" si="601"/>
        <v>9.3304386589577903E-2</v>
      </c>
      <c r="CN263" s="569">
        <f t="shared" si="602"/>
        <v>9.3304386589577903E-2</v>
      </c>
      <c r="CO263" s="264">
        <f t="shared" si="685"/>
        <v>31.083337235279586</v>
      </c>
      <c r="CP263" s="216">
        <f t="shared" si="673"/>
        <v>31.083337235279586</v>
      </c>
      <c r="CQ263" s="216">
        <f t="shared" ca="1" si="703"/>
        <v>31.083337235279586</v>
      </c>
      <c r="CR263" s="216">
        <f t="shared" ca="1" si="704"/>
        <v>31.083337235279586</v>
      </c>
      <c r="CS263" s="1626">
        <f t="shared" ca="1" si="705"/>
        <v>31.08333723527959</v>
      </c>
      <c r="CT263" s="216">
        <f t="shared" si="674"/>
        <v>31.083337235279586</v>
      </c>
      <c r="CU263" s="575">
        <f t="shared" si="603"/>
        <v>0.15</v>
      </c>
      <c r="CV263" s="154">
        <f t="shared" si="604"/>
        <v>0.5</v>
      </c>
      <c r="CW263" s="216">
        <f>IF(OR($BQ263,$BS263),SpreadOptPowerMargin,0)*((1+Assumptions!$C$26)^($B263-YEAR(Assumptions!$C$17)))</f>
        <v>2.5204345545463638</v>
      </c>
      <c r="CX263" s="216">
        <f>IF(OR($BQ263,$BS263),SpreadOptPowerMargin,0)*((1+Assumptions!$C$26)^($B263-YEAR(Assumptions!$C$17)))</f>
        <v>2.5204345545463638</v>
      </c>
      <c r="CY263" s="216">
        <f>IF(OR($BQ263,$BS263),SpreadOptPowerMargin,0)*((1+Assumptions!$C$26)^($B263-YEAR(Assumptions!$C$17)))</f>
        <v>2.5204345545463638</v>
      </c>
      <c r="CZ263" s="216">
        <f>IF(OR($BQ263,$BS263),SpreadOptPowerMargin,0)*((1+Assumptions!$C$26)^($B263-YEAR(Assumptions!$C$17)))</f>
        <v>2.5204345545463638</v>
      </c>
      <c r="DA263" s="440">
        <f t="shared" si="605"/>
        <v>2.5204345545463638</v>
      </c>
      <c r="DB263" s="479">
        <f t="shared" si="606"/>
        <v>0.1</v>
      </c>
      <c r="DC263" s="479">
        <f t="shared" si="607"/>
        <v>0.1</v>
      </c>
      <c r="DD263" s="479">
        <f t="shared" si="608"/>
        <v>0.11</v>
      </c>
      <c r="DE263" s="479">
        <f t="shared" si="609"/>
        <v>0.11</v>
      </c>
      <c r="DF263" s="479">
        <f t="shared" si="610"/>
        <v>9.3304386589577903E-2</v>
      </c>
      <c r="DG263" s="574">
        <f t="shared" si="611"/>
        <v>9.3304386589577903E-2</v>
      </c>
      <c r="DH263" s="216">
        <f t="shared" si="612"/>
        <v>30.546603886928189</v>
      </c>
      <c r="DI263" s="216">
        <f t="shared" si="613"/>
        <v>30.546603886928189</v>
      </c>
      <c r="DJ263" s="216">
        <f t="shared" ca="1" si="706"/>
        <v>9.4278162962363385</v>
      </c>
      <c r="DK263" s="216">
        <f t="shared" ca="1" si="707"/>
        <v>9.4278161141677206</v>
      </c>
      <c r="DL263" s="216">
        <f t="shared" ca="1" si="708"/>
        <v>19.784632110988674</v>
      </c>
      <c r="DM263" s="216"/>
      <c r="DN263" s="216"/>
      <c r="DO263" s="216"/>
      <c r="DP263" s="216"/>
      <c r="DQ263" s="216"/>
      <c r="DR263" s="216"/>
      <c r="DS263" s="216"/>
      <c r="DT263" s="216"/>
      <c r="DU263" s="216"/>
      <c r="DV263" s="216"/>
      <c r="DW263" s="1371">
        <f t="shared" si="614"/>
        <v>9.4278162962363385</v>
      </c>
      <c r="DX263" s="216">
        <f t="shared" si="615"/>
        <v>9.4278161141677206</v>
      </c>
      <c r="DY263" s="440">
        <f t="shared" si="616"/>
        <v>20.69116961724912</v>
      </c>
      <c r="DZ263" s="180">
        <f t="shared" si="617"/>
        <v>1422249.8769753764</v>
      </c>
      <c r="EA263" s="180">
        <f t="shared" si="618"/>
        <v>284449.97539507528</v>
      </c>
      <c r="EB263" s="180">
        <f t="shared" ca="1" si="709"/>
        <v>131687.73802582917</v>
      </c>
      <c r="EC263" s="180">
        <f t="shared" ca="1" si="710"/>
        <v>329219.3387067368</v>
      </c>
      <c r="ED263" s="180">
        <f t="shared" ca="1" si="711"/>
        <v>2072638.0599471736</v>
      </c>
      <c r="EE263" s="581">
        <f t="shared" si="619"/>
        <v>1338966.6202207764</v>
      </c>
      <c r="EF263" s="554">
        <f t="shared" si="620"/>
        <v>267793.32404415531</v>
      </c>
      <c r="EG263" s="554">
        <f t="shared" ca="1" si="712"/>
        <v>39785.067954522739</v>
      </c>
      <c r="EH263" s="554">
        <f t="shared" ca="1" si="713"/>
        <v>99462.660402415189</v>
      </c>
      <c r="EI263" s="561">
        <f t="shared" ca="1" si="621"/>
        <v>1746007.6726218697</v>
      </c>
      <c r="EJ263" s="581">
        <f t="shared" si="675"/>
        <v>83283.256754599977</v>
      </c>
      <c r="EK263" s="554">
        <f t="shared" si="676"/>
        <v>16656.651350919972</v>
      </c>
      <c r="EL263" s="554">
        <f t="shared" ca="1" si="714"/>
        <v>91902.670071306435</v>
      </c>
      <c r="EM263" s="554">
        <f t="shared" ca="1" si="715"/>
        <v>229756.6783043216</v>
      </c>
      <c r="EN263" s="561">
        <f t="shared" ca="1" si="716"/>
        <v>326630.38732530386</v>
      </c>
      <c r="EO263" s="180">
        <f t="shared" si="622"/>
        <v>5688999.5079015056</v>
      </c>
      <c r="EP263" s="180">
        <f t="shared" si="623"/>
        <v>1137799.9015803011</v>
      </c>
      <c r="EQ263" s="180">
        <f t="shared" si="624"/>
        <v>526750.95210331667</v>
      </c>
      <c r="ER263" s="180">
        <f t="shared" si="625"/>
        <v>1316877.3548269472</v>
      </c>
      <c r="ES263" s="180">
        <f t="shared" si="626"/>
        <v>8670427.7164120711</v>
      </c>
      <c r="ET263" s="1482">
        <f t="shared" ca="1" si="717"/>
        <v>5355866.4808831057</v>
      </c>
      <c r="EU263" s="180">
        <f t="shared" ca="1" si="718"/>
        <v>1071173.2961766212</v>
      </c>
      <c r="EV263" s="180">
        <f t="shared" ca="1" si="719"/>
        <v>159140.27181809096</v>
      </c>
      <c r="EW263" s="180">
        <f t="shared" ca="1" si="720"/>
        <v>397850.64160966076</v>
      </c>
      <c r="EX263" s="555">
        <f t="shared" ca="1" si="693"/>
        <v>6984030.6904874779</v>
      </c>
      <c r="EY263" s="180">
        <f t="shared" ca="1" si="721"/>
        <v>333133.02701839991</v>
      </c>
      <c r="EZ263" s="180">
        <f t="shared" ca="1" si="722"/>
        <v>66626.605403679889</v>
      </c>
      <c r="FA263" s="180">
        <f t="shared" ca="1" si="723"/>
        <v>367610.68028522574</v>
      </c>
      <c r="FB263" s="180">
        <f t="shared" ca="1" si="724"/>
        <v>919026.71321728639</v>
      </c>
      <c r="FC263" s="180">
        <f t="shared" ca="1" si="725"/>
        <v>1686397.0259245932</v>
      </c>
      <c r="FD263" s="262">
        <f>IF(AX263,IF(VLOOKUP(C263,MAIN!$L$17:$M$28,2)="Yes",VLOOKUP(CALC!B263,MAIN!$H$17:$I$20,2),0),0)</f>
        <v>0</v>
      </c>
      <c r="FE263" s="623">
        <f t="shared" si="627"/>
        <v>0</v>
      </c>
      <c r="FF263" s="535">
        <f t="shared" si="628"/>
        <v>0</v>
      </c>
      <c r="FG263" s="535">
        <f t="shared" si="629"/>
        <v>0</v>
      </c>
      <c r="FH263" s="624">
        <f t="shared" si="630"/>
        <v>0</v>
      </c>
      <c r="FI263" s="632">
        <f>IF(AX263,VLOOKUP(CALC!B263,MAIN!$H$17:$K$20,4),0)</f>
        <v>0</v>
      </c>
      <c r="FJ263" s="535">
        <f t="shared" si="631"/>
        <v>0</v>
      </c>
      <c r="FK263" s="648">
        <f t="shared" si="677"/>
        <v>0</v>
      </c>
      <c r="FL263" s="530">
        <f t="shared" ca="1" si="726"/>
        <v>0</v>
      </c>
      <c r="FM263" s="530">
        <f t="shared" ca="1" si="727"/>
        <v>0</v>
      </c>
      <c r="FN263" s="530">
        <f t="shared" ca="1" si="728"/>
        <v>0</v>
      </c>
      <c r="FO263" s="622">
        <f t="shared" ca="1" si="729"/>
        <v>0</v>
      </c>
      <c r="FP263" s="530">
        <f t="shared" ca="1" si="730"/>
        <v>0</v>
      </c>
      <c r="FQ263" s="530">
        <f t="shared" ca="1" si="731"/>
        <v>0</v>
      </c>
      <c r="FR263" s="530">
        <f t="shared" ca="1" si="732"/>
        <v>0</v>
      </c>
      <c r="FS263" s="625">
        <f t="shared" ca="1" si="733"/>
        <v>0</v>
      </c>
      <c r="FT263" s="640">
        <f ca="1">IF(AND(Assumptions!$H$71="Yes",A263&gt;=Assumptions!$H$72,A263&lt;=Assumptions!$H$73),0,IF(AND($A263&gt;=Assumptions!$C$17,$A263&lt;=Assumptions!$C$18),MAX(AZ263*(1+VLOOKUP($C263,WeatherCapacityAdjustment,2))-FL263,0),0))</f>
        <v>46560</v>
      </c>
      <c r="FU263" s="530">
        <f ca="1">IF(AND(Assumptions!$H$71="Yes",A263&gt;=Assumptions!$H$72,A263&lt;=Assumptions!$H$73),0,IF(AND($A263&gt;=Assumptions!$C$17,$A263&lt;=Assumptions!$C$18),MAX(BA263*(1+VLOOKUP($C263,WeatherCapacityAdjustment,2))-FM263,0),0))</f>
        <v>9312</v>
      </c>
      <c r="FV263" s="530">
        <f ca="1">IF(AND(Assumptions!$H$71="Yes",A263&gt;=Assumptions!$H$72,A263&lt;=Assumptions!$H$73),0,IF(AND($A263&gt;=Assumptions!$C$17,$A263&lt;=Assumptions!$C$18),MAX(BB263*(1+VLOOKUP($C263,WeatherCapacityAdjustment,2))-FN263,0),0))</f>
        <v>13968</v>
      </c>
      <c r="FW263" s="622">
        <f ca="1">IF(AND(Assumptions!$H$71="Yes",A263&gt;=Assumptions!$H$72,A263&lt;=Assumptions!$H$73),0,IF(AND($A263&gt;=Assumptions!$C$17,$A263&lt;=Assumptions!$C$18),MAX(BC263*(1+VLOOKUP($C263,WeatherCapacityAdjustment,3))-FO263,0),0))</f>
        <v>34920</v>
      </c>
      <c r="FX263" s="621">
        <f ca="1">IF(AND(Assumptions!$H$71="Yes",A263&gt;=Assumptions!$H$72,A263&lt;=Assumptions!$H$73),0,IF(ET263&gt;0,MAX(BH263*(1+VLOOKUP($C263,WeatherCapacityAdjustment,2))-FP263,0),0))</f>
        <v>186240</v>
      </c>
      <c r="FY263" s="530">
        <f ca="1">IF(AND(Assumptions!$H$71="Yes",A263&gt;=Assumptions!$H$72,A263&lt;=Assumptions!$H$73),0,IF(EU263&gt;0,MAX(BI263*(1+VLOOKUP($C263,WeatherCapacityAdjustment,3))-FQ263,0),0))</f>
        <v>37248</v>
      </c>
      <c r="FZ263" s="530">
        <f ca="1">IF(AND(Assumptions!$H$71="Yes",A263&gt;=Assumptions!$H$72,A263&lt;=Assumptions!$H$73),0,IF(EV263&gt;0,MAX(BJ263*(1+VLOOKUP($C263,WeatherCapacityAdjustment,2))-FR263,0),0))</f>
        <v>55872</v>
      </c>
      <c r="GA263" s="622">
        <f ca="1">IF(AND(Assumptions!$H$71="Yes",A263&gt;=Assumptions!$H$72,A263&lt;=Assumptions!$H$73),0,IF(EW263&gt;0,MAX(BK263*(1+VLOOKUP($C263,WeatherCapacityAdjustment,2))-FS263,0),0))</f>
        <v>139680</v>
      </c>
      <c r="GB263" s="530">
        <f t="shared" ca="1" si="632"/>
        <v>523800</v>
      </c>
      <c r="GC263" s="545">
        <f t="shared" ca="1" si="633"/>
        <v>50.27051169648756</v>
      </c>
      <c r="GD263" s="530">
        <f t="shared" ca="1" si="734"/>
        <v>26331694.026620179</v>
      </c>
      <c r="GE263" s="1485">
        <f t="shared" ca="1" si="735"/>
        <v>753647.63040000002</v>
      </c>
      <c r="GF263" s="1776">
        <f t="shared" ca="1" si="736"/>
        <v>3014590.5216000001</v>
      </c>
      <c r="GG263" s="545">
        <f t="shared" si="701"/>
        <v>4.3207067566040207</v>
      </c>
      <c r="GH263" s="622">
        <f t="shared" ca="1" si="702"/>
        <v>16281452.043839449</v>
      </c>
      <c r="GI263" s="621">
        <f t="shared" ca="1" si="678"/>
        <v>523800</v>
      </c>
      <c r="GJ263" s="638">
        <f t="shared" si="634"/>
        <v>2.5204345545463638</v>
      </c>
      <c r="GK263" s="625">
        <f t="shared" ca="1" si="684"/>
        <v>1320203.6196713853</v>
      </c>
      <c r="GL263" s="640">
        <f t="shared" ca="1" si="737"/>
        <v>0</v>
      </c>
      <c r="GM263" s="530">
        <f t="shared" ca="1" si="738"/>
        <v>0</v>
      </c>
      <c r="GN263" s="530">
        <f t="shared" ca="1" si="739"/>
        <v>0</v>
      </c>
      <c r="GO263" s="622">
        <f t="shared" ca="1" si="740"/>
        <v>0</v>
      </c>
      <c r="GP263" s="530">
        <f t="shared" ca="1" si="635"/>
        <v>0</v>
      </c>
      <c r="GQ263" s="545">
        <f t="shared" ca="1" si="636"/>
        <v>0</v>
      </c>
      <c r="GR263" s="625">
        <f t="shared" ca="1" si="741"/>
        <v>0</v>
      </c>
      <c r="GS263" s="640">
        <f>IF($A263&gt;=BegDate,Assumptions!$C$56*24*($A264-$A263)*(1-VLOOKUP($B263,MAIN!$AA$7:$AM$28,$C263+1))*(1-VLOOKUP($B263,MAIN!$AA$33:$AM$54,$C263+1)),0)*80/168</f>
        <v>249428.57142857142</v>
      </c>
      <c r="GT263" s="1715">
        <f t="shared" si="679"/>
        <v>62.361645935461176</v>
      </c>
      <c r="GU263" s="1715">
        <f>IF($A263&gt;=BegDate,VLOOKUP($A263,GasTable,13)+Assumptions!$C$58,0)</f>
        <v>4.3207067566040207</v>
      </c>
      <c r="GV263" s="1715">
        <f>GU263*Assumptions!$C$57/1000</f>
        <v>31.325123985379147</v>
      </c>
      <c r="GW263" s="625">
        <f>IF(Assumptions!$C$60="Hourly",MAX(0,GS263*(GT263-GV263)),GS263*(GT263-GV263))</f>
        <v>7741395.3321204605</v>
      </c>
      <c r="GX263" s="640">
        <f>IF($A263&gt;=BegDate,Assumptions!$C$56*24*($A264-$A263)*(1-VLOOKUP($B263,MAIN!$AA$7:$AM$28,$C263+1))*(1-VLOOKUP($B263,MAIN!$AA$33:$AM$54,$C263+1)),0)*16/168</f>
        <v>49885.714285714283</v>
      </c>
      <c r="GY263" s="1715">
        <f t="shared" si="680"/>
        <v>62.361645935461176</v>
      </c>
      <c r="GZ263" s="1715">
        <f>IF($A263&gt;=BegDate,VLOOKUP($A263,GasTable,13)+Assumptions!$C$58,0)</f>
        <v>4.3207067566040207</v>
      </c>
      <c r="HA263" s="1715">
        <f>GZ263*Assumptions!$C$57/1000</f>
        <v>31.325123985379147</v>
      </c>
      <c r="HB263" s="625">
        <f>IF(Assumptions!$C$60="Hourly",MAX(0,GX263*(GY263-HA263)),GX263*(GY263-HA263))</f>
        <v>1548279.066424092</v>
      </c>
      <c r="HC263" s="640">
        <f>IF($A263&gt;=BegDate,Assumptions!$C$56*24*($A264-$A263)*(1-VLOOKUP($B263,MAIN!$AA$7:$AM$28,$C263+1))*(1-VLOOKUP($B263,MAIN!$AA$33:$AM$54,$C263+1)),0)*16/168</f>
        <v>49885.714285714283</v>
      </c>
      <c r="HD263" s="1715">
        <f t="shared" si="681"/>
        <v>36.452072760224198</v>
      </c>
      <c r="HE263" s="1715">
        <f>IF($A263&gt;=BegDate,VLOOKUP($A263,GasTable,13)+Assumptions!$C$58,0)</f>
        <v>4.3207067566040207</v>
      </c>
      <c r="HF263" s="1715">
        <f>HE263*Assumptions!$C$57/1000</f>
        <v>31.325123985379147</v>
      </c>
      <c r="HG263" s="625">
        <f>IF(Assumptions!$C$60="Hourly",MAX(0,HC263*(HD263-HF263)),HC263*(HD263-HF263))</f>
        <v>255761.5017394131</v>
      </c>
      <c r="HH263" s="640">
        <f>IF($A263&gt;=BegDate,Assumptions!$C$56*24*($A264-$A263)*(1-VLOOKUP($B263,MAIN!$AA$7:$AM$28,$C263+1))*(1-VLOOKUP($B263,MAIN!$AA$33:$AM$54,$C263+1)),0)*56/168</f>
        <v>174600</v>
      </c>
      <c r="HI263" s="1715">
        <f t="shared" si="682"/>
        <v>36.452072760224198</v>
      </c>
      <c r="HJ263" s="1715">
        <f>IF($A263&gt;=BegDate,VLOOKUP($A263,GasTable,13)+Assumptions!$C$58,0)</f>
        <v>4.3207067566040207</v>
      </c>
      <c r="HK263" s="1715">
        <f>HJ263*Assumptions!$C$57/1000</f>
        <v>31.325123985379147</v>
      </c>
      <c r="HL263" s="625">
        <f>IF(Assumptions!$C$60="Hourly",MAX(0,HH263*(HI263-HK263)),HH263*(HI263-HK263))</f>
        <v>895165.25608794589</v>
      </c>
      <c r="HM263" s="640">
        <f>IF(AND(Assumptions!$H$71="Yes",A263&gt;=Assumptions!$H$72,A263&lt;=Assumptions!$H$73),Assumptions!$H$74*Assumptions!$C$9*1000,0)</f>
        <v>0</v>
      </c>
      <c r="HN263" s="530"/>
      <c r="HO263" s="545"/>
      <c r="HP263" s="545"/>
      <c r="HQ263" s="545"/>
      <c r="HR263" s="545"/>
      <c r="HS263" s="545"/>
      <c r="HT263" s="545"/>
      <c r="HU263" s="545"/>
      <c r="HV263" s="545"/>
      <c r="HW263" s="545"/>
      <c r="HX263" s="545"/>
      <c r="HY263" s="545"/>
      <c r="HZ263" s="545"/>
      <c r="IA263" s="545"/>
      <c r="IB263" s="545"/>
      <c r="IC263" s="545"/>
      <c r="ID263" s="545"/>
      <c r="IE263" s="545"/>
      <c r="IF263" s="545"/>
      <c r="IG263" s="545"/>
      <c r="IH263" s="545"/>
      <c r="II263" s="1464"/>
      <c r="IJ263" s="1463"/>
      <c r="IK263" s="1463"/>
    </row>
    <row r="264" spans="1:249">
      <c r="A264" s="177">
        <f t="shared" si="637"/>
        <v>44166</v>
      </c>
      <c r="B264" s="349">
        <f t="shared" si="638"/>
        <v>2020</v>
      </c>
      <c r="C264" s="15">
        <f t="shared" si="742"/>
        <v>12</v>
      </c>
      <c r="D264" s="612">
        <f t="shared" si="639"/>
        <v>44190</v>
      </c>
      <c r="E264" s="609">
        <f t="shared" si="743"/>
        <v>44166</v>
      </c>
      <c r="F264" s="614">
        <f t="shared" si="744"/>
        <v>44196</v>
      </c>
      <c r="G264" s="1349">
        <v>0</v>
      </c>
      <c r="H264" s="152">
        <f t="shared" si="683"/>
        <v>1</v>
      </c>
      <c r="I264" s="154">
        <f>IF(Assumptions!$L$25=4,VLOOKUP($A264,'Henwood Reference'!$E$9:$R$320,10),(VLOOKUP($A264,PriceTable,2,0)+IF(BasisNumber&lt;&gt;1,VLOOKUP($A264,BasisTable,2,0),0)+I$1)/(1-I$2))</f>
        <v>59.390642711942064</v>
      </c>
      <c r="J264" s="154">
        <f>IF(Assumptions!$L$25=4,VLOOKUP($A264,'Henwood Reference'!$E$9:$R$320,10),(VLOOKUP($A264,PriceTable,3,0)+IF(BasisNumber&lt;&gt;1,VLOOKUP($A264,BasisTable,2,0),0)+J$1)/(1-J$2))</f>
        <v>59.390642711942064</v>
      </c>
      <c r="K264" s="154">
        <f>IF(Assumptions!$L$25=4,VLOOKUP($A264,'Henwood Reference'!$E$9:$R$320,10),(VLOOKUP($A264,PriceTable,4,0)+IF(BasisNumber&lt;&gt;1,VLOOKUP($A264,BasisTable,2,0),0)+K$1)/(1-K$2))</f>
        <v>59.390642711942064</v>
      </c>
      <c r="L264" s="474">
        <f>IF(Assumptions!$L$25=4,VLOOKUP($A264,'Henwood Reference'!$E$9:$R$320,10),(VLOOKUP($A264,PriceTableWeekend,2,0)+IF(BasisNumber&lt;&gt;1,VLOOKUP($A264,BasisTable,2,0),0)+L$1)/(1-L$2))</f>
        <v>59.390642711942064</v>
      </c>
      <c r="M264" s="154">
        <f>IF(Assumptions!$L$25=4,VLOOKUP($A264,'Henwood Reference'!$E$9:$R$320,10),(VLOOKUP($A264,PriceTableWeekend,3,0)+IF(BasisNumber&lt;&gt;1,VLOOKUP($A264,BasisTable,2,0),0)+M$1)/(1-M$2))</f>
        <v>59.390642711942064</v>
      </c>
      <c r="N264" s="156">
        <f>IF(Assumptions!$L$25=4,VLOOKUP($A264,'Henwood Reference'!$E$9:$R$320,10),(VLOOKUP($A264,PriceTableWeekend,4,0)+IF(BasisNumber&lt;&gt;1,VLOOKUP($A264,BasisTable,2,0),0)+N$1)/(1-N$2))</f>
        <v>59.390642711942064</v>
      </c>
      <c r="O264" s="154">
        <f>IF(Assumptions!$L$25=4,VLOOKUP($A264,'Henwood Reference'!$E$9:$R$320,11),(VLOOKUP($A264,PriceTableWeekend,6,0)+IF(BasisNumber&lt;&gt;1,VLOOKUP($A264,BasisTable,3,0),0)+O$1)/(1-O$2))</f>
        <v>37.220604753424212</v>
      </c>
      <c r="P264" s="154">
        <f>IF(Assumptions!$L$25=4,VLOOKUP($A264,'Henwood Reference'!$E$9:$R$320,11),(VLOOKUP($A264,PriceTableWeekend,7,0)+IF(BasisNumber&lt;&gt;1,VLOOKUP($A264,BasisTable,3,0),0)+P$1)/(1-P$2))</f>
        <v>37.220604753424212</v>
      </c>
      <c r="Q264" s="156">
        <f>IF(Assumptions!$L$25=4,VLOOKUP($A264,'Henwood Reference'!$E$9:$R$320,11),(VLOOKUP($A264,PriceTableWeekend,8,0)+IF(BasisNumber&lt;&gt;1,VLOOKUP($A264,BasisTable,3,0),0)+Q$1)/(1-Q$2))</f>
        <v>37.220604753424212</v>
      </c>
      <c r="R264" s="154">
        <f>IF(Assumptions!$L$25=4,VLOOKUP($A264,'Henwood Reference'!$E$9:$R$320,11),(VLOOKUP($A264,PriceTable,6,0)+IF(BasisNumber&lt;&gt;1,VLOOKUP($A264,BasisTable,3,0),0)+R$1)/(1-R$2))</f>
        <v>37.220604753424212</v>
      </c>
      <c r="S264" s="154">
        <f>IF(Assumptions!$L$25=4,VLOOKUP($A264,'Henwood Reference'!$E$9:$R$320,11),(VLOOKUP($A264,PriceTable,7,0)+IF(BasisNumber&lt;&gt;1,VLOOKUP($A264,BasisTable,3,0),0)+S$1)/(1-S$2))</f>
        <v>37.220604753424212</v>
      </c>
      <c r="T264" s="155">
        <f>IF(Assumptions!$L$25=4,VLOOKUP($A264,'Henwood Reference'!$E$9:$R$320,11),(VLOOKUP($A264,PriceTable,8,0)+IF(BasisNumber&lt;&gt;1,VLOOKUP($A264,BasisTable,3,0),0)+T$1)/(1-T$2))</f>
        <v>37.220604753424212</v>
      </c>
      <c r="U264" s="173">
        <f t="shared" si="640"/>
        <v>0.09</v>
      </c>
      <c r="V264" s="173">
        <f t="shared" si="641"/>
        <v>0.1</v>
      </c>
      <c r="W264" s="174">
        <f t="shared" si="642"/>
        <v>0.11</v>
      </c>
      <c r="X264" s="173">
        <f t="shared" si="643"/>
        <v>0.09</v>
      </c>
      <c r="Y264" s="173">
        <f t="shared" si="644"/>
        <v>0.1</v>
      </c>
      <c r="Z264" s="174">
        <f t="shared" si="645"/>
        <v>0.11</v>
      </c>
      <c r="AA264" s="173">
        <f t="shared" si="646"/>
        <v>0.09</v>
      </c>
      <c r="AB264" s="173">
        <f t="shared" si="647"/>
        <v>0.11</v>
      </c>
      <c r="AC264" s="174">
        <f t="shared" si="648"/>
        <v>0.13</v>
      </c>
      <c r="AD264" s="173">
        <f t="shared" si="649"/>
        <v>0.09</v>
      </c>
      <c r="AE264" s="173">
        <f t="shared" si="650"/>
        <v>0.11</v>
      </c>
      <c r="AF264" s="174">
        <f t="shared" si="651"/>
        <v>0.13</v>
      </c>
      <c r="AG264" s="173">
        <f t="shared" si="652"/>
        <v>-0.25</v>
      </c>
      <c r="AH264" s="173">
        <f t="shared" si="653"/>
        <v>0.6</v>
      </c>
      <c r="AI264" s="174">
        <f t="shared" si="654"/>
        <v>0.25</v>
      </c>
      <c r="AJ264" s="173">
        <f t="shared" si="655"/>
        <v>-0.25</v>
      </c>
      <c r="AK264" s="173">
        <f t="shared" si="656"/>
        <v>0.6</v>
      </c>
      <c r="AL264" s="174">
        <f t="shared" si="657"/>
        <v>0.25</v>
      </c>
      <c r="AM264" s="173">
        <f t="shared" si="658"/>
        <v>-0.01</v>
      </c>
      <c r="AN264" s="173">
        <f t="shared" si="659"/>
        <v>0.16</v>
      </c>
      <c r="AO264" s="174">
        <f t="shared" si="660"/>
        <v>0.01</v>
      </c>
      <c r="AP264" s="173">
        <f t="shared" si="661"/>
        <v>-0.01</v>
      </c>
      <c r="AQ264" s="173">
        <f t="shared" si="662"/>
        <v>0.16</v>
      </c>
      <c r="AR264" s="175">
        <f t="shared" si="663"/>
        <v>0.01</v>
      </c>
      <c r="AS264" s="521">
        <f t="shared" si="747"/>
        <v>0.5</v>
      </c>
      <c r="AT264" s="349">
        <f t="shared" si="745"/>
        <v>22</v>
      </c>
      <c r="AU264" s="159">
        <f t="shared" si="582"/>
        <v>4</v>
      </c>
      <c r="AV264" s="159">
        <f t="shared" si="583"/>
        <v>4</v>
      </c>
      <c r="AW264" s="159">
        <f t="shared" si="748"/>
        <v>1</v>
      </c>
      <c r="AX264" s="15">
        <f t="shared" si="746"/>
        <v>31</v>
      </c>
      <c r="AY264" s="607">
        <f>IF(E264="",0,MIN((1-(1-VLOOKUP(B264,MAIN!$AA$7:$AM$28,C264+1))*(1-VLOOKUP(B264,MAIN!$AA$33:$AM$54,C264+1))),1))</f>
        <v>3.0000000000000027E-2</v>
      </c>
      <c r="AZ264" s="337">
        <v>51216</v>
      </c>
      <c r="BA264" s="509">
        <v>9312</v>
      </c>
      <c r="BB264" s="509">
        <v>11640</v>
      </c>
      <c r="BC264" s="511">
        <v>36084</v>
      </c>
      <c r="BD264" s="153">
        <v>0.97</v>
      </c>
      <c r="BE264" s="474">
        <v>0.97</v>
      </c>
      <c r="BF264" s="474">
        <v>0.97</v>
      </c>
      <c r="BG264" s="515">
        <v>0.97</v>
      </c>
      <c r="BH264" s="262">
        <v>204864</v>
      </c>
      <c r="BI264" s="509">
        <v>37248</v>
      </c>
      <c r="BJ264" s="509">
        <v>46560</v>
      </c>
      <c r="BK264" s="511">
        <v>144336</v>
      </c>
      <c r="BL264" s="153">
        <v>0.97</v>
      </c>
      <c r="BM264" s="474">
        <v>0.97</v>
      </c>
      <c r="BN264" s="474">
        <v>0.97</v>
      </c>
      <c r="BO264" s="474">
        <v>0.97</v>
      </c>
      <c r="BP264" s="261">
        <f t="shared" si="666"/>
        <v>72168</v>
      </c>
      <c r="BQ264" s="578">
        <f t="shared" si="667"/>
        <v>108252</v>
      </c>
      <c r="BR264" s="259">
        <f t="shared" si="668"/>
        <v>288672</v>
      </c>
      <c r="BS264" s="578">
        <f t="shared" si="669"/>
        <v>433008</v>
      </c>
      <c r="BT264" s="216">
        <f t="shared" si="670"/>
        <v>20.632443531827516</v>
      </c>
      <c r="BU264" s="218">
        <f t="shared" si="585"/>
        <v>59.390642711942064</v>
      </c>
      <c r="BV264" s="216">
        <f t="shared" si="586"/>
        <v>59.390642711942064</v>
      </c>
      <c r="BW264" s="216">
        <f t="shared" si="587"/>
        <v>37.220604753424212</v>
      </c>
      <c r="BX264" s="216">
        <f t="shared" si="671"/>
        <v>37.220604753424212</v>
      </c>
      <c r="BY264" s="216">
        <f t="shared" si="588"/>
        <v>55.814830137987578</v>
      </c>
      <c r="BZ264" s="216">
        <f t="shared" si="589"/>
        <v>49.616755009799789</v>
      </c>
      <c r="CA264" s="264">
        <f t="shared" si="590"/>
        <v>59.390642711942064</v>
      </c>
      <c r="CB264" s="216">
        <f t="shared" si="591"/>
        <v>59.390642711942064</v>
      </c>
      <c r="CC264" s="216">
        <f t="shared" si="592"/>
        <v>37.220604753424212</v>
      </c>
      <c r="CD264" s="216">
        <f t="shared" si="672"/>
        <v>37.220604753424212</v>
      </c>
      <c r="CE264" s="216">
        <f t="shared" si="593"/>
        <v>55.814830137987578</v>
      </c>
      <c r="CF264" s="571">
        <f t="shared" si="594"/>
        <v>49.616755009799789</v>
      </c>
      <c r="CG264" s="573">
        <f t="shared" si="595"/>
        <v>0.1</v>
      </c>
      <c r="CH264" s="219">
        <f t="shared" si="596"/>
        <v>0.1</v>
      </c>
      <c r="CI264" s="219">
        <f t="shared" si="597"/>
        <v>0.11</v>
      </c>
      <c r="CJ264" s="219">
        <f t="shared" si="598"/>
        <v>0.10108564864019853</v>
      </c>
      <c r="CK264" s="219">
        <f t="shared" si="599"/>
        <v>0.10108564864019853</v>
      </c>
      <c r="CL264" s="219">
        <f t="shared" si="600"/>
        <v>0.11</v>
      </c>
      <c r="CM264" s="219">
        <f t="shared" si="601"/>
        <v>9.2990348622130334E-2</v>
      </c>
      <c r="CN264" s="569">
        <f t="shared" si="602"/>
        <v>9.2990348622130334E-2</v>
      </c>
      <c r="CO264" s="264">
        <f t="shared" si="685"/>
        <v>32.36602717749652</v>
      </c>
      <c r="CP264" s="216">
        <f t="shared" si="673"/>
        <v>32.36602717749652</v>
      </c>
      <c r="CQ264" s="216">
        <f t="shared" ca="1" si="703"/>
        <v>32.36602717749652</v>
      </c>
      <c r="CR264" s="216">
        <f t="shared" ca="1" si="704"/>
        <v>32.36602717749652</v>
      </c>
      <c r="CS264" s="1626">
        <f t="shared" ca="1" si="705"/>
        <v>32.36602717749652</v>
      </c>
      <c r="CT264" s="216">
        <f t="shared" si="674"/>
        <v>32.36602717749652</v>
      </c>
      <c r="CU264" s="575">
        <f t="shared" si="603"/>
        <v>0.15</v>
      </c>
      <c r="CV264" s="154">
        <f t="shared" si="604"/>
        <v>0.5</v>
      </c>
      <c r="CW264" s="216">
        <f>IF(OR($BQ264,$BS264),SpreadOptPowerMargin,0)*((1+Assumptions!$C$26)^($B264-YEAR(Assumptions!$C$17)))</f>
        <v>2.5204345545463638</v>
      </c>
      <c r="CX264" s="216">
        <f>IF(OR($BQ264,$BS264),SpreadOptPowerMargin,0)*((1+Assumptions!$C$26)^($B264-YEAR(Assumptions!$C$17)))</f>
        <v>2.5204345545463638</v>
      </c>
      <c r="CY264" s="216">
        <f>IF(OR($BQ264,$BS264),SpreadOptPowerMargin,0)*((1+Assumptions!$C$26)^($B264-YEAR(Assumptions!$C$17)))</f>
        <v>2.5204345545463638</v>
      </c>
      <c r="CZ264" s="216">
        <f>IF(OR($BQ264,$BS264),SpreadOptPowerMargin,0)*((1+Assumptions!$C$26)^($B264-YEAR(Assumptions!$C$17)))</f>
        <v>2.5204345545463638</v>
      </c>
      <c r="DA264" s="440">
        <f t="shared" si="605"/>
        <v>2.5204345545463638</v>
      </c>
      <c r="DB264" s="479">
        <f t="shared" si="606"/>
        <v>0.1</v>
      </c>
      <c r="DC264" s="479">
        <f t="shared" si="607"/>
        <v>0.1</v>
      </c>
      <c r="DD264" s="479">
        <f t="shared" si="608"/>
        <v>0.11</v>
      </c>
      <c r="DE264" s="479">
        <f t="shared" si="609"/>
        <v>0.11</v>
      </c>
      <c r="DF264" s="479">
        <f t="shared" si="610"/>
        <v>9.2990348622130334E-2</v>
      </c>
      <c r="DG264" s="574">
        <f t="shared" si="611"/>
        <v>9.2990348622130334E-2</v>
      </c>
      <c r="DH264" s="216">
        <f t="shared" si="612"/>
        <v>26.89830530853305</v>
      </c>
      <c r="DI264" s="216">
        <f t="shared" si="613"/>
        <v>26.89830530853305</v>
      </c>
      <c r="DJ264" s="216">
        <f t="shared" ca="1" si="706"/>
        <v>9.4060425162601824</v>
      </c>
      <c r="DK264" s="216">
        <f t="shared" ca="1" si="707"/>
        <v>9.4060425162601824</v>
      </c>
      <c r="DL264" s="216">
        <f t="shared" ca="1" si="708"/>
        <v>18.423493869147958</v>
      </c>
      <c r="DM264" s="216"/>
      <c r="DN264" s="216"/>
      <c r="DO264" s="216"/>
      <c r="DP264" s="216"/>
      <c r="DQ264" s="216"/>
      <c r="DR264" s="216"/>
      <c r="DS264" s="216"/>
      <c r="DT264" s="216"/>
      <c r="DU264" s="216"/>
      <c r="DV264" s="216"/>
      <c r="DW264" s="1371">
        <f t="shared" si="614"/>
        <v>9.4060425162601824</v>
      </c>
      <c r="DX264" s="216">
        <f t="shared" si="615"/>
        <v>9.4060425162601824</v>
      </c>
      <c r="DY264" s="440">
        <f t="shared" si="616"/>
        <v>19.186662572154692</v>
      </c>
      <c r="DZ264" s="180">
        <f t="shared" si="617"/>
        <v>1377623.6046818288</v>
      </c>
      <c r="EA264" s="180">
        <f t="shared" si="618"/>
        <v>250477.01903305977</v>
      </c>
      <c r="EB264" s="180">
        <f t="shared" ca="1" si="709"/>
        <v>109486.33488926852</v>
      </c>
      <c r="EC264" s="180">
        <f t="shared" ca="1" si="710"/>
        <v>339407.63815673243</v>
      </c>
      <c r="ED264" s="180">
        <f t="shared" ca="1" si="711"/>
        <v>1994380.0583230047</v>
      </c>
      <c r="EE264" s="581">
        <f t="shared" si="619"/>
        <v>1255006.1330665166</v>
      </c>
      <c r="EF264" s="554">
        <f t="shared" si="620"/>
        <v>228182.93328482119</v>
      </c>
      <c r="EG264" s="554">
        <f t="shared" ca="1" si="712"/>
        <v>27169.424768878678</v>
      </c>
      <c r="EH264" s="554">
        <f t="shared" ca="1" si="713"/>
        <v>84225.216783523894</v>
      </c>
      <c r="EI264" s="561">
        <f t="shared" ca="1" si="621"/>
        <v>1594583.7079037407</v>
      </c>
      <c r="EJ264" s="581">
        <f t="shared" si="675"/>
        <v>122617.47161531216</v>
      </c>
      <c r="EK264" s="554">
        <f t="shared" si="676"/>
        <v>22294.085748238576</v>
      </c>
      <c r="EL264" s="554">
        <f t="shared" ca="1" si="714"/>
        <v>82316.910120389832</v>
      </c>
      <c r="EM264" s="554">
        <f t="shared" ca="1" si="715"/>
        <v>255182.42137320852</v>
      </c>
      <c r="EN264" s="561">
        <f t="shared" ca="1" si="716"/>
        <v>399796.35041926405</v>
      </c>
      <c r="EO264" s="180">
        <f t="shared" si="622"/>
        <v>5510494.418727315</v>
      </c>
      <c r="EP264" s="180">
        <f t="shared" si="623"/>
        <v>1001908.0761322391</v>
      </c>
      <c r="EQ264" s="180">
        <f t="shared" si="624"/>
        <v>437945.33955707407</v>
      </c>
      <c r="ER264" s="180">
        <f t="shared" si="625"/>
        <v>1357630.5526269297</v>
      </c>
      <c r="ES264" s="180">
        <f t="shared" si="626"/>
        <v>8307978.387043559</v>
      </c>
      <c r="ET264" s="1482">
        <f t="shared" ca="1" si="717"/>
        <v>5020024.5322660664</v>
      </c>
      <c r="EU264" s="180">
        <f t="shared" ca="1" si="718"/>
        <v>912731.73313928477</v>
      </c>
      <c r="EV264" s="180">
        <f t="shared" ca="1" si="719"/>
        <v>108677.69907551471</v>
      </c>
      <c r="EW264" s="180">
        <f t="shared" ca="1" si="720"/>
        <v>336900.86713409558</v>
      </c>
      <c r="EX264" s="555">
        <f t="shared" ca="1" si="693"/>
        <v>6378334.8316149609</v>
      </c>
      <c r="EY264" s="180">
        <f t="shared" ca="1" si="721"/>
        <v>490469.88646124862</v>
      </c>
      <c r="EZ264" s="180">
        <f t="shared" ca="1" si="722"/>
        <v>89176.342992954305</v>
      </c>
      <c r="FA264" s="180">
        <f t="shared" ca="1" si="723"/>
        <v>329267.64048155933</v>
      </c>
      <c r="FB264" s="180">
        <f t="shared" ca="1" si="724"/>
        <v>1020729.6854928341</v>
      </c>
      <c r="FC264" s="180">
        <f t="shared" ca="1" si="725"/>
        <v>1929643.5554285981</v>
      </c>
      <c r="FD264" s="262">
        <f>IF(AX264,IF(VLOOKUP(C264,MAIN!$L$17:$M$28,2)="Yes",VLOOKUP(CALC!B264,MAIN!$H$17:$I$20,2),0),0)</f>
        <v>0</v>
      </c>
      <c r="FE264" s="623">
        <f t="shared" si="627"/>
        <v>0</v>
      </c>
      <c r="FF264" s="535">
        <f t="shared" si="628"/>
        <v>0</v>
      </c>
      <c r="FG264" s="535">
        <f t="shared" si="629"/>
        <v>0</v>
      </c>
      <c r="FH264" s="624">
        <f t="shared" si="630"/>
        <v>0</v>
      </c>
      <c r="FI264" s="632">
        <f>IF(AX264,VLOOKUP(CALC!B264,MAIN!$H$17:$K$20,4),0)</f>
        <v>0</v>
      </c>
      <c r="FJ264" s="535">
        <f t="shared" si="631"/>
        <v>0</v>
      </c>
      <c r="FK264" s="648">
        <f t="shared" si="677"/>
        <v>0</v>
      </c>
      <c r="FL264" s="530">
        <f t="shared" ca="1" si="726"/>
        <v>0</v>
      </c>
      <c r="FM264" s="530">
        <f t="shared" ca="1" si="727"/>
        <v>0</v>
      </c>
      <c r="FN264" s="530">
        <f t="shared" ca="1" si="728"/>
        <v>0</v>
      </c>
      <c r="FO264" s="622">
        <f t="shared" ca="1" si="729"/>
        <v>0</v>
      </c>
      <c r="FP264" s="530">
        <f t="shared" ca="1" si="730"/>
        <v>0</v>
      </c>
      <c r="FQ264" s="530">
        <f t="shared" ca="1" si="731"/>
        <v>0</v>
      </c>
      <c r="FR264" s="530">
        <f t="shared" ca="1" si="732"/>
        <v>0</v>
      </c>
      <c r="FS264" s="625">
        <f t="shared" ca="1" si="733"/>
        <v>0</v>
      </c>
      <c r="FT264" s="640">
        <f ca="1">IF(AND(Assumptions!$H$71="Yes",A264&gt;=Assumptions!$H$72,A264&lt;=Assumptions!$H$73),0,IF(AND($A264&gt;=Assumptions!$C$17,$A264&lt;=Assumptions!$C$18),MAX(AZ264*(1+VLOOKUP($C264,WeatherCapacityAdjustment,2))-FL264,0),0))</f>
        <v>51216</v>
      </c>
      <c r="FU264" s="530">
        <f ca="1">IF(AND(Assumptions!$H$71="Yes",A264&gt;=Assumptions!$H$72,A264&lt;=Assumptions!$H$73),0,IF(AND($A264&gt;=Assumptions!$C$17,$A264&lt;=Assumptions!$C$18),MAX(BA264*(1+VLOOKUP($C264,WeatherCapacityAdjustment,2))-FM264,0),0))</f>
        <v>9312</v>
      </c>
      <c r="FV264" s="530">
        <f ca="1">IF(AND(Assumptions!$H$71="Yes",A264&gt;=Assumptions!$H$72,A264&lt;=Assumptions!$H$73),0,IF(AND($A264&gt;=Assumptions!$C$17,$A264&lt;=Assumptions!$C$18),MAX(BB264*(1+VLOOKUP($C264,WeatherCapacityAdjustment,2))-FN264,0),0))</f>
        <v>11640</v>
      </c>
      <c r="FW264" s="622">
        <f ca="1">IF(AND(Assumptions!$H$71="Yes",A264&gt;=Assumptions!$H$72,A264&lt;=Assumptions!$H$73),0,IF(AND($A264&gt;=Assumptions!$C$17,$A264&lt;=Assumptions!$C$18),MAX(BC264*(1+VLOOKUP($C264,WeatherCapacityAdjustment,3))-FO264,0),0))</f>
        <v>36084</v>
      </c>
      <c r="FX264" s="621">
        <f ca="1">IF(AND(Assumptions!$H$71="Yes",A264&gt;=Assumptions!$H$72,A264&lt;=Assumptions!$H$73),0,IF(ET264&gt;0,MAX(BH264*(1+VLOOKUP($C264,WeatherCapacityAdjustment,2))-FP264,0),0))</f>
        <v>204864</v>
      </c>
      <c r="FY264" s="530">
        <f ca="1">IF(AND(Assumptions!$H$71="Yes",A264&gt;=Assumptions!$H$72,A264&lt;=Assumptions!$H$73),0,IF(EU264&gt;0,MAX(BI264*(1+VLOOKUP($C264,WeatherCapacityAdjustment,3))-FQ264,0),0))</f>
        <v>37248</v>
      </c>
      <c r="FZ264" s="530">
        <f ca="1">IF(AND(Assumptions!$H$71="Yes",A264&gt;=Assumptions!$H$72,A264&lt;=Assumptions!$H$73),0,IF(EV264&gt;0,MAX(BJ264*(1+VLOOKUP($C264,WeatherCapacityAdjustment,2))-FR264,0),0))</f>
        <v>46560</v>
      </c>
      <c r="GA264" s="622">
        <f ca="1">IF(AND(Assumptions!$H$71="Yes",A264&gt;=Assumptions!$H$72,A264&lt;=Assumptions!$H$73),0,IF(EW264&gt;0,MAX(BK264*(1+VLOOKUP($C264,WeatherCapacityAdjustment,2))-FS264,0),0))</f>
        <v>144336</v>
      </c>
      <c r="GB264" s="530">
        <f t="shared" ca="1" si="632"/>
        <v>541260</v>
      </c>
      <c r="GC264" s="545">
        <f t="shared" ca="1" si="633"/>
        <v>49.616755009799789</v>
      </c>
      <c r="GD264" s="530">
        <f t="shared" ca="1" si="734"/>
        <v>26855564.816604234</v>
      </c>
      <c r="GE264" s="1485">
        <f t="shared" ca="1" si="735"/>
        <v>779087.47896000009</v>
      </c>
      <c r="GF264" s="1776">
        <f t="shared" ca="1" si="736"/>
        <v>3116349.9158400004</v>
      </c>
      <c r="GG264" s="545">
        <f t="shared" si="701"/>
        <v>4.4971678645065731</v>
      </c>
      <c r="GH264" s="622">
        <f t="shared" ca="1" si="702"/>
        <v>17518435.870091766</v>
      </c>
      <c r="GI264" s="621">
        <f t="shared" ca="1" si="678"/>
        <v>541260</v>
      </c>
      <c r="GJ264" s="638">
        <f t="shared" si="634"/>
        <v>2.5204345545463638</v>
      </c>
      <c r="GK264" s="625">
        <f t="shared" ca="1" si="684"/>
        <v>1364210.4069937649</v>
      </c>
      <c r="GL264" s="640">
        <f t="shared" ca="1" si="737"/>
        <v>0</v>
      </c>
      <c r="GM264" s="530">
        <f t="shared" ca="1" si="738"/>
        <v>0</v>
      </c>
      <c r="GN264" s="530">
        <f t="shared" ca="1" si="739"/>
        <v>0</v>
      </c>
      <c r="GO264" s="622">
        <f t="shared" ca="1" si="740"/>
        <v>0</v>
      </c>
      <c r="GP264" s="530">
        <f t="shared" ca="1" si="635"/>
        <v>0</v>
      </c>
      <c r="GQ264" s="545">
        <f t="shared" ca="1" si="636"/>
        <v>0</v>
      </c>
      <c r="GR264" s="625">
        <f t="shared" ca="1" si="741"/>
        <v>0</v>
      </c>
      <c r="GS264" s="640">
        <f>IF($A264&gt;=BegDate,Assumptions!$C$56*24*($A265-$A264)*(1-VLOOKUP($B264,MAIN!$AA$7:$AM$28,$C264+1))*(1-VLOOKUP($B264,MAIN!$AA$33:$AM$54,$C264+1)),0)*80/168</f>
        <v>257742.85714285713</v>
      </c>
      <c r="GT264" s="1715">
        <f t="shared" si="679"/>
        <v>59.390642711942064</v>
      </c>
      <c r="GU264" s="1715">
        <f>IF($A264&gt;=BegDate,VLOOKUP($A264,GasTable,13)+Assumptions!$C$58,0)</f>
        <v>4.4971678645065731</v>
      </c>
      <c r="GV264" s="1715">
        <f>GU264*Assumptions!$C$57/1000</f>
        <v>32.604467017672654</v>
      </c>
      <c r="GW264" s="625">
        <f>IF(Assumptions!$C$60="Hourly",MAX(0,GS264*(GT264-GV264)),GS264*(GT264-GV264))</f>
        <v>6903945.4553715521</v>
      </c>
      <c r="GX264" s="640">
        <f>IF($A264&gt;=BegDate,Assumptions!$C$56*24*($A265-$A264)*(1-VLOOKUP($B264,MAIN!$AA$7:$AM$28,$C264+1))*(1-VLOOKUP($B264,MAIN!$AA$33:$AM$54,$C264+1)),0)*16/168</f>
        <v>51548.571428571428</v>
      </c>
      <c r="GY264" s="1715">
        <f t="shared" si="680"/>
        <v>59.390642711942064</v>
      </c>
      <c r="GZ264" s="1715">
        <f>IF($A264&gt;=BegDate,VLOOKUP($A264,GasTable,13)+Assumptions!$C$58,0)</f>
        <v>4.4971678645065731</v>
      </c>
      <c r="HA264" s="1715">
        <f>GZ264*Assumptions!$C$57/1000</f>
        <v>32.604467017672654</v>
      </c>
      <c r="HB264" s="625">
        <f>IF(Assumptions!$C$60="Hourly",MAX(0,GX264*(GY264-HA264)),GX264*(GY264-HA264))</f>
        <v>1380789.0910743105</v>
      </c>
      <c r="HC264" s="640">
        <f>IF($A264&gt;=BegDate,Assumptions!$C$56*24*($A265-$A264)*(1-VLOOKUP($B264,MAIN!$AA$7:$AM$28,$C264+1))*(1-VLOOKUP($B264,MAIN!$AA$33:$AM$54,$C264+1)),0)*16/168</f>
        <v>51548.571428571428</v>
      </c>
      <c r="HD264" s="1715">
        <f t="shared" si="681"/>
        <v>37.220604753424212</v>
      </c>
      <c r="HE264" s="1715">
        <f>IF($A264&gt;=BegDate,VLOOKUP($A264,GasTable,13)+Assumptions!$C$58,0)</f>
        <v>4.4971678645065731</v>
      </c>
      <c r="HF264" s="1715">
        <f>HE264*Assumptions!$C$57/1000</f>
        <v>32.604467017672654</v>
      </c>
      <c r="HG264" s="625">
        <f>IF(Assumptions!$C$60="Hourly",MAX(0,HC264*(HD264-HF264)),HC264*(HD264-HF264))</f>
        <v>237955.30579551315</v>
      </c>
      <c r="HH264" s="640">
        <f>IF($A264&gt;=BegDate,Assumptions!$C$56*24*($A265-$A264)*(1-VLOOKUP($B264,MAIN!$AA$7:$AM$28,$C264+1))*(1-VLOOKUP($B264,MAIN!$AA$33:$AM$54,$C264+1)),0)*56/168</f>
        <v>180420</v>
      </c>
      <c r="HI264" s="1715">
        <f t="shared" si="682"/>
        <v>37.220604753424212</v>
      </c>
      <c r="HJ264" s="1715">
        <f>IF($A264&gt;=BegDate,VLOOKUP($A264,GasTable,13)+Assumptions!$C$58,0)</f>
        <v>4.4971678645065731</v>
      </c>
      <c r="HK264" s="1715">
        <f>HJ264*Assumptions!$C$57/1000</f>
        <v>32.604467017672654</v>
      </c>
      <c r="HL264" s="625">
        <f>IF(Assumptions!$C$60="Hourly",MAX(0,HH264*(HI264-HK264)),HH264*(HI264-HK264))</f>
        <v>832843.57028429606</v>
      </c>
      <c r="HM264" s="640">
        <f>IF(AND(Assumptions!$H$71="Yes",A264&gt;=Assumptions!$H$72,A264&lt;=Assumptions!$H$73),Assumptions!$H$74*Assumptions!$C$9*1000,0)</f>
        <v>0</v>
      </c>
      <c r="HN264" s="530"/>
      <c r="HO264" s="545"/>
      <c r="HP264" s="545"/>
      <c r="HQ264" s="545"/>
      <c r="HR264" s="545"/>
      <c r="HS264" s="545"/>
      <c r="HT264" s="545"/>
      <c r="HU264" s="545"/>
      <c r="HV264" s="545"/>
      <c r="HW264" s="545"/>
      <c r="HX264" s="545"/>
      <c r="HY264" s="545"/>
      <c r="HZ264" s="545"/>
      <c r="IA264" s="545"/>
      <c r="IB264" s="545"/>
      <c r="IC264" s="545"/>
      <c r="ID264" s="545"/>
      <c r="IE264" s="545"/>
      <c r="IF264" s="545"/>
      <c r="IG264" s="545"/>
      <c r="IH264" s="545"/>
      <c r="II264" s="1464"/>
      <c r="IJ264" s="1463"/>
      <c r="IK264" s="1463"/>
    </row>
    <row r="265" spans="1:249">
      <c r="A265" s="177">
        <f t="shared" si="637"/>
        <v>44197</v>
      </c>
      <c r="B265" s="349">
        <f t="shared" si="638"/>
        <v>2021</v>
      </c>
      <c r="C265" s="15">
        <f t="shared" si="742"/>
        <v>1</v>
      </c>
      <c r="D265" s="612">
        <f t="shared" si="639"/>
        <v>44197</v>
      </c>
      <c r="E265" s="609">
        <f t="shared" si="743"/>
        <v>44197</v>
      </c>
      <c r="F265" s="614">
        <f t="shared" si="744"/>
        <v>44227</v>
      </c>
      <c r="G265" s="1349">
        <v>0</v>
      </c>
      <c r="H265" s="152">
        <f t="shared" si="683"/>
        <v>1</v>
      </c>
      <c r="I265" s="154">
        <f>IF(Assumptions!$L$25=4,VLOOKUP($A265,'Henwood Reference'!$E$9:$R$320,10),(VLOOKUP($A265,PriceTable,2,0)+IF(BasisNumber&lt;&gt;1,VLOOKUP($A265,BasisTable,2,0),0)+I$1)/(1-I$2))</f>
        <v>62.657495090105677</v>
      </c>
      <c r="J265" s="154">
        <f>IF(Assumptions!$L$25=4,VLOOKUP($A265,'Henwood Reference'!$E$9:$R$320,10),(VLOOKUP($A265,PriceTable,3,0)+IF(BasisNumber&lt;&gt;1,VLOOKUP($A265,BasisTable,2,0),0)+J$1)/(1-J$2))</f>
        <v>62.657495090105677</v>
      </c>
      <c r="K265" s="154">
        <f>IF(Assumptions!$L$25=4,VLOOKUP($A265,'Henwood Reference'!$E$9:$R$320,10),(VLOOKUP($A265,PriceTable,4,0)+IF(BasisNumber&lt;&gt;1,VLOOKUP($A265,BasisTable,2,0),0)+K$1)/(1-K$2))</f>
        <v>62.657495090105677</v>
      </c>
      <c r="L265" s="474">
        <f>IF(Assumptions!$L$25=4,VLOOKUP($A265,'Henwood Reference'!$E$9:$R$320,10),(VLOOKUP($A265,PriceTableWeekend,2,0)+IF(BasisNumber&lt;&gt;1,VLOOKUP($A265,BasisTable,2,0),0)+L$1)/(1-L$2))</f>
        <v>62.657495090105677</v>
      </c>
      <c r="M265" s="154">
        <f>IF(Assumptions!$L$25=4,VLOOKUP($A265,'Henwood Reference'!$E$9:$R$320,10),(VLOOKUP($A265,PriceTableWeekend,3,0)+IF(BasisNumber&lt;&gt;1,VLOOKUP($A265,BasisTable,2,0),0)+M$1)/(1-M$2))</f>
        <v>62.657495090105677</v>
      </c>
      <c r="N265" s="156">
        <f>IF(Assumptions!$L$25=4,VLOOKUP($A265,'Henwood Reference'!$E$9:$R$320,10),(VLOOKUP($A265,PriceTableWeekend,4,0)+IF(BasisNumber&lt;&gt;1,VLOOKUP($A265,BasisTable,2,0),0)+N$1)/(1-N$2))</f>
        <v>62.657495090105677</v>
      </c>
      <c r="O265" s="154">
        <f>IF(Assumptions!$L$25=4,VLOOKUP($A265,'Henwood Reference'!$E$9:$R$320,11),(VLOOKUP($A265,PriceTableWeekend,6,0)+IF(BasisNumber&lt;&gt;1,VLOOKUP($A265,BasisTable,3,0),0)+O$1)/(1-O$2))</f>
        <v>35.314571112918401</v>
      </c>
      <c r="P265" s="154">
        <f>IF(Assumptions!$L$25=4,VLOOKUP($A265,'Henwood Reference'!$E$9:$R$320,11),(VLOOKUP($A265,PriceTableWeekend,7,0)+IF(BasisNumber&lt;&gt;1,VLOOKUP($A265,BasisTable,3,0),0)+P$1)/(1-P$2))</f>
        <v>35.314571112918401</v>
      </c>
      <c r="Q265" s="156">
        <f>IF(Assumptions!$L$25=4,VLOOKUP($A265,'Henwood Reference'!$E$9:$R$320,11),(VLOOKUP($A265,PriceTableWeekend,8,0)+IF(BasisNumber&lt;&gt;1,VLOOKUP($A265,BasisTable,3,0),0)+Q$1)/(1-Q$2))</f>
        <v>35.314571112918401</v>
      </c>
      <c r="R265" s="154">
        <f>IF(Assumptions!$L$25=4,VLOOKUP($A265,'Henwood Reference'!$E$9:$R$320,11),(VLOOKUP($A265,PriceTable,6,0)+IF(BasisNumber&lt;&gt;1,VLOOKUP($A265,BasisTable,3,0),0)+R$1)/(1-R$2))</f>
        <v>35.314571112918401</v>
      </c>
      <c r="S265" s="154">
        <f>IF(Assumptions!$L$25=4,VLOOKUP($A265,'Henwood Reference'!$E$9:$R$320,11),(VLOOKUP($A265,PriceTable,7,0)+IF(BasisNumber&lt;&gt;1,VLOOKUP($A265,BasisTable,3,0),0)+S$1)/(1-S$2))</f>
        <v>35.314571112918401</v>
      </c>
      <c r="T265" s="155">
        <f>IF(Assumptions!$L$25=4,VLOOKUP($A265,'Henwood Reference'!$E$9:$R$320,11),(VLOOKUP($A265,PriceTable,8,0)+IF(BasisNumber&lt;&gt;1,VLOOKUP($A265,BasisTable,3,0),0)+T$1)/(1-T$2))</f>
        <v>35.314571112918401</v>
      </c>
      <c r="U265" s="173">
        <f t="shared" si="640"/>
        <v>0.09</v>
      </c>
      <c r="V265" s="173">
        <f t="shared" si="641"/>
        <v>0.1</v>
      </c>
      <c r="W265" s="174">
        <f t="shared" si="642"/>
        <v>0.11</v>
      </c>
      <c r="X265" s="173">
        <f t="shared" si="643"/>
        <v>0.09</v>
      </c>
      <c r="Y265" s="173">
        <f t="shared" si="644"/>
        <v>0.1</v>
      </c>
      <c r="Z265" s="174">
        <f t="shared" si="645"/>
        <v>0.11</v>
      </c>
      <c r="AA265" s="173">
        <f t="shared" si="646"/>
        <v>0.09</v>
      </c>
      <c r="AB265" s="173">
        <f t="shared" si="647"/>
        <v>0.11</v>
      </c>
      <c r="AC265" s="174">
        <f t="shared" si="648"/>
        <v>0.13</v>
      </c>
      <c r="AD265" s="173">
        <f t="shared" si="649"/>
        <v>0.09</v>
      </c>
      <c r="AE265" s="173">
        <f t="shared" si="650"/>
        <v>0.11</v>
      </c>
      <c r="AF265" s="174">
        <f t="shared" si="651"/>
        <v>0.13</v>
      </c>
      <c r="AG265" s="173">
        <f t="shared" si="652"/>
        <v>-0.25</v>
      </c>
      <c r="AH265" s="173">
        <f t="shared" si="653"/>
        <v>0.6</v>
      </c>
      <c r="AI265" s="174">
        <f t="shared" si="654"/>
        <v>0.25</v>
      </c>
      <c r="AJ265" s="173">
        <f t="shared" si="655"/>
        <v>-0.25</v>
      </c>
      <c r="AK265" s="173">
        <f t="shared" si="656"/>
        <v>0.6</v>
      </c>
      <c r="AL265" s="174">
        <f t="shared" si="657"/>
        <v>0.25</v>
      </c>
      <c r="AM265" s="173">
        <f t="shared" si="658"/>
        <v>-0.01</v>
      </c>
      <c r="AN265" s="173">
        <f t="shared" si="659"/>
        <v>0.16</v>
      </c>
      <c r="AO265" s="174">
        <f t="shared" si="660"/>
        <v>0.01</v>
      </c>
      <c r="AP265" s="173">
        <f t="shared" si="661"/>
        <v>-0.01</v>
      </c>
      <c r="AQ265" s="173">
        <f t="shared" si="662"/>
        <v>0.16</v>
      </c>
      <c r="AR265" s="175">
        <f t="shared" si="663"/>
        <v>0.01</v>
      </c>
      <c r="AS265" s="521">
        <f t="shared" si="747"/>
        <v>0.5</v>
      </c>
      <c r="AT265" s="349">
        <f t="shared" si="745"/>
        <v>20</v>
      </c>
      <c r="AU265" s="159">
        <f t="shared" si="582"/>
        <v>5</v>
      </c>
      <c r="AV265" s="159">
        <f t="shared" si="583"/>
        <v>5</v>
      </c>
      <c r="AW265" s="159">
        <f t="shared" si="748"/>
        <v>1</v>
      </c>
      <c r="AX265" s="15">
        <f t="shared" si="746"/>
        <v>31</v>
      </c>
      <c r="AY265" s="607">
        <f>IF(E265="",0,MIN((1-(1-VLOOKUP(B265,MAIN!$AA$7:$AM$28,C265+1))*(1-VLOOKUP(B265,MAIN!$AA$33:$AM$54,C265+1))),1))</f>
        <v>3.0000000000000027E-2</v>
      </c>
      <c r="AZ265" s="337">
        <v>46560</v>
      </c>
      <c r="BA265" s="509">
        <v>11640</v>
      </c>
      <c r="BB265" s="509">
        <v>13968</v>
      </c>
      <c r="BC265" s="511">
        <v>36084</v>
      </c>
      <c r="BD265" s="153">
        <v>0.96999999638646839</v>
      </c>
      <c r="BE265" s="474">
        <v>0.96999999638646839</v>
      </c>
      <c r="BF265" s="474">
        <v>0.96999999638646839</v>
      </c>
      <c r="BG265" s="515">
        <v>0.9699999927729368</v>
      </c>
      <c r="BH265" s="262">
        <v>186240</v>
      </c>
      <c r="BI265" s="509">
        <v>46560</v>
      </c>
      <c r="BJ265" s="509">
        <v>55872</v>
      </c>
      <c r="BK265" s="511">
        <v>144336</v>
      </c>
      <c r="BL265" s="153">
        <v>0.96999999638646839</v>
      </c>
      <c r="BM265" s="474">
        <v>0.96999999638646839</v>
      </c>
      <c r="BN265" s="474">
        <v>0.96999999638646839</v>
      </c>
      <c r="BO265" s="474">
        <v>0.9699999927729368</v>
      </c>
      <c r="BP265" s="261">
        <f t="shared" si="666"/>
        <v>72168</v>
      </c>
      <c r="BQ265" s="578">
        <f t="shared" si="667"/>
        <v>108252</v>
      </c>
      <c r="BR265" s="259">
        <f t="shared" si="668"/>
        <v>288672</v>
      </c>
      <c r="BS265" s="578">
        <f t="shared" si="669"/>
        <v>433008</v>
      </c>
      <c r="BT265" s="216">
        <f t="shared" si="670"/>
        <v>20.717316906228611</v>
      </c>
      <c r="BU265" s="218">
        <f t="shared" si="585"/>
        <v>62.657494856688309</v>
      </c>
      <c r="BV265" s="216">
        <f t="shared" si="586"/>
        <v>62.657494856688309</v>
      </c>
      <c r="BW265" s="216">
        <f t="shared" si="587"/>
        <v>35.314570981361371</v>
      </c>
      <c r="BX265" s="216">
        <f t="shared" si="671"/>
        <v>35.314570849804348</v>
      </c>
      <c r="BY265" s="216">
        <f t="shared" si="588"/>
        <v>57.365316042108894</v>
      </c>
      <c r="BZ265" s="216">
        <f t="shared" si="589"/>
        <v>50.015067644674041</v>
      </c>
      <c r="CA265" s="264">
        <f t="shared" si="590"/>
        <v>62.657494856688309</v>
      </c>
      <c r="CB265" s="216">
        <f t="shared" si="591"/>
        <v>62.657494856688309</v>
      </c>
      <c r="CC265" s="216">
        <f t="shared" si="592"/>
        <v>35.314570981361371</v>
      </c>
      <c r="CD265" s="216">
        <f t="shared" si="672"/>
        <v>35.314570849804348</v>
      </c>
      <c r="CE265" s="216">
        <f t="shared" si="593"/>
        <v>57.365316042108894</v>
      </c>
      <c r="CF265" s="571">
        <f t="shared" si="594"/>
        <v>50.015067644674041</v>
      </c>
      <c r="CG265" s="573">
        <f t="shared" si="595"/>
        <v>0.1</v>
      </c>
      <c r="CH265" s="219">
        <f t="shared" si="596"/>
        <v>0.1</v>
      </c>
      <c r="CI265" s="219">
        <f t="shared" si="597"/>
        <v>0.11</v>
      </c>
      <c r="CJ265" s="219">
        <f t="shared" si="598"/>
        <v>0.10120256779258556</v>
      </c>
      <c r="CK265" s="219">
        <f t="shared" si="599"/>
        <v>0.10120256779258556</v>
      </c>
      <c r="CL265" s="219">
        <f t="shared" si="600"/>
        <v>0.11</v>
      </c>
      <c r="CM265" s="219">
        <f t="shared" si="601"/>
        <v>9.3376081460680063E-2</v>
      </c>
      <c r="CN265" s="569">
        <f t="shared" si="602"/>
        <v>9.3376081460680063E-2</v>
      </c>
      <c r="CO265" s="264">
        <f t="shared" si="685"/>
        <v>31.296170046656595</v>
      </c>
      <c r="CP265" s="216">
        <f t="shared" si="673"/>
        <v>31.296170046656595</v>
      </c>
      <c r="CQ265" s="216">
        <f t="shared" ca="1" si="703"/>
        <v>31.296170046656595</v>
      </c>
      <c r="CR265" s="216">
        <f t="shared" ca="1" si="704"/>
        <v>31.296170046656595</v>
      </c>
      <c r="CS265" s="1626">
        <f t="shared" ca="1" si="705"/>
        <v>31.296170046656592</v>
      </c>
      <c r="CT265" s="216">
        <f t="shared" si="674"/>
        <v>31.296170046656595</v>
      </c>
      <c r="CU265" s="575">
        <f t="shared" si="603"/>
        <v>0.15</v>
      </c>
      <c r="CV265" s="154">
        <f t="shared" si="604"/>
        <v>0.5</v>
      </c>
      <c r="CW265" s="216">
        <f>IF(OR($BQ265,$BS265),SpreadOptPowerMargin,0)*((1+Assumptions!$C$26)^($B265-YEAR(Assumptions!$C$17)))</f>
        <v>2.5708432456372909</v>
      </c>
      <c r="CX265" s="216">
        <f>IF(OR($BQ265,$BS265),SpreadOptPowerMargin,0)*((1+Assumptions!$C$26)^($B265-YEAR(Assumptions!$C$17)))</f>
        <v>2.5708432456372909</v>
      </c>
      <c r="CY265" s="216">
        <f>IF(OR($BQ265,$BS265),SpreadOptPowerMargin,0)*((1+Assumptions!$C$26)^($B265-YEAR(Assumptions!$C$17)))</f>
        <v>2.5708432456372909</v>
      </c>
      <c r="CZ265" s="216">
        <f>IF(OR($BQ265,$BS265),SpreadOptPowerMargin,0)*((1+Assumptions!$C$26)^($B265-YEAR(Assumptions!$C$17)))</f>
        <v>2.5708432456372909</v>
      </c>
      <c r="DA265" s="440">
        <f t="shared" si="605"/>
        <v>2.5708432456372909</v>
      </c>
      <c r="DB265" s="479">
        <f t="shared" si="606"/>
        <v>0.1</v>
      </c>
      <c r="DC265" s="479">
        <f t="shared" si="607"/>
        <v>0.1</v>
      </c>
      <c r="DD265" s="479">
        <f t="shared" si="608"/>
        <v>0.11</v>
      </c>
      <c r="DE265" s="479">
        <f t="shared" si="609"/>
        <v>0.11</v>
      </c>
      <c r="DF265" s="479">
        <f t="shared" si="610"/>
        <v>9.3376081460680063E-2</v>
      </c>
      <c r="DG265" s="574">
        <f t="shared" si="611"/>
        <v>9.3376081460680063E-2</v>
      </c>
      <c r="DH265" s="216">
        <f t="shared" si="612"/>
        <v>30.628452057076569</v>
      </c>
      <c r="DI265" s="216">
        <f t="shared" si="613"/>
        <v>30.628452057076569</v>
      </c>
      <c r="DJ265" s="216">
        <f t="shared" ca="1" si="706"/>
        <v>8.5906818862163323</v>
      </c>
      <c r="DK265" s="216">
        <f t="shared" ca="1" si="707"/>
        <v>8.5906818012991391</v>
      </c>
      <c r="DL265" s="216">
        <f t="shared" ca="1" si="708"/>
        <v>19.416891082967236</v>
      </c>
      <c r="DM265" s="216"/>
      <c r="DN265" s="216"/>
      <c r="DO265" s="216"/>
      <c r="DP265" s="216"/>
      <c r="DQ265" s="216"/>
      <c r="DR265" s="216"/>
      <c r="DS265" s="216"/>
      <c r="DT265" s="216"/>
      <c r="DU265" s="216"/>
      <c r="DV265" s="216"/>
      <c r="DW265" s="1371">
        <f t="shared" si="614"/>
        <v>8.5906818862163323</v>
      </c>
      <c r="DX265" s="216">
        <f t="shared" si="615"/>
        <v>8.5906818012991391</v>
      </c>
      <c r="DY265" s="440">
        <f t="shared" si="616"/>
        <v>20.438945390631158</v>
      </c>
      <c r="DZ265" s="180">
        <f t="shared" si="617"/>
        <v>1426060.727777485</v>
      </c>
      <c r="EA265" s="180">
        <f t="shared" si="618"/>
        <v>356515.18194437126</v>
      </c>
      <c r="EB265" s="180">
        <f t="shared" ca="1" si="709"/>
        <v>119994.64458666973</v>
      </c>
      <c r="EC265" s="180">
        <f t="shared" ca="1" si="710"/>
        <v>309986.16211807815</v>
      </c>
      <c r="ED265" s="180">
        <f t="shared" ca="1" si="711"/>
        <v>2101917.2935133693</v>
      </c>
      <c r="EE265" s="581">
        <f t="shared" si="619"/>
        <v>1340484.8216382044</v>
      </c>
      <c r="EF265" s="554">
        <f t="shared" si="620"/>
        <v>335121.2054095511</v>
      </c>
      <c r="EG265" s="554">
        <f t="shared" ca="1" si="712"/>
        <v>20219.485800894661</v>
      </c>
      <c r="EH265" s="554">
        <f t="shared" ca="1" si="713"/>
        <v>52233.666905207589</v>
      </c>
      <c r="EI265" s="561">
        <f t="shared" ca="1" si="621"/>
        <v>1748059.1797538567</v>
      </c>
      <c r="EJ265" s="581">
        <f t="shared" si="675"/>
        <v>85575.906139280647</v>
      </c>
      <c r="EK265" s="554">
        <f t="shared" si="676"/>
        <v>21393.976534820162</v>
      </c>
      <c r="EL265" s="554">
        <f t="shared" ca="1" si="714"/>
        <v>99775.158785775071</v>
      </c>
      <c r="EM265" s="554">
        <f t="shared" ca="1" si="715"/>
        <v>257752.49521287056</v>
      </c>
      <c r="EN265" s="561">
        <f t="shared" ca="1" si="716"/>
        <v>353858.11375951255</v>
      </c>
      <c r="EO265" s="180">
        <f t="shared" si="622"/>
        <v>5704242.9111099401</v>
      </c>
      <c r="EP265" s="180">
        <f t="shared" si="623"/>
        <v>1426060.727777485</v>
      </c>
      <c r="EQ265" s="180">
        <f t="shared" si="624"/>
        <v>479978.57834667893</v>
      </c>
      <c r="ER265" s="180">
        <f t="shared" si="625"/>
        <v>1239944.6484723126</v>
      </c>
      <c r="ES265" s="180">
        <f t="shared" si="626"/>
        <v>8850226.8657064158</v>
      </c>
      <c r="ET265" s="1482">
        <f t="shared" ca="1" si="717"/>
        <v>5361939.2865528176</v>
      </c>
      <c r="EU265" s="180">
        <f t="shared" ca="1" si="718"/>
        <v>1340484.8216382044</v>
      </c>
      <c r="EV265" s="180">
        <f t="shared" ca="1" si="719"/>
        <v>80877.943203578645</v>
      </c>
      <c r="EW265" s="180">
        <f t="shared" ca="1" si="720"/>
        <v>208934.66762083035</v>
      </c>
      <c r="EX265" s="555">
        <f t="shared" ca="1" si="693"/>
        <v>6992236.7190154307</v>
      </c>
      <c r="EY265" s="180">
        <f t="shared" ca="1" si="721"/>
        <v>342303.62455712259</v>
      </c>
      <c r="EZ265" s="180">
        <f t="shared" ca="1" si="722"/>
        <v>85575.906139280647</v>
      </c>
      <c r="FA265" s="180">
        <f t="shared" ca="1" si="723"/>
        <v>399100.63514310028</v>
      </c>
      <c r="FB265" s="180">
        <f t="shared" ca="1" si="724"/>
        <v>1031009.9808514823</v>
      </c>
      <c r="FC265" s="180">
        <f t="shared" ca="1" si="725"/>
        <v>1857990.1466909852</v>
      </c>
      <c r="FD265" s="262">
        <f>IF(AX265,IF(VLOOKUP(C265,MAIN!$L$17:$M$28,2)="Yes",VLOOKUP(CALC!B265,MAIN!$H$17:$I$20,2),0),0)</f>
        <v>0</v>
      </c>
      <c r="FE265" s="623">
        <f t="shared" si="627"/>
        <v>0</v>
      </c>
      <c r="FF265" s="535">
        <f t="shared" si="628"/>
        <v>0</v>
      </c>
      <c r="FG265" s="535">
        <f t="shared" si="629"/>
        <v>0</v>
      </c>
      <c r="FH265" s="624">
        <f t="shared" si="630"/>
        <v>0</v>
      </c>
      <c r="FI265" s="632">
        <f>IF(AX265,VLOOKUP(CALC!B265,MAIN!$H$17:$K$20,4),0)</f>
        <v>0</v>
      </c>
      <c r="FJ265" s="535">
        <f t="shared" si="631"/>
        <v>0</v>
      </c>
      <c r="FK265" s="648">
        <f t="shared" si="677"/>
        <v>0</v>
      </c>
      <c r="FL265" s="530">
        <f t="shared" ca="1" si="726"/>
        <v>0</v>
      </c>
      <c r="FM265" s="530">
        <f t="shared" ca="1" si="727"/>
        <v>0</v>
      </c>
      <c r="FN265" s="530">
        <f t="shared" ca="1" si="728"/>
        <v>0</v>
      </c>
      <c r="FO265" s="622">
        <f t="shared" ca="1" si="729"/>
        <v>0</v>
      </c>
      <c r="FP265" s="530">
        <f t="shared" ca="1" si="730"/>
        <v>0</v>
      </c>
      <c r="FQ265" s="530">
        <f t="shared" ca="1" si="731"/>
        <v>0</v>
      </c>
      <c r="FR265" s="530">
        <f t="shared" ca="1" si="732"/>
        <v>0</v>
      </c>
      <c r="FS265" s="625">
        <f t="shared" ca="1" si="733"/>
        <v>0</v>
      </c>
      <c r="FT265" s="640">
        <f ca="1">IF(AND(Assumptions!$H$71="Yes",A265&gt;=Assumptions!$H$72,A265&lt;=Assumptions!$H$73),0,IF(AND($A265&gt;=Assumptions!$C$17,$A265&lt;=Assumptions!$C$18),MAX(AZ265*(1+VLOOKUP($C265,WeatherCapacityAdjustment,2))-FL265,0),0))</f>
        <v>46560</v>
      </c>
      <c r="FU265" s="530">
        <f ca="1">IF(AND(Assumptions!$H$71="Yes",A265&gt;=Assumptions!$H$72,A265&lt;=Assumptions!$H$73),0,IF(AND($A265&gt;=Assumptions!$C$17,$A265&lt;=Assumptions!$C$18),MAX(BA265*(1+VLOOKUP($C265,WeatherCapacityAdjustment,2))-FM265,0),0))</f>
        <v>11640</v>
      </c>
      <c r="FV265" s="530">
        <f ca="1">IF(AND(Assumptions!$H$71="Yes",A265&gt;=Assumptions!$H$72,A265&lt;=Assumptions!$H$73),0,IF(AND($A265&gt;=Assumptions!$C$17,$A265&lt;=Assumptions!$C$18),MAX(BB265*(1+VLOOKUP($C265,WeatherCapacityAdjustment,2))-FN265,0),0))</f>
        <v>13968</v>
      </c>
      <c r="FW265" s="622">
        <f ca="1">IF(AND(Assumptions!$H$71="Yes",A265&gt;=Assumptions!$H$72,A265&lt;=Assumptions!$H$73),0,IF(AND($A265&gt;=Assumptions!$C$17,$A265&lt;=Assumptions!$C$18),MAX(BC265*(1+VLOOKUP($C265,WeatherCapacityAdjustment,3))-FO265,0),0))</f>
        <v>36084</v>
      </c>
      <c r="FX265" s="621">
        <f ca="1">IF(AND(Assumptions!$H$71="Yes",A265&gt;=Assumptions!$H$72,A265&lt;=Assumptions!$H$73),0,IF(ET265&gt;0,MAX(BH265*(1+VLOOKUP($C265,WeatherCapacityAdjustment,2))-FP265,0),0))</f>
        <v>186240</v>
      </c>
      <c r="FY265" s="530">
        <f ca="1">IF(AND(Assumptions!$H$71="Yes",A265&gt;=Assumptions!$H$72,A265&lt;=Assumptions!$H$73),0,IF(EU265&gt;0,MAX(BI265*(1+VLOOKUP($C265,WeatherCapacityAdjustment,3))-FQ265,0),0))</f>
        <v>46560</v>
      </c>
      <c r="FZ265" s="530">
        <f ca="1">IF(AND(Assumptions!$H$71="Yes",A265&gt;=Assumptions!$H$72,A265&lt;=Assumptions!$H$73),0,IF(EV265&gt;0,MAX(BJ265*(1+VLOOKUP($C265,WeatherCapacityAdjustment,2))-FR265,0),0))</f>
        <v>55872</v>
      </c>
      <c r="GA265" s="622">
        <f ca="1">IF(AND(Assumptions!$H$71="Yes",A265&gt;=Assumptions!$H$72,A265&lt;=Assumptions!$H$73),0,IF(EW265&gt;0,MAX(BK265*(1+VLOOKUP($C265,WeatherCapacityAdjustment,2))-FS265,0),0))</f>
        <v>144336</v>
      </c>
      <c r="GB265" s="530">
        <f t="shared" ca="1" si="632"/>
        <v>541260</v>
      </c>
      <c r="GC265" s="545">
        <f t="shared" ca="1" si="633"/>
        <v>50.015067644674041</v>
      </c>
      <c r="GD265" s="530">
        <f t="shared" ca="1" si="734"/>
        <v>27071155.513356272</v>
      </c>
      <c r="GE265" s="1485">
        <f t="shared" ca="1" si="735"/>
        <v>779405.73983999994</v>
      </c>
      <c r="GF265" s="1776">
        <f t="shared" ca="1" si="736"/>
        <v>3117622.9593599997</v>
      </c>
      <c r="GG265" s="545">
        <f t="shared" si="701"/>
        <v>4.3467385813532093</v>
      </c>
      <c r="GH265" s="622">
        <f t="shared" ca="1" si="702"/>
        <v>16939364.999453351</v>
      </c>
      <c r="GI265" s="621">
        <f t="shared" ca="1" si="678"/>
        <v>541260</v>
      </c>
      <c r="GJ265" s="638">
        <f t="shared" si="634"/>
        <v>2.5708432456372909</v>
      </c>
      <c r="GK265" s="625">
        <f t="shared" ca="1" si="684"/>
        <v>1391494.6151336401</v>
      </c>
      <c r="GL265" s="640">
        <f t="shared" ca="1" si="737"/>
        <v>0</v>
      </c>
      <c r="GM265" s="530">
        <f t="shared" ca="1" si="738"/>
        <v>0</v>
      </c>
      <c r="GN265" s="530">
        <f t="shared" ca="1" si="739"/>
        <v>0</v>
      </c>
      <c r="GO265" s="622">
        <f t="shared" ca="1" si="740"/>
        <v>0</v>
      </c>
      <c r="GP265" s="530">
        <f t="shared" ca="1" si="635"/>
        <v>0</v>
      </c>
      <c r="GQ265" s="545">
        <f t="shared" ca="1" si="636"/>
        <v>0</v>
      </c>
      <c r="GR265" s="625">
        <f t="shared" ca="1" si="741"/>
        <v>0</v>
      </c>
      <c r="GS265" s="640">
        <f>IF($A265&gt;=BegDate,Assumptions!$C$56*24*($A266-$A265)*(1-VLOOKUP($B265,MAIN!$AA$7:$AM$28,$C265+1))*(1-VLOOKUP($B265,MAIN!$AA$33:$AM$54,$C265+1)),0)*80/168</f>
        <v>257742.85714285713</v>
      </c>
      <c r="GT265" s="1715">
        <f t="shared" si="679"/>
        <v>62.657495090105677</v>
      </c>
      <c r="GU265" s="1715">
        <f>IF($A265&gt;=BegDate,VLOOKUP($A265,GasTable,13)+Assumptions!$C$58,0)</f>
        <v>4.3467385813532093</v>
      </c>
      <c r="GV265" s="1715">
        <f>GU265*Assumptions!$C$57/1000</f>
        <v>31.513854714810769</v>
      </c>
      <c r="GW265" s="625">
        <f>IF(Assumptions!$C$60="Hourly",MAX(0,GS265*(GT265-GV265)),GS265*(GT265-GV265))</f>
        <v>8027050.8521581525</v>
      </c>
      <c r="GX265" s="640">
        <f>IF($A265&gt;=BegDate,Assumptions!$C$56*24*($A266-$A265)*(1-VLOOKUP($B265,MAIN!$AA$7:$AM$28,$C265+1))*(1-VLOOKUP($B265,MAIN!$AA$33:$AM$54,$C265+1)),0)*16/168</f>
        <v>51548.571428571428</v>
      </c>
      <c r="GY265" s="1715">
        <f t="shared" si="680"/>
        <v>62.657495090105677</v>
      </c>
      <c r="GZ265" s="1715">
        <f>IF($A265&gt;=BegDate,VLOOKUP($A265,GasTable,13)+Assumptions!$C$58,0)</f>
        <v>4.3467385813532093</v>
      </c>
      <c r="HA265" s="1715">
        <f>GZ265*Assumptions!$C$57/1000</f>
        <v>31.513854714810769</v>
      </c>
      <c r="HB265" s="625">
        <f>IF(Assumptions!$C$60="Hourly",MAX(0,GX265*(GY265-HA265)),GX265*(GY265-HA265))</f>
        <v>1605410.1704316307</v>
      </c>
      <c r="HC265" s="640">
        <f>IF($A265&gt;=BegDate,Assumptions!$C$56*24*($A266-$A265)*(1-VLOOKUP($B265,MAIN!$AA$7:$AM$28,$C265+1))*(1-VLOOKUP($B265,MAIN!$AA$33:$AM$54,$C265+1)),0)*16/168</f>
        <v>51548.571428571428</v>
      </c>
      <c r="HD265" s="1715">
        <f t="shared" si="681"/>
        <v>35.314571112918401</v>
      </c>
      <c r="HE265" s="1715">
        <f>IF($A265&gt;=BegDate,VLOOKUP($A265,GasTable,13)+Assumptions!$C$58,0)</f>
        <v>4.3467385813532093</v>
      </c>
      <c r="HF265" s="1715">
        <f>HE265*Assumptions!$C$57/1000</f>
        <v>31.513854714810769</v>
      </c>
      <c r="HG265" s="625">
        <f>IF(Assumptions!$C$60="Hourly",MAX(0,HC265*(HD265-HF265)),HC265*(HD265-HF265))</f>
        <v>195921.50072759399</v>
      </c>
      <c r="HH265" s="640">
        <f>IF($A265&gt;=BegDate,Assumptions!$C$56*24*($A266-$A265)*(1-VLOOKUP($B265,MAIN!$AA$7:$AM$28,$C265+1))*(1-VLOOKUP($B265,MAIN!$AA$33:$AM$54,$C265+1)),0)*56/168</f>
        <v>180420</v>
      </c>
      <c r="HI265" s="1715">
        <f t="shared" si="682"/>
        <v>35.314571112918401</v>
      </c>
      <c r="HJ265" s="1715">
        <f>IF($A265&gt;=BegDate,VLOOKUP($A265,GasTable,13)+Assumptions!$C$58,0)</f>
        <v>4.3467385813532093</v>
      </c>
      <c r="HK265" s="1715">
        <f>HJ265*Assumptions!$C$57/1000</f>
        <v>31.513854714810769</v>
      </c>
      <c r="HL265" s="625">
        <f>IF(Assumptions!$C$60="Hourly",MAX(0,HH265*(HI265-HK265)),HH265*(HI265-HK265))</f>
        <v>685725.25254657888</v>
      </c>
      <c r="HM265" s="640">
        <f>IF(AND(Assumptions!$H$71="Yes",A265&gt;=Assumptions!$H$72,A265&lt;=Assumptions!$H$73),Assumptions!$H$74*Assumptions!$C$9*1000,0)</f>
        <v>0</v>
      </c>
      <c r="HN265" s="530"/>
      <c r="HO265" s="545"/>
      <c r="HP265" s="545"/>
      <c r="HQ265" s="545"/>
      <c r="HR265" s="545"/>
      <c r="HS265" s="545"/>
      <c r="HT265" s="545"/>
      <c r="HU265" s="545"/>
      <c r="HV265" s="545"/>
      <c r="HW265" s="545"/>
      <c r="HX265" s="545"/>
      <c r="HY265" s="545"/>
      <c r="HZ265" s="545"/>
      <c r="IA265" s="545"/>
      <c r="IB265" s="545"/>
      <c r="IC265" s="545"/>
      <c r="ID265" s="545"/>
      <c r="IE265" s="545"/>
      <c r="IF265" s="545"/>
      <c r="IG265" s="545"/>
      <c r="IH265" s="545"/>
      <c r="II265" s="1464"/>
      <c r="IJ265" s="1463"/>
      <c r="IK265" s="1463"/>
    </row>
    <row r="266" spans="1:249">
      <c r="A266" s="177">
        <f t="shared" si="637"/>
        <v>44228</v>
      </c>
      <c r="B266" s="349">
        <f t="shared" si="638"/>
        <v>2021</v>
      </c>
      <c r="C266" s="15">
        <f t="shared" si="742"/>
        <v>2</v>
      </c>
      <c r="D266" s="612" t="str">
        <f t="shared" si="639"/>
        <v/>
      </c>
      <c r="E266" s="609">
        <f t="shared" si="743"/>
        <v>44228</v>
      </c>
      <c r="F266" s="614">
        <f t="shared" si="744"/>
        <v>44255</v>
      </c>
      <c r="G266" s="1349">
        <v>0</v>
      </c>
      <c r="H266" s="152">
        <f t="shared" si="683"/>
        <v>1</v>
      </c>
      <c r="I266" s="154">
        <f>IF(Assumptions!$L$25=4,VLOOKUP($A266,'Henwood Reference'!$E$9:$R$320,10),(VLOOKUP($A266,PriceTable,2,0)+IF(BasisNumber&lt;&gt;1,VLOOKUP($A266,BasisTable,2,0),0)+I$1)/(1-I$2))</f>
        <v>46.951402601463464</v>
      </c>
      <c r="J266" s="154">
        <f>IF(Assumptions!$L$25=4,VLOOKUP($A266,'Henwood Reference'!$E$9:$R$320,10),(VLOOKUP($A266,PriceTable,3,0)+IF(BasisNumber&lt;&gt;1,VLOOKUP($A266,BasisTable,2,0),0)+J$1)/(1-J$2))</f>
        <v>46.951402601463464</v>
      </c>
      <c r="K266" s="154">
        <f>IF(Assumptions!$L$25=4,VLOOKUP($A266,'Henwood Reference'!$E$9:$R$320,10),(VLOOKUP($A266,PriceTable,4,0)+IF(BasisNumber&lt;&gt;1,VLOOKUP($A266,BasisTable,2,0),0)+K$1)/(1-K$2))</f>
        <v>46.951402601463464</v>
      </c>
      <c r="L266" s="474">
        <f>IF(Assumptions!$L$25=4,VLOOKUP($A266,'Henwood Reference'!$E$9:$R$320,10),(VLOOKUP($A266,PriceTableWeekend,2,0)+IF(BasisNumber&lt;&gt;1,VLOOKUP($A266,BasisTable,2,0),0)+L$1)/(1-L$2))</f>
        <v>46.951402601463464</v>
      </c>
      <c r="M266" s="154">
        <f>IF(Assumptions!$L$25=4,VLOOKUP($A266,'Henwood Reference'!$E$9:$R$320,10),(VLOOKUP($A266,PriceTableWeekend,3,0)+IF(BasisNumber&lt;&gt;1,VLOOKUP($A266,BasisTable,2,0),0)+M$1)/(1-M$2))</f>
        <v>46.951402601463464</v>
      </c>
      <c r="N266" s="156">
        <f>IF(Assumptions!$L$25=4,VLOOKUP($A266,'Henwood Reference'!$E$9:$R$320,10),(VLOOKUP($A266,PriceTableWeekend,4,0)+IF(BasisNumber&lt;&gt;1,VLOOKUP($A266,BasisTable,2,0),0)+N$1)/(1-N$2))</f>
        <v>46.951402601463464</v>
      </c>
      <c r="O266" s="154">
        <f>IF(Assumptions!$L$25=4,VLOOKUP($A266,'Henwood Reference'!$E$9:$R$320,11),(VLOOKUP($A266,PriceTableWeekend,6,0)+IF(BasisNumber&lt;&gt;1,VLOOKUP($A266,BasisTable,3,0),0)+O$1)/(1-O$2))</f>
        <v>29.202495014515637</v>
      </c>
      <c r="P266" s="154">
        <f>IF(Assumptions!$L$25=4,VLOOKUP($A266,'Henwood Reference'!$E$9:$R$320,11),(VLOOKUP($A266,PriceTableWeekend,7,0)+IF(BasisNumber&lt;&gt;1,VLOOKUP($A266,BasisTable,3,0),0)+P$1)/(1-P$2))</f>
        <v>29.202495014515637</v>
      </c>
      <c r="Q266" s="156">
        <f>IF(Assumptions!$L$25=4,VLOOKUP($A266,'Henwood Reference'!$E$9:$R$320,11),(VLOOKUP($A266,PriceTableWeekend,8,0)+IF(BasisNumber&lt;&gt;1,VLOOKUP($A266,BasisTable,3,0),0)+Q$1)/(1-Q$2))</f>
        <v>29.202495014515637</v>
      </c>
      <c r="R266" s="154">
        <f>IF(Assumptions!$L$25=4,VLOOKUP($A266,'Henwood Reference'!$E$9:$R$320,11),(VLOOKUP($A266,PriceTable,6,0)+IF(BasisNumber&lt;&gt;1,VLOOKUP($A266,BasisTable,3,0),0)+R$1)/(1-R$2))</f>
        <v>29.202495014515637</v>
      </c>
      <c r="S266" s="154">
        <f>IF(Assumptions!$L$25=4,VLOOKUP($A266,'Henwood Reference'!$E$9:$R$320,11),(VLOOKUP($A266,PriceTable,7,0)+IF(BasisNumber&lt;&gt;1,VLOOKUP($A266,BasisTable,3,0),0)+S$1)/(1-S$2))</f>
        <v>29.202495014515637</v>
      </c>
      <c r="T266" s="155">
        <f>IF(Assumptions!$L$25=4,VLOOKUP($A266,'Henwood Reference'!$E$9:$R$320,11),(VLOOKUP($A266,PriceTable,8,0)+IF(BasisNumber&lt;&gt;1,VLOOKUP($A266,BasisTable,3,0),0)+T$1)/(1-T$2))</f>
        <v>29.202495014515637</v>
      </c>
      <c r="U266" s="173">
        <f t="shared" si="640"/>
        <v>0.09</v>
      </c>
      <c r="V266" s="173">
        <f t="shared" si="641"/>
        <v>0.1</v>
      </c>
      <c r="W266" s="174">
        <f t="shared" si="642"/>
        <v>0.11</v>
      </c>
      <c r="X266" s="173">
        <f t="shared" si="643"/>
        <v>0.09</v>
      </c>
      <c r="Y266" s="173">
        <f t="shared" si="644"/>
        <v>0.1</v>
      </c>
      <c r="Z266" s="174">
        <f t="shared" si="645"/>
        <v>0.11</v>
      </c>
      <c r="AA266" s="173">
        <f t="shared" si="646"/>
        <v>0.09</v>
      </c>
      <c r="AB266" s="173">
        <f t="shared" si="647"/>
        <v>0.11</v>
      </c>
      <c r="AC266" s="174">
        <f t="shared" si="648"/>
        <v>0.13</v>
      </c>
      <c r="AD266" s="173">
        <f t="shared" si="649"/>
        <v>0.09</v>
      </c>
      <c r="AE266" s="173">
        <f t="shared" si="650"/>
        <v>0.11</v>
      </c>
      <c r="AF266" s="174">
        <f t="shared" si="651"/>
        <v>0.13</v>
      </c>
      <c r="AG266" s="173">
        <f t="shared" si="652"/>
        <v>-0.25</v>
      </c>
      <c r="AH266" s="173">
        <f t="shared" si="653"/>
        <v>0.65</v>
      </c>
      <c r="AI266" s="174">
        <f t="shared" si="654"/>
        <v>0.25</v>
      </c>
      <c r="AJ266" s="173">
        <f t="shared" si="655"/>
        <v>-0.25</v>
      </c>
      <c r="AK266" s="173">
        <f t="shared" si="656"/>
        <v>0.65</v>
      </c>
      <c r="AL266" s="174">
        <f t="shared" si="657"/>
        <v>0.25</v>
      </c>
      <c r="AM266" s="173">
        <f t="shared" si="658"/>
        <v>-0.01</v>
      </c>
      <c r="AN266" s="173">
        <f t="shared" si="659"/>
        <v>0.16</v>
      </c>
      <c r="AO266" s="174">
        <f t="shared" si="660"/>
        <v>0.01</v>
      </c>
      <c r="AP266" s="173">
        <f t="shared" si="661"/>
        <v>-0.01</v>
      </c>
      <c r="AQ266" s="173">
        <f t="shared" si="662"/>
        <v>0.16</v>
      </c>
      <c r="AR266" s="175">
        <f t="shared" si="663"/>
        <v>0.01</v>
      </c>
      <c r="AS266" s="521">
        <f t="shared" si="747"/>
        <v>0.5</v>
      </c>
      <c r="AT266" s="349">
        <f t="shared" si="745"/>
        <v>20</v>
      </c>
      <c r="AU266" s="159">
        <f t="shared" si="582"/>
        <v>4</v>
      </c>
      <c r="AV266" s="159">
        <f t="shared" si="583"/>
        <v>4</v>
      </c>
      <c r="AW266" s="159">
        <f t="shared" si="748"/>
        <v>0</v>
      </c>
      <c r="AX266" s="15">
        <f t="shared" si="746"/>
        <v>28</v>
      </c>
      <c r="AY266" s="607">
        <f>IF(E266="",0,MIN((1-(1-VLOOKUP(B266,MAIN!$AA$7:$AM$28,C266+1))*(1-VLOOKUP(B266,MAIN!$AA$33:$AM$54,C266+1))),1))</f>
        <v>3.0000000000000027E-2</v>
      </c>
      <c r="AZ266" s="337">
        <v>46560</v>
      </c>
      <c r="BA266" s="509">
        <v>9312</v>
      </c>
      <c r="BB266" s="509">
        <v>9312</v>
      </c>
      <c r="BC266" s="511">
        <v>32592</v>
      </c>
      <c r="BD266" s="153">
        <v>0.97</v>
      </c>
      <c r="BE266" s="474">
        <v>0.97</v>
      </c>
      <c r="BF266" s="474">
        <v>0.97</v>
      </c>
      <c r="BG266" s="515">
        <v>0.9699999927729368</v>
      </c>
      <c r="BH266" s="262">
        <v>186240</v>
      </c>
      <c r="BI266" s="509">
        <v>37248</v>
      </c>
      <c r="BJ266" s="509">
        <v>37248</v>
      </c>
      <c r="BK266" s="511">
        <v>130368</v>
      </c>
      <c r="BL266" s="153">
        <v>0.97</v>
      </c>
      <c r="BM266" s="474">
        <v>0.97</v>
      </c>
      <c r="BN266" s="474">
        <v>0.97</v>
      </c>
      <c r="BO266" s="474">
        <v>0.9699999927729368</v>
      </c>
      <c r="BP266" s="261">
        <f t="shared" si="666"/>
        <v>65184</v>
      </c>
      <c r="BQ266" s="578">
        <f t="shared" si="667"/>
        <v>97776</v>
      </c>
      <c r="BR266" s="259">
        <f t="shared" si="668"/>
        <v>260736</v>
      </c>
      <c r="BS266" s="578">
        <f t="shared" si="669"/>
        <v>391104</v>
      </c>
      <c r="BT266" s="216">
        <f t="shared" si="670"/>
        <v>20.802190280629706</v>
      </c>
      <c r="BU266" s="218">
        <f t="shared" si="585"/>
        <v>46.951402601463464</v>
      </c>
      <c r="BV266" s="216">
        <f t="shared" si="586"/>
        <v>46.951402601463464</v>
      </c>
      <c r="BW266" s="216">
        <f t="shared" si="587"/>
        <v>29.202495014515637</v>
      </c>
      <c r="BX266" s="216">
        <f t="shared" si="671"/>
        <v>29.202494796940098</v>
      </c>
      <c r="BY266" s="216">
        <f t="shared" si="588"/>
        <v>44.415844374756631</v>
      </c>
      <c r="BZ266" s="216">
        <f t="shared" si="589"/>
        <v>39.344727848817783</v>
      </c>
      <c r="CA266" s="264">
        <f t="shared" si="590"/>
        <v>46.951402601463464</v>
      </c>
      <c r="CB266" s="216">
        <f t="shared" si="591"/>
        <v>46.951402601463464</v>
      </c>
      <c r="CC266" s="216">
        <f t="shared" si="592"/>
        <v>29.202495014515637</v>
      </c>
      <c r="CD266" s="216">
        <f t="shared" si="672"/>
        <v>29.202494796940098</v>
      </c>
      <c r="CE266" s="216">
        <f t="shared" si="593"/>
        <v>44.415844374756631</v>
      </c>
      <c r="CF266" s="571">
        <f t="shared" si="594"/>
        <v>39.344727848817783</v>
      </c>
      <c r="CG266" s="573">
        <f t="shared" si="595"/>
        <v>0.1</v>
      </c>
      <c r="CH266" s="219">
        <f t="shared" si="596"/>
        <v>0.1</v>
      </c>
      <c r="CI266" s="219">
        <f t="shared" si="597"/>
        <v>0.11</v>
      </c>
      <c r="CJ266" s="219">
        <f t="shared" si="598"/>
        <v>0.1009482469042246</v>
      </c>
      <c r="CK266" s="219">
        <f t="shared" si="599"/>
        <v>0.1009482469042246</v>
      </c>
      <c r="CL266" s="219">
        <f t="shared" si="600"/>
        <v>0.11</v>
      </c>
      <c r="CM266" s="219">
        <f t="shared" si="601"/>
        <v>9.2942969731756392E-2</v>
      </c>
      <c r="CN266" s="569">
        <f t="shared" si="602"/>
        <v>9.2942969731756392E-2</v>
      </c>
      <c r="CO266" s="264">
        <f t="shared" si="685"/>
        <v>28.868924027371428</v>
      </c>
      <c r="CP266" s="216">
        <f t="shared" si="673"/>
        <v>28.868924027371428</v>
      </c>
      <c r="CQ266" s="216">
        <f t="shared" ca="1" si="703"/>
        <v>37.117188035191838</v>
      </c>
      <c r="CR266" s="216">
        <f t="shared" ca="1" si="704"/>
        <v>37.117188035191838</v>
      </c>
      <c r="CS266" s="1626">
        <f t="shared" ca="1" si="705"/>
        <v>32.403894316437317</v>
      </c>
      <c r="CT266" s="216">
        <f t="shared" si="674"/>
        <v>28.868924027371428</v>
      </c>
      <c r="CU266" s="575">
        <f t="shared" si="603"/>
        <v>0.15</v>
      </c>
      <c r="CV266" s="154">
        <f t="shared" si="604"/>
        <v>0.5</v>
      </c>
      <c r="CW266" s="216">
        <f>IF(OR($BQ266,$BS266),SpreadOptPowerMargin,0)*((1+Assumptions!$C$26)^($B266-YEAR(Assumptions!$C$17)))</f>
        <v>2.5708432456372909</v>
      </c>
      <c r="CX266" s="216">
        <f>IF(OR($BQ266,$BS266),SpreadOptPowerMargin,0)*((1+Assumptions!$C$26)^($B266-YEAR(Assumptions!$C$17)))</f>
        <v>2.5708432456372909</v>
      </c>
      <c r="CY266" s="216">
        <f>IF(OR($BQ266,$BS266),SpreadOptPowerMargin,0)*((1+Assumptions!$C$26)^($B266-YEAR(Assumptions!$C$17)))</f>
        <v>2.5708432456372909</v>
      </c>
      <c r="CZ266" s="216">
        <f>IF(OR($BQ266,$BS266),SpreadOptPowerMargin,0)*((1+Assumptions!$C$26)^($B266-YEAR(Assumptions!$C$17)))</f>
        <v>2.5708432456372909</v>
      </c>
      <c r="DA266" s="440">
        <f t="shared" si="605"/>
        <v>2.5708432456372909</v>
      </c>
      <c r="DB266" s="479">
        <f t="shared" si="606"/>
        <v>0.1</v>
      </c>
      <c r="DC266" s="479">
        <f t="shared" si="607"/>
        <v>0.1</v>
      </c>
      <c r="DD266" s="479">
        <f t="shared" si="608"/>
        <v>0.11</v>
      </c>
      <c r="DE266" s="479">
        <f t="shared" si="609"/>
        <v>0.11</v>
      </c>
      <c r="DF266" s="479">
        <f t="shared" si="610"/>
        <v>9.2942969731756392E-2</v>
      </c>
      <c r="DG266" s="574">
        <f t="shared" si="611"/>
        <v>9.2942969731756392E-2</v>
      </c>
      <c r="DH266" s="216">
        <f t="shared" si="612"/>
        <v>18.517807174129732</v>
      </c>
      <c r="DI266" s="216">
        <f t="shared" si="613"/>
        <v>18.517807174129732</v>
      </c>
      <c r="DJ266" s="216">
        <f t="shared" ca="1" si="706"/>
        <v>3.6375959890877088</v>
      </c>
      <c r="DK266" s="216">
        <f t="shared" ca="1" si="707"/>
        <v>3.6375958999632738</v>
      </c>
      <c r="DL266" s="216">
        <f t="shared" ca="1" si="708"/>
        <v>10.556441481169214</v>
      </c>
      <c r="DM266" s="216"/>
      <c r="DN266" s="216"/>
      <c r="DO266" s="216"/>
      <c r="DP266" s="216"/>
      <c r="DQ266" s="216"/>
      <c r="DR266" s="216"/>
      <c r="DS266" s="216"/>
      <c r="DT266" s="216"/>
      <c r="DU266" s="216"/>
      <c r="DV266" s="216"/>
      <c r="DW266" s="1371">
        <f t="shared" si="614"/>
        <v>5.779775873000542</v>
      </c>
      <c r="DX266" s="216">
        <f t="shared" si="615"/>
        <v>5.7797757493932886</v>
      </c>
      <c r="DY266" s="440">
        <f t="shared" si="616"/>
        <v>13.058650861014804</v>
      </c>
      <c r="DZ266" s="180">
        <f t="shared" si="617"/>
        <v>862189.10202748037</v>
      </c>
      <c r="EA266" s="180">
        <f t="shared" si="618"/>
        <v>172437.82040549608</v>
      </c>
      <c r="EB266" s="180">
        <f t="shared" ca="1" si="709"/>
        <v>33873.293850384747</v>
      </c>
      <c r="EC266" s="180">
        <f t="shared" ca="1" si="710"/>
        <v>118556.52557160302</v>
      </c>
      <c r="ED266" s="180">
        <f t="shared" ca="1" si="711"/>
        <v>1032166.622262801</v>
      </c>
      <c r="EE266" s="581">
        <f t="shared" si="619"/>
        <v>722221.74089285289</v>
      </c>
      <c r="EF266" s="554">
        <f t="shared" si="620"/>
        <v>144444.34817857057</v>
      </c>
      <c r="EG266" s="554">
        <f t="shared" ca="1" si="712"/>
        <v>0</v>
      </c>
      <c r="EH266" s="554">
        <f t="shared" ca="1" si="713"/>
        <v>0</v>
      </c>
      <c r="EI266" s="561">
        <f t="shared" ca="1" si="621"/>
        <v>427280.17027660063</v>
      </c>
      <c r="EJ266" s="581">
        <f t="shared" si="675"/>
        <v>139967.36113462748</v>
      </c>
      <c r="EK266" s="554">
        <f t="shared" si="676"/>
        <v>27993.472226925514</v>
      </c>
      <c r="EL266" s="554">
        <f t="shared" ca="1" si="714"/>
        <v>33873.293850384747</v>
      </c>
      <c r="EM266" s="554">
        <f t="shared" ca="1" si="715"/>
        <v>118556.52557160302</v>
      </c>
      <c r="EN266" s="561">
        <f t="shared" ca="1" si="716"/>
        <v>604886.45198620041</v>
      </c>
      <c r="EO266" s="180">
        <f t="shared" si="622"/>
        <v>3448756.4081099215</v>
      </c>
      <c r="EP266" s="180">
        <f t="shared" si="623"/>
        <v>689751.28162198432</v>
      </c>
      <c r="EQ266" s="180">
        <f t="shared" si="624"/>
        <v>215285.09171752419</v>
      </c>
      <c r="ER266" s="180">
        <f t="shared" si="625"/>
        <v>753497.80489690427</v>
      </c>
      <c r="ES266" s="180">
        <f t="shared" si="626"/>
        <v>5107290.5863463338</v>
      </c>
      <c r="ET266" s="1482">
        <f t="shared" ca="1" si="717"/>
        <v>2888886.9635714116</v>
      </c>
      <c r="EU266" s="180">
        <f t="shared" ca="1" si="718"/>
        <v>577777.39271428226</v>
      </c>
      <c r="EV266" s="180">
        <f t="shared" ca="1" si="719"/>
        <v>0</v>
      </c>
      <c r="EW266" s="180">
        <f t="shared" ca="1" si="720"/>
        <v>0</v>
      </c>
      <c r="EX266" s="555">
        <f t="shared" ca="1" si="693"/>
        <v>3466664.3562856941</v>
      </c>
      <c r="EY266" s="180">
        <f t="shared" ca="1" si="721"/>
        <v>559869.44453850994</v>
      </c>
      <c r="EZ266" s="180">
        <f t="shared" ca="1" si="722"/>
        <v>111973.88890770206</v>
      </c>
      <c r="FA266" s="180">
        <f t="shared" ca="1" si="723"/>
        <v>215285.09171752419</v>
      </c>
      <c r="FB266" s="180">
        <f t="shared" ca="1" si="724"/>
        <v>753497.80489690427</v>
      </c>
      <c r="FC266" s="180">
        <f t="shared" ca="1" si="725"/>
        <v>1640626.2300606398</v>
      </c>
      <c r="FD266" s="262">
        <f>IF(AX266,IF(VLOOKUP(C266,MAIN!$L$17:$M$28,2)="Yes",VLOOKUP(CALC!B266,MAIN!$H$17:$I$20,2),0),0)</f>
        <v>0</v>
      </c>
      <c r="FE266" s="623">
        <f t="shared" si="627"/>
        <v>0</v>
      </c>
      <c r="FF266" s="535">
        <f t="shared" si="628"/>
        <v>0</v>
      </c>
      <c r="FG266" s="535">
        <f t="shared" si="629"/>
        <v>0</v>
      </c>
      <c r="FH266" s="624">
        <f t="shared" si="630"/>
        <v>0</v>
      </c>
      <c r="FI266" s="632">
        <f>IF(AX266,VLOOKUP(CALC!B266,MAIN!$H$17:$K$20,4),0)</f>
        <v>0</v>
      </c>
      <c r="FJ266" s="535">
        <f t="shared" si="631"/>
        <v>0</v>
      </c>
      <c r="FK266" s="648">
        <f t="shared" si="677"/>
        <v>0</v>
      </c>
      <c r="FL266" s="530">
        <f t="shared" ca="1" si="726"/>
        <v>0</v>
      </c>
      <c r="FM266" s="530">
        <f t="shared" ca="1" si="727"/>
        <v>0</v>
      </c>
      <c r="FN266" s="530">
        <f t="shared" ca="1" si="728"/>
        <v>0</v>
      </c>
      <c r="FO266" s="622">
        <f t="shared" ca="1" si="729"/>
        <v>0</v>
      </c>
      <c r="FP266" s="530">
        <f t="shared" ca="1" si="730"/>
        <v>0</v>
      </c>
      <c r="FQ266" s="530">
        <f t="shared" ca="1" si="731"/>
        <v>0</v>
      </c>
      <c r="FR266" s="530">
        <f t="shared" ca="1" si="732"/>
        <v>0</v>
      </c>
      <c r="FS266" s="625">
        <f t="shared" ca="1" si="733"/>
        <v>0</v>
      </c>
      <c r="FT266" s="640">
        <f ca="1">IF(AND(Assumptions!$H$71="Yes",A266&gt;=Assumptions!$H$72,A266&lt;=Assumptions!$H$73),0,IF(AND($A266&gt;=Assumptions!$C$17,$A266&lt;=Assumptions!$C$18),MAX(AZ266*(1+VLOOKUP($C266,WeatherCapacityAdjustment,2))-FL266,0),0))</f>
        <v>46560</v>
      </c>
      <c r="FU266" s="530">
        <f ca="1">IF(AND(Assumptions!$H$71="Yes",A266&gt;=Assumptions!$H$72,A266&lt;=Assumptions!$H$73),0,IF(AND($A266&gt;=Assumptions!$C$17,$A266&lt;=Assumptions!$C$18),MAX(BA266*(1+VLOOKUP($C266,WeatherCapacityAdjustment,2))-FM266,0),0))</f>
        <v>9312</v>
      </c>
      <c r="FV266" s="530">
        <f ca="1">IF(AND(Assumptions!$H$71="Yes",A266&gt;=Assumptions!$H$72,A266&lt;=Assumptions!$H$73),0,IF(AND($A266&gt;=Assumptions!$C$17,$A266&lt;=Assumptions!$C$18),MAX(BB266*(1+VLOOKUP($C266,WeatherCapacityAdjustment,2))-FN266,0),0))</f>
        <v>9312</v>
      </c>
      <c r="FW266" s="622">
        <f ca="1">IF(AND(Assumptions!$H$71="Yes",A266&gt;=Assumptions!$H$72,A266&lt;=Assumptions!$H$73),0,IF(AND($A266&gt;=Assumptions!$C$17,$A266&lt;=Assumptions!$C$18),MAX(BC266*(1+VLOOKUP($C266,WeatherCapacityAdjustment,3))-FO266,0),0))</f>
        <v>32592</v>
      </c>
      <c r="FX266" s="621">
        <f ca="1">IF(AND(Assumptions!$H$71="Yes",A266&gt;=Assumptions!$H$72,A266&lt;=Assumptions!$H$73),0,IF(ET266&gt;0,MAX(BH266*(1+VLOOKUP($C266,WeatherCapacityAdjustment,2))-FP266,0),0))</f>
        <v>186240</v>
      </c>
      <c r="FY266" s="530">
        <f ca="1">IF(AND(Assumptions!$H$71="Yes",A266&gt;=Assumptions!$H$72,A266&lt;=Assumptions!$H$73),0,IF(EU266&gt;0,MAX(BI266*(1+VLOOKUP($C266,WeatherCapacityAdjustment,3))-FQ266,0),0))</f>
        <v>37248</v>
      </c>
      <c r="FZ266" s="530">
        <f ca="1">IF(AND(Assumptions!$H$71="Yes",A266&gt;=Assumptions!$H$72,A266&lt;=Assumptions!$H$73),0,IF(EV266&gt;0,MAX(BJ266*(1+VLOOKUP($C266,WeatherCapacityAdjustment,2))-FR266,0),0))</f>
        <v>0</v>
      </c>
      <c r="GA266" s="622">
        <f ca="1">IF(AND(Assumptions!$H$71="Yes",A266&gt;=Assumptions!$H$72,A266&lt;=Assumptions!$H$73),0,IF(EW266&gt;0,MAX(BK266*(1+VLOOKUP($C266,WeatherCapacityAdjustment,2))-FS266,0),0))</f>
        <v>0</v>
      </c>
      <c r="GB266" s="530">
        <f t="shared" ca="1" si="632"/>
        <v>321264</v>
      </c>
      <c r="GC266" s="545">
        <f t="shared" ca="1" si="633"/>
        <v>44.636327676745218</v>
      </c>
      <c r="GD266" s="530">
        <f t="shared" ca="1" si="734"/>
        <v>14340045.174741875</v>
      </c>
      <c r="GE266" s="1485">
        <f t="shared" ca="1" si="735"/>
        <v>790503.59519999998</v>
      </c>
      <c r="GF266" s="1776">
        <f t="shared" ca="1" si="736"/>
        <v>1609752.77568</v>
      </c>
      <c r="GG266" s="545">
        <f t="shared" si="701"/>
        <v>4.0079807225701218</v>
      </c>
      <c r="GH266" s="622">
        <f t="shared" ca="1" si="702"/>
        <v>9620181.2637131605</v>
      </c>
      <c r="GI266" s="621">
        <f t="shared" ca="1" si="678"/>
        <v>321264</v>
      </c>
      <c r="GJ266" s="638">
        <f t="shared" si="634"/>
        <v>2.5708432456372909</v>
      </c>
      <c r="GK266" s="625">
        <f t="shared" ca="1" si="684"/>
        <v>825919.38446641865</v>
      </c>
      <c r="GL266" s="640">
        <f t="shared" ca="1" si="737"/>
        <v>0</v>
      </c>
      <c r="GM266" s="530">
        <f t="shared" ca="1" si="738"/>
        <v>0</v>
      </c>
      <c r="GN266" s="530">
        <f t="shared" ca="1" si="739"/>
        <v>0</v>
      </c>
      <c r="GO266" s="622">
        <f t="shared" ca="1" si="740"/>
        <v>0</v>
      </c>
      <c r="GP266" s="530">
        <f t="shared" ca="1" si="635"/>
        <v>0</v>
      </c>
      <c r="GQ266" s="545">
        <f t="shared" ca="1" si="636"/>
        <v>0</v>
      </c>
      <c r="GR266" s="625">
        <f t="shared" ca="1" si="741"/>
        <v>0</v>
      </c>
      <c r="GS266" s="640">
        <f>IF($A266&gt;=BegDate,Assumptions!$C$56*24*($A267-$A266)*(1-VLOOKUP($B266,MAIN!$AA$7:$AM$28,$C266+1))*(1-VLOOKUP($B266,MAIN!$AA$33:$AM$54,$C266+1)),0)*80/168</f>
        <v>232800</v>
      </c>
      <c r="GT266" s="1715">
        <f t="shared" si="679"/>
        <v>46.951402601463464</v>
      </c>
      <c r="GU266" s="1715">
        <f>IF($A266&gt;=BegDate,VLOOKUP($A266,GasTable,13)+Assumptions!$C$58,0)</f>
        <v>4.0079807225701218</v>
      </c>
      <c r="GV266" s="1715">
        <f>GU266*Assumptions!$C$57/1000</f>
        <v>29.057860238633385</v>
      </c>
      <c r="GW266" s="625">
        <f>IF(Assumptions!$C$60="Hourly",MAX(0,GS266*(GT266-GV266)),GS266*(GT266-GV266))</f>
        <v>4165616.6620668424</v>
      </c>
      <c r="GX266" s="640">
        <f>IF($A266&gt;=BegDate,Assumptions!$C$56*24*($A267-$A266)*(1-VLOOKUP($B266,MAIN!$AA$7:$AM$28,$C266+1))*(1-VLOOKUP($B266,MAIN!$AA$33:$AM$54,$C266+1)),0)*16/168</f>
        <v>46560</v>
      </c>
      <c r="GY266" s="1715">
        <f t="shared" si="680"/>
        <v>46.951402601463464</v>
      </c>
      <c r="GZ266" s="1715">
        <f>IF($A266&gt;=BegDate,VLOOKUP($A266,GasTable,13)+Assumptions!$C$58,0)</f>
        <v>4.0079807225701218</v>
      </c>
      <c r="HA266" s="1715">
        <f>GZ266*Assumptions!$C$57/1000</f>
        <v>29.057860238633385</v>
      </c>
      <c r="HB266" s="625">
        <f>IF(Assumptions!$C$60="Hourly",MAX(0,GX266*(GY266-HA266)),GX266*(GY266-HA266))</f>
        <v>833123.33241336851</v>
      </c>
      <c r="HC266" s="640">
        <f>IF($A266&gt;=BegDate,Assumptions!$C$56*24*($A267-$A266)*(1-VLOOKUP($B266,MAIN!$AA$7:$AM$28,$C266+1))*(1-VLOOKUP($B266,MAIN!$AA$33:$AM$54,$C266+1)),0)*16/168</f>
        <v>46560</v>
      </c>
      <c r="HD266" s="1715">
        <f t="shared" si="681"/>
        <v>29.202495014515637</v>
      </c>
      <c r="HE266" s="1715">
        <f>IF($A266&gt;=BegDate,VLOOKUP($A266,GasTable,13)+Assumptions!$C$58,0)</f>
        <v>4.0079807225701218</v>
      </c>
      <c r="HF266" s="1715">
        <f>HE266*Assumptions!$C$57/1000</f>
        <v>29.057860238633385</v>
      </c>
      <c r="HG266" s="625">
        <f>IF(Assumptions!$C$60="Hourly",MAX(0,HC266*(HD266-HF266)),HC266*(HD266-HF266))</f>
        <v>6734.1951650776809</v>
      </c>
      <c r="HH266" s="640">
        <f>IF($A266&gt;=BegDate,Assumptions!$C$56*24*($A267-$A266)*(1-VLOOKUP($B266,MAIN!$AA$7:$AM$28,$C266+1))*(1-VLOOKUP($B266,MAIN!$AA$33:$AM$54,$C266+1)),0)*56/168</f>
        <v>162960</v>
      </c>
      <c r="HI266" s="1715">
        <f t="shared" si="682"/>
        <v>29.202495014515637</v>
      </c>
      <c r="HJ266" s="1715">
        <f>IF($A266&gt;=BegDate,VLOOKUP($A266,GasTable,13)+Assumptions!$C$58,0)</f>
        <v>4.0079807225701218</v>
      </c>
      <c r="HK266" s="1715">
        <f>HJ266*Assumptions!$C$57/1000</f>
        <v>29.057860238633385</v>
      </c>
      <c r="HL266" s="625">
        <f>IF(Assumptions!$C$60="Hourly",MAX(0,HH266*(HI266-HK266)),HH266*(HI266-HK266))</f>
        <v>23569.683077771882</v>
      </c>
      <c r="HM266" s="640">
        <f>IF(AND(Assumptions!$H$71="Yes",A266&gt;=Assumptions!$H$72,A266&lt;=Assumptions!$H$73),Assumptions!$H$74*Assumptions!$C$9*1000,0)</f>
        <v>0</v>
      </c>
      <c r="HN266" s="530"/>
      <c r="HO266" s="545"/>
      <c r="HP266" s="545"/>
      <c r="HQ266" s="545"/>
      <c r="HR266" s="545"/>
      <c r="HS266" s="545"/>
      <c r="HT266" s="545"/>
      <c r="HU266" s="545"/>
      <c r="HV266" s="545"/>
      <c r="HW266" s="545"/>
      <c r="HX266" s="545"/>
      <c r="HY266" s="545"/>
      <c r="HZ266" s="545"/>
      <c r="IA266" s="545"/>
      <c r="IB266" s="545"/>
      <c r="IC266" s="545"/>
      <c r="ID266" s="545"/>
      <c r="IE266" s="545"/>
      <c r="IF266" s="545"/>
      <c r="IG266" s="545"/>
      <c r="IH266" s="545"/>
      <c r="II266" s="1464"/>
      <c r="IJ266" s="1463"/>
      <c r="IK266" s="1463"/>
    </row>
    <row r="267" spans="1:249">
      <c r="A267" s="177">
        <f t="shared" si="637"/>
        <v>44256</v>
      </c>
      <c r="B267" s="349">
        <f t="shared" si="638"/>
        <v>2021</v>
      </c>
      <c r="C267" s="15">
        <f t="shared" si="742"/>
        <v>3</v>
      </c>
      <c r="D267" s="612" t="str">
        <f t="shared" si="639"/>
        <v/>
      </c>
      <c r="E267" s="609">
        <f t="shared" si="743"/>
        <v>44256</v>
      </c>
      <c r="F267" s="614">
        <f t="shared" si="744"/>
        <v>44286</v>
      </c>
      <c r="G267" s="1349">
        <v>0</v>
      </c>
      <c r="H267" s="152">
        <f t="shared" si="683"/>
        <v>1</v>
      </c>
      <c r="I267" s="154">
        <f>IF(Assumptions!$L$25=4,VLOOKUP($A267,'Henwood Reference'!$E$9:$R$320,10),(VLOOKUP($A267,PriceTable,2,0)+IF(BasisNumber&lt;&gt;1,VLOOKUP($A267,BasisTable,2,0),0)+I$1)/(1-I$2))</f>
        <v>45.074098267911509</v>
      </c>
      <c r="J267" s="154">
        <f>IF(Assumptions!$L$25=4,VLOOKUP($A267,'Henwood Reference'!$E$9:$R$320,10),(VLOOKUP($A267,PriceTable,3,0)+IF(BasisNumber&lt;&gt;1,VLOOKUP($A267,BasisTable,2,0),0)+J$1)/(1-J$2))</f>
        <v>45.074098267911509</v>
      </c>
      <c r="K267" s="154">
        <f>IF(Assumptions!$L$25=4,VLOOKUP($A267,'Henwood Reference'!$E$9:$R$320,10),(VLOOKUP($A267,PriceTable,4,0)+IF(BasisNumber&lt;&gt;1,VLOOKUP($A267,BasisTable,2,0),0)+K$1)/(1-K$2))</f>
        <v>45.074098267911509</v>
      </c>
      <c r="L267" s="474">
        <f>IF(Assumptions!$L$25=4,VLOOKUP($A267,'Henwood Reference'!$E$9:$R$320,10),(VLOOKUP($A267,PriceTableWeekend,2,0)+IF(BasisNumber&lt;&gt;1,VLOOKUP($A267,BasisTable,2,0),0)+L$1)/(1-L$2))</f>
        <v>45.074098267911509</v>
      </c>
      <c r="M267" s="154">
        <f>IF(Assumptions!$L$25=4,VLOOKUP($A267,'Henwood Reference'!$E$9:$R$320,10),(VLOOKUP($A267,PriceTableWeekend,3,0)+IF(BasisNumber&lt;&gt;1,VLOOKUP($A267,BasisTable,2,0),0)+M$1)/(1-M$2))</f>
        <v>45.074098267911509</v>
      </c>
      <c r="N267" s="156">
        <f>IF(Assumptions!$L$25=4,VLOOKUP($A267,'Henwood Reference'!$E$9:$R$320,10),(VLOOKUP($A267,PriceTableWeekend,4,0)+IF(BasisNumber&lt;&gt;1,VLOOKUP($A267,BasisTable,2,0),0)+N$1)/(1-N$2))</f>
        <v>45.074098267911509</v>
      </c>
      <c r="O267" s="154">
        <f>IF(Assumptions!$L$25=4,VLOOKUP($A267,'Henwood Reference'!$E$9:$R$320,11),(VLOOKUP($A267,PriceTableWeekend,6,0)+IF(BasisNumber&lt;&gt;1,VLOOKUP($A267,BasisTable,3,0),0)+O$1)/(1-O$2))</f>
        <v>31.284111171225046</v>
      </c>
      <c r="P267" s="154">
        <f>IF(Assumptions!$L$25=4,VLOOKUP($A267,'Henwood Reference'!$E$9:$R$320,11),(VLOOKUP($A267,PriceTableWeekend,7,0)+IF(BasisNumber&lt;&gt;1,VLOOKUP($A267,BasisTable,3,0),0)+P$1)/(1-P$2))</f>
        <v>31.284111171225046</v>
      </c>
      <c r="Q267" s="156">
        <f>IF(Assumptions!$L$25=4,VLOOKUP($A267,'Henwood Reference'!$E$9:$R$320,11),(VLOOKUP($A267,PriceTableWeekend,8,0)+IF(BasisNumber&lt;&gt;1,VLOOKUP($A267,BasisTable,3,0),0)+Q$1)/(1-Q$2))</f>
        <v>31.284111171225046</v>
      </c>
      <c r="R267" s="154">
        <f>IF(Assumptions!$L$25=4,VLOOKUP($A267,'Henwood Reference'!$E$9:$R$320,11),(VLOOKUP($A267,PriceTable,6,0)+IF(BasisNumber&lt;&gt;1,VLOOKUP($A267,BasisTable,3,0),0)+R$1)/(1-R$2))</f>
        <v>31.284111171225046</v>
      </c>
      <c r="S267" s="154">
        <f>IF(Assumptions!$L$25=4,VLOOKUP($A267,'Henwood Reference'!$E$9:$R$320,11),(VLOOKUP($A267,PriceTable,7,0)+IF(BasisNumber&lt;&gt;1,VLOOKUP($A267,BasisTable,3,0),0)+S$1)/(1-S$2))</f>
        <v>31.284111171225046</v>
      </c>
      <c r="T267" s="155">
        <f>IF(Assumptions!$L$25=4,VLOOKUP($A267,'Henwood Reference'!$E$9:$R$320,11),(VLOOKUP($A267,PriceTable,8,0)+IF(BasisNumber&lt;&gt;1,VLOOKUP($A267,BasisTable,3,0),0)+T$1)/(1-T$2))</f>
        <v>31.284111171225046</v>
      </c>
      <c r="U267" s="173">
        <f t="shared" si="640"/>
        <v>0.09</v>
      </c>
      <c r="V267" s="173">
        <f t="shared" si="641"/>
        <v>0.1</v>
      </c>
      <c r="W267" s="174">
        <f t="shared" si="642"/>
        <v>0.11</v>
      </c>
      <c r="X267" s="173">
        <f t="shared" si="643"/>
        <v>0.09</v>
      </c>
      <c r="Y267" s="173">
        <f t="shared" si="644"/>
        <v>0.1</v>
      </c>
      <c r="Z267" s="174">
        <f t="shared" si="645"/>
        <v>0.11</v>
      </c>
      <c r="AA267" s="173">
        <f t="shared" si="646"/>
        <v>0.09</v>
      </c>
      <c r="AB267" s="173">
        <f t="shared" si="647"/>
        <v>0.11</v>
      </c>
      <c r="AC267" s="174">
        <f t="shared" si="648"/>
        <v>0.13</v>
      </c>
      <c r="AD267" s="173">
        <f t="shared" si="649"/>
        <v>0.09</v>
      </c>
      <c r="AE267" s="173">
        <f t="shared" si="650"/>
        <v>0.11</v>
      </c>
      <c r="AF267" s="174">
        <f t="shared" si="651"/>
        <v>0.13</v>
      </c>
      <c r="AG267" s="173">
        <f t="shared" si="652"/>
        <v>-0.1</v>
      </c>
      <c r="AH267" s="173">
        <f t="shared" si="653"/>
        <v>0.65</v>
      </c>
      <c r="AI267" s="174">
        <f t="shared" si="654"/>
        <v>0.1</v>
      </c>
      <c r="AJ267" s="173">
        <f t="shared" si="655"/>
        <v>-0.1</v>
      </c>
      <c r="AK267" s="173">
        <f t="shared" si="656"/>
        <v>0.65</v>
      </c>
      <c r="AL267" s="174">
        <f t="shared" si="657"/>
        <v>0.1</v>
      </c>
      <c r="AM267" s="173">
        <f t="shared" si="658"/>
        <v>-0.01</v>
      </c>
      <c r="AN267" s="173">
        <f t="shared" si="659"/>
        <v>0.16</v>
      </c>
      <c r="AO267" s="174">
        <f t="shared" si="660"/>
        <v>0.01</v>
      </c>
      <c r="AP267" s="173">
        <f t="shared" si="661"/>
        <v>-0.01</v>
      </c>
      <c r="AQ267" s="173">
        <f t="shared" si="662"/>
        <v>0.16</v>
      </c>
      <c r="AR267" s="175">
        <f t="shared" si="663"/>
        <v>0.01</v>
      </c>
      <c r="AS267" s="521">
        <f t="shared" si="747"/>
        <v>0.5</v>
      </c>
      <c r="AT267" s="349">
        <f t="shared" si="745"/>
        <v>23</v>
      </c>
      <c r="AU267" s="159">
        <f t="shared" si="582"/>
        <v>4</v>
      </c>
      <c r="AV267" s="159">
        <f t="shared" si="583"/>
        <v>4</v>
      </c>
      <c r="AW267" s="159">
        <f t="shared" si="748"/>
        <v>0</v>
      </c>
      <c r="AX267" s="15">
        <f t="shared" si="746"/>
        <v>31</v>
      </c>
      <c r="AY267" s="607">
        <f>IF(E267="",0,MIN((1-(1-VLOOKUP(B267,MAIN!$AA$7:$AM$28,C267+1))*(1-VLOOKUP(B267,MAIN!$AA$33:$AM$54,C267+1))),1))</f>
        <v>3.0000000000000027E-2</v>
      </c>
      <c r="AZ267" s="337">
        <v>53544</v>
      </c>
      <c r="BA267" s="509">
        <v>9312</v>
      </c>
      <c r="BB267" s="509">
        <v>9312</v>
      </c>
      <c r="BC267" s="511">
        <v>36084</v>
      </c>
      <c r="BD267" s="153">
        <v>0.96999999638646839</v>
      </c>
      <c r="BE267" s="474">
        <v>0.96999999638646839</v>
      </c>
      <c r="BF267" s="474">
        <v>0.96999999638646839</v>
      </c>
      <c r="BG267" s="515">
        <v>0.97000000722706314</v>
      </c>
      <c r="BH267" s="262">
        <v>214176</v>
      </c>
      <c r="BI267" s="509">
        <v>37248</v>
      </c>
      <c r="BJ267" s="509">
        <v>37248</v>
      </c>
      <c r="BK267" s="511">
        <v>144336</v>
      </c>
      <c r="BL267" s="153">
        <v>0.96999999638646839</v>
      </c>
      <c r="BM267" s="474">
        <v>0.96999999638646839</v>
      </c>
      <c r="BN267" s="474">
        <v>0.96999999638646839</v>
      </c>
      <c r="BO267" s="474">
        <v>0.97000000722706314</v>
      </c>
      <c r="BP267" s="261">
        <f t="shared" si="666"/>
        <v>72168</v>
      </c>
      <c r="BQ267" s="578">
        <f t="shared" si="667"/>
        <v>108252</v>
      </c>
      <c r="BR267" s="259">
        <f t="shared" si="668"/>
        <v>288672</v>
      </c>
      <c r="BS267" s="578">
        <f t="shared" si="669"/>
        <v>433008</v>
      </c>
      <c r="BT267" s="216">
        <f t="shared" si="670"/>
        <v>20.878850102669404</v>
      </c>
      <c r="BU267" s="218">
        <f t="shared" si="585"/>
        <v>45.074098099997414</v>
      </c>
      <c r="BV267" s="216">
        <f t="shared" si="586"/>
        <v>45.074098099997414</v>
      </c>
      <c r="BW267" s="216">
        <f t="shared" si="587"/>
        <v>31.284111054682647</v>
      </c>
      <c r="BX267" s="216">
        <f t="shared" si="671"/>
        <v>31.284111404309833</v>
      </c>
      <c r="BY267" s="216">
        <f t="shared" si="588"/>
        <v>43.294744932860027</v>
      </c>
      <c r="BZ267" s="216">
        <f t="shared" si="589"/>
        <v>39.291200423343298</v>
      </c>
      <c r="CA267" s="264">
        <f t="shared" si="590"/>
        <v>45.074098099997414</v>
      </c>
      <c r="CB267" s="216">
        <f t="shared" si="591"/>
        <v>45.074098099997414</v>
      </c>
      <c r="CC267" s="216">
        <f t="shared" si="592"/>
        <v>31.284111054682647</v>
      </c>
      <c r="CD267" s="216">
        <f t="shared" si="672"/>
        <v>31.284111404309833</v>
      </c>
      <c r="CE267" s="216">
        <f t="shared" si="593"/>
        <v>43.294744932860027</v>
      </c>
      <c r="CF267" s="571">
        <f t="shared" si="594"/>
        <v>39.291200423343298</v>
      </c>
      <c r="CG267" s="573">
        <f t="shared" si="595"/>
        <v>0.1</v>
      </c>
      <c r="CH267" s="219">
        <f t="shared" si="596"/>
        <v>0.1</v>
      </c>
      <c r="CI267" s="219">
        <f t="shared" si="597"/>
        <v>0.11</v>
      </c>
      <c r="CJ267" s="219">
        <f t="shared" si="598"/>
        <v>0.10094133133554241</v>
      </c>
      <c r="CK267" s="219">
        <f t="shared" si="599"/>
        <v>0.10094133133554241</v>
      </c>
      <c r="CL267" s="219">
        <f t="shared" si="600"/>
        <v>0.11</v>
      </c>
      <c r="CM267" s="219">
        <f t="shared" si="601"/>
        <v>9.2607478573771024E-2</v>
      </c>
      <c r="CN267" s="569">
        <f t="shared" si="602"/>
        <v>9.2607478573771024E-2</v>
      </c>
      <c r="CO267" s="264">
        <f t="shared" si="685"/>
        <v>27.288833954755674</v>
      </c>
      <c r="CP267" s="216">
        <f t="shared" si="673"/>
        <v>27.288833954755674</v>
      </c>
      <c r="CQ267" s="216">
        <f t="shared" ca="1" si="703"/>
        <v>27.288833954755674</v>
      </c>
      <c r="CR267" s="216">
        <f t="shared" ca="1" si="704"/>
        <v>27.288833954755674</v>
      </c>
      <c r="CS267" s="1626">
        <f t="shared" ca="1" si="705"/>
        <v>27.288833954755674</v>
      </c>
      <c r="CT267" s="216">
        <f t="shared" si="674"/>
        <v>27.288833954755674</v>
      </c>
      <c r="CU267" s="575">
        <f t="shared" si="603"/>
        <v>0.15</v>
      </c>
      <c r="CV267" s="154">
        <f t="shared" si="604"/>
        <v>0.5</v>
      </c>
      <c r="CW267" s="216">
        <f>IF(OR($BQ267,$BS267),SpreadOptPowerMargin,0)*((1+Assumptions!$C$26)^($B267-YEAR(Assumptions!$C$17)))</f>
        <v>2.5708432456372909</v>
      </c>
      <c r="CX267" s="216">
        <f>IF(OR($BQ267,$BS267),SpreadOptPowerMargin,0)*((1+Assumptions!$C$26)^($B267-YEAR(Assumptions!$C$17)))</f>
        <v>2.5708432456372909</v>
      </c>
      <c r="CY267" s="216">
        <f>IF(OR($BQ267,$BS267),SpreadOptPowerMargin,0)*((1+Assumptions!$C$26)^($B267-YEAR(Assumptions!$C$17)))</f>
        <v>2.5708432456372909</v>
      </c>
      <c r="CZ267" s="216">
        <f>IF(OR($BQ267,$BS267),SpreadOptPowerMargin,0)*((1+Assumptions!$C$26)^($B267-YEAR(Assumptions!$C$17)))</f>
        <v>2.5708432456372909</v>
      </c>
      <c r="DA267" s="440">
        <f t="shared" si="605"/>
        <v>2.5708432456372909</v>
      </c>
      <c r="DB267" s="479">
        <f t="shared" si="606"/>
        <v>0.1</v>
      </c>
      <c r="DC267" s="479">
        <f t="shared" si="607"/>
        <v>0.1</v>
      </c>
      <c r="DD267" s="479">
        <f t="shared" si="608"/>
        <v>0.11</v>
      </c>
      <c r="DE267" s="479">
        <f t="shared" si="609"/>
        <v>0.11</v>
      </c>
      <c r="DF267" s="479">
        <f t="shared" si="610"/>
        <v>9.2607478573771024E-2</v>
      </c>
      <c r="DG267" s="574">
        <f t="shared" si="611"/>
        <v>9.2607478573771024E-2</v>
      </c>
      <c r="DH267" s="216">
        <f t="shared" si="612"/>
        <v>17.985580065817402</v>
      </c>
      <c r="DI267" s="216">
        <f t="shared" si="613"/>
        <v>17.985580065817402</v>
      </c>
      <c r="DJ267" s="216">
        <f t="shared" ca="1" si="706"/>
        <v>7.6426069161303403</v>
      </c>
      <c r="DK267" s="216">
        <f t="shared" ca="1" si="707"/>
        <v>7.6426071429378082</v>
      </c>
      <c r="DL267" s="216">
        <f t="shared" ca="1" si="708"/>
        <v>13.176045577041597</v>
      </c>
      <c r="DM267" s="216"/>
      <c r="DN267" s="216"/>
      <c r="DO267" s="216"/>
      <c r="DP267" s="216"/>
      <c r="DQ267" s="216"/>
      <c r="DR267" s="216"/>
      <c r="DS267" s="216"/>
      <c r="DT267" s="216"/>
      <c r="DU267" s="216"/>
      <c r="DV267" s="216"/>
      <c r="DW267" s="1371">
        <f t="shared" si="614"/>
        <v>7.6426069161303403</v>
      </c>
      <c r="DX267" s="216">
        <f t="shared" si="615"/>
        <v>7.6426071429378082</v>
      </c>
      <c r="DY267" s="440">
        <f t="shared" si="616"/>
        <v>13.64820430445435</v>
      </c>
      <c r="DZ267" s="180">
        <f t="shared" si="617"/>
        <v>963019.89904412697</v>
      </c>
      <c r="EA267" s="180">
        <f t="shared" si="618"/>
        <v>167481.72157289163</v>
      </c>
      <c r="EB267" s="180">
        <f t="shared" ca="1" si="709"/>
        <v>71167.955603005728</v>
      </c>
      <c r="EC267" s="180">
        <f t="shared" ca="1" si="710"/>
        <v>275775.83614576788</v>
      </c>
      <c r="ED267" s="180">
        <f t="shared" ca="1" si="711"/>
        <v>1426333.2858059069</v>
      </c>
      <c r="EE267" s="581">
        <f t="shared" si="619"/>
        <v>814640.95264842059</v>
      </c>
      <c r="EF267" s="554">
        <f t="shared" si="620"/>
        <v>141676.68741711663</v>
      </c>
      <c r="EG267" s="554">
        <f t="shared" ca="1" si="712"/>
        <v>13264.328051145512</v>
      </c>
      <c r="EH267" s="554">
        <f t="shared" ca="1" si="713"/>
        <v>51399.283814136237</v>
      </c>
      <c r="EI267" s="561">
        <f t="shared" ca="1" si="621"/>
        <v>1020981.2519308194</v>
      </c>
      <c r="EJ267" s="581">
        <f t="shared" si="675"/>
        <v>148378.94639570639</v>
      </c>
      <c r="EK267" s="554">
        <f t="shared" si="676"/>
        <v>25805.034155775007</v>
      </c>
      <c r="EL267" s="554">
        <f t="shared" ca="1" si="714"/>
        <v>57903.62755186022</v>
      </c>
      <c r="EM267" s="554">
        <f t="shared" ca="1" si="715"/>
        <v>224376.55233163165</v>
      </c>
      <c r="EN267" s="561">
        <f t="shared" ca="1" si="716"/>
        <v>405352.03387508751</v>
      </c>
      <c r="EO267" s="180">
        <f t="shared" si="622"/>
        <v>3852079.5961765079</v>
      </c>
      <c r="EP267" s="180">
        <f t="shared" si="623"/>
        <v>669926.88629156654</v>
      </c>
      <c r="EQ267" s="180">
        <f t="shared" si="624"/>
        <v>284671.82241202291</v>
      </c>
      <c r="ER267" s="180">
        <f t="shared" si="625"/>
        <v>1103103.3445830715</v>
      </c>
      <c r="ES267" s="180">
        <f t="shared" si="626"/>
        <v>5909781.6494631693</v>
      </c>
      <c r="ET267" s="1482">
        <f t="shared" ca="1" si="717"/>
        <v>3258563.8105936823</v>
      </c>
      <c r="EU267" s="180">
        <f t="shared" ca="1" si="718"/>
        <v>566706.74966846651</v>
      </c>
      <c r="EV267" s="180">
        <f t="shared" ca="1" si="719"/>
        <v>53057.312204582049</v>
      </c>
      <c r="EW267" s="180">
        <f t="shared" ca="1" si="720"/>
        <v>205597.13525654495</v>
      </c>
      <c r="EX267" s="555">
        <f t="shared" ca="1" si="693"/>
        <v>4083925.007723276</v>
      </c>
      <c r="EY267" s="180">
        <f t="shared" ca="1" si="721"/>
        <v>593515.78558282554</v>
      </c>
      <c r="EZ267" s="180">
        <f t="shared" ca="1" si="722"/>
        <v>103220.13662310003</v>
      </c>
      <c r="FA267" s="180">
        <f t="shared" ca="1" si="723"/>
        <v>231614.51020744088</v>
      </c>
      <c r="FB267" s="180">
        <f t="shared" ca="1" si="724"/>
        <v>897506.20932652662</v>
      </c>
      <c r="FC267" s="180">
        <f t="shared" ca="1" si="725"/>
        <v>1825856.6417398932</v>
      </c>
      <c r="FD267" s="262">
        <f>IF(AX267,IF(VLOOKUP(C267,MAIN!$L$17:$M$28,2)="Yes",VLOOKUP(CALC!B267,MAIN!$H$17:$I$20,2),0),0)</f>
        <v>0</v>
      </c>
      <c r="FE267" s="623">
        <f t="shared" si="627"/>
        <v>0</v>
      </c>
      <c r="FF267" s="535">
        <f t="shared" si="628"/>
        <v>0</v>
      </c>
      <c r="FG267" s="535">
        <f t="shared" si="629"/>
        <v>0</v>
      </c>
      <c r="FH267" s="624">
        <f t="shared" si="630"/>
        <v>0</v>
      </c>
      <c r="FI267" s="632">
        <f>IF(AX267,VLOOKUP(CALC!B267,MAIN!$H$17:$K$20,4),0)</f>
        <v>0</v>
      </c>
      <c r="FJ267" s="535">
        <f t="shared" si="631"/>
        <v>0</v>
      </c>
      <c r="FK267" s="648">
        <f t="shared" si="677"/>
        <v>0</v>
      </c>
      <c r="FL267" s="530">
        <f t="shared" ca="1" si="726"/>
        <v>0</v>
      </c>
      <c r="FM267" s="530">
        <f t="shared" ca="1" si="727"/>
        <v>0</v>
      </c>
      <c r="FN267" s="530">
        <f t="shared" ca="1" si="728"/>
        <v>0</v>
      </c>
      <c r="FO267" s="622">
        <f t="shared" ca="1" si="729"/>
        <v>0</v>
      </c>
      <c r="FP267" s="530">
        <f t="shared" ca="1" si="730"/>
        <v>0</v>
      </c>
      <c r="FQ267" s="530">
        <f t="shared" ca="1" si="731"/>
        <v>0</v>
      </c>
      <c r="FR267" s="530">
        <f t="shared" ca="1" si="732"/>
        <v>0</v>
      </c>
      <c r="FS267" s="625">
        <f t="shared" ca="1" si="733"/>
        <v>0</v>
      </c>
      <c r="FT267" s="640">
        <f ca="1">IF(AND(Assumptions!$H$71="Yes",A267&gt;=Assumptions!$H$72,A267&lt;=Assumptions!$H$73),0,IF(AND($A267&gt;=Assumptions!$C$17,$A267&lt;=Assumptions!$C$18),MAX(AZ267*(1+VLOOKUP($C267,WeatherCapacityAdjustment,2))-FL267,0),0))</f>
        <v>53544</v>
      </c>
      <c r="FU267" s="530">
        <f ca="1">IF(AND(Assumptions!$H$71="Yes",A267&gt;=Assumptions!$H$72,A267&lt;=Assumptions!$H$73),0,IF(AND($A267&gt;=Assumptions!$C$17,$A267&lt;=Assumptions!$C$18),MAX(BA267*(1+VLOOKUP($C267,WeatherCapacityAdjustment,2))-FM267,0),0))</f>
        <v>9312</v>
      </c>
      <c r="FV267" s="530">
        <f ca="1">IF(AND(Assumptions!$H$71="Yes",A267&gt;=Assumptions!$H$72,A267&lt;=Assumptions!$H$73),0,IF(AND($A267&gt;=Assumptions!$C$17,$A267&lt;=Assumptions!$C$18),MAX(BB267*(1+VLOOKUP($C267,WeatherCapacityAdjustment,2))-FN267,0),0))</f>
        <v>9312</v>
      </c>
      <c r="FW267" s="622">
        <f ca="1">IF(AND(Assumptions!$H$71="Yes",A267&gt;=Assumptions!$H$72,A267&lt;=Assumptions!$H$73),0,IF(AND($A267&gt;=Assumptions!$C$17,$A267&lt;=Assumptions!$C$18),MAX(BC267*(1+VLOOKUP($C267,WeatherCapacityAdjustment,3))-FO267,0),0))</f>
        <v>36084</v>
      </c>
      <c r="FX267" s="621">
        <f ca="1">IF(AND(Assumptions!$H$71="Yes",A267&gt;=Assumptions!$H$72,A267&lt;=Assumptions!$H$73),0,IF(ET267&gt;0,MAX(BH267*(1+VLOOKUP($C267,WeatherCapacityAdjustment,2))-FP267,0),0))</f>
        <v>214176</v>
      </c>
      <c r="FY267" s="530">
        <f ca="1">IF(AND(Assumptions!$H$71="Yes",A267&gt;=Assumptions!$H$72,A267&lt;=Assumptions!$H$73),0,IF(EU267&gt;0,MAX(BI267*(1+VLOOKUP($C267,WeatherCapacityAdjustment,3))-FQ267,0),0))</f>
        <v>37248</v>
      </c>
      <c r="FZ267" s="530">
        <f ca="1">IF(AND(Assumptions!$H$71="Yes",A267&gt;=Assumptions!$H$72,A267&lt;=Assumptions!$H$73),0,IF(EV267&gt;0,MAX(BJ267*(1+VLOOKUP($C267,WeatherCapacityAdjustment,2))-FR267,0),0))</f>
        <v>37248</v>
      </c>
      <c r="GA267" s="622">
        <f ca="1">IF(AND(Assumptions!$H$71="Yes",A267&gt;=Assumptions!$H$72,A267&lt;=Assumptions!$H$73),0,IF(EW267&gt;0,MAX(BK267*(1+VLOOKUP($C267,WeatherCapacityAdjustment,2))-FS267,0),0))</f>
        <v>144336</v>
      </c>
      <c r="GB267" s="530">
        <f t="shared" ca="1" si="632"/>
        <v>541260</v>
      </c>
      <c r="GC267" s="545">
        <f t="shared" ca="1" si="633"/>
        <v>39.291200423343298</v>
      </c>
      <c r="GD267" s="530">
        <f t="shared" ca="1" si="734"/>
        <v>21266755.141138792</v>
      </c>
      <c r="GE267" s="1485">
        <f t="shared" ca="1" si="735"/>
        <v>780042.26160000009</v>
      </c>
      <c r="GF267" s="1776">
        <f t="shared" ca="1" si="736"/>
        <v>3120169.0464000003</v>
      </c>
      <c r="GG267" s="545">
        <f t="shared" si="701"/>
        <v>3.7870651356900931</v>
      </c>
      <c r="GH267" s="622">
        <f t="shared" ca="1" si="702"/>
        <v>14770354.266351055</v>
      </c>
      <c r="GI267" s="621">
        <f t="shared" ca="1" si="678"/>
        <v>541260</v>
      </c>
      <c r="GJ267" s="638">
        <f t="shared" si="634"/>
        <v>2.5708432456372909</v>
      </c>
      <c r="GK267" s="625">
        <f t="shared" ca="1" si="684"/>
        <v>1391494.6151336401</v>
      </c>
      <c r="GL267" s="640">
        <f t="shared" ca="1" si="737"/>
        <v>0</v>
      </c>
      <c r="GM267" s="530">
        <f t="shared" ca="1" si="738"/>
        <v>0</v>
      </c>
      <c r="GN267" s="530">
        <f t="shared" ca="1" si="739"/>
        <v>0</v>
      </c>
      <c r="GO267" s="622">
        <f t="shared" ca="1" si="740"/>
        <v>0</v>
      </c>
      <c r="GP267" s="530">
        <f t="shared" ca="1" si="635"/>
        <v>0</v>
      </c>
      <c r="GQ267" s="545">
        <f t="shared" ca="1" si="636"/>
        <v>0</v>
      </c>
      <c r="GR267" s="625">
        <f t="shared" ca="1" si="741"/>
        <v>0</v>
      </c>
      <c r="GS267" s="640">
        <f>IF($A267&gt;=BegDate,Assumptions!$C$56*24*($A268-$A267)*(1-VLOOKUP($B267,MAIN!$AA$7:$AM$28,$C267+1))*(1-VLOOKUP($B267,MAIN!$AA$33:$AM$54,$C267+1)),0)*80/168</f>
        <v>257742.85714285713</v>
      </c>
      <c r="GT267" s="1715">
        <f t="shared" si="679"/>
        <v>45.074098267911509</v>
      </c>
      <c r="GU267" s="1715">
        <f>IF($A267&gt;=BegDate,VLOOKUP($A267,GasTable,13)+Assumptions!$C$58,0)</f>
        <v>3.7870651356900931</v>
      </c>
      <c r="GV267" s="1715">
        <f>GU267*Assumptions!$C$57/1000</f>
        <v>27.456222233753174</v>
      </c>
      <c r="GW267" s="625">
        <f>IF(Assumptions!$C$60="Hourly",MAX(0,GS267*(GT267-GV267)),GS267*(GT267-GV267))</f>
        <v>4540881.7058326378</v>
      </c>
      <c r="GX267" s="640">
        <f>IF($A267&gt;=BegDate,Assumptions!$C$56*24*($A268-$A267)*(1-VLOOKUP($B267,MAIN!$AA$7:$AM$28,$C267+1))*(1-VLOOKUP($B267,MAIN!$AA$33:$AM$54,$C267+1)),0)*16/168</f>
        <v>51548.571428571428</v>
      </c>
      <c r="GY267" s="1715">
        <f t="shared" si="680"/>
        <v>45.074098267911509</v>
      </c>
      <c r="GZ267" s="1715">
        <f>IF($A267&gt;=BegDate,VLOOKUP($A267,GasTable,13)+Assumptions!$C$58,0)</f>
        <v>3.7870651356900931</v>
      </c>
      <c r="HA267" s="1715">
        <f>GZ267*Assumptions!$C$57/1000</f>
        <v>27.456222233753174</v>
      </c>
      <c r="HB267" s="625">
        <f>IF(Assumptions!$C$60="Hourly",MAX(0,GX267*(GY267-HA267)),GX267*(GY267-HA267))</f>
        <v>908176.34116652771</v>
      </c>
      <c r="HC267" s="640">
        <f>IF($A267&gt;=BegDate,Assumptions!$C$56*24*($A268-$A267)*(1-VLOOKUP($B267,MAIN!$AA$7:$AM$28,$C267+1))*(1-VLOOKUP($B267,MAIN!$AA$33:$AM$54,$C267+1)),0)*16/168</f>
        <v>51548.571428571428</v>
      </c>
      <c r="HD267" s="1715">
        <f t="shared" si="681"/>
        <v>31.284111171225046</v>
      </c>
      <c r="HE267" s="1715">
        <f>IF($A267&gt;=BegDate,VLOOKUP($A267,GasTable,13)+Assumptions!$C$58,0)</f>
        <v>3.7870651356900931</v>
      </c>
      <c r="HF267" s="1715">
        <f>HE267*Assumptions!$C$57/1000</f>
        <v>27.456222233753174</v>
      </c>
      <c r="HG267" s="625">
        <f>IF(Assumptions!$C$60="Hourly",MAX(0,HC267*(HD267-HF267)),HC267*(HD267-HF267))</f>
        <v>197322.2063139072</v>
      </c>
      <c r="HH267" s="640">
        <f>IF($A267&gt;=BegDate,Assumptions!$C$56*24*($A268-$A267)*(1-VLOOKUP($B267,MAIN!$AA$7:$AM$28,$C267+1))*(1-VLOOKUP($B267,MAIN!$AA$33:$AM$54,$C267+1)),0)*56/168</f>
        <v>180420</v>
      </c>
      <c r="HI267" s="1715">
        <f t="shared" si="682"/>
        <v>31.284111171225046</v>
      </c>
      <c r="HJ267" s="1715">
        <f>IF($A267&gt;=BegDate,VLOOKUP($A267,GasTable,13)+Assumptions!$C$58,0)</f>
        <v>3.7870651356900931</v>
      </c>
      <c r="HK267" s="1715">
        <f>HJ267*Assumptions!$C$57/1000</f>
        <v>27.456222233753174</v>
      </c>
      <c r="HL267" s="625">
        <f>IF(Assumptions!$C$60="Hourly",MAX(0,HH267*(HI267-HK267)),HH267*(HI267-HK267))</f>
        <v>690627.72209867521</v>
      </c>
      <c r="HM267" s="640">
        <f>IF(AND(Assumptions!$H$71="Yes",A267&gt;=Assumptions!$H$72,A267&lt;=Assumptions!$H$73),Assumptions!$H$74*Assumptions!$C$9*1000,0)</f>
        <v>0</v>
      </c>
      <c r="HN267" s="530"/>
      <c r="HO267" s="545"/>
      <c r="HP267" s="545"/>
      <c r="HQ267" s="545"/>
      <c r="HR267" s="545"/>
      <c r="HS267" s="545"/>
      <c r="HT267" s="545"/>
      <c r="HU267" s="545"/>
      <c r="HV267" s="545"/>
      <c r="HW267" s="545"/>
      <c r="HX267" s="545"/>
      <c r="HY267" s="545"/>
      <c r="HZ267" s="545"/>
      <c r="IA267" s="545"/>
      <c r="IB267" s="545"/>
      <c r="IC267" s="545"/>
      <c r="ID267" s="545"/>
      <c r="IE267" s="545"/>
      <c r="IF267" s="545"/>
      <c r="IG267" s="545"/>
      <c r="IH267" s="545"/>
      <c r="II267" s="1464"/>
      <c r="IJ267" s="1463"/>
      <c r="IK267" s="1463"/>
    </row>
    <row r="268" spans="1:249">
      <c r="A268" s="177">
        <f t="shared" si="637"/>
        <v>44287</v>
      </c>
      <c r="B268" s="349">
        <f t="shared" si="638"/>
        <v>2021</v>
      </c>
      <c r="C268" s="15">
        <f t="shared" si="742"/>
        <v>4</v>
      </c>
      <c r="D268" s="612" t="str">
        <f t="shared" si="639"/>
        <v/>
      </c>
      <c r="E268" s="609">
        <f t="shared" si="743"/>
        <v>44287</v>
      </c>
      <c r="F268" s="614">
        <f t="shared" si="744"/>
        <v>44316</v>
      </c>
      <c r="G268" s="1349">
        <v>0</v>
      </c>
      <c r="H268" s="152">
        <f t="shared" si="683"/>
        <v>1</v>
      </c>
      <c r="I268" s="154">
        <f>IF(Assumptions!$L$25=4,VLOOKUP($A268,'Henwood Reference'!$E$9:$R$320,10),(VLOOKUP($A268,PriceTable,2,0)+IF(BasisNumber&lt;&gt;1,VLOOKUP($A268,BasisTable,2,0),0)+I$1)/(1-I$2))</f>
        <v>43.710453258306536</v>
      </c>
      <c r="J268" s="154">
        <f>IF(Assumptions!$L$25=4,VLOOKUP($A268,'Henwood Reference'!$E$9:$R$320,10),(VLOOKUP($A268,PriceTable,3,0)+IF(BasisNumber&lt;&gt;1,VLOOKUP($A268,BasisTable,2,0),0)+J$1)/(1-J$2))</f>
        <v>43.710453258306536</v>
      </c>
      <c r="K268" s="154">
        <f>IF(Assumptions!$L$25=4,VLOOKUP($A268,'Henwood Reference'!$E$9:$R$320,10),(VLOOKUP($A268,PriceTable,4,0)+IF(BasisNumber&lt;&gt;1,VLOOKUP($A268,BasisTable,2,0),0)+K$1)/(1-K$2))</f>
        <v>43.710453258306536</v>
      </c>
      <c r="L268" s="474">
        <f>IF(Assumptions!$L$25=4,VLOOKUP($A268,'Henwood Reference'!$E$9:$R$320,10),(VLOOKUP($A268,PriceTableWeekend,2,0)+IF(BasisNumber&lt;&gt;1,VLOOKUP($A268,BasisTable,2,0),0)+L$1)/(1-L$2))</f>
        <v>43.710453258306536</v>
      </c>
      <c r="M268" s="154">
        <f>IF(Assumptions!$L$25=4,VLOOKUP($A268,'Henwood Reference'!$E$9:$R$320,10),(VLOOKUP($A268,PriceTableWeekend,3,0)+IF(BasisNumber&lt;&gt;1,VLOOKUP($A268,BasisTable,2,0),0)+M$1)/(1-M$2))</f>
        <v>43.710453258306536</v>
      </c>
      <c r="N268" s="156">
        <f>IF(Assumptions!$L$25=4,VLOOKUP($A268,'Henwood Reference'!$E$9:$R$320,10),(VLOOKUP($A268,PriceTableWeekend,4,0)+IF(BasisNumber&lt;&gt;1,VLOOKUP($A268,BasisTable,2,0),0)+N$1)/(1-N$2))</f>
        <v>43.710453258306536</v>
      </c>
      <c r="O268" s="154">
        <f>IF(Assumptions!$L$25=4,VLOOKUP($A268,'Henwood Reference'!$E$9:$R$320,11),(VLOOKUP($A268,PriceTableWeekend,6,0)+IF(BasisNumber&lt;&gt;1,VLOOKUP($A268,BasisTable,3,0),0)+O$1)/(1-O$2))</f>
        <v>30.477473543002571</v>
      </c>
      <c r="P268" s="154">
        <f>IF(Assumptions!$L$25=4,VLOOKUP($A268,'Henwood Reference'!$E$9:$R$320,11),(VLOOKUP($A268,PriceTableWeekend,7,0)+IF(BasisNumber&lt;&gt;1,VLOOKUP($A268,BasisTable,3,0),0)+P$1)/(1-P$2))</f>
        <v>30.477473543002571</v>
      </c>
      <c r="Q268" s="156">
        <f>IF(Assumptions!$L$25=4,VLOOKUP($A268,'Henwood Reference'!$E$9:$R$320,11),(VLOOKUP($A268,PriceTableWeekend,8,0)+IF(BasisNumber&lt;&gt;1,VLOOKUP($A268,BasisTable,3,0),0)+Q$1)/(1-Q$2))</f>
        <v>30.477473543002571</v>
      </c>
      <c r="R268" s="154">
        <f>IF(Assumptions!$L$25=4,VLOOKUP($A268,'Henwood Reference'!$E$9:$R$320,11),(VLOOKUP($A268,PriceTable,6,0)+IF(BasisNumber&lt;&gt;1,VLOOKUP($A268,BasisTable,3,0),0)+R$1)/(1-R$2))</f>
        <v>30.477473543002571</v>
      </c>
      <c r="S268" s="154">
        <f>IF(Assumptions!$L$25=4,VLOOKUP($A268,'Henwood Reference'!$E$9:$R$320,11),(VLOOKUP($A268,PriceTable,7,0)+IF(BasisNumber&lt;&gt;1,VLOOKUP($A268,BasisTable,3,0),0)+S$1)/(1-S$2))</f>
        <v>30.477473543002571</v>
      </c>
      <c r="T268" s="155">
        <f>IF(Assumptions!$L$25=4,VLOOKUP($A268,'Henwood Reference'!$E$9:$R$320,11),(VLOOKUP($A268,PriceTable,8,0)+IF(BasisNumber&lt;&gt;1,VLOOKUP($A268,BasisTable,3,0),0)+T$1)/(1-T$2))</f>
        <v>30.477473543002571</v>
      </c>
      <c r="U268" s="173">
        <f t="shared" si="640"/>
        <v>0.09</v>
      </c>
      <c r="V268" s="173">
        <f t="shared" si="641"/>
        <v>0.1</v>
      </c>
      <c r="W268" s="174">
        <f t="shared" si="642"/>
        <v>0.11</v>
      </c>
      <c r="X268" s="173">
        <f t="shared" si="643"/>
        <v>0.09</v>
      </c>
      <c r="Y268" s="173">
        <f t="shared" si="644"/>
        <v>0.1</v>
      </c>
      <c r="Z268" s="174">
        <f t="shared" si="645"/>
        <v>0.11</v>
      </c>
      <c r="AA268" s="173">
        <f t="shared" si="646"/>
        <v>0.09</v>
      </c>
      <c r="AB268" s="173">
        <f t="shared" si="647"/>
        <v>0.11</v>
      </c>
      <c r="AC268" s="174">
        <f t="shared" si="648"/>
        <v>0.13</v>
      </c>
      <c r="AD268" s="173">
        <f t="shared" si="649"/>
        <v>0.09</v>
      </c>
      <c r="AE268" s="173">
        <f t="shared" si="650"/>
        <v>0.11</v>
      </c>
      <c r="AF268" s="174">
        <f t="shared" si="651"/>
        <v>0.13</v>
      </c>
      <c r="AG268" s="173">
        <f t="shared" si="652"/>
        <v>-0.1</v>
      </c>
      <c r="AH268" s="173">
        <f t="shared" si="653"/>
        <v>0.65</v>
      </c>
      <c r="AI268" s="174">
        <f t="shared" si="654"/>
        <v>0.1</v>
      </c>
      <c r="AJ268" s="173">
        <f t="shared" si="655"/>
        <v>-0.1</v>
      </c>
      <c r="AK268" s="173">
        <f t="shared" si="656"/>
        <v>0.65</v>
      </c>
      <c r="AL268" s="174">
        <f t="shared" si="657"/>
        <v>0.1</v>
      </c>
      <c r="AM268" s="173">
        <f t="shared" si="658"/>
        <v>-0.01</v>
      </c>
      <c r="AN268" s="173">
        <f t="shared" si="659"/>
        <v>0.16</v>
      </c>
      <c r="AO268" s="174">
        <f t="shared" si="660"/>
        <v>0.01</v>
      </c>
      <c r="AP268" s="173">
        <f t="shared" si="661"/>
        <v>-0.01</v>
      </c>
      <c r="AQ268" s="173">
        <f t="shared" si="662"/>
        <v>0.16</v>
      </c>
      <c r="AR268" s="175">
        <f t="shared" si="663"/>
        <v>0.01</v>
      </c>
      <c r="AS268" s="521">
        <f t="shared" si="747"/>
        <v>0.5</v>
      </c>
      <c r="AT268" s="349">
        <f t="shared" si="745"/>
        <v>22</v>
      </c>
      <c r="AU268" s="159">
        <f t="shared" si="582"/>
        <v>4</v>
      </c>
      <c r="AV268" s="159">
        <f t="shared" si="583"/>
        <v>4</v>
      </c>
      <c r="AW268" s="159">
        <f t="shared" si="748"/>
        <v>0</v>
      </c>
      <c r="AX268" s="15">
        <f t="shared" si="746"/>
        <v>30</v>
      </c>
      <c r="AY268" s="607">
        <f>IF(E268="",0,MIN((1-(1-VLOOKUP(B268,MAIN!$AA$7:$AM$28,C268+1))*(1-VLOOKUP(B268,MAIN!$AA$33:$AM$54,C268+1))),1))</f>
        <v>0.70899999999999996</v>
      </c>
      <c r="AZ268" s="337">
        <v>15364.800000000001</v>
      </c>
      <c r="BA268" s="509">
        <v>2793.6000000000004</v>
      </c>
      <c r="BB268" s="509">
        <v>2793.6000000000004</v>
      </c>
      <c r="BC268" s="511">
        <v>10476.000000000002</v>
      </c>
      <c r="BD268" s="153">
        <v>0.29100000000000004</v>
      </c>
      <c r="BE268" s="474">
        <v>0.29100000000000004</v>
      </c>
      <c r="BF268" s="474">
        <v>0.29100000000000004</v>
      </c>
      <c r="BG268" s="515">
        <v>0.291000002168119</v>
      </c>
      <c r="BH268" s="262">
        <v>61459.200000000004</v>
      </c>
      <c r="BI268" s="509">
        <v>11174.400000000001</v>
      </c>
      <c r="BJ268" s="509">
        <v>11174.400000000001</v>
      </c>
      <c r="BK268" s="511">
        <v>41904.000000000007</v>
      </c>
      <c r="BL268" s="153">
        <v>0.29100000000000004</v>
      </c>
      <c r="BM268" s="474">
        <v>0.29100000000000004</v>
      </c>
      <c r="BN268" s="474">
        <v>0.29100000000000004</v>
      </c>
      <c r="BO268" s="474">
        <v>0.291000002168119</v>
      </c>
      <c r="BP268" s="261">
        <f t="shared" si="666"/>
        <v>20952</v>
      </c>
      <c r="BQ268" s="578">
        <f t="shared" si="667"/>
        <v>31428</v>
      </c>
      <c r="BR268" s="259">
        <f t="shared" si="668"/>
        <v>83808</v>
      </c>
      <c r="BS268" s="578">
        <f t="shared" si="669"/>
        <v>125712</v>
      </c>
      <c r="BT268" s="216">
        <f t="shared" si="670"/>
        <v>20.963723477070499</v>
      </c>
      <c r="BU268" s="218">
        <f t="shared" si="585"/>
        <v>43.710453258306536</v>
      </c>
      <c r="BV268" s="216">
        <f t="shared" si="586"/>
        <v>43.710453258306536</v>
      </c>
      <c r="BW268" s="216">
        <f t="shared" si="587"/>
        <v>30.477473543002571</v>
      </c>
      <c r="BX268" s="216">
        <f t="shared" si="671"/>
        <v>30.477473770077442</v>
      </c>
      <c r="BY268" s="216">
        <f t="shared" si="588"/>
        <v>41.946055962932682</v>
      </c>
      <c r="BZ268" s="216">
        <f t="shared" si="589"/>
        <v>38.123195231980937</v>
      </c>
      <c r="CA268" s="264">
        <f t="shared" si="590"/>
        <v>43.710453258306536</v>
      </c>
      <c r="CB268" s="216">
        <f t="shared" si="591"/>
        <v>43.710453258306536</v>
      </c>
      <c r="CC268" s="216">
        <f t="shared" si="592"/>
        <v>30.477473543002571</v>
      </c>
      <c r="CD268" s="216">
        <f t="shared" si="672"/>
        <v>30.477473770077442</v>
      </c>
      <c r="CE268" s="216">
        <f t="shared" si="593"/>
        <v>41.946055962932682</v>
      </c>
      <c r="CF268" s="571">
        <f t="shared" si="594"/>
        <v>38.123195231980937</v>
      </c>
      <c r="CG268" s="573">
        <f t="shared" si="595"/>
        <v>0.1</v>
      </c>
      <c r="CH268" s="219">
        <f t="shared" si="596"/>
        <v>0.1</v>
      </c>
      <c r="CI268" s="219">
        <f t="shared" si="597"/>
        <v>0.11</v>
      </c>
      <c r="CJ268" s="219">
        <f t="shared" si="598"/>
        <v>0.10097810111088808</v>
      </c>
      <c r="CK268" s="219">
        <f t="shared" si="599"/>
        <v>0.10097810111088808</v>
      </c>
      <c r="CL268" s="219">
        <f t="shared" si="600"/>
        <v>0.11</v>
      </c>
      <c r="CM268" s="219">
        <f t="shared" si="601"/>
        <v>9.2616446367376162E-2</v>
      </c>
      <c r="CN268" s="569">
        <f t="shared" si="602"/>
        <v>9.2616446367376162E-2</v>
      </c>
      <c r="CO268" s="264">
        <f t="shared" si="685"/>
        <v>25.799326318848866</v>
      </c>
      <c r="CP268" s="216">
        <f t="shared" si="673"/>
        <v>25.799326318848866</v>
      </c>
      <c r="CQ268" s="216">
        <f t="shared" ca="1" si="703"/>
        <v>25.799326318848866</v>
      </c>
      <c r="CR268" s="216">
        <f t="shared" ca="1" si="704"/>
        <v>25.799326318848866</v>
      </c>
      <c r="CS268" s="1626">
        <f t="shared" ca="1" si="705"/>
        <v>25.79932631884887</v>
      </c>
      <c r="CT268" s="216">
        <f t="shared" si="674"/>
        <v>25.799326318848866</v>
      </c>
      <c r="CU268" s="575">
        <f t="shared" si="603"/>
        <v>0.15</v>
      </c>
      <c r="CV268" s="154">
        <f t="shared" si="604"/>
        <v>0.5</v>
      </c>
      <c r="CW268" s="216">
        <f>IF(OR($BQ268,$BS268),SpreadOptPowerMargin,0)*((1+Assumptions!$C$26)^($B268-YEAR(Assumptions!$C$17)))</f>
        <v>2.5708432456372909</v>
      </c>
      <c r="CX268" s="216">
        <f>IF(OR($BQ268,$BS268),SpreadOptPowerMargin,0)*((1+Assumptions!$C$26)^($B268-YEAR(Assumptions!$C$17)))</f>
        <v>2.5708432456372909</v>
      </c>
      <c r="CY268" s="216">
        <f>IF(OR($BQ268,$BS268),SpreadOptPowerMargin,0)*((1+Assumptions!$C$26)^($B268-YEAR(Assumptions!$C$17)))</f>
        <v>2.5708432456372909</v>
      </c>
      <c r="CZ268" s="216">
        <f>IF(OR($BQ268,$BS268),SpreadOptPowerMargin,0)*((1+Assumptions!$C$26)^($B268-YEAR(Assumptions!$C$17)))</f>
        <v>2.5708432456372909</v>
      </c>
      <c r="DA268" s="440">
        <f t="shared" si="605"/>
        <v>2.5708432456372905</v>
      </c>
      <c r="DB268" s="479">
        <f t="shared" si="606"/>
        <v>0.1</v>
      </c>
      <c r="DC268" s="479">
        <f t="shared" si="607"/>
        <v>0.1</v>
      </c>
      <c r="DD268" s="479">
        <f t="shared" si="608"/>
        <v>0.11</v>
      </c>
      <c r="DE268" s="479">
        <f t="shared" si="609"/>
        <v>0.11</v>
      </c>
      <c r="DF268" s="479">
        <f t="shared" si="610"/>
        <v>9.2616446367376162E-2</v>
      </c>
      <c r="DG268" s="574">
        <f t="shared" si="611"/>
        <v>9.2616446367376162E-2</v>
      </c>
      <c r="DH268" s="216">
        <f t="shared" si="612"/>
        <v>17.833659605731842</v>
      </c>
      <c r="DI268" s="216">
        <f t="shared" si="613"/>
        <v>17.833659605731842</v>
      </c>
      <c r="DJ268" s="216">
        <f t="shared" ca="1" si="706"/>
        <v>7.7470927732824508</v>
      </c>
      <c r="DK268" s="216">
        <f t="shared" ca="1" si="707"/>
        <v>7.7470929242567266</v>
      </c>
      <c r="DL268" s="216">
        <f t="shared" ca="1" si="708"/>
        <v>13.133619283680451</v>
      </c>
      <c r="DM268" s="216"/>
      <c r="DN268" s="216"/>
      <c r="DO268" s="216"/>
      <c r="DP268" s="216"/>
      <c r="DQ268" s="216"/>
      <c r="DR268" s="216"/>
      <c r="DS268" s="216"/>
      <c r="DT268" s="216"/>
      <c r="DU268" s="216"/>
      <c r="DV268" s="216"/>
      <c r="DW268" s="1371">
        <f t="shared" si="614"/>
        <v>7.7470927732824508</v>
      </c>
      <c r="DX268" s="216">
        <f t="shared" si="615"/>
        <v>7.7470929242567266</v>
      </c>
      <c r="DY268" s="440">
        <f t="shared" si="616"/>
        <v>13.574886993466862</v>
      </c>
      <c r="DZ268" s="180">
        <f t="shared" si="617"/>
        <v>274010.61311014864</v>
      </c>
      <c r="EA268" s="180">
        <f t="shared" si="618"/>
        <v>49820.111474572484</v>
      </c>
      <c r="EB268" s="180">
        <f t="shared" ca="1" si="709"/>
        <v>21642.278371441858</v>
      </c>
      <c r="EC268" s="180">
        <f t="shared" ca="1" si="710"/>
        <v>81158.545474513478</v>
      </c>
      <c r="ED268" s="180">
        <f t="shared" ca="1" si="711"/>
        <v>412763.38684750919</v>
      </c>
      <c r="EE268" s="581">
        <f t="shared" si="619"/>
        <v>235700.39089881137</v>
      </c>
      <c r="EF268" s="554">
        <f t="shared" si="620"/>
        <v>42854.616527056613</v>
      </c>
      <c r="EG268" s="554">
        <f t="shared" ca="1" si="712"/>
        <v>5886.9643943834517</v>
      </c>
      <c r="EH268" s="554">
        <f t="shared" ca="1" si="713"/>
        <v>22076.118857774291</v>
      </c>
      <c r="EI268" s="561">
        <f t="shared" ca="1" si="621"/>
        <v>306518.09067802579</v>
      </c>
      <c r="EJ268" s="581">
        <f t="shared" si="675"/>
        <v>38310.22221133727</v>
      </c>
      <c r="EK268" s="554">
        <f t="shared" si="676"/>
        <v>6965.4949475158719</v>
      </c>
      <c r="EL268" s="554">
        <f t="shared" ca="1" si="714"/>
        <v>15755.313977058406</v>
      </c>
      <c r="EM268" s="554">
        <f t="shared" ca="1" si="715"/>
        <v>59082.426616739191</v>
      </c>
      <c r="EN268" s="561">
        <f t="shared" ca="1" si="716"/>
        <v>106245.29616948339</v>
      </c>
      <c r="EO268" s="180">
        <f t="shared" si="622"/>
        <v>1096042.4524405946</v>
      </c>
      <c r="EP268" s="180">
        <f t="shared" si="623"/>
        <v>199280.44589828994</v>
      </c>
      <c r="EQ268" s="180">
        <f t="shared" si="624"/>
        <v>86569.113485767433</v>
      </c>
      <c r="ER268" s="180">
        <f t="shared" si="625"/>
        <v>324634.18189805391</v>
      </c>
      <c r="ES268" s="180">
        <f t="shared" si="626"/>
        <v>1706526.1937227061</v>
      </c>
      <c r="ET268" s="1482">
        <f t="shared" ca="1" si="717"/>
        <v>942801.56359524548</v>
      </c>
      <c r="EU268" s="180">
        <f t="shared" ca="1" si="718"/>
        <v>171418.46610822645</v>
      </c>
      <c r="EV268" s="180">
        <f t="shared" ca="1" si="719"/>
        <v>23547.857577533807</v>
      </c>
      <c r="EW268" s="180">
        <f t="shared" ca="1" si="720"/>
        <v>88304.475431097162</v>
      </c>
      <c r="EX268" s="555">
        <f t="shared" ca="1" si="693"/>
        <v>1226072.3627121027</v>
      </c>
      <c r="EY268" s="180">
        <f t="shared" ca="1" si="721"/>
        <v>153240.88884534908</v>
      </c>
      <c r="EZ268" s="180">
        <f t="shared" ca="1" si="722"/>
        <v>27861.979790063488</v>
      </c>
      <c r="FA268" s="180">
        <f t="shared" ca="1" si="723"/>
        <v>63021.255908233623</v>
      </c>
      <c r="FB268" s="180">
        <f t="shared" ca="1" si="724"/>
        <v>236329.70646695676</v>
      </c>
      <c r="FC268" s="180">
        <f t="shared" ca="1" si="725"/>
        <v>480453.83101060335</v>
      </c>
      <c r="FD268" s="262">
        <f>IF(AX268,IF(VLOOKUP(C268,MAIN!$L$17:$M$28,2)="Yes",VLOOKUP(CALC!B268,MAIN!$H$17:$I$20,2),0),0)</f>
        <v>0</v>
      </c>
      <c r="FE268" s="623">
        <f t="shared" si="627"/>
        <v>0</v>
      </c>
      <c r="FF268" s="535">
        <f t="shared" si="628"/>
        <v>0</v>
      </c>
      <c r="FG268" s="535">
        <f t="shared" si="629"/>
        <v>0</v>
      </c>
      <c r="FH268" s="624">
        <f t="shared" si="630"/>
        <v>0</v>
      </c>
      <c r="FI268" s="632">
        <f>IF(AX268,VLOOKUP(CALC!B268,MAIN!$H$17:$K$20,4),0)</f>
        <v>0</v>
      </c>
      <c r="FJ268" s="535">
        <f t="shared" si="631"/>
        <v>0</v>
      </c>
      <c r="FK268" s="648">
        <f t="shared" si="677"/>
        <v>0</v>
      </c>
      <c r="FL268" s="530">
        <f t="shared" ca="1" si="726"/>
        <v>0</v>
      </c>
      <c r="FM268" s="530">
        <f t="shared" ca="1" si="727"/>
        <v>0</v>
      </c>
      <c r="FN268" s="530">
        <f t="shared" ca="1" si="728"/>
        <v>0</v>
      </c>
      <c r="FO268" s="622">
        <f t="shared" ca="1" si="729"/>
        <v>0</v>
      </c>
      <c r="FP268" s="530">
        <f t="shared" ca="1" si="730"/>
        <v>0</v>
      </c>
      <c r="FQ268" s="530">
        <f t="shared" ca="1" si="731"/>
        <v>0</v>
      </c>
      <c r="FR268" s="530">
        <f t="shared" ca="1" si="732"/>
        <v>0</v>
      </c>
      <c r="FS268" s="625">
        <f t="shared" ca="1" si="733"/>
        <v>0</v>
      </c>
      <c r="FT268" s="640">
        <f ca="1">IF(AND(Assumptions!$H$71="Yes",A268&gt;=Assumptions!$H$72,A268&lt;=Assumptions!$H$73),0,IF(AND($A268&gt;=Assumptions!$C$17,$A268&lt;=Assumptions!$C$18),MAX(AZ268*(1+VLOOKUP($C268,WeatherCapacityAdjustment,2))-FL268,0),0))</f>
        <v>15364.800000000001</v>
      </c>
      <c r="FU268" s="530">
        <f ca="1">IF(AND(Assumptions!$H$71="Yes",A268&gt;=Assumptions!$H$72,A268&lt;=Assumptions!$H$73),0,IF(AND($A268&gt;=Assumptions!$C$17,$A268&lt;=Assumptions!$C$18),MAX(BA268*(1+VLOOKUP($C268,WeatherCapacityAdjustment,2))-FM268,0),0))</f>
        <v>2793.6000000000004</v>
      </c>
      <c r="FV268" s="530">
        <f ca="1">IF(AND(Assumptions!$H$71="Yes",A268&gt;=Assumptions!$H$72,A268&lt;=Assumptions!$H$73),0,IF(AND($A268&gt;=Assumptions!$C$17,$A268&lt;=Assumptions!$C$18),MAX(BB268*(1+VLOOKUP($C268,WeatherCapacityAdjustment,2))-FN268,0),0))</f>
        <v>2793.6000000000004</v>
      </c>
      <c r="FW268" s="622">
        <f ca="1">IF(AND(Assumptions!$H$71="Yes",A268&gt;=Assumptions!$H$72,A268&lt;=Assumptions!$H$73),0,IF(AND($A268&gt;=Assumptions!$C$17,$A268&lt;=Assumptions!$C$18),MAX(BC268*(1+VLOOKUP($C268,WeatherCapacityAdjustment,3))-FO268,0),0))</f>
        <v>10476.000000000002</v>
      </c>
      <c r="FX268" s="621">
        <f ca="1">IF(AND(Assumptions!$H$71="Yes",A268&gt;=Assumptions!$H$72,A268&lt;=Assumptions!$H$73),0,IF(ET268&gt;0,MAX(BH268*(1+VLOOKUP($C268,WeatherCapacityAdjustment,2))-FP268,0),0))</f>
        <v>61459.200000000004</v>
      </c>
      <c r="FY268" s="530">
        <f ca="1">IF(AND(Assumptions!$H$71="Yes",A268&gt;=Assumptions!$H$72,A268&lt;=Assumptions!$H$73),0,IF(EU268&gt;0,MAX(BI268*(1+VLOOKUP($C268,WeatherCapacityAdjustment,3))-FQ268,0),0))</f>
        <v>11174.400000000001</v>
      </c>
      <c r="FZ268" s="530">
        <f ca="1">IF(AND(Assumptions!$H$71="Yes",A268&gt;=Assumptions!$H$72,A268&lt;=Assumptions!$H$73),0,IF(EV268&gt;0,MAX(BJ268*(1+VLOOKUP($C268,WeatherCapacityAdjustment,2))-FR268,0),0))</f>
        <v>11174.400000000001</v>
      </c>
      <c r="GA268" s="622">
        <f ca="1">IF(AND(Assumptions!$H$71="Yes",A268&gt;=Assumptions!$H$72,A268&lt;=Assumptions!$H$73),0,IF(EW268&gt;0,MAX(BK268*(1+VLOOKUP($C268,WeatherCapacityAdjustment,2))-FS268,0),0))</f>
        <v>41904.000000000007</v>
      </c>
      <c r="GB268" s="530">
        <f t="shared" ca="1" si="632"/>
        <v>157140</v>
      </c>
      <c r="GC268" s="545">
        <f t="shared" ca="1" si="633"/>
        <v>38.123195231980937</v>
      </c>
      <c r="GD268" s="530">
        <f t="shared" ca="1" si="734"/>
        <v>5990678.8987534847</v>
      </c>
      <c r="GE268" s="1485">
        <f t="shared" ca="1" si="735"/>
        <v>221095.98000000004</v>
      </c>
      <c r="GF268" s="1776">
        <f t="shared" ca="1" si="736"/>
        <v>884383.91999999993</v>
      </c>
      <c r="GG268" s="545">
        <f t="shared" si="701"/>
        <v>3.6672816373630237</v>
      </c>
      <c r="GH268" s="622">
        <f t="shared" ca="1" si="702"/>
        <v>4054106.1377439112</v>
      </c>
      <c r="GI268" s="621">
        <f t="shared" ca="1" si="678"/>
        <v>157140</v>
      </c>
      <c r="GJ268" s="638">
        <f t="shared" si="634"/>
        <v>2.5708432456372905</v>
      </c>
      <c r="GK268" s="625">
        <f t="shared" ca="1" si="684"/>
        <v>403982.3076194438</v>
      </c>
      <c r="GL268" s="640">
        <f t="shared" ca="1" si="737"/>
        <v>0</v>
      </c>
      <c r="GM268" s="530">
        <f t="shared" ca="1" si="738"/>
        <v>0</v>
      </c>
      <c r="GN268" s="530">
        <f t="shared" ca="1" si="739"/>
        <v>0</v>
      </c>
      <c r="GO268" s="622">
        <f t="shared" ca="1" si="740"/>
        <v>0</v>
      </c>
      <c r="GP268" s="530">
        <f t="shared" ca="1" si="635"/>
        <v>0</v>
      </c>
      <c r="GQ268" s="545">
        <f t="shared" ca="1" si="636"/>
        <v>0</v>
      </c>
      <c r="GR268" s="625">
        <f t="shared" ca="1" si="741"/>
        <v>0</v>
      </c>
      <c r="GS268" s="640">
        <f>IF($A268&gt;=BegDate,Assumptions!$C$56*24*($A269-$A268)*(1-VLOOKUP($B268,MAIN!$AA$7:$AM$28,$C268+1))*(1-VLOOKUP($B268,MAIN!$AA$33:$AM$54,$C268+1)),0)*80/168</f>
        <v>74828.571428571435</v>
      </c>
      <c r="GT268" s="1715">
        <f t="shared" si="679"/>
        <v>43.710453258306536</v>
      </c>
      <c r="GU268" s="1715">
        <f>IF($A268&gt;=BegDate,VLOOKUP($A268,GasTable,13)+Assumptions!$C$58,0)</f>
        <v>3.6672816373630237</v>
      </c>
      <c r="GV268" s="1715">
        <f>GU268*Assumptions!$C$57/1000</f>
        <v>26.587791870881922</v>
      </c>
      <c r="GW268" s="625">
        <f>IF(Assumptions!$C$60="Hourly",MAX(0,GS268*(GT268-GV268)),GS268*(GT268-GV268))</f>
        <v>1281264.2906761449</v>
      </c>
      <c r="GX268" s="640">
        <f>IF($A268&gt;=BegDate,Assumptions!$C$56*24*($A269-$A268)*(1-VLOOKUP($B268,MAIN!$AA$7:$AM$28,$C268+1))*(1-VLOOKUP($B268,MAIN!$AA$33:$AM$54,$C268+1)),0)*16/168</f>
        <v>14965.714285714288</v>
      </c>
      <c r="GY268" s="1715">
        <f t="shared" si="680"/>
        <v>43.710453258306536</v>
      </c>
      <c r="GZ268" s="1715">
        <f>IF($A268&gt;=BegDate,VLOOKUP($A268,GasTable,13)+Assumptions!$C$58,0)</f>
        <v>3.6672816373630237</v>
      </c>
      <c r="HA268" s="1715">
        <f>GZ268*Assumptions!$C$57/1000</f>
        <v>26.587791870881922</v>
      </c>
      <c r="HB268" s="625">
        <f>IF(Assumptions!$C$60="Hourly",MAX(0,GX268*(GY268-HA268)),GX268*(GY268-HA268))</f>
        <v>256252.85813522898</v>
      </c>
      <c r="HC268" s="640">
        <f>IF($A268&gt;=BegDate,Assumptions!$C$56*24*($A269-$A268)*(1-VLOOKUP($B268,MAIN!$AA$7:$AM$28,$C268+1))*(1-VLOOKUP($B268,MAIN!$AA$33:$AM$54,$C268+1)),0)*16/168</f>
        <v>14965.714285714288</v>
      </c>
      <c r="HD268" s="1715">
        <f t="shared" si="681"/>
        <v>30.477473543002571</v>
      </c>
      <c r="HE268" s="1715">
        <f>IF($A268&gt;=BegDate,VLOOKUP($A268,GasTable,13)+Assumptions!$C$58,0)</f>
        <v>3.6672816373630237</v>
      </c>
      <c r="HF268" s="1715">
        <f>HE268*Assumptions!$C$57/1000</f>
        <v>26.587791870881922</v>
      </c>
      <c r="HG268" s="625">
        <f>IF(Assumptions!$C$60="Hourly",MAX(0,HC268*(HD268-HF268)),HC268*(HD268-HF268))</f>
        <v>58211.864567337027</v>
      </c>
      <c r="HH268" s="640">
        <f>IF($A268&gt;=BegDate,Assumptions!$C$56*24*($A269-$A268)*(1-VLOOKUP($B268,MAIN!$AA$7:$AM$28,$C268+1))*(1-VLOOKUP($B268,MAIN!$AA$33:$AM$54,$C268+1)),0)*56/168</f>
        <v>52380.000000000015</v>
      </c>
      <c r="HI268" s="1715">
        <f t="shared" si="682"/>
        <v>30.477473543002571</v>
      </c>
      <c r="HJ268" s="1715">
        <f>IF($A268&gt;=BegDate,VLOOKUP($A268,GasTable,13)+Assumptions!$C$58,0)</f>
        <v>3.6672816373630237</v>
      </c>
      <c r="HK268" s="1715">
        <f>HJ268*Assumptions!$C$57/1000</f>
        <v>26.587791870881922</v>
      </c>
      <c r="HL268" s="625">
        <f>IF(Assumptions!$C$60="Hourly",MAX(0,HH268*(HI268-HK268)),HH268*(HI268-HK268))</f>
        <v>203741.52598567962</v>
      </c>
      <c r="HM268" s="640">
        <f>IF(AND(Assumptions!$H$71="Yes",A268&gt;=Assumptions!$H$72,A268&lt;=Assumptions!$H$73),Assumptions!$H$74*Assumptions!$C$9*1000,0)</f>
        <v>0</v>
      </c>
      <c r="HN268" s="530"/>
      <c r="HO268" s="545"/>
      <c r="HP268" s="545"/>
      <c r="HQ268" s="545"/>
      <c r="HR268" s="545"/>
      <c r="HS268" s="545"/>
      <c r="HT268" s="545"/>
      <c r="HU268" s="545"/>
      <c r="HV268" s="545"/>
      <c r="HW268" s="545"/>
      <c r="HX268" s="545"/>
      <c r="HY268" s="545"/>
      <c r="HZ268" s="545"/>
      <c r="IA268" s="545"/>
      <c r="IB268" s="545"/>
      <c r="IC268" s="545"/>
      <c r="ID268" s="545"/>
      <c r="IE268" s="545"/>
      <c r="IF268" s="545"/>
      <c r="IG268" s="545"/>
      <c r="IH268" s="545"/>
      <c r="II268" s="1464"/>
      <c r="IJ268" s="1463"/>
      <c r="IK268" s="1463"/>
    </row>
    <row r="269" spans="1:249">
      <c r="A269" s="177">
        <f t="shared" si="637"/>
        <v>44317</v>
      </c>
      <c r="B269" s="349">
        <f t="shared" si="638"/>
        <v>2021</v>
      </c>
      <c r="C269" s="15">
        <f t="shared" si="742"/>
        <v>5</v>
      </c>
      <c r="D269" s="612">
        <f t="shared" si="639"/>
        <v>44347</v>
      </c>
      <c r="E269" s="609">
        <f t="shared" si="743"/>
        <v>44317</v>
      </c>
      <c r="F269" s="614">
        <f t="shared" si="744"/>
        <v>44347</v>
      </c>
      <c r="G269" s="1349">
        <v>0</v>
      </c>
      <c r="H269" s="152">
        <f t="shared" si="683"/>
        <v>1</v>
      </c>
      <c r="I269" s="154">
        <f>IF(Assumptions!$L$25=4,VLOOKUP($A269,'Henwood Reference'!$E$9:$R$320,10),(VLOOKUP($A269,PriceTable,2,0)+IF(BasisNumber&lt;&gt;1,VLOOKUP($A269,BasisTable,2,0),0)+I$1)/(1-I$2))</f>
        <v>50.741023161111443</v>
      </c>
      <c r="J269" s="154">
        <f>IF(Assumptions!$L$25=4,VLOOKUP($A269,'Henwood Reference'!$E$9:$R$320,10),(VLOOKUP($A269,PriceTable,3,0)+IF(BasisNumber&lt;&gt;1,VLOOKUP($A269,BasisTable,2,0),0)+J$1)/(1-J$2))</f>
        <v>50.741023161111443</v>
      </c>
      <c r="K269" s="154">
        <f>IF(Assumptions!$L$25=4,VLOOKUP($A269,'Henwood Reference'!$E$9:$R$320,10),(VLOOKUP($A269,PriceTable,4,0)+IF(BasisNumber&lt;&gt;1,VLOOKUP($A269,BasisTable,2,0),0)+K$1)/(1-K$2))</f>
        <v>50.741023161111443</v>
      </c>
      <c r="L269" s="474">
        <f>IF(Assumptions!$L$25=4,VLOOKUP($A269,'Henwood Reference'!$E$9:$R$320,10),(VLOOKUP($A269,PriceTableWeekend,2,0)+IF(BasisNumber&lt;&gt;1,VLOOKUP($A269,BasisTable,2,0),0)+L$1)/(1-L$2))</f>
        <v>50.741023161111443</v>
      </c>
      <c r="M269" s="154">
        <f>IF(Assumptions!$L$25=4,VLOOKUP($A269,'Henwood Reference'!$E$9:$R$320,10),(VLOOKUP($A269,PriceTableWeekend,3,0)+IF(BasisNumber&lt;&gt;1,VLOOKUP($A269,BasisTable,2,0),0)+M$1)/(1-M$2))</f>
        <v>50.741023161111443</v>
      </c>
      <c r="N269" s="156">
        <f>IF(Assumptions!$L$25=4,VLOOKUP($A269,'Henwood Reference'!$E$9:$R$320,10),(VLOOKUP($A269,PriceTableWeekend,4,0)+IF(BasisNumber&lt;&gt;1,VLOOKUP($A269,BasisTable,2,0),0)+N$1)/(1-N$2))</f>
        <v>50.741023161111443</v>
      </c>
      <c r="O269" s="154">
        <f>IF(Assumptions!$L$25=4,VLOOKUP($A269,'Henwood Reference'!$E$9:$R$320,11),(VLOOKUP($A269,PriceTableWeekend,6,0)+IF(BasisNumber&lt;&gt;1,VLOOKUP($A269,BasisTable,3,0),0)+O$1)/(1-O$2))</f>
        <v>30.329392941203743</v>
      </c>
      <c r="P269" s="154">
        <f>IF(Assumptions!$L$25=4,VLOOKUP($A269,'Henwood Reference'!$E$9:$R$320,11),(VLOOKUP($A269,PriceTableWeekend,7,0)+IF(BasisNumber&lt;&gt;1,VLOOKUP($A269,BasisTable,3,0),0)+P$1)/(1-P$2))</f>
        <v>30.329392941203743</v>
      </c>
      <c r="Q269" s="156">
        <f>IF(Assumptions!$L$25=4,VLOOKUP($A269,'Henwood Reference'!$E$9:$R$320,11),(VLOOKUP($A269,PriceTableWeekend,8,0)+IF(BasisNumber&lt;&gt;1,VLOOKUP($A269,BasisTable,3,0),0)+Q$1)/(1-Q$2))</f>
        <v>30.329392941203743</v>
      </c>
      <c r="R269" s="154">
        <f>IF(Assumptions!$L$25=4,VLOOKUP($A269,'Henwood Reference'!$E$9:$R$320,11),(VLOOKUP($A269,PriceTable,6,0)+IF(BasisNumber&lt;&gt;1,VLOOKUP($A269,BasisTable,3,0),0)+R$1)/(1-R$2))</f>
        <v>30.329392941203743</v>
      </c>
      <c r="S269" s="154">
        <f>IF(Assumptions!$L$25=4,VLOOKUP($A269,'Henwood Reference'!$E$9:$R$320,11),(VLOOKUP($A269,PriceTable,7,0)+IF(BasisNumber&lt;&gt;1,VLOOKUP($A269,BasisTable,3,0),0)+S$1)/(1-S$2))</f>
        <v>30.329392941203743</v>
      </c>
      <c r="T269" s="155">
        <f>IF(Assumptions!$L$25=4,VLOOKUP($A269,'Henwood Reference'!$E$9:$R$320,11),(VLOOKUP($A269,PriceTable,8,0)+IF(BasisNumber&lt;&gt;1,VLOOKUP($A269,BasisTable,3,0),0)+T$1)/(1-T$2))</f>
        <v>30.329392941203743</v>
      </c>
      <c r="U269" s="173">
        <f t="shared" si="640"/>
        <v>0.09</v>
      </c>
      <c r="V269" s="173">
        <f t="shared" si="641"/>
        <v>0.1</v>
      </c>
      <c r="W269" s="174">
        <f t="shared" si="642"/>
        <v>0.11</v>
      </c>
      <c r="X269" s="173">
        <f t="shared" si="643"/>
        <v>0.09</v>
      </c>
      <c r="Y269" s="173">
        <f t="shared" si="644"/>
        <v>0.1</v>
      </c>
      <c r="Z269" s="174">
        <f t="shared" si="645"/>
        <v>0.11</v>
      </c>
      <c r="AA269" s="173">
        <f t="shared" si="646"/>
        <v>0.09</v>
      </c>
      <c r="AB269" s="173">
        <f t="shared" si="647"/>
        <v>0.11</v>
      </c>
      <c r="AC269" s="174">
        <f t="shared" si="648"/>
        <v>0.13</v>
      </c>
      <c r="AD269" s="173">
        <f t="shared" si="649"/>
        <v>0.09</v>
      </c>
      <c r="AE269" s="173">
        <f t="shared" si="650"/>
        <v>0.11</v>
      </c>
      <c r="AF269" s="174">
        <f t="shared" si="651"/>
        <v>0.13</v>
      </c>
      <c r="AG269" s="173">
        <f t="shared" si="652"/>
        <v>-0.1</v>
      </c>
      <c r="AH269" s="173">
        <f t="shared" si="653"/>
        <v>0.65</v>
      </c>
      <c r="AI269" s="174">
        <f t="shared" si="654"/>
        <v>0.1</v>
      </c>
      <c r="AJ269" s="173">
        <f t="shared" si="655"/>
        <v>-0.1</v>
      </c>
      <c r="AK269" s="173">
        <f t="shared" si="656"/>
        <v>0.65</v>
      </c>
      <c r="AL269" s="174">
        <f t="shared" si="657"/>
        <v>0.1</v>
      </c>
      <c r="AM269" s="173">
        <f t="shared" si="658"/>
        <v>-0.01</v>
      </c>
      <c r="AN269" s="173">
        <f t="shared" si="659"/>
        <v>0.16</v>
      </c>
      <c r="AO269" s="174">
        <f t="shared" si="660"/>
        <v>0.01</v>
      </c>
      <c r="AP269" s="173">
        <f t="shared" si="661"/>
        <v>-0.01</v>
      </c>
      <c r="AQ269" s="173">
        <f t="shared" si="662"/>
        <v>0.16</v>
      </c>
      <c r="AR269" s="175">
        <f t="shared" si="663"/>
        <v>0.01</v>
      </c>
      <c r="AS269" s="521">
        <f t="shared" si="747"/>
        <v>0.5</v>
      </c>
      <c r="AT269" s="349">
        <f t="shared" si="745"/>
        <v>20</v>
      </c>
      <c r="AU269" s="159">
        <f t="shared" si="582"/>
        <v>5</v>
      </c>
      <c r="AV269" s="159">
        <f t="shared" si="583"/>
        <v>5</v>
      </c>
      <c r="AW269" s="159">
        <f t="shared" si="748"/>
        <v>1</v>
      </c>
      <c r="AX269" s="15">
        <f t="shared" si="746"/>
        <v>31</v>
      </c>
      <c r="AY269" s="607">
        <f>IF(E269="",0,MIN((1-(1-VLOOKUP(B269,MAIN!$AA$7:$AM$28,C269+1))*(1-VLOOKUP(B269,MAIN!$AA$33:$AM$54,C269+1))),1))</f>
        <v>3.0000000000000027E-2</v>
      </c>
      <c r="AZ269" s="337">
        <v>46560</v>
      </c>
      <c r="BA269" s="509">
        <v>11640</v>
      </c>
      <c r="BB269" s="509">
        <v>13968</v>
      </c>
      <c r="BC269" s="511">
        <v>36084</v>
      </c>
      <c r="BD269" s="153">
        <v>0.97</v>
      </c>
      <c r="BE269" s="474">
        <v>0.97</v>
      </c>
      <c r="BF269" s="474">
        <v>0.97</v>
      </c>
      <c r="BG269" s="515">
        <v>0.97</v>
      </c>
      <c r="BH269" s="262">
        <v>186240</v>
      </c>
      <c r="BI269" s="509">
        <v>46560</v>
      </c>
      <c r="BJ269" s="509">
        <v>55872</v>
      </c>
      <c r="BK269" s="511">
        <v>144336</v>
      </c>
      <c r="BL269" s="153">
        <v>0.97</v>
      </c>
      <c r="BM269" s="474">
        <v>0.97</v>
      </c>
      <c r="BN269" s="474">
        <v>0.97</v>
      </c>
      <c r="BO269" s="474">
        <v>0.97</v>
      </c>
      <c r="BP269" s="261">
        <f t="shared" si="666"/>
        <v>72168</v>
      </c>
      <c r="BQ269" s="578">
        <f t="shared" si="667"/>
        <v>108252</v>
      </c>
      <c r="BR269" s="259">
        <f t="shared" si="668"/>
        <v>288672</v>
      </c>
      <c r="BS269" s="578">
        <f t="shared" si="669"/>
        <v>433008</v>
      </c>
      <c r="BT269" s="216">
        <f t="shared" si="670"/>
        <v>21.045859000684462</v>
      </c>
      <c r="BU269" s="218">
        <f t="shared" si="585"/>
        <v>50.741023161111443</v>
      </c>
      <c r="BV269" s="216">
        <f t="shared" si="586"/>
        <v>50.741023161111443</v>
      </c>
      <c r="BW269" s="216">
        <f t="shared" si="587"/>
        <v>30.329392941203743</v>
      </c>
      <c r="BX269" s="216">
        <f t="shared" si="671"/>
        <v>30.329392941203743</v>
      </c>
      <c r="BY269" s="216">
        <f t="shared" si="588"/>
        <v>46.790385054032534</v>
      </c>
      <c r="BZ269" s="216">
        <f t="shared" si="589"/>
        <v>41.303387683089603</v>
      </c>
      <c r="CA269" s="264">
        <f t="shared" si="590"/>
        <v>50.741023161111443</v>
      </c>
      <c r="CB269" s="216">
        <f t="shared" si="591"/>
        <v>50.741023161111443</v>
      </c>
      <c r="CC269" s="216">
        <f t="shared" si="592"/>
        <v>30.329392941203743</v>
      </c>
      <c r="CD269" s="216">
        <f t="shared" si="672"/>
        <v>30.329392941203743</v>
      </c>
      <c r="CE269" s="216">
        <f t="shared" si="593"/>
        <v>46.790385054032534</v>
      </c>
      <c r="CF269" s="571">
        <f t="shared" si="594"/>
        <v>41.303387683089603</v>
      </c>
      <c r="CG269" s="573">
        <f t="shared" si="595"/>
        <v>0.1</v>
      </c>
      <c r="CH269" s="219">
        <f t="shared" si="596"/>
        <v>0.1</v>
      </c>
      <c r="CI269" s="219">
        <f t="shared" si="597"/>
        <v>0.11</v>
      </c>
      <c r="CJ269" s="219">
        <f t="shared" si="598"/>
        <v>0.10126633633780217</v>
      </c>
      <c r="CK269" s="219">
        <f t="shared" si="599"/>
        <v>0.10126633633780217</v>
      </c>
      <c r="CL269" s="219">
        <f t="shared" si="600"/>
        <v>0.11</v>
      </c>
      <c r="CM269" s="219">
        <f t="shared" si="601"/>
        <v>9.3234413058940674E-2</v>
      </c>
      <c r="CN269" s="569">
        <f t="shared" si="602"/>
        <v>9.3234413058940674E-2</v>
      </c>
      <c r="CO269" s="264">
        <f t="shared" si="685"/>
        <v>25.573826621632623</v>
      </c>
      <c r="CP269" s="216">
        <f t="shared" si="673"/>
        <v>25.573826621632623</v>
      </c>
      <c r="CQ269" s="216">
        <f t="shared" ca="1" si="703"/>
        <v>25.573826621632623</v>
      </c>
      <c r="CR269" s="216">
        <f t="shared" ca="1" si="704"/>
        <v>25.573826621632623</v>
      </c>
      <c r="CS269" s="1626">
        <f t="shared" ca="1" si="705"/>
        <v>25.57382662163262</v>
      </c>
      <c r="CT269" s="216">
        <f t="shared" si="674"/>
        <v>25.573826621632623</v>
      </c>
      <c r="CU269" s="575">
        <f t="shared" si="603"/>
        <v>0.15</v>
      </c>
      <c r="CV269" s="154">
        <f t="shared" si="604"/>
        <v>0.5</v>
      </c>
      <c r="CW269" s="216">
        <f>IF(OR($BQ269,$BS269),SpreadOptPowerMargin,0)*((1+Assumptions!$C$26)^($B269-YEAR(Assumptions!$C$17)))</f>
        <v>2.5708432456372909</v>
      </c>
      <c r="CX269" s="216">
        <f>IF(OR($BQ269,$BS269),SpreadOptPowerMargin,0)*((1+Assumptions!$C$26)^($B269-YEAR(Assumptions!$C$17)))</f>
        <v>2.5708432456372909</v>
      </c>
      <c r="CY269" s="216">
        <f>IF(OR($BQ269,$BS269),SpreadOptPowerMargin,0)*((1+Assumptions!$C$26)^($B269-YEAR(Assumptions!$C$17)))</f>
        <v>2.5708432456372909</v>
      </c>
      <c r="CZ269" s="216">
        <f>IF(OR($BQ269,$BS269),SpreadOptPowerMargin,0)*((1+Assumptions!$C$26)^($B269-YEAR(Assumptions!$C$17)))</f>
        <v>2.5708432456372909</v>
      </c>
      <c r="DA269" s="440">
        <f t="shared" si="605"/>
        <v>2.5708432456372909</v>
      </c>
      <c r="DB269" s="479">
        <f t="shared" si="606"/>
        <v>0.1</v>
      </c>
      <c r="DC269" s="479">
        <f t="shared" si="607"/>
        <v>0.1</v>
      </c>
      <c r="DD269" s="479">
        <f t="shared" si="608"/>
        <v>0.11</v>
      </c>
      <c r="DE269" s="479">
        <f t="shared" si="609"/>
        <v>0.11</v>
      </c>
      <c r="DF269" s="479">
        <f t="shared" si="610"/>
        <v>9.3234413058940674E-2</v>
      </c>
      <c r="DG269" s="574">
        <f t="shared" si="611"/>
        <v>9.3234413058940674E-2</v>
      </c>
      <c r="DH269" s="216">
        <f t="shared" si="612"/>
        <v>24.225486992272216</v>
      </c>
      <c r="DI269" s="216">
        <f t="shared" si="613"/>
        <v>24.225486992272216</v>
      </c>
      <c r="DJ269" s="216">
        <f t="shared" ca="1" si="706"/>
        <v>7.7570575059804394</v>
      </c>
      <c r="DK269" s="216">
        <f t="shared" ca="1" si="707"/>
        <v>7.7570575059804394</v>
      </c>
      <c r="DL269" s="216">
        <f t="shared" ca="1" si="708"/>
        <v>15.889330821442432</v>
      </c>
      <c r="DM269" s="216"/>
      <c r="DN269" s="216"/>
      <c r="DO269" s="216"/>
      <c r="DP269" s="216"/>
      <c r="DQ269" s="216"/>
      <c r="DR269" s="216"/>
      <c r="DS269" s="216"/>
      <c r="DT269" s="216"/>
      <c r="DU269" s="216"/>
      <c r="DV269" s="216"/>
      <c r="DW269" s="1371">
        <f t="shared" si="614"/>
        <v>7.7570575059804394</v>
      </c>
      <c r="DX269" s="216">
        <f t="shared" si="615"/>
        <v>7.7570575059804394</v>
      </c>
      <c r="DY269" s="440">
        <f t="shared" si="616"/>
        <v>16.611051853449137</v>
      </c>
      <c r="DZ269" s="180">
        <f t="shared" si="617"/>
        <v>1127938.6743601945</v>
      </c>
      <c r="EA269" s="180">
        <f t="shared" si="618"/>
        <v>281984.66859004862</v>
      </c>
      <c r="EB269" s="180">
        <f t="shared" ca="1" si="709"/>
        <v>108350.57924353478</v>
      </c>
      <c r="EC269" s="180">
        <f t="shared" ca="1" si="710"/>
        <v>279905.6630457982</v>
      </c>
      <c r="ED269" s="180">
        <f t="shared" ca="1" si="711"/>
        <v>1720051.840082786</v>
      </c>
      <c r="EE269" s="581">
        <f t="shared" si="619"/>
        <v>1052086.2093612615</v>
      </c>
      <c r="EF269" s="554">
        <f t="shared" si="620"/>
        <v>263021.55234031536</v>
      </c>
      <c r="EG269" s="554">
        <f t="shared" ca="1" si="712"/>
        <v>30516.211896707708</v>
      </c>
      <c r="EH269" s="554">
        <f t="shared" ca="1" si="713"/>
        <v>78833.54739982824</v>
      </c>
      <c r="EI269" s="561">
        <f t="shared" ca="1" si="621"/>
        <v>1424457.5209981133</v>
      </c>
      <c r="EJ269" s="581">
        <f t="shared" si="675"/>
        <v>75852.464998933021</v>
      </c>
      <c r="EK269" s="554">
        <f t="shared" si="676"/>
        <v>18963.116249733255</v>
      </c>
      <c r="EL269" s="554">
        <f t="shared" ca="1" si="714"/>
        <v>77834.367346827072</v>
      </c>
      <c r="EM269" s="554">
        <f t="shared" ca="1" si="715"/>
        <v>201072.11564596996</v>
      </c>
      <c r="EN269" s="561">
        <f t="shared" ca="1" si="716"/>
        <v>295594.31908467272</v>
      </c>
      <c r="EO269" s="180">
        <f t="shared" si="622"/>
        <v>4511754.6974407779</v>
      </c>
      <c r="EP269" s="180">
        <f t="shared" si="623"/>
        <v>1127938.6743601945</v>
      </c>
      <c r="EQ269" s="180">
        <f t="shared" si="624"/>
        <v>433402.31697413913</v>
      </c>
      <c r="ER269" s="180">
        <f t="shared" si="625"/>
        <v>1119622.6521831928</v>
      </c>
      <c r="ES269" s="180">
        <f t="shared" si="626"/>
        <v>7192718.3409583038</v>
      </c>
      <c r="ET269" s="1482">
        <f t="shared" ca="1" si="717"/>
        <v>4208344.8374450458</v>
      </c>
      <c r="EU269" s="180">
        <f t="shared" ca="1" si="718"/>
        <v>1052086.2093612615</v>
      </c>
      <c r="EV269" s="180">
        <f t="shared" ca="1" si="719"/>
        <v>122064.84758683083</v>
      </c>
      <c r="EW269" s="180">
        <f t="shared" ca="1" si="720"/>
        <v>315334.18959931296</v>
      </c>
      <c r="EX269" s="555">
        <f t="shared" ca="1" si="693"/>
        <v>5697830.0839924514</v>
      </c>
      <c r="EY269" s="180">
        <f t="shared" ca="1" si="721"/>
        <v>303409.85999573208</v>
      </c>
      <c r="EZ269" s="180">
        <f t="shared" ca="1" si="722"/>
        <v>75852.464998933021</v>
      </c>
      <c r="FA269" s="180">
        <f t="shared" ca="1" si="723"/>
        <v>311337.46938730829</v>
      </c>
      <c r="FB269" s="180">
        <f t="shared" ca="1" si="724"/>
        <v>804288.46258387982</v>
      </c>
      <c r="FC269" s="180">
        <f t="shared" ca="1" si="725"/>
        <v>1494888.2569658523</v>
      </c>
      <c r="FD269" s="262">
        <f>IF(AX269,IF(VLOOKUP(C269,MAIN!$L$17:$M$28,2)="Yes",VLOOKUP(CALC!B269,MAIN!$H$17:$I$20,2),0),0)</f>
        <v>0</v>
      </c>
      <c r="FE269" s="623">
        <f t="shared" si="627"/>
        <v>0</v>
      </c>
      <c r="FF269" s="535">
        <f t="shared" si="628"/>
        <v>0</v>
      </c>
      <c r="FG269" s="535">
        <f t="shared" si="629"/>
        <v>0</v>
      </c>
      <c r="FH269" s="624">
        <f t="shared" si="630"/>
        <v>0</v>
      </c>
      <c r="FI269" s="632">
        <f>IF(AX269,VLOOKUP(CALC!B269,MAIN!$H$17:$K$20,4),0)</f>
        <v>0</v>
      </c>
      <c r="FJ269" s="535">
        <f t="shared" si="631"/>
        <v>0</v>
      </c>
      <c r="FK269" s="648">
        <f t="shared" si="677"/>
        <v>0</v>
      </c>
      <c r="FL269" s="530">
        <f t="shared" ca="1" si="726"/>
        <v>0</v>
      </c>
      <c r="FM269" s="530">
        <f t="shared" ca="1" si="727"/>
        <v>0</v>
      </c>
      <c r="FN269" s="530">
        <f t="shared" ca="1" si="728"/>
        <v>0</v>
      </c>
      <c r="FO269" s="622">
        <f t="shared" ca="1" si="729"/>
        <v>0</v>
      </c>
      <c r="FP269" s="530">
        <f t="shared" ca="1" si="730"/>
        <v>0</v>
      </c>
      <c r="FQ269" s="530">
        <f t="shared" ca="1" si="731"/>
        <v>0</v>
      </c>
      <c r="FR269" s="530">
        <f t="shared" ca="1" si="732"/>
        <v>0</v>
      </c>
      <c r="FS269" s="625">
        <f t="shared" ca="1" si="733"/>
        <v>0</v>
      </c>
      <c r="FT269" s="640">
        <f ca="1">IF(AND(Assumptions!$H$71="Yes",A269&gt;=Assumptions!$H$72,A269&lt;=Assumptions!$H$73),0,IF(AND($A269&gt;=Assumptions!$C$17,$A269&lt;=Assumptions!$C$18),MAX(AZ269*(1+VLOOKUP($C269,WeatherCapacityAdjustment,2))-FL269,0),0))</f>
        <v>46560</v>
      </c>
      <c r="FU269" s="530">
        <f ca="1">IF(AND(Assumptions!$H$71="Yes",A269&gt;=Assumptions!$H$72,A269&lt;=Assumptions!$H$73),0,IF(AND($A269&gt;=Assumptions!$C$17,$A269&lt;=Assumptions!$C$18),MAX(BA269*(1+VLOOKUP($C269,WeatherCapacityAdjustment,2))-FM269,0),0))</f>
        <v>11640</v>
      </c>
      <c r="FV269" s="530">
        <f ca="1">IF(AND(Assumptions!$H$71="Yes",A269&gt;=Assumptions!$H$72,A269&lt;=Assumptions!$H$73),0,IF(AND($A269&gt;=Assumptions!$C$17,$A269&lt;=Assumptions!$C$18),MAX(BB269*(1+VLOOKUP($C269,WeatherCapacityAdjustment,2))-FN269,0),0))</f>
        <v>13968</v>
      </c>
      <c r="FW269" s="622">
        <f ca="1">IF(AND(Assumptions!$H$71="Yes",A269&gt;=Assumptions!$H$72,A269&lt;=Assumptions!$H$73),0,IF(AND($A269&gt;=Assumptions!$C$17,$A269&lt;=Assumptions!$C$18),MAX(BC269*(1+VLOOKUP($C269,WeatherCapacityAdjustment,3))-FO269,0),0))</f>
        <v>36084</v>
      </c>
      <c r="FX269" s="621">
        <f ca="1">IF(AND(Assumptions!$H$71="Yes",A269&gt;=Assumptions!$H$72,A269&lt;=Assumptions!$H$73),0,IF(ET269&gt;0,MAX(BH269*(1+VLOOKUP($C269,WeatherCapacityAdjustment,2))-FP269,0),0))</f>
        <v>186240</v>
      </c>
      <c r="FY269" s="530">
        <f ca="1">IF(AND(Assumptions!$H$71="Yes",A269&gt;=Assumptions!$H$72,A269&lt;=Assumptions!$H$73),0,IF(EU269&gt;0,MAX(BI269*(1+VLOOKUP($C269,WeatherCapacityAdjustment,3))-FQ269,0),0))</f>
        <v>46560</v>
      </c>
      <c r="FZ269" s="530">
        <f ca="1">IF(AND(Assumptions!$H$71="Yes",A269&gt;=Assumptions!$H$72,A269&lt;=Assumptions!$H$73),0,IF(EV269&gt;0,MAX(BJ269*(1+VLOOKUP($C269,WeatherCapacityAdjustment,2))-FR269,0),0))</f>
        <v>55872</v>
      </c>
      <c r="GA269" s="622">
        <f ca="1">IF(AND(Assumptions!$H$71="Yes",A269&gt;=Assumptions!$H$72,A269&lt;=Assumptions!$H$73),0,IF(EW269&gt;0,MAX(BK269*(1+VLOOKUP($C269,WeatherCapacityAdjustment,2))-FS269,0),0))</f>
        <v>144336</v>
      </c>
      <c r="GB269" s="530">
        <f t="shared" ca="1" si="632"/>
        <v>541260</v>
      </c>
      <c r="GC269" s="545">
        <f t="shared" ca="1" si="633"/>
        <v>41.303387683089611</v>
      </c>
      <c r="GD269" s="530">
        <f t="shared" ca="1" si="734"/>
        <v>22355871.617349081</v>
      </c>
      <c r="GE269" s="1485">
        <f t="shared" ca="1" si="735"/>
        <v>761871.08088000002</v>
      </c>
      <c r="GF269" s="1776">
        <f t="shared" ca="1" si="736"/>
        <v>3047484.3235200001</v>
      </c>
      <c r="GG269" s="545">
        <f t="shared" si="701"/>
        <v>3.6337090997696233</v>
      </c>
      <c r="GH269" s="622">
        <f t="shared" ca="1" si="702"/>
        <v>13842089.397224875</v>
      </c>
      <c r="GI269" s="621">
        <f t="shared" ca="1" si="678"/>
        <v>541260</v>
      </c>
      <c r="GJ269" s="638">
        <f t="shared" si="634"/>
        <v>2.5708432456372909</v>
      </c>
      <c r="GK269" s="625">
        <f t="shared" ca="1" si="684"/>
        <v>1391494.6151336401</v>
      </c>
      <c r="GL269" s="640">
        <f t="shared" ca="1" si="737"/>
        <v>0</v>
      </c>
      <c r="GM269" s="530">
        <f t="shared" ca="1" si="738"/>
        <v>0</v>
      </c>
      <c r="GN269" s="530">
        <f t="shared" ca="1" si="739"/>
        <v>0</v>
      </c>
      <c r="GO269" s="622">
        <f t="shared" ca="1" si="740"/>
        <v>0</v>
      </c>
      <c r="GP269" s="530">
        <f t="shared" ca="1" si="635"/>
        <v>0</v>
      </c>
      <c r="GQ269" s="545">
        <f t="shared" ca="1" si="636"/>
        <v>0</v>
      </c>
      <c r="GR269" s="625">
        <f t="shared" ca="1" si="741"/>
        <v>0</v>
      </c>
      <c r="GS269" s="640">
        <f>IF($A269&gt;=BegDate,Assumptions!$C$56*24*($A270-$A269)*(1-VLOOKUP($B269,MAIN!$AA$7:$AM$28,$C269+1))*(1-VLOOKUP($B269,MAIN!$AA$33:$AM$54,$C269+1)),0)*80/168</f>
        <v>257742.85714285713</v>
      </c>
      <c r="GT269" s="1715">
        <f t="shared" si="679"/>
        <v>50.741023161111443</v>
      </c>
      <c r="GU269" s="1715">
        <f>IF($A269&gt;=BegDate,VLOOKUP($A269,GasTable,13)+Assumptions!$C$58,0)</f>
        <v>3.6337090997696233</v>
      </c>
      <c r="GV269" s="1715">
        <f>GU269*Assumptions!$C$57/1000</f>
        <v>26.344390973329769</v>
      </c>
      <c r="GW269" s="625">
        <f>IF(Assumptions!$C$60="Hourly",MAX(0,GS269*(GT269-GV269)),GS269*(GT269-GV269))</f>
        <v>6288057.6847422421</v>
      </c>
      <c r="GX269" s="640">
        <f>IF($A269&gt;=BegDate,Assumptions!$C$56*24*($A270-$A269)*(1-VLOOKUP($B269,MAIN!$AA$7:$AM$28,$C269+1))*(1-VLOOKUP($B269,MAIN!$AA$33:$AM$54,$C269+1)),0)*16/168</f>
        <v>51548.571428571428</v>
      </c>
      <c r="GY269" s="1715">
        <f t="shared" si="680"/>
        <v>50.741023161111443</v>
      </c>
      <c r="GZ269" s="1715">
        <f>IF($A269&gt;=BegDate,VLOOKUP($A269,GasTable,13)+Assumptions!$C$58,0)</f>
        <v>3.6337090997696233</v>
      </c>
      <c r="HA269" s="1715">
        <f>GZ269*Assumptions!$C$57/1000</f>
        <v>26.344390973329769</v>
      </c>
      <c r="HB269" s="625">
        <f>IF(Assumptions!$C$60="Hourly",MAX(0,GX269*(GY269-HA269)),GX269*(GY269-HA269))</f>
        <v>1257611.5369484485</v>
      </c>
      <c r="HC269" s="640">
        <f>IF($A269&gt;=BegDate,Assumptions!$C$56*24*($A270-$A269)*(1-VLOOKUP($B269,MAIN!$AA$7:$AM$28,$C269+1))*(1-VLOOKUP($B269,MAIN!$AA$33:$AM$54,$C269+1)),0)*16/168</f>
        <v>51548.571428571428</v>
      </c>
      <c r="HD269" s="1715">
        <f t="shared" si="681"/>
        <v>30.329392941203743</v>
      </c>
      <c r="HE269" s="1715">
        <f>IF($A269&gt;=BegDate,VLOOKUP($A269,GasTable,13)+Assumptions!$C$58,0)</f>
        <v>3.6337090997696233</v>
      </c>
      <c r="HF269" s="1715">
        <f>HE269*Assumptions!$C$57/1000</f>
        <v>26.344390973329769</v>
      </c>
      <c r="HG269" s="625">
        <f>IF(Assumptions!$C$60="Hourly",MAX(0,HC269*(HD269-HF269)),HC269*(HD269-HF269))</f>
        <v>205421.15858394923</v>
      </c>
      <c r="HH269" s="640">
        <f>IF($A269&gt;=BegDate,Assumptions!$C$56*24*($A270-$A269)*(1-VLOOKUP($B269,MAIN!$AA$7:$AM$28,$C269+1))*(1-VLOOKUP($B269,MAIN!$AA$33:$AM$54,$C269+1)),0)*56/168</f>
        <v>180420</v>
      </c>
      <c r="HI269" s="1715">
        <f t="shared" si="682"/>
        <v>30.329392941203743</v>
      </c>
      <c r="HJ269" s="1715">
        <f>IF($A269&gt;=BegDate,VLOOKUP($A269,GasTable,13)+Assumptions!$C$58,0)</f>
        <v>3.6337090997696233</v>
      </c>
      <c r="HK269" s="1715">
        <f>HJ269*Assumptions!$C$57/1000</f>
        <v>26.344390973329769</v>
      </c>
      <c r="HL269" s="625">
        <f>IF(Assumptions!$C$60="Hourly",MAX(0,HH269*(HI269-HK269)),HH269*(HI269-HK269))</f>
        <v>718974.05504382227</v>
      </c>
      <c r="HM269" s="640">
        <f>IF(AND(Assumptions!$H$71="Yes",A269&gt;=Assumptions!$H$72,A269&lt;=Assumptions!$H$73),Assumptions!$H$74*Assumptions!$C$9*1000,0)</f>
        <v>0</v>
      </c>
      <c r="HN269" s="530"/>
      <c r="HO269" s="545"/>
      <c r="HP269" s="545"/>
      <c r="HQ269" s="545"/>
      <c r="HR269" s="545"/>
      <c r="HS269" s="545"/>
      <c r="HT269" s="545"/>
      <c r="HU269" s="545"/>
      <c r="HV269" s="545"/>
      <c r="HW269" s="545"/>
      <c r="HX269" s="545"/>
      <c r="HY269" s="545"/>
      <c r="HZ269" s="545"/>
      <c r="IA269" s="545"/>
      <c r="IB269" s="545"/>
      <c r="IC269" s="545"/>
      <c r="ID269" s="545"/>
      <c r="IE269" s="545"/>
      <c r="IF269" s="545"/>
      <c r="IG269" s="545"/>
      <c r="IH269" s="545"/>
      <c r="II269" s="1464"/>
      <c r="IJ269" s="1463"/>
      <c r="IK269" s="1463"/>
      <c r="IN269" s="529"/>
      <c r="IO269" s="529"/>
    </row>
    <row r="270" spans="1:249">
      <c r="A270" s="177">
        <f t="shared" si="637"/>
        <v>44348</v>
      </c>
      <c r="B270" s="349">
        <f t="shared" si="638"/>
        <v>2021</v>
      </c>
      <c r="C270" s="15">
        <f t="shared" si="742"/>
        <v>6</v>
      </c>
      <c r="D270" s="612" t="str">
        <f t="shared" si="639"/>
        <v/>
      </c>
      <c r="E270" s="609">
        <f t="shared" si="743"/>
        <v>44348</v>
      </c>
      <c r="F270" s="614">
        <f t="shared" si="744"/>
        <v>44377</v>
      </c>
      <c r="G270" s="1349">
        <v>0</v>
      </c>
      <c r="H270" s="152">
        <f t="shared" si="683"/>
        <v>1</v>
      </c>
      <c r="I270" s="154">
        <f>IF(Assumptions!$L$25=4,VLOOKUP($A270,'Henwood Reference'!$E$9:$R$320,10),(VLOOKUP($A270,PriceTable,2,0)+IF(BasisNumber&lt;&gt;1,VLOOKUP($A270,BasisTable,2,0),0)+I$1)/(1-I$2))</f>
        <v>49.251880978231725</v>
      </c>
      <c r="J270" s="154">
        <f>IF(Assumptions!$L$25=4,VLOOKUP($A270,'Henwood Reference'!$E$9:$R$320,10),(VLOOKUP($A270,PriceTable,3,0)+IF(BasisNumber&lt;&gt;1,VLOOKUP($A270,BasisTable,2,0),0)+J$1)/(1-J$2))</f>
        <v>49.251880978231725</v>
      </c>
      <c r="K270" s="154">
        <f>IF(Assumptions!$L$25=4,VLOOKUP($A270,'Henwood Reference'!$E$9:$R$320,10),(VLOOKUP($A270,PriceTable,4,0)+IF(BasisNumber&lt;&gt;1,VLOOKUP($A270,BasisTable,2,0),0)+K$1)/(1-K$2))</f>
        <v>49.251880978231725</v>
      </c>
      <c r="L270" s="474">
        <f>IF(Assumptions!$L$25=4,VLOOKUP($A270,'Henwood Reference'!$E$9:$R$320,10),(VLOOKUP($A270,PriceTableWeekend,2,0)+IF(BasisNumber&lt;&gt;1,VLOOKUP($A270,BasisTable,2,0),0)+L$1)/(1-L$2))</f>
        <v>49.251880978231725</v>
      </c>
      <c r="M270" s="154">
        <f>IF(Assumptions!$L$25=4,VLOOKUP($A270,'Henwood Reference'!$E$9:$R$320,10),(VLOOKUP($A270,PriceTableWeekend,3,0)+IF(BasisNumber&lt;&gt;1,VLOOKUP($A270,BasisTable,2,0),0)+M$1)/(1-M$2))</f>
        <v>49.251880978231725</v>
      </c>
      <c r="N270" s="156">
        <f>IF(Assumptions!$L$25=4,VLOOKUP($A270,'Henwood Reference'!$E$9:$R$320,10),(VLOOKUP($A270,PriceTableWeekend,4,0)+IF(BasisNumber&lt;&gt;1,VLOOKUP($A270,BasisTable,2,0),0)+N$1)/(1-N$2))</f>
        <v>49.251880978231725</v>
      </c>
      <c r="O270" s="154">
        <f>IF(Assumptions!$L$25=4,VLOOKUP($A270,'Henwood Reference'!$E$9:$R$320,11),(VLOOKUP($A270,PriceTableWeekend,6,0)+IF(BasisNumber&lt;&gt;1,VLOOKUP($A270,BasisTable,3,0),0)+O$1)/(1-O$2))</f>
        <v>29.583078833468409</v>
      </c>
      <c r="P270" s="154">
        <f>IF(Assumptions!$L$25=4,VLOOKUP($A270,'Henwood Reference'!$E$9:$R$320,11),(VLOOKUP($A270,PriceTableWeekend,7,0)+IF(BasisNumber&lt;&gt;1,VLOOKUP($A270,BasisTable,3,0),0)+P$1)/(1-P$2))</f>
        <v>29.583078833468409</v>
      </c>
      <c r="Q270" s="156">
        <f>IF(Assumptions!$L$25=4,VLOOKUP($A270,'Henwood Reference'!$E$9:$R$320,11),(VLOOKUP($A270,PriceTableWeekend,8,0)+IF(BasisNumber&lt;&gt;1,VLOOKUP($A270,BasisTable,3,0),0)+Q$1)/(1-Q$2))</f>
        <v>29.583078833468409</v>
      </c>
      <c r="R270" s="154">
        <f>IF(Assumptions!$L$25=4,VLOOKUP($A270,'Henwood Reference'!$E$9:$R$320,11),(VLOOKUP($A270,PriceTable,6,0)+IF(BasisNumber&lt;&gt;1,VLOOKUP($A270,BasisTable,3,0),0)+R$1)/(1-R$2))</f>
        <v>29.583078833468409</v>
      </c>
      <c r="S270" s="154">
        <f>IF(Assumptions!$L$25=4,VLOOKUP($A270,'Henwood Reference'!$E$9:$R$320,11),(VLOOKUP($A270,PriceTable,7,0)+IF(BasisNumber&lt;&gt;1,VLOOKUP($A270,BasisTable,3,0),0)+S$1)/(1-S$2))</f>
        <v>29.583078833468409</v>
      </c>
      <c r="T270" s="155">
        <f>IF(Assumptions!$L$25=4,VLOOKUP($A270,'Henwood Reference'!$E$9:$R$320,11),(VLOOKUP($A270,PriceTable,8,0)+IF(BasisNumber&lt;&gt;1,VLOOKUP($A270,BasisTable,3,0),0)+T$1)/(1-T$2))</f>
        <v>29.583078833468409</v>
      </c>
      <c r="U270" s="173">
        <f t="shared" si="640"/>
        <v>0.09</v>
      </c>
      <c r="V270" s="173">
        <f t="shared" si="641"/>
        <v>0.1</v>
      </c>
      <c r="W270" s="174">
        <f t="shared" si="642"/>
        <v>0.11</v>
      </c>
      <c r="X270" s="173">
        <f t="shared" si="643"/>
        <v>0.09</v>
      </c>
      <c r="Y270" s="173">
        <f t="shared" si="644"/>
        <v>0.1</v>
      </c>
      <c r="Z270" s="174">
        <f t="shared" si="645"/>
        <v>0.11</v>
      </c>
      <c r="AA270" s="173">
        <f t="shared" si="646"/>
        <v>0.09</v>
      </c>
      <c r="AB270" s="173">
        <f t="shared" si="647"/>
        <v>0.11</v>
      </c>
      <c r="AC270" s="174">
        <f t="shared" si="648"/>
        <v>0.13</v>
      </c>
      <c r="AD270" s="173">
        <f t="shared" si="649"/>
        <v>0.09</v>
      </c>
      <c r="AE270" s="173">
        <f t="shared" si="650"/>
        <v>0.11</v>
      </c>
      <c r="AF270" s="174">
        <f t="shared" si="651"/>
        <v>0.13</v>
      </c>
      <c r="AG270" s="173">
        <f t="shared" si="652"/>
        <v>-0.35</v>
      </c>
      <c r="AH270" s="173">
        <f t="shared" si="653"/>
        <v>0.65</v>
      </c>
      <c r="AI270" s="174">
        <f t="shared" si="654"/>
        <v>0.2</v>
      </c>
      <c r="AJ270" s="173">
        <f t="shared" si="655"/>
        <v>-0.35</v>
      </c>
      <c r="AK270" s="173">
        <f t="shared" si="656"/>
        <v>0.65</v>
      </c>
      <c r="AL270" s="174">
        <f t="shared" si="657"/>
        <v>0.2</v>
      </c>
      <c r="AM270" s="173">
        <f t="shared" si="658"/>
        <v>-0.01</v>
      </c>
      <c r="AN270" s="173">
        <f t="shared" si="659"/>
        <v>0.16</v>
      </c>
      <c r="AO270" s="174">
        <f t="shared" si="660"/>
        <v>0.01</v>
      </c>
      <c r="AP270" s="173">
        <f t="shared" si="661"/>
        <v>-0.01</v>
      </c>
      <c r="AQ270" s="173">
        <f t="shared" si="662"/>
        <v>0.16</v>
      </c>
      <c r="AR270" s="175">
        <f t="shared" si="663"/>
        <v>0.01</v>
      </c>
      <c r="AS270" s="521">
        <f t="shared" si="747"/>
        <v>0.5</v>
      </c>
      <c r="AT270" s="349">
        <f t="shared" si="745"/>
        <v>22</v>
      </c>
      <c r="AU270" s="159">
        <f t="shared" si="582"/>
        <v>4</v>
      </c>
      <c r="AV270" s="159">
        <f t="shared" si="583"/>
        <v>4</v>
      </c>
      <c r="AW270" s="159">
        <f t="shared" si="748"/>
        <v>0</v>
      </c>
      <c r="AX270" s="15">
        <f t="shared" si="746"/>
        <v>30</v>
      </c>
      <c r="AY270" s="607">
        <f>IF(E270="",0,MIN((1-(1-VLOOKUP(B270,MAIN!$AA$7:$AM$28,C270+1))*(1-VLOOKUP(B270,MAIN!$AA$33:$AM$54,C270+1))),1))</f>
        <v>3.0000000000000027E-2</v>
      </c>
      <c r="AZ270" s="337">
        <v>51216</v>
      </c>
      <c r="BA270" s="509">
        <v>9312</v>
      </c>
      <c r="BB270" s="509">
        <v>9312</v>
      </c>
      <c r="BC270" s="511">
        <v>34920</v>
      </c>
      <c r="BD270" s="153">
        <v>0.97000000722706314</v>
      </c>
      <c r="BE270" s="474">
        <v>0.97000000722706314</v>
      </c>
      <c r="BF270" s="474">
        <v>0.97000000722706314</v>
      </c>
      <c r="BG270" s="515">
        <v>0.97000000722706314</v>
      </c>
      <c r="BH270" s="262">
        <v>204864</v>
      </c>
      <c r="BI270" s="509">
        <v>37248</v>
      </c>
      <c r="BJ270" s="509">
        <v>37248</v>
      </c>
      <c r="BK270" s="511">
        <v>139680</v>
      </c>
      <c r="BL270" s="153">
        <v>0.97000000722706314</v>
      </c>
      <c r="BM270" s="474">
        <v>0.97000000722706314</v>
      </c>
      <c r="BN270" s="474">
        <v>0.97000000722706314</v>
      </c>
      <c r="BO270" s="474">
        <v>0.97000000722706314</v>
      </c>
      <c r="BP270" s="261">
        <f t="shared" si="666"/>
        <v>69840</v>
      </c>
      <c r="BQ270" s="578">
        <f t="shared" si="667"/>
        <v>104760</v>
      </c>
      <c r="BR270" s="259">
        <f t="shared" si="668"/>
        <v>279360</v>
      </c>
      <c r="BS270" s="578">
        <f t="shared" si="669"/>
        <v>419040</v>
      </c>
      <c r="BT270" s="216">
        <f t="shared" si="670"/>
        <v>21.130732375085557</v>
      </c>
      <c r="BU270" s="218">
        <f t="shared" si="585"/>
        <v>49.251881345186831</v>
      </c>
      <c r="BV270" s="216">
        <f t="shared" si="586"/>
        <v>49.251881345186831</v>
      </c>
      <c r="BW270" s="216">
        <f t="shared" si="587"/>
        <v>29.583079053879523</v>
      </c>
      <c r="BX270" s="216">
        <f t="shared" si="671"/>
        <v>29.583079053879523</v>
      </c>
      <c r="BY270" s="216">
        <f t="shared" si="588"/>
        <v>46.629374373012531</v>
      </c>
      <c r="BZ270" s="216">
        <f t="shared" si="589"/>
        <v>40.947275933301526</v>
      </c>
      <c r="CA270" s="264">
        <f t="shared" si="590"/>
        <v>49.251881345186831</v>
      </c>
      <c r="CB270" s="216">
        <f t="shared" si="591"/>
        <v>49.251881345186831</v>
      </c>
      <c r="CC270" s="216">
        <f t="shared" si="592"/>
        <v>29.583079053879523</v>
      </c>
      <c r="CD270" s="216">
        <f t="shared" si="672"/>
        <v>29.583079053879523</v>
      </c>
      <c r="CE270" s="216">
        <f t="shared" si="593"/>
        <v>46.629374373012531</v>
      </c>
      <c r="CF270" s="571">
        <f t="shared" si="594"/>
        <v>40.947275933301526</v>
      </c>
      <c r="CG270" s="573">
        <f t="shared" si="595"/>
        <v>0.1</v>
      </c>
      <c r="CH270" s="219">
        <f t="shared" si="596"/>
        <v>0.1</v>
      </c>
      <c r="CI270" s="219">
        <f t="shared" si="597"/>
        <v>0.11</v>
      </c>
      <c r="CJ270" s="219">
        <f t="shared" si="598"/>
        <v>0.10085421046464832</v>
      </c>
      <c r="CK270" s="219">
        <f t="shared" si="599"/>
        <v>0.10085421046464832</v>
      </c>
      <c r="CL270" s="219">
        <f t="shared" si="600"/>
        <v>0.11</v>
      </c>
      <c r="CM270" s="219">
        <f t="shared" si="601"/>
        <v>9.3008247499450053E-2</v>
      </c>
      <c r="CN270" s="569">
        <f t="shared" si="602"/>
        <v>9.3008247499450053E-2</v>
      </c>
      <c r="CO270" s="264">
        <f t="shared" si="685"/>
        <v>25.85007267666554</v>
      </c>
      <c r="CP270" s="216">
        <f t="shared" si="673"/>
        <v>25.85007267666554</v>
      </c>
      <c r="CQ270" s="216">
        <f t="shared" ca="1" si="703"/>
        <v>25.85007267666554</v>
      </c>
      <c r="CR270" s="216">
        <f t="shared" ca="1" si="704"/>
        <v>25.85007267666554</v>
      </c>
      <c r="CS270" s="1626">
        <f t="shared" ca="1" si="705"/>
        <v>25.85007267666554</v>
      </c>
      <c r="CT270" s="216">
        <f t="shared" si="674"/>
        <v>25.85007267666554</v>
      </c>
      <c r="CU270" s="575">
        <f t="shared" si="603"/>
        <v>0.15</v>
      </c>
      <c r="CV270" s="154">
        <f t="shared" si="604"/>
        <v>0.5</v>
      </c>
      <c r="CW270" s="216">
        <f>IF(OR($BQ270,$BS270),SpreadOptPowerMargin,0)*((1+Assumptions!$C$26)^($B270-YEAR(Assumptions!$C$17)))</f>
        <v>2.5708432456372909</v>
      </c>
      <c r="CX270" s="216">
        <f>IF(OR($BQ270,$BS270),SpreadOptPowerMargin,0)*((1+Assumptions!$C$26)^($B270-YEAR(Assumptions!$C$17)))</f>
        <v>2.5708432456372909</v>
      </c>
      <c r="CY270" s="216">
        <f>IF(OR($BQ270,$BS270),SpreadOptPowerMargin,0)*((1+Assumptions!$C$26)^($B270-YEAR(Assumptions!$C$17)))</f>
        <v>2.5708432456372909</v>
      </c>
      <c r="CZ270" s="216">
        <f>IF(OR($BQ270,$BS270),SpreadOptPowerMargin,0)*((1+Assumptions!$C$26)^($B270-YEAR(Assumptions!$C$17)))</f>
        <v>2.5708432456372909</v>
      </c>
      <c r="DA270" s="440">
        <f t="shared" si="605"/>
        <v>2.5708432456372905</v>
      </c>
      <c r="DB270" s="479">
        <f t="shared" si="606"/>
        <v>0.1</v>
      </c>
      <c r="DC270" s="479">
        <f t="shared" si="607"/>
        <v>0.1</v>
      </c>
      <c r="DD270" s="479">
        <f t="shared" si="608"/>
        <v>0.11</v>
      </c>
      <c r="DE270" s="479">
        <f t="shared" si="609"/>
        <v>0.11</v>
      </c>
      <c r="DF270" s="479">
        <f t="shared" si="610"/>
        <v>9.3008247499450053E-2</v>
      </c>
      <c r="DG270" s="574">
        <f t="shared" si="611"/>
        <v>9.3008247499450053E-2</v>
      </c>
      <c r="DH270" s="216">
        <f t="shared" si="612"/>
        <v>22.682019669933933</v>
      </c>
      <c r="DI270" s="216">
        <f t="shared" si="613"/>
        <v>22.682019669933933</v>
      </c>
      <c r="DJ270" s="216">
        <f t="shared" ca="1" si="706"/>
        <v>7.1655400284332211</v>
      </c>
      <c r="DK270" s="216">
        <f t="shared" ca="1" si="707"/>
        <v>7.1655400284332211</v>
      </c>
      <c r="DL270" s="216">
        <f t="shared" ca="1" si="708"/>
        <v>15.425105840416649</v>
      </c>
      <c r="DM270" s="216"/>
      <c r="DN270" s="216"/>
      <c r="DO270" s="216"/>
      <c r="DP270" s="216"/>
      <c r="DQ270" s="216"/>
      <c r="DR270" s="216"/>
      <c r="DS270" s="216"/>
      <c r="DT270" s="216"/>
      <c r="DU270" s="216"/>
      <c r="DV270" s="216"/>
      <c r="DW270" s="1371">
        <f t="shared" si="614"/>
        <v>7.1655400284332211</v>
      </c>
      <c r="DX270" s="216">
        <f t="shared" si="615"/>
        <v>7.1655400284332211</v>
      </c>
      <c r="DY270" s="440">
        <f t="shared" si="616"/>
        <v>16.130617154633633</v>
      </c>
      <c r="DZ270" s="180">
        <f t="shared" si="617"/>
        <v>1161682.3194153362</v>
      </c>
      <c r="EA270" s="180">
        <f t="shared" si="618"/>
        <v>211214.96716642479</v>
      </c>
      <c r="EB270" s="180">
        <f t="shared" ca="1" si="709"/>
        <v>66725.508744770152</v>
      </c>
      <c r="EC270" s="180">
        <f t="shared" ca="1" si="710"/>
        <v>250220.65779288809</v>
      </c>
      <c r="ED270" s="180">
        <f t="shared" ca="1" si="711"/>
        <v>1615934.0878420481</v>
      </c>
      <c r="EE270" s="581">
        <f t="shared" si="619"/>
        <v>1066878.7250984269</v>
      </c>
      <c r="EF270" s="554">
        <f t="shared" si="620"/>
        <v>193977.95001789581</v>
      </c>
      <c r="EG270" s="554">
        <f t="shared" ca="1" si="712"/>
        <v>10822.063081242142</v>
      </c>
      <c r="EH270" s="554">
        <f t="shared" ca="1" si="713"/>
        <v>40582.736554658033</v>
      </c>
      <c r="EI270" s="561">
        <f t="shared" ca="1" si="621"/>
        <v>1312261.4747522231</v>
      </c>
      <c r="EJ270" s="581">
        <f t="shared" si="675"/>
        <v>94803.594316909323</v>
      </c>
      <c r="EK270" s="554">
        <f t="shared" si="676"/>
        <v>17237.017148528976</v>
      </c>
      <c r="EL270" s="554">
        <f t="shared" ca="1" si="714"/>
        <v>55903.445663528008</v>
      </c>
      <c r="EM270" s="554">
        <f t="shared" ca="1" si="715"/>
        <v>209637.92123823005</v>
      </c>
      <c r="EN270" s="561">
        <f t="shared" ca="1" si="716"/>
        <v>303672.61308982503</v>
      </c>
      <c r="EO270" s="180">
        <f t="shared" si="622"/>
        <v>4646729.277661345</v>
      </c>
      <c r="EP270" s="180">
        <f t="shared" si="623"/>
        <v>844859.86866569915</v>
      </c>
      <c r="EQ270" s="180">
        <f t="shared" si="624"/>
        <v>266902.03497908061</v>
      </c>
      <c r="ER270" s="180">
        <f t="shared" si="625"/>
        <v>1000882.6311715523</v>
      </c>
      <c r="ES270" s="180">
        <f t="shared" si="626"/>
        <v>6759373.8124776771</v>
      </c>
      <c r="ET270" s="1482">
        <f t="shared" ca="1" si="717"/>
        <v>4267514.9003937077</v>
      </c>
      <c r="EU270" s="180">
        <f t="shared" ca="1" si="718"/>
        <v>775911.80007158325</v>
      </c>
      <c r="EV270" s="180">
        <f t="shared" ca="1" si="719"/>
        <v>43288.252324968569</v>
      </c>
      <c r="EW270" s="180">
        <f t="shared" ca="1" si="720"/>
        <v>162330.94621863213</v>
      </c>
      <c r="EX270" s="555">
        <f t="shared" ca="1" si="693"/>
        <v>5249045.8990088915</v>
      </c>
      <c r="EY270" s="180">
        <f t="shared" ca="1" si="721"/>
        <v>379214.37726763729</v>
      </c>
      <c r="EZ270" s="180">
        <f t="shared" ca="1" si="722"/>
        <v>68948.068594115903</v>
      </c>
      <c r="FA270" s="180">
        <f t="shared" ca="1" si="723"/>
        <v>223613.78265411203</v>
      </c>
      <c r="FB270" s="180">
        <f t="shared" ca="1" si="724"/>
        <v>838551.68495292019</v>
      </c>
      <c r="FC270" s="180">
        <f t="shared" ca="1" si="725"/>
        <v>1510327.9134687856</v>
      </c>
      <c r="FD270" s="262">
        <f>IF(AX270,IF(VLOOKUP(C270,MAIN!$L$17:$M$28,2)="Yes",VLOOKUP(CALC!B270,MAIN!$H$17:$I$20,2),0),0)</f>
        <v>0</v>
      </c>
      <c r="FE270" s="623">
        <f t="shared" si="627"/>
        <v>0</v>
      </c>
      <c r="FF270" s="535">
        <f t="shared" si="628"/>
        <v>0</v>
      </c>
      <c r="FG270" s="535">
        <f t="shared" si="629"/>
        <v>0</v>
      </c>
      <c r="FH270" s="624">
        <f t="shared" si="630"/>
        <v>0</v>
      </c>
      <c r="FI270" s="632">
        <f>IF(AX270,VLOOKUP(CALC!B270,MAIN!$H$17:$K$20,4),0)</f>
        <v>0</v>
      </c>
      <c r="FJ270" s="535">
        <f t="shared" si="631"/>
        <v>0</v>
      </c>
      <c r="FK270" s="648">
        <f t="shared" si="677"/>
        <v>0</v>
      </c>
      <c r="FL270" s="530">
        <f t="shared" ca="1" si="726"/>
        <v>0</v>
      </c>
      <c r="FM270" s="530">
        <f t="shared" ca="1" si="727"/>
        <v>0</v>
      </c>
      <c r="FN270" s="530">
        <f t="shared" ca="1" si="728"/>
        <v>0</v>
      </c>
      <c r="FO270" s="622">
        <f t="shared" ca="1" si="729"/>
        <v>0</v>
      </c>
      <c r="FP270" s="530">
        <f t="shared" ca="1" si="730"/>
        <v>0</v>
      </c>
      <c r="FQ270" s="530">
        <f t="shared" ca="1" si="731"/>
        <v>0</v>
      </c>
      <c r="FR270" s="530">
        <f t="shared" ca="1" si="732"/>
        <v>0</v>
      </c>
      <c r="FS270" s="625">
        <f t="shared" ca="1" si="733"/>
        <v>0</v>
      </c>
      <c r="FT270" s="640">
        <f ca="1">IF(AND(Assumptions!$H$71="Yes",A270&gt;=Assumptions!$H$72,A270&lt;=Assumptions!$H$73),0,IF(AND($A270&gt;=Assumptions!$C$17,$A270&lt;=Assumptions!$C$18),MAX(AZ270*(1+VLOOKUP($C270,WeatherCapacityAdjustment,2))-FL270,0),0))</f>
        <v>51216</v>
      </c>
      <c r="FU270" s="530">
        <f ca="1">IF(AND(Assumptions!$H$71="Yes",A270&gt;=Assumptions!$H$72,A270&lt;=Assumptions!$H$73),0,IF(AND($A270&gt;=Assumptions!$C$17,$A270&lt;=Assumptions!$C$18),MAX(BA270*(1+VLOOKUP($C270,WeatherCapacityAdjustment,2))-FM270,0),0))</f>
        <v>9312</v>
      </c>
      <c r="FV270" s="530">
        <f ca="1">IF(AND(Assumptions!$H$71="Yes",A270&gt;=Assumptions!$H$72,A270&lt;=Assumptions!$H$73),0,IF(AND($A270&gt;=Assumptions!$C$17,$A270&lt;=Assumptions!$C$18),MAX(BB270*(1+VLOOKUP($C270,WeatherCapacityAdjustment,2))-FN270,0),0))</f>
        <v>9312</v>
      </c>
      <c r="FW270" s="622">
        <f ca="1">IF(AND(Assumptions!$H$71="Yes",A270&gt;=Assumptions!$H$72,A270&lt;=Assumptions!$H$73),0,IF(AND($A270&gt;=Assumptions!$C$17,$A270&lt;=Assumptions!$C$18),MAX(BC270*(1+VLOOKUP($C270,WeatherCapacityAdjustment,3))-FO270,0),0))</f>
        <v>34920</v>
      </c>
      <c r="FX270" s="621">
        <f ca="1">IF(AND(Assumptions!$H$71="Yes",A270&gt;=Assumptions!$H$72,A270&lt;=Assumptions!$H$73),0,IF(ET270&gt;0,MAX(BH270*(1+VLOOKUP($C270,WeatherCapacityAdjustment,2))-FP270,0),0))</f>
        <v>204864</v>
      </c>
      <c r="FY270" s="530">
        <f ca="1">IF(AND(Assumptions!$H$71="Yes",A270&gt;=Assumptions!$H$72,A270&lt;=Assumptions!$H$73),0,IF(EU270&gt;0,MAX(BI270*(1+VLOOKUP($C270,WeatherCapacityAdjustment,3))-FQ270,0),0))</f>
        <v>37248</v>
      </c>
      <c r="FZ270" s="530">
        <f ca="1">IF(AND(Assumptions!$H$71="Yes",A270&gt;=Assumptions!$H$72,A270&lt;=Assumptions!$H$73),0,IF(EV270&gt;0,MAX(BJ270*(1+VLOOKUP($C270,WeatherCapacityAdjustment,2))-FR270,0),0))</f>
        <v>37248</v>
      </c>
      <c r="GA270" s="622">
        <f ca="1">IF(AND(Assumptions!$H$71="Yes",A270&gt;=Assumptions!$H$72,A270&lt;=Assumptions!$H$73),0,IF(EW270&gt;0,MAX(BK270*(1+VLOOKUP($C270,WeatherCapacityAdjustment,2))-FS270,0),0))</f>
        <v>139680</v>
      </c>
      <c r="GB270" s="530">
        <f t="shared" ca="1" si="632"/>
        <v>523800</v>
      </c>
      <c r="GC270" s="545">
        <f t="shared" ca="1" si="633"/>
        <v>40.947275933301526</v>
      </c>
      <c r="GD270" s="530">
        <f t="shared" ca="1" si="734"/>
        <v>21448183.133863341</v>
      </c>
      <c r="GE270" s="1485">
        <f t="shared" ca="1" si="735"/>
        <v>737602.58880000003</v>
      </c>
      <c r="GF270" s="1776">
        <f t="shared" ca="1" si="736"/>
        <v>2950410.3552000001</v>
      </c>
      <c r="GG270" s="545">
        <f t="shared" si="701"/>
        <v>3.6714263950906045</v>
      </c>
      <c r="GH270" s="622">
        <f t="shared" ca="1" si="702"/>
        <v>13540268.068037407</v>
      </c>
      <c r="GI270" s="621">
        <f t="shared" ca="1" si="678"/>
        <v>523800</v>
      </c>
      <c r="GJ270" s="638">
        <f t="shared" si="634"/>
        <v>2.5708432456372905</v>
      </c>
      <c r="GK270" s="625">
        <f t="shared" ca="1" si="684"/>
        <v>1346607.6920648129</v>
      </c>
      <c r="GL270" s="640">
        <f t="shared" ca="1" si="737"/>
        <v>0</v>
      </c>
      <c r="GM270" s="530">
        <f t="shared" ca="1" si="738"/>
        <v>0</v>
      </c>
      <c r="GN270" s="530">
        <f t="shared" ca="1" si="739"/>
        <v>0</v>
      </c>
      <c r="GO270" s="622">
        <f t="shared" ca="1" si="740"/>
        <v>0</v>
      </c>
      <c r="GP270" s="530">
        <f t="shared" ca="1" si="635"/>
        <v>0</v>
      </c>
      <c r="GQ270" s="545">
        <f t="shared" ca="1" si="636"/>
        <v>0</v>
      </c>
      <c r="GR270" s="625">
        <f t="shared" ca="1" si="741"/>
        <v>0</v>
      </c>
      <c r="GS270" s="640">
        <f>IF($A270&gt;=BegDate,Assumptions!$C$56*24*($A271-$A270)*(1-VLOOKUP($B270,MAIN!$AA$7:$AM$28,$C270+1))*(1-VLOOKUP($B270,MAIN!$AA$33:$AM$54,$C270+1)),0)*80/168</f>
        <v>249428.57142857142</v>
      </c>
      <c r="GT270" s="1715">
        <f t="shared" si="679"/>
        <v>49.251880978231725</v>
      </c>
      <c r="GU270" s="1715">
        <f>IF($A270&gt;=BegDate,VLOOKUP($A270,GasTable,13)+Assumptions!$C$58,0)</f>
        <v>3.6714263950906045</v>
      </c>
      <c r="GV270" s="1715">
        <f>GU270*Assumptions!$C$57/1000</f>
        <v>26.617841364406882</v>
      </c>
      <c r="GW270" s="625">
        <f>IF(Assumptions!$C$60="Hourly",MAX(0,GS270*(GT270-GV270)),GS270*(GT270-GV270))</f>
        <v>5645576.1665340252</v>
      </c>
      <c r="GX270" s="640">
        <f>IF($A270&gt;=BegDate,Assumptions!$C$56*24*($A271-$A270)*(1-VLOOKUP($B270,MAIN!$AA$7:$AM$28,$C270+1))*(1-VLOOKUP($B270,MAIN!$AA$33:$AM$54,$C270+1)),0)*16/168</f>
        <v>49885.714285714283</v>
      </c>
      <c r="GY270" s="1715">
        <f t="shared" si="680"/>
        <v>49.251880978231725</v>
      </c>
      <c r="GZ270" s="1715">
        <f>IF($A270&gt;=BegDate,VLOOKUP($A270,GasTable,13)+Assumptions!$C$58,0)</f>
        <v>3.6714263950906045</v>
      </c>
      <c r="HA270" s="1715">
        <f>GZ270*Assumptions!$C$57/1000</f>
        <v>26.617841364406882</v>
      </c>
      <c r="HB270" s="625">
        <f>IF(Assumptions!$C$60="Hourly",MAX(0,GX270*(GY270-HA270)),GX270*(GY270-HA270))</f>
        <v>1129115.2333068049</v>
      </c>
      <c r="HC270" s="640">
        <f>IF($A270&gt;=BegDate,Assumptions!$C$56*24*($A271-$A270)*(1-VLOOKUP($B270,MAIN!$AA$7:$AM$28,$C270+1))*(1-VLOOKUP($B270,MAIN!$AA$33:$AM$54,$C270+1)),0)*16/168</f>
        <v>49885.714285714283</v>
      </c>
      <c r="HD270" s="1715">
        <f t="shared" si="681"/>
        <v>29.583078833468409</v>
      </c>
      <c r="HE270" s="1715">
        <f>IF($A270&gt;=BegDate,VLOOKUP($A270,GasTable,13)+Assumptions!$C$58,0)</f>
        <v>3.6714263950906045</v>
      </c>
      <c r="HF270" s="1715">
        <f>HE270*Assumptions!$C$57/1000</f>
        <v>26.617841364406882</v>
      </c>
      <c r="HG270" s="625">
        <f>IF(Assumptions!$C$60="Hourly",MAX(0,HC270*(HD270-HF270)),HC270*(HD270-HF270))</f>
        <v>147922.9891708979</v>
      </c>
      <c r="HH270" s="640">
        <f>IF($A270&gt;=BegDate,Assumptions!$C$56*24*($A271-$A270)*(1-VLOOKUP($B270,MAIN!$AA$7:$AM$28,$C270+1))*(1-VLOOKUP($B270,MAIN!$AA$33:$AM$54,$C270+1)),0)*56/168</f>
        <v>174600</v>
      </c>
      <c r="HI270" s="1715">
        <f t="shared" si="682"/>
        <v>29.583078833468409</v>
      </c>
      <c r="HJ270" s="1715">
        <f>IF($A270&gt;=BegDate,VLOOKUP($A270,GasTable,13)+Assumptions!$C$58,0)</f>
        <v>3.6714263950906045</v>
      </c>
      <c r="HK270" s="1715">
        <f>HJ270*Assumptions!$C$57/1000</f>
        <v>26.617841364406882</v>
      </c>
      <c r="HL270" s="625">
        <f>IF(Assumptions!$C$60="Hourly",MAX(0,HH270*(HI270-HK270)),HH270*(HI270-HK270))</f>
        <v>517730.46209814271</v>
      </c>
      <c r="HM270" s="640">
        <f>IF(AND(Assumptions!$H$71="Yes",A270&gt;=Assumptions!$H$72,A270&lt;=Assumptions!$H$73),Assumptions!$H$74*Assumptions!$C$9*1000,0)</f>
        <v>0</v>
      </c>
      <c r="HN270" s="530"/>
      <c r="HO270" s="545"/>
      <c r="HP270" s="545"/>
      <c r="HQ270" s="545"/>
      <c r="HR270" s="545"/>
      <c r="HS270" s="545"/>
      <c r="HT270" s="545"/>
      <c r="HU270" s="545"/>
      <c r="HV270" s="545"/>
      <c r="HW270" s="545"/>
      <c r="HX270" s="545"/>
      <c r="HY270" s="545"/>
      <c r="HZ270" s="545"/>
      <c r="IA270" s="545"/>
      <c r="IB270" s="545"/>
      <c r="IC270" s="545"/>
      <c r="ID270" s="545"/>
      <c r="IE270" s="545"/>
      <c r="IF270" s="545"/>
      <c r="IG270" s="545"/>
      <c r="IH270" s="545"/>
      <c r="II270" s="1464"/>
      <c r="IJ270" s="1463"/>
      <c r="IK270" s="1463"/>
    </row>
    <row r="271" spans="1:249">
      <c r="A271" s="177">
        <f t="shared" si="637"/>
        <v>44378</v>
      </c>
      <c r="B271" s="349">
        <f t="shared" si="638"/>
        <v>2021</v>
      </c>
      <c r="C271" s="15">
        <f t="shared" si="742"/>
        <v>7</v>
      </c>
      <c r="D271" s="612">
        <f t="shared" si="639"/>
        <v>44382</v>
      </c>
      <c r="E271" s="609">
        <f t="shared" si="743"/>
        <v>44378</v>
      </c>
      <c r="F271" s="614">
        <f t="shared" si="744"/>
        <v>44408</v>
      </c>
      <c r="G271" s="1349">
        <v>0</v>
      </c>
      <c r="H271" s="152">
        <f t="shared" si="683"/>
        <v>1</v>
      </c>
      <c r="I271" s="154">
        <f>IF(Assumptions!$L$25=4,VLOOKUP($A271,'Henwood Reference'!$E$9:$R$320,10),(VLOOKUP($A271,PriceTable,2,0)+IF(BasisNumber&lt;&gt;1,VLOOKUP($A271,BasisTable,2,0),0)+I$1)/(1-I$2))</f>
        <v>73.117411662614018</v>
      </c>
      <c r="J271" s="154">
        <f>IF(Assumptions!$L$25=4,VLOOKUP($A271,'Henwood Reference'!$E$9:$R$320,10),(VLOOKUP($A271,PriceTable,3,0)+IF(BasisNumber&lt;&gt;1,VLOOKUP($A271,BasisTable,2,0),0)+J$1)/(1-J$2))</f>
        <v>73.117411662614018</v>
      </c>
      <c r="K271" s="154">
        <f>IF(Assumptions!$L$25=4,VLOOKUP($A271,'Henwood Reference'!$E$9:$R$320,10),(VLOOKUP($A271,PriceTable,4,0)+IF(BasisNumber&lt;&gt;1,VLOOKUP($A271,BasisTable,2,0),0)+K$1)/(1-K$2))</f>
        <v>73.117411662614018</v>
      </c>
      <c r="L271" s="474">
        <f>IF(Assumptions!$L$25=4,VLOOKUP($A271,'Henwood Reference'!$E$9:$R$320,10),(VLOOKUP($A271,PriceTableWeekend,2,0)+IF(BasisNumber&lt;&gt;1,VLOOKUP($A271,BasisTable,2,0),0)+L$1)/(1-L$2))</f>
        <v>73.117411662614018</v>
      </c>
      <c r="M271" s="154">
        <f>IF(Assumptions!$L$25=4,VLOOKUP($A271,'Henwood Reference'!$E$9:$R$320,10),(VLOOKUP($A271,PriceTableWeekend,3,0)+IF(BasisNumber&lt;&gt;1,VLOOKUP($A271,BasisTable,2,0),0)+M$1)/(1-M$2))</f>
        <v>73.117411662614018</v>
      </c>
      <c r="N271" s="156">
        <f>IF(Assumptions!$L$25=4,VLOOKUP($A271,'Henwood Reference'!$E$9:$R$320,10),(VLOOKUP($A271,PriceTableWeekend,4,0)+IF(BasisNumber&lt;&gt;1,VLOOKUP($A271,BasisTable,2,0),0)+N$1)/(1-N$2))</f>
        <v>73.117411662614018</v>
      </c>
      <c r="O271" s="154">
        <f>IF(Assumptions!$L$25=4,VLOOKUP($A271,'Henwood Reference'!$E$9:$R$320,11),(VLOOKUP($A271,PriceTableWeekend,6,0)+IF(BasisNumber&lt;&gt;1,VLOOKUP($A271,BasisTable,3,0),0)+O$1)/(1-O$2))</f>
        <v>34.869874607618748</v>
      </c>
      <c r="P271" s="154">
        <f>IF(Assumptions!$L$25=4,VLOOKUP($A271,'Henwood Reference'!$E$9:$R$320,11),(VLOOKUP($A271,PriceTableWeekend,7,0)+IF(BasisNumber&lt;&gt;1,VLOOKUP($A271,BasisTable,3,0),0)+P$1)/(1-P$2))</f>
        <v>34.869874607618748</v>
      </c>
      <c r="Q271" s="156">
        <f>IF(Assumptions!$L$25=4,VLOOKUP($A271,'Henwood Reference'!$E$9:$R$320,11),(VLOOKUP($A271,PriceTableWeekend,8,0)+IF(BasisNumber&lt;&gt;1,VLOOKUP($A271,BasisTable,3,0),0)+Q$1)/(1-Q$2))</f>
        <v>34.869874607618748</v>
      </c>
      <c r="R271" s="154">
        <f>IF(Assumptions!$L$25=4,VLOOKUP($A271,'Henwood Reference'!$E$9:$R$320,11),(VLOOKUP($A271,PriceTable,6,0)+IF(BasisNumber&lt;&gt;1,VLOOKUP($A271,BasisTable,3,0),0)+R$1)/(1-R$2))</f>
        <v>34.869874607618748</v>
      </c>
      <c r="S271" s="154">
        <f>IF(Assumptions!$L$25=4,VLOOKUP($A271,'Henwood Reference'!$E$9:$R$320,11),(VLOOKUP($A271,PriceTable,7,0)+IF(BasisNumber&lt;&gt;1,VLOOKUP($A271,BasisTable,3,0),0)+S$1)/(1-S$2))</f>
        <v>34.869874607618748</v>
      </c>
      <c r="T271" s="155">
        <f>IF(Assumptions!$L$25=4,VLOOKUP($A271,'Henwood Reference'!$E$9:$R$320,11),(VLOOKUP($A271,PriceTable,8,0)+IF(BasisNumber&lt;&gt;1,VLOOKUP($A271,BasisTable,3,0),0)+T$1)/(1-T$2))</f>
        <v>34.869874607618748</v>
      </c>
      <c r="U271" s="173">
        <f t="shared" si="640"/>
        <v>0.09</v>
      </c>
      <c r="V271" s="173">
        <f t="shared" si="641"/>
        <v>0.1</v>
      </c>
      <c r="W271" s="174">
        <f t="shared" si="642"/>
        <v>0.11</v>
      </c>
      <c r="X271" s="173">
        <f t="shared" si="643"/>
        <v>0.09</v>
      </c>
      <c r="Y271" s="173">
        <f t="shared" si="644"/>
        <v>0.1</v>
      </c>
      <c r="Z271" s="174">
        <f t="shared" si="645"/>
        <v>0.11</v>
      </c>
      <c r="AA271" s="173">
        <f t="shared" si="646"/>
        <v>0.09</v>
      </c>
      <c r="AB271" s="173">
        <f t="shared" si="647"/>
        <v>0.11</v>
      </c>
      <c r="AC271" s="174">
        <f t="shared" si="648"/>
        <v>0.13</v>
      </c>
      <c r="AD271" s="173">
        <f t="shared" si="649"/>
        <v>0.09</v>
      </c>
      <c r="AE271" s="173">
        <f t="shared" si="650"/>
        <v>0.11</v>
      </c>
      <c r="AF271" s="174">
        <f t="shared" si="651"/>
        <v>0.13</v>
      </c>
      <c r="AG271" s="173">
        <f t="shared" si="652"/>
        <v>-0.35</v>
      </c>
      <c r="AH271" s="173">
        <f t="shared" si="653"/>
        <v>0.65</v>
      </c>
      <c r="AI271" s="174">
        <f t="shared" si="654"/>
        <v>0.35</v>
      </c>
      <c r="AJ271" s="173">
        <f t="shared" si="655"/>
        <v>-0.35</v>
      </c>
      <c r="AK271" s="173">
        <f t="shared" si="656"/>
        <v>0.65</v>
      </c>
      <c r="AL271" s="174">
        <f t="shared" si="657"/>
        <v>0.35</v>
      </c>
      <c r="AM271" s="173">
        <f t="shared" si="658"/>
        <v>-0.01</v>
      </c>
      <c r="AN271" s="173">
        <f t="shared" si="659"/>
        <v>0.16</v>
      </c>
      <c r="AO271" s="174">
        <f t="shared" si="660"/>
        <v>0.01</v>
      </c>
      <c r="AP271" s="173">
        <f t="shared" si="661"/>
        <v>-0.01</v>
      </c>
      <c r="AQ271" s="173">
        <f t="shared" si="662"/>
        <v>0.16</v>
      </c>
      <c r="AR271" s="175">
        <f t="shared" si="663"/>
        <v>0.01</v>
      </c>
      <c r="AS271" s="521">
        <f t="shared" si="747"/>
        <v>0.5</v>
      </c>
      <c r="AT271" s="349">
        <f t="shared" si="745"/>
        <v>21</v>
      </c>
      <c r="AU271" s="159">
        <f t="shared" si="582"/>
        <v>5</v>
      </c>
      <c r="AV271" s="159">
        <f t="shared" si="583"/>
        <v>4</v>
      </c>
      <c r="AW271" s="159">
        <f t="shared" si="748"/>
        <v>1</v>
      </c>
      <c r="AX271" s="15">
        <f t="shared" si="746"/>
        <v>31</v>
      </c>
      <c r="AY271" s="607">
        <f>IF(E271="",0,MIN((1-(1-VLOOKUP(B271,MAIN!$AA$7:$AM$28,C271+1))*(1-VLOOKUP(B271,MAIN!$AA$33:$AM$54,C271+1))),1))</f>
        <v>3.0000000000000027E-2</v>
      </c>
      <c r="AZ271" s="337">
        <v>48888</v>
      </c>
      <c r="BA271" s="509">
        <v>11640</v>
      </c>
      <c r="BB271" s="509">
        <v>11640</v>
      </c>
      <c r="BC271" s="511">
        <v>36084</v>
      </c>
      <c r="BD271" s="153">
        <v>0.97000000361353156</v>
      </c>
      <c r="BE271" s="474">
        <v>0.97000000361353156</v>
      </c>
      <c r="BF271" s="474">
        <v>0.97000000361353156</v>
      </c>
      <c r="BG271" s="515">
        <v>0.96999998554587363</v>
      </c>
      <c r="BH271" s="262">
        <v>195552</v>
      </c>
      <c r="BI271" s="509">
        <v>46560</v>
      </c>
      <c r="BJ271" s="509">
        <v>46560</v>
      </c>
      <c r="BK271" s="511">
        <v>144336</v>
      </c>
      <c r="BL271" s="153">
        <v>0.97000000361353156</v>
      </c>
      <c r="BM271" s="474">
        <v>0.97000000361353156</v>
      </c>
      <c r="BN271" s="474">
        <v>0.97000000361353156</v>
      </c>
      <c r="BO271" s="474">
        <v>0.96999998554587363</v>
      </c>
      <c r="BP271" s="261">
        <f t="shared" si="666"/>
        <v>72168</v>
      </c>
      <c r="BQ271" s="578">
        <f t="shared" si="667"/>
        <v>108252</v>
      </c>
      <c r="BR271" s="259">
        <f t="shared" si="668"/>
        <v>288672</v>
      </c>
      <c r="BS271" s="578">
        <f t="shared" si="669"/>
        <v>433008</v>
      </c>
      <c r="BT271" s="216">
        <f t="shared" si="670"/>
        <v>21.212867898699521</v>
      </c>
      <c r="BU271" s="218">
        <f t="shared" si="585"/>
        <v>73.117411934997591</v>
      </c>
      <c r="BV271" s="216">
        <f t="shared" si="586"/>
        <v>73.117411934997591</v>
      </c>
      <c r="BW271" s="216">
        <f t="shared" si="587"/>
        <v>34.869874737519154</v>
      </c>
      <c r="BX271" s="216">
        <f t="shared" si="671"/>
        <v>34.869874088017127</v>
      </c>
      <c r="BY271" s="216">
        <f t="shared" si="588"/>
        <v>66.948454322501078</v>
      </c>
      <c r="BZ271" s="216">
        <f t="shared" si="589"/>
        <v>56.255594244339754</v>
      </c>
      <c r="CA271" s="264">
        <f t="shared" si="590"/>
        <v>73.117411934997591</v>
      </c>
      <c r="CB271" s="216">
        <f t="shared" si="591"/>
        <v>73.117411934997591</v>
      </c>
      <c r="CC271" s="216">
        <f t="shared" si="592"/>
        <v>34.869874737519154</v>
      </c>
      <c r="CD271" s="216">
        <f t="shared" si="672"/>
        <v>34.869874088017127</v>
      </c>
      <c r="CE271" s="216">
        <f t="shared" si="593"/>
        <v>66.948454322501078</v>
      </c>
      <c r="CF271" s="571">
        <f t="shared" si="594"/>
        <v>56.255594244339754</v>
      </c>
      <c r="CG271" s="573">
        <f t="shared" si="595"/>
        <v>0.1</v>
      </c>
      <c r="CH271" s="219">
        <f t="shared" si="596"/>
        <v>0.1</v>
      </c>
      <c r="CI271" s="219">
        <f t="shared" si="597"/>
        <v>0.11</v>
      </c>
      <c r="CJ271" s="219">
        <f t="shared" si="598"/>
        <v>0.10084835865110349</v>
      </c>
      <c r="CK271" s="219">
        <f t="shared" si="599"/>
        <v>0.10084835865110349</v>
      </c>
      <c r="CL271" s="219">
        <f t="shared" si="600"/>
        <v>0.11</v>
      </c>
      <c r="CM271" s="219">
        <f t="shared" si="601"/>
        <v>9.3757931959736321E-2</v>
      </c>
      <c r="CN271" s="569">
        <f t="shared" si="602"/>
        <v>9.3757931959736321E-2</v>
      </c>
      <c r="CO271" s="264">
        <f t="shared" si="685"/>
        <v>26.523591521717837</v>
      </c>
      <c r="CP271" s="216">
        <f t="shared" si="673"/>
        <v>26.523591521717837</v>
      </c>
      <c r="CQ271" s="216">
        <f t="shared" ca="1" si="703"/>
        <v>26.523591521717837</v>
      </c>
      <c r="CR271" s="216">
        <f t="shared" ca="1" si="704"/>
        <v>26.523591521717837</v>
      </c>
      <c r="CS271" s="1626">
        <f t="shared" ca="1" si="705"/>
        <v>26.523591521717837</v>
      </c>
      <c r="CT271" s="216">
        <f t="shared" si="674"/>
        <v>26.523591521717837</v>
      </c>
      <c r="CU271" s="575">
        <f t="shared" si="603"/>
        <v>0.15</v>
      </c>
      <c r="CV271" s="154">
        <f t="shared" si="604"/>
        <v>0.5</v>
      </c>
      <c r="CW271" s="216">
        <f>IF(OR($BQ271,$BS271),SpreadOptPowerMargin,0)*((1+Assumptions!$C$26)^($B271-YEAR(Assumptions!$C$17)))</f>
        <v>2.5708432456372909</v>
      </c>
      <c r="CX271" s="216">
        <f>IF(OR($BQ271,$BS271),SpreadOptPowerMargin,0)*((1+Assumptions!$C$26)^($B271-YEAR(Assumptions!$C$17)))</f>
        <v>2.5708432456372909</v>
      </c>
      <c r="CY271" s="216">
        <f>IF(OR($BQ271,$BS271),SpreadOptPowerMargin,0)*((1+Assumptions!$C$26)^($B271-YEAR(Assumptions!$C$17)))</f>
        <v>2.5708432456372909</v>
      </c>
      <c r="CZ271" s="216">
        <f>IF(OR($BQ271,$BS271),SpreadOptPowerMargin,0)*((1+Assumptions!$C$26)^($B271-YEAR(Assumptions!$C$17)))</f>
        <v>2.5708432456372909</v>
      </c>
      <c r="DA271" s="440">
        <f t="shared" si="605"/>
        <v>2.5708432456372909</v>
      </c>
      <c r="DB271" s="479">
        <f t="shared" si="606"/>
        <v>0.1</v>
      </c>
      <c r="DC271" s="479">
        <f t="shared" si="607"/>
        <v>0.1</v>
      </c>
      <c r="DD271" s="479">
        <f t="shared" si="608"/>
        <v>0.11</v>
      </c>
      <c r="DE271" s="479">
        <f t="shared" si="609"/>
        <v>0.11</v>
      </c>
      <c r="DF271" s="479">
        <f t="shared" si="610"/>
        <v>9.3757931959736321E-2</v>
      </c>
      <c r="DG271" s="574">
        <f t="shared" si="611"/>
        <v>9.3757931959736321E-2</v>
      </c>
      <c r="DH271" s="216">
        <f t="shared" si="612"/>
        <v>44.624666911978672</v>
      </c>
      <c r="DI271" s="216">
        <f t="shared" si="613"/>
        <v>44.624666911978672</v>
      </c>
      <c r="DJ271" s="216">
        <f t="shared" ca="1" si="706"/>
        <v>10.522522260626497</v>
      </c>
      <c r="DK271" s="216">
        <f t="shared" ca="1" si="707"/>
        <v>10.522521785891932</v>
      </c>
      <c r="DL271" s="216">
        <f t="shared" ca="1" si="708"/>
        <v>28.516670065517868</v>
      </c>
      <c r="DM271" s="216"/>
      <c r="DN271" s="216"/>
      <c r="DO271" s="216"/>
      <c r="DP271" s="216"/>
      <c r="DQ271" s="216"/>
      <c r="DR271" s="216"/>
      <c r="DS271" s="216"/>
      <c r="DT271" s="216"/>
      <c r="DU271" s="216"/>
      <c r="DV271" s="216"/>
      <c r="DW271" s="1371">
        <f t="shared" si="614"/>
        <v>10.522522260626497</v>
      </c>
      <c r="DX271" s="216">
        <f t="shared" si="615"/>
        <v>10.522521785891932</v>
      </c>
      <c r="DY271" s="440">
        <f t="shared" si="616"/>
        <v>29.59038792894415</v>
      </c>
      <c r="DZ271" s="180">
        <f t="shared" si="617"/>
        <v>2181610.7159928135</v>
      </c>
      <c r="EA271" s="180">
        <f t="shared" si="618"/>
        <v>519431.12285543175</v>
      </c>
      <c r="EB271" s="180">
        <f t="shared" ca="1" si="709"/>
        <v>122482.15911369243</v>
      </c>
      <c r="EC271" s="180">
        <f t="shared" ca="1" si="710"/>
        <v>379694.67612212448</v>
      </c>
      <c r="ED271" s="180">
        <f t="shared" ca="1" si="711"/>
        <v>3086986.5679324404</v>
      </c>
      <c r="EE271" s="581">
        <f t="shared" si="619"/>
        <v>2152195.3077717051</v>
      </c>
      <c r="EF271" s="554">
        <f t="shared" si="620"/>
        <v>512427.45423135831</v>
      </c>
      <c r="EG271" s="554">
        <f t="shared" ca="1" si="712"/>
        <v>67226.121252709258</v>
      </c>
      <c r="EH271" s="554">
        <f t="shared" ca="1" si="713"/>
        <v>208400.95244676757</v>
      </c>
      <c r="EI271" s="561">
        <f t="shared" ca="1" si="621"/>
        <v>2940249.8357025399</v>
      </c>
      <c r="EJ271" s="581">
        <f t="shared" si="675"/>
        <v>29415.408221108373</v>
      </c>
      <c r="EK271" s="554">
        <f t="shared" si="676"/>
        <v>7003.6686240734416</v>
      </c>
      <c r="EL271" s="554">
        <f t="shared" ca="1" si="714"/>
        <v>55256.037860983168</v>
      </c>
      <c r="EM271" s="554">
        <f t="shared" ca="1" si="715"/>
        <v>171293.72367535692</v>
      </c>
      <c r="EN271" s="561">
        <f t="shared" ca="1" si="716"/>
        <v>146736.73222990055</v>
      </c>
      <c r="EO271" s="180">
        <f t="shared" si="622"/>
        <v>8726442.8639712539</v>
      </c>
      <c r="EP271" s="180">
        <f t="shared" si="623"/>
        <v>2077724.491421727</v>
      </c>
      <c r="EQ271" s="180">
        <f t="shared" si="624"/>
        <v>489928.6364547697</v>
      </c>
      <c r="ER271" s="180">
        <f t="shared" si="625"/>
        <v>1518778.7044884979</v>
      </c>
      <c r="ES271" s="180">
        <f t="shared" si="626"/>
        <v>12812874.696336249</v>
      </c>
      <c r="ET271" s="1482">
        <f t="shared" ca="1" si="717"/>
        <v>8608781.2310868204</v>
      </c>
      <c r="EU271" s="180">
        <f t="shared" ca="1" si="718"/>
        <v>2049709.8169254332</v>
      </c>
      <c r="EV271" s="180">
        <f t="shared" ca="1" si="719"/>
        <v>268904.48501083703</v>
      </c>
      <c r="EW271" s="180">
        <f t="shared" ca="1" si="720"/>
        <v>833603.80978707026</v>
      </c>
      <c r="EX271" s="555">
        <f t="shared" ca="1" si="693"/>
        <v>11760999.34281016</v>
      </c>
      <c r="EY271" s="180">
        <f t="shared" ca="1" si="721"/>
        <v>117661.63288443349</v>
      </c>
      <c r="EZ271" s="180">
        <f t="shared" ca="1" si="722"/>
        <v>28014.674496293766</v>
      </c>
      <c r="FA271" s="180">
        <f t="shared" ca="1" si="723"/>
        <v>221024.15144393267</v>
      </c>
      <c r="FB271" s="180">
        <f t="shared" ca="1" si="724"/>
        <v>685174.89470142766</v>
      </c>
      <c r="FC271" s="180">
        <f t="shared" ca="1" si="725"/>
        <v>1051875.3535260893</v>
      </c>
      <c r="FD271" s="262">
        <f>IF(AX271,IF(VLOOKUP(C271,MAIN!$L$17:$M$28,2)="Yes",VLOOKUP(CALC!B271,MAIN!$H$17:$I$20,2),0),0)</f>
        <v>0</v>
      </c>
      <c r="FE271" s="623">
        <f t="shared" si="627"/>
        <v>0</v>
      </c>
      <c r="FF271" s="535">
        <f t="shared" si="628"/>
        <v>0</v>
      </c>
      <c r="FG271" s="535">
        <f t="shared" si="629"/>
        <v>0</v>
      </c>
      <c r="FH271" s="624">
        <f t="shared" si="630"/>
        <v>0</v>
      </c>
      <c r="FI271" s="632">
        <f>IF(AX271,VLOOKUP(CALC!B271,MAIN!$H$17:$K$20,4),0)</f>
        <v>0</v>
      </c>
      <c r="FJ271" s="535">
        <f t="shared" si="631"/>
        <v>0</v>
      </c>
      <c r="FK271" s="648">
        <f t="shared" si="677"/>
        <v>0</v>
      </c>
      <c r="FL271" s="530">
        <f t="shared" ca="1" si="726"/>
        <v>0</v>
      </c>
      <c r="FM271" s="530">
        <f t="shared" ca="1" si="727"/>
        <v>0</v>
      </c>
      <c r="FN271" s="530">
        <f t="shared" ca="1" si="728"/>
        <v>0</v>
      </c>
      <c r="FO271" s="622">
        <f t="shared" ca="1" si="729"/>
        <v>0</v>
      </c>
      <c r="FP271" s="530">
        <f t="shared" ca="1" si="730"/>
        <v>0</v>
      </c>
      <c r="FQ271" s="530">
        <f t="shared" ca="1" si="731"/>
        <v>0</v>
      </c>
      <c r="FR271" s="530">
        <f t="shared" ca="1" si="732"/>
        <v>0</v>
      </c>
      <c r="FS271" s="625">
        <f t="shared" ca="1" si="733"/>
        <v>0</v>
      </c>
      <c r="FT271" s="640">
        <f ca="1">IF(AND(Assumptions!$H$71="Yes",A271&gt;=Assumptions!$H$72,A271&lt;=Assumptions!$H$73),0,IF(AND($A271&gt;=Assumptions!$C$17,$A271&lt;=Assumptions!$C$18),MAX(AZ271*(1+VLOOKUP($C271,WeatherCapacityAdjustment,2))-FL271,0),0))</f>
        <v>48888</v>
      </c>
      <c r="FU271" s="530">
        <f ca="1">IF(AND(Assumptions!$H$71="Yes",A271&gt;=Assumptions!$H$72,A271&lt;=Assumptions!$H$73),0,IF(AND($A271&gt;=Assumptions!$C$17,$A271&lt;=Assumptions!$C$18),MAX(BA271*(1+VLOOKUP($C271,WeatherCapacityAdjustment,2))-FM271,0),0))</f>
        <v>11640</v>
      </c>
      <c r="FV271" s="530">
        <f ca="1">IF(AND(Assumptions!$H$71="Yes",A271&gt;=Assumptions!$H$72,A271&lt;=Assumptions!$H$73),0,IF(AND($A271&gt;=Assumptions!$C$17,$A271&lt;=Assumptions!$C$18),MAX(BB271*(1+VLOOKUP($C271,WeatherCapacityAdjustment,2))-FN271,0),0))</f>
        <v>11640</v>
      </c>
      <c r="FW271" s="622">
        <f ca="1">IF(AND(Assumptions!$H$71="Yes",A271&gt;=Assumptions!$H$72,A271&lt;=Assumptions!$H$73),0,IF(AND($A271&gt;=Assumptions!$C$17,$A271&lt;=Assumptions!$C$18),MAX(BC271*(1+VLOOKUP($C271,WeatherCapacityAdjustment,3))-FO271,0),0))</f>
        <v>36084</v>
      </c>
      <c r="FX271" s="621">
        <f ca="1">IF(AND(Assumptions!$H$71="Yes",A271&gt;=Assumptions!$H$72,A271&lt;=Assumptions!$H$73),0,IF(ET271&gt;0,MAX(BH271*(1+VLOOKUP($C271,WeatherCapacityAdjustment,2))-FP271,0),0))</f>
        <v>195552</v>
      </c>
      <c r="FY271" s="530">
        <f ca="1">IF(AND(Assumptions!$H$71="Yes",A271&gt;=Assumptions!$H$72,A271&lt;=Assumptions!$H$73),0,IF(EU271&gt;0,MAX(BI271*(1+VLOOKUP($C271,WeatherCapacityAdjustment,3))-FQ271,0),0))</f>
        <v>46560</v>
      </c>
      <c r="FZ271" s="530">
        <f ca="1">IF(AND(Assumptions!$H$71="Yes",A271&gt;=Assumptions!$H$72,A271&lt;=Assumptions!$H$73),0,IF(EV271&gt;0,MAX(BJ271*(1+VLOOKUP($C271,WeatherCapacityAdjustment,2))-FR271,0),0))</f>
        <v>46560</v>
      </c>
      <c r="GA271" s="622">
        <f ca="1">IF(AND(Assumptions!$H$71="Yes",A271&gt;=Assumptions!$H$72,A271&lt;=Assumptions!$H$73),0,IF(EW271&gt;0,MAX(BK271*(1+VLOOKUP($C271,WeatherCapacityAdjustment,2))-FS271,0),0))</f>
        <v>144336</v>
      </c>
      <c r="GB271" s="530">
        <f t="shared" ca="1" si="632"/>
        <v>541260</v>
      </c>
      <c r="GC271" s="545">
        <f t="shared" ca="1" si="633"/>
        <v>56.255594244339754</v>
      </c>
      <c r="GD271" s="530">
        <f t="shared" ca="1" si="734"/>
        <v>30448902.940691337</v>
      </c>
      <c r="GE271" s="1485">
        <f t="shared" ca="1" si="735"/>
        <v>762507.60263999994</v>
      </c>
      <c r="GF271" s="1776">
        <f t="shared" ca="1" si="736"/>
        <v>3050030.4105599998</v>
      </c>
      <c r="GG271" s="545">
        <f t="shared" si="701"/>
        <v>3.7655123955066765</v>
      </c>
      <c r="GH271" s="622">
        <f t="shared" ca="1" si="702"/>
        <v>14356159.147044996</v>
      </c>
      <c r="GI271" s="621">
        <f t="shared" ca="1" si="678"/>
        <v>541260</v>
      </c>
      <c r="GJ271" s="638">
        <f t="shared" si="634"/>
        <v>2.5708432456372909</v>
      </c>
      <c r="GK271" s="625">
        <f t="shared" ca="1" si="684"/>
        <v>1391494.6151336401</v>
      </c>
      <c r="GL271" s="640">
        <f t="shared" ca="1" si="737"/>
        <v>0</v>
      </c>
      <c r="GM271" s="530">
        <f t="shared" ca="1" si="738"/>
        <v>0</v>
      </c>
      <c r="GN271" s="530">
        <f t="shared" ca="1" si="739"/>
        <v>0</v>
      </c>
      <c r="GO271" s="622">
        <f t="shared" ca="1" si="740"/>
        <v>0</v>
      </c>
      <c r="GP271" s="530">
        <f t="shared" ca="1" si="635"/>
        <v>0</v>
      </c>
      <c r="GQ271" s="545">
        <f t="shared" ca="1" si="636"/>
        <v>0</v>
      </c>
      <c r="GR271" s="625">
        <f t="shared" ca="1" si="741"/>
        <v>0</v>
      </c>
      <c r="GS271" s="640">
        <f>IF($A271&gt;=BegDate,Assumptions!$C$56*24*($A272-$A271)*(1-VLOOKUP($B271,MAIN!$AA$7:$AM$28,$C271+1))*(1-VLOOKUP($B271,MAIN!$AA$33:$AM$54,$C271+1)),0)*80/168</f>
        <v>257742.85714285713</v>
      </c>
      <c r="GT271" s="1715">
        <f t="shared" si="679"/>
        <v>73.117411662614018</v>
      </c>
      <c r="GU271" s="1715">
        <f>IF($A271&gt;=BegDate,VLOOKUP($A271,GasTable,13)+Assumptions!$C$58,0)</f>
        <v>3.7655123955066765</v>
      </c>
      <c r="GV271" s="1715">
        <f>GU271*Assumptions!$C$57/1000</f>
        <v>27.299964867423405</v>
      </c>
      <c r="GW271" s="625">
        <f>IF(Assumptions!$C$60="Hourly",MAX(0,GS271*(GT271-GV271)),GS271*(GT271-GV271))</f>
        <v>11809119.643983271</v>
      </c>
      <c r="GX271" s="640">
        <f>IF($A271&gt;=BegDate,Assumptions!$C$56*24*($A272-$A271)*(1-VLOOKUP($B271,MAIN!$AA$7:$AM$28,$C271+1))*(1-VLOOKUP($B271,MAIN!$AA$33:$AM$54,$C271+1)),0)*16/168</f>
        <v>51548.571428571428</v>
      </c>
      <c r="GY271" s="1715">
        <f t="shared" si="680"/>
        <v>73.117411662614018</v>
      </c>
      <c r="GZ271" s="1715">
        <f>IF($A271&gt;=BegDate,VLOOKUP($A271,GasTable,13)+Assumptions!$C$58,0)</f>
        <v>3.7655123955066765</v>
      </c>
      <c r="HA271" s="1715">
        <f>GZ271*Assumptions!$C$57/1000</f>
        <v>27.299964867423405</v>
      </c>
      <c r="HB271" s="625">
        <f>IF(Assumptions!$C$60="Hourly",MAX(0,GX271*(GY271-HA271)),GX271*(GY271-HA271))</f>
        <v>2361823.9287966541</v>
      </c>
      <c r="HC271" s="640">
        <f>IF($A271&gt;=BegDate,Assumptions!$C$56*24*($A272-$A271)*(1-VLOOKUP($B271,MAIN!$AA$7:$AM$28,$C271+1))*(1-VLOOKUP($B271,MAIN!$AA$33:$AM$54,$C271+1)),0)*16/168</f>
        <v>51548.571428571428</v>
      </c>
      <c r="HD271" s="1715">
        <f t="shared" si="681"/>
        <v>34.869874607618748</v>
      </c>
      <c r="HE271" s="1715">
        <f>IF($A271&gt;=BegDate,VLOOKUP($A271,GasTable,13)+Assumptions!$C$58,0)</f>
        <v>3.7655123955066765</v>
      </c>
      <c r="HF271" s="1715">
        <f>HE271*Assumptions!$C$57/1000</f>
        <v>27.299964867423405</v>
      </c>
      <c r="HG271" s="625">
        <f>IF(Assumptions!$C$60="Hourly",MAX(0,HC271*(HD271-HF271)),HC271*(HD271-HF271))</f>
        <v>390218.03295029816</v>
      </c>
      <c r="HH271" s="640">
        <f>IF($A271&gt;=BegDate,Assumptions!$C$56*24*($A272-$A271)*(1-VLOOKUP($B271,MAIN!$AA$7:$AM$28,$C271+1))*(1-VLOOKUP($B271,MAIN!$AA$33:$AM$54,$C271+1)),0)*56/168</f>
        <v>180420</v>
      </c>
      <c r="HI271" s="1715">
        <f t="shared" si="682"/>
        <v>34.869874607618748</v>
      </c>
      <c r="HJ271" s="1715">
        <f>IF($A271&gt;=BegDate,VLOOKUP($A271,GasTable,13)+Assumptions!$C$58,0)</f>
        <v>3.7655123955066765</v>
      </c>
      <c r="HK271" s="1715">
        <f>HJ271*Assumptions!$C$57/1000</f>
        <v>27.299964867423405</v>
      </c>
      <c r="HL271" s="625">
        <f>IF(Assumptions!$C$60="Hourly",MAX(0,HH271*(HI271-HK271)),HH271*(HI271-HK271))</f>
        <v>1365763.1153260437</v>
      </c>
      <c r="HM271" s="640">
        <f>IF(AND(Assumptions!$H$71="Yes",A271&gt;=Assumptions!$H$72,A271&lt;=Assumptions!$H$73),Assumptions!$H$74*Assumptions!$C$9*1000,0)</f>
        <v>0</v>
      </c>
      <c r="HN271" s="530"/>
      <c r="HO271" s="545"/>
      <c r="HP271" s="545"/>
      <c r="HQ271" s="545"/>
      <c r="HR271" s="545"/>
      <c r="HS271" s="545"/>
      <c r="HT271" s="545"/>
      <c r="HU271" s="545"/>
      <c r="HV271" s="545"/>
      <c r="HW271" s="545"/>
      <c r="HX271" s="545"/>
      <c r="HY271" s="545"/>
      <c r="HZ271" s="545"/>
      <c r="IA271" s="545"/>
      <c r="IB271" s="545"/>
      <c r="IC271" s="545"/>
      <c r="ID271" s="545"/>
      <c r="IE271" s="545"/>
      <c r="IF271" s="545"/>
      <c r="IG271" s="545"/>
      <c r="IH271" s="545"/>
      <c r="II271" s="1464"/>
      <c r="IJ271" s="1463"/>
      <c r="IK271" s="1463"/>
    </row>
    <row r="272" spans="1:249">
      <c r="A272" s="177">
        <f t="shared" si="637"/>
        <v>44409</v>
      </c>
      <c r="B272" s="349">
        <f t="shared" si="638"/>
        <v>2021</v>
      </c>
      <c r="C272" s="15">
        <f t="shared" si="742"/>
        <v>8</v>
      </c>
      <c r="D272" s="612" t="str">
        <f t="shared" si="639"/>
        <v/>
      </c>
      <c r="E272" s="609">
        <f t="shared" si="743"/>
        <v>44409</v>
      </c>
      <c r="F272" s="614">
        <f t="shared" si="744"/>
        <v>44439</v>
      </c>
      <c r="G272" s="1349">
        <v>0</v>
      </c>
      <c r="H272" s="152">
        <f t="shared" si="683"/>
        <v>1</v>
      </c>
      <c r="I272" s="154">
        <f>IF(Assumptions!$L$25=4,VLOOKUP($A272,'Henwood Reference'!$E$9:$R$320,10),(VLOOKUP($A272,PriceTable,2,0)+IF(BasisNumber&lt;&gt;1,VLOOKUP($A272,BasisTable,2,0),0)+I$1)/(1-I$2))</f>
        <v>90.730060845245418</v>
      </c>
      <c r="J272" s="154">
        <f>IF(Assumptions!$L$25=4,VLOOKUP($A272,'Henwood Reference'!$E$9:$R$320,10),(VLOOKUP($A272,PriceTable,3,0)+IF(BasisNumber&lt;&gt;1,VLOOKUP($A272,BasisTable,2,0),0)+J$1)/(1-J$2))</f>
        <v>90.730060845245418</v>
      </c>
      <c r="K272" s="154">
        <f>IF(Assumptions!$L$25=4,VLOOKUP($A272,'Henwood Reference'!$E$9:$R$320,10),(VLOOKUP($A272,PriceTable,4,0)+IF(BasisNumber&lt;&gt;1,VLOOKUP($A272,BasisTable,2,0),0)+K$1)/(1-K$2))</f>
        <v>90.730060845245418</v>
      </c>
      <c r="L272" s="474">
        <f>IF(Assumptions!$L$25=4,VLOOKUP($A272,'Henwood Reference'!$E$9:$R$320,10),(VLOOKUP($A272,PriceTableWeekend,2,0)+IF(BasisNumber&lt;&gt;1,VLOOKUP($A272,BasisTable,2,0),0)+L$1)/(1-L$2))</f>
        <v>90.730060845245418</v>
      </c>
      <c r="M272" s="154">
        <f>IF(Assumptions!$L$25=4,VLOOKUP($A272,'Henwood Reference'!$E$9:$R$320,10),(VLOOKUP($A272,PriceTableWeekend,3,0)+IF(BasisNumber&lt;&gt;1,VLOOKUP($A272,BasisTable,2,0),0)+M$1)/(1-M$2))</f>
        <v>90.730060845245418</v>
      </c>
      <c r="N272" s="156">
        <f>IF(Assumptions!$L$25=4,VLOOKUP($A272,'Henwood Reference'!$E$9:$R$320,10),(VLOOKUP($A272,PriceTableWeekend,4,0)+IF(BasisNumber&lt;&gt;1,VLOOKUP($A272,BasisTable,2,0),0)+N$1)/(1-N$2))</f>
        <v>90.730060845245418</v>
      </c>
      <c r="O272" s="154">
        <f>IF(Assumptions!$L$25=4,VLOOKUP($A272,'Henwood Reference'!$E$9:$R$320,11),(VLOOKUP($A272,PriceTableWeekend,6,0)+IF(BasisNumber&lt;&gt;1,VLOOKUP($A272,BasisTable,3,0),0)+O$1)/(1-O$2))</f>
        <v>37.279480961147662</v>
      </c>
      <c r="P272" s="154">
        <f>IF(Assumptions!$L$25=4,VLOOKUP($A272,'Henwood Reference'!$E$9:$R$320,11),(VLOOKUP($A272,PriceTableWeekend,7,0)+IF(BasisNumber&lt;&gt;1,VLOOKUP($A272,BasisTable,3,0),0)+P$1)/(1-P$2))</f>
        <v>37.279480961147662</v>
      </c>
      <c r="Q272" s="156">
        <f>IF(Assumptions!$L$25=4,VLOOKUP($A272,'Henwood Reference'!$E$9:$R$320,11),(VLOOKUP($A272,PriceTableWeekend,8,0)+IF(BasisNumber&lt;&gt;1,VLOOKUP($A272,BasisTable,3,0),0)+Q$1)/(1-Q$2))</f>
        <v>37.279480961147662</v>
      </c>
      <c r="R272" s="154">
        <f>IF(Assumptions!$L$25=4,VLOOKUP($A272,'Henwood Reference'!$E$9:$R$320,11),(VLOOKUP($A272,PriceTable,6,0)+IF(BasisNumber&lt;&gt;1,VLOOKUP($A272,BasisTable,3,0),0)+R$1)/(1-R$2))</f>
        <v>37.279480961147662</v>
      </c>
      <c r="S272" s="154">
        <f>IF(Assumptions!$L$25=4,VLOOKUP($A272,'Henwood Reference'!$E$9:$R$320,11),(VLOOKUP($A272,PriceTable,7,0)+IF(BasisNumber&lt;&gt;1,VLOOKUP($A272,BasisTable,3,0),0)+S$1)/(1-S$2))</f>
        <v>37.279480961147662</v>
      </c>
      <c r="T272" s="155">
        <f>IF(Assumptions!$L$25=4,VLOOKUP($A272,'Henwood Reference'!$E$9:$R$320,11),(VLOOKUP($A272,PriceTable,8,0)+IF(BasisNumber&lt;&gt;1,VLOOKUP($A272,BasisTable,3,0),0)+T$1)/(1-T$2))</f>
        <v>37.279480961147662</v>
      </c>
      <c r="U272" s="173">
        <f t="shared" si="640"/>
        <v>0.09</v>
      </c>
      <c r="V272" s="173">
        <f t="shared" si="641"/>
        <v>0.1</v>
      </c>
      <c r="W272" s="174">
        <f t="shared" si="642"/>
        <v>0.11</v>
      </c>
      <c r="X272" s="173">
        <f t="shared" si="643"/>
        <v>0.09</v>
      </c>
      <c r="Y272" s="173">
        <f t="shared" si="644"/>
        <v>0.1</v>
      </c>
      <c r="Z272" s="174">
        <f t="shared" si="645"/>
        <v>0.11</v>
      </c>
      <c r="AA272" s="173">
        <f t="shared" si="646"/>
        <v>0.09</v>
      </c>
      <c r="AB272" s="173">
        <f t="shared" si="647"/>
        <v>0.11</v>
      </c>
      <c r="AC272" s="174">
        <f t="shared" si="648"/>
        <v>0.13</v>
      </c>
      <c r="AD272" s="173">
        <f t="shared" si="649"/>
        <v>0.09</v>
      </c>
      <c r="AE272" s="173">
        <f t="shared" si="650"/>
        <v>0.11</v>
      </c>
      <c r="AF272" s="174">
        <f t="shared" si="651"/>
        <v>0.13</v>
      </c>
      <c r="AG272" s="173">
        <f t="shared" si="652"/>
        <v>-0.35</v>
      </c>
      <c r="AH272" s="173">
        <f t="shared" si="653"/>
        <v>3</v>
      </c>
      <c r="AI272" s="174">
        <f t="shared" si="654"/>
        <v>0.35</v>
      </c>
      <c r="AJ272" s="173">
        <f t="shared" si="655"/>
        <v>-0.35</v>
      </c>
      <c r="AK272" s="173">
        <f t="shared" si="656"/>
        <v>3</v>
      </c>
      <c r="AL272" s="174">
        <f t="shared" si="657"/>
        <v>0.35</v>
      </c>
      <c r="AM272" s="173">
        <f t="shared" si="658"/>
        <v>-0.01</v>
      </c>
      <c r="AN272" s="173">
        <f t="shared" si="659"/>
        <v>0.16</v>
      </c>
      <c r="AO272" s="174">
        <f t="shared" si="660"/>
        <v>0.01</v>
      </c>
      <c r="AP272" s="173">
        <f t="shared" si="661"/>
        <v>-0.01</v>
      </c>
      <c r="AQ272" s="173">
        <f t="shared" si="662"/>
        <v>0.16</v>
      </c>
      <c r="AR272" s="175">
        <f t="shared" si="663"/>
        <v>0.01</v>
      </c>
      <c r="AS272" s="521">
        <f t="shared" si="747"/>
        <v>0.5</v>
      </c>
      <c r="AT272" s="349">
        <f t="shared" si="745"/>
        <v>22</v>
      </c>
      <c r="AU272" s="159">
        <f t="shared" si="582"/>
        <v>4</v>
      </c>
      <c r="AV272" s="159">
        <f t="shared" si="583"/>
        <v>5</v>
      </c>
      <c r="AW272" s="159">
        <f t="shared" si="748"/>
        <v>0</v>
      </c>
      <c r="AX272" s="15">
        <f t="shared" si="746"/>
        <v>31</v>
      </c>
      <c r="AY272" s="607">
        <f>IF(E272="",0,MIN((1-(1-VLOOKUP(B272,MAIN!$AA$7:$AM$28,C272+1))*(1-VLOOKUP(B272,MAIN!$AA$33:$AM$54,C272+1))),1))</f>
        <v>3.0000000000000027E-2</v>
      </c>
      <c r="AZ272" s="337">
        <v>51216</v>
      </c>
      <c r="BA272" s="509">
        <v>9312</v>
      </c>
      <c r="BB272" s="509">
        <v>11640</v>
      </c>
      <c r="BC272" s="511">
        <v>36084</v>
      </c>
      <c r="BD272" s="153">
        <v>0.96999998915940522</v>
      </c>
      <c r="BE272" s="474">
        <v>0.96999998915940522</v>
      </c>
      <c r="BF272" s="474">
        <v>0.96999998915940522</v>
      </c>
      <c r="BG272" s="515">
        <v>0.97000000722706314</v>
      </c>
      <c r="BH272" s="262">
        <v>204864</v>
      </c>
      <c r="BI272" s="509">
        <v>37248</v>
      </c>
      <c r="BJ272" s="509">
        <v>46560</v>
      </c>
      <c r="BK272" s="511">
        <v>144336</v>
      </c>
      <c r="BL272" s="153">
        <v>0.96999998915940522</v>
      </c>
      <c r="BM272" s="474">
        <v>0.96999998915940522</v>
      </c>
      <c r="BN272" s="474">
        <v>0.96999998915940522</v>
      </c>
      <c r="BO272" s="474">
        <v>0.97000000722706314</v>
      </c>
      <c r="BP272" s="261">
        <f t="shared" si="666"/>
        <v>72168</v>
      </c>
      <c r="BQ272" s="578">
        <f t="shared" si="667"/>
        <v>108252</v>
      </c>
      <c r="BR272" s="259">
        <f t="shared" si="668"/>
        <v>288672</v>
      </c>
      <c r="BS272" s="578">
        <f t="shared" si="669"/>
        <v>433008</v>
      </c>
      <c r="BT272" s="216">
        <f t="shared" si="670"/>
        <v>21.297741273100616</v>
      </c>
      <c r="BU272" s="218">
        <f t="shared" si="585"/>
        <v>90.730059831257975</v>
      </c>
      <c r="BV272" s="216">
        <f t="shared" si="586"/>
        <v>90.730059831257975</v>
      </c>
      <c r="BW272" s="216">
        <f t="shared" si="587"/>
        <v>37.279480544516993</v>
      </c>
      <c r="BX272" s="216">
        <f t="shared" si="671"/>
        <v>37.27948123890144</v>
      </c>
      <c r="BY272" s="216">
        <f t="shared" si="588"/>
        <v>82.108998655977175</v>
      </c>
      <c r="BZ272" s="216">
        <f t="shared" si="589"/>
        <v>67.165826183618591</v>
      </c>
      <c r="CA272" s="264">
        <f t="shared" si="590"/>
        <v>90.730059831257975</v>
      </c>
      <c r="CB272" s="216">
        <f t="shared" si="591"/>
        <v>90.730059831257975</v>
      </c>
      <c r="CC272" s="216">
        <f t="shared" si="592"/>
        <v>37.279480544516993</v>
      </c>
      <c r="CD272" s="216">
        <f t="shared" si="672"/>
        <v>37.27948123890144</v>
      </c>
      <c r="CE272" s="216">
        <f t="shared" si="593"/>
        <v>82.108998655977175</v>
      </c>
      <c r="CF272" s="571">
        <f t="shared" si="594"/>
        <v>67.165826183618591</v>
      </c>
      <c r="CG272" s="573">
        <f t="shared" si="595"/>
        <v>0.1</v>
      </c>
      <c r="CH272" s="219">
        <f t="shared" si="596"/>
        <v>0.1</v>
      </c>
      <c r="CI272" s="219">
        <f t="shared" si="597"/>
        <v>0.11</v>
      </c>
      <c r="CJ272" s="219">
        <f t="shared" si="598"/>
        <v>0.10073962519693741</v>
      </c>
      <c r="CK272" s="219">
        <f t="shared" si="599"/>
        <v>0.10073962519693741</v>
      </c>
      <c r="CL272" s="219">
        <f t="shared" si="600"/>
        <v>0.11</v>
      </c>
      <c r="CM272" s="219">
        <f t="shared" si="601"/>
        <v>9.4212780937697652E-2</v>
      </c>
      <c r="CN272" s="569">
        <f t="shared" si="602"/>
        <v>9.4212780937697652E-2</v>
      </c>
      <c r="CO272" s="264">
        <f t="shared" si="685"/>
        <v>27.489734722096621</v>
      </c>
      <c r="CP272" s="216">
        <f t="shared" si="673"/>
        <v>27.489734722096621</v>
      </c>
      <c r="CQ272" s="216">
        <f t="shared" ca="1" si="703"/>
        <v>27.489734722096621</v>
      </c>
      <c r="CR272" s="216">
        <f t="shared" ca="1" si="704"/>
        <v>27.489734722096621</v>
      </c>
      <c r="CS272" s="1626">
        <f t="shared" ca="1" si="705"/>
        <v>27.489734722096618</v>
      </c>
      <c r="CT272" s="216">
        <f t="shared" si="674"/>
        <v>27.489734722096621</v>
      </c>
      <c r="CU272" s="575">
        <f t="shared" si="603"/>
        <v>0.15</v>
      </c>
      <c r="CV272" s="154">
        <f t="shared" si="604"/>
        <v>0.5</v>
      </c>
      <c r="CW272" s="216">
        <f>IF(OR($BQ272,$BS272),SpreadOptPowerMargin,0)*((1+Assumptions!$C$26)^($B272-YEAR(Assumptions!$C$17)))</f>
        <v>2.5708432456372909</v>
      </c>
      <c r="CX272" s="216">
        <f>IF(OR($BQ272,$BS272),SpreadOptPowerMargin,0)*((1+Assumptions!$C$26)^($B272-YEAR(Assumptions!$C$17)))</f>
        <v>2.5708432456372909</v>
      </c>
      <c r="CY272" s="216">
        <f>IF(OR($BQ272,$BS272),SpreadOptPowerMargin,0)*((1+Assumptions!$C$26)^($B272-YEAR(Assumptions!$C$17)))</f>
        <v>2.5708432456372909</v>
      </c>
      <c r="CZ272" s="216">
        <f>IF(OR($BQ272,$BS272),SpreadOptPowerMargin,0)*((1+Assumptions!$C$26)^($B272-YEAR(Assumptions!$C$17)))</f>
        <v>2.5708432456372909</v>
      </c>
      <c r="DA272" s="440">
        <f t="shared" si="605"/>
        <v>2.5708432456372909</v>
      </c>
      <c r="DB272" s="479">
        <f t="shared" si="606"/>
        <v>0.1</v>
      </c>
      <c r="DC272" s="479">
        <f t="shared" si="607"/>
        <v>0.1</v>
      </c>
      <c r="DD272" s="479">
        <f t="shared" si="608"/>
        <v>0.11</v>
      </c>
      <c r="DE272" s="479">
        <f t="shared" si="609"/>
        <v>0.11</v>
      </c>
      <c r="DF272" s="479">
        <f t="shared" si="610"/>
        <v>9.4212780937697652E-2</v>
      </c>
      <c r="DG272" s="574">
        <f t="shared" si="611"/>
        <v>9.4212780937697652E-2</v>
      </c>
      <c r="DH272" s="216">
        <f t="shared" si="612"/>
        <v>60.991995918959809</v>
      </c>
      <c r="DI272" s="216">
        <f t="shared" si="613"/>
        <v>60.991995918959809</v>
      </c>
      <c r="DJ272" s="216">
        <f t="shared" ca="1" si="706"/>
        <v>11.827332850845456</v>
      </c>
      <c r="DK272" s="216">
        <f t="shared" ca="1" si="707"/>
        <v>11.827333371453928</v>
      </c>
      <c r="DL272" s="216">
        <f t="shared" ca="1" si="708"/>
        <v>38.010481427019975</v>
      </c>
      <c r="DM272" s="216"/>
      <c r="DN272" s="216"/>
      <c r="DO272" s="216"/>
      <c r="DP272" s="216"/>
      <c r="DQ272" s="216"/>
      <c r="DR272" s="216"/>
      <c r="DS272" s="216"/>
      <c r="DT272" s="216"/>
      <c r="DU272" s="216"/>
      <c r="DV272" s="216"/>
      <c r="DW272" s="1371">
        <f t="shared" si="614"/>
        <v>11.827332850845456</v>
      </c>
      <c r="DX272" s="216">
        <f t="shared" si="615"/>
        <v>11.827333371453928</v>
      </c>
      <c r="DY272" s="440">
        <f t="shared" si="616"/>
        <v>39.317252159241249</v>
      </c>
      <c r="DZ272" s="180">
        <f t="shared" si="617"/>
        <v>3123766.0629854454</v>
      </c>
      <c r="EA272" s="180">
        <f t="shared" si="618"/>
        <v>567957.46599735378</v>
      </c>
      <c r="EB272" s="180">
        <f t="shared" ca="1" si="709"/>
        <v>137670.15438384112</v>
      </c>
      <c r="EC272" s="180">
        <f t="shared" ca="1" si="710"/>
        <v>426777.49737554358</v>
      </c>
      <c r="ED272" s="180">
        <f t="shared" ca="1" si="711"/>
        <v>4114710.6354377666</v>
      </c>
      <c r="EE272" s="581">
        <f t="shared" si="619"/>
        <v>3107248.1831222484</v>
      </c>
      <c r="EF272" s="554">
        <f t="shared" si="620"/>
        <v>564954.2151131361</v>
      </c>
      <c r="EG272" s="554">
        <f t="shared" ca="1" si="712"/>
        <v>84028.025993755044</v>
      </c>
      <c r="EH272" s="554">
        <f t="shared" ca="1" si="713"/>
        <v>260486.90563680904</v>
      </c>
      <c r="EI272" s="561">
        <f t="shared" ca="1" si="621"/>
        <v>4016717.3298659492</v>
      </c>
      <c r="EJ272" s="581">
        <f t="shared" si="675"/>
        <v>16517.879863196984</v>
      </c>
      <c r="EK272" s="554">
        <f t="shared" si="676"/>
        <v>3003.2508842176758</v>
      </c>
      <c r="EL272" s="554">
        <f t="shared" ca="1" si="714"/>
        <v>53642.128390086073</v>
      </c>
      <c r="EM272" s="554">
        <f t="shared" ca="1" si="715"/>
        <v>166290.59173873454</v>
      </c>
      <c r="EN272" s="561">
        <f t="shared" ca="1" si="716"/>
        <v>97993.305571817327</v>
      </c>
      <c r="EO272" s="180">
        <f t="shared" si="622"/>
        <v>12495064.251941781</v>
      </c>
      <c r="EP272" s="180">
        <f t="shared" si="623"/>
        <v>2271829.8639894151</v>
      </c>
      <c r="EQ272" s="180">
        <f t="shared" si="624"/>
        <v>550680.61753536446</v>
      </c>
      <c r="ER272" s="180">
        <f t="shared" si="625"/>
        <v>1707109.9895021743</v>
      </c>
      <c r="ES272" s="180">
        <f t="shared" si="626"/>
        <v>17024684.722968735</v>
      </c>
      <c r="ET272" s="1482">
        <f t="shared" ca="1" si="717"/>
        <v>12428992.732488994</v>
      </c>
      <c r="EU272" s="180">
        <f t="shared" ca="1" si="718"/>
        <v>2259816.8604525444</v>
      </c>
      <c r="EV272" s="180">
        <f t="shared" ca="1" si="719"/>
        <v>336112.10397502017</v>
      </c>
      <c r="EW272" s="180">
        <f t="shared" ca="1" si="720"/>
        <v>1041947.6225472362</v>
      </c>
      <c r="EX272" s="555">
        <f t="shared" ca="1" si="693"/>
        <v>16066869.319463793</v>
      </c>
      <c r="EY272" s="180">
        <f t="shared" ca="1" si="721"/>
        <v>66071.519452787936</v>
      </c>
      <c r="EZ272" s="180">
        <f t="shared" ca="1" si="722"/>
        <v>12013.003536870703</v>
      </c>
      <c r="FA272" s="180">
        <f t="shared" ca="1" si="723"/>
        <v>214568.51356034429</v>
      </c>
      <c r="FB272" s="180">
        <f t="shared" ca="1" si="724"/>
        <v>665162.36695493816</v>
      </c>
      <c r="FC272" s="180">
        <f t="shared" ca="1" si="725"/>
        <v>957815.40350494161</v>
      </c>
      <c r="FD272" s="262">
        <f>IF(AX272,IF(VLOOKUP(C272,MAIN!$L$17:$M$28,2)="Yes",VLOOKUP(CALC!B272,MAIN!$H$17:$I$20,2),0),0)</f>
        <v>0</v>
      </c>
      <c r="FE272" s="623">
        <f t="shared" si="627"/>
        <v>0</v>
      </c>
      <c r="FF272" s="535">
        <f t="shared" si="628"/>
        <v>0</v>
      </c>
      <c r="FG272" s="535">
        <f t="shared" si="629"/>
        <v>0</v>
      </c>
      <c r="FH272" s="624">
        <f t="shared" si="630"/>
        <v>0</v>
      </c>
      <c r="FI272" s="632">
        <f>IF(AX272,VLOOKUP(CALC!B272,MAIN!$H$17:$K$20,4),0)</f>
        <v>0</v>
      </c>
      <c r="FJ272" s="535">
        <f t="shared" si="631"/>
        <v>0</v>
      </c>
      <c r="FK272" s="648">
        <f t="shared" si="677"/>
        <v>0</v>
      </c>
      <c r="FL272" s="530">
        <f t="shared" ca="1" si="726"/>
        <v>0</v>
      </c>
      <c r="FM272" s="530">
        <f t="shared" ca="1" si="727"/>
        <v>0</v>
      </c>
      <c r="FN272" s="530">
        <f t="shared" ca="1" si="728"/>
        <v>0</v>
      </c>
      <c r="FO272" s="622">
        <f t="shared" ca="1" si="729"/>
        <v>0</v>
      </c>
      <c r="FP272" s="530">
        <f t="shared" ca="1" si="730"/>
        <v>0</v>
      </c>
      <c r="FQ272" s="530">
        <f t="shared" ca="1" si="731"/>
        <v>0</v>
      </c>
      <c r="FR272" s="530">
        <f t="shared" ca="1" si="732"/>
        <v>0</v>
      </c>
      <c r="FS272" s="625">
        <f t="shared" ca="1" si="733"/>
        <v>0</v>
      </c>
      <c r="FT272" s="640">
        <f ca="1">IF(AND(Assumptions!$H$71="Yes",A272&gt;=Assumptions!$H$72,A272&lt;=Assumptions!$H$73),0,IF(AND($A272&gt;=Assumptions!$C$17,$A272&lt;=Assumptions!$C$18),MAX(AZ272*(1+VLOOKUP($C272,WeatherCapacityAdjustment,2))-FL272,0),0))</f>
        <v>51216</v>
      </c>
      <c r="FU272" s="530">
        <f ca="1">IF(AND(Assumptions!$H$71="Yes",A272&gt;=Assumptions!$H$72,A272&lt;=Assumptions!$H$73),0,IF(AND($A272&gt;=Assumptions!$C$17,$A272&lt;=Assumptions!$C$18),MAX(BA272*(1+VLOOKUP($C272,WeatherCapacityAdjustment,2))-FM272,0),0))</f>
        <v>9312</v>
      </c>
      <c r="FV272" s="530">
        <f ca="1">IF(AND(Assumptions!$H$71="Yes",A272&gt;=Assumptions!$H$72,A272&lt;=Assumptions!$H$73),0,IF(AND($A272&gt;=Assumptions!$C$17,$A272&lt;=Assumptions!$C$18),MAX(BB272*(1+VLOOKUP($C272,WeatherCapacityAdjustment,2))-FN272,0),0))</f>
        <v>11640</v>
      </c>
      <c r="FW272" s="622">
        <f ca="1">IF(AND(Assumptions!$H$71="Yes",A272&gt;=Assumptions!$H$72,A272&lt;=Assumptions!$H$73),0,IF(AND($A272&gt;=Assumptions!$C$17,$A272&lt;=Assumptions!$C$18),MAX(BC272*(1+VLOOKUP($C272,WeatherCapacityAdjustment,3))-FO272,0),0))</f>
        <v>36084</v>
      </c>
      <c r="FX272" s="621">
        <f ca="1">IF(AND(Assumptions!$H$71="Yes",A272&gt;=Assumptions!$H$72,A272&lt;=Assumptions!$H$73),0,IF(ET272&gt;0,MAX(BH272*(1+VLOOKUP($C272,WeatherCapacityAdjustment,2))-FP272,0),0))</f>
        <v>204864</v>
      </c>
      <c r="FY272" s="530">
        <f ca="1">IF(AND(Assumptions!$H$71="Yes",A272&gt;=Assumptions!$H$72,A272&lt;=Assumptions!$H$73),0,IF(EU272&gt;0,MAX(BI272*(1+VLOOKUP($C272,WeatherCapacityAdjustment,3))-FQ272,0),0))</f>
        <v>37248</v>
      </c>
      <c r="FZ272" s="530">
        <f ca="1">IF(AND(Assumptions!$H$71="Yes",A272&gt;=Assumptions!$H$72,A272&lt;=Assumptions!$H$73),0,IF(EV272&gt;0,MAX(BJ272*(1+VLOOKUP($C272,WeatherCapacityAdjustment,2))-FR272,0),0))</f>
        <v>46560</v>
      </c>
      <c r="GA272" s="622">
        <f ca="1">IF(AND(Assumptions!$H$71="Yes",A272&gt;=Assumptions!$H$72,A272&lt;=Assumptions!$H$73),0,IF(EW272&gt;0,MAX(BK272*(1+VLOOKUP($C272,WeatherCapacityAdjustment,2))-FS272,0),0))</f>
        <v>144336</v>
      </c>
      <c r="GB272" s="530">
        <f t="shared" ca="1" si="632"/>
        <v>541260</v>
      </c>
      <c r="GC272" s="545">
        <f t="shared" ca="1" si="633"/>
        <v>67.165826183618606</v>
      </c>
      <c r="GD272" s="530">
        <f t="shared" ca="1" si="734"/>
        <v>36354175.080145404</v>
      </c>
      <c r="GE272" s="1485">
        <f t="shared" ca="1" si="735"/>
        <v>762825.86352000001</v>
      </c>
      <c r="GF272" s="1776">
        <f t="shared" ca="1" si="736"/>
        <v>3051303.4540800001</v>
      </c>
      <c r="GG272" s="545">
        <f t="shared" si="701"/>
        <v>3.9010459731985514</v>
      </c>
      <c r="GH272" s="622">
        <f t="shared" ca="1" si="702"/>
        <v>14879093.81568202</v>
      </c>
      <c r="GI272" s="621">
        <f t="shared" ca="1" si="678"/>
        <v>541260</v>
      </c>
      <c r="GJ272" s="638">
        <f t="shared" si="634"/>
        <v>2.5708432456372909</v>
      </c>
      <c r="GK272" s="625">
        <f t="shared" ca="1" si="684"/>
        <v>1391494.6151336401</v>
      </c>
      <c r="GL272" s="640">
        <f t="shared" ca="1" si="737"/>
        <v>0</v>
      </c>
      <c r="GM272" s="530">
        <f t="shared" ca="1" si="738"/>
        <v>0</v>
      </c>
      <c r="GN272" s="530">
        <f t="shared" ca="1" si="739"/>
        <v>0</v>
      </c>
      <c r="GO272" s="622">
        <f t="shared" ca="1" si="740"/>
        <v>0</v>
      </c>
      <c r="GP272" s="530">
        <f t="shared" ca="1" si="635"/>
        <v>0</v>
      </c>
      <c r="GQ272" s="545">
        <f t="shared" ca="1" si="636"/>
        <v>0</v>
      </c>
      <c r="GR272" s="625">
        <f t="shared" ca="1" si="741"/>
        <v>0</v>
      </c>
      <c r="GS272" s="640">
        <f>IF($A272&gt;=BegDate,Assumptions!$C$56*24*($A273-$A272)*(1-VLOOKUP($B272,MAIN!$AA$7:$AM$28,$C272+1))*(1-VLOOKUP($B272,MAIN!$AA$33:$AM$54,$C272+1)),0)*80/168</f>
        <v>257742.85714285713</v>
      </c>
      <c r="GT272" s="1715">
        <f t="shared" si="679"/>
        <v>90.730060845245418</v>
      </c>
      <c r="GU272" s="1715">
        <f>IF($A272&gt;=BegDate,VLOOKUP($A272,GasTable,13)+Assumptions!$C$58,0)</f>
        <v>3.9010459731985514</v>
      </c>
      <c r="GV272" s="1715">
        <f>GU272*Assumptions!$C$57/1000</f>
        <v>28.282583305689499</v>
      </c>
      <c r="GW272" s="625">
        <f>IF(Assumptions!$C$60="Hourly",MAX(0,GS272*(GT272-GV272)),GS272*(GT272-GV272))</f>
        <v>16095391.282409541</v>
      </c>
      <c r="GX272" s="640">
        <f>IF($A272&gt;=BegDate,Assumptions!$C$56*24*($A273-$A272)*(1-VLOOKUP($B272,MAIN!$AA$7:$AM$28,$C272+1))*(1-VLOOKUP($B272,MAIN!$AA$33:$AM$54,$C272+1)),0)*16/168</f>
        <v>51548.571428571428</v>
      </c>
      <c r="GY272" s="1715">
        <f t="shared" si="680"/>
        <v>90.730060845245418</v>
      </c>
      <c r="GZ272" s="1715">
        <f>IF($A272&gt;=BegDate,VLOOKUP($A272,GasTable,13)+Assumptions!$C$58,0)</f>
        <v>3.9010459731985514</v>
      </c>
      <c r="HA272" s="1715">
        <f>GZ272*Assumptions!$C$57/1000</f>
        <v>28.282583305689499</v>
      </c>
      <c r="HB272" s="625">
        <f>IF(Assumptions!$C$60="Hourly",MAX(0,GX272*(GY272-HA272)),GX272*(GY272-HA272))</f>
        <v>3219078.2564819083</v>
      </c>
      <c r="HC272" s="640">
        <f>IF($A272&gt;=BegDate,Assumptions!$C$56*24*($A273-$A272)*(1-VLOOKUP($B272,MAIN!$AA$7:$AM$28,$C272+1))*(1-VLOOKUP($B272,MAIN!$AA$33:$AM$54,$C272+1)),0)*16/168</f>
        <v>51548.571428571428</v>
      </c>
      <c r="HD272" s="1715">
        <f t="shared" si="681"/>
        <v>37.279480961147662</v>
      </c>
      <c r="HE272" s="1715">
        <f>IF($A272&gt;=BegDate,VLOOKUP($A272,GasTable,13)+Assumptions!$C$58,0)</f>
        <v>3.9010459731985514</v>
      </c>
      <c r="HF272" s="1715">
        <f>HE272*Assumptions!$C$57/1000</f>
        <v>28.282583305689499</v>
      </c>
      <c r="HG272" s="625">
        <f>IF(Assumptions!$C$60="Hourly",MAX(0,HC272*(HD272-HF272)),HC272*(HD272-HF272))</f>
        <v>463777.22142793192</v>
      </c>
      <c r="HH272" s="640">
        <f>IF($A272&gt;=BegDate,Assumptions!$C$56*24*($A273-$A272)*(1-VLOOKUP($B272,MAIN!$AA$7:$AM$28,$C272+1))*(1-VLOOKUP($B272,MAIN!$AA$33:$AM$54,$C272+1)),0)*56/168</f>
        <v>180420</v>
      </c>
      <c r="HI272" s="1715">
        <f t="shared" si="682"/>
        <v>37.279480961147662</v>
      </c>
      <c r="HJ272" s="1715">
        <f>IF($A272&gt;=BegDate,VLOOKUP($A272,GasTable,13)+Assumptions!$C$58,0)</f>
        <v>3.9010459731985514</v>
      </c>
      <c r="HK272" s="1715">
        <f>HJ272*Assumptions!$C$57/1000</f>
        <v>28.282583305689499</v>
      </c>
      <c r="HL272" s="625">
        <f>IF(Assumptions!$C$60="Hourly",MAX(0,HH272*(HI272-HK272)),HH272*(HI272-HK272))</f>
        <v>1623220.2749977617</v>
      </c>
      <c r="HM272" s="640">
        <f>IF(AND(Assumptions!$H$71="Yes",A272&gt;=Assumptions!$H$72,A272&lt;=Assumptions!$H$73),Assumptions!$H$74*Assumptions!$C$9*1000,0)</f>
        <v>0</v>
      </c>
      <c r="HN272" s="530"/>
      <c r="HO272" s="545"/>
      <c r="HP272" s="545"/>
      <c r="HQ272" s="545"/>
      <c r="HR272" s="545"/>
      <c r="HS272" s="545"/>
      <c r="HT272" s="545"/>
      <c r="HU272" s="545"/>
      <c r="HV272" s="545"/>
      <c r="HW272" s="545"/>
      <c r="HX272" s="545"/>
      <c r="HY272" s="545"/>
      <c r="HZ272" s="545"/>
      <c r="IA272" s="545"/>
      <c r="IB272" s="545"/>
      <c r="IC272" s="545"/>
      <c r="ID272" s="545"/>
      <c r="IE272" s="545"/>
      <c r="IF272" s="545"/>
      <c r="IG272" s="545"/>
      <c r="IH272" s="545"/>
      <c r="II272" s="1464"/>
      <c r="IJ272" s="1463"/>
      <c r="IK272" s="1463"/>
    </row>
    <row r="273" spans="1:245">
      <c r="A273" s="177">
        <f t="shared" si="637"/>
        <v>44440</v>
      </c>
      <c r="B273" s="349">
        <f t="shared" si="638"/>
        <v>2021</v>
      </c>
      <c r="C273" s="15">
        <f t="shared" ref="C273:C288" si="749">MONTH(A273)</f>
        <v>9</v>
      </c>
      <c r="D273" s="612">
        <f t="shared" si="639"/>
        <v>44445</v>
      </c>
      <c r="E273" s="609">
        <f t="shared" ref="E273:E288" si="750">IF(OR(BegDate&gt;=A274,EndDate&lt;A273,AND(VolumeMonthlyOverFlag,INDEX(VolumeMonthlyOver,C273)=0),NOT(INDEX(MonthKnockOutTable,C273))),"",MAX(A273,BegDate))</f>
        <v>44440</v>
      </c>
      <c r="F273" s="614">
        <f t="shared" ref="F273:F288" si="751">IF(E273="","",MIN(A274-1,EndDate))</f>
        <v>44469</v>
      </c>
      <c r="G273" s="1349">
        <v>0</v>
      </c>
      <c r="H273" s="152">
        <f t="shared" si="683"/>
        <v>1</v>
      </c>
      <c r="I273" s="154">
        <f>IF(Assumptions!$L$25=4,VLOOKUP($A273,'Henwood Reference'!$E$9:$R$320,10),(VLOOKUP($A273,PriceTable,2,0)+IF(BasisNumber&lt;&gt;1,VLOOKUP($A273,BasisTable,2,0),0)+I$1)/(1-I$2))</f>
        <v>76.194972173898734</v>
      </c>
      <c r="J273" s="154">
        <f>IF(Assumptions!$L$25=4,VLOOKUP($A273,'Henwood Reference'!$E$9:$R$320,10),(VLOOKUP($A273,PriceTable,3,0)+IF(BasisNumber&lt;&gt;1,VLOOKUP($A273,BasisTable,2,0),0)+J$1)/(1-J$2))</f>
        <v>76.194972173898734</v>
      </c>
      <c r="K273" s="154">
        <f>IF(Assumptions!$L$25=4,VLOOKUP($A273,'Henwood Reference'!$E$9:$R$320,10),(VLOOKUP($A273,PriceTable,4,0)+IF(BasisNumber&lt;&gt;1,VLOOKUP($A273,BasisTable,2,0),0)+K$1)/(1-K$2))</f>
        <v>76.194972173898734</v>
      </c>
      <c r="L273" s="474">
        <f>IF(Assumptions!$L$25=4,VLOOKUP($A273,'Henwood Reference'!$E$9:$R$320,10),(VLOOKUP($A273,PriceTableWeekend,2,0)+IF(BasisNumber&lt;&gt;1,VLOOKUP($A273,BasisTable,2,0),0)+L$1)/(1-L$2))</f>
        <v>76.194972173898734</v>
      </c>
      <c r="M273" s="154">
        <f>IF(Assumptions!$L$25=4,VLOOKUP($A273,'Henwood Reference'!$E$9:$R$320,10),(VLOOKUP($A273,PriceTableWeekend,3,0)+IF(BasisNumber&lt;&gt;1,VLOOKUP($A273,BasisTable,2,0),0)+M$1)/(1-M$2))</f>
        <v>76.194972173898734</v>
      </c>
      <c r="N273" s="156">
        <f>IF(Assumptions!$L$25=4,VLOOKUP($A273,'Henwood Reference'!$E$9:$R$320,10),(VLOOKUP($A273,PriceTableWeekend,4,0)+IF(BasisNumber&lt;&gt;1,VLOOKUP($A273,BasisTable,2,0),0)+N$1)/(1-N$2))</f>
        <v>76.194972173898734</v>
      </c>
      <c r="O273" s="154">
        <f>IF(Assumptions!$L$25=4,VLOOKUP($A273,'Henwood Reference'!$E$9:$R$320,11),(VLOOKUP($A273,PriceTableWeekend,6,0)+IF(BasisNumber&lt;&gt;1,VLOOKUP($A273,BasisTable,3,0),0)+O$1)/(1-O$2))</f>
        <v>35.884461658224012</v>
      </c>
      <c r="P273" s="154">
        <f>IF(Assumptions!$L$25=4,VLOOKUP($A273,'Henwood Reference'!$E$9:$R$320,11),(VLOOKUP($A273,PriceTableWeekend,7,0)+IF(BasisNumber&lt;&gt;1,VLOOKUP($A273,BasisTable,3,0),0)+P$1)/(1-P$2))</f>
        <v>35.884461658224012</v>
      </c>
      <c r="Q273" s="156">
        <f>IF(Assumptions!$L$25=4,VLOOKUP($A273,'Henwood Reference'!$E$9:$R$320,11),(VLOOKUP($A273,PriceTableWeekend,8,0)+IF(BasisNumber&lt;&gt;1,VLOOKUP($A273,BasisTable,3,0),0)+Q$1)/(1-Q$2))</f>
        <v>35.884461658224012</v>
      </c>
      <c r="R273" s="154">
        <f>IF(Assumptions!$L$25=4,VLOOKUP($A273,'Henwood Reference'!$E$9:$R$320,11),(VLOOKUP($A273,PriceTable,6,0)+IF(BasisNumber&lt;&gt;1,VLOOKUP($A273,BasisTable,3,0),0)+R$1)/(1-R$2))</f>
        <v>35.884461658224012</v>
      </c>
      <c r="S273" s="154">
        <f>IF(Assumptions!$L$25=4,VLOOKUP($A273,'Henwood Reference'!$E$9:$R$320,11),(VLOOKUP($A273,PriceTable,7,0)+IF(BasisNumber&lt;&gt;1,VLOOKUP($A273,BasisTable,3,0),0)+S$1)/(1-S$2))</f>
        <v>35.884461658224012</v>
      </c>
      <c r="T273" s="155">
        <f>IF(Assumptions!$L$25=4,VLOOKUP($A273,'Henwood Reference'!$E$9:$R$320,11),(VLOOKUP($A273,PriceTable,8,0)+IF(BasisNumber&lt;&gt;1,VLOOKUP($A273,BasisTable,3,0),0)+T$1)/(1-T$2))</f>
        <v>35.884461658224012</v>
      </c>
      <c r="U273" s="173">
        <f t="shared" si="640"/>
        <v>0.09</v>
      </c>
      <c r="V273" s="173">
        <f t="shared" si="641"/>
        <v>0.1</v>
      </c>
      <c r="W273" s="174">
        <f t="shared" si="642"/>
        <v>0.11</v>
      </c>
      <c r="X273" s="173">
        <f t="shared" si="643"/>
        <v>0.09</v>
      </c>
      <c r="Y273" s="173">
        <f t="shared" si="644"/>
        <v>0.1</v>
      </c>
      <c r="Z273" s="174">
        <f t="shared" si="645"/>
        <v>0.11</v>
      </c>
      <c r="AA273" s="173">
        <f t="shared" si="646"/>
        <v>0.09</v>
      </c>
      <c r="AB273" s="173">
        <f t="shared" si="647"/>
        <v>0.11</v>
      </c>
      <c r="AC273" s="174">
        <f t="shared" si="648"/>
        <v>0.13</v>
      </c>
      <c r="AD273" s="173">
        <f t="shared" si="649"/>
        <v>0.09</v>
      </c>
      <c r="AE273" s="173">
        <f t="shared" si="650"/>
        <v>0.11</v>
      </c>
      <c r="AF273" s="174">
        <f t="shared" si="651"/>
        <v>0.13</v>
      </c>
      <c r="AG273" s="173">
        <f t="shared" si="652"/>
        <v>-0.35</v>
      </c>
      <c r="AH273" s="173">
        <f t="shared" si="653"/>
        <v>3</v>
      </c>
      <c r="AI273" s="174">
        <f t="shared" si="654"/>
        <v>0.2</v>
      </c>
      <c r="AJ273" s="173">
        <f t="shared" si="655"/>
        <v>-0.35</v>
      </c>
      <c r="AK273" s="173">
        <f t="shared" si="656"/>
        <v>3</v>
      </c>
      <c r="AL273" s="174">
        <f t="shared" si="657"/>
        <v>0.2</v>
      </c>
      <c r="AM273" s="173">
        <f t="shared" si="658"/>
        <v>-0.01</v>
      </c>
      <c r="AN273" s="173">
        <f t="shared" si="659"/>
        <v>0.16</v>
      </c>
      <c r="AO273" s="174">
        <f t="shared" si="660"/>
        <v>0.01</v>
      </c>
      <c r="AP273" s="173">
        <f t="shared" si="661"/>
        <v>-0.01</v>
      </c>
      <c r="AQ273" s="173">
        <f t="shared" si="662"/>
        <v>0.16</v>
      </c>
      <c r="AR273" s="175">
        <f t="shared" si="663"/>
        <v>0.01</v>
      </c>
      <c r="AS273" s="521">
        <f t="shared" si="747"/>
        <v>0.5</v>
      </c>
      <c r="AT273" s="349">
        <f t="shared" ref="AT273:AT288" si="752">AX273-SUM(AU273:AW273)</f>
        <v>21</v>
      </c>
      <c r="AU273" s="159">
        <f t="shared" ref="AU273:AU292" si="753">IF(E273="",0,INT((F273-MOD(F273,7)-E273)/7)+1-IF(AW273,IF(WEEKDAY(D273)=7,1,0),0))</f>
        <v>4</v>
      </c>
      <c r="AV273" s="159">
        <f t="shared" ref="AV273:AV292" si="754">IF(E273="",0,INT((F273-MOD(F273-1,7)-E273)/7)+1-IF(AW273,IF(WEEKDAY(D273)=1,1,0),0))</f>
        <v>4</v>
      </c>
      <c r="AW273" s="159">
        <f t="shared" si="748"/>
        <v>1</v>
      </c>
      <c r="AX273" s="15">
        <f t="shared" ref="AX273:AX288" si="755">IF(E273="",0,F273-E273+1)</f>
        <v>30</v>
      </c>
      <c r="AY273" s="607">
        <f>IF(E273="",0,MIN((1-(1-VLOOKUP(B273,MAIN!$AA$7:$AM$28,C273+1))*(1-VLOOKUP(B273,MAIN!$AA$33:$AM$54,C273+1))),1))</f>
        <v>3.0000000000000027E-2</v>
      </c>
      <c r="AZ273" s="337">
        <v>48888</v>
      </c>
      <c r="BA273" s="509">
        <v>9312</v>
      </c>
      <c r="BB273" s="509">
        <v>11640</v>
      </c>
      <c r="BC273" s="511">
        <v>34920</v>
      </c>
      <c r="BD273" s="153">
        <v>0.9699999927729368</v>
      </c>
      <c r="BE273" s="474">
        <v>0.9699999927729368</v>
      </c>
      <c r="BF273" s="474">
        <v>0.9699999927729368</v>
      </c>
      <c r="BG273" s="515">
        <v>0.9699999927729368</v>
      </c>
      <c r="BH273" s="262">
        <v>195552</v>
      </c>
      <c r="BI273" s="509">
        <v>37248</v>
      </c>
      <c r="BJ273" s="509">
        <v>46560</v>
      </c>
      <c r="BK273" s="511">
        <v>139680</v>
      </c>
      <c r="BL273" s="153">
        <v>0.9699999927729368</v>
      </c>
      <c r="BM273" s="474">
        <v>0.9699999927729368</v>
      </c>
      <c r="BN273" s="474">
        <v>0.9699999927729368</v>
      </c>
      <c r="BO273" s="474">
        <v>0.9699999927729368</v>
      </c>
      <c r="BP273" s="261">
        <f t="shared" si="666"/>
        <v>69840</v>
      </c>
      <c r="BQ273" s="578">
        <f t="shared" si="667"/>
        <v>104760</v>
      </c>
      <c r="BR273" s="259">
        <f t="shared" si="668"/>
        <v>279360</v>
      </c>
      <c r="BS273" s="578">
        <f t="shared" si="669"/>
        <v>419040</v>
      </c>
      <c r="BT273" s="216">
        <f t="shared" si="670"/>
        <v>21.382614647501711</v>
      </c>
      <c r="BU273" s="218">
        <f t="shared" ref="BU273:BU292" si="756">IF(BQ273,IF(OPriceCurve,IF(OBuySell=OCallPut,I273/(1-AY273),K273/(1-AY273)),J273/(1-AY273))*BD273,0)</f>
        <v>76.19497160620196</v>
      </c>
      <c r="BV273" s="216">
        <f t="shared" ref="BV273:BV292" si="757">IF(BQ273,IF(OPriceCurve,IF(OBuySell=OCallPut,L273/(1-AY273),N273/(1-AY273)),M273/(1-AY273))*BE273,0)</f>
        <v>76.19497160620196</v>
      </c>
      <c r="BW273" s="216">
        <f t="shared" ref="BW273:BW292" si="758">IF(BQ273,IF(OPriceCurve,IF(OBuySell=OCallPut,O273/(1-AY273),Q273/(1-AY273)),P273/(1-AY273))*BF273,0)</f>
        <v>35.88446139086394</v>
      </c>
      <c r="BX273" s="216">
        <f t="shared" si="671"/>
        <v>35.88446139086394</v>
      </c>
      <c r="BY273" s="216">
        <f t="shared" ref="BY273:BY292" si="759">IF(BP273,(BU273*AZ273+BV273*BA273+BW273*BB273)/BP273,0)</f>
        <v>69.476553236978958</v>
      </c>
      <c r="BZ273" s="216">
        <f t="shared" ref="BZ273:BZ292" si="760">IF(BQ273,(BY273*BP273+BX273*BC273)/BQ273,0)</f>
        <v>58.279189288273948</v>
      </c>
      <c r="CA273" s="264">
        <f t="shared" ref="CA273:CA292" si="761">IF(BS273,IF(OPriceCurve,IF(OBuySell=OCallPut,I273/(1-AY273),K273/(1-AY273)),J273/(1-AY273))*BL273,0)</f>
        <v>76.19497160620196</v>
      </c>
      <c r="CB273" s="216">
        <f t="shared" ref="CB273:CB292" si="762">IF(BS273,IF(OPriceCurve,IF(OBuySell=OCallPut,L273/(1-AY273),N273/(1-AY273)),M273/(1-AY273))*BM273,0)</f>
        <v>76.19497160620196</v>
      </c>
      <c r="CC273" s="216">
        <f t="shared" ref="CC273:CC292" si="763">IF(BS273,IF(OPriceCurve,IF(OBuySell=OCallPut,O273/(1-AY273),Q273/(1-AY273)),P273/(1-AY273))*BN273,0)</f>
        <v>35.88446139086394</v>
      </c>
      <c r="CD273" s="216">
        <f t="shared" si="672"/>
        <v>35.88446139086394</v>
      </c>
      <c r="CE273" s="216">
        <f t="shared" ref="CE273:CE292" si="764">IF(BR273,(BU273*BH273+BV273*BI273+BW273*BJ273)/BR273,0)</f>
        <v>69.476553236978958</v>
      </c>
      <c r="CF273" s="571">
        <f t="shared" ref="CF273:CF292" si="765">IF(BS273,(CE273*BR273+CD273*BK273)/BS273,0)</f>
        <v>58.279189288273948</v>
      </c>
      <c r="CG273" s="573">
        <f t="shared" ref="CG273:CG292" si="766">IF(OR(BQ273,BS273),IF(OVolType&lt;&gt;2,SQRT(IF(OVolOverMonthlyPeak,OVolOverMonthlyPeak,IF(OVolCurve,IF(OBuySell,U273,W273),V273))^2*(1-15/365.25/BT273)+IF(OVolOverDailyPeak,OVolOverDailyPeak,IF(OVolCurve,IF(OBuySell,AG273,AI273),AH273))^2*15/365.25/BT273),IF(OVolOverMonthlyPeak,OVolOverMonthlyPeak,IF(OVolCurve,IF(OBuySell,U273,W273),V273))),"")</f>
        <v>0.1</v>
      </c>
      <c r="CH273" s="219">
        <f t="shared" ref="CH273:CH292" si="767">IF(OR(BQ273,BS273),IF(OVolType&lt;&gt;2,SQRT(IF(OVolOverMonthlyPeak,OVolOverMonthlyPeak,IF(OVolCurve,IF(OBuySell,X273,Z273),Y273))^2*(1-15/365.25/BT273)+IF(OVolOverDailyPeak,OVolOverDailyPeak,IF(OVolCurve,IF(OBuySell,AJ273,AL273),AK273))^2*15/365.25/BT273),IF(OVolOverMonthlyPeak,OVolOverMonthlyPeak,IF(OVolCurve,IF(OBuySell,X273,Z273),Y273))),"")</f>
        <v>0.1</v>
      </c>
      <c r="CI273" s="219">
        <f t="shared" ref="CI273:CI292" si="768">IF(OR(BQ273,BS273),IF(OVolType&lt;&gt;2,SQRT(IF(OVolOverMonthlyPeak,OVolOverMonthlyPeak,IF(OVolCurve,IF(OBuySell,AA273,AC273),AB273))^2*(1-15/365.25/BT273)+IF(OVolOverDailyPeak,OVolOverDailyPeak,IF(OVolCurve,IF(OBuySell,AM273,AO273),AN273))^2*15/365.25/BT273),IF(OVolOverMonthlyPeak,OVolOverMonthlyPeak,IF(OVolCurve,IF(OBuySell,AA273,AC273),AB273))),"")</f>
        <v>0.11</v>
      </c>
      <c r="CJ273" s="219">
        <f t="shared" ref="CJ273:CJ292" si="769">IF(BQ273,IF(BP273,SQRT(LN(1+((BU273*AZ273)^2*(EXP(CG273^2*BT273)-1)+(BV273*BA273)^2*(EXP(CH273^2*BT273)-1)+(BW273*BB273)^2*(EXP(CI273^2*BT273)-1)+2*BU273*AZ273*BV273*BA273*(EXP(CG273*CH273*BT273)-1)+2*BV273*BA273*BW273*BB273*(EXP(CH273*CI273*BT273)-1)+2*BW273*BB273*BU273*AZ273*(EXP(CI273*CG273*BT273)-1))/(BY273*BP273)^2)/BT273),0),"")</f>
        <v>0.10086936774756908</v>
      </c>
      <c r="CK273" s="219">
        <f t="shared" ref="CK273:CK292" si="770">IF(BS273,IF(BR273,SQRT(LN(1+((CA273*BH273)^2*(EXP(CG273^2*BT273)-1)+(CB273*BI273)^2*(EXP(CH273^2*BT273)-1)+(CC273*BJ273)^2*(EXP(CI273^2*BT273)-1)+2*CA273*BH273*CB273*BI273*(EXP(CG273*CH273*BT273)-1)+2*CB273*BI273*CC273*BJ273*(EXP(CH273*CI273*BT273)-1)+2*CC273*BJ273*CA273*BH273*(EXP(CI273*CG273*BT273)-1))/(CE273*BR273)^2)/BT273),0),"")</f>
        <v>0.10086936774756908</v>
      </c>
      <c r="CL273" s="219">
        <f t="shared" ref="CL273:CL292" si="771">IF(OR(BQ273,BS273),IF(OVolType&lt;&gt;2,SQRT(IF(OVolOverMonthlyOffPeak,OVolOverMonthlyOffPeak,IF(OVolCurve,IF(OBuySell,AD273,AF273),AE273))^2*(1-15/365.25/BT273)+IF(OVolOverDailyOffPeak,OVolOverDailyOffPeak,IF(OVolCurve,IF(OBuySell,AP273,AR273),AQ273))^2*15/365.25/BT273),IF(OVolOverMonthlyOffPeak,OVolOverMonthlyOffPeak,IF(OVolCurve,IF(OBuySell,AD273,AF273),AE273))),"")</f>
        <v>0.11</v>
      </c>
      <c r="CM273" s="219">
        <f t="shared" ref="CM273:CM292" si="772">IF(BQ273,SQRT(LN(1+((BY273*BP273)^2*(EXP(CJ273^2*BT273)-1)+(BX273*BC273)^2*(EXP(CL273^2*BT273)-1)+2*BY273*BP273*BX273*BC273*(EXP(AS273*CJ273*CL273*BT273)-1))/(BY273*BP273+BX273*BC273)^2)/BT273),"")</f>
        <v>9.380964846149499E-2</v>
      </c>
      <c r="CN273" s="569">
        <f t="shared" ref="CN273:CN292" si="773">IF(BS273,SQRT(LN(1+((CE273*BR273)^2*(EXP(CK273^2*BT273)-1)+(CD273*BK273)^2*(EXP(CL273^2*BT273)-1)+2*CE273*BR273*CD273*BK273*(EXP(AS273*CK273*CL273*BT273)-1))/(CE273*BR273+CD273*BK273)^2)/BT273),"")</f>
        <v>9.380964846149499E-2</v>
      </c>
      <c r="CO273" s="264">
        <f t="shared" si="685"/>
        <v>28.643678370645823</v>
      </c>
      <c r="CP273" s="216">
        <f t="shared" si="673"/>
        <v>28.643678370645823</v>
      </c>
      <c r="CQ273" s="216">
        <f t="shared" ca="1" si="703"/>
        <v>28.643678370645823</v>
      </c>
      <c r="CR273" s="216">
        <f t="shared" ca="1" si="704"/>
        <v>28.643678370645823</v>
      </c>
      <c r="CS273" s="1626">
        <f t="shared" ca="1" si="705"/>
        <v>28.643678370645823</v>
      </c>
      <c r="CT273" s="216">
        <f t="shared" si="674"/>
        <v>28.643678370645823</v>
      </c>
      <c r="CU273" s="575">
        <f t="shared" ref="CU273:CU292" si="774">IF(OR(BQ273,BS273),VLOOKUP(A273,GasTable,14),"")</f>
        <v>0.15</v>
      </c>
      <c r="CV273" s="154">
        <f t="shared" ref="CV273:CV292" si="775">IF(OR(BQ273,BS273),IF(CorrPowerGasOverFlag,INDEX(CorrPowerGasOver,C273),CorrPowerGas),"")</f>
        <v>0.5</v>
      </c>
      <c r="CW273" s="216">
        <f>IF(OR($BQ273,$BS273),SpreadOptPowerMargin,0)*((1+Assumptions!$C$26)^($B273-YEAR(Assumptions!$C$17)))</f>
        <v>2.5708432456372909</v>
      </c>
      <c r="CX273" s="216">
        <f>IF(OR($BQ273,$BS273),SpreadOptPowerMargin,0)*((1+Assumptions!$C$26)^($B273-YEAR(Assumptions!$C$17)))</f>
        <v>2.5708432456372909</v>
      </c>
      <c r="CY273" s="216">
        <f>IF(OR($BQ273,$BS273),SpreadOptPowerMargin,0)*((1+Assumptions!$C$26)^($B273-YEAR(Assumptions!$C$17)))</f>
        <v>2.5708432456372909</v>
      </c>
      <c r="CZ273" s="216">
        <f>IF(OR($BQ273,$BS273),SpreadOptPowerMargin,0)*((1+Assumptions!$C$26)^($B273-YEAR(Assumptions!$C$17)))</f>
        <v>2.5708432456372909</v>
      </c>
      <c r="DA273" s="440">
        <f t="shared" ref="DA273:DA292" si="776">IF(OR(BQ273,BS273),(CW273*(AZ273+BH273)+CX273*(BA273+BI273)+CY273*(BB273+BJ273)+CZ273*(BC273+BK273))/(BQ273+BS273),0)</f>
        <v>2.5708432456372905</v>
      </c>
      <c r="DB273" s="479">
        <f t="shared" ref="DB273:DB292" si="777">IF(OR(BQ273,BS273),CG273+IF(OVolSmile,VLOOKUP(MAX(-5,CO273+CW273-BU273),IF(OVolSmile=1,VolSmileBook,VolSmileModel),2),0),"")</f>
        <v>0.1</v>
      </c>
      <c r="DC273" s="479">
        <f t="shared" ref="DC273:DC292" si="778">IF(OR(BQ273,BS273),CH273+IF(OVolSmile,VLOOKUP(MAX(-5,CP273+CW273-BV273),IF(OVolSmile=1,VolSmileBook,VolSmileModel),2),0),"")</f>
        <v>0.1</v>
      </c>
      <c r="DD273" s="479">
        <f t="shared" ref="DD273:DD292" si="779">IF(OR(BQ273,BS273),CI273+IF(OVolSmile,VLOOKUP(MAX(-5,CQ273+CW273-BW273),IF(OVolSmile=1,VolSmileBook,VolSmileModel),2),0),"")</f>
        <v>0.11</v>
      </c>
      <c r="DE273" s="479">
        <f t="shared" ref="DE273:DE292" si="780">IF(OR(BQ273,BS273),CL273+IF(OVolSmile,VLOOKUP(MAX(-5,CR273+CZ273-BX273),IF(OVolSmile=1,VolSmileBook,VolSmileModel),2),0),"")</f>
        <v>0.11</v>
      </c>
      <c r="DF273" s="479">
        <f t="shared" ref="DF273:DF292" si="781">IF(BQ273,CM273+IF(OVolSmile,VLOOKUP(MAX(-5,CS273+DA273-BZ273),IF(OVolSmile=1,VolSmileBook,VolSmileModel),2),0),"")</f>
        <v>9.380964846149499E-2</v>
      </c>
      <c r="DG273" s="574">
        <f t="shared" ref="DG273:DG292" si="782">IF(BS273,CN273+IF(OVolSmile,VLOOKUP(MAX(-5,CT273+DA273-CF273),IF(OVolSmile=1,VolSmileBook,VolSmileModel),2),0),"")</f>
        <v>9.380964846149499E-2</v>
      </c>
      <c r="DH273" s="216">
        <f t="shared" ref="DH273:DH292" si="783">IF(AND(BU273&gt;0,CO273&gt;0,DB273&gt;0,CU273&gt;0),newSPRDOPT(BU273,CO273,CW273,0,DB273,CU273,CV273,BT273*365.25,OCallPut,0),0)</f>
        <v>45.720370276619214</v>
      </c>
      <c r="DI273" s="216">
        <f t="shared" ref="DI273:DI292" si="784">IF(AND(BV273&gt;0,CP273&gt;0,DC273&gt;0,CU273&gt;0),newSPRDOPT(BV273,CP273,CX273,0,DC273,CU273,CV273,BT273*365.25,OCallPut,0),0)</f>
        <v>45.720370276619214</v>
      </c>
      <c r="DJ273" s="216">
        <f t="shared" ca="1" si="706"/>
        <v>10.253506158363733</v>
      </c>
      <c r="DK273" s="216">
        <f t="shared" ca="1" si="707"/>
        <v>10.253506158363733</v>
      </c>
      <c r="DL273" s="216">
        <f t="shared" ca="1" si="708"/>
        <v>28.720841176429055</v>
      </c>
      <c r="DM273" s="216"/>
      <c r="DN273" s="216"/>
      <c r="DO273" s="216"/>
      <c r="DP273" s="216"/>
      <c r="DQ273" s="216"/>
      <c r="DR273" s="216"/>
      <c r="DS273" s="216"/>
      <c r="DT273" s="216"/>
      <c r="DU273" s="216"/>
      <c r="DV273" s="216"/>
      <c r="DW273" s="1371">
        <f t="shared" ref="DW273:DW292" si="785">IF(AND(BW273&gt;0,CT273&gt;0,DD273&gt;0,CU273&gt;0),newSPRDOPT(BW273,CT273,CY273,0,DD273,CU273,CV273,BT273*365.25,OCallPut,0),0)</f>
        <v>10.253506158363733</v>
      </c>
      <c r="DX273" s="216">
        <f t="shared" ref="DX273:DX292" si="786">IF(AND(BX273&gt;0,CT273&gt;0,DE273&gt;0,CU273&gt;0),newSPRDOPT(BX273,CT273,CZ273,0,DE273,CU273,CV273,BT273*365.25,OCallPut,0),0)</f>
        <v>10.253506158363733</v>
      </c>
      <c r="DY273" s="440">
        <f t="shared" ref="DY273:DY292" si="787">IF(BS273,(DH273*BH273+DI273*BI273+DW273*BJ273+DX273*BK273)/BS273,0)</f>
        <v>29.957319557394555</v>
      </c>
      <c r="DZ273" s="180">
        <f t="shared" ref="DZ273:DZ292" si="788">DH273*AZ273</f>
        <v>2235177.4620833602</v>
      </c>
      <c r="EA273" s="180">
        <f t="shared" ref="EA273:EA292" si="789">DI273*BA273</f>
        <v>425748.08801587811</v>
      </c>
      <c r="EB273" s="180">
        <f t="shared" ca="1" si="709"/>
        <v>119350.81168335385</v>
      </c>
      <c r="EC273" s="180">
        <f t="shared" ca="1" si="710"/>
        <v>358052.43505006155</v>
      </c>
      <c r="ED273" s="180">
        <f t="shared" ca="1" si="711"/>
        <v>3008795.3216427076</v>
      </c>
      <c r="EE273" s="581">
        <f t="shared" ref="EE273:EE292" si="790">IF(BQ273,IF(OCallPut,IF(BU273&gt;(CO273+CW273),BU273-(CO273+CW273),0),IF((CO273+CW273)&gt;BU273,(CO273+CW273)-BU273,0))*AZ273,0)</f>
        <v>2199004.2391071524</v>
      </c>
      <c r="EF273" s="554">
        <f t="shared" ref="EF273:EF292" si="791">IF(BQ273,IF(OCallPut,IF(BV273&gt;(CP273+CX273),BV273-(CP273+CX273),0),IF((CP273+CX273)&gt;BV273,(CP273+CX273)-BV273,0))*BA273,0)</f>
        <v>418857.95030612429</v>
      </c>
      <c r="EG273" s="554">
        <f t="shared" ca="1" si="712"/>
        <v>54358.098976120811</v>
      </c>
      <c r="EH273" s="554">
        <f t="shared" ca="1" si="713"/>
        <v>163074.29692836243</v>
      </c>
      <c r="EI273" s="561">
        <f t="shared" ref="EI273:EI336" ca="1" si="792">IF(BQ273,IF(OVolType,IF(OCallPut,IF(BZ273&gt;(CS273+DA273),BZ273-(CS273+DA273),0),IF((CS273+DA273)&gt;BZ273,(CS273+DA273)-BZ273,0))*BQ273,SUM(EE273:EH273)),0)</f>
        <v>2835294.5853177598</v>
      </c>
      <c r="EJ273" s="581">
        <f t="shared" si="675"/>
        <v>36173.222976207733</v>
      </c>
      <c r="EK273" s="554">
        <f t="shared" si="676"/>
        <v>6890.1377097538207</v>
      </c>
      <c r="EL273" s="554">
        <f t="shared" ca="1" si="714"/>
        <v>64992.71270723304</v>
      </c>
      <c r="EM273" s="554">
        <f t="shared" ca="1" si="715"/>
        <v>194978.13812169913</v>
      </c>
      <c r="EN273" s="561">
        <f t="shared" ca="1" si="716"/>
        <v>173500.73632494779</v>
      </c>
      <c r="EO273" s="180">
        <f t="shared" ref="EO273:EO292" si="793">DH273*BH273</f>
        <v>8940709.8483334407</v>
      </c>
      <c r="EP273" s="180">
        <f t="shared" ref="EP273:EP292" si="794">DI273*BI273</f>
        <v>1702992.3520635124</v>
      </c>
      <c r="EQ273" s="180">
        <f t="shared" ref="EQ273:EQ292" si="795">DW273*BJ273</f>
        <v>477403.24673341541</v>
      </c>
      <c r="ER273" s="180">
        <f t="shared" ref="ER273:ER292" si="796">DX273*BK273</f>
        <v>1432209.7402002462</v>
      </c>
      <c r="ES273" s="180">
        <f t="shared" ref="ES273:ES292" si="797">DY273*BS273</f>
        <v>12553315.187330615</v>
      </c>
      <c r="ET273" s="1482">
        <f t="shared" ca="1" si="717"/>
        <v>8796016.9564286098</v>
      </c>
      <c r="EU273" s="180">
        <f t="shared" ca="1" si="718"/>
        <v>1675431.8012244971</v>
      </c>
      <c r="EV273" s="180">
        <f t="shared" ca="1" si="719"/>
        <v>217432.39590448324</v>
      </c>
      <c r="EW273" s="180">
        <f t="shared" ca="1" si="720"/>
        <v>652297.1877134497</v>
      </c>
      <c r="EX273" s="555">
        <f t="shared" ca="1" si="693"/>
        <v>11341178.341271039</v>
      </c>
      <c r="EY273" s="180">
        <f t="shared" ca="1" si="721"/>
        <v>144692.89190483093</v>
      </c>
      <c r="EZ273" s="180">
        <f t="shared" ca="1" si="722"/>
        <v>27560.550839015283</v>
      </c>
      <c r="FA273" s="180">
        <f t="shared" ca="1" si="723"/>
        <v>259970.85082893216</v>
      </c>
      <c r="FB273" s="180">
        <f t="shared" ca="1" si="724"/>
        <v>779912.55248679651</v>
      </c>
      <c r="FC273" s="180">
        <f t="shared" ca="1" si="725"/>
        <v>1212136.8460595757</v>
      </c>
      <c r="FD273" s="262">
        <f>IF(AX273,IF(VLOOKUP(C273,MAIN!$L$17:$M$28,2)="Yes",VLOOKUP(CALC!B273,MAIN!$H$17:$I$20,2),0),0)</f>
        <v>0</v>
      </c>
      <c r="FE273" s="623">
        <f t="shared" ref="FE273:FE292" si="798">$FD273*16*AT273*(1-$AY273)</f>
        <v>0</v>
      </c>
      <c r="FF273" s="535">
        <f t="shared" ref="FF273:FF292" si="799">$FD273*16*AU273*(1-$AY273)</f>
        <v>0</v>
      </c>
      <c r="FG273" s="535">
        <f t="shared" ref="FG273:FG292" si="800">$FD273*16*(AV273+AW273)*(1-$AY273)</f>
        <v>0</v>
      </c>
      <c r="FH273" s="624">
        <f t="shared" ref="FH273:FH292" si="801">$FD273*8*AX273*(1-$AY273)</f>
        <v>0</v>
      </c>
      <c r="FI273" s="632">
        <f>IF(AX273,VLOOKUP(CALC!B273,MAIN!$H$17:$K$20,4),0)</f>
        <v>0</v>
      </c>
      <c r="FJ273" s="535">
        <f t="shared" ref="FJ273:FJ300" si="802">SUM(FE273:FH273)</f>
        <v>0</v>
      </c>
      <c r="FK273" s="648">
        <f t="shared" si="677"/>
        <v>0</v>
      </c>
      <c r="FL273" s="530">
        <f t="shared" ca="1" si="726"/>
        <v>0</v>
      </c>
      <c r="FM273" s="530">
        <f t="shared" ca="1" si="727"/>
        <v>0</v>
      </c>
      <c r="FN273" s="530">
        <f t="shared" ca="1" si="728"/>
        <v>0</v>
      </c>
      <c r="FO273" s="622">
        <f t="shared" ca="1" si="729"/>
        <v>0</v>
      </c>
      <c r="FP273" s="530">
        <f t="shared" ca="1" si="730"/>
        <v>0</v>
      </c>
      <c r="FQ273" s="530">
        <f t="shared" ca="1" si="731"/>
        <v>0</v>
      </c>
      <c r="FR273" s="530">
        <f t="shared" ca="1" si="732"/>
        <v>0</v>
      </c>
      <c r="FS273" s="625">
        <f t="shared" ca="1" si="733"/>
        <v>0</v>
      </c>
      <c r="FT273" s="640">
        <f ca="1">IF(AND(Assumptions!$H$71="Yes",A273&gt;=Assumptions!$H$72,A273&lt;=Assumptions!$H$73),0,IF(AND($A273&gt;=Assumptions!$C$17,$A273&lt;=Assumptions!$C$18),MAX(AZ273*(1+VLOOKUP($C273,WeatherCapacityAdjustment,2))-FL273,0),0))</f>
        <v>48888</v>
      </c>
      <c r="FU273" s="530">
        <f ca="1">IF(AND(Assumptions!$H$71="Yes",A273&gt;=Assumptions!$H$72,A273&lt;=Assumptions!$H$73),0,IF(AND($A273&gt;=Assumptions!$C$17,$A273&lt;=Assumptions!$C$18),MAX(BA273*(1+VLOOKUP($C273,WeatherCapacityAdjustment,2))-FM273,0),0))</f>
        <v>9312</v>
      </c>
      <c r="FV273" s="530">
        <f ca="1">IF(AND(Assumptions!$H$71="Yes",A273&gt;=Assumptions!$H$72,A273&lt;=Assumptions!$H$73),0,IF(AND($A273&gt;=Assumptions!$C$17,$A273&lt;=Assumptions!$C$18),MAX(BB273*(1+VLOOKUP($C273,WeatherCapacityAdjustment,2))-FN273,0),0))</f>
        <v>11640</v>
      </c>
      <c r="FW273" s="622">
        <f ca="1">IF(AND(Assumptions!$H$71="Yes",A273&gt;=Assumptions!$H$72,A273&lt;=Assumptions!$H$73),0,IF(AND($A273&gt;=Assumptions!$C$17,$A273&lt;=Assumptions!$C$18),MAX(BC273*(1+VLOOKUP($C273,WeatherCapacityAdjustment,3))-FO273,0),0))</f>
        <v>34920</v>
      </c>
      <c r="FX273" s="621">
        <f ca="1">IF(AND(Assumptions!$H$71="Yes",A273&gt;=Assumptions!$H$72,A273&lt;=Assumptions!$H$73),0,IF(ET273&gt;0,MAX(BH273*(1+VLOOKUP($C273,WeatherCapacityAdjustment,2))-FP273,0),0))</f>
        <v>195552</v>
      </c>
      <c r="FY273" s="530">
        <f ca="1">IF(AND(Assumptions!$H$71="Yes",A273&gt;=Assumptions!$H$72,A273&lt;=Assumptions!$H$73),0,IF(EU273&gt;0,MAX(BI273*(1+VLOOKUP($C273,WeatherCapacityAdjustment,3))-FQ273,0),0))</f>
        <v>37248</v>
      </c>
      <c r="FZ273" s="530">
        <f ca="1">IF(AND(Assumptions!$H$71="Yes",A273&gt;=Assumptions!$H$72,A273&lt;=Assumptions!$H$73),0,IF(EV273&gt;0,MAX(BJ273*(1+VLOOKUP($C273,WeatherCapacityAdjustment,2))-FR273,0),0))</f>
        <v>46560</v>
      </c>
      <c r="GA273" s="622">
        <f ca="1">IF(AND(Assumptions!$H$71="Yes",A273&gt;=Assumptions!$H$72,A273&lt;=Assumptions!$H$73),0,IF(EW273&gt;0,MAX(BK273*(1+VLOOKUP($C273,WeatherCapacityAdjustment,2))-FS273,0),0))</f>
        <v>139680</v>
      </c>
      <c r="GB273" s="530">
        <f t="shared" ref="GB273:GB336" ca="1" si="803">SUM(FT273:GA273)</f>
        <v>523800</v>
      </c>
      <c r="GC273" s="545">
        <f t="shared" ref="GC273:GC300" ca="1" si="804">+IF(SUM(FT273:GA273)=0,0,(SUMPRODUCT(BU273:BX273,FT273:FW273)+SUMPRODUCT(CA273:CD273,FX273:GA273))/SUM(FT273:GA273))</f>
        <v>58.279189288273948</v>
      </c>
      <c r="GD273" s="530">
        <f t="shared" ca="1" si="734"/>
        <v>30526639.349197894</v>
      </c>
      <c r="GE273" s="1485">
        <f t="shared" ca="1" si="735"/>
        <v>738526.57200000004</v>
      </c>
      <c r="GF273" s="1776">
        <f t="shared" ca="1" si="736"/>
        <v>2954106.2880000002</v>
      </c>
      <c r="GG273" s="545">
        <f t="shared" si="701"/>
        <v>4.0631060003469397</v>
      </c>
      <c r="GH273" s="622">
        <f t="shared" ca="1" si="702"/>
        <v>15003558.730544282</v>
      </c>
      <c r="GI273" s="621">
        <f t="shared" ca="1" si="678"/>
        <v>523800</v>
      </c>
      <c r="GJ273" s="638">
        <f t="shared" ref="GJ273:GJ292" si="805">+DA273</f>
        <v>2.5708432456372905</v>
      </c>
      <c r="GK273" s="625">
        <f t="shared" ca="1" si="684"/>
        <v>1346607.6920648129</v>
      </c>
      <c r="GL273" s="640">
        <f t="shared" ca="1" si="737"/>
        <v>0</v>
      </c>
      <c r="GM273" s="530">
        <f t="shared" ca="1" si="738"/>
        <v>0</v>
      </c>
      <c r="GN273" s="530">
        <f t="shared" ca="1" si="739"/>
        <v>0</v>
      </c>
      <c r="GO273" s="622">
        <f t="shared" ca="1" si="740"/>
        <v>0</v>
      </c>
      <c r="GP273" s="530">
        <f t="shared" ref="GP273:GP336" ca="1" si="806">SUM(GL273:GO273)</f>
        <v>0</v>
      </c>
      <c r="GQ273" s="545">
        <f t="shared" ref="GQ273:GQ300" ca="1" si="807">IF(SUM(GL273:GO273)=0,0,((GL273*BU273+GM273*BV273+GN273*BW273+GO273*BX273)/SUM(GL273:GO273)))</f>
        <v>0</v>
      </c>
      <c r="GR273" s="625">
        <f t="shared" ca="1" si="741"/>
        <v>0</v>
      </c>
      <c r="GS273" s="640">
        <f>IF($A273&gt;=BegDate,Assumptions!$C$56*24*($A274-$A273)*(1-VLOOKUP($B273,MAIN!$AA$7:$AM$28,$C273+1))*(1-VLOOKUP($B273,MAIN!$AA$33:$AM$54,$C273+1)),0)*80/168</f>
        <v>249428.57142857142</v>
      </c>
      <c r="GT273" s="1715">
        <f t="shared" si="679"/>
        <v>76.194972173898734</v>
      </c>
      <c r="GU273" s="1715">
        <f>IF($A273&gt;=BegDate,VLOOKUP($A273,GasTable,13)+Assumptions!$C$58,0)</f>
        <v>4.0631060003469397</v>
      </c>
      <c r="GV273" s="1715">
        <f>GU273*Assumptions!$C$57/1000</f>
        <v>29.45751850251531</v>
      </c>
      <c r="GW273" s="625">
        <f>IF(Assumptions!$C$60="Hourly",MAX(0,GS273*(GT273-GV273)),GS273*(GT273-GV273))</f>
        <v>11657656.301462207</v>
      </c>
      <c r="GX273" s="640">
        <f>IF($A273&gt;=BegDate,Assumptions!$C$56*24*($A274-$A273)*(1-VLOOKUP($B273,MAIN!$AA$7:$AM$28,$C273+1))*(1-VLOOKUP($B273,MAIN!$AA$33:$AM$54,$C273+1)),0)*16/168</f>
        <v>49885.714285714283</v>
      </c>
      <c r="GY273" s="1715">
        <f t="shared" si="680"/>
        <v>76.194972173898734</v>
      </c>
      <c r="GZ273" s="1715">
        <f>IF($A273&gt;=BegDate,VLOOKUP($A273,GasTable,13)+Assumptions!$C$58,0)</f>
        <v>4.0631060003469397</v>
      </c>
      <c r="HA273" s="1715">
        <f>GZ273*Assumptions!$C$57/1000</f>
        <v>29.45751850251531</v>
      </c>
      <c r="HB273" s="625">
        <f>IF(Assumptions!$C$60="Hourly",MAX(0,GX273*(GY273-HA273)),GX273*(GY273-HA273))</f>
        <v>2331531.2602924411</v>
      </c>
      <c r="HC273" s="640">
        <f>IF($A273&gt;=BegDate,Assumptions!$C$56*24*($A274-$A273)*(1-VLOOKUP($B273,MAIN!$AA$7:$AM$28,$C273+1))*(1-VLOOKUP($B273,MAIN!$AA$33:$AM$54,$C273+1)),0)*16/168</f>
        <v>49885.714285714283</v>
      </c>
      <c r="HD273" s="1715">
        <f t="shared" si="681"/>
        <v>35.884461658224012</v>
      </c>
      <c r="HE273" s="1715">
        <f>IF($A273&gt;=BegDate,VLOOKUP($A273,GasTable,13)+Assumptions!$C$58,0)</f>
        <v>4.0631060003469397</v>
      </c>
      <c r="HF273" s="1715">
        <f>HE273*Assumptions!$C$57/1000</f>
        <v>29.45751850251531</v>
      </c>
      <c r="HG273" s="625">
        <f>IF(Assumptions!$C$60="Hourly",MAX(0,HC273*(HD273-HF273)),HC273*(HD273-HF273))</f>
        <v>320612.64999621123</v>
      </c>
      <c r="HH273" s="640">
        <f>IF($A273&gt;=BegDate,Assumptions!$C$56*24*($A274-$A273)*(1-VLOOKUP($B273,MAIN!$AA$7:$AM$28,$C273+1))*(1-VLOOKUP($B273,MAIN!$AA$33:$AM$54,$C273+1)),0)*56/168</f>
        <v>174600</v>
      </c>
      <c r="HI273" s="1715">
        <f t="shared" si="682"/>
        <v>35.884461658224012</v>
      </c>
      <c r="HJ273" s="1715">
        <f>IF($A273&gt;=BegDate,VLOOKUP($A273,GasTable,13)+Assumptions!$C$58,0)</f>
        <v>4.0631060003469397</v>
      </c>
      <c r="HK273" s="1715">
        <f>HJ273*Assumptions!$C$57/1000</f>
        <v>29.45751850251531</v>
      </c>
      <c r="HL273" s="625">
        <f>IF(Assumptions!$C$60="Hourly",MAX(0,HH273*(HI273-HK273)),HH273*(HI273-HK273))</f>
        <v>1122144.2749867395</v>
      </c>
      <c r="HM273" s="640">
        <f>IF(AND(Assumptions!$H$71="Yes",A273&gt;=Assumptions!$H$72,A273&lt;=Assumptions!$H$73),Assumptions!$H$74*Assumptions!$C$9*1000,0)</f>
        <v>0</v>
      </c>
      <c r="HN273" s="530"/>
      <c r="HO273" s="545"/>
      <c r="HP273" s="545"/>
      <c r="HQ273" s="545"/>
      <c r="HR273" s="545"/>
      <c r="HS273" s="545"/>
      <c r="HT273" s="545"/>
      <c r="HU273" s="545"/>
      <c r="HV273" s="545"/>
      <c r="HW273" s="545"/>
      <c r="HX273" s="545"/>
      <c r="HY273" s="545"/>
      <c r="HZ273" s="545"/>
      <c r="IA273" s="545"/>
      <c r="IB273" s="545"/>
      <c r="IC273" s="545"/>
      <c r="ID273" s="545"/>
      <c r="IE273" s="545"/>
      <c r="IF273" s="545"/>
      <c r="IG273" s="545"/>
      <c r="IH273" s="545"/>
      <c r="II273" s="1464"/>
      <c r="IJ273" s="1463"/>
      <c r="IK273" s="1463"/>
    </row>
    <row r="274" spans="1:245">
      <c r="A274" s="177">
        <f t="shared" ref="A274:A301" si="808">EOMONTH(A273,0)+1</f>
        <v>44470</v>
      </c>
      <c r="B274" s="349">
        <f t="shared" ref="B274:B301" si="809">+YEAR(A274)</f>
        <v>2021</v>
      </c>
      <c r="C274" s="15">
        <f t="shared" si="749"/>
        <v>10</v>
      </c>
      <c r="D274" s="612" t="str">
        <f t="shared" ref="D274:D292" si="810">IF(E274="","",Holiday(B274,C274))</f>
        <v/>
      </c>
      <c r="E274" s="609">
        <f t="shared" si="750"/>
        <v>44470</v>
      </c>
      <c r="F274" s="614">
        <f t="shared" si="751"/>
        <v>44500</v>
      </c>
      <c r="G274" s="1349">
        <v>0</v>
      </c>
      <c r="H274" s="152">
        <f t="shared" si="683"/>
        <v>1</v>
      </c>
      <c r="I274" s="154">
        <f>IF(Assumptions!$L$25=4,VLOOKUP($A274,'Henwood Reference'!$E$9:$R$320,10),(VLOOKUP($A274,PriceTable,2,0)+IF(BasisNumber&lt;&gt;1,VLOOKUP($A274,BasisTable,2,0),0)+I$1)/(1-I$2))</f>
        <v>61.471334609371162</v>
      </c>
      <c r="J274" s="154">
        <f>IF(Assumptions!$L$25=4,VLOOKUP($A274,'Henwood Reference'!$E$9:$R$320,10),(VLOOKUP($A274,PriceTable,3,0)+IF(BasisNumber&lt;&gt;1,VLOOKUP($A274,BasisTable,2,0),0)+J$1)/(1-J$2))</f>
        <v>61.471334609371162</v>
      </c>
      <c r="K274" s="154">
        <f>IF(Assumptions!$L$25=4,VLOOKUP($A274,'Henwood Reference'!$E$9:$R$320,10),(VLOOKUP($A274,PriceTable,4,0)+IF(BasisNumber&lt;&gt;1,VLOOKUP($A274,BasisTable,2,0),0)+K$1)/(1-K$2))</f>
        <v>61.471334609371162</v>
      </c>
      <c r="L274" s="474">
        <f>IF(Assumptions!$L$25=4,VLOOKUP($A274,'Henwood Reference'!$E$9:$R$320,10),(VLOOKUP($A274,PriceTableWeekend,2,0)+IF(BasisNumber&lt;&gt;1,VLOOKUP($A274,BasisTable,2,0),0)+L$1)/(1-L$2))</f>
        <v>61.471334609371162</v>
      </c>
      <c r="M274" s="154">
        <f>IF(Assumptions!$L$25=4,VLOOKUP($A274,'Henwood Reference'!$E$9:$R$320,10),(VLOOKUP($A274,PriceTableWeekend,3,0)+IF(BasisNumber&lt;&gt;1,VLOOKUP($A274,BasisTable,2,0),0)+M$1)/(1-M$2))</f>
        <v>61.471334609371162</v>
      </c>
      <c r="N274" s="156">
        <f>IF(Assumptions!$L$25=4,VLOOKUP($A274,'Henwood Reference'!$E$9:$R$320,10),(VLOOKUP($A274,PriceTableWeekend,4,0)+IF(BasisNumber&lt;&gt;1,VLOOKUP($A274,BasisTable,2,0),0)+N$1)/(1-N$2))</f>
        <v>61.471334609371162</v>
      </c>
      <c r="O274" s="154">
        <f>IF(Assumptions!$L$25=4,VLOOKUP($A274,'Henwood Reference'!$E$9:$R$320,11),(VLOOKUP($A274,PriceTableWeekend,6,0)+IF(BasisNumber&lt;&gt;1,VLOOKUP($A274,BasisTable,3,0),0)+O$1)/(1-O$2))</f>
        <v>34.226019544730903</v>
      </c>
      <c r="P274" s="154">
        <f>IF(Assumptions!$L$25=4,VLOOKUP($A274,'Henwood Reference'!$E$9:$R$320,11),(VLOOKUP($A274,PriceTableWeekend,7,0)+IF(BasisNumber&lt;&gt;1,VLOOKUP($A274,BasisTable,3,0),0)+P$1)/(1-P$2))</f>
        <v>34.226019544730903</v>
      </c>
      <c r="Q274" s="156">
        <f>IF(Assumptions!$L$25=4,VLOOKUP($A274,'Henwood Reference'!$E$9:$R$320,11),(VLOOKUP($A274,PriceTableWeekend,8,0)+IF(BasisNumber&lt;&gt;1,VLOOKUP($A274,BasisTable,3,0),0)+Q$1)/(1-Q$2))</f>
        <v>34.226019544730903</v>
      </c>
      <c r="R274" s="154">
        <f>IF(Assumptions!$L$25=4,VLOOKUP($A274,'Henwood Reference'!$E$9:$R$320,11),(VLOOKUP($A274,PriceTable,6,0)+IF(BasisNumber&lt;&gt;1,VLOOKUP($A274,BasisTable,3,0),0)+R$1)/(1-R$2))</f>
        <v>34.226019544730903</v>
      </c>
      <c r="S274" s="154">
        <f>IF(Assumptions!$L$25=4,VLOOKUP($A274,'Henwood Reference'!$E$9:$R$320,11),(VLOOKUP($A274,PriceTable,7,0)+IF(BasisNumber&lt;&gt;1,VLOOKUP($A274,BasisTable,3,0),0)+S$1)/(1-S$2))</f>
        <v>34.226019544730903</v>
      </c>
      <c r="T274" s="155">
        <f>IF(Assumptions!$L$25=4,VLOOKUP($A274,'Henwood Reference'!$E$9:$R$320,11),(VLOOKUP($A274,PriceTable,8,0)+IF(BasisNumber&lt;&gt;1,VLOOKUP($A274,BasisTable,3,0),0)+T$1)/(1-T$2))</f>
        <v>34.226019544730903</v>
      </c>
      <c r="U274" s="173">
        <f t="shared" ref="U274:U300" si="811">VLOOKUP($A274,VolatilityTable,14)</f>
        <v>0.09</v>
      </c>
      <c r="V274" s="173">
        <f t="shared" ref="V274:V300" si="812">VLOOKUP($A274,VolatilityTable,15)</f>
        <v>0.1</v>
      </c>
      <c r="W274" s="174">
        <f t="shared" ref="W274:W300" si="813">VLOOKUP($A274,VolatilityTable,16)</f>
        <v>0.11</v>
      </c>
      <c r="X274" s="173">
        <f t="shared" ref="X274:X300" si="814">VLOOKUP($A274,VolatilityTable,14)</f>
        <v>0.09</v>
      </c>
      <c r="Y274" s="173">
        <f t="shared" ref="Y274:Y300" si="815">VLOOKUP($A274,VolatilityTable,15)</f>
        <v>0.1</v>
      </c>
      <c r="Z274" s="174">
        <f t="shared" ref="Z274:Z300" si="816">VLOOKUP($A274,VolatilityTable,16)</f>
        <v>0.11</v>
      </c>
      <c r="AA274" s="173">
        <f t="shared" ref="AA274:AA300" si="817">VLOOKUP($A274,VolatilityTable,18)</f>
        <v>0.09</v>
      </c>
      <c r="AB274" s="173">
        <f t="shared" ref="AB274:AB300" si="818">VLOOKUP($A274,VolatilityTable,19)</f>
        <v>0.11</v>
      </c>
      <c r="AC274" s="174">
        <f t="shared" ref="AC274:AC300" si="819">VLOOKUP($A274,VolatilityTable,20)</f>
        <v>0.13</v>
      </c>
      <c r="AD274" s="173">
        <f t="shared" ref="AD274:AD300" si="820">VLOOKUP($A274,VolatilityTable,18)</f>
        <v>0.09</v>
      </c>
      <c r="AE274" s="173">
        <f t="shared" ref="AE274:AE300" si="821">VLOOKUP($A274,VolatilityTable,19)</f>
        <v>0.11</v>
      </c>
      <c r="AF274" s="174">
        <f t="shared" ref="AF274:AF300" si="822">VLOOKUP($A274,VolatilityTable,20)</f>
        <v>0.13</v>
      </c>
      <c r="AG274" s="173">
        <f t="shared" ref="AG274:AG300" si="823">VLOOKUP($A274,VolatilityTable,22)</f>
        <v>-0.1</v>
      </c>
      <c r="AH274" s="173">
        <f t="shared" ref="AH274:AH300" si="824">VLOOKUP($A274,VolatilityTable,23)</f>
        <v>3</v>
      </c>
      <c r="AI274" s="174">
        <f t="shared" ref="AI274:AI300" si="825">VLOOKUP($A274,VolatilityTable,24)</f>
        <v>0.1</v>
      </c>
      <c r="AJ274" s="173">
        <f t="shared" ref="AJ274:AJ300" si="826">VLOOKUP($A274,VolatilityTable,22)</f>
        <v>-0.1</v>
      </c>
      <c r="AK274" s="173">
        <f t="shared" ref="AK274:AK300" si="827">VLOOKUP($A274,VolatilityTable,23)</f>
        <v>3</v>
      </c>
      <c r="AL274" s="174">
        <f t="shared" ref="AL274:AL300" si="828">VLOOKUP($A274,VolatilityTable,24)</f>
        <v>0.1</v>
      </c>
      <c r="AM274" s="173">
        <f t="shared" ref="AM274:AM300" si="829">VLOOKUP($A274,VolatilityTable,26)</f>
        <v>-0.01</v>
      </c>
      <c r="AN274" s="173">
        <f t="shared" ref="AN274:AN300" si="830">VLOOKUP($A274,VolatilityTable,27)</f>
        <v>0.16</v>
      </c>
      <c r="AO274" s="174">
        <f t="shared" ref="AO274:AO300" si="831">VLOOKUP($A274,VolatilityTable,28)</f>
        <v>0.01</v>
      </c>
      <c r="AP274" s="173">
        <f t="shared" ref="AP274:AP300" si="832">VLOOKUP($A274,VolatilityTable,26)</f>
        <v>-0.01</v>
      </c>
      <c r="AQ274" s="173">
        <f t="shared" ref="AQ274:AQ300" si="833">VLOOKUP($A274,VolatilityTable,27)</f>
        <v>0.16</v>
      </c>
      <c r="AR274" s="175">
        <f t="shared" ref="AR274:AR300" si="834">VLOOKUP($A274,VolatilityTable,28)</f>
        <v>0.01</v>
      </c>
      <c r="AS274" s="521">
        <f t="shared" ref="AS274:AS289" si="835">IF(CorrPeakOffPeakOverFlag,INDEX(CorrPeakOffPeakOver,C274),CorrPeakOffPeak)</f>
        <v>0.5</v>
      </c>
      <c r="AT274" s="349">
        <f t="shared" si="752"/>
        <v>21</v>
      </c>
      <c r="AU274" s="159">
        <f t="shared" si="753"/>
        <v>5</v>
      </c>
      <c r="AV274" s="159">
        <f t="shared" si="754"/>
        <v>5</v>
      </c>
      <c r="AW274" s="159">
        <f t="shared" ref="AW274:AW289" si="836">IF(OR(E274="",D274="",D274&lt;BegDate,D274&gt;EndDate),0,1)</f>
        <v>0</v>
      </c>
      <c r="AX274" s="15">
        <f t="shared" si="755"/>
        <v>31</v>
      </c>
      <c r="AY274" s="607">
        <f>IF(E274="",0,MIN((1-(1-VLOOKUP(B274,MAIN!$AA$7:$AM$28,C274+1))*(1-VLOOKUP(B274,MAIN!$AA$33:$AM$54,C274+1))),1))</f>
        <v>3.0000000000000027E-2</v>
      </c>
      <c r="AZ274" s="337">
        <v>48888</v>
      </c>
      <c r="BA274" s="509">
        <v>11640</v>
      </c>
      <c r="BB274" s="509">
        <v>11640</v>
      </c>
      <c r="BC274" s="511">
        <v>36084</v>
      </c>
      <c r="BD274" s="153">
        <v>0.97000001445412631</v>
      </c>
      <c r="BE274" s="474">
        <v>0.97000001445412631</v>
      </c>
      <c r="BF274" s="474">
        <v>0.97000001445412631</v>
      </c>
      <c r="BG274" s="515">
        <v>0.9699999927729368</v>
      </c>
      <c r="BH274" s="262">
        <v>195552</v>
      </c>
      <c r="BI274" s="509">
        <v>46560</v>
      </c>
      <c r="BJ274" s="509">
        <v>46560</v>
      </c>
      <c r="BK274" s="511">
        <v>144336</v>
      </c>
      <c r="BL274" s="153">
        <v>0.97000001445412631</v>
      </c>
      <c r="BM274" s="474">
        <v>0.97000001445412631</v>
      </c>
      <c r="BN274" s="474">
        <v>0.97000001445412631</v>
      </c>
      <c r="BO274" s="474">
        <v>0.9699999927729368</v>
      </c>
      <c r="BP274" s="261">
        <f t="shared" ref="BP274:BP292" si="837">SUM(AZ274:BB274)</f>
        <v>72168</v>
      </c>
      <c r="BQ274" s="578">
        <f t="shared" ref="BQ274:BQ292" si="838">SUM(AZ274:BC274)</f>
        <v>108252</v>
      </c>
      <c r="BR274" s="259">
        <f t="shared" ref="BR274:BR292" si="839">SUM(BH274:BJ274)</f>
        <v>288672</v>
      </c>
      <c r="BS274" s="578">
        <f t="shared" ref="BS274:BS292" si="840">SUM(BH274:BK274)</f>
        <v>433008</v>
      </c>
      <c r="BT274" s="216">
        <f t="shared" ref="BT274:BT292" si="841">(IF(OVolType&lt;&gt;2,A274+14,IF(OptExpDateShift,ShiftBack(A274,OptExpDateShift,D273),A274))-DateToday)/365.25</f>
        <v>21.464750171115675</v>
      </c>
      <c r="BU274" s="218">
        <f t="shared" si="756"/>
        <v>61.471335525365426</v>
      </c>
      <c r="BV274" s="216">
        <f t="shared" si="757"/>
        <v>61.471335525365426</v>
      </c>
      <c r="BW274" s="216">
        <f t="shared" si="758"/>
        <v>34.226020054738335</v>
      </c>
      <c r="BX274" s="216">
        <f t="shared" ref="BX274:BX292" si="842">IF(BQ274,IF(OPriceCurve,IF(OBuySell=OCallPut,R274/(1-AY274),T274/(1-AY274)),S274/(1-AY274))*BG274,0)</f>
        <v>34.226019289727184</v>
      </c>
      <c r="BY274" s="216">
        <f t="shared" si="759"/>
        <v>57.07692980429654</v>
      </c>
      <c r="BZ274" s="216">
        <f t="shared" si="760"/>
        <v>49.459959632773426</v>
      </c>
      <c r="CA274" s="264">
        <f t="shared" si="761"/>
        <v>61.471335525365426</v>
      </c>
      <c r="CB274" s="216">
        <f t="shared" si="762"/>
        <v>61.471335525365426</v>
      </c>
      <c r="CC274" s="216">
        <f t="shared" si="763"/>
        <v>34.226020054738335</v>
      </c>
      <c r="CD274" s="216">
        <f t="shared" ref="CD274:CD292" si="843">IF(BS274,IF(OPriceCurve,IF(OBuySell=OCallPut,R274/(1-AY274),T274/(1-AY274)),S274/(1-AY274))*BO274,0)</f>
        <v>34.226019289727184</v>
      </c>
      <c r="CE274" s="216">
        <f t="shared" si="764"/>
        <v>57.07692980429654</v>
      </c>
      <c r="CF274" s="571">
        <f t="shared" si="765"/>
        <v>49.459959632773426</v>
      </c>
      <c r="CG274" s="573">
        <f t="shared" si="766"/>
        <v>0.1</v>
      </c>
      <c r="CH274" s="219">
        <f t="shared" si="767"/>
        <v>0.1</v>
      </c>
      <c r="CI274" s="219">
        <f t="shared" si="768"/>
        <v>0.11</v>
      </c>
      <c r="CJ274" s="219">
        <f t="shared" si="769"/>
        <v>0.10097670058293938</v>
      </c>
      <c r="CK274" s="219">
        <f t="shared" si="770"/>
        <v>0.10097670058293938</v>
      </c>
      <c r="CL274" s="219">
        <f t="shared" si="771"/>
        <v>0.11</v>
      </c>
      <c r="CM274" s="219">
        <f t="shared" si="772"/>
        <v>9.3315941869203695E-2</v>
      </c>
      <c r="CN274" s="569">
        <f t="shared" si="773"/>
        <v>9.3315941869203695E-2</v>
      </c>
      <c r="CO274" s="264">
        <f t="shared" si="685"/>
        <v>29.880423087746216</v>
      </c>
      <c r="CP274" s="216">
        <f t="shared" ref="CP274:CP292" si="844">IF(OR(BQ274,BS274),VLOOKUP(A274,GasTable,13)*HeatRatePeak*(1+VLOOKUP($B274,HeatRateDegradation,$C274+1))/1000,0)</f>
        <v>29.880423087746216</v>
      </c>
      <c r="CQ274" s="216">
        <f t="shared" ca="1" si="703"/>
        <v>29.880423087746216</v>
      </c>
      <c r="CR274" s="216">
        <f t="shared" ca="1" si="704"/>
        <v>29.880423087746216</v>
      </c>
      <c r="CS274" s="1626">
        <f t="shared" ca="1" si="705"/>
        <v>29.880423087746212</v>
      </c>
      <c r="CT274" s="216">
        <f t="shared" ref="CT274:CT292" si="845">IF(BS274,CO274,0)</f>
        <v>29.880423087746216</v>
      </c>
      <c r="CU274" s="575">
        <f t="shared" si="774"/>
        <v>0.15</v>
      </c>
      <c r="CV274" s="154">
        <f t="shared" si="775"/>
        <v>0.5</v>
      </c>
      <c r="CW274" s="216">
        <f>IF(OR($BQ274,$BS274),SpreadOptPowerMargin,0)*((1+Assumptions!$C$26)^($B274-YEAR(Assumptions!$C$17)))</f>
        <v>2.5708432456372909</v>
      </c>
      <c r="CX274" s="216">
        <f>IF(OR($BQ274,$BS274),SpreadOptPowerMargin,0)*((1+Assumptions!$C$26)^($B274-YEAR(Assumptions!$C$17)))</f>
        <v>2.5708432456372909</v>
      </c>
      <c r="CY274" s="216">
        <f>IF(OR($BQ274,$BS274),SpreadOptPowerMargin,0)*((1+Assumptions!$C$26)^($B274-YEAR(Assumptions!$C$17)))</f>
        <v>2.5708432456372909</v>
      </c>
      <c r="CZ274" s="216">
        <f>IF(OR($BQ274,$BS274),SpreadOptPowerMargin,0)*((1+Assumptions!$C$26)^($B274-YEAR(Assumptions!$C$17)))</f>
        <v>2.5708432456372909</v>
      </c>
      <c r="DA274" s="440">
        <f t="shared" si="776"/>
        <v>2.5708432456372909</v>
      </c>
      <c r="DB274" s="479">
        <f t="shared" si="777"/>
        <v>0.1</v>
      </c>
      <c r="DC274" s="479">
        <f t="shared" si="778"/>
        <v>0.1</v>
      </c>
      <c r="DD274" s="479">
        <f t="shared" si="779"/>
        <v>0.11</v>
      </c>
      <c r="DE274" s="479">
        <f t="shared" si="780"/>
        <v>0.11</v>
      </c>
      <c r="DF274" s="479">
        <f t="shared" si="781"/>
        <v>9.3315941869203695E-2</v>
      </c>
      <c r="DG274" s="574">
        <f t="shared" si="782"/>
        <v>9.3315941869203695E-2</v>
      </c>
      <c r="DH274" s="216">
        <f t="shared" si="783"/>
        <v>30.745923137005192</v>
      </c>
      <c r="DI274" s="216">
        <f t="shared" si="784"/>
        <v>30.745923137005192</v>
      </c>
      <c r="DJ274" s="216">
        <f t="shared" ca="1" si="706"/>
        <v>8.5944217045899283</v>
      </c>
      <c r="DK274" s="216">
        <f t="shared" ca="1" si="707"/>
        <v>8.594421204157598</v>
      </c>
      <c r="DL274" s="216">
        <f t="shared" ca="1" si="708"/>
        <v>20.001858039160641</v>
      </c>
      <c r="DM274" s="216"/>
      <c r="DN274" s="216"/>
      <c r="DO274" s="216"/>
      <c r="DP274" s="216"/>
      <c r="DQ274" s="216"/>
      <c r="DR274" s="216"/>
      <c r="DS274" s="216"/>
      <c r="DT274" s="216"/>
      <c r="DU274" s="216"/>
      <c r="DV274" s="216"/>
      <c r="DW274" s="1371">
        <f t="shared" si="785"/>
        <v>8.5944217045899283</v>
      </c>
      <c r="DX274" s="216">
        <f t="shared" si="786"/>
        <v>8.594421204157598</v>
      </c>
      <c r="DY274" s="440">
        <f t="shared" si="787"/>
        <v>20.980207284936075</v>
      </c>
      <c r="DZ274" s="180">
        <f t="shared" si="788"/>
        <v>1503106.69032191</v>
      </c>
      <c r="EA274" s="180">
        <f t="shared" si="789"/>
        <v>357882.54531474045</v>
      </c>
      <c r="EB274" s="180">
        <f t="shared" ca="1" si="709"/>
        <v>100039.06864142677</v>
      </c>
      <c r="EC274" s="180">
        <f t="shared" ca="1" si="710"/>
        <v>310121.09473082278</v>
      </c>
      <c r="ED274" s="180">
        <f t="shared" ca="1" si="711"/>
        <v>2165241.1364552178</v>
      </c>
      <c r="EE274" s="581">
        <f t="shared" si="790"/>
        <v>1418733.142657612</v>
      </c>
      <c r="EF274" s="554">
        <f t="shared" si="791"/>
        <v>337793.60539466952</v>
      </c>
      <c r="EG274" s="554">
        <f t="shared" ca="1" si="712"/>
        <v>20658.133316570187</v>
      </c>
      <c r="EH274" s="554">
        <f t="shared" ca="1" si="713"/>
        <v>64040.185676705194</v>
      </c>
      <c r="EI274" s="561">
        <f t="shared" ca="1" si="792"/>
        <v>1841225.0670455582</v>
      </c>
      <c r="EJ274" s="581">
        <f t="shared" ref="EJ274:EJ292" si="846">DZ274-EE274</f>
        <v>84373.547664297977</v>
      </c>
      <c r="EK274" s="554">
        <f t="shared" ref="EK274:EK292" si="847">EA274-EF274</f>
        <v>20088.93992007093</v>
      </c>
      <c r="EL274" s="554">
        <f t="shared" ca="1" si="714"/>
        <v>79380.935324856575</v>
      </c>
      <c r="EM274" s="554">
        <f t="shared" ca="1" si="715"/>
        <v>246080.90905411757</v>
      </c>
      <c r="EN274" s="561">
        <f t="shared" ca="1" si="716"/>
        <v>324016.0694096596</v>
      </c>
      <c r="EO274" s="180">
        <f t="shared" si="793"/>
        <v>6012426.7612876398</v>
      </c>
      <c r="EP274" s="180">
        <f t="shared" si="794"/>
        <v>1431530.1812589618</v>
      </c>
      <c r="EQ274" s="180">
        <f t="shared" si="795"/>
        <v>400156.27456570708</v>
      </c>
      <c r="ER274" s="180">
        <f t="shared" si="796"/>
        <v>1240484.3789232911</v>
      </c>
      <c r="ES274" s="180">
        <f t="shared" si="797"/>
        <v>9084597.5960355997</v>
      </c>
      <c r="ET274" s="1482">
        <f t="shared" ca="1" si="717"/>
        <v>5674932.5706304479</v>
      </c>
      <c r="EU274" s="180">
        <f t="shared" ca="1" si="718"/>
        <v>1351174.4215786781</v>
      </c>
      <c r="EV274" s="180">
        <f t="shared" ca="1" si="719"/>
        <v>82632.533266280749</v>
      </c>
      <c r="EW274" s="180">
        <f t="shared" ca="1" si="720"/>
        <v>256160.74270682078</v>
      </c>
      <c r="EX274" s="555">
        <f t="shared" ca="1" si="693"/>
        <v>7364900.2681822274</v>
      </c>
      <c r="EY274" s="180">
        <f t="shared" ca="1" si="721"/>
        <v>337494.19065719191</v>
      </c>
      <c r="EZ274" s="180">
        <f t="shared" ca="1" si="722"/>
        <v>80355.759680283722</v>
      </c>
      <c r="FA274" s="180">
        <f t="shared" ca="1" si="723"/>
        <v>317523.7412994263</v>
      </c>
      <c r="FB274" s="180">
        <f t="shared" ca="1" si="724"/>
        <v>984323.63621647027</v>
      </c>
      <c r="FC274" s="180">
        <f t="shared" ca="1" si="725"/>
        <v>1719697.3278533723</v>
      </c>
      <c r="FD274" s="262">
        <f>IF(AX274,IF(VLOOKUP(C274,MAIN!$L$17:$M$28,2)="Yes",VLOOKUP(CALC!B274,MAIN!$H$17:$I$20,2),0),0)</f>
        <v>0</v>
      </c>
      <c r="FE274" s="623">
        <f t="shared" si="798"/>
        <v>0</v>
      </c>
      <c r="FF274" s="535">
        <f t="shared" si="799"/>
        <v>0</v>
      </c>
      <c r="FG274" s="535">
        <f t="shared" si="800"/>
        <v>0</v>
      </c>
      <c r="FH274" s="624">
        <f t="shared" si="801"/>
        <v>0</v>
      </c>
      <c r="FI274" s="632">
        <f>IF(AX274,VLOOKUP(CALC!B274,MAIN!$H$17:$K$20,4),0)</f>
        <v>0</v>
      </c>
      <c r="FJ274" s="535">
        <f t="shared" si="802"/>
        <v>0</v>
      </c>
      <c r="FK274" s="648">
        <f t="shared" ref="FK274:FK292" si="848">FI274*FJ274</f>
        <v>0</v>
      </c>
      <c r="FL274" s="530">
        <f t="shared" ca="1" si="726"/>
        <v>0</v>
      </c>
      <c r="FM274" s="530">
        <f t="shared" ca="1" si="727"/>
        <v>0</v>
      </c>
      <c r="FN274" s="530">
        <f t="shared" ca="1" si="728"/>
        <v>0</v>
      </c>
      <c r="FO274" s="622">
        <f t="shared" ca="1" si="729"/>
        <v>0</v>
      </c>
      <c r="FP274" s="530">
        <f t="shared" ca="1" si="730"/>
        <v>0</v>
      </c>
      <c r="FQ274" s="530">
        <f t="shared" ca="1" si="731"/>
        <v>0</v>
      </c>
      <c r="FR274" s="530">
        <f t="shared" ca="1" si="732"/>
        <v>0</v>
      </c>
      <c r="FS274" s="625">
        <f t="shared" ca="1" si="733"/>
        <v>0</v>
      </c>
      <c r="FT274" s="640">
        <f ca="1">IF(AND(Assumptions!$H$71="Yes",A274&gt;=Assumptions!$H$72,A274&lt;=Assumptions!$H$73),0,IF(AND($A274&gt;=Assumptions!$C$17,$A274&lt;=Assumptions!$C$18),MAX(AZ274*(1+VLOOKUP($C274,WeatherCapacityAdjustment,2))-FL274,0),0))</f>
        <v>48888</v>
      </c>
      <c r="FU274" s="530">
        <f ca="1">IF(AND(Assumptions!$H$71="Yes",A274&gt;=Assumptions!$H$72,A274&lt;=Assumptions!$H$73),0,IF(AND($A274&gt;=Assumptions!$C$17,$A274&lt;=Assumptions!$C$18),MAX(BA274*(1+VLOOKUP($C274,WeatherCapacityAdjustment,2))-FM274,0),0))</f>
        <v>11640</v>
      </c>
      <c r="FV274" s="530">
        <f ca="1">IF(AND(Assumptions!$H$71="Yes",A274&gt;=Assumptions!$H$72,A274&lt;=Assumptions!$H$73),0,IF(AND($A274&gt;=Assumptions!$C$17,$A274&lt;=Assumptions!$C$18),MAX(BB274*(1+VLOOKUP($C274,WeatherCapacityAdjustment,2))-FN274,0),0))</f>
        <v>11640</v>
      </c>
      <c r="FW274" s="622">
        <f ca="1">IF(AND(Assumptions!$H$71="Yes",A274&gt;=Assumptions!$H$72,A274&lt;=Assumptions!$H$73),0,IF(AND($A274&gt;=Assumptions!$C$17,$A274&lt;=Assumptions!$C$18),MAX(BC274*(1+VLOOKUP($C274,WeatherCapacityAdjustment,3))-FO274,0),0))</f>
        <v>36084</v>
      </c>
      <c r="FX274" s="621">
        <f ca="1">IF(AND(Assumptions!$H$71="Yes",A274&gt;=Assumptions!$H$72,A274&lt;=Assumptions!$H$73),0,IF(ET274&gt;0,MAX(BH274*(1+VLOOKUP($C274,WeatherCapacityAdjustment,2))-FP274,0),0))</f>
        <v>195552</v>
      </c>
      <c r="FY274" s="530">
        <f ca="1">IF(AND(Assumptions!$H$71="Yes",A274&gt;=Assumptions!$H$72,A274&lt;=Assumptions!$H$73),0,IF(EU274&gt;0,MAX(BI274*(1+VLOOKUP($C274,WeatherCapacityAdjustment,3))-FQ274,0),0))</f>
        <v>46560</v>
      </c>
      <c r="FZ274" s="530">
        <f ca="1">IF(AND(Assumptions!$H$71="Yes",A274&gt;=Assumptions!$H$72,A274&lt;=Assumptions!$H$73),0,IF(EV274&gt;0,MAX(BJ274*(1+VLOOKUP($C274,WeatherCapacityAdjustment,2))-FR274,0),0))</f>
        <v>46560</v>
      </c>
      <c r="GA274" s="622">
        <f ca="1">IF(AND(Assumptions!$H$71="Yes",A274&gt;=Assumptions!$H$72,A274&lt;=Assumptions!$H$73),0,IF(EW274&gt;0,MAX(BK274*(1+VLOOKUP($C274,WeatherCapacityAdjustment,2))-FS274,0),0))</f>
        <v>144336</v>
      </c>
      <c r="GB274" s="530">
        <f t="shared" ca="1" si="803"/>
        <v>541260</v>
      </c>
      <c r="GC274" s="545">
        <f t="shared" ca="1" si="804"/>
        <v>49.459959632773419</v>
      </c>
      <c r="GD274" s="530">
        <f t="shared" ca="1" si="734"/>
        <v>26770697.750834942</v>
      </c>
      <c r="GE274" s="1485">
        <f t="shared" ca="1" si="735"/>
        <v>763462.38527999993</v>
      </c>
      <c r="GF274" s="1776">
        <f t="shared" ca="1" si="736"/>
        <v>3053849.5411199997</v>
      </c>
      <c r="GG274" s="545">
        <f t="shared" si="701"/>
        <v>4.236771349132554</v>
      </c>
      <c r="GH274" s="622">
        <f t="shared" ca="1" si="702"/>
        <v>16173077.800473515</v>
      </c>
      <c r="GI274" s="621">
        <f t="shared" ref="GI274:GI300" ca="1" si="849">GB274</f>
        <v>541260</v>
      </c>
      <c r="GJ274" s="638">
        <f t="shared" si="805"/>
        <v>2.5708432456372909</v>
      </c>
      <c r="GK274" s="625">
        <f t="shared" ca="1" si="684"/>
        <v>1391494.6151336401</v>
      </c>
      <c r="GL274" s="640">
        <f t="shared" ca="1" si="737"/>
        <v>0</v>
      </c>
      <c r="GM274" s="530">
        <f t="shared" ca="1" si="738"/>
        <v>0</v>
      </c>
      <c r="GN274" s="530">
        <f t="shared" ca="1" si="739"/>
        <v>0</v>
      </c>
      <c r="GO274" s="622">
        <f t="shared" ca="1" si="740"/>
        <v>0</v>
      </c>
      <c r="GP274" s="530">
        <f t="shared" ca="1" si="806"/>
        <v>0</v>
      </c>
      <c r="GQ274" s="545">
        <f t="shared" ca="1" si="807"/>
        <v>0</v>
      </c>
      <c r="GR274" s="625">
        <f t="shared" ca="1" si="741"/>
        <v>0</v>
      </c>
      <c r="GS274" s="640">
        <f>IF($A274&gt;=BegDate,Assumptions!$C$56*24*($A275-$A274)*(1-VLOOKUP($B274,MAIN!$AA$7:$AM$28,$C274+1))*(1-VLOOKUP($B274,MAIN!$AA$33:$AM$54,$C274+1)),0)*80/168</f>
        <v>257742.85714285713</v>
      </c>
      <c r="GT274" s="1715">
        <f t="shared" ref="GT274:GT292" si="850">J274</f>
        <v>61.471334609371162</v>
      </c>
      <c r="GU274" s="1715">
        <f>IF($A274&gt;=BegDate,VLOOKUP($A274,GasTable,13)+Assumptions!$C$58,0)</f>
        <v>4.236771349132554</v>
      </c>
      <c r="GV274" s="1715">
        <f>GU274*Assumptions!$C$57/1000</f>
        <v>30.716592281211017</v>
      </c>
      <c r="GW274" s="625">
        <f>IF(Assumptions!$C$60="Hourly",MAX(0,GS274*(GT274-GV274)),GS274*(GT274-GV274))</f>
        <v>7926815.1583523611</v>
      </c>
      <c r="GX274" s="640">
        <f>IF($A274&gt;=BegDate,Assumptions!$C$56*24*($A275-$A274)*(1-VLOOKUP($B274,MAIN!$AA$7:$AM$28,$C274+1))*(1-VLOOKUP($B274,MAIN!$AA$33:$AM$54,$C274+1)),0)*16/168</f>
        <v>51548.571428571428</v>
      </c>
      <c r="GY274" s="1715">
        <f t="shared" ref="GY274:GY292" si="851">M274</f>
        <v>61.471334609371162</v>
      </c>
      <c r="GZ274" s="1715">
        <f>IF($A274&gt;=BegDate,VLOOKUP($A274,GasTable,13)+Assumptions!$C$58,0)</f>
        <v>4.236771349132554</v>
      </c>
      <c r="HA274" s="1715">
        <f>GZ274*Assumptions!$C$57/1000</f>
        <v>30.716592281211017</v>
      </c>
      <c r="HB274" s="625">
        <f>IF(Assumptions!$C$60="Hourly",MAX(0,GX274*(GY274-HA274)),GX274*(GY274-HA274))</f>
        <v>1585363.0316704724</v>
      </c>
      <c r="HC274" s="640">
        <f>IF($A274&gt;=BegDate,Assumptions!$C$56*24*($A275-$A274)*(1-VLOOKUP($B274,MAIN!$AA$7:$AM$28,$C274+1))*(1-VLOOKUP($B274,MAIN!$AA$33:$AM$54,$C274+1)),0)*16/168</f>
        <v>51548.571428571428</v>
      </c>
      <c r="HD274" s="1715">
        <f t="shared" ref="HD274:HD292" si="852">P274</f>
        <v>34.226019544730903</v>
      </c>
      <c r="HE274" s="1715">
        <f>IF($A274&gt;=BegDate,VLOOKUP($A274,GasTable,13)+Assumptions!$C$58,0)</f>
        <v>4.236771349132554</v>
      </c>
      <c r="HF274" s="1715">
        <f>HE274*Assumptions!$C$57/1000</f>
        <v>30.716592281211017</v>
      </c>
      <c r="HG274" s="625">
        <f>IF(Assumptions!$C$60="Hourly",MAX(0,HC274*(HD274-HF274)),HC274*(HD274-HF274))</f>
        <v>180905.96196693077</v>
      </c>
      <c r="HH274" s="640">
        <f>IF($A274&gt;=BegDate,Assumptions!$C$56*24*($A275-$A274)*(1-VLOOKUP($B274,MAIN!$AA$7:$AM$28,$C274+1))*(1-VLOOKUP($B274,MAIN!$AA$33:$AM$54,$C274+1)),0)*56/168</f>
        <v>180420</v>
      </c>
      <c r="HI274" s="1715">
        <f t="shared" ref="HI274:HI292" si="853">S274</f>
        <v>34.226019544730903</v>
      </c>
      <c r="HJ274" s="1715">
        <f>IF($A274&gt;=BegDate,VLOOKUP($A274,GasTable,13)+Assumptions!$C$58,0)</f>
        <v>4.236771349132554</v>
      </c>
      <c r="HK274" s="1715">
        <f>HJ274*Assumptions!$C$57/1000</f>
        <v>30.716592281211017</v>
      </c>
      <c r="HL274" s="625">
        <f>IF(Assumptions!$C$60="Hourly",MAX(0,HH274*(HI274-HK274)),HH274*(HI274-HK274))</f>
        <v>633170.86688425776</v>
      </c>
      <c r="HM274" s="640">
        <f>IF(AND(Assumptions!$H$71="Yes",A274&gt;=Assumptions!$H$72,A274&lt;=Assumptions!$H$73),Assumptions!$H$74*Assumptions!$C$9*1000,0)</f>
        <v>0</v>
      </c>
      <c r="HN274" s="530"/>
      <c r="HO274" s="545"/>
      <c r="HP274" s="545"/>
      <c r="HQ274" s="545"/>
      <c r="HR274" s="545"/>
      <c r="HS274" s="545"/>
      <c r="HT274" s="545"/>
      <c r="HU274" s="545"/>
      <c r="HV274" s="545"/>
      <c r="HW274" s="545"/>
      <c r="HX274" s="545"/>
      <c r="HY274" s="545"/>
      <c r="HZ274" s="545"/>
      <c r="IA274" s="545"/>
      <c r="IB274" s="545"/>
      <c r="IC274" s="545"/>
      <c r="ID274" s="545"/>
      <c r="IE274" s="545"/>
      <c r="IF274" s="545"/>
      <c r="IG274" s="545"/>
      <c r="IH274" s="545"/>
      <c r="II274" s="1464"/>
      <c r="IJ274" s="1463"/>
      <c r="IK274" s="1463"/>
    </row>
    <row r="275" spans="1:245">
      <c r="A275" s="177">
        <f t="shared" si="808"/>
        <v>44501</v>
      </c>
      <c r="B275" s="349">
        <f t="shared" si="809"/>
        <v>2021</v>
      </c>
      <c r="C275" s="15">
        <f t="shared" si="749"/>
        <v>11</v>
      </c>
      <c r="D275" s="612">
        <f t="shared" si="810"/>
        <v>44525</v>
      </c>
      <c r="E275" s="609">
        <f t="shared" si="750"/>
        <v>44501</v>
      </c>
      <c r="F275" s="614">
        <f t="shared" si="751"/>
        <v>44530</v>
      </c>
      <c r="G275" s="1349">
        <v>0</v>
      </c>
      <c r="H275" s="152">
        <f t="shared" ref="H275:H292" si="854">(1+G275/2)^(-2*(DATE(B276,C276,20)-DateToday)/365.25)</f>
        <v>1</v>
      </c>
      <c r="I275" s="154">
        <f>IF(Assumptions!$L$25=4,VLOOKUP($A275,'Henwood Reference'!$E$9:$R$320,10),(VLOOKUP($A275,PriceTable,2,0)+IF(BasisNumber&lt;&gt;1,VLOOKUP($A275,BasisTable,2,0),0)+I$1)/(1-I$2))</f>
        <v>63.608878854170399</v>
      </c>
      <c r="J275" s="154">
        <f>IF(Assumptions!$L$25=4,VLOOKUP($A275,'Henwood Reference'!$E$9:$R$320,10),(VLOOKUP($A275,PriceTable,3,0)+IF(BasisNumber&lt;&gt;1,VLOOKUP($A275,BasisTable,2,0),0)+J$1)/(1-J$2))</f>
        <v>63.608878854170399</v>
      </c>
      <c r="K275" s="154">
        <f>IF(Assumptions!$L$25=4,VLOOKUP($A275,'Henwood Reference'!$E$9:$R$320,10),(VLOOKUP($A275,PriceTable,4,0)+IF(BasisNumber&lt;&gt;1,VLOOKUP($A275,BasisTable,2,0),0)+K$1)/(1-K$2))</f>
        <v>63.608878854170399</v>
      </c>
      <c r="L275" s="474">
        <f>IF(Assumptions!$L$25=4,VLOOKUP($A275,'Henwood Reference'!$E$9:$R$320,10),(VLOOKUP($A275,PriceTableWeekend,2,0)+IF(BasisNumber&lt;&gt;1,VLOOKUP($A275,BasisTable,2,0),0)+L$1)/(1-L$2))</f>
        <v>63.608878854170399</v>
      </c>
      <c r="M275" s="154">
        <f>IF(Assumptions!$L$25=4,VLOOKUP($A275,'Henwood Reference'!$E$9:$R$320,10),(VLOOKUP($A275,PriceTableWeekend,3,0)+IF(BasisNumber&lt;&gt;1,VLOOKUP($A275,BasisTable,2,0),0)+M$1)/(1-M$2))</f>
        <v>63.608878854170399</v>
      </c>
      <c r="N275" s="156">
        <f>IF(Assumptions!$L$25=4,VLOOKUP($A275,'Henwood Reference'!$E$9:$R$320,10),(VLOOKUP($A275,PriceTableWeekend,4,0)+IF(BasisNumber&lt;&gt;1,VLOOKUP($A275,BasisTable,2,0),0)+N$1)/(1-N$2))</f>
        <v>63.608878854170399</v>
      </c>
      <c r="O275" s="154">
        <f>IF(Assumptions!$L$25=4,VLOOKUP($A275,'Henwood Reference'!$E$9:$R$320,11),(VLOOKUP($A275,PriceTableWeekend,6,0)+IF(BasisNumber&lt;&gt;1,VLOOKUP($A275,BasisTable,3,0),0)+O$1)/(1-O$2))</f>
        <v>37.181114215428686</v>
      </c>
      <c r="P275" s="154">
        <f>IF(Assumptions!$L$25=4,VLOOKUP($A275,'Henwood Reference'!$E$9:$R$320,11),(VLOOKUP($A275,PriceTableWeekend,7,0)+IF(BasisNumber&lt;&gt;1,VLOOKUP($A275,BasisTable,3,0),0)+P$1)/(1-P$2))</f>
        <v>37.181114215428686</v>
      </c>
      <c r="Q275" s="156">
        <f>IF(Assumptions!$L$25=4,VLOOKUP($A275,'Henwood Reference'!$E$9:$R$320,11),(VLOOKUP($A275,PriceTableWeekend,8,0)+IF(BasisNumber&lt;&gt;1,VLOOKUP($A275,BasisTable,3,0),0)+Q$1)/(1-Q$2))</f>
        <v>37.181114215428686</v>
      </c>
      <c r="R275" s="154">
        <f>IF(Assumptions!$L$25=4,VLOOKUP($A275,'Henwood Reference'!$E$9:$R$320,11),(VLOOKUP($A275,PriceTable,6,0)+IF(BasisNumber&lt;&gt;1,VLOOKUP($A275,BasisTable,3,0),0)+R$1)/(1-R$2))</f>
        <v>37.181114215428686</v>
      </c>
      <c r="S275" s="154">
        <f>IF(Assumptions!$L$25=4,VLOOKUP($A275,'Henwood Reference'!$E$9:$R$320,11),(VLOOKUP($A275,PriceTable,7,0)+IF(BasisNumber&lt;&gt;1,VLOOKUP($A275,BasisTable,3,0),0)+S$1)/(1-S$2))</f>
        <v>37.181114215428686</v>
      </c>
      <c r="T275" s="155">
        <f>IF(Assumptions!$L$25=4,VLOOKUP($A275,'Henwood Reference'!$E$9:$R$320,11),(VLOOKUP($A275,PriceTable,8,0)+IF(BasisNumber&lt;&gt;1,VLOOKUP($A275,BasisTable,3,0),0)+T$1)/(1-T$2))</f>
        <v>37.181114215428686</v>
      </c>
      <c r="U275" s="173">
        <f t="shared" si="811"/>
        <v>0.09</v>
      </c>
      <c r="V275" s="173">
        <f t="shared" si="812"/>
        <v>0.1</v>
      </c>
      <c r="W275" s="174">
        <f t="shared" si="813"/>
        <v>0.11</v>
      </c>
      <c r="X275" s="173">
        <f t="shared" si="814"/>
        <v>0.09</v>
      </c>
      <c r="Y275" s="173">
        <f t="shared" si="815"/>
        <v>0.1</v>
      </c>
      <c r="Z275" s="174">
        <f t="shared" si="816"/>
        <v>0.11</v>
      </c>
      <c r="AA275" s="173">
        <f t="shared" si="817"/>
        <v>0.09</v>
      </c>
      <c r="AB275" s="173">
        <f t="shared" si="818"/>
        <v>0.11</v>
      </c>
      <c r="AC275" s="174">
        <f t="shared" si="819"/>
        <v>0.13</v>
      </c>
      <c r="AD275" s="173">
        <f t="shared" si="820"/>
        <v>0.09</v>
      </c>
      <c r="AE275" s="173">
        <f t="shared" si="821"/>
        <v>0.11</v>
      </c>
      <c r="AF275" s="174">
        <f t="shared" si="822"/>
        <v>0.13</v>
      </c>
      <c r="AG275" s="173">
        <f t="shared" si="823"/>
        <v>-0.1</v>
      </c>
      <c r="AH275" s="173">
        <f t="shared" si="824"/>
        <v>0.6</v>
      </c>
      <c r="AI275" s="174">
        <f t="shared" si="825"/>
        <v>0.1</v>
      </c>
      <c r="AJ275" s="173">
        <f t="shared" si="826"/>
        <v>-0.1</v>
      </c>
      <c r="AK275" s="173">
        <f t="shared" si="827"/>
        <v>0.6</v>
      </c>
      <c r="AL275" s="174">
        <f t="shared" si="828"/>
        <v>0.1</v>
      </c>
      <c r="AM275" s="173">
        <f t="shared" si="829"/>
        <v>-0.01</v>
      </c>
      <c r="AN275" s="173">
        <f t="shared" si="830"/>
        <v>0.16</v>
      </c>
      <c r="AO275" s="174">
        <f t="shared" si="831"/>
        <v>0.01</v>
      </c>
      <c r="AP275" s="173">
        <f t="shared" si="832"/>
        <v>-0.01</v>
      </c>
      <c r="AQ275" s="173">
        <f t="shared" si="833"/>
        <v>0.16</v>
      </c>
      <c r="AR275" s="175">
        <f t="shared" si="834"/>
        <v>0.01</v>
      </c>
      <c r="AS275" s="521">
        <f t="shared" si="835"/>
        <v>0.5</v>
      </c>
      <c r="AT275" s="349">
        <f t="shared" si="752"/>
        <v>21</v>
      </c>
      <c r="AU275" s="159">
        <f t="shared" si="753"/>
        <v>4</v>
      </c>
      <c r="AV275" s="159">
        <f t="shared" si="754"/>
        <v>4</v>
      </c>
      <c r="AW275" s="159">
        <f t="shared" si="836"/>
        <v>1</v>
      </c>
      <c r="AX275" s="15">
        <f t="shared" si="755"/>
        <v>30</v>
      </c>
      <c r="AY275" s="607">
        <f>IF(E275="",0,MIN((1-(1-VLOOKUP(B275,MAIN!$AA$7:$AM$28,C275+1))*(1-VLOOKUP(B275,MAIN!$AA$33:$AM$54,C275+1))),1))</f>
        <v>3.0000000000000027E-2</v>
      </c>
      <c r="AZ275" s="337">
        <v>48888</v>
      </c>
      <c r="BA275" s="509">
        <v>9312</v>
      </c>
      <c r="BB275" s="509">
        <v>11640</v>
      </c>
      <c r="BC275" s="511">
        <v>34920</v>
      </c>
      <c r="BD275" s="153">
        <v>0.97</v>
      </c>
      <c r="BE275" s="474">
        <v>0.97</v>
      </c>
      <c r="BF275" s="474">
        <v>0.97</v>
      </c>
      <c r="BG275" s="515">
        <v>0.9699999927729368</v>
      </c>
      <c r="BH275" s="262">
        <v>195552</v>
      </c>
      <c r="BI275" s="509">
        <v>37248</v>
      </c>
      <c r="BJ275" s="509">
        <v>46560</v>
      </c>
      <c r="BK275" s="511">
        <v>139680</v>
      </c>
      <c r="BL275" s="153">
        <v>0.97</v>
      </c>
      <c r="BM275" s="474">
        <v>0.97</v>
      </c>
      <c r="BN275" s="474">
        <v>0.97</v>
      </c>
      <c r="BO275" s="474">
        <v>0.9699999927729368</v>
      </c>
      <c r="BP275" s="261">
        <f t="shared" si="837"/>
        <v>69840</v>
      </c>
      <c r="BQ275" s="578">
        <f t="shared" si="838"/>
        <v>104760</v>
      </c>
      <c r="BR275" s="259">
        <f t="shared" si="839"/>
        <v>279360</v>
      </c>
      <c r="BS275" s="578">
        <f t="shared" si="840"/>
        <v>419040</v>
      </c>
      <c r="BT275" s="216">
        <f t="shared" si="841"/>
        <v>21.54962354551677</v>
      </c>
      <c r="BU275" s="218">
        <f t="shared" si="756"/>
        <v>63.608878854170392</v>
      </c>
      <c r="BV275" s="216">
        <f t="shared" si="757"/>
        <v>63.608878854170392</v>
      </c>
      <c r="BW275" s="216">
        <f t="shared" si="758"/>
        <v>37.181114215428686</v>
      </c>
      <c r="BX275" s="216">
        <f t="shared" si="842"/>
        <v>37.181113938407798</v>
      </c>
      <c r="BY275" s="216">
        <f t="shared" si="759"/>
        <v>59.204251414380103</v>
      </c>
      <c r="BZ275" s="216">
        <f t="shared" si="760"/>
        <v>51.863205589056001</v>
      </c>
      <c r="CA275" s="264">
        <f t="shared" si="761"/>
        <v>63.608878854170392</v>
      </c>
      <c r="CB275" s="216">
        <f t="shared" si="762"/>
        <v>63.608878854170392</v>
      </c>
      <c r="CC275" s="216">
        <f t="shared" si="763"/>
        <v>37.181114215428686</v>
      </c>
      <c r="CD275" s="216">
        <f t="shared" si="843"/>
        <v>37.181113938407798</v>
      </c>
      <c r="CE275" s="216">
        <f t="shared" si="764"/>
        <v>59.204251414380103</v>
      </c>
      <c r="CF275" s="571">
        <f t="shared" si="765"/>
        <v>51.863205589056001</v>
      </c>
      <c r="CG275" s="573">
        <f t="shared" si="766"/>
        <v>0.1</v>
      </c>
      <c r="CH275" s="219">
        <f t="shared" si="767"/>
        <v>0.1</v>
      </c>
      <c r="CI275" s="219">
        <f t="shared" si="768"/>
        <v>0.11</v>
      </c>
      <c r="CJ275" s="219">
        <f t="shared" si="769"/>
        <v>0.10105695872517829</v>
      </c>
      <c r="CK275" s="219">
        <f t="shared" si="770"/>
        <v>0.10105695872517829</v>
      </c>
      <c r="CL275" s="219">
        <f t="shared" si="771"/>
        <v>0.11</v>
      </c>
      <c r="CM275" s="219">
        <f t="shared" si="772"/>
        <v>9.3203693407016161E-2</v>
      </c>
      <c r="CN275" s="569">
        <f t="shared" si="773"/>
        <v>9.3203693407016161E-2</v>
      </c>
      <c r="CO275" s="264">
        <f t="shared" si="685"/>
        <v>31.094794021315405</v>
      </c>
      <c r="CP275" s="216">
        <f t="shared" si="844"/>
        <v>31.094794021315405</v>
      </c>
      <c r="CQ275" s="216">
        <f t="shared" ca="1" si="703"/>
        <v>31.094794021315405</v>
      </c>
      <c r="CR275" s="216">
        <f t="shared" ca="1" si="704"/>
        <v>31.094794021315405</v>
      </c>
      <c r="CS275" s="1626">
        <f t="shared" ca="1" si="705"/>
        <v>31.094794021315405</v>
      </c>
      <c r="CT275" s="216">
        <f t="shared" si="845"/>
        <v>31.094794021315405</v>
      </c>
      <c r="CU275" s="575">
        <f t="shared" si="774"/>
        <v>0.15</v>
      </c>
      <c r="CV275" s="154">
        <f t="shared" si="775"/>
        <v>0.5</v>
      </c>
      <c r="CW275" s="216">
        <f>IF(OR($BQ275,$BS275),SpreadOptPowerMargin,0)*((1+Assumptions!$C$26)^($B275-YEAR(Assumptions!$C$17)))</f>
        <v>2.5708432456372909</v>
      </c>
      <c r="CX275" s="216">
        <f>IF(OR($BQ275,$BS275),SpreadOptPowerMargin,0)*((1+Assumptions!$C$26)^($B275-YEAR(Assumptions!$C$17)))</f>
        <v>2.5708432456372909</v>
      </c>
      <c r="CY275" s="216">
        <f>IF(OR($BQ275,$BS275),SpreadOptPowerMargin,0)*((1+Assumptions!$C$26)^($B275-YEAR(Assumptions!$C$17)))</f>
        <v>2.5708432456372909</v>
      </c>
      <c r="CZ275" s="216">
        <f>IF(OR($BQ275,$BS275),SpreadOptPowerMargin,0)*((1+Assumptions!$C$26)^($B275-YEAR(Assumptions!$C$17)))</f>
        <v>2.5708432456372909</v>
      </c>
      <c r="DA275" s="440">
        <f t="shared" si="776"/>
        <v>2.5708432456372905</v>
      </c>
      <c r="DB275" s="479">
        <f t="shared" si="777"/>
        <v>0.1</v>
      </c>
      <c r="DC275" s="479">
        <f t="shared" si="778"/>
        <v>0.1</v>
      </c>
      <c r="DD275" s="479">
        <f t="shared" si="779"/>
        <v>0.11</v>
      </c>
      <c r="DE275" s="479">
        <f t="shared" si="780"/>
        <v>0.11</v>
      </c>
      <c r="DF275" s="479">
        <f t="shared" si="781"/>
        <v>9.3203693407016161E-2</v>
      </c>
      <c r="DG275" s="574">
        <f t="shared" si="782"/>
        <v>9.3203693407016161E-2</v>
      </c>
      <c r="DH275" s="216">
        <f t="shared" si="783"/>
        <v>31.769272577909192</v>
      </c>
      <c r="DI275" s="216">
        <f t="shared" si="784"/>
        <v>31.769272577909192</v>
      </c>
      <c r="DJ275" s="216">
        <f t="shared" ca="1" si="706"/>
        <v>10.068115125386283</v>
      </c>
      <c r="DK275" s="216">
        <f t="shared" ca="1" si="707"/>
        <v>10.068114936254274</v>
      </c>
      <c r="DL275" s="216">
        <f t="shared" ca="1" si="708"/>
        <v>21.249368607695043</v>
      </c>
      <c r="DM275" s="216"/>
      <c r="DN275" s="216"/>
      <c r="DO275" s="216"/>
      <c r="DP275" s="216"/>
      <c r="DQ275" s="216"/>
      <c r="DR275" s="216"/>
      <c r="DS275" s="216"/>
      <c r="DT275" s="216"/>
      <c r="DU275" s="216"/>
      <c r="DV275" s="216"/>
      <c r="DW275" s="1371">
        <f t="shared" si="785"/>
        <v>10.068115125386283</v>
      </c>
      <c r="DX275" s="216">
        <f t="shared" si="786"/>
        <v>10.068114936254274</v>
      </c>
      <c r="DY275" s="440">
        <f t="shared" si="787"/>
        <v>22.12431364707723</v>
      </c>
      <c r="DZ275" s="180">
        <f t="shared" si="788"/>
        <v>1553136.1977888246</v>
      </c>
      <c r="EA275" s="180">
        <f t="shared" si="789"/>
        <v>295835.46624549042</v>
      </c>
      <c r="EB275" s="180">
        <f t="shared" ca="1" si="709"/>
        <v>117192.86005949634</v>
      </c>
      <c r="EC275" s="180">
        <f t="shared" ca="1" si="710"/>
        <v>351578.57357399922</v>
      </c>
      <c r="ED275" s="180">
        <f t="shared" ca="1" si="711"/>
        <v>2226083.8553421325</v>
      </c>
      <c r="EE275" s="581">
        <f t="shared" si="790"/>
        <v>1463865.1947158989</v>
      </c>
      <c r="EF275" s="554">
        <f t="shared" si="791"/>
        <v>278831.46566017123</v>
      </c>
      <c r="EG275" s="554">
        <f t="shared" ca="1" si="712"/>
        <v>40920.151680260555</v>
      </c>
      <c r="EH275" s="554">
        <f t="shared" ca="1" si="713"/>
        <v>122760.44536721225</v>
      </c>
      <c r="EI275" s="561">
        <f t="shared" ca="1" si="792"/>
        <v>1906377.2574235424</v>
      </c>
      <c r="EJ275" s="581">
        <f t="shared" si="846"/>
        <v>89271.00307292561</v>
      </c>
      <c r="EK275" s="554">
        <f t="shared" si="847"/>
        <v>17004.000585319183</v>
      </c>
      <c r="EL275" s="554">
        <f t="shared" ca="1" si="714"/>
        <v>76272.708379235788</v>
      </c>
      <c r="EM275" s="554">
        <f t="shared" ca="1" si="715"/>
        <v>228818.12820678699</v>
      </c>
      <c r="EN275" s="561">
        <f t="shared" ca="1" si="716"/>
        <v>319706.59791859007</v>
      </c>
      <c r="EO275" s="180">
        <f t="shared" si="793"/>
        <v>6212544.7911552982</v>
      </c>
      <c r="EP275" s="180">
        <f t="shared" si="794"/>
        <v>1183341.8649819617</v>
      </c>
      <c r="EQ275" s="180">
        <f t="shared" si="795"/>
        <v>468771.44023798534</v>
      </c>
      <c r="ER275" s="180">
        <f t="shared" si="796"/>
        <v>1406314.2942959969</v>
      </c>
      <c r="ES275" s="180">
        <f t="shared" si="797"/>
        <v>9270972.390671242</v>
      </c>
      <c r="ET275" s="1482">
        <f t="shared" ca="1" si="717"/>
        <v>5855460.7788635958</v>
      </c>
      <c r="EU275" s="180">
        <f t="shared" ca="1" si="718"/>
        <v>1115325.8626406849</v>
      </c>
      <c r="EV275" s="180">
        <f t="shared" ca="1" si="719"/>
        <v>163680.60672104222</v>
      </c>
      <c r="EW275" s="180">
        <f t="shared" ca="1" si="720"/>
        <v>491041.78146884899</v>
      </c>
      <c r="EX275" s="555">
        <f t="shared" ca="1" si="693"/>
        <v>7625509.0296941716</v>
      </c>
      <c r="EY275" s="180">
        <f t="shared" ca="1" si="721"/>
        <v>357084.01229170244</v>
      </c>
      <c r="EZ275" s="180">
        <f t="shared" ca="1" si="722"/>
        <v>68016.002341276733</v>
      </c>
      <c r="FA275" s="180">
        <f t="shared" ca="1" si="723"/>
        <v>305090.83351694315</v>
      </c>
      <c r="FB275" s="180">
        <f t="shared" ca="1" si="724"/>
        <v>915272.51282714796</v>
      </c>
      <c r="FC275" s="180">
        <f t="shared" ca="1" si="725"/>
        <v>1645463.3609770704</v>
      </c>
      <c r="FD275" s="262">
        <f>IF(AX275,IF(VLOOKUP(C275,MAIN!$L$17:$M$28,2)="Yes",VLOOKUP(CALC!B275,MAIN!$H$17:$I$20,2),0),0)</f>
        <v>0</v>
      </c>
      <c r="FE275" s="623">
        <f t="shared" si="798"/>
        <v>0</v>
      </c>
      <c r="FF275" s="535">
        <f t="shared" si="799"/>
        <v>0</v>
      </c>
      <c r="FG275" s="535">
        <f t="shared" si="800"/>
        <v>0</v>
      </c>
      <c r="FH275" s="624">
        <f t="shared" si="801"/>
        <v>0</v>
      </c>
      <c r="FI275" s="632">
        <f>IF(AX275,VLOOKUP(CALC!B275,MAIN!$H$17:$K$20,4),0)</f>
        <v>0</v>
      </c>
      <c r="FJ275" s="535">
        <f t="shared" si="802"/>
        <v>0</v>
      </c>
      <c r="FK275" s="648">
        <f t="shared" si="848"/>
        <v>0</v>
      </c>
      <c r="FL275" s="530">
        <f t="shared" ca="1" si="726"/>
        <v>0</v>
      </c>
      <c r="FM275" s="530">
        <f t="shared" ca="1" si="727"/>
        <v>0</v>
      </c>
      <c r="FN275" s="530">
        <f t="shared" ca="1" si="728"/>
        <v>0</v>
      </c>
      <c r="FO275" s="622">
        <f t="shared" ca="1" si="729"/>
        <v>0</v>
      </c>
      <c r="FP275" s="530">
        <f t="shared" ca="1" si="730"/>
        <v>0</v>
      </c>
      <c r="FQ275" s="530">
        <f t="shared" ca="1" si="731"/>
        <v>0</v>
      </c>
      <c r="FR275" s="530">
        <f t="shared" ca="1" si="732"/>
        <v>0</v>
      </c>
      <c r="FS275" s="625">
        <f t="shared" ca="1" si="733"/>
        <v>0</v>
      </c>
      <c r="FT275" s="640">
        <f ca="1">IF(AND(Assumptions!$H$71="Yes",A275&gt;=Assumptions!$H$72,A275&lt;=Assumptions!$H$73),0,IF(AND($A275&gt;=Assumptions!$C$17,$A275&lt;=Assumptions!$C$18),MAX(AZ275*(1+VLOOKUP($C275,WeatherCapacityAdjustment,2))-FL275,0),0))</f>
        <v>48888</v>
      </c>
      <c r="FU275" s="530">
        <f ca="1">IF(AND(Assumptions!$H$71="Yes",A275&gt;=Assumptions!$H$72,A275&lt;=Assumptions!$H$73),0,IF(AND($A275&gt;=Assumptions!$C$17,$A275&lt;=Assumptions!$C$18),MAX(BA275*(1+VLOOKUP($C275,WeatherCapacityAdjustment,2))-FM275,0),0))</f>
        <v>9312</v>
      </c>
      <c r="FV275" s="530">
        <f ca="1">IF(AND(Assumptions!$H$71="Yes",A275&gt;=Assumptions!$H$72,A275&lt;=Assumptions!$H$73),0,IF(AND($A275&gt;=Assumptions!$C$17,$A275&lt;=Assumptions!$C$18),MAX(BB275*(1+VLOOKUP($C275,WeatherCapacityAdjustment,2))-FN275,0),0))</f>
        <v>11640</v>
      </c>
      <c r="FW275" s="622">
        <f ca="1">IF(AND(Assumptions!$H$71="Yes",A275&gt;=Assumptions!$H$72,A275&lt;=Assumptions!$H$73),0,IF(AND($A275&gt;=Assumptions!$C$17,$A275&lt;=Assumptions!$C$18),MAX(BC275*(1+VLOOKUP($C275,WeatherCapacityAdjustment,3))-FO275,0),0))</f>
        <v>34920</v>
      </c>
      <c r="FX275" s="621">
        <f ca="1">IF(AND(Assumptions!$H$71="Yes",A275&gt;=Assumptions!$H$72,A275&lt;=Assumptions!$H$73),0,IF(ET275&gt;0,MAX(BH275*(1+VLOOKUP($C275,WeatherCapacityAdjustment,2))-FP275,0),0))</f>
        <v>195552</v>
      </c>
      <c r="FY275" s="530">
        <f ca="1">IF(AND(Assumptions!$H$71="Yes",A275&gt;=Assumptions!$H$72,A275&lt;=Assumptions!$H$73),0,IF(EU275&gt;0,MAX(BI275*(1+VLOOKUP($C275,WeatherCapacityAdjustment,3))-FQ275,0),0))</f>
        <v>37248</v>
      </c>
      <c r="FZ275" s="530">
        <f ca="1">IF(AND(Assumptions!$H$71="Yes",A275&gt;=Assumptions!$H$72,A275&lt;=Assumptions!$H$73),0,IF(EV275&gt;0,MAX(BJ275*(1+VLOOKUP($C275,WeatherCapacityAdjustment,2))-FR275,0),0))</f>
        <v>46560</v>
      </c>
      <c r="GA275" s="622">
        <f ca="1">IF(AND(Assumptions!$H$71="Yes",A275&gt;=Assumptions!$H$72,A275&lt;=Assumptions!$H$73),0,IF(EW275&gt;0,MAX(BK275*(1+VLOOKUP($C275,WeatherCapacityAdjustment,2))-FS275,0),0))</f>
        <v>139680</v>
      </c>
      <c r="GB275" s="530">
        <f t="shared" ca="1" si="803"/>
        <v>523800</v>
      </c>
      <c r="GC275" s="545">
        <f t="shared" ca="1" si="804"/>
        <v>51.863205589056001</v>
      </c>
      <c r="GD275" s="530">
        <f t="shared" ca="1" si="734"/>
        <v>27165947.087547533</v>
      </c>
      <c r="GE275" s="1485">
        <f t="shared" ca="1" si="735"/>
        <v>739142.56080000009</v>
      </c>
      <c r="GF275" s="1776">
        <f t="shared" ca="1" si="736"/>
        <v>2956570.2432000004</v>
      </c>
      <c r="GG275" s="545">
        <f t="shared" si="701"/>
        <v>4.4071208917361009</v>
      </c>
      <c r="GH275" s="622">
        <f t="shared" ca="1" si="702"/>
        <v>16287453.108365009</v>
      </c>
      <c r="GI275" s="621">
        <f t="shared" ca="1" si="849"/>
        <v>523800</v>
      </c>
      <c r="GJ275" s="638">
        <f t="shared" si="805"/>
        <v>2.5708432456372905</v>
      </c>
      <c r="GK275" s="625">
        <f t="shared" ref="GK275:GK300" ca="1" si="855">+GI275*GJ275</f>
        <v>1346607.6920648129</v>
      </c>
      <c r="GL275" s="640">
        <f t="shared" ca="1" si="737"/>
        <v>0</v>
      </c>
      <c r="GM275" s="530">
        <f t="shared" ca="1" si="738"/>
        <v>0</v>
      </c>
      <c r="GN275" s="530">
        <f t="shared" ca="1" si="739"/>
        <v>0</v>
      </c>
      <c r="GO275" s="622">
        <f t="shared" ca="1" si="740"/>
        <v>0</v>
      </c>
      <c r="GP275" s="530">
        <f t="shared" ca="1" si="806"/>
        <v>0</v>
      </c>
      <c r="GQ275" s="545">
        <f t="shared" ca="1" si="807"/>
        <v>0</v>
      </c>
      <c r="GR275" s="625">
        <f t="shared" ca="1" si="741"/>
        <v>0</v>
      </c>
      <c r="GS275" s="640">
        <f>IF($A275&gt;=BegDate,Assumptions!$C$56*24*($A276-$A275)*(1-VLOOKUP($B275,MAIN!$AA$7:$AM$28,$C275+1))*(1-VLOOKUP($B275,MAIN!$AA$33:$AM$54,$C275+1)),0)*80/168</f>
        <v>249428.57142857142</v>
      </c>
      <c r="GT275" s="1715">
        <f t="shared" si="850"/>
        <v>63.608878854170399</v>
      </c>
      <c r="GU275" s="1715">
        <f>IF($A275&gt;=BegDate,VLOOKUP($A275,GasTable,13)+Assumptions!$C$58,0)</f>
        <v>4.4071208917361009</v>
      </c>
      <c r="GV275" s="1715">
        <f>GU275*Assumptions!$C$57/1000</f>
        <v>31.951626465086729</v>
      </c>
      <c r="GW275" s="625">
        <f>IF(Assumptions!$C$60="Hourly",MAX(0,GS275*(GT275-GV275)),GS275*(GT275-GV275))</f>
        <v>7896223.2387628695</v>
      </c>
      <c r="GX275" s="640">
        <f>IF($A275&gt;=BegDate,Assumptions!$C$56*24*($A276-$A275)*(1-VLOOKUP($B275,MAIN!$AA$7:$AM$28,$C275+1))*(1-VLOOKUP($B275,MAIN!$AA$33:$AM$54,$C275+1)),0)*16/168</f>
        <v>49885.714285714283</v>
      </c>
      <c r="GY275" s="1715">
        <f t="shared" si="851"/>
        <v>63.608878854170399</v>
      </c>
      <c r="GZ275" s="1715">
        <f>IF($A275&gt;=BegDate,VLOOKUP($A275,GasTable,13)+Assumptions!$C$58,0)</f>
        <v>4.4071208917361009</v>
      </c>
      <c r="HA275" s="1715">
        <f>GZ275*Assumptions!$C$57/1000</f>
        <v>31.951626465086729</v>
      </c>
      <c r="HB275" s="625">
        <f>IF(Assumptions!$C$60="Hourly",MAX(0,GX275*(GY275-HA275)),GX275*(GY275-HA275))</f>
        <v>1579244.6477525739</v>
      </c>
      <c r="HC275" s="640">
        <f>IF($A275&gt;=BegDate,Assumptions!$C$56*24*($A276-$A275)*(1-VLOOKUP($B275,MAIN!$AA$7:$AM$28,$C275+1))*(1-VLOOKUP($B275,MAIN!$AA$33:$AM$54,$C275+1)),0)*16/168</f>
        <v>49885.714285714283</v>
      </c>
      <c r="HD275" s="1715">
        <f t="shared" si="852"/>
        <v>37.181114215428686</v>
      </c>
      <c r="HE275" s="1715">
        <f>IF($A275&gt;=BegDate,VLOOKUP($A275,GasTable,13)+Assumptions!$C$58,0)</f>
        <v>4.4071208917361009</v>
      </c>
      <c r="HF275" s="1715">
        <f>HE275*Assumptions!$C$57/1000</f>
        <v>31.951626465086729</v>
      </c>
      <c r="HG275" s="625">
        <f>IF(Assumptions!$C$60="Hourly",MAX(0,HC275*(HD275-HF275)),HC275*(HD275-HF275))</f>
        <v>260876.73177420159</v>
      </c>
      <c r="HH275" s="640">
        <f>IF($A275&gt;=BegDate,Assumptions!$C$56*24*($A276-$A275)*(1-VLOOKUP($B275,MAIN!$AA$7:$AM$28,$C275+1))*(1-VLOOKUP($B275,MAIN!$AA$33:$AM$54,$C275+1)),0)*56/168</f>
        <v>174600</v>
      </c>
      <c r="HI275" s="1715">
        <f t="shared" si="853"/>
        <v>37.181114215428686</v>
      </c>
      <c r="HJ275" s="1715">
        <f>IF($A275&gt;=BegDate,VLOOKUP($A275,GasTable,13)+Assumptions!$C$58,0)</f>
        <v>4.4071208917361009</v>
      </c>
      <c r="HK275" s="1715">
        <f>HJ275*Assumptions!$C$57/1000</f>
        <v>31.951626465086729</v>
      </c>
      <c r="HL275" s="625">
        <f>IF(Assumptions!$C$60="Hourly",MAX(0,HH275*(HI275-HK275)),HH275*(HI275-HK275))</f>
        <v>913068.56120970554</v>
      </c>
      <c r="HM275" s="640">
        <f>IF(AND(Assumptions!$H$71="Yes",A275&gt;=Assumptions!$H$72,A275&lt;=Assumptions!$H$73),Assumptions!$H$74*Assumptions!$C$9*1000,0)</f>
        <v>0</v>
      </c>
      <c r="HN275" s="530"/>
      <c r="HO275" s="545"/>
      <c r="HP275" s="545"/>
      <c r="HQ275" s="545"/>
      <c r="HR275" s="545"/>
      <c r="HS275" s="545"/>
      <c r="HT275" s="545"/>
      <c r="HU275" s="545"/>
      <c r="HV275" s="545"/>
      <c r="HW275" s="545"/>
      <c r="HX275" s="545"/>
      <c r="HY275" s="545"/>
      <c r="HZ275" s="545"/>
      <c r="IA275" s="545"/>
      <c r="IB275" s="545"/>
      <c r="IC275" s="545"/>
      <c r="ID275" s="545"/>
      <c r="IE275" s="545"/>
      <c r="IF275" s="545"/>
      <c r="IG275" s="545"/>
      <c r="IH275" s="545"/>
      <c r="II275" s="1464"/>
      <c r="IJ275" s="1463"/>
      <c r="IK275" s="1463"/>
    </row>
    <row r="276" spans="1:245">
      <c r="A276" s="177">
        <f t="shared" si="808"/>
        <v>44531</v>
      </c>
      <c r="B276" s="349">
        <f t="shared" si="809"/>
        <v>2021</v>
      </c>
      <c r="C276" s="15">
        <f t="shared" si="749"/>
        <v>12</v>
      </c>
      <c r="D276" s="612">
        <f t="shared" si="810"/>
        <v>44555</v>
      </c>
      <c r="E276" s="609">
        <f t="shared" si="750"/>
        <v>44531</v>
      </c>
      <c r="F276" s="614">
        <f t="shared" si="751"/>
        <v>44561</v>
      </c>
      <c r="G276" s="1349">
        <v>0</v>
      </c>
      <c r="H276" s="152">
        <f t="shared" si="854"/>
        <v>1</v>
      </c>
      <c r="I276" s="154">
        <f>IF(Assumptions!$L$25=4,VLOOKUP($A276,'Henwood Reference'!$E$9:$R$320,10),(VLOOKUP($A276,PriceTable,2,0)+IF(BasisNumber&lt;&gt;1,VLOOKUP($A276,BasisTable,2,0),0)+I$1)/(1-I$2))</f>
        <v>60.578455566180907</v>
      </c>
      <c r="J276" s="154">
        <f>IF(Assumptions!$L$25=4,VLOOKUP($A276,'Henwood Reference'!$E$9:$R$320,10),(VLOOKUP($A276,PriceTable,3,0)+IF(BasisNumber&lt;&gt;1,VLOOKUP($A276,BasisTable,2,0),0)+J$1)/(1-J$2))</f>
        <v>60.578455566180907</v>
      </c>
      <c r="K276" s="154">
        <f>IF(Assumptions!$L$25=4,VLOOKUP($A276,'Henwood Reference'!$E$9:$R$320,10),(VLOOKUP($A276,PriceTable,4,0)+IF(BasisNumber&lt;&gt;1,VLOOKUP($A276,BasisTable,2,0),0)+K$1)/(1-K$2))</f>
        <v>60.578455566180907</v>
      </c>
      <c r="L276" s="474">
        <f>IF(Assumptions!$L$25=4,VLOOKUP($A276,'Henwood Reference'!$E$9:$R$320,10),(VLOOKUP($A276,PriceTableWeekend,2,0)+IF(BasisNumber&lt;&gt;1,VLOOKUP($A276,BasisTable,2,0),0)+L$1)/(1-L$2))</f>
        <v>60.578455566180907</v>
      </c>
      <c r="M276" s="154">
        <f>IF(Assumptions!$L$25=4,VLOOKUP($A276,'Henwood Reference'!$E$9:$R$320,10),(VLOOKUP($A276,PriceTableWeekend,3,0)+IF(BasisNumber&lt;&gt;1,VLOOKUP($A276,BasisTable,2,0),0)+M$1)/(1-M$2))</f>
        <v>60.578455566180907</v>
      </c>
      <c r="N276" s="156">
        <f>IF(Assumptions!$L$25=4,VLOOKUP($A276,'Henwood Reference'!$E$9:$R$320,10),(VLOOKUP($A276,PriceTableWeekend,4,0)+IF(BasisNumber&lt;&gt;1,VLOOKUP($A276,BasisTable,2,0),0)+N$1)/(1-N$2))</f>
        <v>60.578455566180907</v>
      </c>
      <c r="O276" s="154">
        <f>IF(Assumptions!$L$25=4,VLOOKUP($A276,'Henwood Reference'!$E$9:$R$320,11),(VLOOKUP($A276,PriceTableWeekend,6,0)+IF(BasisNumber&lt;&gt;1,VLOOKUP($A276,BasisTable,3,0),0)+O$1)/(1-O$2))</f>
        <v>37.965016848492695</v>
      </c>
      <c r="P276" s="154">
        <f>IF(Assumptions!$L$25=4,VLOOKUP($A276,'Henwood Reference'!$E$9:$R$320,11),(VLOOKUP($A276,PriceTableWeekend,7,0)+IF(BasisNumber&lt;&gt;1,VLOOKUP($A276,BasisTable,3,0),0)+P$1)/(1-P$2))</f>
        <v>37.965016848492695</v>
      </c>
      <c r="Q276" s="156">
        <f>IF(Assumptions!$L$25=4,VLOOKUP($A276,'Henwood Reference'!$E$9:$R$320,11),(VLOOKUP($A276,PriceTableWeekend,8,0)+IF(BasisNumber&lt;&gt;1,VLOOKUP($A276,BasisTable,3,0),0)+Q$1)/(1-Q$2))</f>
        <v>37.965016848492695</v>
      </c>
      <c r="R276" s="154">
        <f>IF(Assumptions!$L$25=4,VLOOKUP($A276,'Henwood Reference'!$E$9:$R$320,11),(VLOOKUP($A276,PriceTable,6,0)+IF(BasisNumber&lt;&gt;1,VLOOKUP($A276,BasisTable,3,0),0)+R$1)/(1-R$2))</f>
        <v>37.965016848492695</v>
      </c>
      <c r="S276" s="154">
        <f>IF(Assumptions!$L$25=4,VLOOKUP($A276,'Henwood Reference'!$E$9:$R$320,11),(VLOOKUP($A276,PriceTable,7,0)+IF(BasisNumber&lt;&gt;1,VLOOKUP($A276,BasisTable,3,0),0)+S$1)/(1-S$2))</f>
        <v>37.965016848492695</v>
      </c>
      <c r="T276" s="155">
        <f>IF(Assumptions!$L$25=4,VLOOKUP($A276,'Henwood Reference'!$E$9:$R$320,11),(VLOOKUP($A276,PriceTable,8,0)+IF(BasisNumber&lt;&gt;1,VLOOKUP($A276,BasisTable,3,0),0)+T$1)/(1-T$2))</f>
        <v>37.965016848492695</v>
      </c>
      <c r="U276" s="173">
        <f t="shared" si="811"/>
        <v>0.09</v>
      </c>
      <c r="V276" s="173">
        <f t="shared" si="812"/>
        <v>0.1</v>
      </c>
      <c r="W276" s="174">
        <f t="shared" si="813"/>
        <v>0.11</v>
      </c>
      <c r="X276" s="173">
        <f t="shared" si="814"/>
        <v>0.09</v>
      </c>
      <c r="Y276" s="173">
        <f t="shared" si="815"/>
        <v>0.1</v>
      </c>
      <c r="Z276" s="174">
        <f t="shared" si="816"/>
        <v>0.11</v>
      </c>
      <c r="AA276" s="173">
        <f t="shared" si="817"/>
        <v>0.09</v>
      </c>
      <c r="AB276" s="173">
        <f t="shared" si="818"/>
        <v>0.11</v>
      </c>
      <c r="AC276" s="174">
        <f t="shared" si="819"/>
        <v>0.13</v>
      </c>
      <c r="AD276" s="173">
        <f t="shared" si="820"/>
        <v>0.09</v>
      </c>
      <c r="AE276" s="173">
        <f t="shared" si="821"/>
        <v>0.11</v>
      </c>
      <c r="AF276" s="174">
        <f t="shared" si="822"/>
        <v>0.13</v>
      </c>
      <c r="AG276" s="173">
        <f t="shared" si="823"/>
        <v>-0.25</v>
      </c>
      <c r="AH276" s="173">
        <f t="shared" si="824"/>
        <v>0.6</v>
      </c>
      <c r="AI276" s="174">
        <f t="shared" si="825"/>
        <v>0.25</v>
      </c>
      <c r="AJ276" s="173">
        <f t="shared" si="826"/>
        <v>-0.25</v>
      </c>
      <c r="AK276" s="173">
        <f t="shared" si="827"/>
        <v>0.6</v>
      </c>
      <c r="AL276" s="174">
        <f t="shared" si="828"/>
        <v>0.25</v>
      </c>
      <c r="AM276" s="173">
        <f t="shared" si="829"/>
        <v>-0.01</v>
      </c>
      <c r="AN276" s="173">
        <f t="shared" si="830"/>
        <v>0.16</v>
      </c>
      <c r="AO276" s="174">
        <f t="shared" si="831"/>
        <v>0.01</v>
      </c>
      <c r="AP276" s="173">
        <f t="shared" si="832"/>
        <v>-0.01</v>
      </c>
      <c r="AQ276" s="173">
        <f t="shared" si="833"/>
        <v>0.16</v>
      </c>
      <c r="AR276" s="175">
        <f t="shared" si="834"/>
        <v>0.01</v>
      </c>
      <c r="AS276" s="521">
        <f t="shared" si="835"/>
        <v>0.5</v>
      </c>
      <c r="AT276" s="349">
        <f t="shared" si="752"/>
        <v>23</v>
      </c>
      <c r="AU276" s="159">
        <f t="shared" si="753"/>
        <v>3</v>
      </c>
      <c r="AV276" s="159">
        <f t="shared" si="754"/>
        <v>4</v>
      </c>
      <c r="AW276" s="159">
        <f t="shared" si="836"/>
        <v>1</v>
      </c>
      <c r="AX276" s="15">
        <f t="shared" si="755"/>
        <v>31</v>
      </c>
      <c r="AY276" s="607">
        <f>IF(E276="",0,MIN((1-(1-VLOOKUP(B276,MAIN!$AA$7:$AM$28,C276+1))*(1-VLOOKUP(B276,MAIN!$AA$33:$AM$54,C276+1))),1))</f>
        <v>3.0000000000000027E-2</v>
      </c>
      <c r="AZ276" s="337">
        <v>53544</v>
      </c>
      <c r="BA276" s="509">
        <v>6984</v>
      </c>
      <c r="BB276" s="509">
        <v>11640</v>
      </c>
      <c r="BC276" s="511">
        <v>36084</v>
      </c>
      <c r="BD276" s="153">
        <v>0.97</v>
      </c>
      <c r="BE276" s="474">
        <v>0.97</v>
      </c>
      <c r="BF276" s="474">
        <v>0.97</v>
      </c>
      <c r="BG276" s="515">
        <v>0.97</v>
      </c>
      <c r="BH276" s="262">
        <v>214176</v>
      </c>
      <c r="BI276" s="509">
        <v>27936</v>
      </c>
      <c r="BJ276" s="509">
        <v>46560</v>
      </c>
      <c r="BK276" s="511">
        <v>144336</v>
      </c>
      <c r="BL276" s="153">
        <v>0.97</v>
      </c>
      <c r="BM276" s="474">
        <v>0.97</v>
      </c>
      <c r="BN276" s="474">
        <v>0.97</v>
      </c>
      <c r="BO276" s="474">
        <v>0.97</v>
      </c>
      <c r="BP276" s="261">
        <f t="shared" si="837"/>
        <v>72168</v>
      </c>
      <c r="BQ276" s="578">
        <f t="shared" si="838"/>
        <v>108252</v>
      </c>
      <c r="BR276" s="259">
        <f t="shared" si="839"/>
        <v>288672</v>
      </c>
      <c r="BS276" s="578">
        <f t="shared" si="840"/>
        <v>433008</v>
      </c>
      <c r="BT276" s="216">
        <f t="shared" si="841"/>
        <v>21.631759069130734</v>
      </c>
      <c r="BU276" s="218">
        <f t="shared" si="756"/>
        <v>60.578455566180907</v>
      </c>
      <c r="BV276" s="216">
        <f t="shared" si="757"/>
        <v>60.578455566180907</v>
      </c>
      <c r="BW276" s="216">
        <f t="shared" si="758"/>
        <v>37.965016848492695</v>
      </c>
      <c r="BX276" s="216">
        <f t="shared" si="842"/>
        <v>37.965016848492695</v>
      </c>
      <c r="BY276" s="216">
        <f t="shared" si="759"/>
        <v>56.931126740747324</v>
      </c>
      <c r="BZ276" s="216">
        <f t="shared" si="760"/>
        <v>50.609090109995783</v>
      </c>
      <c r="CA276" s="264">
        <f t="shared" si="761"/>
        <v>60.578455566180907</v>
      </c>
      <c r="CB276" s="216">
        <f t="shared" si="762"/>
        <v>60.578455566180907</v>
      </c>
      <c r="CC276" s="216">
        <f t="shared" si="763"/>
        <v>37.965016848492695</v>
      </c>
      <c r="CD276" s="216">
        <f t="shared" si="843"/>
        <v>37.965016848492695</v>
      </c>
      <c r="CE276" s="216">
        <f t="shared" si="764"/>
        <v>56.931126740747324</v>
      </c>
      <c r="CF276" s="571">
        <f t="shared" si="765"/>
        <v>50.609090109995783</v>
      </c>
      <c r="CG276" s="573">
        <f t="shared" si="766"/>
        <v>0.1</v>
      </c>
      <c r="CH276" s="219">
        <f t="shared" si="767"/>
        <v>0.1</v>
      </c>
      <c r="CI276" s="219">
        <f t="shared" si="768"/>
        <v>0.11</v>
      </c>
      <c r="CJ276" s="219">
        <f t="shared" si="769"/>
        <v>0.10108613925285474</v>
      </c>
      <c r="CK276" s="219">
        <f t="shared" si="770"/>
        <v>0.10108613925285474</v>
      </c>
      <c r="CL276" s="219">
        <f t="shared" si="771"/>
        <v>0.11</v>
      </c>
      <c r="CM276" s="219">
        <f t="shared" si="772"/>
        <v>9.3005821743093214E-2</v>
      </c>
      <c r="CN276" s="569">
        <f t="shared" si="773"/>
        <v>9.3005821743093214E-2</v>
      </c>
      <c r="CO276" s="264">
        <f t="shared" si="685"/>
        <v>32.378216301276474</v>
      </c>
      <c r="CP276" s="216">
        <f t="shared" si="844"/>
        <v>32.378216301276474</v>
      </c>
      <c r="CQ276" s="216">
        <f t="shared" ca="1" si="703"/>
        <v>32.378216301276474</v>
      </c>
      <c r="CR276" s="216">
        <f t="shared" ca="1" si="704"/>
        <v>32.378216301276474</v>
      </c>
      <c r="CS276" s="1626">
        <f t="shared" ca="1" si="705"/>
        <v>32.378216301276474</v>
      </c>
      <c r="CT276" s="216">
        <f t="shared" si="845"/>
        <v>32.378216301276474</v>
      </c>
      <c r="CU276" s="575">
        <f t="shared" si="774"/>
        <v>0.15</v>
      </c>
      <c r="CV276" s="154">
        <f t="shared" si="775"/>
        <v>0.5</v>
      </c>
      <c r="CW276" s="216">
        <f>IF(OR($BQ276,$BS276),SpreadOptPowerMargin,0)*((1+Assumptions!$C$26)^($B276-YEAR(Assumptions!$C$17)))</f>
        <v>2.5708432456372909</v>
      </c>
      <c r="CX276" s="216">
        <f>IF(OR($BQ276,$BS276),SpreadOptPowerMargin,0)*((1+Assumptions!$C$26)^($B276-YEAR(Assumptions!$C$17)))</f>
        <v>2.5708432456372909</v>
      </c>
      <c r="CY276" s="216">
        <f>IF(OR($BQ276,$BS276),SpreadOptPowerMargin,0)*((1+Assumptions!$C$26)^($B276-YEAR(Assumptions!$C$17)))</f>
        <v>2.5708432456372909</v>
      </c>
      <c r="CZ276" s="216">
        <f>IF(OR($BQ276,$BS276),SpreadOptPowerMargin,0)*((1+Assumptions!$C$26)^($B276-YEAR(Assumptions!$C$17)))</f>
        <v>2.5708432456372909</v>
      </c>
      <c r="DA276" s="440">
        <f t="shared" si="776"/>
        <v>2.5708432456372909</v>
      </c>
      <c r="DB276" s="479">
        <f t="shared" si="777"/>
        <v>0.1</v>
      </c>
      <c r="DC276" s="479">
        <f t="shared" si="778"/>
        <v>0.1</v>
      </c>
      <c r="DD276" s="479">
        <f t="shared" si="779"/>
        <v>0.11</v>
      </c>
      <c r="DE276" s="479">
        <f t="shared" si="780"/>
        <v>0.11</v>
      </c>
      <c r="DF276" s="479">
        <f t="shared" si="781"/>
        <v>9.3005821743093214E-2</v>
      </c>
      <c r="DG276" s="574">
        <f t="shared" si="782"/>
        <v>9.3005821743093214E-2</v>
      </c>
      <c r="DH276" s="216">
        <f t="shared" si="783"/>
        <v>28.058574957440616</v>
      </c>
      <c r="DI276" s="216">
        <f t="shared" si="784"/>
        <v>28.058574957440616</v>
      </c>
      <c r="DJ276" s="216">
        <f t="shared" ca="1" si="706"/>
        <v>10.055631924425256</v>
      </c>
      <c r="DK276" s="216">
        <f t="shared" ca="1" si="707"/>
        <v>10.055631924425256</v>
      </c>
      <c r="DL276" s="216">
        <f t="shared" ca="1" si="708"/>
        <v>19.369318670741066</v>
      </c>
      <c r="DM276" s="216"/>
      <c r="DN276" s="216"/>
      <c r="DO276" s="216"/>
      <c r="DP276" s="216"/>
      <c r="DQ276" s="216"/>
      <c r="DR276" s="216"/>
      <c r="DS276" s="216"/>
      <c r="DT276" s="216"/>
      <c r="DU276" s="216"/>
      <c r="DV276" s="216"/>
      <c r="DW276" s="1371">
        <f t="shared" si="785"/>
        <v>10.055631924425256</v>
      </c>
      <c r="DX276" s="216">
        <f t="shared" si="786"/>
        <v>10.055631924425256</v>
      </c>
      <c r="DY276" s="440">
        <f t="shared" si="787"/>
        <v>20.121793620304814</v>
      </c>
      <c r="DZ276" s="180">
        <f t="shared" si="788"/>
        <v>1502368.3375212003</v>
      </c>
      <c r="EA276" s="180">
        <f t="shared" si="789"/>
        <v>195961.08750276527</v>
      </c>
      <c r="EB276" s="180">
        <f t="shared" ca="1" si="709"/>
        <v>117047.55560030998</v>
      </c>
      <c r="EC276" s="180">
        <f t="shared" ca="1" si="710"/>
        <v>362847.42236096098</v>
      </c>
      <c r="ED276" s="180">
        <f t="shared" ca="1" si="711"/>
        <v>2096767.484745062</v>
      </c>
      <c r="EE276" s="581">
        <f t="shared" si="790"/>
        <v>1372300.3804556397</v>
      </c>
      <c r="EF276" s="554">
        <f t="shared" si="791"/>
        <v>178995.7017985617</v>
      </c>
      <c r="EG276" s="554">
        <f t="shared" ca="1" si="712"/>
        <v>35105.742990378734</v>
      </c>
      <c r="EH276" s="554">
        <f t="shared" ca="1" si="713"/>
        <v>108827.80327017407</v>
      </c>
      <c r="EI276" s="561">
        <f t="shared" ca="1" si="792"/>
        <v>1695229.6285147546</v>
      </c>
      <c r="EJ276" s="581">
        <f t="shared" si="846"/>
        <v>130067.95706556062</v>
      </c>
      <c r="EK276" s="554">
        <f t="shared" si="847"/>
        <v>16965.385704203567</v>
      </c>
      <c r="EL276" s="554">
        <f t="shared" ca="1" si="714"/>
        <v>81941.81260993125</v>
      </c>
      <c r="EM276" s="554">
        <f t="shared" ca="1" si="715"/>
        <v>254019.6190907869</v>
      </c>
      <c r="EN276" s="561">
        <f t="shared" ca="1" si="716"/>
        <v>401537.85623030737</v>
      </c>
      <c r="EO276" s="180">
        <f t="shared" si="793"/>
        <v>6009473.3500848012</v>
      </c>
      <c r="EP276" s="180">
        <f t="shared" si="794"/>
        <v>783844.35001106106</v>
      </c>
      <c r="EQ276" s="180">
        <f t="shared" si="795"/>
        <v>468190.22240123991</v>
      </c>
      <c r="ER276" s="180">
        <f t="shared" si="796"/>
        <v>1451389.6894438439</v>
      </c>
      <c r="ES276" s="180">
        <f t="shared" si="797"/>
        <v>8712897.6119409464</v>
      </c>
      <c r="ET276" s="1482">
        <f t="shared" ca="1" si="717"/>
        <v>5489201.5218225587</v>
      </c>
      <c r="EU276" s="180">
        <f t="shared" ca="1" si="718"/>
        <v>715982.80719424679</v>
      </c>
      <c r="EV276" s="180">
        <f t="shared" ca="1" si="719"/>
        <v>140422.97196151494</v>
      </c>
      <c r="EW276" s="180">
        <f t="shared" ca="1" si="720"/>
        <v>435311.2130806963</v>
      </c>
      <c r="EX276" s="555">
        <f t="shared" ca="1" si="693"/>
        <v>6780918.5140590165</v>
      </c>
      <c r="EY276" s="180">
        <f t="shared" ca="1" si="721"/>
        <v>520271.82826224249</v>
      </c>
      <c r="EZ276" s="180">
        <f t="shared" ca="1" si="722"/>
        <v>67861.542816814268</v>
      </c>
      <c r="FA276" s="180">
        <f t="shared" ca="1" si="723"/>
        <v>327767.250439725</v>
      </c>
      <c r="FB276" s="180">
        <f t="shared" ca="1" si="724"/>
        <v>1016078.4763631476</v>
      </c>
      <c r="FC276" s="180">
        <f t="shared" ca="1" si="725"/>
        <v>1931979.0978819299</v>
      </c>
      <c r="FD276" s="262">
        <f>IF(AX276,IF(VLOOKUP(C276,MAIN!$L$17:$M$28,2)="Yes",VLOOKUP(CALC!B276,MAIN!$H$17:$I$20,2),0),0)</f>
        <v>0</v>
      </c>
      <c r="FE276" s="623">
        <f t="shared" si="798"/>
        <v>0</v>
      </c>
      <c r="FF276" s="535">
        <f t="shared" si="799"/>
        <v>0</v>
      </c>
      <c r="FG276" s="535">
        <f t="shared" si="800"/>
        <v>0</v>
      </c>
      <c r="FH276" s="624">
        <f t="shared" si="801"/>
        <v>0</v>
      </c>
      <c r="FI276" s="632">
        <f>IF(AX276,VLOOKUP(CALC!B276,MAIN!$H$17:$K$20,4),0)</f>
        <v>0</v>
      </c>
      <c r="FJ276" s="535">
        <f t="shared" si="802"/>
        <v>0</v>
      </c>
      <c r="FK276" s="648">
        <f t="shared" si="848"/>
        <v>0</v>
      </c>
      <c r="FL276" s="530">
        <f t="shared" ca="1" si="726"/>
        <v>0</v>
      </c>
      <c r="FM276" s="530">
        <f t="shared" ca="1" si="727"/>
        <v>0</v>
      </c>
      <c r="FN276" s="530">
        <f t="shared" ca="1" si="728"/>
        <v>0</v>
      </c>
      <c r="FO276" s="622">
        <f t="shared" ca="1" si="729"/>
        <v>0</v>
      </c>
      <c r="FP276" s="530">
        <f t="shared" ca="1" si="730"/>
        <v>0</v>
      </c>
      <c r="FQ276" s="530">
        <f t="shared" ca="1" si="731"/>
        <v>0</v>
      </c>
      <c r="FR276" s="530">
        <f t="shared" ca="1" si="732"/>
        <v>0</v>
      </c>
      <c r="FS276" s="625">
        <f t="shared" ca="1" si="733"/>
        <v>0</v>
      </c>
      <c r="FT276" s="640">
        <f ca="1">IF(AND(Assumptions!$H$71="Yes",A276&gt;=Assumptions!$H$72,A276&lt;=Assumptions!$H$73),0,IF(AND($A276&gt;=Assumptions!$C$17,$A276&lt;=Assumptions!$C$18),MAX(AZ276*(1+VLOOKUP($C276,WeatherCapacityAdjustment,2))-FL276,0),0))</f>
        <v>53544</v>
      </c>
      <c r="FU276" s="530">
        <f ca="1">IF(AND(Assumptions!$H$71="Yes",A276&gt;=Assumptions!$H$72,A276&lt;=Assumptions!$H$73),0,IF(AND($A276&gt;=Assumptions!$C$17,$A276&lt;=Assumptions!$C$18),MAX(BA276*(1+VLOOKUP($C276,WeatherCapacityAdjustment,2))-FM276,0),0))</f>
        <v>6984</v>
      </c>
      <c r="FV276" s="530">
        <f ca="1">IF(AND(Assumptions!$H$71="Yes",A276&gt;=Assumptions!$H$72,A276&lt;=Assumptions!$H$73),0,IF(AND($A276&gt;=Assumptions!$C$17,$A276&lt;=Assumptions!$C$18),MAX(BB276*(1+VLOOKUP($C276,WeatherCapacityAdjustment,2))-FN276,0),0))</f>
        <v>11640</v>
      </c>
      <c r="FW276" s="622">
        <f ca="1">IF(AND(Assumptions!$H$71="Yes",A276&gt;=Assumptions!$H$72,A276&lt;=Assumptions!$H$73),0,IF(AND($A276&gt;=Assumptions!$C$17,$A276&lt;=Assumptions!$C$18),MAX(BC276*(1+VLOOKUP($C276,WeatherCapacityAdjustment,3))-FO276,0),0))</f>
        <v>36084</v>
      </c>
      <c r="FX276" s="621">
        <f ca="1">IF(AND(Assumptions!$H$71="Yes",A276&gt;=Assumptions!$H$72,A276&lt;=Assumptions!$H$73),0,IF(ET276&gt;0,MAX(BH276*(1+VLOOKUP($C276,WeatherCapacityAdjustment,2))-FP276,0),0))</f>
        <v>214176</v>
      </c>
      <c r="FY276" s="530">
        <f ca="1">IF(AND(Assumptions!$H$71="Yes",A276&gt;=Assumptions!$H$72,A276&lt;=Assumptions!$H$73),0,IF(EU276&gt;0,MAX(BI276*(1+VLOOKUP($C276,WeatherCapacityAdjustment,3))-FQ276,0),0))</f>
        <v>27936</v>
      </c>
      <c r="FZ276" s="530">
        <f ca="1">IF(AND(Assumptions!$H$71="Yes",A276&gt;=Assumptions!$H$72,A276&lt;=Assumptions!$H$73),0,IF(EV276&gt;0,MAX(BJ276*(1+VLOOKUP($C276,WeatherCapacityAdjustment,2))-FR276,0),0))</f>
        <v>46560</v>
      </c>
      <c r="GA276" s="622">
        <f ca="1">IF(AND(Assumptions!$H$71="Yes",A276&gt;=Assumptions!$H$72,A276&lt;=Assumptions!$H$73),0,IF(EW276&gt;0,MAX(BK276*(1+VLOOKUP($C276,WeatherCapacityAdjustment,2))-FS276,0),0))</f>
        <v>144336</v>
      </c>
      <c r="GB276" s="530">
        <f t="shared" ca="1" si="803"/>
        <v>541260</v>
      </c>
      <c r="GC276" s="545">
        <f t="shared" ca="1" si="804"/>
        <v>50.609090109995783</v>
      </c>
      <c r="GD276" s="530">
        <f t="shared" ca="1" si="734"/>
        <v>27392676.112936318</v>
      </c>
      <c r="GE276" s="1485">
        <f t="shared" ca="1" si="735"/>
        <v>764098.90703999996</v>
      </c>
      <c r="GF276" s="1776">
        <f t="shared" ca="1" si="736"/>
        <v>3056395.6281599998</v>
      </c>
      <c r="GG276" s="545">
        <f t="shared" si="701"/>
        <v>4.5871112217967047</v>
      </c>
      <c r="GH276" s="622">
        <f t="shared" ca="1" si="702"/>
        <v>17525033.355228905</v>
      </c>
      <c r="GI276" s="621">
        <f t="shared" ca="1" si="849"/>
        <v>541260</v>
      </c>
      <c r="GJ276" s="638">
        <f t="shared" si="805"/>
        <v>2.5708432456372909</v>
      </c>
      <c r="GK276" s="625">
        <f t="shared" ca="1" si="855"/>
        <v>1391494.6151336401</v>
      </c>
      <c r="GL276" s="640">
        <f t="shared" ca="1" si="737"/>
        <v>0</v>
      </c>
      <c r="GM276" s="530">
        <f t="shared" ca="1" si="738"/>
        <v>0</v>
      </c>
      <c r="GN276" s="530">
        <f t="shared" ca="1" si="739"/>
        <v>0</v>
      </c>
      <c r="GO276" s="622">
        <f t="shared" ca="1" si="740"/>
        <v>0</v>
      </c>
      <c r="GP276" s="530">
        <f t="shared" ca="1" si="806"/>
        <v>0</v>
      </c>
      <c r="GQ276" s="545">
        <f t="shared" ca="1" si="807"/>
        <v>0</v>
      </c>
      <c r="GR276" s="625">
        <f t="shared" ca="1" si="741"/>
        <v>0</v>
      </c>
      <c r="GS276" s="640">
        <f>IF($A276&gt;=BegDate,Assumptions!$C$56*24*($A277-$A276)*(1-VLOOKUP($B276,MAIN!$AA$7:$AM$28,$C276+1))*(1-VLOOKUP($B276,MAIN!$AA$33:$AM$54,$C276+1)),0)*80/168</f>
        <v>257742.85714285713</v>
      </c>
      <c r="GT276" s="1715">
        <f t="shared" si="850"/>
        <v>60.578455566180907</v>
      </c>
      <c r="GU276" s="1715">
        <f>IF($A276&gt;=BegDate,VLOOKUP($A276,GasTable,13)+Assumptions!$C$58,0)</f>
        <v>4.5871112217967047</v>
      </c>
      <c r="GV276" s="1715">
        <f>GU276*Assumptions!$C$57/1000</f>
        <v>33.25655635802611</v>
      </c>
      <c r="GW276" s="625">
        <f>IF(Assumptions!$C$60="Hourly",MAX(0,GS276*(GT276-GV276)),GS276*(GT276-GV276))</f>
        <v>7042024.364478983</v>
      </c>
      <c r="GX276" s="640">
        <f>IF($A276&gt;=BegDate,Assumptions!$C$56*24*($A277-$A276)*(1-VLOOKUP($B276,MAIN!$AA$7:$AM$28,$C276+1))*(1-VLOOKUP($B276,MAIN!$AA$33:$AM$54,$C276+1)),0)*16/168</f>
        <v>51548.571428571428</v>
      </c>
      <c r="GY276" s="1715">
        <f t="shared" si="851"/>
        <v>60.578455566180907</v>
      </c>
      <c r="GZ276" s="1715">
        <f>IF($A276&gt;=BegDate,VLOOKUP($A276,GasTable,13)+Assumptions!$C$58,0)</f>
        <v>4.5871112217967047</v>
      </c>
      <c r="HA276" s="1715">
        <f>GZ276*Assumptions!$C$57/1000</f>
        <v>33.25655635802611</v>
      </c>
      <c r="HB276" s="625">
        <f>IF(Assumptions!$C$60="Hourly",MAX(0,GX276*(GY276-HA276)),GX276*(GY276-HA276))</f>
        <v>1408404.8728957966</v>
      </c>
      <c r="HC276" s="640">
        <f>IF($A276&gt;=BegDate,Assumptions!$C$56*24*($A277-$A276)*(1-VLOOKUP($B276,MAIN!$AA$7:$AM$28,$C276+1))*(1-VLOOKUP($B276,MAIN!$AA$33:$AM$54,$C276+1)),0)*16/168</f>
        <v>51548.571428571428</v>
      </c>
      <c r="HD276" s="1715">
        <f t="shared" si="852"/>
        <v>37.965016848492695</v>
      </c>
      <c r="HE276" s="1715">
        <f>IF($A276&gt;=BegDate,VLOOKUP($A276,GasTable,13)+Assumptions!$C$58,0)</f>
        <v>4.5871112217967047</v>
      </c>
      <c r="HF276" s="1715">
        <f>HE276*Assumptions!$C$57/1000</f>
        <v>33.25655635802611</v>
      </c>
      <c r="HG276" s="625">
        <f>IF(Assumptions!$C$60="Hourly",MAX(0,HC276*(HD276-HF276)),HC276*(HD276-HF276))</f>
        <v>242714.41191142323</v>
      </c>
      <c r="HH276" s="640">
        <f>IF($A276&gt;=BegDate,Assumptions!$C$56*24*($A277-$A276)*(1-VLOOKUP($B276,MAIN!$AA$7:$AM$28,$C276+1))*(1-VLOOKUP($B276,MAIN!$AA$33:$AM$54,$C276+1)),0)*56/168</f>
        <v>180420</v>
      </c>
      <c r="HI276" s="1715">
        <f t="shared" si="853"/>
        <v>37.965016848492695</v>
      </c>
      <c r="HJ276" s="1715">
        <f>IF($A276&gt;=BegDate,VLOOKUP($A276,GasTable,13)+Assumptions!$C$58,0)</f>
        <v>4.5871112217967047</v>
      </c>
      <c r="HK276" s="1715">
        <f>HJ276*Assumptions!$C$57/1000</f>
        <v>33.25655635802611</v>
      </c>
      <c r="HL276" s="625">
        <f>IF(Assumptions!$C$60="Hourly",MAX(0,HH276*(HI276-HK276)),HH276*(HI276-HK276))</f>
        <v>849500.44168998126</v>
      </c>
      <c r="HM276" s="640">
        <f>IF(AND(Assumptions!$H$71="Yes",A276&gt;=Assumptions!$H$72,A276&lt;=Assumptions!$H$73),Assumptions!$H$74*Assumptions!$C$9*1000,0)</f>
        <v>0</v>
      </c>
      <c r="HN276" s="530"/>
      <c r="HO276" s="545"/>
      <c r="HP276" s="545"/>
      <c r="HQ276" s="545"/>
      <c r="HR276" s="545"/>
      <c r="HS276" s="545"/>
      <c r="HT276" s="545"/>
      <c r="HU276" s="545"/>
      <c r="HV276" s="545"/>
      <c r="HW276" s="545"/>
      <c r="HX276" s="545"/>
      <c r="HY276" s="545"/>
      <c r="HZ276" s="545"/>
      <c r="IA276" s="545"/>
      <c r="IB276" s="545"/>
      <c r="IC276" s="545"/>
      <c r="ID276" s="545"/>
      <c r="IE276" s="545"/>
      <c r="IF276" s="545"/>
      <c r="IG276" s="545"/>
      <c r="IH276" s="545"/>
      <c r="II276" s="1464"/>
      <c r="IJ276" s="1463"/>
      <c r="IK276" s="1463"/>
    </row>
    <row r="277" spans="1:245">
      <c r="A277" s="177">
        <f t="shared" si="808"/>
        <v>44562</v>
      </c>
      <c r="B277" s="349">
        <f t="shared" si="809"/>
        <v>2022</v>
      </c>
      <c r="C277" s="15">
        <f t="shared" si="749"/>
        <v>1</v>
      </c>
      <c r="D277" s="612">
        <f t="shared" si="810"/>
        <v>44562</v>
      </c>
      <c r="E277" s="609">
        <f t="shared" si="750"/>
        <v>44562</v>
      </c>
      <c r="F277" s="614">
        <f t="shared" si="751"/>
        <v>44592</v>
      </c>
      <c r="G277" s="1349">
        <v>0</v>
      </c>
      <c r="H277" s="152">
        <f t="shared" si="854"/>
        <v>1</v>
      </c>
      <c r="I277" s="154">
        <f>IF(Assumptions!$L$25=4,VLOOKUP($A277,'Henwood Reference'!$E$9:$R$320,10),(VLOOKUP($A277,PriceTable,2,0)+IF(BasisNumber&lt;&gt;1,VLOOKUP($A277,BasisTable,2,0),0)+I$1)/(1-I$2))</f>
        <v>63.910644991907795</v>
      </c>
      <c r="J277" s="154">
        <f>IF(Assumptions!$L$25=4,VLOOKUP($A277,'Henwood Reference'!$E$9:$R$320,10),(VLOOKUP($A277,PriceTable,3,0)+IF(BasisNumber&lt;&gt;1,VLOOKUP($A277,BasisTable,2,0),0)+J$1)/(1-J$2))</f>
        <v>63.910644991907795</v>
      </c>
      <c r="K277" s="154">
        <f>IF(Assumptions!$L$25=4,VLOOKUP($A277,'Henwood Reference'!$E$9:$R$320,10),(VLOOKUP($A277,PriceTable,4,0)+IF(BasisNumber&lt;&gt;1,VLOOKUP($A277,BasisTable,2,0),0)+K$1)/(1-K$2))</f>
        <v>63.910644991907795</v>
      </c>
      <c r="L277" s="474">
        <f>IF(Assumptions!$L$25=4,VLOOKUP($A277,'Henwood Reference'!$E$9:$R$320,10),(VLOOKUP($A277,PriceTableWeekend,2,0)+IF(BasisNumber&lt;&gt;1,VLOOKUP($A277,BasisTable,2,0),0)+L$1)/(1-L$2))</f>
        <v>63.910644991907795</v>
      </c>
      <c r="M277" s="154">
        <f>IF(Assumptions!$L$25=4,VLOOKUP($A277,'Henwood Reference'!$E$9:$R$320,10),(VLOOKUP($A277,PriceTableWeekend,3,0)+IF(BasisNumber&lt;&gt;1,VLOOKUP($A277,BasisTable,2,0),0)+M$1)/(1-M$2))</f>
        <v>63.910644991907795</v>
      </c>
      <c r="N277" s="156">
        <f>IF(Assumptions!$L$25=4,VLOOKUP($A277,'Henwood Reference'!$E$9:$R$320,10),(VLOOKUP($A277,PriceTableWeekend,4,0)+IF(BasisNumber&lt;&gt;1,VLOOKUP($A277,BasisTable,2,0),0)+N$1)/(1-N$2))</f>
        <v>63.910644991907795</v>
      </c>
      <c r="O277" s="154">
        <f>IF(Assumptions!$L$25=4,VLOOKUP($A277,'Henwood Reference'!$E$9:$R$320,11),(VLOOKUP($A277,PriceTableWeekend,6,0)+IF(BasisNumber&lt;&gt;1,VLOOKUP($A277,BasisTable,3,0),0)+O$1)/(1-O$2))</f>
        <v>36.020862535176768</v>
      </c>
      <c r="P277" s="154">
        <f>IF(Assumptions!$L$25=4,VLOOKUP($A277,'Henwood Reference'!$E$9:$R$320,11),(VLOOKUP($A277,PriceTableWeekend,7,0)+IF(BasisNumber&lt;&gt;1,VLOOKUP($A277,BasisTable,3,0),0)+P$1)/(1-P$2))</f>
        <v>36.020862535176768</v>
      </c>
      <c r="Q277" s="156">
        <f>IF(Assumptions!$L$25=4,VLOOKUP($A277,'Henwood Reference'!$E$9:$R$320,11),(VLOOKUP($A277,PriceTableWeekend,8,0)+IF(BasisNumber&lt;&gt;1,VLOOKUP($A277,BasisTable,3,0),0)+Q$1)/(1-Q$2))</f>
        <v>36.020862535176768</v>
      </c>
      <c r="R277" s="154">
        <f>IF(Assumptions!$L$25=4,VLOOKUP($A277,'Henwood Reference'!$E$9:$R$320,11),(VLOOKUP($A277,PriceTable,6,0)+IF(BasisNumber&lt;&gt;1,VLOOKUP($A277,BasisTable,3,0),0)+R$1)/(1-R$2))</f>
        <v>36.020862535176768</v>
      </c>
      <c r="S277" s="154">
        <f>IF(Assumptions!$L$25=4,VLOOKUP($A277,'Henwood Reference'!$E$9:$R$320,11),(VLOOKUP($A277,PriceTable,7,0)+IF(BasisNumber&lt;&gt;1,VLOOKUP($A277,BasisTable,3,0),0)+S$1)/(1-S$2))</f>
        <v>36.020862535176768</v>
      </c>
      <c r="T277" s="155">
        <f>IF(Assumptions!$L$25=4,VLOOKUP($A277,'Henwood Reference'!$E$9:$R$320,11),(VLOOKUP($A277,PriceTable,8,0)+IF(BasisNumber&lt;&gt;1,VLOOKUP($A277,BasisTable,3,0),0)+T$1)/(1-T$2))</f>
        <v>36.020862535176768</v>
      </c>
      <c r="U277" s="173">
        <f t="shared" si="811"/>
        <v>0.09</v>
      </c>
      <c r="V277" s="173">
        <f t="shared" si="812"/>
        <v>0.1</v>
      </c>
      <c r="W277" s="174">
        <f t="shared" si="813"/>
        <v>0.11</v>
      </c>
      <c r="X277" s="173">
        <f t="shared" si="814"/>
        <v>0.09</v>
      </c>
      <c r="Y277" s="173">
        <f t="shared" si="815"/>
        <v>0.1</v>
      </c>
      <c r="Z277" s="174">
        <f t="shared" si="816"/>
        <v>0.11</v>
      </c>
      <c r="AA277" s="173">
        <f t="shared" si="817"/>
        <v>0.09</v>
      </c>
      <c r="AB277" s="173">
        <f t="shared" si="818"/>
        <v>0.11</v>
      </c>
      <c r="AC277" s="174">
        <f t="shared" si="819"/>
        <v>0.13</v>
      </c>
      <c r="AD277" s="173">
        <f t="shared" si="820"/>
        <v>0.09</v>
      </c>
      <c r="AE277" s="173">
        <f t="shared" si="821"/>
        <v>0.11</v>
      </c>
      <c r="AF277" s="174">
        <f t="shared" si="822"/>
        <v>0.13</v>
      </c>
      <c r="AG277" s="173">
        <f t="shared" si="823"/>
        <v>-0.25</v>
      </c>
      <c r="AH277" s="173">
        <f t="shared" si="824"/>
        <v>0.6</v>
      </c>
      <c r="AI277" s="174">
        <f t="shared" si="825"/>
        <v>0.25</v>
      </c>
      <c r="AJ277" s="173">
        <f t="shared" si="826"/>
        <v>-0.25</v>
      </c>
      <c r="AK277" s="173">
        <f t="shared" si="827"/>
        <v>0.6</v>
      </c>
      <c r="AL277" s="174">
        <f t="shared" si="828"/>
        <v>0.25</v>
      </c>
      <c r="AM277" s="173">
        <f t="shared" si="829"/>
        <v>-0.01</v>
      </c>
      <c r="AN277" s="173">
        <f t="shared" si="830"/>
        <v>0.16</v>
      </c>
      <c r="AO277" s="174">
        <f t="shared" si="831"/>
        <v>0.01</v>
      </c>
      <c r="AP277" s="173">
        <f t="shared" si="832"/>
        <v>-0.01</v>
      </c>
      <c r="AQ277" s="173">
        <f t="shared" si="833"/>
        <v>0.16</v>
      </c>
      <c r="AR277" s="175">
        <f t="shared" si="834"/>
        <v>0.01</v>
      </c>
      <c r="AS277" s="521">
        <f t="shared" si="835"/>
        <v>0.5</v>
      </c>
      <c r="AT277" s="349">
        <f t="shared" si="752"/>
        <v>21</v>
      </c>
      <c r="AU277" s="159">
        <f t="shared" si="753"/>
        <v>4</v>
      </c>
      <c r="AV277" s="159">
        <f t="shared" si="754"/>
        <v>5</v>
      </c>
      <c r="AW277" s="159">
        <f t="shared" si="836"/>
        <v>1</v>
      </c>
      <c r="AX277" s="15">
        <f t="shared" si="755"/>
        <v>31</v>
      </c>
      <c r="AY277" s="607">
        <f>IF(E277="",0,MIN((1-(1-VLOOKUP(B277,MAIN!$AA$7:$AM$28,C277+1))*(1-VLOOKUP(B277,MAIN!$AA$33:$AM$54,C277+1))),1))</f>
        <v>3.0000000000000027E-2</v>
      </c>
      <c r="AZ277" s="337">
        <v>48888</v>
      </c>
      <c r="BA277" s="509">
        <v>9312</v>
      </c>
      <c r="BB277" s="509">
        <v>13968</v>
      </c>
      <c r="BC277" s="511">
        <v>36084</v>
      </c>
      <c r="BD277" s="153">
        <v>0.96999999638646839</v>
      </c>
      <c r="BE277" s="474">
        <v>0.96999999638646839</v>
      </c>
      <c r="BF277" s="474">
        <v>0.96999999638646839</v>
      </c>
      <c r="BG277" s="515">
        <v>0.9699999927729368</v>
      </c>
      <c r="BH277" s="262">
        <v>195552</v>
      </c>
      <c r="BI277" s="509">
        <v>37248</v>
      </c>
      <c r="BJ277" s="509">
        <v>55872</v>
      </c>
      <c r="BK277" s="511">
        <v>144336</v>
      </c>
      <c r="BL277" s="153">
        <v>0.96999999638646839</v>
      </c>
      <c r="BM277" s="474">
        <v>0.96999999638646839</v>
      </c>
      <c r="BN277" s="474">
        <v>0.96999999638646839</v>
      </c>
      <c r="BO277" s="474">
        <v>0.9699999927729368</v>
      </c>
      <c r="BP277" s="261">
        <f t="shared" si="837"/>
        <v>72168</v>
      </c>
      <c r="BQ277" s="578">
        <f t="shared" si="838"/>
        <v>108252</v>
      </c>
      <c r="BR277" s="259">
        <f t="shared" si="839"/>
        <v>288672</v>
      </c>
      <c r="BS277" s="578">
        <f t="shared" si="840"/>
        <v>433008</v>
      </c>
      <c r="BT277" s="216">
        <f t="shared" si="841"/>
        <v>21.716632443531829</v>
      </c>
      <c r="BU277" s="218">
        <f t="shared" si="756"/>
        <v>63.910644753822083</v>
      </c>
      <c r="BV277" s="216">
        <f t="shared" si="757"/>
        <v>63.910644753822083</v>
      </c>
      <c r="BW277" s="216">
        <f t="shared" si="758"/>
        <v>36.020862400988598</v>
      </c>
      <c r="BX277" s="216">
        <f t="shared" si="842"/>
        <v>36.020862266800428</v>
      </c>
      <c r="BY277" s="216">
        <f t="shared" si="759"/>
        <v>58.512622362951085</v>
      </c>
      <c r="BZ277" s="216">
        <f t="shared" si="760"/>
        <v>51.015368997567528</v>
      </c>
      <c r="CA277" s="264">
        <f t="shared" si="761"/>
        <v>63.910644753822083</v>
      </c>
      <c r="CB277" s="216">
        <f t="shared" si="762"/>
        <v>63.910644753822083</v>
      </c>
      <c r="CC277" s="216">
        <f t="shared" si="763"/>
        <v>36.020862400988598</v>
      </c>
      <c r="CD277" s="216">
        <f t="shared" si="843"/>
        <v>36.020862266800428</v>
      </c>
      <c r="CE277" s="216">
        <f t="shared" si="764"/>
        <v>58.512622362951085</v>
      </c>
      <c r="CF277" s="571">
        <f t="shared" si="765"/>
        <v>51.015368997567528</v>
      </c>
      <c r="CG277" s="573">
        <f t="shared" si="766"/>
        <v>0.1</v>
      </c>
      <c r="CH277" s="219">
        <f t="shared" si="767"/>
        <v>0.1</v>
      </c>
      <c r="CI277" s="219">
        <f t="shared" si="768"/>
        <v>0.11</v>
      </c>
      <c r="CJ277" s="219">
        <f t="shared" si="769"/>
        <v>0.10120310472858714</v>
      </c>
      <c r="CK277" s="219">
        <f t="shared" si="770"/>
        <v>0.10120310472858714</v>
      </c>
      <c r="CL277" s="219">
        <f t="shared" si="771"/>
        <v>0.11</v>
      </c>
      <c r="CM277" s="219">
        <f t="shared" si="772"/>
        <v>9.3391125733094091E-2</v>
      </c>
      <c r="CN277" s="569">
        <f t="shared" si="773"/>
        <v>9.3391125733094091E-2</v>
      </c>
      <c r="CO277" s="264">
        <f t="shared" si="685"/>
        <v>32.391702408268557</v>
      </c>
      <c r="CP277" s="216">
        <f t="shared" si="844"/>
        <v>32.391702408268557</v>
      </c>
      <c r="CQ277" s="216">
        <f t="shared" ca="1" si="703"/>
        <v>32.391702408268557</v>
      </c>
      <c r="CR277" s="216">
        <f t="shared" ca="1" si="704"/>
        <v>32.391702408268557</v>
      </c>
      <c r="CS277" s="1626">
        <f t="shared" ca="1" si="705"/>
        <v>32.391702408268557</v>
      </c>
      <c r="CT277" s="216">
        <f t="shared" si="845"/>
        <v>32.391702408268557</v>
      </c>
      <c r="CU277" s="575">
        <f t="shared" si="774"/>
        <v>0.15</v>
      </c>
      <c r="CV277" s="154">
        <f t="shared" si="775"/>
        <v>0.5</v>
      </c>
      <c r="CW277" s="216">
        <f>IF(OR($BQ277,$BS277),SpreadOptPowerMargin,0)*((1+Assumptions!$C$26)^($B277-YEAR(Assumptions!$C$17)))</f>
        <v>2.6222601105500365</v>
      </c>
      <c r="CX277" s="216">
        <f>IF(OR($BQ277,$BS277),SpreadOptPowerMargin,0)*((1+Assumptions!$C$26)^($B277-YEAR(Assumptions!$C$17)))</f>
        <v>2.6222601105500365</v>
      </c>
      <c r="CY277" s="216">
        <f>IF(OR($BQ277,$BS277),SpreadOptPowerMargin,0)*((1+Assumptions!$C$26)^($B277-YEAR(Assumptions!$C$17)))</f>
        <v>2.6222601105500365</v>
      </c>
      <c r="CZ277" s="216">
        <f>IF(OR($BQ277,$BS277),SpreadOptPowerMargin,0)*((1+Assumptions!$C$26)^($B277-YEAR(Assumptions!$C$17)))</f>
        <v>2.6222601105500365</v>
      </c>
      <c r="DA277" s="440">
        <f t="shared" si="776"/>
        <v>2.6222601105500365</v>
      </c>
      <c r="DB277" s="479">
        <f t="shared" si="777"/>
        <v>0.1</v>
      </c>
      <c r="DC277" s="479">
        <f t="shared" si="778"/>
        <v>0.1</v>
      </c>
      <c r="DD277" s="479">
        <f t="shared" si="779"/>
        <v>0.11</v>
      </c>
      <c r="DE277" s="479">
        <f t="shared" si="780"/>
        <v>0.11</v>
      </c>
      <c r="DF277" s="479">
        <f t="shared" si="781"/>
        <v>9.3391125733094091E-2</v>
      </c>
      <c r="DG277" s="574">
        <f t="shared" si="782"/>
        <v>9.3391125733094091E-2</v>
      </c>
      <c r="DH277" s="216">
        <f t="shared" si="783"/>
        <v>31.019249786591736</v>
      </c>
      <c r="DI277" s="216">
        <f t="shared" si="784"/>
        <v>31.019249786591736</v>
      </c>
      <c r="DJ277" s="216">
        <f t="shared" ca="1" si="706"/>
        <v>8.7597695675088882</v>
      </c>
      <c r="DK277" s="216">
        <f t="shared" ca="1" si="707"/>
        <v>8.7597694817633336</v>
      </c>
      <c r="DL277" s="216">
        <f t="shared" ca="1" si="708"/>
        <v>19.674908171093186</v>
      </c>
      <c r="DM277" s="216"/>
      <c r="DN277" s="216"/>
      <c r="DO277" s="216"/>
      <c r="DP277" s="216"/>
      <c r="DQ277" s="216"/>
      <c r="DR277" s="216"/>
      <c r="DS277" s="216"/>
      <c r="DT277" s="216"/>
      <c r="DU277" s="216"/>
      <c r="DV277" s="216"/>
      <c r="DW277" s="1371">
        <f t="shared" si="785"/>
        <v>8.7597695675088882</v>
      </c>
      <c r="DX277" s="216">
        <f t="shared" si="786"/>
        <v>8.7597694817633336</v>
      </c>
      <c r="DY277" s="440">
        <f t="shared" si="787"/>
        <v>20.727232022304911</v>
      </c>
      <c r="DZ277" s="180">
        <f t="shared" si="788"/>
        <v>1516469.0835668969</v>
      </c>
      <c r="EA277" s="180">
        <f t="shared" si="789"/>
        <v>288851.25401274225</v>
      </c>
      <c r="EB277" s="180">
        <f t="shared" ca="1" si="709"/>
        <v>122356.46131896415</v>
      </c>
      <c r="EC277" s="180">
        <f t="shared" ca="1" si="710"/>
        <v>316087.52197994816</v>
      </c>
      <c r="ED277" s="180">
        <f t="shared" ca="1" si="711"/>
        <v>2129848.1593371797</v>
      </c>
      <c r="EE277" s="581">
        <f t="shared" si="790"/>
        <v>1412701.0011048506</v>
      </c>
      <c r="EF277" s="554">
        <f t="shared" si="791"/>
        <v>269085.90497235249</v>
      </c>
      <c r="EG277" s="554">
        <f t="shared" ca="1" si="712"/>
        <v>14064.377554150609</v>
      </c>
      <c r="EH277" s="554">
        <f t="shared" ca="1" si="713"/>
        <v>36332.970506176483</v>
      </c>
      <c r="EI277" s="561">
        <f t="shared" ca="1" si="792"/>
        <v>1732184.2541375295</v>
      </c>
      <c r="EJ277" s="581">
        <f t="shared" si="846"/>
        <v>103768.0824620463</v>
      </c>
      <c r="EK277" s="554">
        <f t="shared" si="847"/>
        <v>19765.349040389759</v>
      </c>
      <c r="EL277" s="554">
        <f t="shared" ca="1" si="714"/>
        <v>108292.08376481355</v>
      </c>
      <c r="EM277" s="554">
        <f t="shared" ca="1" si="715"/>
        <v>279754.55147377169</v>
      </c>
      <c r="EN277" s="561">
        <f t="shared" ca="1" si="716"/>
        <v>397663.90519965021</v>
      </c>
      <c r="EO277" s="180">
        <f t="shared" si="793"/>
        <v>6065876.3342675874</v>
      </c>
      <c r="EP277" s="180">
        <f t="shared" si="794"/>
        <v>1155405.016050969</v>
      </c>
      <c r="EQ277" s="180">
        <f t="shared" si="795"/>
        <v>489425.84527585661</v>
      </c>
      <c r="ER277" s="180">
        <f t="shared" si="796"/>
        <v>1264350.0879197926</v>
      </c>
      <c r="ES277" s="180">
        <f t="shared" si="797"/>
        <v>8975057.2835142054</v>
      </c>
      <c r="ET277" s="1482">
        <f t="shared" ca="1" si="717"/>
        <v>5650804.0044194022</v>
      </c>
      <c r="EU277" s="180">
        <f t="shared" ca="1" si="718"/>
        <v>1076343.61988941</v>
      </c>
      <c r="EV277" s="180">
        <f t="shared" ca="1" si="719"/>
        <v>56257.510216602437</v>
      </c>
      <c r="EW277" s="180">
        <f t="shared" ca="1" si="720"/>
        <v>145331.88202470593</v>
      </c>
      <c r="EX277" s="555">
        <f t="shared" ca="1" si="693"/>
        <v>6928737.0165501209</v>
      </c>
      <c r="EY277" s="180">
        <f t="shared" ca="1" si="721"/>
        <v>415072.32984818518</v>
      </c>
      <c r="EZ277" s="180">
        <f t="shared" ca="1" si="722"/>
        <v>79061.396161559038</v>
      </c>
      <c r="FA277" s="180">
        <f t="shared" ca="1" si="723"/>
        <v>433168.3350592542</v>
      </c>
      <c r="FB277" s="180">
        <f t="shared" ca="1" si="724"/>
        <v>1119018.2058950868</v>
      </c>
      <c r="FC277" s="180">
        <f t="shared" ca="1" si="725"/>
        <v>2046320.2669640845</v>
      </c>
      <c r="FD277" s="262">
        <f>IF(AX277,IF(VLOOKUP(C277,MAIN!$L$17:$M$28,2)="Yes",VLOOKUP(CALC!B277,MAIN!$H$17:$I$20,2),0),0)</f>
        <v>0</v>
      </c>
      <c r="FE277" s="623">
        <f t="shared" si="798"/>
        <v>0</v>
      </c>
      <c r="FF277" s="535">
        <f t="shared" si="799"/>
        <v>0</v>
      </c>
      <c r="FG277" s="535">
        <f t="shared" si="800"/>
        <v>0</v>
      </c>
      <c r="FH277" s="624">
        <f t="shared" si="801"/>
        <v>0</v>
      </c>
      <c r="FI277" s="632">
        <f>IF(AX277,VLOOKUP(CALC!B277,MAIN!$H$17:$K$20,4),0)</f>
        <v>0</v>
      </c>
      <c r="FJ277" s="535">
        <f t="shared" si="802"/>
        <v>0</v>
      </c>
      <c r="FK277" s="648">
        <f t="shared" si="848"/>
        <v>0</v>
      </c>
      <c r="FL277" s="530">
        <f t="shared" ca="1" si="726"/>
        <v>0</v>
      </c>
      <c r="FM277" s="530">
        <f t="shared" ca="1" si="727"/>
        <v>0</v>
      </c>
      <c r="FN277" s="530">
        <f t="shared" ca="1" si="728"/>
        <v>0</v>
      </c>
      <c r="FO277" s="622">
        <f t="shared" ca="1" si="729"/>
        <v>0</v>
      </c>
      <c r="FP277" s="530">
        <f t="shared" ca="1" si="730"/>
        <v>0</v>
      </c>
      <c r="FQ277" s="530">
        <f t="shared" ca="1" si="731"/>
        <v>0</v>
      </c>
      <c r="FR277" s="530">
        <f t="shared" ca="1" si="732"/>
        <v>0</v>
      </c>
      <c r="FS277" s="625">
        <f t="shared" ca="1" si="733"/>
        <v>0</v>
      </c>
      <c r="FT277" s="640">
        <f ca="1">IF(AND(Assumptions!$H$71="Yes",A277&gt;=Assumptions!$H$72,A277&lt;=Assumptions!$H$73),0,IF(AND($A277&gt;=Assumptions!$C$17,$A277&lt;=Assumptions!$C$18),MAX(AZ277*(1+VLOOKUP($C277,WeatherCapacityAdjustment,2))-FL277,0),0))</f>
        <v>48888</v>
      </c>
      <c r="FU277" s="530">
        <f ca="1">IF(AND(Assumptions!$H$71="Yes",A277&gt;=Assumptions!$H$72,A277&lt;=Assumptions!$H$73),0,IF(AND($A277&gt;=Assumptions!$C$17,$A277&lt;=Assumptions!$C$18),MAX(BA277*(1+VLOOKUP($C277,WeatherCapacityAdjustment,2))-FM277,0),0))</f>
        <v>9312</v>
      </c>
      <c r="FV277" s="530">
        <f ca="1">IF(AND(Assumptions!$H$71="Yes",A277&gt;=Assumptions!$H$72,A277&lt;=Assumptions!$H$73),0,IF(AND($A277&gt;=Assumptions!$C$17,$A277&lt;=Assumptions!$C$18),MAX(BB277*(1+VLOOKUP($C277,WeatherCapacityAdjustment,2))-FN277,0),0))</f>
        <v>13968</v>
      </c>
      <c r="FW277" s="622">
        <f ca="1">IF(AND(Assumptions!$H$71="Yes",A277&gt;=Assumptions!$H$72,A277&lt;=Assumptions!$H$73),0,IF(AND($A277&gt;=Assumptions!$C$17,$A277&lt;=Assumptions!$C$18),MAX(BC277*(1+VLOOKUP($C277,WeatherCapacityAdjustment,3))-FO277,0),0))</f>
        <v>36084</v>
      </c>
      <c r="FX277" s="621">
        <f ca="1">IF(AND(Assumptions!$H$71="Yes",A277&gt;=Assumptions!$H$72,A277&lt;=Assumptions!$H$73),0,IF(ET277&gt;0,MAX(BH277*(1+VLOOKUP($C277,WeatherCapacityAdjustment,2))-FP277,0),0))</f>
        <v>195552</v>
      </c>
      <c r="FY277" s="530">
        <f ca="1">IF(AND(Assumptions!$H$71="Yes",A277&gt;=Assumptions!$H$72,A277&lt;=Assumptions!$H$73),0,IF(EU277&gt;0,MAX(BI277*(1+VLOOKUP($C277,WeatherCapacityAdjustment,3))-FQ277,0),0))</f>
        <v>37248</v>
      </c>
      <c r="FZ277" s="530">
        <f ca="1">IF(AND(Assumptions!$H$71="Yes",A277&gt;=Assumptions!$H$72,A277&lt;=Assumptions!$H$73),0,IF(EV277&gt;0,MAX(BJ277*(1+VLOOKUP($C277,WeatherCapacityAdjustment,2))-FR277,0),0))</f>
        <v>55872</v>
      </c>
      <c r="GA277" s="622">
        <f ca="1">IF(AND(Assumptions!$H$71="Yes",A277&gt;=Assumptions!$H$72,A277&lt;=Assumptions!$H$73),0,IF(EW277&gt;0,MAX(BK277*(1+VLOOKUP($C277,WeatherCapacityAdjustment,2))-FS277,0),0))</f>
        <v>144336</v>
      </c>
      <c r="GB277" s="530">
        <f t="shared" ca="1" si="803"/>
        <v>541260</v>
      </c>
      <c r="GC277" s="545">
        <f t="shared" ca="1" si="804"/>
        <v>51.015368997567528</v>
      </c>
      <c r="GD277" s="530">
        <f t="shared" ca="1" si="734"/>
        <v>27612578.623623401</v>
      </c>
      <c r="GE277" s="1485">
        <f t="shared" ca="1" si="735"/>
        <v>764417.16792000004</v>
      </c>
      <c r="GF277" s="1776">
        <f t="shared" ca="1" si="736"/>
        <v>3057668.6716800001</v>
      </c>
      <c r="GG277" s="545">
        <f t="shared" si="701"/>
        <v>4.5871112217967047</v>
      </c>
      <c r="GH277" s="622">
        <f t="shared" ca="1" si="702"/>
        <v>17532332.845499441</v>
      </c>
      <c r="GI277" s="621">
        <f t="shared" ca="1" si="849"/>
        <v>541260</v>
      </c>
      <c r="GJ277" s="638">
        <f t="shared" si="805"/>
        <v>2.6222601105500365</v>
      </c>
      <c r="GK277" s="625">
        <f t="shared" ca="1" si="855"/>
        <v>1419324.5074363127</v>
      </c>
      <c r="GL277" s="640">
        <f t="shared" ca="1" si="737"/>
        <v>0</v>
      </c>
      <c r="GM277" s="530">
        <f t="shared" ca="1" si="738"/>
        <v>0</v>
      </c>
      <c r="GN277" s="530">
        <f t="shared" ca="1" si="739"/>
        <v>0</v>
      </c>
      <c r="GO277" s="622">
        <f t="shared" ca="1" si="740"/>
        <v>0</v>
      </c>
      <c r="GP277" s="530">
        <f t="shared" ca="1" si="806"/>
        <v>0</v>
      </c>
      <c r="GQ277" s="545">
        <f t="shared" ca="1" si="807"/>
        <v>0</v>
      </c>
      <c r="GR277" s="625">
        <f t="shared" ca="1" si="741"/>
        <v>0</v>
      </c>
      <c r="GS277" s="640">
        <f>IF($A277&gt;=BegDate,Assumptions!$C$56*24*($A278-$A277)*(1-VLOOKUP($B277,MAIN!$AA$7:$AM$28,$C277+1))*(1-VLOOKUP($B277,MAIN!$AA$33:$AM$54,$C277+1)),0)*80/168</f>
        <v>257742.85714285713</v>
      </c>
      <c r="GT277" s="1715">
        <f t="shared" si="850"/>
        <v>63.910644991907795</v>
      </c>
      <c r="GU277" s="1715">
        <f>IF($A277&gt;=BegDate,VLOOKUP($A277,GasTable,13)+Assumptions!$C$58,0)</f>
        <v>4.5871112217967047</v>
      </c>
      <c r="GV277" s="1715">
        <f>GU277*Assumptions!$C$57/1000</f>
        <v>33.25655635802611</v>
      </c>
      <c r="GW277" s="625">
        <f>IF(Assumptions!$C$60="Hourly",MAX(0,GS277*(GT277-GV277)),GS277*(GT277-GV277))</f>
        <v>7900872.3876070473</v>
      </c>
      <c r="GX277" s="640">
        <f>IF($A277&gt;=BegDate,Assumptions!$C$56*24*($A278-$A277)*(1-VLOOKUP($B277,MAIN!$AA$7:$AM$28,$C277+1))*(1-VLOOKUP($B277,MAIN!$AA$33:$AM$54,$C277+1)),0)*16/168</f>
        <v>51548.571428571428</v>
      </c>
      <c r="GY277" s="1715">
        <f t="shared" si="851"/>
        <v>63.910644991907795</v>
      </c>
      <c r="GZ277" s="1715">
        <f>IF($A277&gt;=BegDate,VLOOKUP($A277,GasTable,13)+Assumptions!$C$58,0)</f>
        <v>4.5871112217967047</v>
      </c>
      <c r="HA277" s="1715">
        <f>GZ277*Assumptions!$C$57/1000</f>
        <v>33.25655635802611</v>
      </c>
      <c r="HB277" s="625">
        <f>IF(Assumptions!$C$60="Hourly",MAX(0,GX277*(GY277-HA277)),GX277*(GY277-HA277))</f>
        <v>1580174.4775214095</v>
      </c>
      <c r="HC277" s="640">
        <f>IF($A277&gt;=BegDate,Assumptions!$C$56*24*($A278-$A277)*(1-VLOOKUP($B277,MAIN!$AA$7:$AM$28,$C277+1))*(1-VLOOKUP($B277,MAIN!$AA$33:$AM$54,$C277+1)),0)*16/168</f>
        <v>51548.571428571428</v>
      </c>
      <c r="HD277" s="1715">
        <f t="shared" si="852"/>
        <v>36.020862535176768</v>
      </c>
      <c r="HE277" s="1715">
        <f>IF($A277&gt;=BegDate,VLOOKUP($A277,GasTable,13)+Assumptions!$C$58,0)</f>
        <v>4.5871112217967047</v>
      </c>
      <c r="HF277" s="1715">
        <f>HE277*Assumptions!$C$57/1000</f>
        <v>33.25655635802611</v>
      </c>
      <c r="HG277" s="625">
        <f>IF(Assumptions!$C$60="Hourly",MAX(0,HC277*(HD277-HF277)),HC277*(HD277-HF277))</f>
        <v>142496.03442329192</v>
      </c>
      <c r="HH277" s="640">
        <f>IF($A277&gt;=BegDate,Assumptions!$C$56*24*($A278-$A277)*(1-VLOOKUP($B277,MAIN!$AA$7:$AM$28,$C277+1))*(1-VLOOKUP($B277,MAIN!$AA$33:$AM$54,$C277+1)),0)*56/168</f>
        <v>180420</v>
      </c>
      <c r="HI277" s="1715">
        <f t="shared" si="853"/>
        <v>36.020862535176768</v>
      </c>
      <c r="HJ277" s="1715">
        <f>IF($A277&gt;=BegDate,VLOOKUP($A277,GasTable,13)+Assumptions!$C$58,0)</f>
        <v>4.5871112217967047</v>
      </c>
      <c r="HK277" s="1715">
        <f>HJ277*Assumptions!$C$57/1000</f>
        <v>33.25655635802611</v>
      </c>
      <c r="HL277" s="625">
        <f>IF(Assumptions!$C$60="Hourly",MAX(0,HH277*(HI277-HK277)),HH277*(HI277-HK277))</f>
        <v>498736.12048152171</v>
      </c>
      <c r="HM277" s="640">
        <f>IF(AND(Assumptions!$H$71="Yes",A277&gt;=Assumptions!$H$72,A277&lt;=Assumptions!$H$73),Assumptions!$H$74*Assumptions!$C$9*1000,0)</f>
        <v>0</v>
      </c>
      <c r="HN277" s="530"/>
      <c r="HO277" s="545"/>
      <c r="HP277" s="545"/>
      <c r="HQ277" s="545"/>
      <c r="HR277" s="545"/>
      <c r="HS277" s="545"/>
      <c r="HT277" s="545"/>
      <c r="HU277" s="545"/>
      <c r="HV277" s="545"/>
      <c r="HW277" s="545"/>
      <c r="HX277" s="545"/>
      <c r="HY277" s="545"/>
      <c r="HZ277" s="545"/>
      <c r="IA277" s="545"/>
      <c r="IB277" s="545"/>
      <c r="IC277" s="545"/>
      <c r="ID277" s="545"/>
      <c r="IE277" s="545"/>
      <c r="IF277" s="545"/>
      <c r="IG277" s="545"/>
      <c r="IH277" s="545"/>
      <c r="II277" s="1464"/>
      <c r="IJ277" s="1463"/>
      <c r="IK277" s="1463"/>
    </row>
    <row r="278" spans="1:245">
      <c r="A278" s="177">
        <f t="shared" si="808"/>
        <v>44593</v>
      </c>
      <c r="B278" s="349">
        <f t="shared" si="809"/>
        <v>2022</v>
      </c>
      <c r="C278" s="15">
        <f t="shared" si="749"/>
        <v>2</v>
      </c>
      <c r="D278" s="612" t="str">
        <f t="shared" si="810"/>
        <v/>
      </c>
      <c r="E278" s="609">
        <f t="shared" si="750"/>
        <v>44593</v>
      </c>
      <c r="F278" s="614">
        <f t="shared" si="751"/>
        <v>44620</v>
      </c>
      <c r="G278" s="1349">
        <v>0</v>
      </c>
      <c r="H278" s="152">
        <f t="shared" si="854"/>
        <v>1</v>
      </c>
      <c r="I278" s="154">
        <f>IF(Assumptions!$L$25=4,VLOOKUP($A278,'Henwood Reference'!$E$9:$R$320,10),(VLOOKUP($A278,PriceTable,2,0)+IF(BasisNumber&lt;&gt;1,VLOOKUP($A278,BasisTable,2,0),0)+I$1)/(1-I$2))</f>
        <v>47.890430653492736</v>
      </c>
      <c r="J278" s="154">
        <f>IF(Assumptions!$L$25=4,VLOOKUP($A278,'Henwood Reference'!$E$9:$R$320,10),(VLOOKUP($A278,PriceTable,3,0)+IF(BasisNumber&lt;&gt;1,VLOOKUP($A278,BasisTable,2,0),0)+J$1)/(1-J$2))</f>
        <v>47.890430653492736</v>
      </c>
      <c r="K278" s="154">
        <f>IF(Assumptions!$L$25=4,VLOOKUP($A278,'Henwood Reference'!$E$9:$R$320,10),(VLOOKUP($A278,PriceTable,4,0)+IF(BasisNumber&lt;&gt;1,VLOOKUP($A278,BasisTable,2,0),0)+K$1)/(1-K$2))</f>
        <v>47.890430653492736</v>
      </c>
      <c r="L278" s="474">
        <f>IF(Assumptions!$L$25=4,VLOOKUP($A278,'Henwood Reference'!$E$9:$R$320,10),(VLOOKUP($A278,PriceTableWeekend,2,0)+IF(BasisNumber&lt;&gt;1,VLOOKUP($A278,BasisTable,2,0),0)+L$1)/(1-L$2))</f>
        <v>47.890430653492736</v>
      </c>
      <c r="M278" s="154">
        <f>IF(Assumptions!$L$25=4,VLOOKUP($A278,'Henwood Reference'!$E$9:$R$320,10),(VLOOKUP($A278,PriceTableWeekend,3,0)+IF(BasisNumber&lt;&gt;1,VLOOKUP($A278,BasisTable,2,0),0)+M$1)/(1-M$2))</f>
        <v>47.890430653492736</v>
      </c>
      <c r="N278" s="156">
        <f>IF(Assumptions!$L$25=4,VLOOKUP($A278,'Henwood Reference'!$E$9:$R$320,10),(VLOOKUP($A278,PriceTableWeekend,4,0)+IF(BasisNumber&lt;&gt;1,VLOOKUP($A278,BasisTable,2,0),0)+N$1)/(1-N$2))</f>
        <v>47.890430653492736</v>
      </c>
      <c r="O278" s="154">
        <f>IF(Assumptions!$L$25=4,VLOOKUP($A278,'Henwood Reference'!$E$9:$R$320,11),(VLOOKUP($A278,PriceTableWeekend,6,0)+IF(BasisNumber&lt;&gt;1,VLOOKUP($A278,BasisTable,3,0),0)+O$1)/(1-O$2))</f>
        <v>29.786544914805951</v>
      </c>
      <c r="P278" s="154">
        <f>IF(Assumptions!$L$25=4,VLOOKUP($A278,'Henwood Reference'!$E$9:$R$320,11),(VLOOKUP($A278,PriceTableWeekend,7,0)+IF(BasisNumber&lt;&gt;1,VLOOKUP($A278,BasisTable,3,0),0)+P$1)/(1-P$2))</f>
        <v>29.786544914805951</v>
      </c>
      <c r="Q278" s="156">
        <f>IF(Assumptions!$L$25=4,VLOOKUP($A278,'Henwood Reference'!$E$9:$R$320,11),(VLOOKUP($A278,PriceTableWeekend,8,0)+IF(BasisNumber&lt;&gt;1,VLOOKUP($A278,BasisTable,3,0),0)+Q$1)/(1-Q$2))</f>
        <v>29.786544914805951</v>
      </c>
      <c r="R278" s="154">
        <f>IF(Assumptions!$L$25=4,VLOOKUP($A278,'Henwood Reference'!$E$9:$R$320,11),(VLOOKUP($A278,PriceTable,6,0)+IF(BasisNumber&lt;&gt;1,VLOOKUP($A278,BasisTable,3,0),0)+R$1)/(1-R$2))</f>
        <v>29.786544914805951</v>
      </c>
      <c r="S278" s="154">
        <f>IF(Assumptions!$L$25=4,VLOOKUP($A278,'Henwood Reference'!$E$9:$R$320,11),(VLOOKUP($A278,PriceTable,7,0)+IF(BasisNumber&lt;&gt;1,VLOOKUP($A278,BasisTable,3,0),0)+S$1)/(1-S$2))</f>
        <v>29.786544914805951</v>
      </c>
      <c r="T278" s="155">
        <f>IF(Assumptions!$L$25=4,VLOOKUP($A278,'Henwood Reference'!$E$9:$R$320,11),(VLOOKUP($A278,PriceTable,8,0)+IF(BasisNumber&lt;&gt;1,VLOOKUP($A278,BasisTable,3,0),0)+T$1)/(1-T$2))</f>
        <v>29.786544914805951</v>
      </c>
      <c r="U278" s="173">
        <f t="shared" si="811"/>
        <v>0.09</v>
      </c>
      <c r="V278" s="173">
        <f t="shared" si="812"/>
        <v>0.1</v>
      </c>
      <c r="W278" s="174">
        <f t="shared" si="813"/>
        <v>0.11</v>
      </c>
      <c r="X278" s="173">
        <f t="shared" si="814"/>
        <v>0.09</v>
      </c>
      <c r="Y278" s="173">
        <f t="shared" si="815"/>
        <v>0.1</v>
      </c>
      <c r="Z278" s="174">
        <f t="shared" si="816"/>
        <v>0.11</v>
      </c>
      <c r="AA278" s="173">
        <f t="shared" si="817"/>
        <v>0.09</v>
      </c>
      <c r="AB278" s="173">
        <f t="shared" si="818"/>
        <v>0.11</v>
      </c>
      <c r="AC278" s="174">
        <f t="shared" si="819"/>
        <v>0.13</v>
      </c>
      <c r="AD278" s="173">
        <f t="shared" si="820"/>
        <v>0.09</v>
      </c>
      <c r="AE278" s="173">
        <f t="shared" si="821"/>
        <v>0.11</v>
      </c>
      <c r="AF278" s="174">
        <f t="shared" si="822"/>
        <v>0.13</v>
      </c>
      <c r="AG278" s="173">
        <f t="shared" si="823"/>
        <v>-0.25</v>
      </c>
      <c r="AH278" s="173">
        <f t="shared" si="824"/>
        <v>0.65</v>
      </c>
      <c r="AI278" s="174">
        <f t="shared" si="825"/>
        <v>0.25</v>
      </c>
      <c r="AJ278" s="173">
        <f t="shared" si="826"/>
        <v>-0.25</v>
      </c>
      <c r="AK278" s="173">
        <f t="shared" si="827"/>
        <v>0.65</v>
      </c>
      <c r="AL278" s="174">
        <f t="shared" si="828"/>
        <v>0.25</v>
      </c>
      <c r="AM278" s="173">
        <f t="shared" si="829"/>
        <v>-0.01</v>
      </c>
      <c r="AN278" s="173">
        <f t="shared" si="830"/>
        <v>0.16</v>
      </c>
      <c r="AO278" s="174">
        <f t="shared" si="831"/>
        <v>0.01</v>
      </c>
      <c r="AP278" s="173">
        <f t="shared" si="832"/>
        <v>-0.01</v>
      </c>
      <c r="AQ278" s="173">
        <f t="shared" si="833"/>
        <v>0.16</v>
      </c>
      <c r="AR278" s="175">
        <f t="shared" si="834"/>
        <v>0.01</v>
      </c>
      <c r="AS278" s="521">
        <f t="shared" si="835"/>
        <v>0.5</v>
      </c>
      <c r="AT278" s="349">
        <f t="shared" si="752"/>
        <v>20</v>
      </c>
      <c r="AU278" s="159">
        <f t="shared" si="753"/>
        <v>4</v>
      </c>
      <c r="AV278" s="159">
        <f t="shared" si="754"/>
        <v>4</v>
      </c>
      <c r="AW278" s="159">
        <f t="shared" si="836"/>
        <v>0</v>
      </c>
      <c r="AX278" s="15">
        <f t="shared" si="755"/>
        <v>28</v>
      </c>
      <c r="AY278" s="607">
        <f>IF(E278="",0,MIN((1-(1-VLOOKUP(B278,MAIN!$AA$7:$AM$28,C278+1))*(1-VLOOKUP(B278,MAIN!$AA$33:$AM$54,C278+1))),1))</f>
        <v>3.0000000000000027E-2</v>
      </c>
      <c r="AZ278" s="337">
        <v>46560</v>
      </c>
      <c r="BA278" s="509">
        <v>9312</v>
      </c>
      <c r="BB278" s="509">
        <v>9312</v>
      </c>
      <c r="BC278" s="511">
        <v>32592</v>
      </c>
      <c r="BD278" s="153">
        <v>0.97</v>
      </c>
      <c r="BE278" s="474">
        <v>0.97</v>
      </c>
      <c r="BF278" s="474">
        <v>0.97</v>
      </c>
      <c r="BG278" s="515">
        <v>0.9699999927729368</v>
      </c>
      <c r="BH278" s="262">
        <v>186240</v>
      </c>
      <c r="BI278" s="509">
        <v>37248</v>
      </c>
      <c r="BJ278" s="509">
        <v>37248</v>
      </c>
      <c r="BK278" s="511">
        <v>130368</v>
      </c>
      <c r="BL278" s="153">
        <v>0.97</v>
      </c>
      <c r="BM278" s="474">
        <v>0.97</v>
      </c>
      <c r="BN278" s="474">
        <v>0.97</v>
      </c>
      <c r="BO278" s="474">
        <v>0.9699999927729368</v>
      </c>
      <c r="BP278" s="261">
        <f t="shared" si="837"/>
        <v>65184</v>
      </c>
      <c r="BQ278" s="578">
        <f t="shared" si="838"/>
        <v>97776</v>
      </c>
      <c r="BR278" s="259">
        <f t="shared" si="839"/>
        <v>260736</v>
      </c>
      <c r="BS278" s="578">
        <f t="shared" si="840"/>
        <v>391104</v>
      </c>
      <c r="BT278" s="216">
        <f t="shared" si="841"/>
        <v>21.801505817932924</v>
      </c>
      <c r="BU278" s="218">
        <f t="shared" si="756"/>
        <v>47.890430653492736</v>
      </c>
      <c r="BV278" s="216">
        <f t="shared" si="757"/>
        <v>47.890430653492736</v>
      </c>
      <c r="BW278" s="216">
        <f t="shared" si="758"/>
        <v>29.786544914805951</v>
      </c>
      <c r="BX278" s="216">
        <f t="shared" si="842"/>
        <v>29.786544692878898</v>
      </c>
      <c r="BY278" s="216">
        <f t="shared" si="759"/>
        <v>45.304161262251768</v>
      </c>
      <c r="BZ278" s="216">
        <f t="shared" si="760"/>
        <v>40.131622405794147</v>
      </c>
      <c r="CA278" s="264">
        <f t="shared" si="761"/>
        <v>47.890430653492736</v>
      </c>
      <c r="CB278" s="216">
        <f t="shared" si="762"/>
        <v>47.890430653492736</v>
      </c>
      <c r="CC278" s="216">
        <f t="shared" si="763"/>
        <v>29.786544914805951</v>
      </c>
      <c r="CD278" s="216">
        <f t="shared" si="843"/>
        <v>29.786544692878898</v>
      </c>
      <c r="CE278" s="216">
        <f t="shared" si="764"/>
        <v>45.304161262251768</v>
      </c>
      <c r="CF278" s="571">
        <f t="shared" si="765"/>
        <v>40.131622405794147</v>
      </c>
      <c r="CG278" s="573">
        <f t="shared" si="766"/>
        <v>0.1</v>
      </c>
      <c r="CH278" s="219">
        <f t="shared" si="767"/>
        <v>0.1</v>
      </c>
      <c r="CI278" s="219">
        <f t="shared" si="768"/>
        <v>0.11</v>
      </c>
      <c r="CJ278" s="219">
        <f t="shared" si="769"/>
        <v>0.10094868145845731</v>
      </c>
      <c r="CK278" s="219">
        <f t="shared" si="770"/>
        <v>0.10094868145845731</v>
      </c>
      <c r="CL278" s="219">
        <f t="shared" si="771"/>
        <v>0.11</v>
      </c>
      <c r="CM278" s="219">
        <f t="shared" si="772"/>
        <v>9.2958236778409919E-2</v>
      </c>
      <c r="CN278" s="569">
        <f t="shared" si="773"/>
        <v>9.2958236778409919E-2</v>
      </c>
      <c r="CO278" s="264">
        <f t="shared" si="685"/>
        <v>32.405188515260647</v>
      </c>
      <c r="CP278" s="216">
        <f t="shared" si="844"/>
        <v>32.405188515260647</v>
      </c>
      <c r="CQ278" s="216">
        <f t="shared" ca="1" si="703"/>
        <v>41.663813805335117</v>
      </c>
      <c r="CR278" s="216">
        <f t="shared" ca="1" si="704"/>
        <v>41.663813805335117</v>
      </c>
      <c r="CS278" s="1626">
        <f t="shared" ca="1" si="705"/>
        <v>36.373170782435423</v>
      </c>
      <c r="CT278" s="216">
        <f t="shared" si="845"/>
        <v>32.405188515260647</v>
      </c>
      <c r="CU278" s="575">
        <f t="shared" si="774"/>
        <v>0.15</v>
      </c>
      <c r="CV278" s="154">
        <f t="shared" si="775"/>
        <v>0.5</v>
      </c>
      <c r="CW278" s="216">
        <f>IF(OR($BQ278,$BS278),SpreadOptPowerMargin,0)*((1+Assumptions!$C$26)^($B278-YEAR(Assumptions!$C$17)))</f>
        <v>2.6222601105500365</v>
      </c>
      <c r="CX278" s="216">
        <f>IF(OR($BQ278,$BS278),SpreadOptPowerMargin,0)*((1+Assumptions!$C$26)^($B278-YEAR(Assumptions!$C$17)))</f>
        <v>2.6222601105500365</v>
      </c>
      <c r="CY278" s="216">
        <f>IF(OR($BQ278,$BS278),SpreadOptPowerMargin,0)*((1+Assumptions!$C$26)^($B278-YEAR(Assumptions!$C$17)))</f>
        <v>2.6222601105500365</v>
      </c>
      <c r="CZ278" s="216">
        <f>IF(OR($BQ278,$BS278),SpreadOptPowerMargin,0)*((1+Assumptions!$C$26)^($B278-YEAR(Assumptions!$C$17)))</f>
        <v>2.6222601105500365</v>
      </c>
      <c r="DA278" s="440">
        <f t="shared" si="776"/>
        <v>2.6222601105500365</v>
      </c>
      <c r="DB278" s="479">
        <f t="shared" si="777"/>
        <v>0.1</v>
      </c>
      <c r="DC278" s="479">
        <f t="shared" si="778"/>
        <v>0.1</v>
      </c>
      <c r="DD278" s="479">
        <f t="shared" si="779"/>
        <v>0.11</v>
      </c>
      <c r="DE278" s="479">
        <f t="shared" si="780"/>
        <v>0.11</v>
      </c>
      <c r="DF278" s="479">
        <f t="shared" si="781"/>
        <v>9.2958236778409919E-2</v>
      </c>
      <c r="DG278" s="574">
        <f t="shared" si="782"/>
        <v>9.2958236778409919E-2</v>
      </c>
      <c r="DH278" s="216">
        <f t="shared" si="783"/>
        <v>17.217544974631327</v>
      </c>
      <c r="DI278" s="216">
        <f t="shared" si="784"/>
        <v>17.217544974631327</v>
      </c>
      <c r="DJ278" s="216">
        <f t="shared" ca="1" si="706"/>
        <v>3.1790687344855644</v>
      </c>
      <c r="DK278" s="216">
        <f t="shared" ca="1" si="707"/>
        <v>3.1790686545698357</v>
      </c>
      <c r="DL278" s="216">
        <f t="shared" ca="1" si="708"/>
        <v>9.534878972252967</v>
      </c>
      <c r="DM278" s="216"/>
      <c r="DN278" s="216"/>
      <c r="DO278" s="216"/>
      <c r="DP278" s="216"/>
      <c r="DQ278" s="216"/>
      <c r="DR278" s="216"/>
      <c r="DS278" s="216"/>
      <c r="DT278" s="216"/>
      <c r="DU278" s="216"/>
      <c r="DV278" s="216"/>
      <c r="DW278" s="1371">
        <f t="shared" si="785"/>
        <v>5.161822511144301</v>
      </c>
      <c r="DX278" s="216">
        <f t="shared" si="786"/>
        <v>5.161822397271818</v>
      </c>
      <c r="DY278" s="440">
        <f t="shared" si="787"/>
        <v>12.050806738036536</v>
      </c>
      <c r="DZ278" s="180">
        <f t="shared" si="788"/>
        <v>801648.89401883457</v>
      </c>
      <c r="EA278" s="180">
        <f t="shared" si="789"/>
        <v>160329.77880376691</v>
      </c>
      <c r="EB278" s="180">
        <f t="shared" ca="1" si="709"/>
        <v>29603.488055529575</v>
      </c>
      <c r="EC278" s="180">
        <f t="shared" ca="1" si="710"/>
        <v>103612.20558974009</v>
      </c>
      <c r="ED278" s="180">
        <f t="shared" ca="1" si="711"/>
        <v>932282.32639100612</v>
      </c>
      <c r="EE278" s="581">
        <f t="shared" si="790"/>
        <v>598900.4432088763</v>
      </c>
      <c r="EF278" s="554">
        <f t="shared" si="791"/>
        <v>119780.08864177526</v>
      </c>
      <c r="EG278" s="554">
        <f t="shared" ca="1" si="712"/>
        <v>0</v>
      </c>
      <c r="EH278" s="554">
        <f t="shared" ca="1" si="713"/>
        <v>0</v>
      </c>
      <c r="EI278" s="561">
        <f t="shared" ca="1" si="792"/>
        <v>111092.26135638212</v>
      </c>
      <c r="EJ278" s="581">
        <f t="shared" si="846"/>
        <v>202748.45080995827</v>
      </c>
      <c r="EK278" s="554">
        <f t="shared" si="847"/>
        <v>40549.690161991646</v>
      </c>
      <c r="EL278" s="554">
        <f t="shared" ca="1" si="714"/>
        <v>29603.488055529575</v>
      </c>
      <c r="EM278" s="554">
        <f t="shared" ca="1" si="715"/>
        <v>103612.20558974009</v>
      </c>
      <c r="EN278" s="561">
        <f t="shared" ca="1" si="716"/>
        <v>821190.06503462396</v>
      </c>
      <c r="EO278" s="180">
        <f t="shared" si="793"/>
        <v>3206595.5760753383</v>
      </c>
      <c r="EP278" s="180">
        <f t="shared" si="794"/>
        <v>641319.11521506764</v>
      </c>
      <c r="EQ278" s="180">
        <f t="shared" si="795"/>
        <v>192267.56489510293</v>
      </c>
      <c r="ER278" s="180">
        <f t="shared" si="796"/>
        <v>672936.4622875324</v>
      </c>
      <c r="ES278" s="180">
        <f t="shared" si="797"/>
        <v>4713118.7184730414</v>
      </c>
      <c r="ET278" s="1482">
        <f t="shared" ca="1" si="717"/>
        <v>2395601.7728355052</v>
      </c>
      <c r="EU278" s="180">
        <f t="shared" ca="1" si="718"/>
        <v>479120.35456710105</v>
      </c>
      <c r="EV278" s="180">
        <f t="shared" ca="1" si="719"/>
        <v>0</v>
      </c>
      <c r="EW278" s="180">
        <f t="shared" ca="1" si="720"/>
        <v>0</v>
      </c>
      <c r="EX278" s="555">
        <f t="shared" ca="1" si="693"/>
        <v>2874722.1274026064</v>
      </c>
      <c r="EY278" s="180">
        <f t="shared" ca="1" si="721"/>
        <v>810993.8032398331</v>
      </c>
      <c r="EZ278" s="180">
        <f t="shared" ca="1" si="722"/>
        <v>162198.76064796658</v>
      </c>
      <c r="FA278" s="180">
        <f t="shared" ca="1" si="723"/>
        <v>192267.56489510293</v>
      </c>
      <c r="FB278" s="180">
        <f t="shared" ca="1" si="724"/>
        <v>672936.4622875324</v>
      </c>
      <c r="FC278" s="180">
        <f t="shared" ca="1" si="725"/>
        <v>1838396.591070435</v>
      </c>
      <c r="FD278" s="262">
        <f>IF(AX278,IF(VLOOKUP(C278,MAIN!$L$17:$M$28,2)="Yes",VLOOKUP(CALC!B278,MAIN!$H$17:$I$20,2),0),0)</f>
        <v>0</v>
      </c>
      <c r="FE278" s="623">
        <f t="shared" si="798"/>
        <v>0</v>
      </c>
      <c r="FF278" s="535">
        <f t="shared" si="799"/>
        <v>0</v>
      </c>
      <c r="FG278" s="535">
        <f t="shared" si="800"/>
        <v>0</v>
      </c>
      <c r="FH278" s="624">
        <f t="shared" si="801"/>
        <v>0</v>
      </c>
      <c r="FI278" s="632">
        <f>IF(AX278,VLOOKUP(CALC!B278,MAIN!$H$17:$K$20,4),0)</f>
        <v>0</v>
      </c>
      <c r="FJ278" s="535">
        <f t="shared" si="802"/>
        <v>0</v>
      </c>
      <c r="FK278" s="648">
        <f t="shared" si="848"/>
        <v>0</v>
      </c>
      <c r="FL278" s="530">
        <f t="shared" ca="1" si="726"/>
        <v>0</v>
      </c>
      <c r="FM278" s="530">
        <f t="shared" ca="1" si="727"/>
        <v>0</v>
      </c>
      <c r="FN278" s="530">
        <f t="shared" ca="1" si="728"/>
        <v>0</v>
      </c>
      <c r="FO278" s="622">
        <f t="shared" ca="1" si="729"/>
        <v>0</v>
      </c>
      <c r="FP278" s="530">
        <f t="shared" ca="1" si="730"/>
        <v>0</v>
      </c>
      <c r="FQ278" s="530">
        <f t="shared" ca="1" si="731"/>
        <v>0</v>
      </c>
      <c r="FR278" s="530">
        <f t="shared" ca="1" si="732"/>
        <v>0</v>
      </c>
      <c r="FS278" s="625">
        <f t="shared" ca="1" si="733"/>
        <v>0</v>
      </c>
      <c r="FT278" s="640">
        <f ca="1">IF(AND(Assumptions!$H$71="Yes",A278&gt;=Assumptions!$H$72,A278&lt;=Assumptions!$H$73),0,IF(AND($A278&gt;=Assumptions!$C$17,$A278&lt;=Assumptions!$C$18),MAX(AZ278*(1+VLOOKUP($C278,WeatherCapacityAdjustment,2))-FL278,0),0))</f>
        <v>46560</v>
      </c>
      <c r="FU278" s="530">
        <f ca="1">IF(AND(Assumptions!$H$71="Yes",A278&gt;=Assumptions!$H$72,A278&lt;=Assumptions!$H$73),0,IF(AND($A278&gt;=Assumptions!$C$17,$A278&lt;=Assumptions!$C$18),MAX(BA278*(1+VLOOKUP($C278,WeatherCapacityAdjustment,2))-FM278,0),0))</f>
        <v>9312</v>
      </c>
      <c r="FV278" s="530">
        <f ca="1">IF(AND(Assumptions!$H$71="Yes",A278&gt;=Assumptions!$H$72,A278&lt;=Assumptions!$H$73),0,IF(AND($A278&gt;=Assumptions!$C$17,$A278&lt;=Assumptions!$C$18),MAX(BB278*(1+VLOOKUP($C278,WeatherCapacityAdjustment,2))-FN278,0),0))</f>
        <v>9312</v>
      </c>
      <c r="FW278" s="622">
        <f ca="1">IF(AND(Assumptions!$H$71="Yes",A278&gt;=Assumptions!$H$72,A278&lt;=Assumptions!$H$73),0,IF(AND($A278&gt;=Assumptions!$C$17,$A278&lt;=Assumptions!$C$18),MAX(BC278*(1+VLOOKUP($C278,WeatherCapacityAdjustment,3))-FO278,0),0))</f>
        <v>32592</v>
      </c>
      <c r="FX278" s="621">
        <f ca="1">IF(AND(Assumptions!$H$71="Yes",A278&gt;=Assumptions!$H$72,A278&lt;=Assumptions!$H$73),0,IF(ET278&gt;0,MAX(BH278*(1+VLOOKUP($C278,WeatherCapacityAdjustment,2))-FP278,0),0))</f>
        <v>186240</v>
      </c>
      <c r="FY278" s="530">
        <f ca="1">IF(AND(Assumptions!$H$71="Yes",A278&gt;=Assumptions!$H$72,A278&lt;=Assumptions!$H$73),0,IF(EU278&gt;0,MAX(BI278*(1+VLOOKUP($C278,WeatherCapacityAdjustment,3))-FQ278,0),0))</f>
        <v>37248</v>
      </c>
      <c r="FZ278" s="530">
        <f ca="1">IF(AND(Assumptions!$H$71="Yes",A278&gt;=Assumptions!$H$72,A278&lt;=Assumptions!$H$73),0,IF(EV278&gt;0,MAX(BJ278*(1+VLOOKUP($C278,WeatherCapacityAdjustment,2))-FR278,0),0))</f>
        <v>0</v>
      </c>
      <c r="GA278" s="622">
        <f ca="1">IF(AND(Assumptions!$H$71="Yes",A278&gt;=Assumptions!$H$72,A278&lt;=Assumptions!$H$73),0,IF(EW278&gt;0,MAX(BK278*(1+VLOOKUP($C278,WeatherCapacityAdjustment,2))-FS278,0),0))</f>
        <v>0</v>
      </c>
      <c r="GB278" s="530">
        <f t="shared" ca="1" si="803"/>
        <v>321264</v>
      </c>
      <c r="GC278" s="545">
        <f t="shared" ca="1" si="804"/>
        <v>45.529054230280124</v>
      </c>
      <c r="GD278" s="530">
        <f t="shared" ca="1" si="734"/>
        <v>14626846.078236714</v>
      </c>
      <c r="GE278" s="1485">
        <f t="shared" ca="1" si="735"/>
        <v>775307.80800000008</v>
      </c>
      <c r="GF278" s="1776">
        <f t="shared" ca="1" si="736"/>
        <v>1578808.6272000002</v>
      </c>
      <c r="GG278" s="545">
        <f t="shared" si="701"/>
        <v>4.5871112217967047</v>
      </c>
      <c r="GH278" s="622">
        <f t="shared" ca="1" si="702"/>
        <v>10798593.917321976</v>
      </c>
      <c r="GI278" s="621">
        <f t="shared" ca="1" si="849"/>
        <v>321264</v>
      </c>
      <c r="GJ278" s="638">
        <f t="shared" si="805"/>
        <v>2.6222601105500365</v>
      </c>
      <c r="GK278" s="625">
        <f t="shared" ca="1" si="855"/>
        <v>842437.77215574693</v>
      </c>
      <c r="GL278" s="640">
        <f t="shared" ca="1" si="737"/>
        <v>0</v>
      </c>
      <c r="GM278" s="530">
        <f t="shared" ca="1" si="738"/>
        <v>0</v>
      </c>
      <c r="GN278" s="530">
        <f t="shared" ca="1" si="739"/>
        <v>0</v>
      </c>
      <c r="GO278" s="622">
        <f t="shared" ca="1" si="740"/>
        <v>0</v>
      </c>
      <c r="GP278" s="530">
        <f t="shared" ca="1" si="806"/>
        <v>0</v>
      </c>
      <c r="GQ278" s="545">
        <f t="shared" ca="1" si="807"/>
        <v>0</v>
      </c>
      <c r="GR278" s="625">
        <f t="shared" ca="1" si="741"/>
        <v>0</v>
      </c>
      <c r="GS278" s="640">
        <f>IF($A278&gt;=BegDate,Assumptions!$C$56*24*($A279-$A278)*(1-VLOOKUP($B278,MAIN!$AA$7:$AM$28,$C278+1))*(1-VLOOKUP($B278,MAIN!$AA$33:$AM$54,$C278+1)),0)*80/168</f>
        <v>232800</v>
      </c>
      <c r="GT278" s="1715">
        <f t="shared" si="850"/>
        <v>47.890430653492736</v>
      </c>
      <c r="GU278" s="1715">
        <f>IF($A278&gt;=BegDate,VLOOKUP($A278,GasTable,13)+Assumptions!$C$58,0)</f>
        <v>4.5871112217967047</v>
      </c>
      <c r="GV278" s="1715">
        <f>GU278*Assumptions!$C$57/1000</f>
        <v>33.25655635802611</v>
      </c>
      <c r="GW278" s="625">
        <f>IF(Assumptions!$C$60="Hourly",MAX(0,GS278*(GT278-GV278)),GS278*(GT278-GV278))</f>
        <v>3406765.9359846306</v>
      </c>
      <c r="GX278" s="640">
        <f>IF($A278&gt;=BegDate,Assumptions!$C$56*24*($A279-$A278)*(1-VLOOKUP($B278,MAIN!$AA$7:$AM$28,$C278+1))*(1-VLOOKUP($B278,MAIN!$AA$33:$AM$54,$C278+1)),0)*16/168</f>
        <v>46560</v>
      </c>
      <c r="GY278" s="1715">
        <f t="shared" si="851"/>
        <v>47.890430653492736</v>
      </c>
      <c r="GZ278" s="1715">
        <f>IF($A278&gt;=BegDate,VLOOKUP($A278,GasTable,13)+Assumptions!$C$58,0)</f>
        <v>4.5871112217967047</v>
      </c>
      <c r="HA278" s="1715">
        <f>GZ278*Assumptions!$C$57/1000</f>
        <v>33.25655635802611</v>
      </c>
      <c r="HB278" s="625">
        <f>IF(Assumptions!$C$60="Hourly",MAX(0,GX278*(GY278-HA278)),GX278*(GY278-HA278))</f>
        <v>681353.1871969261</v>
      </c>
      <c r="HC278" s="640">
        <f>IF($A278&gt;=BegDate,Assumptions!$C$56*24*($A279-$A278)*(1-VLOOKUP($B278,MAIN!$AA$7:$AM$28,$C278+1))*(1-VLOOKUP($B278,MAIN!$AA$33:$AM$54,$C278+1)),0)*16/168</f>
        <v>46560</v>
      </c>
      <c r="HD278" s="1715">
        <f t="shared" si="852"/>
        <v>29.786544914805951</v>
      </c>
      <c r="HE278" s="1715">
        <f>IF($A278&gt;=BegDate,VLOOKUP($A278,GasTable,13)+Assumptions!$C$58,0)</f>
        <v>4.5871112217967047</v>
      </c>
      <c r="HF278" s="1715">
        <f>HE278*Assumptions!$C$57/1000</f>
        <v>33.25655635802611</v>
      </c>
      <c r="HG278" s="625">
        <f>IF(Assumptions!$C$60="Hourly",MAX(0,HC278*(HD278-HF278)),HC278*(HD278-HF278))</f>
        <v>0</v>
      </c>
      <c r="HH278" s="640">
        <f>IF($A278&gt;=BegDate,Assumptions!$C$56*24*($A279-$A278)*(1-VLOOKUP($B278,MAIN!$AA$7:$AM$28,$C278+1))*(1-VLOOKUP($B278,MAIN!$AA$33:$AM$54,$C278+1)),0)*56/168</f>
        <v>162960</v>
      </c>
      <c r="HI278" s="1715">
        <f t="shared" si="853"/>
        <v>29.786544914805951</v>
      </c>
      <c r="HJ278" s="1715">
        <f>IF($A278&gt;=BegDate,VLOOKUP($A278,GasTable,13)+Assumptions!$C$58,0)</f>
        <v>4.5871112217967047</v>
      </c>
      <c r="HK278" s="1715">
        <f>HJ278*Assumptions!$C$57/1000</f>
        <v>33.25655635802611</v>
      </c>
      <c r="HL278" s="625">
        <f>IF(Assumptions!$C$60="Hourly",MAX(0,HH278*(HI278-HK278)),HH278*(HI278-HK278))</f>
        <v>0</v>
      </c>
      <c r="HM278" s="640">
        <f>IF(AND(Assumptions!$H$71="Yes",A278&gt;=Assumptions!$H$72,A278&lt;=Assumptions!$H$73),Assumptions!$H$74*Assumptions!$C$9*1000,0)</f>
        <v>0</v>
      </c>
      <c r="HN278" s="530"/>
      <c r="HO278" s="545"/>
      <c r="HP278" s="545"/>
      <c r="HQ278" s="545"/>
      <c r="HR278" s="545"/>
      <c r="HS278" s="545"/>
      <c r="HT278" s="545"/>
      <c r="HU278" s="545"/>
      <c r="HV278" s="545"/>
      <c r="HW278" s="545"/>
      <c r="HX278" s="545"/>
      <c r="HY278" s="545"/>
      <c r="HZ278" s="545"/>
      <c r="IA278" s="545"/>
      <c r="IB278" s="545"/>
      <c r="IC278" s="545"/>
      <c r="ID278" s="545"/>
      <c r="IE278" s="545"/>
      <c r="IF278" s="545"/>
      <c r="IG278" s="545"/>
      <c r="IH278" s="545"/>
      <c r="II278" s="1464"/>
      <c r="IJ278" s="1463"/>
      <c r="IK278" s="1463"/>
    </row>
    <row r="279" spans="1:245">
      <c r="A279" s="177">
        <f t="shared" si="808"/>
        <v>44621</v>
      </c>
      <c r="B279" s="349">
        <f t="shared" si="809"/>
        <v>2022</v>
      </c>
      <c r="C279" s="15">
        <f t="shared" si="749"/>
        <v>3</v>
      </c>
      <c r="D279" s="612" t="str">
        <f t="shared" si="810"/>
        <v/>
      </c>
      <c r="E279" s="609">
        <f t="shared" si="750"/>
        <v>44621</v>
      </c>
      <c r="F279" s="614">
        <f t="shared" si="751"/>
        <v>44651</v>
      </c>
      <c r="G279" s="1349">
        <v>0</v>
      </c>
      <c r="H279" s="152">
        <f t="shared" si="854"/>
        <v>1</v>
      </c>
      <c r="I279" s="154">
        <f>IF(Assumptions!$L$25=4,VLOOKUP($A279,'Henwood Reference'!$E$9:$R$320,10),(VLOOKUP($A279,PriceTable,2,0)+IF(BasisNumber&lt;&gt;1,VLOOKUP($A279,BasisTable,2,0),0)+I$1)/(1-I$2))</f>
        <v>45.975580233269739</v>
      </c>
      <c r="J279" s="154">
        <f>IF(Assumptions!$L$25=4,VLOOKUP($A279,'Henwood Reference'!$E$9:$R$320,10),(VLOOKUP($A279,PriceTable,3,0)+IF(BasisNumber&lt;&gt;1,VLOOKUP($A279,BasisTable,2,0),0)+J$1)/(1-J$2))</f>
        <v>45.975580233269739</v>
      </c>
      <c r="K279" s="154">
        <f>IF(Assumptions!$L$25=4,VLOOKUP($A279,'Henwood Reference'!$E$9:$R$320,10),(VLOOKUP($A279,PriceTable,4,0)+IF(BasisNumber&lt;&gt;1,VLOOKUP($A279,BasisTable,2,0),0)+K$1)/(1-K$2))</f>
        <v>45.975580233269739</v>
      </c>
      <c r="L279" s="474">
        <f>IF(Assumptions!$L$25=4,VLOOKUP($A279,'Henwood Reference'!$E$9:$R$320,10),(VLOOKUP($A279,PriceTableWeekend,2,0)+IF(BasisNumber&lt;&gt;1,VLOOKUP($A279,BasisTable,2,0),0)+L$1)/(1-L$2))</f>
        <v>45.975580233269739</v>
      </c>
      <c r="M279" s="154">
        <f>IF(Assumptions!$L$25=4,VLOOKUP($A279,'Henwood Reference'!$E$9:$R$320,10),(VLOOKUP($A279,PriceTableWeekend,3,0)+IF(BasisNumber&lt;&gt;1,VLOOKUP($A279,BasisTable,2,0),0)+M$1)/(1-M$2))</f>
        <v>45.975580233269739</v>
      </c>
      <c r="N279" s="156">
        <f>IF(Assumptions!$L$25=4,VLOOKUP($A279,'Henwood Reference'!$E$9:$R$320,10),(VLOOKUP($A279,PriceTableWeekend,4,0)+IF(BasisNumber&lt;&gt;1,VLOOKUP($A279,BasisTable,2,0),0)+N$1)/(1-N$2))</f>
        <v>45.975580233269739</v>
      </c>
      <c r="O279" s="154">
        <f>IF(Assumptions!$L$25=4,VLOOKUP($A279,'Henwood Reference'!$E$9:$R$320,11),(VLOOKUP($A279,PriceTableWeekend,6,0)+IF(BasisNumber&lt;&gt;1,VLOOKUP($A279,BasisTable,3,0),0)+O$1)/(1-O$2))</f>
        <v>31.909793394649547</v>
      </c>
      <c r="P279" s="154">
        <f>IF(Assumptions!$L$25=4,VLOOKUP($A279,'Henwood Reference'!$E$9:$R$320,11),(VLOOKUP($A279,PriceTableWeekend,7,0)+IF(BasisNumber&lt;&gt;1,VLOOKUP($A279,BasisTable,3,0),0)+P$1)/(1-P$2))</f>
        <v>31.909793394649547</v>
      </c>
      <c r="Q279" s="156">
        <f>IF(Assumptions!$L$25=4,VLOOKUP($A279,'Henwood Reference'!$E$9:$R$320,11),(VLOOKUP($A279,PriceTableWeekend,8,0)+IF(BasisNumber&lt;&gt;1,VLOOKUP($A279,BasisTable,3,0),0)+Q$1)/(1-Q$2))</f>
        <v>31.909793394649547</v>
      </c>
      <c r="R279" s="154">
        <f>IF(Assumptions!$L$25=4,VLOOKUP($A279,'Henwood Reference'!$E$9:$R$320,11),(VLOOKUP($A279,PriceTable,6,0)+IF(BasisNumber&lt;&gt;1,VLOOKUP($A279,BasisTable,3,0),0)+R$1)/(1-R$2))</f>
        <v>31.909793394649547</v>
      </c>
      <c r="S279" s="154">
        <f>IF(Assumptions!$L$25=4,VLOOKUP($A279,'Henwood Reference'!$E$9:$R$320,11),(VLOOKUP($A279,PriceTable,7,0)+IF(BasisNumber&lt;&gt;1,VLOOKUP($A279,BasisTable,3,0),0)+S$1)/(1-S$2))</f>
        <v>31.909793394649547</v>
      </c>
      <c r="T279" s="155">
        <f>IF(Assumptions!$L$25=4,VLOOKUP($A279,'Henwood Reference'!$E$9:$R$320,11),(VLOOKUP($A279,PriceTable,8,0)+IF(BasisNumber&lt;&gt;1,VLOOKUP($A279,BasisTable,3,0),0)+T$1)/(1-T$2))</f>
        <v>31.909793394649547</v>
      </c>
      <c r="U279" s="173">
        <f t="shared" si="811"/>
        <v>0.09</v>
      </c>
      <c r="V279" s="173">
        <f t="shared" si="812"/>
        <v>0.1</v>
      </c>
      <c r="W279" s="174">
        <f t="shared" si="813"/>
        <v>0.11</v>
      </c>
      <c r="X279" s="173">
        <f t="shared" si="814"/>
        <v>0.09</v>
      </c>
      <c r="Y279" s="173">
        <f t="shared" si="815"/>
        <v>0.1</v>
      </c>
      <c r="Z279" s="174">
        <f t="shared" si="816"/>
        <v>0.11</v>
      </c>
      <c r="AA279" s="173">
        <f t="shared" si="817"/>
        <v>0.09</v>
      </c>
      <c r="AB279" s="173">
        <f t="shared" si="818"/>
        <v>0.11</v>
      </c>
      <c r="AC279" s="174">
        <f t="shared" si="819"/>
        <v>0.13</v>
      </c>
      <c r="AD279" s="173">
        <f t="shared" si="820"/>
        <v>0.09</v>
      </c>
      <c r="AE279" s="173">
        <f t="shared" si="821"/>
        <v>0.11</v>
      </c>
      <c r="AF279" s="174">
        <f t="shared" si="822"/>
        <v>0.13</v>
      </c>
      <c r="AG279" s="173">
        <f t="shared" si="823"/>
        <v>-0.1</v>
      </c>
      <c r="AH279" s="173">
        <f t="shared" si="824"/>
        <v>0.65</v>
      </c>
      <c r="AI279" s="174">
        <f t="shared" si="825"/>
        <v>0.1</v>
      </c>
      <c r="AJ279" s="173">
        <f t="shared" si="826"/>
        <v>-0.1</v>
      </c>
      <c r="AK279" s="173">
        <f t="shared" si="827"/>
        <v>0.65</v>
      </c>
      <c r="AL279" s="174">
        <f t="shared" si="828"/>
        <v>0.1</v>
      </c>
      <c r="AM279" s="173">
        <f t="shared" si="829"/>
        <v>-0.01</v>
      </c>
      <c r="AN279" s="173">
        <f t="shared" si="830"/>
        <v>0.16</v>
      </c>
      <c r="AO279" s="174">
        <f t="shared" si="831"/>
        <v>0.01</v>
      </c>
      <c r="AP279" s="173">
        <f t="shared" si="832"/>
        <v>-0.01</v>
      </c>
      <c r="AQ279" s="173">
        <f t="shared" si="833"/>
        <v>0.16</v>
      </c>
      <c r="AR279" s="175">
        <f t="shared" si="834"/>
        <v>0.01</v>
      </c>
      <c r="AS279" s="521">
        <f t="shared" si="835"/>
        <v>0.5</v>
      </c>
      <c r="AT279" s="349">
        <f t="shared" si="752"/>
        <v>23</v>
      </c>
      <c r="AU279" s="159">
        <f t="shared" si="753"/>
        <v>4</v>
      </c>
      <c r="AV279" s="159">
        <f t="shared" si="754"/>
        <v>4</v>
      </c>
      <c r="AW279" s="159">
        <f t="shared" si="836"/>
        <v>0</v>
      </c>
      <c r="AX279" s="15">
        <f t="shared" si="755"/>
        <v>31</v>
      </c>
      <c r="AY279" s="607">
        <f>IF(E279="",0,MIN((1-(1-VLOOKUP(B279,MAIN!$AA$7:$AM$28,C279+1))*(1-VLOOKUP(B279,MAIN!$AA$33:$AM$54,C279+1))),1))</f>
        <v>3.0000000000000027E-2</v>
      </c>
      <c r="AZ279" s="337">
        <v>53544</v>
      </c>
      <c r="BA279" s="509">
        <v>9312</v>
      </c>
      <c r="BB279" s="509">
        <v>9312</v>
      </c>
      <c r="BC279" s="511">
        <v>36084</v>
      </c>
      <c r="BD279" s="153">
        <v>0.96999999638646839</v>
      </c>
      <c r="BE279" s="474">
        <v>0.96999999638646839</v>
      </c>
      <c r="BF279" s="474">
        <v>0.96999999638646839</v>
      </c>
      <c r="BG279" s="515">
        <v>0.97000000722706314</v>
      </c>
      <c r="BH279" s="262">
        <v>214176</v>
      </c>
      <c r="BI279" s="509">
        <v>37248</v>
      </c>
      <c r="BJ279" s="509">
        <v>37248</v>
      </c>
      <c r="BK279" s="511">
        <v>144336</v>
      </c>
      <c r="BL279" s="153">
        <v>0.96999999638646839</v>
      </c>
      <c r="BM279" s="474">
        <v>0.96999999638646839</v>
      </c>
      <c r="BN279" s="474">
        <v>0.96999999638646839</v>
      </c>
      <c r="BO279" s="474">
        <v>0.97000000722706314</v>
      </c>
      <c r="BP279" s="261">
        <f t="shared" si="837"/>
        <v>72168</v>
      </c>
      <c r="BQ279" s="578">
        <f t="shared" si="838"/>
        <v>108252</v>
      </c>
      <c r="BR279" s="259">
        <f t="shared" si="839"/>
        <v>288672</v>
      </c>
      <c r="BS279" s="578">
        <f t="shared" si="840"/>
        <v>433008</v>
      </c>
      <c r="BT279" s="216">
        <f t="shared" si="841"/>
        <v>21.878165639972622</v>
      </c>
      <c r="BU279" s="218">
        <f t="shared" si="756"/>
        <v>45.975580061997356</v>
      </c>
      <c r="BV279" s="216">
        <f t="shared" si="757"/>
        <v>45.975580061997356</v>
      </c>
      <c r="BW279" s="216">
        <f t="shared" si="758"/>
        <v>31.909793275776302</v>
      </c>
      <c r="BX279" s="216">
        <f t="shared" si="842"/>
        <v>31.909793632396035</v>
      </c>
      <c r="BY279" s="216">
        <f t="shared" si="759"/>
        <v>44.160639831517223</v>
      </c>
      <c r="BZ279" s="216">
        <f t="shared" si="760"/>
        <v>40.077024431810166</v>
      </c>
      <c r="CA279" s="264">
        <f t="shared" si="761"/>
        <v>45.975580061997356</v>
      </c>
      <c r="CB279" s="216">
        <f t="shared" si="762"/>
        <v>45.975580061997356</v>
      </c>
      <c r="CC279" s="216">
        <f t="shared" si="763"/>
        <v>31.909793275776302</v>
      </c>
      <c r="CD279" s="216">
        <f t="shared" si="843"/>
        <v>31.909793632396035</v>
      </c>
      <c r="CE279" s="216">
        <f t="shared" si="764"/>
        <v>44.160639831517223</v>
      </c>
      <c r="CF279" s="571">
        <f t="shared" si="765"/>
        <v>40.077024431810166</v>
      </c>
      <c r="CG279" s="573">
        <f t="shared" si="766"/>
        <v>0.1</v>
      </c>
      <c r="CH279" s="219">
        <f t="shared" si="767"/>
        <v>0.1</v>
      </c>
      <c r="CI279" s="219">
        <f t="shared" si="768"/>
        <v>0.11</v>
      </c>
      <c r="CJ279" s="219">
        <f t="shared" si="769"/>
        <v>0.1009417630258643</v>
      </c>
      <c r="CK279" s="219">
        <f t="shared" si="770"/>
        <v>0.1009417630258643</v>
      </c>
      <c r="CL279" s="219">
        <f t="shared" si="771"/>
        <v>0.11</v>
      </c>
      <c r="CM279" s="219">
        <f t="shared" si="772"/>
        <v>9.2623360801512858E-2</v>
      </c>
      <c r="CN279" s="569">
        <f t="shared" si="773"/>
        <v>9.2623360801512858E-2</v>
      </c>
      <c r="CO279" s="264">
        <f t="shared" si="685"/>
        <v>32.418674622252723</v>
      </c>
      <c r="CP279" s="216">
        <f t="shared" si="844"/>
        <v>32.418674622252723</v>
      </c>
      <c r="CQ279" s="216">
        <f t="shared" ca="1" si="703"/>
        <v>41.681153085753493</v>
      </c>
      <c r="CR279" s="216">
        <f t="shared" ca="1" si="704"/>
        <v>41.681153085753493</v>
      </c>
      <c r="CS279" s="1626">
        <f t="shared" ca="1" si="705"/>
        <v>36.302939784365954</v>
      </c>
      <c r="CT279" s="216">
        <f t="shared" si="845"/>
        <v>32.418674622252723</v>
      </c>
      <c r="CU279" s="575">
        <f t="shared" si="774"/>
        <v>0.15</v>
      </c>
      <c r="CV279" s="154">
        <f t="shared" si="775"/>
        <v>0.5</v>
      </c>
      <c r="CW279" s="216">
        <f>IF(OR($BQ279,$BS279),SpreadOptPowerMargin,0)*((1+Assumptions!$C$26)^($B279-YEAR(Assumptions!$C$17)))</f>
        <v>2.6222601105500365</v>
      </c>
      <c r="CX279" s="216">
        <f>IF(OR($BQ279,$BS279),SpreadOptPowerMargin,0)*((1+Assumptions!$C$26)^($B279-YEAR(Assumptions!$C$17)))</f>
        <v>2.6222601105500365</v>
      </c>
      <c r="CY279" s="216">
        <f>IF(OR($BQ279,$BS279),SpreadOptPowerMargin,0)*((1+Assumptions!$C$26)^($B279-YEAR(Assumptions!$C$17)))</f>
        <v>2.6222601105500365</v>
      </c>
      <c r="CZ279" s="216">
        <f>IF(OR($BQ279,$BS279),SpreadOptPowerMargin,0)*((1+Assumptions!$C$26)^($B279-YEAR(Assumptions!$C$17)))</f>
        <v>2.6222601105500365</v>
      </c>
      <c r="DA279" s="440">
        <f t="shared" si="776"/>
        <v>2.6222601105500365</v>
      </c>
      <c r="DB279" s="479">
        <f t="shared" si="777"/>
        <v>0.1</v>
      </c>
      <c r="DC279" s="479">
        <f t="shared" si="778"/>
        <v>0.1</v>
      </c>
      <c r="DD279" s="479">
        <f t="shared" si="779"/>
        <v>0.11</v>
      </c>
      <c r="DE279" s="479">
        <f t="shared" si="780"/>
        <v>0.11</v>
      </c>
      <c r="DF279" s="479">
        <f t="shared" si="781"/>
        <v>9.2623360801512858E-2</v>
      </c>
      <c r="DG279" s="574">
        <f t="shared" si="782"/>
        <v>9.2623360801512858E-2</v>
      </c>
      <c r="DH279" s="216">
        <f t="shared" si="783"/>
        <v>15.711000327440702</v>
      </c>
      <c r="DI279" s="216">
        <f t="shared" si="784"/>
        <v>15.711000327440702</v>
      </c>
      <c r="DJ279" s="216">
        <f t="shared" ca="1" si="706"/>
        <v>4.0007014255088125</v>
      </c>
      <c r="DK279" s="216">
        <f t="shared" ca="1" si="707"/>
        <v>4.0007015699187711</v>
      </c>
      <c r="DL279" s="216">
        <f t="shared" ca="1" si="708"/>
        <v>9.5388343973851875</v>
      </c>
      <c r="DM279" s="216"/>
      <c r="DN279" s="216"/>
      <c r="DO279" s="216"/>
      <c r="DP279" s="216"/>
      <c r="DQ279" s="216"/>
      <c r="DR279" s="216"/>
      <c r="DS279" s="216"/>
      <c r="DT279" s="216"/>
      <c r="DU279" s="216"/>
      <c r="DV279" s="216"/>
      <c r="DW279" s="1371">
        <f t="shared" si="785"/>
        <v>6.3101489062724898</v>
      </c>
      <c r="DX279" s="216">
        <f t="shared" si="786"/>
        <v>6.3101491058858068</v>
      </c>
      <c r="DY279" s="440">
        <f t="shared" si="787"/>
        <v>11.768707862520836</v>
      </c>
      <c r="DZ279" s="180">
        <f t="shared" si="788"/>
        <v>841229.80153248494</v>
      </c>
      <c r="EA279" s="180">
        <f t="shared" si="789"/>
        <v>146300.83504912781</v>
      </c>
      <c r="EB279" s="180">
        <f t="shared" ca="1" si="709"/>
        <v>37254.531674338061</v>
      </c>
      <c r="EC279" s="180">
        <f t="shared" ca="1" si="710"/>
        <v>144361.31544894894</v>
      </c>
      <c r="ED279" s="180">
        <f t="shared" ca="1" si="711"/>
        <v>1032597.9011857413</v>
      </c>
      <c r="EE279" s="581">
        <f t="shared" si="790"/>
        <v>585484.64950639533</v>
      </c>
      <c r="EF279" s="554">
        <f t="shared" si="791"/>
        <v>101823.41730546007</v>
      </c>
      <c r="EG279" s="554">
        <f t="shared" ca="1" si="712"/>
        <v>0</v>
      </c>
      <c r="EH279" s="554">
        <f t="shared" ca="1" si="713"/>
        <v>0</v>
      </c>
      <c r="EI279" s="561">
        <f t="shared" ca="1" si="792"/>
        <v>124687.30976786821</v>
      </c>
      <c r="EJ279" s="581">
        <f t="shared" si="846"/>
        <v>255745.15202608961</v>
      </c>
      <c r="EK279" s="554">
        <f t="shared" si="847"/>
        <v>44477.417743667742</v>
      </c>
      <c r="EL279" s="554">
        <f t="shared" ca="1" si="714"/>
        <v>37254.531674338061</v>
      </c>
      <c r="EM279" s="554">
        <f t="shared" ca="1" si="715"/>
        <v>144361.31544894894</v>
      </c>
      <c r="EN279" s="561">
        <f t="shared" ca="1" si="716"/>
        <v>907910.59141787305</v>
      </c>
      <c r="EO279" s="180">
        <f t="shared" si="793"/>
        <v>3364919.2061299398</v>
      </c>
      <c r="EP279" s="180">
        <f t="shared" si="794"/>
        <v>585203.34019651124</v>
      </c>
      <c r="EQ279" s="180">
        <f t="shared" si="795"/>
        <v>235040.42646083771</v>
      </c>
      <c r="ER279" s="180">
        <f t="shared" si="796"/>
        <v>910781.68134713382</v>
      </c>
      <c r="ES279" s="180">
        <f t="shared" si="797"/>
        <v>5095944.6541344225</v>
      </c>
      <c r="ET279" s="1482">
        <f t="shared" ca="1" si="717"/>
        <v>2341938.5980255813</v>
      </c>
      <c r="EU279" s="180">
        <f t="shared" ca="1" si="718"/>
        <v>407293.66922184027</v>
      </c>
      <c r="EV279" s="180">
        <f t="shared" ca="1" si="719"/>
        <v>0</v>
      </c>
      <c r="EW279" s="180">
        <f t="shared" ca="1" si="720"/>
        <v>0</v>
      </c>
      <c r="EX279" s="555">
        <f t="shared" ca="1" si="693"/>
        <v>2749232.2672474217</v>
      </c>
      <c r="EY279" s="180">
        <f t="shared" ca="1" si="721"/>
        <v>1022980.6081043584</v>
      </c>
      <c r="EZ279" s="180">
        <f t="shared" ca="1" si="722"/>
        <v>177909.67097467097</v>
      </c>
      <c r="FA279" s="180">
        <f t="shared" ca="1" si="723"/>
        <v>235040.42646083771</v>
      </c>
      <c r="FB279" s="180">
        <f t="shared" ca="1" si="724"/>
        <v>910781.68134713382</v>
      </c>
      <c r="FC279" s="180">
        <f t="shared" ca="1" si="725"/>
        <v>2346712.3868870009</v>
      </c>
      <c r="FD279" s="262">
        <f>IF(AX279,IF(VLOOKUP(C279,MAIN!$L$17:$M$28,2)="Yes",VLOOKUP(CALC!B279,MAIN!$H$17:$I$20,2),0),0)</f>
        <v>0</v>
      </c>
      <c r="FE279" s="623">
        <f t="shared" si="798"/>
        <v>0</v>
      </c>
      <c r="FF279" s="535">
        <f t="shared" si="799"/>
        <v>0</v>
      </c>
      <c r="FG279" s="535">
        <f t="shared" si="800"/>
        <v>0</v>
      </c>
      <c r="FH279" s="624">
        <f t="shared" si="801"/>
        <v>0</v>
      </c>
      <c r="FI279" s="632">
        <f>IF(AX279,VLOOKUP(CALC!B279,MAIN!$H$17:$K$20,4),0)</f>
        <v>0</v>
      </c>
      <c r="FJ279" s="535">
        <f t="shared" si="802"/>
        <v>0</v>
      </c>
      <c r="FK279" s="648">
        <f t="shared" si="848"/>
        <v>0</v>
      </c>
      <c r="FL279" s="530">
        <f t="shared" ca="1" si="726"/>
        <v>0</v>
      </c>
      <c r="FM279" s="530">
        <f t="shared" ca="1" si="727"/>
        <v>0</v>
      </c>
      <c r="FN279" s="530">
        <f t="shared" ca="1" si="728"/>
        <v>0</v>
      </c>
      <c r="FO279" s="622">
        <f t="shared" ca="1" si="729"/>
        <v>0</v>
      </c>
      <c r="FP279" s="530">
        <f t="shared" ca="1" si="730"/>
        <v>0</v>
      </c>
      <c r="FQ279" s="530">
        <f t="shared" ca="1" si="731"/>
        <v>0</v>
      </c>
      <c r="FR279" s="530">
        <f t="shared" ca="1" si="732"/>
        <v>0</v>
      </c>
      <c r="FS279" s="625">
        <f t="shared" ca="1" si="733"/>
        <v>0</v>
      </c>
      <c r="FT279" s="640">
        <f ca="1">IF(AND(Assumptions!$H$71="Yes",A279&gt;=Assumptions!$H$72,A279&lt;=Assumptions!$H$73),0,IF(AND($A279&gt;=Assumptions!$C$17,$A279&lt;=Assumptions!$C$18),MAX(AZ279*(1+VLOOKUP($C279,WeatherCapacityAdjustment,2))-FL279,0),0))</f>
        <v>53544</v>
      </c>
      <c r="FU279" s="530">
        <f ca="1">IF(AND(Assumptions!$H$71="Yes",A279&gt;=Assumptions!$H$72,A279&lt;=Assumptions!$H$73),0,IF(AND($A279&gt;=Assumptions!$C$17,$A279&lt;=Assumptions!$C$18),MAX(BA279*(1+VLOOKUP($C279,WeatherCapacityAdjustment,2))-FM279,0),0))</f>
        <v>9312</v>
      </c>
      <c r="FV279" s="530">
        <f ca="1">IF(AND(Assumptions!$H$71="Yes",A279&gt;=Assumptions!$H$72,A279&lt;=Assumptions!$H$73),0,IF(AND($A279&gt;=Assumptions!$C$17,$A279&lt;=Assumptions!$C$18),MAX(BB279*(1+VLOOKUP($C279,WeatherCapacityAdjustment,2))-FN279,0),0))</f>
        <v>9312</v>
      </c>
      <c r="FW279" s="622">
        <f ca="1">IF(AND(Assumptions!$H$71="Yes",A279&gt;=Assumptions!$H$72,A279&lt;=Assumptions!$H$73),0,IF(AND($A279&gt;=Assumptions!$C$17,$A279&lt;=Assumptions!$C$18),MAX(BC279*(1+VLOOKUP($C279,WeatherCapacityAdjustment,3))-FO279,0),0))</f>
        <v>36084</v>
      </c>
      <c r="FX279" s="621">
        <f ca="1">IF(AND(Assumptions!$H$71="Yes",A279&gt;=Assumptions!$H$72,A279&lt;=Assumptions!$H$73),0,IF(ET279&gt;0,MAX(BH279*(1+VLOOKUP($C279,WeatherCapacityAdjustment,2))-FP279,0),0))</f>
        <v>214176</v>
      </c>
      <c r="FY279" s="530">
        <f ca="1">IF(AND(Assumptions!$H$71="Yes",A279&gt;=Assumptions!$H$72,A279&lt;=Assumptions!$H$73),0,IF(EU279&gt;0,MAX(BI279*(1+VLOOKUP($C279,WeatherCapacityAdjustment,3))-FQ279,0),0))</f>
        <v>37248</v>
      </c>
      <c r="FZ279" s="530">
        <f ca="1">IF(AND(Assumptions!$H$71="Yes",A279&gt;=Assumptions!$H$72,A279&lt;=Assumptions!$H$73),0,IF(EV279&gt;0,MAX(BJ279*(1+VLOOKUP($C279,WeatherCapacityAdjustment,2))-FR279,0),0))</f>
        <v>0</v>
      </c>
      <c r="GA279" s="622">
        <f ca="1">IF(AND(Assumptions!$H$71="Yes",A279&gt;=Assumptions!$H$72,A279&lt;=Assumptions!$H$73),0,IF(EW279&gt;0,MAX(BK279*(1+VLOOKUP($C279,WeatherCapacityAdjustment,2))-FS279,0),0))</f>
        <v>0</v>
      </c>
      <c r="GB279" s="530">
        <f t="shared" ca="1" si="803"/>
        <v>359676</v>
      </c>
      <c r="GC279" s="545">
        <f t="shared" ca="1" si="804"/>
        <v>44.20028661990218</v>
      </c>
      <c r="GD279" s="530">
        <f t="shared" ca="1" si="734"/>
        <v>15897782.290299935</v>
      </c>
      <c r="GE279" s="1485">
        <f t="shared" ca="1" si="735"/>
        <v>856719.10872000002</v>
      </c>
      <c r="GF279" s="1776">
        <f t="shared" ca="1" si="736"/>
        <v>1776898.89216</v>
      </c>
      <c r="GG279" s="545">
        <f t="shared" si="701"/>
        <v>4.5871112217967047</v>
      </c>
      <c r="GH279" s="622">
        <f t="shared" ca="1" si="702"/>
        <v>12080698.685762452</v>
      </c>
      <c r="GI279" s="621">
        <f t="shared" ca="1" si="849"/>
        <v>359676</v>
      </c>
      <c r="GJ279" s="638">
        <f t="shared" si="805"/>
        <v>2.6222601105500365</v>
      </c>
      <c r="GK279" s="625">
        <f t="shared" ca="1" si="855"/>
        <v>943164.0275221949</v>
      </c>
      <c r="GL279" s="640">
        <f t="shared" ca="1" si="737"/>
        <v>0</v>
      </c>
      <c r="GM279" s="530">
        <f t="shared" ca="1" si="738"/>
        <v>0</v>
      </c>
      <c r="GN279" s="530">
        <f t="shared" ca="1" si="739"/>
        <v>0</v>
      </c>
      <c r="GO279" s="622">
        <f t="shared" ca="1" si="740"/>
        <v>0</v>
      </c>
      <c r="GP279" s="530">
        <f t="shared" ca="1" si="806"/>
        <v>0</v>
      </c>
      <c r="GQ279" s="545">
        <f t="shared" ca="1" si="807"/>
        <v>0</v>
      </c>
      <c r="GR279" s="625">
        <f t="shared" ca="1" si="741"/>
        <v>0</v>
      </c>
      <c r="GS279" s="640">
        <f>IF($A279&gt;=BegDate,Assumptions!$C$56*24*($A280-$A279)*(1-VLOOKUP($B279,MAIN!$AA$7:$AM$28,$C279+1))*(1-VLOOKUP($B279,MAIN!$AA$33:$AM$54,$C279+1)),0)*80/168</f>
        <v>257742.85714285713</v>
      </c>
      <c r="GT279" s="1715">
        <f t="shared" si="850"/>
        <v>45.975580233269739</v>
      </c>
      <c r="GU279" s="1715">
        <f>IF($A279&gt;=BegDate,VLOOKUP($A279,GasTable,13)+Assumptions!$C$58,0)</f>
        <v>4.5871112217967047</v>
      </c>
      <c r="GV279" s="1715">
        <f>GU279*Assumptions!$C$57/1000</f>
        <v>33.25655635802611</v>
      </c>
      <c r="GW279" s="625">
        <f>IF(Assumptions!$C$60="Hourly",MAX(0,GS279*(GT279-GV279)),GS279*(GT279-GV279))</f>
        <v>3278237.5536735076</v>
      </c>
      <c r="GX279" s="640">
        <f>IF($A279&gt;=BegDate,Assumptions!$C$56*24*($A280-$A279)*(1-VLOOKUP($B279,MAIN!$AA$7:$AM$28,$C279+1))*(1-VLOOKUP($B279,MAIN!$AA$33:$AM$54,$C279+1)),0)*16/168</f>
        <v>51548.571428571428</v>
      </c>
      <c r="GY279" s="1715">
        <f t="shared" si="851"/>
        <v>45.975580233269739</v>
      </c>
      <c r="GZ279" s="1715">
        <f>IF($A279&gt;=BegDate,VLOOKUP($A279,GasTable,13)+Assumptions!$C$58,0)</f>
        <v>4.5871112217967047</v>
      </c>
      <c r="HA279" s="1715">
        <f>GZ279*Assumptions!$C$57/1000</f>
        <v>33.25655635802611</v>
      </c>
      <c r="HB279" s="625">
        <f>IF(Assumptions!$C$60="Hourly",MAX(0,GX279*(GY279-HA279)),GX279*(GY279-HA279))</f>
        <v>655647.51073470153</v>
      </c>
      <c r="HC279" s="640">
        <f>IF($A279&gt;=BegDate,Assumptions!$C$56*24*($A280-$A279)*(1-VLOOKUP($B279,MAIN!$AA$7:$AM$28,$C279+1))*(1-VLOOKUP($B279,MAIN!$AA$33:$AM$54,$C279+1)),0)*16/168</f>
        <v>51548.571428571428</v>
      </c>
      <c r="HD279" s="1715">
        <f t="shared" si="852"/>
        <v>31.909793394649547</v>
      </c>
      <c r="HE279" s="1715">
        <f>IF($A279&gt;=BegDate,VLOOKUP($A279,GasTable,13)+Assumptions!$C$58,0)</f>
        <v>4.5871112217967047</v>
      </c>
      <c r="HF279" s="1715">
        <f>HE279*Assumptions!$C$57/1000</f>
        <v>33.25655635802611</v>
      </c>
      <c r="HG279" s="625">
        <f>IF(Assumptions!$C$60="Hourly",MAX(0,HC279*(HD279-HF279)),HC279*(HD279-HF279))</f>
        <v>0</v>
      </c>
      <c r="HH279" s="640">
        <f>IF($A279&gt;=BegDate,Assumptions!$C$56*24*($A280-$A279)*(1-VLOOKUP($B279,MAIN!$AA$7:$AM$28,$C279+1))*(1-VLOOKUP($B279,MAIN!$AA$33:$AM$54,$C279+1)),0)*56/168</f>
        <v>180420</v>
      </c>
      <c r="HI279" s="1715">
        <f t="shared" si="853"/>
        <v>31.909793394649547</v>
      </c>
      <c r="HJ279" s="1715">
        <f>IF($A279&gt;=BegDate,VLOOKUP($A279,GasTable,13)+Assumptions!$C$58,0)</f>
        <v>4.5871112217967047</v>
      </c>
      <c r="HK279" s="1715">
        <f>HJ279*Assumptions!$C$57/1000</f>
        <v>33.25655635802611</v>
      </c>
      <c r="HL279" s="625">
        <f>IF(Assumptions!$C$60="Hourly",MAX(0,HH279*(HI279-HK279)),HH279*(HI279-HK279))</f>
        <v>0</v>
      </c>
      <c r="HM279" s="640">
        <f>IF(AND(Assumptions!$H$71="Yes",A279&gt;=Assumptions!$H$72,A279&lt;=Assumptions!$H$73),Assumptions!$H$74*Assumptions!$C$9*1000,0)</f>
        <v>0</v>
      </c>
      <c r="HN279" s="530"/>
      <c r="HO279" s="545"/>
      <c r="HP279" s="545"/>
      <c r="HQ279" s="545"/>
      <c r="HR279" s="545"/>
      <c r="HS279" s="545"/>
      <c r="HT279" s="545"/>
      <c r="HU279" s="545"/>
      <c r="HV279" s="545"/>
      <c r="HW279" s="545"/>
      <c r="HX279" s="545"/>
      <c r="HY279" s="545"/>
      <c r="HZ279" s="545"/>
      <c r="IA279" s="545"/>
      <c r="IB279" s="545"/>
      <c r="IC279" s="545"/>
      <c r="ID279" s="545"/>
      <c r="IE279" s="545"/>
      <c r="IF279" s="545"/>
      <c r="IG279" s="545"/>
      <c r="IH279" s="545"/>
      <c r="II279" s="1464"/>
      <c r="IJ279" s="1463"/>
      <c r="IK279" s="1463"/>
    </row>
    <row r="280" spans="1:245">
      <c r="A280" s="177">
        <f t="shared" si="808"/>
        <v>44652</v>
      </c>
      <c r="B280" s="349">
        <f t="shared" si="809"/>
        <v>2022</v>
      </c>
      <c r="C280" s="15">
        <f t="shared" si="749"/>
        <v>4</v>
      </c>
      <c r="D280" s="612" t="str">
        <f t="shared" si="810"/>
        <v/>
      </c>
      <c r="E280" s="609">
        <f t="shared" si="750"/>
        <v>44652</v>
      </c>
      <c r="F280" s="614">
        <f t="shared" si="751"/>
        <v>44681</v>
      </c>
      <c r="G280" s="1349">
        <v>0</v>
      </c>
      <c r="H280" s="152">
        <f t="shared" si="854"/>
        <v>1</v>
      </c>
      <c r="I280" s="154">
        <f>IF(Assumptions!$L$25=4,VLOOKUP($A280,'Henwood Reference'!$E$9:$R$320,10),(VLOOKUP($A280,PriceTable,2,0)+IF(BasisNumber&lt;&gt;1,VLOOKUP($A280,BasisTable,2,0),0)+I$1)/(1-I$2))</f>
        <v>44.584662323472671</v>
      </c>
      <c r="J280" s="154">
        <f>IF(Assumptions!$L$25=4,VLOOKUP($A280,'Henwood Reference'!$E$9:$R$320,10),(VLOOKUP($A280,PriceTable,3,0)+IF(BasisNumber&lt;&gt;1,VLOOKUP($A280,BasisTable,2,0),0)+J$1)/(1-J$2))</f>
        <v>44.584662323472671</v>
      </c>
      <c r="K280" s="154">
        <f>IF(Assumptions!$L$25=4,VLOOKUP($A280,'Henwood Reference'!$E$9:$R$320,10),(VLOOKUP($A280,PriceTable,4,0)+IF(BasisNumber&lt;&gt;1,VLOOKUP($A280,BasisTable,2,0),0)+K$1)/(1-K$2))</f>
        <v>44.584662323472671</v>
      </c>
      <c r="L280" s="474">
        <f>IF(Assumptions!$L$25=4,VLOOKUP($A280,'Henwood Reference'!$E$9:$R$320,10),(VLOOKUP($A280,PriceTableWeekend,2,0)+IF(BasisNumber&lt;&gt;1,VLOOKUP($A280,BasisTable,2,0),0)+L$1)/(1-L$2))</f>
        <v>44.584662323472671</v>
      </c>
      <c r="M280" s="154">
        <f>IF(Assumptions!$L$25=4,VLOOKUP($A280,'Henwood Reference'!$E$9:$R$320,10),(VLOOKUP($A280,PriceTableWeekend,3,0)+IF(BasisNumber&lt;&gt;1,VLOOKUP($A280,BasisTable,2,0),0)+M$1)/(1-M$2))</f>
        <v>44.584662323472671</v>
      </c>
      <c r="N280" s="156">
        <f>IF(Assumptions!$L$25=4,VLOOKUP($A280,'Henwood Reference'!$E$9:$R$320,10),(VLOOKUP($A280,PriceTableWeekend,4,0)+IF(BasisNumber&lt;&gt;1,VLOOKUP($A280,BasisTable,2,0),0)+N$1)/(1-N$2))</f>
        <v>44.584662323472671</v>
      </c>
      <c r="O280" s="154">
        <f>IF(Assumptions!$L$25=4,VLOOKUP($A280,'Henwood Reference'!$E$9:$R$320,11),(VLOOKUP($A280,PriceTableWeekend,6,0)+IF(BasisNumber&lt;&gt;1,VLOOKUP($A280,BasisTable,3,0),0)+O$1)/(1-O$2))</f>
        <v>31.087023013862623</v>
      </c>
      <c r="P280" s="154">
        <f>IF(Assumptions!$L$25=4,VLOOKUP($A280,'Henwood Reference'!$E$9:$R$320,11),(VLOOKUP($A280,PriceTableWeekend,7,0)+IF(BasisNumber&lt;&gt;1,VLOOKUP($A280,BasisTable,3,0),0)+P$1)/(1-P$2))</f>
        <v>31.087023013862623</v>
      </c>
      <c r="Q280" s="156">
        <f>IF(Assumptions!$L$25=4,VLOOKUP($A280,'Henwood Reference'!$E$9:$R$320,11),(VLOOKUP($A280,PriceTableWeekend,8,0)+IF(BasisNumber&lt;&gt;1,VLOOKUP($A280,BasisTable,3,0),0)+Q$1)/(1-Q$2))</f>
        <v>31.087023013862623</v>
      </c>
      <c r="R280" s="154">
        <f>IF(Assumptions!$L$25=4,VLOOKUP($A280,'Henwood Reference'!$E$9:$R$320,11),(VLOOKUP($A280,PriceTable,6,0)+IF(BasisNumber&lt;&gt;1,VLOOKUP($A280,BasisTable,3,0),0)+R$1)/(1-R$2))</f>
        <v>31.087023013862623</v>
      </c>
      <c r="S280" s="154">
        <f>IF(Assumptions!$L$25=4,VLOOKUP($A280,'Henwood Reference'!$E$9:$R$320,11),(VLOOKUP($A280,PriceTable,7,0)+IF(BasisNumber&lt;&gt;1,VLOOKUP($A280,BasisTable,3,0),0)+S$1)/(1-S$2))</f>
        <v>31.087023013862623</v>
      </c>
      <c r="T280" s="155">
        <f>IF(Assumptions!$L$25=4,VLOOKUP($A280,'Henwood Reference'!$E$9:$R$320,11),(VLOOKUP($A280,PriceTable,8,0)+IF(BasisNumber&lt;&gt;1,VLOOKUP($A280,BasisTable,3,0),0)+T$1)/(1-T$2))</f>
        <v>31.087023013862623</v>
      </c>
      <c r="U280" s="173">
        <f t="shared" si="811"/>
        <v>0.09</v>
      </c>
      <c r="V280" s="173">
        <f t="shared" si="812"/>
        <v>0.1</v>
      </c>
      <c r="W280" s="174">
        <f t="shared" si="813"/>
        <v>0.11</v>
      </c>
      <c r="X280" s="173">
        <f t="shared" si="814"/>
        <v>0.09</v>
      </c>
      <c r="Y280" s="173">
        <f t="shared" si="815"/>
        <v>0.1</v>
      </c>
      <c r="Z280" s="174">
        <f t="shared" si="816"/>
        <v>0.11</v>
      </c>
      <c r="AA280" s="173">
        <f t="shared" si="817"/>
        <v>0.09</v>
      </c>
      <c r="AB280" s="173">
        <f t="shared" si="818"/>
        <v>0.11</v>
      </c>
      <c r="AC280" s="174">
        <f t="shared" si="819"/>
        <v>0.13</v>
      </c>
      <c r="AD280" s="173">
        <f t="shared" si="820"/>
        <v>0.09</v>
      </c>
      <c r="AE280" s="173">
        <f t="shared" si="821"/>
        <v>0.11</v>
      </c>
      <c r="AF280" s="174">
        <f t="shared" si="822"/>
        <v>0.13</v>
      </c>
      <c r="AG280" s="173">
        <f t="shared" si="823"/>
        <v>-0.1</v>
      </c>
      <c r="AH280" s="173">
        <f t="shared" si="824"/>
        <v>0.65</v>
      </c>
      <c r="AI280" s="174">
        <f t="shared" si="825"/>
        <v>0.1</v>
      </c>
      <c r="AJ280" s="173">
        <f t="shared" si="826"/>
        <v>-0.1</v>
      </c>
      <c r="AK280" s="173">
        <f t="shared" si="827"/>
        <v>0.65</v>
      </c>
      <c r="AL280" s="174">
        <f t="shared" si="828"/>
        <v>0.1</v>
      </c>
      <c r="AM280" s="173">
        <f t="shared" si="829"/>
        <v>-0.01</v>
      </c>
      <c r="AN280" s="173">
        <f t="shared" si="830"/>
        <v>0.16</v>
      </c>
      <c r="AO280" s="174">
        <f t="shared" si="831"/>
        <v>0.01</v>
      </c>
      <c r="AP280" s="173">
        <f t="shared" si="832"/>
        <v>-0.01</v>
      </c>
      <c r="AQ280" s="173">
        <f t="shared" si="833"/>
        <v>0.16</v>
      </c>
      <c r="AR280" s="175">
        <f t="shared" si="834"/>
        <v>0.01</v>
      </c>
      <c r="AS280" s="521">
        <f t="shared" si="835"/>
        <v>0.5</v>
      </c>
      <c r="AT280" s="349">
        <f t="shared" si="752"/>
        <v>21</v>
      </c>
      <c r="AU280" s="159">
        <f t="shared" si="753"/>
        <v>5</v>
      </c>
      <c r="AV280" s="159">
        <f t="shared" si="754"/>
        <v>4</v>
      </c>
      <c r="AW280" s="159">
        <f t="shared" si="836"/>
        <v>0</v>
      </c>
      <c r="AX280" s="15">
        <f t="shared" si="755"/>
        <v>30</v>
      </c>
      <c r="AY280" s="607">
        <f>IF(E280="",0,MIN((1-(1-VLOOKUP(B280,MAIN!$AA$7:$AM$28,C280+1))*(1-VLOOKUP(B280,MAIN!$AA$33:$AM$54,C280+1))),1))</f>
        <v>0.127</v>
      </c>
      <c r="AZ280" s="337">
        <v>43999.199999999997</v>
      </c>
      <c r="BA280" s="509">
        <v>10476</v>
      </c>
      <c r="BB280" s="509">
        <v>8380.7999999999993</v>
      </c>
      <c r="BC280" s="511">
        <v>31428</v>
      </c>
      <c r="BD280" s="153">
        <v>0.873</v>
      </c>
      <c r="BE280" s="474">
        <v>0.873</v>
      </c>
      <c r="BF280" s="474">
        <v>0.873</v>
      </c>
      <c r="BG280" s="515">
        <v>0.87300000650435683</v>
      </c>
      <c r="BH280" s="262">
        <v>175996.79999999999</v>
      </c>
      <c r="BI280" s="509">
        <v>41904</v>
      </c>
      <c r="BJ280" s="509">
        <v>33523.199999999997</v>
      </c>
      <c r="BK280" s="511">
        <v>125712</v>
      </c>
      <c r="BL280" s="153">
        <v>0.873</v>
      </c>
      <c r="BM280" s="474">
        <v>0.873</v>
      </c>
      <c r="BN280" s="474">
        <v>0.873</v>
      </c>
      <c r="BO280" s="474">
        <v>0.87300000650435683</v>
      </c>
      <c r="BP280" s="261">
        <f t="shared" si="837"/>
        <v>62856</v>
      </c>
      <c r="BQ280" s="578">
        <f t="shared" si="838"/>
        <v>94284</v>
      </c>
      <c r="BR280" s="259">
        <f t="shared" si="839"/>
        <v>251424</v>
      </c>
      <c r="BS280" s="578">
        <f t="shared" si="840"/>
        <v>377136</v>
      </c>
      <c r="BT280" s="216">
        <f t="shared" si="841"/>
        <v>21.963039014373717</v>
      </c>
      <c r="BU280" s="218">
        <f t="shared" si="756"/>
        <v>44.584662323472671</v>
      </c>
      <c r="BV280" s="216">
        <f t="shared" si="757"/>
        <v>44.584662323472671</v>
      </c>
      <c r="BW280" s="216">
        <f t="shared" si="758"/>
        <v>31.087023013862623</v>
      </c>
      <c r="BX280" s="216">
        <f t="shared" si="842"/>
        <v>31.087023245478992</v>
      </c>
      <c r="BY280" s="216">
        <f t="shared" si="759"/>
        <v>42.784977082191318</v>
      </c>
      <c r="BZ280" s="216">
        <f t="shared" si="760"/>
        <v>38.885659136620546</v>
      </c>
      <c r="CA280" s="264">
        <f t="shared" si="761"/>
        <v>44.584662323472671</v>
      </c>
      <c r="CB280" s="216">
        <f t="shared" si="762"/>
        <v>44.584662323472671</v>
      </c>
      <c r="CC280" s="216">
        <f t="shared" si="763"/>
        <v>31.087023013862623</v>
      </c>
      <c r="CD280" s="216">
        <f t="shared" si="843"/>
        <v>31.087023245478992</v>
      </c>
      <c r="CE280" s="216">
        <f t="shared" si="764"/>
        <v>42.784977082191318</v>
      </c>
      <c r="CF280" s="571">
        <f t="shared" si="765"/>
        <v>38.885659136620546</v>
      </c>
      <c r="CG280" s="573">
        <f t="shared" si="766"/>
        <v>0.1</v>
      </c>
      <c r="CH280" s="219">
        <f t="shared" si="767"/>
        <v>0.1</v>
      </c>
      <c r="CI280" s="219">
        <f t="shared" si="768"/>
        <v>0.11</v>
      </c>
      <c r="CJ280" s="219">
        <f t="shared" si="769"/>
        <v>0.10097854800844569</v>
      </c>
      <c r="CK280" s="219">
        <f t="shared" si="770"/>
        <v>0.10097854800844569</v>
      </c>
      <c r="CL280" s="219">
        <f t="shared" si="771"/>
        <v>0.11</v>
      </c>
      <c r="CM280" s="219">
        <f t="shared" si="772"/>
        <v>9.2632392830628504E-2</v>
      </c>
      <c r="CN280" s="569">
        <f t="shared" si="773"/>
        <v>9.2632392830628504E-2</v>
      </c>
      <c r="CO280" s="264">
        <f t="shared" si="685"/>
        <v>32.432160729244806</v>
      </c>
      <c r="CP280" s="216">
        <f t="shared" si="844"/>
        <v>32.432160729244806</v>
      </c>
      <c r="CQ280" s="216">
        <f t="shared" ca="1" si="703"/>
        <v>41.698492366171891</v>
      </c>
      <c r="CR280" s="216">
        <f t="shared" ca="1" si="704"/>
        <v>41.698492366171891</v>
      </c>
      <c r="CS280" s="1626">
        <f t="shared" ca="1" si="705"/>
        <v>36.344611864836239</v>
      </c>
      <c r="CT280" s="216">
        <f t="shared" si="845"/>
        <v>32.432160729244806</v>
      </c>
      <c r="CU280" s="575">
        <f t="shared" si="774"/>
        <v>0.15</v>
      </c>
      <c r="CV280" s="154">
        <f t="shared" si="775"/>
        <v>0.5</v>
      </c>
      <c r="CW280" s="216">
        <f>IF(OR($BQ280,$BS280),SpreadOptPowerMargin,0)*((1+Assumptions!$C$26)^($B280-YEAR(Assumptions!$C$17)))</f>
        <v>2.6222601105500365</v>
      </c>
      <c r="CX280" s="216">
        <f>IF(OR($BQ280,$BS280),SpreadOptPowerMargin,0)*((1+Assumptions!$C$26)^($B280-YEAR(Assumptions!$C$17)))</f>
        <v>2.6222601105500365</v>
      </c>
      <c r="CY280" s="216">
        <f>IF(OR($BQ280,$BS280),SpreadOptPowerMargin,0)*((1+Assumptions!$C$26)^($B280-YEAR(Assumptions!$C$17)))</f>
        <v>2.6222601105500365</v>
      </c>
      <c r="CZ280" s="216">
        <f>IF(OR($BQ280,$BS280),SpreadOptPowerMargin,0)*((1+Assumptions!$C$26)^($B280-YEAR(Assumptions!$C$17)))</f>
        <v>2.6222601105500365</v>
      </c>
      <c r="DA280" s="440">
        <f t="shared" si="776"/>
        <v>2.6222601105500365</v>
      </c>
      <c r="DB280" s="479">
        <f t="shared" si="777"/>
        <v>0.1</v>
      </c>
      <c r="DC280" s="479">
        <f t="shared" si="778"/>
        <v>0.1</v>
      </c>
      <c r="DD280" s="479">
        <f t="shared" si="779"/>
        <v>0.11</v>
      </c>
      <c r="DE280" s="479">
        <f t="shared" si="780"/>
        <v>0.11</v>
      </c>
      <c r="DF280" s="479">
        <f t="shared" si="781"/>
        <v>9.2632392830628504E-2</v>
      </c>
      <c r="DG280" s="574">
        <f t="shared" si="782"/>
        <v>9.2632392830628504E-2</v>
      </c>
      <c r="DH280" s="216">
        <f t="shared" si="783"/>
        <v>14.645784166330763</v>
      </c>
      <c r="DI280" s="216">
        <f t="shared" si="784"/>
        <v>14.645784166330763</v>
      </c>
      <c r="DJ280" s="216">
        <f t="shared" ca="1" si="706"/>
        <v>3.6850433185617479</v>
      </c>
      <c r="DK280" s="216">
        <f t="shared" ca="1" si="707"/>
        <v>3.685043408506953</v>
      </c>
      <c r="DL280" s="216">
        <f t="shared" ca="1" si="708"/>
        <v>8.7908965413007536</v>
      </c>
      <c r="DM280" s="216"/>
      <c r="DN280" s="216"/>
      <c r="DO280" s="216"/>
      <c r="DP280" s="216"/>
      <c r="DQ280" s="216"/>
      <c r="DR280" s="216"/>
      <c r="DS280" s="216"/>
      <c r="DT280" s="216"/>
      <c r="DU280" s="216"/>
      <c r="DV280" s="216"/>
      <c r="DW280" s="1371">
        <f t="shared" si="785"/>
        <v>5.8668273258214416</v>
      </c>
      <c r="DX280" s="216">
        <f t="shared" si="786"/>
        <v>5.8668274514314582</v>
      </c>
      <c r="DY280" s="440">
        <f t="shared" si="787"/>
        <v>10.939113542207943</v>
      </c>
      <c r="DZ280" s="180">
        <f t="shared" si="788"/>
        <v>644402.78669122048</v>
      </c>
      <c r="EA280" s="180">
        <f t="shared" si="789"/>
        <v>153429.23492648106</v>
      </c>
      <c r="EB280" s="180">
        <f t="shared" ca="1" si="709"/>
        <v>30883.611044202295</v>
      </c>
      <c r="EC280" s="180">
        <f t="shared" ca="1" si="710"/>
        <v>115813.54424255651</v>
      </c>
      <c r="ED280" s="180">
        <f t="shared" ca="1" si="711"/>
        <v>828840.88950000028</v>
      </c>
      <c r="EE280" s="581">
        <f t="shared" si="790"/>
        <v>419323.00108863739</v>
      </c>
      <c r="EF280" s="554">
        <f t="shared" si="791"/>
        <v>99838.80978300891</v>
      </c>
      <c r="EG280" s="554">
        <f t="shared" ca="1" si="712"/>
        <v>0</v>
      </c>
      <c r="EH280" s="554">
        <f t="shared" ca="1" si="713"/>
        <v>0</v>
      </c>
      <c r="EI280" s="561">
        <f t="shared" ca="1" si="792"/>
        <v>0</v>
      </c>
      <c r="EJ280" s="581">
        <f t="shared" si="846"/>
        <v>225079.78560258308</v>
      </c>
      <c r="EK280" s="554">
        <f t="shared" si="847"/>
        <v>53590.425143472152</v>
      </c>
      <c r="EL280" s="554">
        <f t="shared" ca="1" si="714"/>
        <v>30883.611044202295</v>
      </c>
      <c r="EM280" s="554">
        <f t="shared" ca="1" si="715"/>
        <v>115813.54424255651</v>
      </c>
      <c r="EN280" s="561">
        <f t="shared" ca="1" si="716"/>
        <v>828840.88950000028</v>
      </c>
      <c r="EO280" s="180">
        <f t="shared" si="793"/>
        <v>2577611.1467648819</v>
      </c>
      <c r="EP280" s="180">
        <f t="shared" si="794"/>
        <v>613716.93970592425</v>
      </c>
      <c r="EQ280" s="180">
        <f t="shared" si="795"/>
        <v>196674.82580897733</v>
      </c>
      <c r="ER280" s="180">
        <f t="shared" si="796"/>
        <v>737530.61257435149</v>
      </c>
      <c r="ES280" s="180">
        <f t="shared" si="797"/>
        <v>4125533.5248541348</v>
      </c>
      <c r="ET280" s="1482">
        <f t="shared" ca="1" si="717"/>
        <v>0</v>
      </c>
      <c r="EU280" s="180">
        <f t="shared" ca="1" si="718"/>
        <v>0</v>
      </c>
      <c r="EV280" s="180">
        <f t="shared" ca="1" si="719"/>
        <v>0</v>
      </c>
      <c r="EW280" s="180">
        <f t="shared" ca="1" si="720"/>
        <v>0</v>
      </c>
      <c r="EX280" s="555">
        <f t="shared" ca="1" si="693"/>
        <v>0</v>
      </c>
      <c r="EY280" s="180">
        <f t="shared" ca="1" si="721"/>
        <v>2577611.1467648819</v>
      </c>
      <c r="EZ280" s="180">
        <f t="shared" ca="1" si="722"/>
        <v>613716.93970592425</v>
      </c>
      <c r="FA280" s="180">
        <f t="shared" ca="1" si="723"/>
        <v>196674.82580897733</v>
      </c>
      <c r="FB280" s="180">
        <f t="shared" ca="1" si="724"/>
        <v>737530.61257435149</v>
      </c>
      <c r="FC280" s="180">
        <f t="shared" ca="1" si="725"/>
        <v>4125533.5248541348</v>
      </c>
      <c r="FD280" s="262">
        <f>IF(AX280,IF(VLOOKUP(C280,MAIN!$L$17:$M$28,2)="Yes",VLOOKUP(CALC!B280,MAIN!$H$17:$I$20,2),0),0)</f>
        <v>0</v>
      </c>
      <c r="FE280" s="623">
        <f t="shared" si="798"/>
        <v>0</v>
      </c>
      <c r="FF280" s="535">
        <f t="shared" si="799"/>
        <v>0</v>
      </c>
      <c r="FG280" s="535">
        <f t="shared" si="800"/>
        <v>0</v>
      </c>
      <c r="FH280" s="624">
        <f t="shared" si="801"/>
        <v>0</v>
      </c>
      <c r="FI280" s="632">
        <f>IF(AX280,VLOOKUP(CALC!B280,MAIN!$H$17:$K$20,4),0)</f>
        <v>0</v>
      </c>
      <c r="FJ280" s="535">
        <f t="shared" si="802"/>
        <v>0</v>
      </c>
      <c r="FK280" s="648">
        <f t="shared" si="848"/>
        <v>0</v>
      </c>
      <c r="FL280" s="530">
        <f t="shared" ca="1" si="726"/>
        <v>0</v>
      </c>
      <c r="FM280" s="530">
        <f t="shared" ca="1" si="727"/>
        <v>0</v>
      </c>
      <c r="FN280" s="530">
        <f t="shared" ca="1" si="728"/>
        <v>0</v>
      </c>
      <c r="FO280" s="622">
        <f t="shared" ca="1" si="729"/>
        <v>0</v>
      </c>
      <c r="FP280" s="530">
        <f t="shared" ca="1" si="730"/>
        <v>0</v>
      </c>
      <c r="FQ280" s="530">
        <f t="shared" ca="1" si="731"/>
        <v>0</v>
      </c>
      <c r="FR280" s="530">
        <f t="shared" ca="1" si="732"/>
        <v>0</v>
      </c>
      <c r="FS280" s="625">
        <f t="shared" ca="1" si="733"/>
        <v>0</v>
      </c>
      <c r="FT280" s="640">
        <f ca="1">IF(AND(Assumptions!$H$71="Yes",A280&gt;=Assumptions!$H$72,A280&lt;=Assumptions!$H$73),0,IF(AND($A280&gt;=Assumptions!$C$17,$A280&lt;=Assumptions!$C$18),MAX(AZ280*(1+VLOOKUP($C280,WeatherCapacityAdjustment,2))-FL280,0),0))</f>
        <v>43999.199999999997</v>
      </c>
      <c r="FU280" s="530">
        <f ca="1">IF(AND(Assumptions!$H$71="Yes",A280&gt;=Assumptions!$H$72,A280&lt;=Assumptions!$H$73),0,IF(AND($A280&gt;=Assumptions!$C$17,$A280&lt;=Assumptions!$C$18),MAX(BA280*(1+VLOOKUP($C280,WeatherCapacityAdjustment,2))-FM280,0),0))</f>
        <v>10476</v>
      </c>
      <c r="FV280" s="530">
        <f ca="1">IF(AND(Assumptions!$H$71="Yes",A280&gt;=Assumptions!$H$72,A280&lt;=Assumptions!$H$73),0,IF(AND($A280&gt;=Assumptions!$C$17,$A280&lt;=Assumptions!$C$18),MAX(BB280*(1+VLOOKUP($C280,WeatherCapacityAdjustment,2))-FN280,0),0))</f>
        <v>8380.7999999999993</v>
      </c>
      <c r="FW280" s="622">
        <f ca="1">IF(AND(Assumptions!$H$71="Yes",A280&gt;=Assumptions!$H$72,A280&lt;=Assumptions!$H$73),0,IF(AND($A280&gt;=Assumptions!$C$17,$A280&lt;=Assumptions!$C$18),MAX(BC280*(1+VLOOKUP($C280,WeatherCapacityAdjustment,3))-FO280,0),0))</f>
        <v>31428</v>
      </c>
      <c r="FX280" s="621">
        <f ca="1">IF(AND(Assumptions!$H$71="Yes",A280&gt;=Assumptions!$H$72,A280&lt;=Assumptions!$H$73),0,IF(ET280&gt;0,MAX(BH280*(1+VLOOKUP($C280,WeatherCapacityAdjustment,2))-FP280,0),0))</f>
        <v>0</v>
      </c>
      <c r="FY280" s="530">
        <f ca="1">IF(AND(Assumptions!$H$71="Yes",A280&gt;=Assumptions!$H$72,A280&lt;=Assumptions!$H$73),0,IF(EU280&gt;0,MAX(BI280*(1+VLOOKUP($C280,WeatherCapacityAdjustment,3))-FQ280,0),0))</f>
        <v>0</v>
      </c>
      <c r="FZ280" s="530">
        <f ca="1">IF(AND(Assumptions!$H$71="Yes",A280&gt;=Assumptions!$H$72,A280&lt;=Assumptions!$H$73),0,IF(EV280&gt;0,MAX(BJ280*(1+VLOOKUP($C280,WeatherCapacityAdjustment,2))-FR280,0),0))</f>
        <v>0</v>
      </c>
      <c r="GA280" s="622">
        <f ca="1">IF(AND(Assumptions!$H$71="Yes",A280&gt;=Assumptions!$H$72,A280&lt;=Assumptions!$H$73),0,IF(EW280&gt;0,MAX(BK280*(1+VLOOKUP($C280,WeatherCapacityAdjustment,2))-FS280,0),0))</f>
        <v>0</v>
      </c>
      <c r="GB280" s="530">
        <f t="shared" ca="1" si="803"/>
        <v>94284</v>
      </c>
      <c r="GC280" s="545">
        <f t="shared" ca="1" si="804"/>
        <v>38.885659136620546</v>
      </c>
      <c r="GD280" s="530">
        <f t="shared" ca="1" si="734"/>
        <v>3666295.4860371314</v>
      </c>
      <c r="GE280" s="1485">
        <f t="shared" ca="1" si="735"/>
        <v>747031.24022400018</v>
      </c>
      <c r="GF280" s="1776">
        <f t="shared" ca="1" si="736"/>
        <v>0</v>
      </c>
      <c r="GG280" s="545">
        <f t="shared" si="701"/>
        <v>4.5871112217967047</v>
      </c>
      <c r="GH280" s="622">
        <f t="shared" ca="1" si="702"/>
        <v>3426715.385064221</v>
      </c>
      <c r="GI280" s="621">
        <f t="shared" ca="1" si="849"/>
        <v>94284</v>
      </c>
      <c r="GJ280" s="638">
        <f t="shared" si="805"/>
        <v>2.6222601105500365</v>
      </c>
      <c r="GK280" s="625">
        <f t="shared" ca="1" si="855"/>
        <v>247237.17226309964</v>
      </c>
      <c r="GL280" s="640">
        <f t="shared" ca="1" si="737"/>
        <v>0</v>
      </c>
      <c r="GM280" s="530">
        <f t="shared" ca="1" si="738"/>
        <v>0</v>
      </c>
      <c r="GN280" s="530">
        <f t="shared" ca="1" si="739"/>
        <v>0</v>
      </c>
      <c r="GO280" s="622">
        <f t="shared" ca="1" si="740"/>
        <v>0</v>
      </c>
      <c r="GP280" s="530">
        <f t="shared" ca="1" si="806"/>
        <v>0</v>
      </c>
      <c r="GQ280" s="545">
        <f t="shared" ca="1" si="807"/>
        <v>0</v>
      </c>
      <c r="GR280" s="625">
        <f t="shared" ca="1" si="741"/>
        <v>0</v>
      </c>
      <c r="GS280" s="640">
        <f>IF($A280&gt;=BegDate,Assumptions!$C$56*24*($A281-$A280)*(1-VLOOKUP($B280,MAIN!$AA$7:$AM$28,$C280+1))*(1-VLOOKUP($B280,MAIN!$AA$33:$AM$54,$C280+1)),0)*80/168</f>
        <v>224485.71428571429</v>
      </c>
      <c r="GT280" s="1715">
        <f t="shared" si="850"/>
        <v>44.584662323472671</v>
      </c>
      <c r="GU280" s="1715">
        <f>IF($A280&gt;=BegDate,VLOOKUP($A280,GasTable,13)+Assumptions!$C$58,0)</f>
        <v>4.5871112217967047</v>
      </c>
      <c r="GV280" s="1715">
        <f>GU280*Assumptions!$C$57/1000</f>
        <v>33.25655635802611</v>
      </c>
      <c r="GW280" s="625">
        <f>IF(Assumptions!$C$60="Hourly",MAX(0,GS280*(GT280-GV280)),GS280*(GT280-GV280))</f>
        <v>2542997.9591575321</v>
      </c>
      <c r="GX280" s="640">
        <f>IF($A280&gt;=BegDate,Assumptions!$C$56*24*($A281-$A280)*(1-VLOOKUP($B280,MAIN!$AA$7:$AM$28,$C280+1))*(1-VLOOKUP($B280,MAIN!$AA$33:$AM$54,$C280+1)),0)*16/168</f>
        <v>44897.142857142855</v>
      </c>
      <c r="GY280" s="1715">
        <f t="shared" si="851"/>
        <v>44.584662323472671</v>
      </c>
      <c r="GZ280" s="1715">
        <f>IF($A280&gt;=BegDate,VLOOKUP($A280,GasTable,13)+Assumptions!$C$58,0)</f>
        <v>4.5871112217967047</v>
      </c>
      <c r="HA280" s="1715">
        <f>GZ280*Assumptions!$C$57/1000</f>
        <v>33.25655635802611</v>
      </c>
      <c r="HB280" s="625">
        <f>IF(Assumptions!$C$60="Hourly",MAX(0,GX280*(GY280-HA280)),GX280*(GY280-HA280))</f>
        <v>508599.5918315064</v>
      </c>
      <c r="HC280" s="640">
        <f>IF($A280&gt;=BegDate,Assumptions!$C$56*24*($A281-$A280)*(1-VLOOKUP($B280,MAIN!$AA$7:$AM$28,$C280+1))*(1-VLOOKUP($B280,MAIN!$AA$33:$AM$54,$C280+1)),0)*16/168</f>
        <v>44897.142857142855</v>
      </c>
      <c r="HD280" s="1715">
        <f t="shared" si="852"/>
        <v>31.087023013862623</v>
      </c>
      <c r="HE280" s="1715">
        <f>IF($A280&gt;=BegDate,VLOOKUP($A280,GasTable,13)+Assumptions!$C$58,0)</f>
        <v>4.5871112217967047</v>
      </c>
      <c r="HF280" s="1715">
        <f>HE280*Assumptions!$C$57/1000</f>
        <v>33.25655635802611</v>
      </c>
      <c r="HG280" s="625">
        <f>IF(Assumptions!$C$60="Hourly",MAX(0,HC280*(HD280-HF280)),HC280*(HD280-HF280))</f>
        <v>0</v>
      </c>
      <c r="HH280" s="640">
        <f>IF($A280&gt;=BegDate,Assumptions!$C$56*24*($A281-$A280)*(1-VLOOKUP($B280,MAIN!$AA$7:$AM$28,$C280+1))*(1-VLOOKUP($B280,MAIN!$AA$33:$AM$54,$C280+1)),0)*56/168</f>
        <v>157140</v>
      </c>
      <c r="HI280" s="1715">
        <f t="shared" si="853"/>
        <v>31.087023013862623</v>
      </c>
      <c r="HJ280" s="1715">
        <f>IF($A280&gt;=BegDate,VLOOKUP($A280,GasTable,13)+Assumptions!$C$58,0)</f>
        <v>4.5871112217967047</v>
      </c>
      <c r="HK280" s="1715">
        <f>HJ280*Assumptions!$C$57/1000</f>
        <v>33.25655635802611</v>
      </c>
      <c r="HL280" s="625">
        <f>IF(Assumptions!$C$60="Hourly",MAX(0,HH280*(HI280-HK280)),HH280*(HI280-HK280))</f>
        <v>0</v>
      </c>
      <c r="HM280" s="640">
        <f>IF(AND(Assumptions!$H$71="Yes",A280&gt;=Assumptions!$H$72,A280&lt;=Assumptions!$H$73),Assumptions!$H$74*Assumptions!$C$9*1000,0)</f>
        <v>0</v>
      </c>
      <c r="HN280" s="530"/>
      <c r="HO280" s="545"/>
      <c r="HP280" s="545"/>
      <c r="HQ280" s="545"/>
      <c r="HR280" s="545"/>
      <c r="HS280" s="545"/>
      <c r="HT280" s="545"/>
      <c r="HU280" s="545"/>
      <c r="HV280" s="545"/>
      <c r="HW280" s="545"/>
      <c r="HX280" s="545"/>
      <c r="HY280" s="545"/>
      <c r="HZ280" s="545"/>
      <c r="IA280" s="545"/>
      <c r="IB280" s="545"/>
      <c r="IC280" s="545"/>
      <c r="ID280" s="545"/>
      <c r="IE280" s="545"/>
      <c r="IF280" s="545"/>
      <c r="IG280" s="545"/>
      <c r="IH280" s="545"/>
      <c r="II280" s="1464"/>
      <c r="IJ280" s="1463"/>
      <c r="IK280" s="1463"/>
    </row>
    <row r="281" spans="1:245">
      <c r="A281" s="177">
        <f t="shared" si="808"/>
        <v>44682</v>
      </c>
      <c r="B281" s="349">
        <f t="shared" si="809"/>
        <v>2022</v>
      </c>
      <c r="C281" s="15">
        <f t="shared" si="749"/>
        <v>5</v>
      </c>
      <c r="D281" s="612">
        <f t="shared" si="810"/>
        <v>44711</v>
      </c>
      <c r="E281" s="609">
        <f t="shared" si="750"/>
        <v>44682</v>
      </c>
      <c r="F281" s="614">
        <f t="shared" si="751"/>
        <v>44712</v>
      </c>
      <c r="G281" s="1349">
        <v>0</v>
      </c>
      <c r="H281" s="152">
        <f t="shared" si="854"/>
        <v>1</v>
      </c>
      <c r="I281" s="154">
        <f>IF(Assumptions!$L$25=4,VLOOKUP($A281,'Henwood Reference'!$E$9:$R$320,10),(VLOOKUP($A281,PriceTable,2,0)+IF(BasisNumber&lt;&gt;1,VLOOKUP($A281,BasisTable,2,0),0)+I$1)/(1-I$2))</f>
        <v>51.755843624333671</v>
      </c>
      <c r="J281" s="154">
        <f>IF(Assumptions!$L$25=4,VLOOKUP($A281,'Henwood Reference'!$E$9:$R$320,10),(VLOOKUP($A281,PriceTable,3,0)+IF(BasisNumber&lt;&gt;1,VLOOKUP($A281,BasisTable,2,0),0)+J$1)/(1-J$2))</f>
        <v>51.755843624333671</v>
      </c>
      <c r="K281" s="154">
        <f>IF(Assumptions!$L$25=4,VLOOKUP($A281,'Henwood Reference'!$E$9:$R$320,10),(VLOOKUP($A281,PriceTable,4,0)+IF(BasisNumber&lt;&gt;1,VLOOKUP($A281,BasisTable,2,0),0)+K$1)/(1-K$2))</f>
        <v>51.755843624333671</v>
      </c>
      <c r="L281" s="474">
        <f>IF(Assumptions!$L$25=4,VLOOKUP($A281,'Henwood Reference'!$E$9:$R$320,10),(VLOOKUP($A281,PriceTableWeekend,2,0)+IF(BasisNumber&lt;&gt;1,VLOOKUP($A281,BasisTable,2,0),0)+L$1)/(1-L$2))</f>
        <v>51.755843624333671</v>
      </c>
      <c r="M281" s="154">
        <f>IF(Assumptions!$L$25=4,VLOOKUP($A281,'Henwood Reference'!$E$9:$R$320,10),(VLOOKUP($A281,PriceTableWeekend,3,0)+IF(BasisNumber&lt;&gt;1,VLOOKUP($A281,BasisTable,2,0),0)+M$1)/(1-M$2))</f>
        <v>51.755843624333671</v>
      </c>
      <c r="N281" s="156">
        <f>IF(Assumptions!$L$25=4,VLOOKUP($A281,'Henwood Reference'!$E$9:$R$320,10),(VLOOKUP($A281,PriceTableWeekend,4,0)+IF(BasisNumber&lt;&gt;1,VLOOKUP($A281,BasisTable,2,0),0)+N$1)/(1-N$2))</f>
        <v>51.755843624333671</v>
      </c>
      <c r="O281" s="154">
        <f>IF(Assumptions!$L$25=4,VLOOKUP($A281,'Henwood Reference'!$E$9:$R$320,11),(VLOOKUP($A281,PriceTableWeekend,6,0)+IF(BasisNumber&lt;&gt;1,VLOOKUP($A281,BasisTable,3,0),0)+O$1)/(1-O$2))</f>
        <v>30.935980800027817</v>
      </c>
      <c r="P281" s="154">
        <f>IF(Assumptions!$L$25=4,VLOOKUP($A281,'Henwood Reference'!$E$9:$R$320,11),(VLOOKUP($A281,PriceTableWeekend,7,0)+IF(BasisNumber&lt;&gt;1,VLOOKUP($A281,BasisTable,3,0),0)+P$1)/(1-P$2))</f>
        <v>30.935980800027817</v>
      </c>
      <c r="Q281" s="156">
        <f>IF(Assumptions!$L$25=4,VLOOKUP($A281,'Henwood Reference'!$E$9:$R$320,11),(VLOOKUP($A281,PriceTableWeekend,8,0)+IF(BasisNumber&lt;&gt;1,VLOOKUP($A281,BasisTable,3,0),0)+Q$1)/(1-Q$2))</f>
        <v>30.935980800027817</v>
      </c>
      <c r="R281" s="154">
        <f>IF(Assumptions!$L$25=4,VLOOKUP($A281,'Henwood Reference'!$E$9:$R$320,11),(VLOOKUP($A281,PriceTable,6,0)+IF(BasisNumber&lt;&gt;1,VLOOKUP($A281,BasisTable,3,0),0)+R$1)/(1-R$2))</f>
        <v>30.935980800027817</v>
      </c>
      <c r="S281" s="154">
        <f>IF(Assumptions!$L$25=4,VLOOKUP($A281,'Henwood Reference'!$E$9:$R$320,11),(VLOOKUP($A281,PriceTable,7,0)+IF(BasisNumber&lt;&gt;1,VLOOKUP($A281,BasisTable,3,0),0)+S$1)/(1-S$2))</f>
        <v>30.935980800027817</v>
      </c>
      <c r="T281" s="155">
        <f>IF(Assumptions!$L$25=4,VLOOKUP($A281,'Henwood Reference'!$E$9:$R$320,11),(VLOOKUP($A281,PriceTable,8,0)+IF(BasisNumber&lt;&gt;1,VLOOKUP($A281,BasisTable,3,0),0)+T$1)/(1-T$2))</f>
        <v>30.935980800027817</v>
      </c>
      <c r="U281" s="173">
        <f t="shared" si="811"/>
        <v>0.09</v>
      </c>
      <c r="V281" s="173">
        <f t="shared" si="812"/>
        <v>0.1</v>
      </c>
      <c r="W281" s="174">
        <f t="shared" si="813"/>
        <v>0.11</v>
      </c>
      <c r="X281" s="173">
        <f t="shared" si="814"/>
        <v>0.09</v>
      </c>
      <c r="Y281" s="173">
        <f t="shared" si="815"/>
        <v>0.1</v>
      </c>
      <c r="Z281" s="174">
        <f t="shared" si="816"/>
        <v>0.11</v>
      </c>
      <c r="AA281" s="173">
        <f t="shared" si="817"/>
        <v>0.09</v>
      </c>
      <c r="AB281" s="173">
        <f t="shared" si="818"/>
        <v>0.11</v>
      </c>
      <c r="AC281" s="174">
        <f t="shared" si="819"/>
        <v>0.13</v>
      </c>
      <c r="AD281" s="173">
        <f t="shared" si="820"/>
        <v>0.09</v>
      </c>
      <c r="AE281" s="173">
        <f t="shared" si="821"/>
        <v>0.11</v>
      </c>
      <c r="AF281" s="174">
        <f t="shared" si="822"/>
        <v>0.13</v>
      </c>
      <c r="AG281" s="173">
        <f t="shared" si="823"/>
        <v>-0.1</v>
      </c>
      <c r="AH281" s="173">
        <f t="shared" si="824"/>
        <v>0.65</v>
      </c>
      <c r="AI281" s="174">
        <f t="shared" si="825"/>
        <v>0.1</v>
      </c>
      <c r="AJ281" s="173">
        <f t="shared" si="826"/>
        <v>-0.1</v>
      </c>
      <c r="AK281" s="173">
        <f t="shared" si="827"/>
        <v>0.65</v>
      </c>
      <c r="AL281" s="174">
        <f t="shared" si="828"/>
        <v>0.1</v>
      </c>
      <c r="AM281" s="173">
        <f t="shared" si="829"/>
        <v>-0.01</v>
      </c>
      <c r="AN281" s="173">
        <f t="shared" si="830"/>
        <v>0.16</v>
      </c>
      <c r="AO281" s="174">
        <f t="shared" si="831"/>
        <v>0.01</v>
      </c>
      <c r="AP281" s="173">
        <f t="shared" si="832"/>
        <v>-0.01</v>
      </c>
      <c r="AQ281" s="173">
        <f t="shared" si="833"/>
        <v>0.16</v>
      </c>
      <c r="AR281" s="175">
        <f t="shared" si="834"/>
        <v>0.01</v>
      </c>
      <c r="AS281" s="521">
        <f t="shared" si="835"/>
        <v>0.5</v>
      </c>
      <c r="AT281" s="349">
        <f t="shared" si="752"/>
        <v>21</v>
      </c>
      <c r="AU281" s="159">
        <f t="shared" si="753"/>
        <v>4</v>
      </c>
      <c r="AV281" s="159">
        <f t="shared" si="754"/>
        <v>5</v>
      </c>
      <c r="AW281" s="159">
        <f t="shared" si="836"/>
        <v>1</v>
      </c>
      <c r="AX281" s="15">
        <f t="shared" si="755"/>
        <v>31</v>
      </c>
      <c r="AY281" s="607">
        <f>IF(E281="",0,MIN((1-(1-VLOOKUP(B281,MAIN!$AA$7:$AM$28,C281+1))*(1-VLOOKUP(B281,MAIN!$AA$33:$AM$54,C281+1))),1))</f>
        <v>3.0000000000000027E-2</v>
      </c>
      <c r="AZ281" s="337">
        <v>48888</v>
      </c>
      <c r="BA281" s="509">
        <v>9312</v>
      </c>
      <c r="BB281" s="509">
        <v>13968</v>
      </c>
      <c r="BC281" s="511">
        <v>36084</v>
      </c>
      <c r="BD281" s="153">
        <v>0.97</v>
      </c>
      <c r="BE281" s="474">
        <v>0.97</v>
      </c>
      <c r="BF281" s="474">
        <v>0.97</v>
      </c>
      <c r="BG281" s="515">
        <v>0.97</v>
      </c>
      <c r="BH281" s="262">
        <v>195552</v>
      </c>
      <c r="BI281" s="509">
        <v>37248</v>
      </c>
      <c r="BJ281" s="509">
        <v>55872</v>
      </c>
      <c r="BK281" s="511">
        <v>144336</v>
      </c>
      <c r="BL281" s="153">
        <v>0.97</v>
      </c>
      <c r="BM281" s="474">
        <v>0.97</v>
      </c>
      <c r="BN281" s="474">
        <v>0.97</v>
      </c>
      <c r="BO281" s="474">
        <v>0.97</v>
      </c>
      <c r="BP281" s="261">
        <f t="shared" si="837"/>
        <v>72168</v>
      </c>
      <c r="BQ281" s="578">
        <f t="shared" si="838"/>
        <v>108252</v>
      </c>
      <c r="BR281" s="259">
        <f t="shared" si="839"/>
        <v>288672</v>
      </c>
      <c r="BS281" s="578">
        <f t="shared" si="840"/>
        <v>433008</v>
      </c>
      <c r="BT281" s="216">
        <f t="shared" si="841"/>
        <v>22.04517453798768</v>
      </c>
      <c r="BU281" s="218">
        <f t="shared" si="756"/>
        <v>51.755843624333671</v>
      </c>
      <c r="BV281" s="216">
        <f t="shared" si="757"/>
        <v>51.755843624333671</v>
      </c>
      <c r="BW281" s="216">
        <f t="shared" si="758"/>
        <v>30.935980800027817</v>
      </c>
      <c r="BX281" s="216">
        <f t="shared" si="842"/>
        <v>30.935980800027817</v>
      </c>
      <c r="BY281" s="216">
        <f t="shared" si="759"/>
        <v>47.726192755113182</v>
      </c>
      <c r="BZ281" s="216">
        <f t="shared" si="760"/>
        <v>42.1294554367514</v>
      </c>
      <c r="CA281" s="264">
        <f t="shared" si="761"/>
        <v>51.755843624333671</v>
      </c>
      <c r="CB281" s="216">
        <f t="shared" si="762"/>
        <v>51.755843624333671</v>
      </c>
      <c r="CC281" s="216">
        <f t="shared" si="763"/>
        <v>30.935980800027817</v>
      </c>
      <c r="CD281" s="216">
        <f t="shared" si="843"/>
        <v>30.935980800027817</v>
      </c>
      <c r="CE281" s="216">
        <f t="shared" si="764"/>
        <v>47.726192755113182</v>
      </c>
      <c r="CF281" s="571">
        <f t="shared" si="765"/>
        <v>42.1294554367514</v>
      </c>
      <c r="CG281" s="573">
        <f t="shared" si="766"/>
        <v>0.1</v>
      </c>
      <c r="CH281" s="219">
        <f t="shared" si="767"/>
        <v>0.1</v>
      </c>
      <c r="CI281" s="219">
        <f t="shared" si="768"/>
        <v>0.11</v>
      </c>
      <c r="CJ281" s="219">
        <f t="shared" si="769"/>
        <v>0.10126689801896904</v>
      </c>
      <c r="CK281" s="219">
        <f t="shared" si="770"/>
        <v>0.10126689801896904</v>
      </c>
      <c r="CL281" s="219">
        <f t="shared" si="771"/>
        <v>0.11</v>
      </c>
      <c r="CM281" s="219">
        <f t="shared" si="772"/>
        <v>9.3249840598749245E-2</v>
      </c>
      <c r="CN281" s="569">
        <f t="shared" si="773"/>
        <v>9.3249840598749245E-2</v>
      </c>
      <c r="CO281" s="264">
        <f t="shared" si="685"/>
        <v>32.445646836236882</v>
      </c>
      <c r="CP281" s="216">
        <f t="shared" si="844"/>
        <v>32.445646836236882</v>
      </c>
      <c r="CQ281" s="216">
        <f t="shared" ca="1" si="703"/>
        <v>41.715831646590274</v>
      </c>
      <c r="CR281" s="216">
        <f t="shared" ca="1" si="704"/>
        <v>41.715831646590274</v>
      </c>
      <c r="CS281" s="1626">
        <f t="shared" ca="1" si="705"/>
        <v>36.731861318443286</v>
      </c>
      <c r="CT281" s="216">
        <f t="shared" si="845"/>
        <v>32.445646836236882</v>
      </c>
      <c r="CU281" s="575">
        <f t="shared" si="774"/>
        <v>0.15</v>
      </c>
      <c r="CV281" s="154">
        <f t="shared" si="775"/>
        <v>0.5</v>
      </c>
      <c r="CW281" s="216">
        <f>IF(OR($BQ281,$BS281),SpreadOptPowerMargin,0)*((1+Assumptions!$C$26)^($B281-YEAR(Assumptions!$C$17)))</f>
        <v>2.6222601105500365</v>
      </c>
      <c r="CX281" s="216">
        <f>IF(OR($BQ281,$BS281),SpreadOptPowerMargin,0)*((1+Assumptions!$C$26)^($B281-YEAR(Assumptions!$C$17)))</f>
        <v>2.6222601105500365</v>
      </c>
      <c r="CY281" s="216">
        <f>IF(OR($BQ281,$BS281),SpreadOptPowerMargin,0)*((1+Assumptions!$C$26)^($B281-YEAR(Assumptions!$C$17)))</f>
        <v>2.6222601105500365</v>
      </c>
      <c r="CZ281" s="216">
        <f>IF(OR($BQ281,$BS281),SpreadOptPowerMargin,0)*((1+Assumptions!$C$26)^($B281-YEAR(Assumptions!$C$17)))</f>
        <v>2.6222601105500365</v>
      </c>
      <c r="DA281" s="440">
        <f t="shared" si="776"/>
        <v>2.6222601105500365</v>
      </c>
      <c r="DB281" s="479">
        <f t="shared" si="777"/>
        <v>0.1</v>
      </c>
      <c r="DC281" s="479">
        <f t="shared" si="778"/>
        <v>0.1</v>
      </c>
      <c r="DD281" s="479">
        <f t="shared" si="779"/>
        <v>0.11</v>
      </c>
      <c r="DE281" s="479">
        <f t="shared" si="780"/>
        <v>0.11</v>
      </c>
      <c r="DF281" s="479">
        <f t="shared" si="781"/>
        <v>9.3249840598749245E-2</v>
      </c>
      <c r="DG281" s="574">
        <f t="shared" si="782"/>
        <v>9.3249840598749245E-2</v>
      </c>
      <c r="DH281" s="216">
        <f t="shared" si="783"/>
        <v>20.396072704567995</v>
      </c>
      <c r="DI281" s="216">
        <f t="shared" si="784"/>
        <v>20.396072704567995</v>
      </c>
      <c r="DJ281" s="216">
        <f t="shared" ca="1" si="706"/>
        <v>3.6366336273168822</v>
      </c>
      <c r="DK281" s="216">
        <f t="shared" ca="1" si="707"/>
        <v>3.6366336273168822</v>
      </c>
      <c r="DL281" s="216">
        <f t="shared" ca="1" si="708"/>
        <v>10.740917260440705</v>
      </c>
      <c r="DM281" s="216"/>
      <c r="DN281" s="216"/>
      <c r="DO281" s="216"/>
      <c r="DP281" s="216"/>
      <c r="DQ281" s="216"/>
      <c r="DR281" s="216"/>
      <c r="DS281" s="216"/>
      <c r="DT281" s="216"/>
      <c r="DU281" s="216"/>
      <c r="DV281" s="216"/>
      <c r="DW281" s="1371">
        <f t="shared" si="785"/>
        <v>5.794697948914969</v>
      </c>
      <c r="DX281" s="216">
        <f t="shared" si="786"/>
        <v>5.794697948914969</v>
      </c>
      <c r="DY281" s="440">
        <f t="shared" si="787"/>
        <v>13.644899430448856</v>
      </c>
      <c r="DZ281" s="180">
        <f t="shared" si="788"/>
        <v>997123.20238092018</v>
      </c>
      <c r="EA281" s="180">
        <f t="shared" si="789"/>
        <v>189928.22902493717</v>
      </c>
      <c r="EB281" s="180">
        <f t="shared" ca="1" si="709"/>
        <v>50796.498506362208</v>
      </c>
      <c r="EC281" s="180">
        <f t="shared" ca="1" si="710"/>
        <v>131224.28780810238</v>
      </c>
      <c r="ED281" s="180">
        <f t="shared" ca="1" si="711"/>
        <v>1162725.7752772272</v>
      </c>
      <c r="EE281" s="581">
        <f t="shared" si="790"/>
        <v>815839.8482919056</v>
      </c>
      <c r="EF281" s="554">
        <f t="shared" si="791"/>
        <v>155398.06634131534</v>
      </c>
      <c r="EG281" s="554">
        <f t="shared" ca="1" si="712"/>
        <v>0</v>
      </c>
      <c r="EH281" s="554">
        <f t="shared" ca="1" si="713"/>
        <v>0</v>
      </c>
      <c r="EI281" s="561">
        <f t="shared" ca="1" si="792"/>
        <v>300435.45700782724</v>
      </c>
      <c r="EJ281" s="581">
        <f t="shared" si="846"/>
        <v>181283.35408901458</v>
      </c>
      <c r="EK281" s="554">
        <f t="shared" si="847"/>
        <v>34530.162683621835</v>
      </c>
      <c r="EL281" s="554">
        <f t="shared" ca="1" si="714"/>
        <v>50796.498506362208</v>
      </c>
      <c r="EM281" s="554">
        <f t="shared" ca="1" si="715"/>
        <v>131224.28780810238</v>
      </c>
      <c r="EN281" s="561">
        <f t="shared" ca="1" si="716"/>
        <v>862290.31826939993</v>
      </c>
      <c r="EO281" s="180">
        <f t="shared" si="793"/>
        <v>3988492.8095236807</v>
      </c>
      <c r="EP281" s="180">
        <f t="shared" si="794"/>
        <v>759712.91609974869</v>
      </c>
      <c r="EQ281" s="180">
        <f t="shared" si="795"/>
        <v>323761.36380177713</v>
      </c>
      <c r="ER281" s="180">
        <f t="shared" si="796"/>
        <v>836383.52315459098</v>
      </c>
      <c r="ES281" s="180">
        <f t="shared" si="797"/>
        <v>5908350.6125797983</v>
      </c>
      <c r="ET281" s="1482">
        <f t="shared" ca="1" si="717"/>
        <v>3263359.3931676224</v>
      </c>
      <c r="EU281" s="180">
        <f t="shared" ca="1" si="718"/>
        <v>621592.26536526135</v>
      </c>
      <c r="EV281" s="180">
        <f t="shared" ca="1" si="719"/>
        <v>0</v>
      </c>
      <c r="EW281" s="180">
        <f t="shared" ca="1" si="720"/>
        <v>0</v>
      </c>
      <c r="EX281" s="555">
        <f t="shared" ca="1" si="693"/>
        <v>3884951.658532884</v>
      </c>
      <c r="EY281" s="180">
        <f t="shared" ca="1" si="721"/>
        <v>725133.41635605833</v>
      </c>
      <c r="EZ281" s="180">
        <f t="shared" ca="1" si="722"/>
        <v>138120.65073448734</v>
      </c>
      <c r="FA281" s="180">
        <f t="shared" ca="1" si="723"/>
        <v>323761.36380177713</v>
      </c>
      <c r="FB281" s="180">
        <f t="shared" ca="1" si="724"/>
        <v>836383.52315459098</v>
      </c>
      <c r="FC281" s="180">
        <f t="shared" ca="1" si="725"/>
        <v>2023398.9540469144</v>
      </c>
      <c r="FD281" s="262">
        <f>IF(AX281,IF(VLOOKUP(C281,MAIN!$L$17:$M$28,2)="Yes",VLOOKUP(CALC!B281,MAIN!$H$17:$I$20,2),0),0)</f>
        <v>0</v>
      </c>
      <c r="FE281" s="623">
        <f t="shared" si="798"/>
        <v>0</v>
      </c>
      <c r="FF281" s="535">
        <f t="shared" si="799"/>
        <v>0</v>
      </c>
      <c r="FG281" s="535">
        <f t="shared" si="800"/>
        <v>0</v>
      </c>
      <c r="FH281" s="624">
        <f t="shared" si="801"/>
        <v>0</v>
      </c>
      <c r="FI281" s="632">
        <f>IF(AX281,VLOOKUP(CALC!B281,MAIN!$H$17:$K$20,4),0)</f>
        <v>0</v>
      </c>
      <c r="FJ281" s="535">
        <f t="shared" si="802"/>
        <v>0</v>
      </c>
      <c r="FK281" s="648">
        <f t="shared" si="848"/>
        <v>0</v>
      </c>
      <c r="FL281" s="530">
        <f t="shared" ca="1" si="726"/>
        <v>0</v>
      </c>
      <c r="FM281" s="530">
        <f t="shared" ca="1" si="727"/>
        <v>0</v>
      </c>
      <c r="FN281" s="530">
        <f t="shared" ca="1" si="728"/>
        <v>0</v>
      </c>
      <c r="FO281" s="622">
        <f t="shared" ca="1" si="729"/>
        <v>0</v>
      </c>
      <c r="FP281" s="530">
        <f t="shared" ca="1" si="730"/>
        <v>0</v>
      </c>
      <c r="FQ281" s="530">
        <f t="shared" ca="1" si="731"/>
        <v>0</v>
      </c>
      <c r="FR281" s="530">
        <f t="shared" ca="1" si="732"/>
        <v>0</v>
      </c>
      <c r="FS281" s="625">
        <f t="shared" ca="1" si="733"/>
        <v>0</v>
      </c>
      <c r="FT281" s="640">
        <f ca="1">IF(AND(Assumptions!$H$71="Yes",A281&gt;=Assumptions!$H$72,A281&lt;=Assumptions!$H$73),0,IF(AND($A281&gt;=Assumptions!$C$17,$A281&lt;=Assumptions!$C$18),MAX(AZ281*(1+VLOOKUP($C281,WeatherCapacityAdjustment,2))-FL281,0),0))</f>
        <v>48888</v>
      </c>
      <c r="FU281" s="530">
        <f ca="1">IF(AND(Assumptions!$H$71="Yes",A281&gt;=Assumptions!$H$72,A281&lt;=Assumptions!$H$73),0,IF(AND($A281&gt;=Assumptions!$C$17,$A281&lt;=Assumptions!$C$18),MAX(BA281*(1+VLOOKUP($C281,WeatherCapacityAdjustment,2))-FM281,0),0))</f>
        <v>9312</v>
      </c>
      <c r="FV281" s="530">
        <f ca="1">IF(AND(Assumptions!$H$71="Yes",A281&gt;=Assumptions!$H$72,A281&lt;=Assumptions!$H$73),0,IF(AND($A281&gt;=Assumptions!$C$17,$A281&lt;=Assumptions!$C$18),MAX(BB281*(1+VLOOKUP($C281,WeatherCapacityAdjustment,2))-FN281,0),0))</f>
        <v>13968</v>
      </c>
      <c r="FW281" s="622">
        <f ca="1">IF(AND(Assumptions!$H$71="Yes",A281&gt;=Assumptions!$H$72,A281&lt;=Assumptions!$H$73),0,IF(AND($A281&gt;=Assumptions!$C$17,$A281&lt;=Assumptions!$C$18),MAX(BC281*(1+VLOOKUP($C281,WeatherCapacityAdjustment,3))-FO281,0),0))</f>
        <v>36084</v>
      </c>
      <c r="FX281" s="621">
        <f ca="1">IF(AND(Assumptions!$H$71="Yes",A281&gt;=Assumptions!$H$72,A281&lt;=Assumptions!$H$73),0,IF(ET281&gt;0,MAX(BH281*(1+VLOOKUP($C281,WeatherCapacityAdjustment,2))-FP281,0),0))</f>
        <v>195552</v>
      </c>
      <c r="FY281" s="530">
        <f ca="1">IF(AND(Assumptions!$H$71="Yes",A281&gt;=Assumptions!$H$72,A281&lt;=Assumptions!$H$73),0,IF(EU281&gt;0,MAX(BI281*(1+VLOOKUP($C281,WeatherCapacityAdjustment,3))-FQ281,0),0))</f>
        <v>37248</v>
      </c>
      <c r="FZ281" s="530">
        <f ca="1">IF(AND(Assumptions!$H$71="Yes",A281&gt;=Assumptions!$H$72,A281&lt;=Assumptions!$H$73),0,IF(EV281&gt;0,MAX(BJ281*(1+VLOOKUP($C281,WeatherCapacityAdjustment,2))-FR281,0),0))</f>
        <v>0</v>
      </c>
      <c r="GA281" s="622">
        <f ca="1">IF(AND(Assumptions!$H$71="Yes",A281&gt;=Assumptions!$H$72,A281&lt;=Assumptions!$H$73),0,IF(EW281&gt;0,MAX(BK281*(1+VLOOKUP($C281,WeatherCapacityAdjustment,2))-FS281,0),0))</f>
        <v>0</v>
      </c>
      <c r="GB281" s="530">
        <f t="shared" ca="1" si="803"/>
        <v>341052</v>
      </c>
      <c r="GC281" s="545">
        <f t="shared" ca="1" si="804"/>
        <v>48.70036887537411</v>
      </c>
      <c r="GD281" s="530">
        <f t="shared" ca="1" si="734"/>
        <v>16609358.20568409</v>
      </c>
      <c r="GE281" s="1485">
        <f t="shared" ca="1" si="735"/>
        <v>866841.29927999992</v>
      </c>
      <c r="GF281" s="1776">
        <f t="shared" ca="1" si="736"/>
        <v>1646645.6159999999</v>
      </c>
      <c r="GG281" s="545">
        <f t="shared" si="701"/>
        <v>4.5871112217967047</v>
      </c>
      <c r="GH281" s="622">
        <f t="shared" ca="1" si="702"/>
        <v>11529644.03492007</v>
      </c>
      <c r="GI281" s="621">
        <f t="shared" ca="1" si="849"/>
        <v>341052</v>
      </c>
      <c r="GJ281" s="638">
        <f t="shared" si="805"/>
        <v>2.6222601105500365</v>
      </c>
      <c r="GK281" s="625">
        <f t="shared" ca="1" si="855"/>
        <v>894327.05522331106</v>
      </c>
      <c r="GL281" s="640">
        <f t="shared" ca="1" si="737"/>
        <v>0</v>
      </c>
      <c r="GM281" s="530">
        <f t="shared" ca="1" si="738"/>
        <v>0</v>
      </c>
      <c r="GN281" s="530">
        <f t="shared" ca="1" si="739"/>
        <v>0</v>
      </c>
      <c r="GO281" s="622">
        <f t="shared" ca="1" si="740"/>
        <v>0</v>
      </c>
      <c r="GP281" s="530">
        <f t="shared" ca="1" si="806"/>
        <v>0</v>
      </c>
      <c r="GQ281" s="545">
        <f t="shared" ca="1" si="807"/>
        <v>0</v>
      </c>
      <c r="GR281" s="625">
        <f t="shared" ca="1" si="741"/>
        <v>0</v>
      </c>
      <c r="GS281" s="640">
        <f>IF($A281&gt;=BegDate,Assumptions!$C$56*24*($A282-$A281)*(1-VLOOKUP($B281,MAIN!$AA$7:$AM$28,$C281+1))*(1-VLOOKUP($B281,MAIN!$AA$33:$AM$54,$C281+1)),0)*80/168</f>
        <v>257742.85714285713</v>
      </c>
      <c r="GT281" s="1715">
        <f t="shared" si="850"/>
        <v>51.755843624333671</v>
      </c>
      <c r="GU281" s="1715">
        <f>IF($A281&gt;=BegDate,VLOOKUP($A281,GasTable,13)+Assumptions!$C$58,0)</f>
        <v>4.5871112217967047</v>
      </c>
      <c r="GV281" s="1715">
        <f>GU281*Assumptions!$C$57/1000</f>
        <v>33.25655635802611</v>
      </c>
      <c r="GW281" s="625">
        <f>IF(Assumptions!$C$60="Hourly",MAX(0,GS281*(GT281-GV281)),GS281*(GT281-GV281))</f>
        <v>4768059.1551245861</v>
      </c>
      <c r="GX281" s="640">
        <f>IF($A281&gt;=BegDate,Assumptions!$C$56*24*($A282-$A281)*(1-VLOOKUP($B281,MAIN!$AA$7:$AM$28,$C281+1))*(1-VLOOKUP($B281,MAIN!$AA$33:$AM$54,$C281+1)),0)*16/168</f>
        <v>51548.571428571428</v>
      </c>
      <c r="GY281" s="1715">
        <f t="shared" si="851"/>
        <v>51.755843624333671</v>
      </c>
      <c r="GZ281" s="1715">
        <f>IF($A281&gt;=BegDate,VLOOKUP($A281,GasTable,13)+Assumptions!$C$58,0)</f>
        <v>4.5871112217967047</v>
      </c>
      <c r="HA281" s="1715">
        <f>GZ281*Assumptions!$C$57/1000</f>
        <v>33.25655635802611</v>
      </c>
      <c r="HB281" s="625">
        <f>IF(Assumptions!$C$60="Hourly",MAX(0,GX281*(GY281-HA281)),GX281*(GY281-HA281))</f>
        <v>953611.83102491719</v>
      </c>
      <c r="HC281" s="640">
        <f>IF($A281&gt;=BegDate,Assumptions!$C$56*24*($A282-$A281)*(1-VLOOKUP($B281,MAIN!$AA$7:$AM$28,$C281+1))*(1-VLOOKUP($B281,MAIN!$AA$33:$AM$54,$C281+1)),0)*16/168</f>
        <v>51548.571428571428</v>
      </c>
      <c r="HD281" s="1715">
        <f t="shared" si="852"/>
        <v>30.935980800027817</v>
      </c>
      <c r="HE281" s="1715">
        <f>IF($A281&gt;=BegDate,VLOOKUP($A281,GasTable,13)+Assumptions!$C$58,0)</f>
        <v>4.5871112217967047</v>
      </c>
      <c r="HF281" s="1715">
        <f>HE281*Assumptions!$C$57/1000</f>
        <v>33.25655635802611</v>
      </c>
      <c r="HG281" s="625">
        <f>IF(Assumptions!$C$60="Hourly",MAX(0,HC281*(HD281-HF281)),HC281*(HD281-HF281))</f>
        <v>0</v>
      </c>
      <c r="HH281" s="640">
        <f>IF($A281&gt;=BegDate,Assumptions!$C$56*24*($A282-$A281)*(1-VLOOKUP($B281,MAIN!$AA$7:$AM$28,$C281+1))*(1-VLOOKUP($B281,MAIN!$AA$33:$AM$54,$C281+1)),0)*56/168</f>
        <v>180420</v>
      </c>
      <c r="HI281" s="1715">
        <f t="shared" si="853"/>
        <v>30.935980800027817</v>
      </c>
      <c r="HJ281" s="1715">
        <f>IF($A281&gt;=BegDate,VLOOKUP($A281,GasTable,13)+Assumptions!$C$58,0)</f>
        <v>4.5871112217967047</v>
      </c>
      <c r="HK281" s="1715">
        <f>HJ281*Assumptions!$C$57/1000</f>
        <v>33.25655635802611</v>
      </c>
      <c r="HL281" s="625">
        <f>IF(Assumptions!$C$60="Hourly",MAX(0,HH281*(HI281-HK281)),HH281*(HI281-HK281))</f>
        <v>0</v>
      </c>
      <c r="HM281" s="640">
        <f>IF(AND(Assumptions!$H$71="Yes",A281&gt;=Assumptions!$H$72,A281&lt;=Assumptions!$H$73),Assumptions!$H$74*Assumptions!$C$9*1000,0)</f>
        <v>0</v>
      </c>
      <c r="HN281" s="530"/>
      <c r="HO281" s="545"/>
      <c r="HP281" s="545"/>
      <c r="HQ281" s="545"/>
      <c r="HR281" s="545"/>
      <c r="HS281" s="545"/>
      <c r="HT281" s="545"/>
      <c r="HU281" s="545"/>
      <c r="HV281" s="545"/>
      <c r="HW281" s="545"/>
      <c r="HX281" s="545"/>
      <c r="HY281" s="545"/>
      <c r="HZ281" s="545"/>
      <c r="IA281" s="545"/>
      <c r="IB281" s="545"/>
      <c r="IC281" s="545"/>
      <c r="ID281" s="545"/>
      <c r="IE281" s="545"/>
      <c r="IF281" s="545"/>
      <c r="IG281" s="545"/>
      <c r="IH281" s="545"/>
      <c r="II281" s="1464"/>
      <c r="IJ281" s="1463"/>
      <c r="IK281" s="1463"/>
    </row>
    <row r="282" spans="1:245">
      <c r="A282" s="177">
        <f t="shared" si="808"/>
        <v>44713</v>
      </c>
      <c r="B282" s="349">
        <f t="shared" si="809"/>
        <v>2022</v>
      </c>
      <c r="C282" s="15">
        <f t="shared" si="749"/>
        <v>6</v>
      </c>
      <c r="D282" s="612" t="str">
        <f t="shared" si="810"/>
        <v/>
      </c>
      <c r="E282" s="609">
        <f t="shared" si="750"/>
        <v>44713</v>
      </c>
      <c r="F282" s="614">
        <f t="shared" si="751"/>
        <v>44742</v>
      </c>
      <c r="G282" s="1349">
        <v>0</v>
      </c>
      <c r="H282" s="152">
        <f t="shared" si="854"/>
        <v>1</v>
      </c>
      <c r="I282" s="154">
        <f>IF(Assumptions!$L$25=4,VLOOKUP($A282,'Henwood Reference'!$E$9:$R$320,10),(VLOOKUP($A282,PriceTable,2,0)+IF(BasisNumber&lt;&gt;1,VLOOKUP($A282,BasisTable,2,0),0)+I$1)/(1-I$2))</f>
        <v>50.236918597796361</v>
      </c>
      <c r="J282" s="154">
        <f>IF(Assumptions!$L$25=4,VLOOKUP($A282,'Henwood Reference'!$E$9:$R$320,10),(VLOOKUP($A282,PriceTable,3,0)+IF(BasisNumber&lt;&gt;1,VLOOKUP($A282,BasisTable,2,0),0)+J$1)/(1-J$2))</f>
        <v>50.236918597796361</v>
      </c>
      <c r="K282" s="154">
        <f>IF(Assumptions!$L$25=4,VLOOKUP($A282,'Henwood Reference'!$E$9:$R$320,10),(VLOOKUP($A282,PriceTable,4,0)+IF(BasisNumber&lt;&gt;1,VLOOKUP($A282,BasisTable,2,0),0)+K$1)/(1-K$2))</f>
        <v>50.236918597796361</v>
      </c>
      <c r="L282" s="474">
        <f>IF(Assumptions!$L$25=4,VLOOKUP($A282,'Henwood Reference'!$E$9:$R$320,10),(VLOOKUP($A282,PriceTableWeekend,2,0)+IF(BasisNumber&lt;&gt;1,VLOOKUP($A282,BasisTable,2,0),0)+L$1)/(1-L$2))</f>
        <v>50.236918597796361</v>
      </c>
      <c r="M282" s="154">
        <f>IF(Assumptions!$L$25=4,VLOOKUP($A282,'Henwood Reference'!$E$9:$R$320,10),(VLOOKUP($A282,PriceTableWeekend,3,0)+IF(BasisNumber&lt;&gt;1,VLOOKUP($A282,BasisTable,2,0),0)+M$1)/(1-M$2))</f>
        <v>50.236918597796361</v>
      </c>
      <c r="N282" s="156">
        <f>IF(Assumptions!$L$25=4,VLOOKUP($A282,'Henwood Reference'!$E$9:$R$320,10),(VLOOKUP($A282,PriceTableWeekend,4,0)+IF(BasisNumber&lt;&gt;1,VLOOKUP($A282,BasisTable,2,0),0)+N$1)/(1-N$2))</f>
        <v>50.236918597796361</v>
      </c>
      <c r="O282" s="154">
        <f>IF(Assumptions!$L$25=4,VLOOKUP($A282,'Henwood Reference'!$E$9:$R$320,11),(VLOOKUP($A282,PriceTableWeekend,6,0)+IF(BasisNumber&lt;&gt;1,VLOOKUP($A282,BasisTable,3,0),0)+O$1)/(1-O$2))</f>
        <v>30.17474041013778</v>
      </c>
      <c r="P282" s="154">
        <f>IF(Assumptions!$L$25=4,VLOOKUP($A282,'Henwood Reference'!$E$9:$R$320,11),(VLOOKUP($A282,PriceTableWeekend,7,0)+IF(BasisNumber&lt;&gt;1,VLOOKUP($A282,BasisTable,3,0),0)+P$1)/(1-P$2))</f>
        <v>30.17474041013778</v>
      </c>
      <c r="Q282" s="156">
        <f>IF(Assumptions!$L$25=4,VLOOKUP($A282,'Henwood Reference'!$E$9:$R$320,11),(VLOOKUP($A282,PriceTableWeekend,8,0)+IF(BasisNumber&lt;&gt;1,VLOOKUP($A282,BasisTable,3,0),0)+Q$1)/(1-Q$2))</f>
        <v>30.17474041013778</v>
      </c>
      <c r="R282" s="154">
        <f>IF(Assumptions!$L$25=4,VLOOKUP($A282,'Henwood Reference'!$E$9:$R$320,11),(VLOOKUP($A282,PriceTable,6,0)+IF(BasisNumber&lt;&gt;1,VLOOKUP($A282,BasisTable,3,0),0)+R$1)/(1-R$2))</f>
        <v>30.17474041013778</v>
      </c>
      <c r="S282" s="154">
        <f>IF(Assumptions!$L$25=4,VLOOKUP($A282,'Henwood Reference'!$E$9:$R$320,11),(VLOOKUP($A282,PriceTable,7,0)+IF(BasisNumber&lt;&gt;1,VLOOKUP($A282,BasisTable,3,0),0)+S$1)/(1-S$2))</f>
        <v>30.17474041013778</v>
      </c>
      <c r="T282" s="155">
        <f>IF(Assumptions!$L$25=4,VLOOKUP($A282,'Henwood Reference'!$E$9:$R$320,11),(VLOOKUP($A282,PriceTable,8,0)+IF(BasisNumber&lt;&gt;1,VLOOKUP($A282,BasisTable,3,0),0)+T$1)/(1-T$2))</f>
        <v>30.17474041013778</v>
      </c>
      <c r="U282" s="173">
        <f t="shared" si="811"/>
        <v>0.09</v>
      </c>
      <c r="V282" s="173">
        <f t="shared" si="812"/>
        <v>0.1</v>
      </c>
      <c r="W282" s="174">
        <f t="shared" si="813"/>
        <v>0.11</v>
      </c>
      <c r="X282" s="173">
        <f t="shared" si="814"/>
        <v>0.09</v>
      </c>
      <c r="Y282" s="173">
        <f t="shared" si="815"/>
        <v>0.1</v>
      </c>
      <c r="Z282" s="174">
        <f t="shared" si="816"/>
        <v>0.11</v>
      </c>
      <c r="AA282" s="173">
        <f t="shared" si="817"/>
        <v>0.09</v>
      </c>
      <c r="AB282" s="173">
        <f t="shared" si="818"/>
        <v>0.11</v>
      </c>
      <c r="AC282" s="174">
        <f t="shared" si="819"/>
        <v>0.13</v>
      </c>
      <c r="AD282" s="173">
        <f t="shared" si="820"/>
        <v>0.09</v>
      </c>
      <c r="AE282" s="173">
        <f t="shared" si="821"/>
        <v>0.11</v>
      </c>
      <c r="AF282" s="174">
        <f t="shared" si="822"/>
        <v>0.13</v>
      </c>
      <c r="AG282" s="173">
        <f t="shared" si="823"/>
        <v>-0.35</v>
      </c>
      <c r="AH282" s="173">
        <f t="shared" si="824"/>
        <v>0.65</v>
      </c>
      <c r="AI282" s="174">
        <f t="shared" si="825"/>
        <v>0.2</v>
      </c>
      <c r="AJ282" s="173">
        <f t="shared" si="826"/>
        <v>-0.35</v>
      </c>
      <c r="AK282" s="173">
        <f t="shared" si="827"/>
        <v>0.65</v>
      </c>
      <c r="AL282" s="174">
        <f t="shared" si="828"/>
        <v>0.2</v>
      </c>
      <c r="AM282" s="173">
        <f t="shared" si="829"/>
        <v>-0.01</v>
      </c>
      <c r="AN282" s="173">
        <f t="shared" si="830"/>
        <v>0.16</v>
      </c>
      <c r="AO282" s="174">
        <f t="shared" si="831"/>
        <v>0.01</v>
      </c>
      <c r="AP282" s="173">
        <f t="shared" si="832"/>
        <v>-0.01</v>
      </c>
      <c r="AQ282" s="173">
        <f t="shared" si="833"/>
        <v>0.16</v>
      </c>
      <c r="AR282" s="175">
        <f t="shared" si="834"/>
        <v>0.01</v>
      </c>
      <c r="AS282" s="521">
        <f t="shared" si="835"/>
        <v>0.5</v>
      </c>
      <c r="AT282" s="349">
        <f t="shared" si="752"/>
        <v>22</v>
      </c>
      <c r="AU282" s="159">
        <f t="shared" si="753"/>
        <v>4</v>
      </c>
      <c r="AV282" s="159">
        <f t="shared" si="754"/>
        <v>4</v>
      </c>
      <c r="AW282" s="159">
        <f t="shared" si="836"/>
        <v>0</v>
      </c>
      <c r="AX282" s="15">
        <f t="shared" si="755"/>
        <v>30</v>
      </c>
      <c r="AY282" s="607">
        <f>IF(E282="",0,MIN((1-(1-VLOOKUP(B282,MAIN!$AA$7:$AM$28,C282+1))*(1-VLOOKUP(B282,MAIN!$AA$33:$AM$54,C282+1))),1))</f>
        <v>3.0000000000000027E-2</v>
      </c>
      <c r="AZ282" s="337">
        <v>51216</v>
      </c>
      <c r="BA282" s="509">
        <v>9312</v>
      </c>
      <c r="BB282" s="509">
        <v>9312</v>
      </c>
      <c r="BC282" s="511">
        <v>34920</v>
      </c>
      <c r="BD282" s="153">
        <v>0.97000000722706314</v>
      </c>
      <c r="BE282" s="474">
        <v>0.97000000722706314</v>
      </c>
      <c r="BF282" s="474">
        <v>0.97000000722706314</v>
      </c>
      <c r="BG282" s="515">
        <v>0.97000000722706314</v>
      </c>
      <c r="BH282" s="262">
        <v>204864</v>
      </c>
      <c r="BI282" s="509">
        <v>37248</v>
      </c>
      <c r="BJ282" s="509">
        <v>37248</v>
      </c>
      <c r="BK282" s="511">
        <v>139680</v>
      </c>
      <c r="BL282" s="153">
        <v>0.97000000722706314</v>
      </c>
      <c r="BM282" s="474">
        <v>0.97000000722706314</v>
      </c>
      <c r="BN282" s="474">
        <v>0.97000000722706314</v>
      </c>
      <c r="BO282" s="474">
        <v>0.97000000722706314</v>
      </c>
      <c r="BP282" s="261">
        <f t="shared" si="837"/>
        <v>69840</v>
      </c>
      <c r="BQ282" s="578">
        <f t="shared" si="838"/>
        <v>104760</v>
      </c>
      <c r="BR282" s="259">
        <f t="shared" si="839"/>
        <v>279360</v>
      </c>
      <c r="BS282" s="578">
        <f t="shared" si="840"/>
        <v>419040</v>
      </c>
      <c r="BT282" s="216">
        <f t="shared" si="841"/>
        <v>22.130047912388775</v>
      </c>
      <c r="BU282" s="218">
        <f t="shared" si="756"/>
        <v>50.236918972090571</v>
      </c>
      <c r="BV282" s="216">
        <f t="shared" si="757"/>
        <v>50.236918972090571</v>
      </c>
      <c r="BW282" s="216">
        <f t="shared" si="758"/>
        <v>30.174740634957114</v>
      </c>
      <c r="BX282" s="216">
        <f t="shared" si="842"/>
        <v>30.174740634957114</v>
      </c>
      <c r="BY282" s="216">
        <f t="shared" si="759"/>
        <v>47.561961860472778</v>
      </c>
      <c r="BZ282" s="216">
        <f t="shared" si="760"/>
        <v>41.76622145196756</v>
      </c>
      <c r="CA282" s="264">
        <f t="shared" si="761"/>
        <v>50.236918972090571</v>
      </c>
      <c r="CB282" s="216">
        <f t="shared" si="762"/>
        <v>50.236918972090571</v>
      </c>
      <c r="CC282" s="216">
        <f t="shared" si="763"/>
        <v>30.174740634957114</v>
      </c>
      <c r="CD282" s="216">
        <f t="shared" si="843"/>
        <v>30.174740634957114</v>
      </c>
      <c r="CE282" s="216">
        <f t="shared" si="764"/>
        <v>47.561961860472778</v>
      </c>
      <c r="CF282" s="571">
        <f t="shared" si="765"/>
        <v>41.76622145196756</v>
      </c>
      <c r="CG282" s="573">
        <f t="shared" si="766"/>
        <v>0.1</v>
      </c>
      <c r="CH282" s="219">
        <f t="shared" si="767"/>
        <v>0.1</v>
      </c>
      <c r="CI282" s="219">
        <f t="shared" si="768"/>
        <v>0.11</v>
      </c>
      <c r="CJ282" s="219">
        <f t="shared" si="769"/>
        <v>0.10085460564784428</v>
      </c>
      <c r="CK282" s="219">
        <f t="shared" si="770"/>
        <v>0.10085460564784428</v>
      </c>
      <c r="CL282" s="219">
        <f t="shared" si="771"/>
        <v>0.11</v>
      </c>
      <c r="CM282" s="219">
        <f t="shared" si="772"/>
        <v>9.3023198321523864E-2</v>
      </c>
      <c r="CN282" s="569">
        <f t="shared" si="773"/>
        <v>9.3023198321523864E-2</v>
      </c>
      <c r="CO282" s="264">
        <f t="shared" ref="CO282:CO292" si="856">IF(OR(BQ282,BS282),VLOOKUP(A282,GasTable,13)*HeatRatePeak*(1+VLOOKUP($B282,HeatRateDegradation,$C282+1))/1000,0)</f>
        <v>32.459132943228965</v>
      </c>
      <c r="CP282" s="216">
        <f t="shared" si="844"/>
        <v>32.459132943228965</v>
      </c>
      <c r="CQ282" s="216">
        <f t="shared" ca="1" si="703"/>
        <v>41.733170927008672</v>
      </c>
      <c r="CR282" s="216">
        <f t="shared" ca="1" si="704"/>
        <v>41.733170927008672</v>
      </c>
      <c r="CS282" s="1626">
        <f t="shared" ca="1" si="705"/>
        <v>36.37483786971373</v>
      </c>
      <c r="CT282" s="216">
        <f t="shared" si="845"/>
        <v>32.459132943228965</v>
      </c>
      <c r="CU282" s="575">
        <f t="shared" si="774"/>
        <v>0.15</v>
      </c>
      <c r="CV282" s="154">
        <f t="shared" si="775"/>
        <v>0.5</v>
      </c>
      <c r="CW282" s="216">
        <f>IF(OR($BQ282,$BS282),SpreadOptPowerMargin,0)*((1+Assumptions!$C$26)^($B282-YEAR(Assumptions!$C$17)))</f>
        <v>2.6222601105500365</v>
      </c>
      <c r="CX282" s="216">
        <f>IF(OR($BQ282,$BS282),SpreadOptPowerMargin,0)*((1+Assumptions!$C$26)^($B282-YEAR(Assumptions!$C$17)))</f>
        <v>2.6222601105500365</v>
      </c>
      <c r="CY282" s="216">
        <f>IF(OR($BQ282,$BS282),SpreadOptPowerMargin,0)*((1+Assumptions!$C$26)^($B282-YEAR(Assumptions!$C$17)))</f>
        <v>2.6222601105500365</v>
      </c>
      <c r="CZ282" s="216">
        <f>IF(OR($BQ282,$BS282),SpreadOptPowerMargin,0)*((1+Assumptions!$C$26)^($B282-YEAR(Assumptions!$C$17)))</f>
        <v>2.6222601105500365</v>
      </c>
      <c r="DA282" s="440">
        <f t="shared" si="776"/>
        <v>2.6222601105500365</v>
      </c>
      <c r="DB282" s="479">
        <f t="shared" si="777"/>
        <v>0.1</v>
      </c>
      <c r="DC282" s="479">
        <f t="shared" si="778"/>
        <v>0.1</v>
      </c>
      <c r="DD282" s="479">
        <f t="shared" si="779"/>
        <v>0.11</v>
      </c>
      <c r="DE282" s="479">
        <f t="shared" si="780"/>
        <v>0.11</v>
      </c>
      <c r="DF282" s="479">
        <f t="shared" si="781"/>
        <v>9.3023198321523864E-2</v>
      </c>
      <c r="DG282" s="574">
        <f t="shared" si="782"/>
        <v>9.3023198321523864E-2</v>
      </c>
      <c r="DH282" s="216">
        <f t="shared" si="783"/>
        <v>19.145663490404608</v>
      </c>
      <c r="DI282" s="216">
        <f t="shared" si="784"/>
        <v>19.145663490404608</v>
      </c>
      <c r="DJ282" s="216">
        <f t="shared" ca="1" si="706"/>
        <v>3.3592644179956594</v>
      </c>
      <c r="DK282" s="216">
        <f t="shared" ca="1" si="707"/>
        <v>3.3592644179956594</v>
      </c>
      <c r="DL282" s="216">
        <f t="shared" ca="1" si="708"/>
        <v>10.665085088818106</v>
      </c>
      <c r="DM282" s="216"/>
      <c r="DN282" s="216"/>
      <c r="DO282" s="216"/>
      <c r="DP282" s="216"/>
      <c r="DQ282" s="216"/>
      <c r="DR282" s="216"/>
      <c r="DS282" s="216"/>
      <c r="DT282" s="216"/>
      <c r="DU282" s="216"/>
      <c r="DV282" s="216"/>
      <c r="DW282" s="1371">
        <f t="shared" si="785"/>
        <v>5.400465280439513</v>
      </c>
      <c r="DX282" s="216">
        <f t="shared" si="786"/>
        <v>5.400465280439513</v>
      </c>
      <c r="DY282" s="440">
        <f t="shared" si="787"/>
        <v>13.342135357308234</v>
      </c>
      <c r="DZ282" s="180">
        <f t="shared" si="788"/>
        <v>980564.3013245624</v>
      </c>
      <c r="EA282" s="180">
        <f t="shared" si="789"/>
        <v>178284.41842264772</v>
      </c>
      <c r="EB282" s="180">
        <f t="shared" ca="1" si="709"/>
        <v>31281.47026037558</v>
      </c>
      <c r="EC282" s="180">
        <f t="shared" ca="1" si="710"/>
        <v>117305.51347640842</v>
      </c>
      <c r="ED282" s="180">
        <f t="shared" ca="1" si="711"/>
        <v>1117274.3139045849</v>
      </c>
      <c r="EE282" s="581">
        <f t="shared" si="790"/>
        <v>776205.41543224524</v>
      </c>
      <c r="EF282" s="554">
        <f t="shared" si="791"/>
        <v>141128.25735131733</v>
      </c>
      <c r="EG282" s="554">
        <f t="shared" ca="1" si="712"/>
        <v>0</v>
      </c>
      <c r="EH282" s="554">
        <f t="shared" ca="1" si="713"/>
        <v>0</v>
      </c>
      <c r="EI282" s="561">
        <f t="shared" ca="1" si="792"/>
        <v>290093.37489568937</v>
      </c>
      <c r="EJ282" s="581">
        <f t="shared" si="846"/>
        <v>204358.88589231716</v>
      </c>
      <c r="EK282" s="554">
        <f t="shared" si="847"/>
        <v>37156.161071330396</v>
      </c>
      <c r="EL282" s="554">
        <f t="shared" ca="1" si="714"/>
        <v>31281.47026037558</v>
      </c>
      <c r="EM282" s="554">
        <f t="shared" ca="1" si="715"/>
        <v>117305.51347640842</v>
      </c>
      <c r="EN282" s="561">
        <f t="shared" ca="1" si="716"/>
        <v>827180.93900889554</v>
      </c>
      <c r="EO282" s="180">
        <f t="shared" si="793"/>
        <v>3922257.2052982496</v>
      </c>
      <c r="EP282" s="180">
        <f t="shared" si="794"/>
        <v>713137.67369059089</v>
      </c>
      <c r="EQ282" s="180">
        <f t="shared" si="795"/>
        <v>201156.53076581098</v>
      </c>
      <c r="ER282" s="180">
        <f t="shared" si="796"/>
        <v>754336.99037179118</v>
      </c>
      <c r="ES282" s="180">
        <f t="shared" si="797"/>
        <v>5590888.4001264423</v>
      </c>
      <c r="ET282" s="1482">
        <f t="shared" ca="1" si="717"/>
        <v>3104821.661728981</v>
      </c>
      <c r="EU282" s="180">
        <f t="shared" ca="1" si="718"/>
        <v>564513.02940526931</v>
      </c>
      <c r="EV282" s="180">
        <f t="shared" ca="1" si="719"/>
        <v>0</v>
      </c>
      <c r="EW282" s="180">
        <f t="shared" ca="1" si="720"/>
        <v>0</v>
      </c>
      <c r="EX282" s="555">
        <f t="shared" ca="1" si="693"/>
        <v>3669334.6911342503</v>
      </c>
      <c r="EY282" s="180">
        <f t="shared" ca="1" si="721"/>
        <v>817435.54356926866</v>
      </c>
      <c r="EZ282" s="180">
        <f t="shared" ca="1" si="722"/>
        <v>148624.64428532158</v>
      </c>
      <c r="FA282" s="180">
        <f t="shared" ca="1" si="723"/>
        <v>201156.53076581098</v>
      </c>
      <c r="FB282" s="180">
        <f t="shared" ca="1" si="724"/>
        <v>754336.99037179118</v>
      </c>
      <c r="FC282" s="180">
        <f t="shared" ca="1" si="725"/>
        <v>1921553.7089921921</v>
      </c>
      <c r="FD282" s="262">
        <f>IF(AX282,IF(VLOOKUP(C282,MAIN!$L$17:$M$28,2)="Yes",VLOOKUP(CALC!B282,MAIN!$H$17:$I$20,2),0),0)</f>
        <v>0</v>
      </c>
      <c r="FE282" s="623">
        <f t="shared" si="798"/>
        <v>0</v>
      </c>
      <c r="FF282" s="535">
        <f t="shared" si="799"/>
        <v>0</v>
      </c>
      <c r="FG282" s="535">
        <f t="shared" si="800"/>
        <v>0</v>
      </c>
      <c r="FH282" s="624">
        <f t="shared" si="801"/>
        <v>0</v>
      </c>
      <c r="FI282" s="632">
        <f>IF(AX282,VLOOKUP(CALC!B282,MAIN!$H$17:$K$20,4),0)</f>
        <v>0</v>
      </c>
      <c r="FJ282" s="535">
        <f t="shared" si="802"/>
        <v>0</v>
      </c>
      <c r="FK282" s="648">
        <f t="shared" si="848"/>
        <v>0</v>
      </c>
      <c r="FL282" s="530">
        <f t="shared" ca="1" si="726"/>
        <v>0</v>
      </c>
      <c r="FM282" s="530">
        <f t="shared" ca="1" si="727"/>
        <v>0</v>
      </c>
      <c r="FN282" s="530">
        <f t="shared" ca="1" si="728"/>
        <v>0</v>
      </c>
      <c r="FO282" s="622">
        <f t="shared" ca="1" si="729"/>
        <v>0</v>
      </c>
      <c r="FP282" s="530">
        <f t="shared" ca="1" si="730"/>
        <v>0</v>
      </c>
      <c r="FQ282" s="530">
        <f t="shared" ca="1" si="731"/>
        <v>0</v>
      </c>
      <c r="FR282" s="530">
        <f t="shared" ca="1" si="732"/>
        <v>0</v>
      </c>
      <c r="FS282" s="625">
        <f t="shared" ca="1" si="733"/>
        <v>0</v>
      </c>
      <c r="FT282" s="640">
        <f ca="1">IF(AND(Assumptions!$H$71="Yes",A282&gt;=Assumptions!$H$72,A282&lt;=Assumptions!$H$73),0,IF(AND($A282&gt;=Assumptions!$C$17,$A282&lt;=Assumptions!$C$18),MAX(AZ282*(1+VLOOKUP($C282,WeatherCapacityAdjustment,2))-FL282,0),0))</f>
        <v>51216</v>
      </c>
      <c r="FU282" s="530">
        <f ca="1">IF(AND(Assumptions!$H$71="Yes",A282&gt;=Assumptions!$H$72,A282&lt;=Assumptions!$H$73),0,IF(AND($A282&gt;=Assumptions!$C$17,$A282&lt;=Assumptions!$C$18),MAX(BA282*(1+VLOOKUP($C282,WeatherCapacityAdjustment,2))-FM282,0),0))</f>
        <v>9312</v>
      </c>
      <c r="FV282" s="530">
        <f ca="1">IF(AND(Assumptions!$H$71="Yes",A282&gt;=Assumptions!$H$72,A282&lt;=Assumptions!$H$73),0,IF(AND($A282&gt;=Assumptions!$C$17,$A282&lt;=Assumptions!$C$18),MAX(BB282*(1+VLOOKUP($C282,WeatherCapacityAdjustment,2))-FN282,0),0))</f>
        <v>9312</v>
      </c>
      <c r="FW282" s="622">
        <f ca="1">IF(AND(Assumptions!$H$71="Yes",A282&gt;=Assumptions!$H$72,A282&lt;=Assumptions!$H$73),0,IF(AND($A282&gt;=Assumptions!$C$17,$A282&lt;=Assumptions!$C$18),MAX(BC282*(1+VLOOKUP($C282,WeatherCapacityAdjustment,3))-FO282,0),0))</f>
        <v>34920</v>
      </c>
      <c r="FX282" s="621">
        <f ca="1">IF(AND(Assumptions!$H$71="Yes",A282&gt;=Assumptions!$H$72,A282&lt;=Assumptions!$H$73),0,IF(ET282&gt;0,MAX(BH282*(1+VLOOKUP($C282,WeatherCapacityAdjustment,2))-FP282,0),0))</f>
        <v>204864</v>
      </c>
      <c r="FY282" s="530">
        <f ca="1">IF(AND(Assumptions!$H$71="Yes",A282&gt;=Assumptions!$H$72,A282&lt;=Assumptions!$H$73),0,IF(EU282&gt;0,MAX(BI282*(1+VLOOKUP($C282,WeatherCapacityAdjustment,3))-FQ282,0),0))</f>
        <v>37248</v>
      </c>
      <c r="FZ282" s="530">
        <f ca="1">IF(AND(Assumptions!$H$71="Yes",A282&gt;=Assumptions!$H$72,A282&lt;=Assumptions!$H$73),0,IF(EV282&gt;0,MAX(BJ282*(1+VLOOKUP($C282,WeatherCapacityAdjustment,2))-FR282,0),0))</f>
        <v>0</v>
      </c>
      <c r="GA282" s="622">
        <f ca="1">IF(AND(Assumptions!$H$71="Yes",A282&gt;=Assumptions!$H$72,A282&lt;=Assumptions!$H$73),0,IF(EW282&gt;0,MAX(BK282*(1+VLOOKUP($C282,WeatherCapacityAdjustment,2))-FS282,0),0))</f>
        <v>0</v>
      </c>
      <c r="GB282" s="530">
        <f t="shared" ca="1" si="803"/>
        <v>346872</v>
      </c>
      <c r="GC282" s="545">
        <f t="shared" ca="1" si="804"/>
        <v>47.678654620375568</v>
      </c>
      <c r="GD282" s="530">
        <f t="shared" ca="1" si="734"/>
        <v>16538390.285478914</v>
      </c>
      <c r="GE282" s="1485">
        <f t="shared" ca="1" si="735"/>
        <v>830725.00991999998</v>
      </c>
      <c r="GF282" s="1776">
        <f t="shared" ca="1" si="736"/>
        <v>1713223.2499200001</v>
      </c>
      <c r="GG282" s="545">
        <f t="shared" si="701"/>
        <v>4.5871112217967047</v>
      </c>
      <c r="GH282" s="622">
        <f t="shared" ca="1" si="702"/>
        <v>11669373.610382263</v>
      </c>
      <c r="GI282" s="621">
        <f t="shared" ca="1" si="849"/>
        <v>346872</v>
      </c>
      <c r="GJ282" s="638">
        <f t="shared" si="805"/>
        <v>2.6222601105500365</v>
      </c>
      <c r="GK282" s="625">
        <f t="shared" ca="1" si="855"/>
        <v>909588.6090667122</v>
      </c>
      <c r="GL282" s="640">
        <f t="shared" ca="1" si="737"/>
        <v>0</v>
      </c>
      <c r="GM282" s="530">
        <f t="shared" ca="1" si="738"/>
        <v>0</v>
      </c>
      <c r="GN282" s="530">
        <f t="shared" ca="1" si="739"/>
        <v>0</v>
      </c>
      <c r="GO282" s="622">
        <f t="shared" ca="1" si="740"/>
        <v>0</v>
      </c>
      <c r="GP282" s="530">
        <f t="shared" ca="1" si="806"/>
        <v>0</v>
      </c>
      <c r="GQ282" s="545">
        <f t="shared" ca="1" si="807"/>
        <v>0</v>
      </c>
      <c r="GR282" s="625">
        <f t="shared" ca="1" si="741"/>
        <v>0</v>
      </c>
      <c r="GS282" s="640">
        <f>IF($A282&gt;=BegDate,Assumptions!$C$56*24*($A283-$A282)*(1-VLOOKUP($B282,MAIN!$AA$7:$AM$28,$C282+1))*(1-VLOOKUP($B282,MAIN!$AA$33:$AM$54,$C282+1)),0)*80/168</f>
        <v>249428.57142857142</v>
      </c>
      <c r="GT282" s="1715">
        <f t="shared" si="850"/>
        <v>50.236918597796361</v>
      </c>
      <c r="GU282" s="1715">
        <f>IF($A282&gt;=BegDate,VLOOKUP($A282,GasTable,13)+Assumptions!$C$58,0)</f>
        <v>4.5871112217967047</v>
      </c>
      <c r="GV282" s="1715">
        <f>GU282*Assumptions!$C$57/1000</f>
        <v>33.25655635802611</v>
      </c>
      <c r="GW282" s="625">
        <f>IF(Assumptions!$C$60="Hourly",MAX(0,GS282*(GT282-GV282)),GS282*(GT282-GV282))</f>
        <v>4235387.4958055513</v>
      </c>
      <c r="GX282" s="640">
        <f>IF($A282&gt;=BegDate,Assumptions!$C$56*24*($A283-$A282)*(1-VLOOKUP($B282,MAIN!$AA$7:$AM$28,$C282+1))*(1-VLOOKUP($B282,MAIN!$AA$33:$AM$54,$C282+1)),0)*16/168</f>
        <v>49885.714285714283</v>
      </c>
      <c r="GY282" s="1715">
        <f t="shared" si="851"/>
        <v>50.236918597796361</v>
      </c>
      <c r="GZ282" s="1715">
        <f>IF($A282&gt;=BegDate,VLOOKUP($A282,GasTable,13)+Assumptions!$C$58,0)</f>
        <v>4.5871112217967047</v>
      </c>
      <c r="HA282" s="1715">
        <f>GZ282*Assumptions!$C$57/1000</f>
        <v>33.25655635802611</v>
      </c>
      <c r="HB282" s="625">
        <f>IF(Assumptions!$C$60="Hourly",MAX(0,GX282*(GY282-HA282)),GX282*(GY282-HA282))</f>
        <v>847077.49916111014</v>
      </c>
      <c r="HC282" s="640">
        <f>IF($A282&gt;=BegDate,Assumptions!$C$56*24*($A283-$A282)*(1-VLOOKUP($B282,MAIN!$AA$7:$AM$28,$C282+1))*(1-VLOOKUP($B282,MAIN!$AA$33:$AM$54,$C282+1)),0)*16/168</f>
        <v>49885.714285714283</v>
      </c>
      <c r="HD282" s="1715">
        <f t="shared" si="852"/>
        <v>30.17474041013778</v>
      </c>
      <c r="HE282" s="1715">
        <f>IF($A282&gt;=BegDate,VLOOKUP($A282,GasTable,13)+Assumptions!$C$58,0)</f>
        <v>4.5871112217967047</v>
      </c>
      <c r="HF282" s="1715">
        <f>HE282*Assumptions!$C$57/1000</f>
        <v>33.25655635802611</v>
      </c>
      <c r="HG282" s="625">
        <f>IF(Assumptions!$C$60="Hourly",MAX(0,HC282*(HD282-HF282)),HC282*(HD282-HF282))</f>
        <v>0</v>
      </c>
      <c r="HH282" s="640">
        <f>IF($A282&gt;=BegDate,Assumptions!$C$56*24*($A283-$A282)*(1-VLOOKUP($B282,MAIN!$AA$7:$AM$28,$C282+1))*(1-VLOOKUP($B282,MAIN!$AA$33:$AM$54,$C282+1)),0)*56/168</f>
        <v>174600</v>
      </c>
      <c r="HI282" s="1715">
        <f t="shared" si="853"/>
        <v>30.17474041013778</v>
      </c>
      <c r="HJ282" s="1715">
        <f>IF($A282&gt;=BegDate,VLOOKUP($A282,GasTable,13)+Assumptions!$C$58,0)</f>
        <v>4.5871112217967047</v>
      </c>
      <c r="HK282" s="1715">
        <f>HJ282*Assumptions!$C$57/1000</f>
        <v>33.25655635802611</v>
      </c>
      <c r="HL282" s="625">
        <f>IF(Assumptions!$C$60="Hourly",MAX(0,HH282*(HI282-HK282)),HH282*(HI282-HK282))</f>
        <v>0</v>
      </c>
      <c r="HM282" s="640">
        <f>IF(AND(Assumptions!$H$71="Yes",A282&gt;=Assumptions!$H$72,A282&lt;=Assumptions!$H$73),Assumptions!$H$74*Assumptions!$C$9*1000,0)</f>
        <v>0</v>
      </c>
      <c r="HN282" s="530"/>
      <c r="HO282" s="545"/>
      <c r="HP282" s="545"/>
      <c r="HQ282" s="545"/>
      <c r="HR282" s="545"/>
      <c r="HS282" s="545"/>
      <c r="HT282" s="545"/>
      <c r="HU282" s="545"/>
      <c r="HV282" s="545"/>
      <c r="HW282" s="545"/>
      <c r="HX282" s="545"/>
      <c r="HY282" s="545"/>
      <c r="HZ282" s="545"/>
      <c r="IA282" s="545"/>
      <c r="IB282" s="545"/>
      <c r="IC282" s="545"/>
      <c r="ID282" s="545"/>
      <c r="IE282" s="545"/>
      <c r="IF282" s="545"/>
      <c r="IG282" s="545"/>
      <c r="IH282" s="545"/>
      <c r="II282" s="1464"/>
      <c r="IJ282" s="1463"/>
      <c r="IK282" s="1463"/>
    </row>
    <row r="283" spans="1:245">
      <c r="A283" s="177">
        <f t="shared" si="808"/>
        <v>44743</v>
      </c>
      <c r="B283" s="349">
        <f t="shared" si="809"/>
        <v>2022</v>
      </c>
      <c r="C283" s="15">
        <f t="shared" si="749"/>
        <v>7</v>
      </c>
      <c r="D283" s="612">
        <f t="shared" si="810"/>
        <v>44746</v>
      </c>
      <c r="E283" s="609">
        <f t="shared" si="750"/>
        <v>44743</v>
      </c>
      <c r="F283" s="614">
        <f t="shared" si="751"/>
        <v>44773</v>
      </c>
      <c r="G283" s="1349">
        <v>0</v>
      </c>
      <c r="H283" s="152">
        <f t="shared" si="854"/>
        <v>1</v>
      </c>
      <c r="I283" s="154">
        <f>IF(Assumptions!$L$25=4,VLOOKUP($A283,'Henwood Reference'!$E$9:$R$320,10),(VLOOKUP($A283,PriceTable,2,0)+IF(BasisNumber&lt;&gt;1,VLOOKUP($A283,BasisTable,2,0),0)+I$1)/(1-I$2))</f>
        <v>74.579759895866303</v>
      </c>
      <c r="J283" s="154">
        <f>IF(Assumptions!$L$25=4,VLOOKUP($A283,'Henwood Reference'!$E$9:$R$320,10),(VLOOKUP($A283,PriceTable,3,0)+IF(BasisNumber&lt;&gt;1,VLOOKUP($A283,BasisTable,2,0),0)+J$1)/(1-J$2))</f>
        <v>74.579759895866303</v>
      </c>
      <c r="K283" s="154">
        <f>IF(Assumptions!$L$25=4,VLOOKUP($A283,'Henwood Reference'!$E$9:$R$320,10),(VLOOKUP($A283,PriceTable,4,0)+IF(BasisNumber&lt;&gt;1,VLOOKUP($A283,BasisTable,2,0),0)+K$1)/(1-K$2))</f>
        <v>74.579759895866303</v>
      </c>
      <c r="L283" s="474">
        <f>IF(Assumptions!$L$25=4,VLOOKUP($A283,'Henwood Reference'!$E$9:$R$320,10),(VLOOKUP($A283,PriceTableWeekend,2,0)+IF(BasisNumber&lt;&gt;1,VLOOKUP($A283,BasisTable,2,0),0)+L$1)/(1-L$2))</f>
        <v>74.579759895866303</v>
      </c>
      <c r="M283" s="154">
        <f>IF(Assumptions!$L$25=4,VLOOKUP($A283,'Henwood Reference'!$E$9:$R$320,10),(VLOOKUP($A283,PriceTableWeekend,3,0)+IF(BasisNumber&lt;&gt;1,VLOOKUP($A283,BasisTable,2,0),0)+M$1)/(1-M$2))</f>
        <v>74.579759895866303</v>
      </c>
      <c r="N283" s="156">
        <f>IF(Assumptions!$L$25=4,VLOOKUP($A283,'Henwood Reference'!$E$9:$R$320,10),(VLOOKUP($A283,PriceTableWeekend,4,0)+IF(BasisNumber&lt;&gt;1,VLOOKUP($A283,BasisTable,2,0),0)+N$1)/(1-N$2))</f>
        <v>74.579759895866303</v>
      </c>
      <c r="O283" s="154">
        <f>IF(Assumptions!$L$25=4,VLOOKUP($A283,'Henwood Reference'!$E$9:$R$320,11),(VLOOKUP($A283,PriceTableWeekend,6,0)+IF(BasisNumber&lt;&gt;1,VLOOKUP($A283,BasisTable,3,0),0)+O$1)/(1-O$2))</f>
        <v>35.567272099771124</v>
      </c>
      <c r="P283" s="154">
        <f>IF(Assumptions!$L$25=4,VLOOKUP($A283,'Henwood Reference'!$E$9:$R$320,11),(VLOOKUP($A283,PriceTableWeekend,7,0)+IF(BasisNumber&lt;&gt;1,VLOOKUP($A283,BasisTable,3,0),0)+P$1)/(1-P$2))</f>
        <v>35.567272099771124</v>
      </c>
      <c r="Q283" s="156">
        <f>IF(Assumptions!$L$25=4,VLOOKUP($A283,'Henwood Reference'!$E$9:$R$320,11),(VLOOKUP($A283,PriceTableWeekend,8,0)+IF(BasisNumber&lt;&gt;1,VLOOKUP($A283,BasisTable,3,0),0)+Q$1)/(1-Q$2))</f>
        <v>35.567272099771124</v>
      </c>
      <c r="R283" s="154">
        <f>IF(Assumptions!$L$25=4,VLOOKUP($A283,'Henwood Reference'!$E$9:$R$320,11),(VLOOKUP($A283,PriceTable,6,0)+IF(BasisNumber&lt;&gt;1,VLOOKUP($A283,BasisTable,3,0),0)+R$1)/(1-R$2))</f>
        <v>35.567272099771124</v>
      </c>
      <c r="S283" s="154">
        <f>IF(Assumptions!$L$25=4,VLOOKUP($A283,'Henwood Reference'!$E$9:$R$320,11),(VLOOKUP($A283,PriceTable,7,0)+IF(BasisNumber&lt;&gt;1,VLOOKUP($A283,BasisTable,3,0),0)+S$1)/(1-S$2))</f>
        <v>35.567272099771124</v>
      </c>
      <c r="T283" s="155">
        <f>IF(Assumptions!$L$25=4,VLOOKUP($A283,'Henwood Reference'!$E$9:$R$320,11),(VLOOKUP($A283,PriceTable,8,0)+IF(BasisNumber&lt;&gt;1,VLOOKUP($A283,BasisTable,3,0),0)+T$1)/(1-T$2))</f>
        <v>35.567272099771124</v>
      </c>
      <c r="U283" s="173">
        <f t="shared" si="811"/>
        <v>0.09</v>
      </c>
      <c r="V283" s="173">
        <f t="shared" si="812"/>
        <v>0.1</v>
      </c>
      <c r="W283" s="174">
        <f t="shared" si="813"/>
        <v>0.11</v>
      </c>
      <c r="X283" s="173">
        <f t="shared" si="814"/>
        <v>0.09</v>
      </c>
      <c r="Y283" s="173">
        <f t="shared" si="815"/>
        <v>0.1</v>
      </c>
      <c r="Z283" s="174">
        <f t="shared" si="816"/>
        <v>0.11</v>
      </c>
      <c r="AA283" s="173">
        <f t="shared" si="817"/>
        <v>0.09</v>
      </c>
      <c r="AB283" s="173">
        <f t="shared" si="818"/>
        <v>0.11</v>
      </c>
      <c r="AC283" s="174">
        <f t="shared" si="819"/>
        <v>0.13</v>
      </c>
      <c r="AD283" s="173">
        <f t="shared" si="820"/>
        <v>0.09</v>
      </c>
      <c r="AE283" s="173">
        <f t="shared" si="821"/>
        <v>0.11</v>
      </c>
      <c r="AF283" s="174">
        <f t="shared" si="822"/>
        <v>0.13</v>
      </c>
      <c r="AG283" s="173">
        <f t="shared" si="823"/>
        <v>-0.35</v>
      </c>
      <c r="AH283" s="173">
        <f t="shared" si="824"/>
        <v>0.65</v>
      </c>
      <c r="AI283" s="174">
        <f t="shared" si="825"/>
        <v>0.35</v>
      </c>
      <c r="AJ283" s="173">
        <f t="shared" si="826"/>
        <v>-0.35</v>
      </c>
      <c r="AK283" s="173">
        <f t="shared" si="827"/>
        <v>0.65</v>
      </c>
      <c r="AL283" s="174">
        <f t="shared" si="828"/>
        <v>0.35</v>
      </c>
      <c r="AM283" s="173">
        <f t="shared" si="829"/>
        <v>-0.01</v>
      </c>
      <c r="AN283" s="173">
        <f t="shared" si="830"/>
        <v>0.16</v>
      </c>
      <c r="AO283" s="174">
        <f t="shared" si="831"/>
        <v>0.01</v>
      </c>
      <c r="AP283" s="173">
        <f t="shared" si="832"/>
        <v>-0.01</v>
      </c>
      <c r="AQ283" s="173">
        <f t="shared" si="833"/>
        <v>0.16</v>
      </c>
      <c r="AR283" s="175">
        <f t="shared" si="834"/>
        <v>0.01</v>
      </c>
      <c r="AS283" s="521">
        <f t="shared" si="835"/>
        <v>0.5</v>
      </c>
      <c r="AT283" s="349">
        <f t="shared" si="752"/>
        <v>20</v>
      </c>
      <c r="AU283" s="159">
        <f t="shared" si="753"/>
        <v>5</v>
      </c>
      <c r="AV283" s="159">
        <f t="shared" si="754"/>
        <v>5</v>
      </c>
      <c r="AW283" s="159">
        <f t="shared" si="836"/>
        <v>1</v>
      </c>
      <c r="AX283" s="15">
        <f t="shared" si="755"/>
        <v>31</v>
      </c>
      <c r="AY283" s="607">
        <f>IF(E283="",0,MIN((1-(1-VLOOKUP(B283,MAIN!$AA$7:$AM$28,C283+1))*(1-VLOOKUP(B283,MAIN!$AA$33:$AM$54,C283+1))),1))</f>
        <v>3.0000000000000027E-2</v>
      </c>
      <c r="AZ283" s="337">
        <v>46560</v>
      </c>
      <c r="BA283" s="509">
        <v>11640</v>
      </c>
      <c r="BB283" s="509">
        <v>13968</v>
      </c>
      <c r="BC283" s="511">
        <v>36084</v>
      </c>
      <c r="BD283" s="153">
        <v>0.97000000361353156</v>
      </c>
      <c r="BE283" s="474">
        <v>0.97000000361353156</v>
      </c>
      <c r="BF283" s="474">
        <v>0.97000000361353156</v>
      </c>
      <c r="BG283" s="515">
        <v>0.96999998554587363</v>
      </c>
      <c r="BH283" s="262">
        <v>186240</v>
      </c>
      <c r="BI283" s="509">
        <v>46560</v>
      </c>
      <c r="BJ283" s="509">
        <v>55872</v>
      </c>
      <c r="BK283" s="511">
        <v>144336</v>
      </c>
      <c r="BL283" s="153">
        <v>0.97000000361353156</v>
      </c>
      <c r="BM283" s="474">
        <v>0.97000000361353156</v>
      </c>
      <c r="BN283" s="474">
        <v>0.97000000361353156</v>
      </c>
      <c r="BO283" s="474">
        <v>0.96999998554587363</v>
      </c>
      <c r="BP283" s="261">
        <f t="shared" si="837"/>
        <v>72168</v>
      </c>
      <c r="BQ283" s="578">
        <f t="shared" si="838"/>
        <v>108252</v>
      </c>
      <c r="BR283" s="259">
        <f t="shared" si="839"/>
        <v>288672</v>
      </c>
      <c r="BS283" s="578">
        <f t="shared" si="840"/>
        <v>433008</v>
      </c>
      <c r="BT283" s="216">
        <f t="shared" si="841"/>
        <v>22.212183436002739</v>
      </c>
      <c r="BU283" s="218">
        <f t="shared" si="756"/>
        <v>74.579760173697565</v>
      </c>
      <c r="BV283" s="216">
        <f t="shared" si="757"/>
        <v>74.579760173697565</v>
      </c>
      <c r="BW283" s="216">
        <f t="shared" si="758"/>
        <v>35.567272232269538</v>
      </c>
      <c r="BX283" s="216">
        <f t="shared" si="842"/>
        <v>35.567271569777475</v>
      </c>
      <c r="BY283" s="216">
        <f t="shared" si="759"/>
        <v>67.028956056001832</v>
      </c>
      <c r="BZ283" s="216">
        <f t="shared" si="760"/>
        <v>56.541727893927046</v>
      </c>
      <c r="CA283" s="264">
        <f t="shared" si="761"/>
        <v>74.579760173697565</v>
      </c>
      <c r="CB283" s="216">
        <f t="shared" si="762"/>
        <v>74.579760173697565</v>
      </c>
      <c r="CC283" s="216">
        <f t="shared" si="763"/>
        <v>35.567272232269538</v>
      </c>
      <c r="CD283" s="216">
        <f t="shared" si="843"/>
        <v>35.567271569777475</v>
      </c>
      <c r="CE283" s="216">
        <f t="shared" si="764"/>
        <v>67.028956056001832</v>
      </c>
      <c r="CF283" s="571">
        <f t="shared" si="765"/>
        <v>56.541727893927046</v>
      </c>
      <c r="CG283" s="573">
        <f t="shared" si="766"/>
        <v>0.1</v>
      </c>
      <c r="CH283" s="219">
        <f t="shared" si="767"/>
        <v>0.1</v>
      </c>
      <c r="CI283" s="219">
        <f t="shared" si="768"/>
        <v>0.11</v>
      </c>
      <c r="CJ283" s="219">
        <f t="shared" si="769"/>
        <v>0.10103742500105924</v>
      </c>
      <c r="CK283" s="219">
        <f t="shared" si="770"/>
        <v>0.10103742500105924</v>
      </c>
      <c r="CL283" s="219">
        <f t="shared" si="771"/>
        <v>0.11</v>
      </c>
      <c r="CM283" s="219">
        <f t="shared" si="772"/>
        <v>9.3846823819505543E-2</v>
      </c>
      <c r="CN283" s="569">
        <f t="shared" si="773"/>
        <v>9.3846823819505543E-2</v>
      </c>
      <c r="CO283" s="264">
        <f t="shared" si="856"/>
        <v>32.472619050221056</v>
      </c>
      <c r="CP283" s="216">
        <f t="shared" si="844"/>
        <v>32.472619050221056</v>
      </c>
      <c r="CQ283" s="216">
        <f t="shared" ca="1" si="703"/>
        <v>32.472619050221056</v>
      </c>
      <c r="CR283" s="216">
        <f t="shared" ca="1" si="704"/>
        <v>32.472619050221056</v>
      </c>
      <c r="CS283" s="1626">
        <f t="shared" ca="1" si="705"/>
        <v>32.472619050221056</v>
      </c>
      <c r="CT283" s="216">
        <f t="shared" si="845"/>
        <v>32.472619050221056</v>
      </c>
      <c r="CU283" s="575">
        <f t="shared" si="774"/>
        <v>0.15</v>
      </c>
      <c r="CV283" s="154">
        <f t="shared" si="775"/>
        <v>0.5</v>
      </c>
      <c r="CW283" s="216">
        <f>IF(OR($BQ283,$BS283),SpreadOptPowerMargin,0)*((1+Assumptions!$C$26)^($B283-YEAR(Assumptions!$C$17)))</f>
        <v>2.6222601105500365</v>
      </c>
      <c r="CX283" s="216">
        <f>IF(OR($BQ283,$BS283),SpreadOptPowerMargin,0)*((1+Assumptions!$C$26)^($B283-YEAR(Assumptions!$C$17)))</f>
        <v>2.6222601105500365</v>
      </c>
      <c r="CY283" s="216">
        <f>IF(OR($BQ283,$BS283),SpreadOptPowerMargin,0)*((1+Assumptions!$C$26)^($B283-YEAR(Assumptions!$C$17)))</f>
        <v>2.6222601105500365</v>
      </c>
      <c r="CZ283" s="216">
        <f>IF(OR($BQ283,$BS283),SpreadOptPowerMargin,0)*((1+Assumptions!$C$26)^($B283-YEAR(Assumptions!$C$17)))</f>
        <v>2.6222601105500365</v>
      </c>
      <c r="DA283" s="440">
        <f t="shared" si="776"/>
        <v>2.6222601105500365</v>
      </c>
      <c r="DB283" s="479">
        <f t="shared" si="777"/>
        <v>0.1</v>
      </c>
      <c r="DC283" s="479">
        <f t="shared" si="778"/>
        <v>0.1</v>
      </c>
      <c r="DD283" s="479">
        <f t="shared" si="779"/>
        <v>0.11</v>
      </c>
      <c r="DE283" s="479">
        <f t="shared" si="780"/>
        <v>0.11</v>
      </c>
      <c r="DF283" s="479">
        <f t="shared" si="781"/>
        <v>9.3846823819505543E-2</v>
      </c>
      <c r="DG283" s="574">
        <f t="shared" si="782"/>
        <v>9.3846823819505543E-2</v>
      </c>
      <c r="DH283" s="216">
        <f t="shared" si="783"/>
        <v>40.911921966357134</v>
      </c>
      <c r="DI283" s="216">
        <f t="shared" si="784"/>
        <v>40.911921966357134</v>
      </c>
      <c r="DJ283" s="216">
        <f t="shared" ca="1" si="706"/>
        <v>8.53063160542915</v>
      </c>
      <c r="DK283" s="216">
        <f t="shared" ca="1" si="707"/>
        <v>8.5306311876162368</v>
      </c>
      <c r="DL283" s="216">
        <f t="shared" ca="1" si="708"/>
        <v>24.409936889912409</v>
      </c>
      <c r="DM283" s="216"/>
      <c r="DN283" s="216"/>
      <c r="DO283" s="216"/>
      <c r="DP283" s="216"/>
      <c r="DQ283" s="216"/>
      <c r="DR283" s="216"/>
      <c r="DS283" s="216"/>
      <c r="DT283" s="216"/>
      <c r="DU283" s="216"/>
      <c r="DV283" s="216"/>
      <c r="DW283" s="1371">
        <f t="shared" si="785"/>
        <v>8.53063160542915</v>
      </c>
      <c r="DX283" s="216">
        <f t="shared" si="786"/>
        <v>8.5306311876162368</v>
      </c>
      <c r="DY283" s="440">
        <f t="shared" si="787"/>
        <v>25.939927359130216</v>
      </c>
      <c r="DZ283" s="180">
        <f t="shared" si="788"/>
        <v>1904859.0867535882</v>
      </c>
      <c r="EA283" s="180">
        <f t="shared" si="789"/>
        <v>476214.77168839704</v>
      </c>
      <c r="EB283" s="180">
        <f t="shared" ca="1" si="709"/>
        <v>119155.86226463437</v>
      </c>
      <c r="EC283" s="180">
        <f t="shared" ca="1" si="710"/>
        <v>307819.29577394429</v>
      </c>
      <c r="ED283" s="180">
        <f t="shared" ca="1" si="711"/>
        <v>2642424.4882067982</v>
      </c>
      <c r="EE283" s="581">
        <f t="shared" si="790"/>
        <v>1838416.0599618566</v>
      </c>
      <c r="EF283" s="554">
        <f t="shared" si="791"/>
        <v>459604.01499046414</v>
      </c>
      <c r="EG283" s="554">
        <f t="shared" ca="1" si="712"/>
        <v>6598.386422690277</v>
      </c>
      <c r="EH283" s="554">
        <f t="shared" ca="1" si="713"/>
        <v>17045.807686586282</v>
      </c>
      <c r="EI283" s="561">
        <f t="shared" ca="1" si="792"/>
        <v>2321664.269061598</v>
      </c>
      <c r="EJ283" s="581">
        <f t="shared" si="846"/>
        <v>66443.026791731594</v>
      </c>
      <c r="EK283" s="554">
        <f t="shared" si="847"/>
        <v>16610.756697932899</v>
      </c>
      <c r="EL283" s="554">
        <f t="shared" ca="1" si="714"/>
        <v>112557.47584194409</v>
      </c>
      <c r="EM283" s="554">
        <f t="shared" ca="1" si="715"/>
        <v>290773.48808735801</v>
      </c>
      <c r="EN283" s="561">
        <f t="shared" ca="1" si="716"/>
        <v>320760.21914520022</v>
      </c>
      <c r="EO283" s="180">
        <f t="shared" si="793"/>
        <v>7619436.3470143527</v>
      </c>
      <c r="EP283" s="180">
        <f t="shared" si="794"/>
        <v>1904859.0867535882</v>
      </c>
      <c r="EQ283" s="180">
        <f t="shared" si="795"/>
        <v>476623.44905853749</v>
      </c>
      <c r="ER283" s="180">
        <f t="shared" si="796"/>
        <v>1231277.1830957772</v>
      </c>
      <c r="ES283" s="180">
        <f t="shared" si="797"/>
        <v>11232196.065922257</v>
      </c>
      <c r="ET283" s="1482">
        <f t="shared" ca="1" si="717"/>
        <v>7353664.2398474263</v>
      </c>
      <c r="EU283" s="180">
        <f t="shared" ca="1" si="718"/>
        <v>1838416.0599618566</v>
      </c>
      <c r="EV283" s="180">
        <f t="shared" ca="1" si="719"/>
        <v>26393.545690761108</v>
      </c>
      <c r="EW283" s="180">
        <f t="shared" ca="1" si="720"/>
        <v>68183.230746345129</v>
      </c>
      <c r="EX283" s="555">
        <f t="shared" ca="1" si="693"/>
        <v>9286657.0762463901</v>
      </c>
      <c r="EY283" s="180">
        <f t="shared" ca="1" si="721"/>
        <v>265772.10716692638</v>
      </c>
      <c r="EZ283" s="180">
        <f t="shared" ca="1" si="722"/>
        <v>66443.026791731594</v>
      </c>
      <c r="FA283" s="180">
        <f t="shared" ca="1" si="723"/>
        <v>450229.90336777637</v>
      </c>
      <c r="FB283" s="180">
        <f t="shared" ca="1" si="724"/>
        <v>1163093.952349432</v>
      </c>
      <c r="FC283" s="180">
        <f t="shared" ca="1" si="725"/>
        <v>1945538.9896758664</v>
      </c>
      <c r="FD283" s="262">
        <f>IF(AX283,IF(VLOOKUP(C283,MAIN!$L$17:$M$28,2)="Yes",VLOOKUP(CALC!B283,MAIN!$H$17:$I$20,2),0),0)</f>
        <v>0</v>
      </c>
      <c r="FE283" s="623">
        <f t="shared" si="798"/>
        <v>0</v>
      </c>
      <c r="FF283" s="535">
        <f t="shared" si="799"/>
        <v>0</v>
      </c>
      <c r="FG283" s="535">
        <f t="shared" si="800"/>
        <v>0</v>
      </c>
      <c r="FH283" s="624">
        <f t="shared" si="801"/>
        <v>0</v>
      </c>
      <c r="FI283" s="632">
        <f>IF(AX283,VLOOKUP(CALC!B283,MAIN!$H$17:$K$20,4),0)</f>
        <v>0</v>
      </c>
      <c r="FJ283" s="535">
        <f t="shared" si="802"/>
        <v>0</v>
      </c>
      <c r="FK283" s="648">
        <f t="shared" si="848"/>
        <v>0</v>
      </c>
      <c r="FL283" s="530">
        <f t="shared" ca="1" si="726"/>
        <v>0</v>
      </c>
      <c r="FM283" s="530">
        <f t="shared" ca="1" si="727"/>
        <v>0</v>
      </c>
      <c r="FN283" s="530">
        <f t="shared" ca="1" si="728"/>
        <v>0</v>
      </c>
      <c r="FO283" s="622">
        <f t="shared" ca="1" si="729"/>
        <v>0</v>
      </c>
      <c r="FP283" s="530">
        <f t="shared" ca="1" si="730"/>
        <v>0</v>
      </c>
      <c r="FQ283" s="530">
        <f t="shared" ca="1" si="731"/>
        <v>0</v>
      </c>
      <c r="FR283" s="530">
        <f t="shared" ca="1" si="732"/>
        <v>0</v>
      </c>
      <c r="FS283" s="625">
        <f t="shared" ca="1" si="733"/>
        <v>0</v>
      </c>
      <c r="FT283" s="640">
        <f ca="1">IF(AND(Assumptions!$H$71="Yes",A283&gt;=Assumptions!$H$72,A283&lt;=Assumptions!$H$73),0,IF(AND($A283&gt;=Assumptions!$C$17,$A283&lt;=Assumptions!$C$18),MAX(AZ283*(1+VLOOKUP($C283,WeatherCapacityAdjustment,2))-FL283,0),0))</f>
        <v>46560</v>
      </c>
      <c r="FU283" s="530">
        <f ca="1">IF(AND(Assumptions!$H$71="Yes",A283&gt;=Assumptions!$H$72,A283&lt;=Assumptions!$H$73),0,IF(AND($A283&gt;=Assumptions!$C$17,$A283&lt;=Assumptions!$C$18),MAX(BA283*(1+VLOOKUP($C283,WeatherCapacityAdjustment,2))-FM283,0),0))</f>
        <v>11640</v>
      </c>
      <c r="FV283" s="530">
        <f ca="1">IF(AND(Assumptions!$H$71="Yes",A283&gt;=Assumptions!$H$72,A283&lt;=Assumptions!$H$73),0,IF(AND($A283&gt;=Assumptions!$C$17,$A283&lt;=Assumptions!$C$18),MAX(BB283*(1+VLOOKUP($C283,WeatherCapacityAdjustment,2))-FN283,0),0))</f>
        <v>13968</v>
      </c>
      <c r="FW283" s="622">
        <f ca="1">IF(AND(Assumptions!$H$71="Yes",A283&gt;=Assumptions!$H$72,A283&lt;=Assumptions!$H$73),0,IF(AND($A283&gt;=Assumptions!$C$17,$A283&lt;=Assumptions!$C$18),MAX(BC283*(1+VLOOKUP($C283,WeatherCapacityAdjustment,3))-FO283,0),0))</f>
        <v>36084</v>
      </c>
      <c r="FX283" s="621">
        <f ca="1">IF(AND(Assumptions!$H$71="Yes",A283&gt;=Assumptions!$H$72,A283&lt;=Assumptions!$H$73),0,IF(ET283&gt;0,MAX(BH283*(1+VLOOKUP($C283,WeatherCapacityAdjustment,2))-FP283,0),0))</f>
        <v>186240</v>
      </c>
      <c r="FY283" s="530">
        <f ca="1">IF(AND(Assumptions!$H$71="Yes",A283&gt;=Assumptions!$H$72,A283&lt;=Assumptions!$H$73),0,IF(EU283&gt;0,MAX(BI283*(1+VLOOKUP($C283,WeatherCapacityAdjustment,3))-FQ283,0),0))</f>
        <v>46560</v>
      </c>
      <c r="FZ283" s="530">
        <f ca="1">IF(AND(Assumptions!$H$71="Yes",A283&gt;=Assumptions!$H$72,A283&lt;=Assumptions!$H$73),0,IF(EV283&gt;0,MAX(BJ283*(1+VLOOKUP($C283,WeatherCapacityAdjustment,2))-FR283,0),0))</f>
        <v>55872</v>
      </c>
      <c r="GA283" s="622">
        <f ca="1">IF(AND(Assumptions!$H$71="Yes",A283&gt;=Assumptions!$H$72,A283&lt;=Assumptions!$H$73),0,IF(EW283&gt;0,MAX(BK283*(1+VLOOKUP($C283,WeatherCapacityAdjustment,2))-FS283,0),0))</f>
        <v>144336</v>
      </c>
      <c r="GB283" s="530">
        <f t="shared" ca="1" si="803"/>
        <v>541260</v>
      </c>
      <c r="GC283" s="545">
        <f t="shared" ca="1" si="804"/>
        <v>56.541727893927053</v>
      </c>
      <c r="GD283" s="530">
        <f t="shared" ca="1" si="734"/>
        <v>30603775.639866956</v>
      </c>
      <c r="GE283" s="1485">
        <f t="shared" ca="1" si="735"/>
        <v>766326.73320000002</v>
      </c>
      <c r="GF283" s="1776">
        <f t="shared" ca="1" si="736"/>
        <v>3065306.9328000001</v>
      </c>
      <c r="GG283" s="545">
        <f t="shared" si="701"/>
        <v>4.5871112217967047</v>
      </c>
      <c r="GH283" s="622">
        <f t="shared" ca="1" si="702"/>
        <v>17576129.787122648</v>
      </c>
      <c r="GI283" s="621">
        <f t="shared" ca="1" si="849"/>
        <v>541260</v>
      </c>
      <c r="GJ283" s="638">
        <f t="shared" si="805"/>
        <v>2.6222601105500365</v>
      </c>
      <c r="GK283" s="625">
        <f t="shared" ca="1" si="855"/>
        <v>1419324.5074363127</v>
      </c>
      <c r="GL283" s="640">
        <f t="shared" ca="1" si="737"/>
        <v>0</v>
      </c>
      <c r="GM283" s="530">
        <f t="shared" ca="1" si="738"/>
        <v>0</v>
      </c>
      <c r="GN283" s="530">
        <f t="shared" ca="1" si="739"/>
        <v>0</v>
      </c>
      <c r="GO283" s="622">
        <f t="shared" ca="1" si="740"/>
        <v>0</v>
      </c>
      <c r="GP283" s="530">
        <f t="shared" ca="1" si="806"/>
        <v>0</v>
      </c>
      <c r="GQ283" s="545">
        <f t="shared" ca="1" si="807"/>
        <v>0</v>
      </c>
      <c r="GR283" s="625">
        <f t="shared" ca="1" si="741"/>
        <v>0</v>
      </c>
      <c r="GS283" s="640">
        <f>IF($A283&gt;=BegDate,Assumptions!$C$56*24*($A284-$A283)*(1-VLOOKUP($B283,MAIN!$AA$7:$AM$28,$C283+1))*(1-VLOOKUP($B283,MAIN!$AA$33:$AM$54,$C283+1)),0)*80/168</f>
        <v>257742.85714285713</v>
      </c>
      <c r="GT283" s="1715">
        <f t="shared" si="850"/>
        <v>74.579759895866303</v>
      </c>
      <c r="GU283" s="1715">
        <f>IF($A283&gt;=BegDate,VLOOKUP($A283,GasTable,13)+Assumptions!$C$58,0)</f>
        <v>4.5871112217967047</v>
      </c>
      <c r="GV283" s="1715">
        <f>GU283*Assumptions!$C$57/1000</f>
        <v>33.25655635802611</v>
      </c>
      <c r="GW283" s="625">
        <f>IF(Assumptions!$C$60="Hourly",MAX(0,GS283*(GT283-GV283)),GS283*(GT283-GV283))</f>
        <v>10650760.546138754</v>
      </c>
      <c r="GX283" s="640">
        <f>IF($A283&gt;=BegDate,Assumptions!$C$56*24*($A284-$A283)*(1-VLOOKUP($B283,MAIN!$AA$7:$AM$28,$C283+1))*(1-VLOOKUP($B283,MAIN!$AA$33:$AM$54,$C283+1)),0)*16/168</f>
        <v>51548.571428571428</v>
      </c>
      <c r="GY283" s="1715">
        <f t="shared" si="851"/>
        <v>74.579759895866303</v>
      </c>
      <c r="GZ283" s="1715">
        <f>IF($A283&gt;=BegDate,VLOOKUP($A283,GasTable,13)+Assumptions!$C$58,0)</f>
        <v>4.5871112217967047</v>
      </c>
      <c r="HA283" s="1715">
        <f>GZ283*Assumptions!$C$57/1000</f>
        <v>33.25655635802611</v>
      </c>
      <c r="HB283" s="625">
        <f>IF(Assumptions!$C$60="Hourly",MAX(0,GX283*(GY283-HA283)),GX283*(GY283-HA283))</f>
        <v>2130152.1092277509</v>
      </c>
      <c r="HC283" s="640">
        <f>IF($A283&gt;=BegDate,Assumptions!$C$56*24*($A284-$A283)*(1-VLOOKUP($B283,MAIN!$AA$7:$AM$28,$C283+1))*(1-VLOOKUP($B283,MAIN!$AA$33:$AM$54,$C283+1)),0)*16/168</f>
        <v>51548.571428571428</v>
      </c>
      <c r="HD283" s="1715">
        <f t="shared" si="852"/>
        <v>35.567272099771124</v>
      </c>
      <c r="HE283" s="1715">
        <f>IF($A283&gt;=BegDate,VLOOKUP($A283,GasTable,13)+Assumptions!$C$58,0)</f>
        <v>4.5871112217967047</v>
      </c>
      <c r="HF283" s="1715">
        <f>HE283*Assumptions!$C$57/1000</f>
        <v>33.25655635802611</v>
      </c>
      <c r="HG283" s="625">
        <f>IF(Assumptions!$C$60="Hourly",MAX(0,HC283*(HD283-HF283)),HC283*(HD283-HF283))</f>
        <v>119114.09546446726</v>
      </c>
      <c r="HH283" s="640">
        <f>IF($A283&gt;=BegDate,Assumptions!$C$56*24*($A284-$A283)*(1-VLOOKUP($B283,MAIN!$AA$7:$AM$28,$C283+1))*(1-VLOOKUP($B283,MAIN!$AA$33:$AM$54,$C283+1)),0)*56/168</f>
        <v>180420</v>
      </c>
      <c r="HI283" s="1715">
        <f t="shared" si="853"/>
        <v>35.567272099771124</v>
      </c>
      <c r="HJ283" s="1715">
        <f>IF($A283&gt;=BegDate,VLOOKUP($A283,GasTable,13)+Assumptions!$C$58,0)</f>
        <v>4.5871112217967047</v>
      </c>
      <c r="HK283" s="1715">
        <f>HJ283*Assumptions!$C$57/1000</f>
        <v>33.25655635802611</v>
      </c>
      <c r="HL283" s="625">
        <f>IF(Assumptions!$C$60="Hourly",MAX(0,HH283*(HI283-HK283)),HH283*(HI283-HK283))</f>
        <v>416899.33412563539</v>
      </c>
      <c r="HM283" s="640">
        <f>IF(AND(Assumptions!$H$71="Yes",A283&gt;=Assumptions!$H$72,A283&lt;=Assumptions!$H$73),Assumptions!$H$74*Assumptions!$C$9*1000,0)</f>
        <v>0</v>
      </c>
      <c r="HN283" s="530"/>
      <c r="HO283" s="545"/>
      <c r="HP283" s="545"/>
      <c r="HQ283" s="545"/>
      <c r="HR283" s="545"/>
      <c r="HS283" s="545"/>
      <c r="HT283" s="545"/>
      <c r="HU283" s="545"/>
      <c r="HV283" s="545"/>
      <c r="HW283" s="545"/>
      <c r="HX283" s="545"/>
      <c r="HY283" s="545"/>
      <c r="HZ283" s="545"/>
      <c r="IA283" s="545"/>
      <c r="IB283" s="545"/>
      <c r="IC283" s="545"/>
      <c r="ID283" s="545"/>
      <c r="IE283" s="545"/>
      <c r="IF283" s="545"/>
      <c r="IG283" s="545"/>
      <c r="IH283" s="545"/>
      <c r="II283" s="1464"/>
      <c r="IJ283" s="1463"/>
      <c r="IK283" s="1463"/>
    </row>
    <row r="284" spans="1:245">
      <c r="A284" s="177">
        <f t="shared" si="808"/>
        <v>44774</v>
      </c>
      <c r="B284" s="349">
        <f t="shared" si="809"/>
        <v>2022</v>
      </c>
      <c r="C284" s="15">
        <f t="shared" si="749"/>
        <v>8</v>
      </c>
      <c r="D284" s="612" t="str">
        <f t="shared" si="810"/>
        <v/>
      </c>
      <c r="E284" s="609">
        <f t="shared" si="750"/>
        <v>44774</v>
      </c>
      <c r="F284" s="614">
        <f t="shared" si="751"/>
        <v>44804</v>
      </c>
      <c r="G284" s="1349">
        <v>0</v>
      </c>
      <c r="H284" s="152">
        <f t="shared" si="854"/>
        <v>1</v>
      </c>
      <c r="I284" s="154">
        <f>IF(Assumptions!$L$25=4,VLOOKUP($A284,'Henwood Reference'!$E$9:$R$320,10),(VLOOKUP($A284,PriceTable,2,0)+IF(BasisNumber&lt;&gt;1,VLOOKUP($A284,BasisTable,2,0),0)+I$1)/(1-I$2))</f>
        <v>92.544662062150323</v>
      </c>
      <c r="J284" s="154">
        <f>IF(Assumptions!$L$25=4,VLOOKUP($A284,'Henwood Reference'!$E$9:$R$320,10),(VLOOKUP($A284,PriceTable,3,0)+IF(BasisNumber&lt;&gt;1,VLOOKUP($A284,BasisTable,2,0),0)+J$1)/(1-J$2))</f>
        <v>92.544662062150323</v>
      </c>
      <c r="K284" s="154">
        <f>IF(Assumptions!$L$25=4,VLOOKUP($A284,'Henwood Reference'!$E$9:$R$320,10),(VLOOKUP($A284,PriceTable,4,0)+IF(BasisNumber&lt;&gt;1,VLOOKUP($A284,BasisTable,2,0),0)+K$1)/(1-K$2))</f>
        <v>92.544662062150323</v>
      </c>
      <c r="L284" s="474">
        <f>IF(Assumptions!$L$25=4,VLOOKUP($A284,'Henwood Reference'!$E$9:$R$320,10),(VLOOKUP($A284,PriceTableWeekend,2,0)+IF(BasisNumber&lt;&gt;1,VLOOKUP($A284,BasisTable,2,0),0)+L$1)/(1-L$2))</f>
        <v>92.544662062150323</v>
      </c>
      <c r="M284" s="154">
        <f>IF(Assumptions!$L$25=4,VLOOKUP($A284,'Henwood Reference'!$E$9:$R$320,10),(VLOOKUP($A284,PriceTableWeekend,3,0)+IF(BasisNumber&lt;&gt;1,VLOOKUP($A284,BasisTable,2,0),0)+M$1)/(1-M$2))</f>
        <v>92.544662062150323</v>
      </c>
      <c r="N284" s="156">
        <f>IF(Assumptions!$L$25=4,VLOOKUP($A284,'Henwood Reference'!$E$9:$R$320,10),(VLOOKUP($A284,PriceTableWeekend,4,0)+IF(BasisNumber&lt;&gt;1,VLOOKUP($A284,BasisTable,2,0),0)+N$1)/(1-N$2))</f>
        <v>92.544662062150323</v>
      </c>
      <c r="O284" s="154">
        <f>IF(Assumptions!$L$25=4,VLOOKUP($A284,'Henwood Reference'!$E$9:$R$320,11),(VLOOKUP($A284,PriceTableWeekend,6,0)+IF(BasisNumber&lt;&gt;1,VLOOKUP($A284,BasisTable,3,0),0)+O$1)/(1-O$2))</f>
        <v>38.025070580370617</v>
      </c>
      <c r="P284" s="154">
        <f>IF(Assumptions!$L$25=4,VLOOKUP($A284,'Henwood Reference'!$E$9:$R$320,11),(VLOOKUP($A284,PriceTableWeekend,7,0)+IF(BasisNumber&lt;&gt;1,VLOOKUP($A284,BasisTable,3,0),0)+P$1)/(1-P$2))</f>
        <v>38.025070580370617</v>
      </c>
      <c r="Q284" s="156">
        <f>IF(Assumptions!$L$25=4,VLOOKUP($A284,'Henwood Reference'!$E$9:$R$320,11),(VLOOKUP($A284,PriceTableWeekend,8,0)+IF(BasisNumber&lt;&gt;1,VLOOKUP($A284,BasisTable,3,0),0)+Q$1)/(1-Q$2))</f>
        <v>38.025070580370617</v>
      </c>
      <c r="R284" s="154">
        <f>IF(Assumptions!$L$25=4,VLOOKUP($A284,'Henwood Reference'!$E$9:$R$320,11),(VLOOKUP($A284,PriceTable,6,0)+IF(BasisNumber&lt;&gt;1,VLOOKUP($A284,BasisTable,3,0),0)+R$1)/(1-R$2))</f>
        <v>38.025070580370617</v>
      </c>
      <c r="S284" s="154">
        <f>IF(Assumptions!$L$25=4,VLOOKUP($A284,'Henwood Reference'!$E$9:$R$320,11),(VLOOKUP($A284,PriceTable,7,0)+IF(BasisNumber&lt;&gt;1,VLOOKUP($A284,BasisTable,3,0),0)+S$1)/(1-S$2))</f>
        <v>38.025070580370617</v>
      </c>
      <c r="T284" s="155">
        <f>IF(Assumptions!$L$25=4,VLOOKUP($A284,'Henwood Reference'!$E$9:$R$320,11),(VLOOKUP($A284,PriceTable,8,0)+IF(BasisNumber&lt;&gt;1,VLOOKUP($A284,BasisTable,3,0),0)+T$1)/(1-T$2))</f>
        <v>38.025070580370617</v>
      </c>
      <c r="U284" s="173">
        <f t="shared" si="811"/>
        <v>0.09</v>
      </c>
      <c r="V284" s="173">
        <f t="shared" si="812"/>
        <v>0.1</v>
      </c>
      <c r="W284" s="174">
        <f t="shared" si="813"/>
        <v>0.11</v>
      </c>
      <c r="X284" s="173">
        <f t="shared" si="814"/>
        <v>0.09</v>
      </c>
      <c r="Y284" s="173">
        <f t="shared" si="815"/>
        <v>0.1</v>
      </c>
      <c r="Z284" s="174">
        <f t="shared" si="816"/>
        <v>0.11</v>
      </c>
      <c r="AA284" s="173">
        <f t="shared" si="817"/>
        <v>0.09</v>
      </c>
      <c r="AB284" s="173">
        <f t="shared" si="818"/>
        <v>0.11</v>
      </c>
      <c r="AC284" s="174">
        <f t="shared" si="819"/>
        <v>0.13</v>
      </c>
      <c r="AD284" s="173">
        <f t="shared" si="820"/>
        <v>0.09</v>
      </c>
      <c r="AE284" s="173">
        <f t="shared" si="821"/>
        <v>0.11</v>
      </c>
      <c r="AF284" s="174">
        <f t="shared" si="822"/>
        <v>0.13</v>
      </c>
      <c r="AG284" s="173">
        <f t="shared" si="823"/>
        <v>-0.35</v>
      </c>
      <c r="AH284" s="173">
        <f t="shared" si="824"/>
        <v>0.65</v>
      </c>
      <c r="AI284" s="174">
        <f t="shared" si="825"/>
        <v>0.35</v>
      </c>
      <c r="AJ284" s="173">
        <f t="shared" si="826"/>
        <v>-0.35</v>
      </c>
      <c r="AK284" s="173">
        <f t="shared" si="827"/>
        <v>0.65</v>
      </c>
      <c r="AL284" s="174">
        <f t="shared" si="828"/>
        <v>0.35</v>
      </c>
      <c r="AM284" s="173">
        <f t="shared" si="829"/>
        <v>-0.01</v>
      </c>
      <c r="AN284" s="173">
        <f t="shared" si="830"/>
        <v>0.16</v>
      </c>
      <c r="AO284" s="174">
        <f t="shared" si="831"/>
        <v>0.01</v>
      </c>
      <c r="AP284" s="173">
        <f t="shared" si="832"/>
        <v>-0.01</v>
      </c>
      <c r="AQ284" s="173">
        <f t="shared" si="833"/>
        <v>0.16</v>
      </c>
      <c r="AR284" s="175">
        <f t="shared" si="834"/>
        <v>0.01</v>
      </c>
      <c r="AS284" s="521">
        <f t="shared" si="835"/>
        <v>0.5</v>
      </c>
      <c r="AT284" s="349">
        <f t="shared" si="752"/>
        <v>23</v>
      </c>
      <c r="AU284" s="159">
        <f t="shared" si="753"/>
        <v>4</v>
      </c>
      <c r="AV284" s="159">
        <f t="shared" si="754"/>
        <v>4</v>
      </c>
      <c r="AW284" s="159">
        <f t="shared" si="836"/>
        <v>0</v>
      </c>
      <c r="AX284" s="15">
        <f t="shared" si="755"/>
        <v>31</v>
      </c>
      <c r="AY284" s="607">
        <f>IF(E284="",0,MIN((1-(1-VLOOKUP(B284,MAIN!$AA$7:$AM$28,C284+1))*(1-VLOOKUP(B284,MAIN!$AA$33:$AM$54,C284+1))),1))</f>
        <v>3.0000000000000027E-2</v>
      </c>
      <c r="AZ284" s="337">
        <v>53544</v>
      </c>
      <c r="BA284" s="509">
        <v>9312</v>
      </c>
      <c r="BB284" s="509">
        <v>9312</v>
      </c>
      <c r="BC284" s="511">
        <v>36084</v>
      </c>
      <c r="BD284" s="153">
        <v>0.96999998915940522</v>
      </c>
      <c r="BE284" s="474">
        <v>0.96999998915940522</v>
      </c>
      <c r="BF284" s="474">
        <v>0.96999998915940522</v>
      </c>
      <c r="BG284" s="515">
        <v>0.97000000722706314</v>
      </c>
      <c r="BH284" s="262">
        <v>214176</v>
      </c>
      <c r="BI284" s="509">
        <v>37248</v>
      </c>
      <c r="BJ284" s="509">
        <v>37248</v>
      </c>
      <c r="BK284" s="511">
        <v>144336</v>
      </c>
      <c r="BL284" s="153">
        <v>0.96999998915940522</v>
      </c>
      <c r="BM284" s="474">
        <v>0.96999998915940522</v>
      </c>
      <c r="BN284" s="474">
        <v>0.96999998915940522</v>
      </c>
      <c r="BO284" s="474">
        <v>0.97000000722706314</v>
      </c>
      <c r="BP284" s="261">
        <f t="shared" si="837"/>
        <v>72168</v>
      </c>
      <c r="BQ284" s="578">
        <f t="shared" si="838"/>
        <v>108252</v>
      </c>
      <c r="BR284" s="259">
        <f t="shared" si="839"/>
        <v>288672</v>
      </c>
      <c r="BS284" s="578">
        <f t="shared" si="840"/>
        <v>433008</v>
      </c>
      <c r="BT284" s="216">
        <f t="shared" si="841"/>
        <v>22.297056810403834</v>
      </c>
      <c r="BU284" s="218">
        <f t="shared" si="756"/>
        <v>92.544661027883123</v>
      </c>
      <c r="BV284" s="216">
        <f t="shared" si="757"/>
        <v>92.544661027883123</v>
      </c>
      <c r="BW284" s="216">
        <f t="shared" si="758"/>
        <v>38.025070155407342</v>
      </c>
      <c r="BX284" s="216">
        <f t="shared" si="842"/>
        <v>38.025070863679474</v>
      </c>
      <c r="BY284" s="216">
        <f t="shared" si="759"/>
        <v>85.50987510885399</v>
      </c>
      <c r="BZ284" s="216">
        <f t="shared" si="760"/>
        <v>69.681607027129161</v>
      </c>
      <c r="CA284" s="264">
        <f t="shared" si="761"/>
        <v>92.544661027883123</v>
      </c>
      <c r="CB284" s="216">
        <f t="shared" si="762"/>
        <v>92.544661027883123</v>
      </c>
      <c r="CC284" s="216">
        <f t="shared" si="763"/>
        <v>38.025070155407342</v>
      </c>
      <c r="CD284" s="216">
        <f t="shared" si="843"/>
        <v>38.025070863679474</v>
      </c>
      <c r="CE284" s="216">
        <f t="shared" si="764"/>
        <v>85.50987510885399</v>
      </c>
      <c r="CF284" s="571">
        <f t="shared" si="765"/>
        <v>69.681607027129161</v>
      </c>
      <c r="CG284" s="573">
        <f t="shared" si="766"/>
        <v>0.1</v>
      </c>
      <c r="CH284" s="219">
        <f t="shared" si="767"/>
        <v>0.1</v>
      </c>
      <c r="CI284" s="219">
        <f t="shared" si="768"/>
        <v>0.11</v>
      </c>
      <c r="CJ284" s="219">
        <f t="shared" si="769"/>
        <v>0.10057989577929044</v>
      </c>
      <c r="CK284" s="219">
        <f t="shared" si="770"/>
        <v>0.10057989577929044</v>
      </c>
      <c r="CL284" s="219">
        <f t="shared" si="771"/>
        <v>0.11</v>
      </c>
      <c r="CM284" s="219">
        <f t="shared" si="772"/>
        <v>9.4176595809328079E-2</v>
      </c>
      <c r="CN284" s="569">
        <f t="shared" si="773"/>
        <v>9.4176595809328079E-2</v>
      </c>
      <c r="CO284" s="264">
        <f t="shared" si="856"/>
        <v>32.486105157213132</v>
      </c>
      <c r="CP284" s="216">
        <f t="shared" si="844"/>
        <v>32.486105157213132</v>
      </c>
      <c r="CQ284" s="216">
        <f t="shared" ca="1" si="703"/>
        <v>32.486105157213132</v>
      </c>
      <c r="CR284" s="216">
        <f t="shared" ca="1" si="704"/>
        <v>32.486105157213132</v>
      </c>
      <c r="CS284" s="1626">
        <f t="shared" ca="1" si="705"/>
        <v>32.486105157213132</v>
      </c>
      <c r="CT284" s="216">
        <f t="shared" si="845"/>
        <v>32.486105157213132</v>
      </c>
      <c r="CU284" s="575">
        <f t="shared" si="774"/>
        <v>0.15</v>
      </c>
      <c r="CV284" s="154">
        <f t="shared" si="775"/>
        <v>0.5</v>
      </c>
      <c r="CW284" s="216">
        <f>IF(OR($BQ284,$BS284),SpreadOptPowerMargin,0)*((1+Assumptions!$C$26)^($B284-YEAR(Assumptions!$C$17)))</f>
        <v>2.6222601105500365</v>
      </c>
      <c r="CX284" s="216">
        <f>IF(OR($BQ284,$BS284),SpreadOptPowerMargin,0)*((1+Assumptions!$C$26)^($B284-YEAR(Assumptions!$C$17)))</f>
        <v>2.6222601105500365</v>
      </c>
      <c r="CY284" s="216">
        <f>IF(OR($BQ284,$BS284),SpreadOptPowerMargin,0)*((1+Assumptions!$C$26)^($B284-YEAR(Assumptions!$C$17)))</f>
        <v>2.6222601105500365</v>
      </c>
      <c r="CZ284" s="216">
        <f>IF(OR($BQ284,$BS284),SpreadOptPowerMargin,0)*((1+Assumptions!$C$26)^($B284-YEAR(Assumptions!$C$17)))</f>
        <v>2.6222601105500365</v>
      </c>
      <c r="DA284" s="440">
        <f t="shared" si="776"/>
        <v>2.6222601105500365</v>
      </c>
      <c r="DB284" s="479">
        <f t="shared" si="777"/>
        <v>0.1</v>
      </c>
      <c r="DC284" s="479">
        <f t="shared" si="778"/>
        <v>0.1</v>
      </c>
      <c r="DD284" s="479">
        <f t="shared" si="779"/>
        <v>0.11</v>
      </c>
      <c r="DE284" s="479">
        <f t="shared" si="780"/>
        <v>0.11</v>
      </c>
      <c r="DF284" s="479">
        <f t="shared" si="781"/>
        <v>9.4176595809328079E-2</v>
      </c>
      <c r="DG284" s="574">
        <f t="shared" si="782"/>
        <v>9.4176595809328079E-2</v>
      </c>
      <c r="DH284" s="216">
        <f t="shared" si="783"/>
        <v>58.158245323567051</v>
      </c>
      <c r="DI284" s="216">
        <f t="shared" si="784"/>
        <v>58.158245323567051</v>
      </c>
      <c r="DJ284" s="216">
        <f t="shared" ca="1" si="706"/>
        <v>10.142428459950379</v>
      </c>
      <c r="DK284" s="216">
        <f t="shared" ca="1" si="707"/>
        <v>10.142428935841677</v>
      </c>
      <c r="DL284" s="216">
        <f t="shared" ca="1" si="708"/>
        <v>36.275631258012631</v>
      </c>
      <c r="DM284" s="216"/>
      <c r="DN284" s="216"/>
      <c r="DO284" s="216"/>
      <c r="DP284" s="216"/>
      <c r="DQ284" s="216"/>
      <c r="DR284" s="216"/>
      <c r="DS284" s="216"/>
      <c r="DT284" s="216"/>
      <c r="DU284" s="216"/>
      <c r="DV284" s="216"/>
      <c r="DW284" s="1371">
        <f t="shared" si="785"/>
        <v>10.142428459950379</v>
      </c>
      <c r="DX284" s="216">
        <f t="shared" si="786"/>
        <v>10.142428935841677</v>
      </c>
      <c r="DY284" s="440">
        <f t="shared" si="787"/>
        <v>38.022580345842101</v>
      </c>
      <c r="DZ284" s="180">
        <f t="shared" si="788"/>
        <v>3114025.087605074</v>
      </c>
      <c r="EA284" s="180">
        <f t="shared" si="789"/>
        <v>541569.58045305638</v>
      </c>
      <c r="EB284" s="180">
        <f t="shared" ca="1" si="709"/>
        <v>94446.29381905793</v>
      </c>
      <c r="EC284" s="180">
        <f t="shared" ca="1" si="710"/>
        <v>365979.40572091105</v>
      </c>
      <c r="ED284" s="180">
        <f t="shared" ca="1" si="711"/>
        <v>3926909.6349423835</v>
      </c>
      <c r="EE284" s="581">
        <f t="shared" si="790"/>
        <v>3075369.0201798626</v>
      </c>
      <c r="EF284" s="554">
        <f t="shared" si="791"/>
        <v>534846.78611823707</v>
      </c>
      <c r="EG284" s="554">
        <f t="shared" ca="1" si="712"/>
        <v>27160.355913742536</v>
      </c>
      <c r="EH284" s="554">
        <f t="shared" ca="1" si="713"/>
        <v>105246.40472304395</v>
      </c>
      <c r="EI284" s="561">
        <f t="shared" ca="1" si="792"/>
        <v>3742622.5669348873</v>
      </c>
      <c r="EJ284" s="581">
        <f t="shared" si="846"/>
        <v>38656.067425211426</v>
      </c>
      <c r="EK284" s="554">
        <f t="shared" si="847"/>
        <v>6722.7943348193076</v>
      </c>
      <c r="EL284" s="554">
        <f t="shared" ca="1" si="714"/>
        <v>67285.937905315397</v>
      </c>
      <c r="EM284" s="554">
        <f t="shared" ca="1" si="715"/>
        <v>260733.00099786709</v>
      </c>
      <c r="EN284" s="561">
        <f t="shared" ca="1" si="716"/>
        <v>184287.06800749619</v>
      </c>
      <c r="EO284" s="180">
        <f t="shared" si="793"/>
        <v>12456100.350420296</v>
      </c>
      <c r="EP284" s="180">
        <f t="shared" si="794"/>
        <v>2166278.3218122255</v>
      </c>
      <c r="EQ284" s="180">
        <f t="shared" si="795"/>
        <v>377785.17527623172</v>
      </c>
      <c r="ER284" s="180">
        <f t="shared" si="796"/>
        <v>1463917.6228836442</v>
      </c>
      <c r="ES284" s="180">
        <f t="shared" si="797"/>
        <v>16464081.470392397</v>
      </c>
      <c r="ET284" s="1482">
        <f t="shared" ca="1" si="717"/>
        <v>12301476.08071945</v>
      </c>
      <c r="EU284" s="180">
        <f t="shared" ca="1" si="718"/>
        <v>2139387.1444729483</v>
      </c>
      <c r="EV284" s="180">
        <f t="shared" ca="1" si="719"/>
        <v>108641.42365497015</v>
      </c>
      <c r="EW284" s="180">
        <f t="shared" ca="1" si="720"/>
        <v>420985.61889217579</v>
      </c>
      <c r="EX284" s="555">
        <f t="shared" ca="1" si="693"/>
        <v>14970490.267739544</v>
      </c>
      <c r="EY284" s="180">
        <f t="shared" ca="1" si="721"/>
        <v>154624.2697008457</v>
      </c>
      <c r="EZ284" s="180">
        <f t="shared" ca="1" si="722"/>
        <v>26891.17733927723</v>
      </c>
      <c r="FA284" s="180">
        <f t="shared" ca="1" si="723"/>
        <v>269143.75162126159</v>
      </c>
      <c r="FB284" s="180">
        <f t="shared" ca="1" si="724"/>
        <v>1042932.0039914683</v>
      </c>
      <c r="FC284" s="180">
        <f t="shared" ca="1" si="725"/>
        <v>1493591.202652853</v>
      </c>
      <c r="FD284" s="262">
        <f>IF(AX284,IF(VLOOKUP(C284,MAIN!$L$17:$M$28,2)="Yes",VLOOKUP(CALC!B284,MAIN!$H$17:$I$20,2),0),0)</f>
        <v>0</v>
      </c>
      <c r="FE284" s="623">
        <f t="shared" si="798"/>
        <v>0</v>
      </c>
      <c r="FF284" s="535">
        <f t="shared" si="799"/>
        <v>0</v>
      </c>
      <c r="FG284" s="535">
        <f t="shared" si="800"/>
        <v>0</v>
      </c>
      <c r="FH284" s="624">
        <f t="shared" si="801"/>
        <v>0</v>
      </c>
      <c r="FI284" s="632">
        <f>IF(AX284,VLOOKUP(CALC!B284,MAIN!$H$17:$K$20,4),0)</f>
        <v>0</v>
      </c>
      <c r="FJ284" s="535">
        <f t="shared" si="802"/>
        <v>0</v>
      </c>
      <c r="FK284" s="648">
        <f t="shared" si="848"/>
        <v>0</v>
      </c>
      <c r="FL284" s="530">
        <f t="shared" ca="1" si="726"/>
        <v>0</v>
      </c>
      <c r="FM284" s="530">
        <f t="shared" ca="1" si="727"/>
        <v>0</v>
      </c>
      <c r="FN284" s="530">
        <f t="shared" ca="1" si="728"/>
        <v>0</v>
      </c>
      <c r="FO284" s="622">
        <f t="shared" ca="1" si="729"/>
        <v>0</v>
      </c>
      <c r="FP284" s="530">
        <f t="shared" ca="1" si="730"/>
        <v>0</v>
      </c>
      <c r="FQ284" s="530">
        <f t="shared" ca="1" si="731"/>
        <v>0</v>
      </c>
      <c r="FR284" s="530">
        <f t="shared" ca="1" si="732"/>
        <v>0</v>
      </c>
      <c r="FS284" s="625">
        <f t="shared" ca="1" si="733"/>
        <v>0</v>
      </c>
      <c r="FT284" s="640">
        <f ca="1">IF(AND(Assumptions!$H$71="Yes",A284&gt;=Assumptions!$H$72,A284&lt;=Assumptions!$H$73),0,IF(AND($A284&gt;=Assumptions!$C$17,$A284&lt;=Assumptions!$C$18),MAX(AZ284*(1+VLOOKUP($C284,WeatherCapacityAdjustment,2))-FL284,0),0))</f>
        <v>53544</v>
      </c>
      <c r="FU284" s="530">
        <f ca="1">IF(AND(Assumptions!$H$71="Yes",A284&gt;=Assumptions!$H$72,A284&lt;=Assumptions!$H$73),0,IF(AND($A284&gt;=Assumptions!$C$17,$A284&lt;=Assumptions!$C$18),MAX(BA284*(1+VLOOKUP($C284,WeatherCapacityAdjustment,2))-FM284,0),0))</f>
        <v>9312</v>
      </c>
      <c r="FV284" s="530">
        <f ca="1">IF(AND(Assumptions!$H$71="Yes",A284&gt;=Assumptions!$H$72,A284&lt;=Assumptions!$H$73),0,IF(AND($A284&gt;=Assumptions!$C$17,$A284&lt;=Assumptions!$C$18),MAX(BB284*(1+VLOOKUP($C284,WeatherCapacityAdjustment,2))-FN284,0),0))</f>
        <v>9312</v>
      </c>
      <c r="FW284" s="622">
        <f ca="1">IF(AND(Assumptions!$H$71="Yes",A284&gt;=Assumptions!$H$72,A284&lt;=Assumptions!$H$73),0,IF(AND($A284&gt;=Assumptions!$C$17,$A284&lt;=Assumptions!$C$18),MAX(BC284*(1+VLOOKUP($C284,WeatherCapacityAdjustment,3))-FO284,0),0))</f>
        <v>36084</v>
      </c>
      <c r="FX284" s="621">
        <f ca="1">IF(AND(Assumptions!$H$71="Yes",A284&gt;=Assumptions!$H$72,A284&lt;=Assumptions!$H$73),0,IF(ET284&gt;0,MAX(BH284*(1+VLOOKUP($C284,WeatherCapacityAdjustment,2))-FP284,0),0))</f>
        <v>214176</v>
      </c>
      <c r="FY284" s="530">
        <f ca="1">IF(AND(Assumptions!$H$71="Yes",A284&gt;=Assumptions!$H$72,A284&lt;=Assumptions!$H$73),0,IF(EU284&gt;0,MAX(BI284*(1+VLOOKUP($C284,WeatherCapacityAdjustment,3))-FQ284,0),0))</f>
        <v>37248</v>
      </c>
      <c r="FZ284" s="530">
        <f ca="1">IF(AND(Assumptions!$H$71="Yes",A284&gt;=Assumptions!$H$72,A284&lt;=Assumptions!$H$73),0,IF(EV284&gt;0,MAX(BJ284*(1+VLOOKUP($C284,WeatherCapacityAdjustment,2))-FR284,0),0))</f>
        <v>37248</v>
      </c>
      <c r="GA284" s="622">
        <f ca="1">IF(AND(Assumptions!$H$71="Yes",A284&gt;=Assumptions!$H$72,A284&lt;=Assumptions!$H$73),0,IF(EW284&gt;0,MAX(BK284*(1+VLOOKUP($C284,WeatherCapacityAdjustment,2))-FS284,0),0))</f>
        <v>144336</v>
      </c>
      <c r="GB284" s="530">
        <f t="shared" ca="1" si="803"/>
        <v>541260</v>
      </c>
      <c r="GC284" s="545">
        <f t="shared" ca="1" si="804"/>
        <v>69.681607027129161</v>
      </c>
      <c r="GD284" s="530">
        <f t="shared" ca="1" si="734"/>
        <v>37715866.619503923</v>
      </c>
      <c r="GE284" s="1485">
        <f t="shared" ca="1" si="735"/>
        <v>766644.99407999997</v>
      </c>
      <c r="GF284" s="1776">
        <f t="shared" ca="1" si="736"/>
        <v>3066579.9763199999</v>
      </c>
      <c r="GG284" s="545">
        <f t="shared" si="701"/>
        <v>4.5871112217967047</v>
      </c>
      <c r="GH284" s="622">
        <f t="shared" ca="1" si="702"/>
        <v>17583429.277393181</v>
      </c>
      <c r="GI284" s="621">
        <f t="shared" ca="1" si="849"/>
        <v>541260</v>
      </c>
      <c r="GJ284" s="638">
        <f t="shared" si="805"/>
        <v>2.6222601105500365</v>
      </c>
      <c r="GK284" s="625">
        <f t="shared" ca="1" si="855"/>
        <v>1419324.5074363127</v>
      </c>
      <c r="GL284" s="640">
        <f t="shared" ca="1" si="737"/>
        <v>0</v>
      </c>
      <c r="GM284" s="530">
        <f t="shared" ca="1" si="738"/>
        <v>0</v>
      </c>
      <c r="GN284" s="530">
        <f t="shared" ca="1" si="739"/>
        <v>0</v>
      </c>
      <c r="GO284" s="622">
        <f t="shared" ca="1" si="740"/>
        <v>0</v>
      </c>
      <c r="GP284" s="530">
        <f t="shared" ca="1" si="806"/>
        <v>0</v>
      </c>
      <c r="GQ284" s="545">
        <f t="shared" ca="1" si="807"/>
        <v>0</v>
      </c>
      <c r="GR284" s="625">
        <f t="shared" ca="1" si="741"/>
        <v>0</v>
      </c>
      <c r="GS284" s="640">
        <f>IF($A284&gt;=BegDate,Assumptions!$C$56*24*($A285-$A284)*(1-VLOOKUP($B284,MAIN!$AA$7:$AM$28,$C284+1))*(1-VLOOKUP($B284,MAIN!$AA$33:$AM$54,$C284+1)),0)*80/168</f>
        <v>257742.85714285713</v>
      </c>
      <c r="GT284" s="1715">
        <f t="shared" si="850"/>
        <v>92.544662062150323</v>
      </c>
      <c r="GU284" s="1715">
        <f>IF($A284&gt;=BegDate,VLOOKUP($A284,GasTable,13)+Assumptions!$C$58,0)</f>
        <v>4.5871112217967047</v>
      </c>
      <c r="GV284" s="1715">
        <f>GU284*Assumptions!$C$57/1000</f>
        <v>33.25655635802611</v>
      </c>
      <c r="GW284" s="625">
        <f>IF(Assumptions!$C$60="Hourly",MAX(0,GS284*(GT284-GV284)),GS284*(GT284-GV284))</f>
        <v>15281085.7587687</v>
      </c>
      <c r="GX284" s="640">
        <f>IF($A284&gt;=BegDate,Assumptions!$C$56*24*($A285-$A284)*(1-VLOOKUP($B284,MAIN!$AA$7:$AM$28,$C284+1))*(1-VLOOKUP($B284,MAIN!$AA$33:$AM$54,$C284+1)),0)*16/168</f>
        <v>51548.571428571428</v>
      </c>
      <c r="GY284" s="1715">
        <f t="shared" si="851"/>
        <v>92.544662062150323</v>
      </c>
      <c r="GZ284" s="1715">
        <f>IF($A284&gt;=BegDate,VLOOKUP($A284,GasTable,13)+Assumptions!$C$58,0)</f>
        <v>4.5871112217967047</v>
      </c>
      <c r="HA284" s="1715">
        <f>GZ284*Assumptions!$C$57/1000</f>
        <v>33.25655635802611</v>
      </c>
      <c r="HB284" s="625">
        <f>IF(Assumptions!$C$60="Hourly",MAX(0,GX284*(GY284-HA284)),GX284*(GY284-HA284))</f>
        <v>3056217.1517537399</v>
      </c>
      <c r="HC284" s="640">
        <f>IF($A284&gt;=BegDate,Assumptions!$C$56*24*($A285-$A284)*(1-VLOOKUP($B284,MAIN!$AA$7:$AM$28,$C284+1))*(1-VLOOKUP($B284,MAIN!$AA$33:$AM$54,$C284+1)),0)*16/168</f>
        <v>51548.571428571428</v>
      </c>
      <c r="HD284" s="1715">
        <f t="shared" si="852"/>
        <v>38.025070580370617</v>
      </c>
      <c r="HE284" s="1715">
        <f>IF($A284&gt;=BegDate,VLOOKUP($A284,GasTable,13)+Assumptions!$C$58,0)</f>
        <v>4.5871112217967047</v>
      </c>
      <c r="HF284" s="1715">
        <f>HE284*Assumptions!$C$57/1000</f>
        <v>33.25655635802611</v>
      </c>
      <c r="HG284" s="625">
        <f>IF(Assumptions!$C$60="Hourly",MAX(0,HC284*(HD284-HF284)),HC284*(HD284-HF284))</f>
        <v>245810.09599868456</v>
      </c>
      <c r="HH284" s="640">
        <f>IF($A284&gt;=BegDate,Assumptions!$C$56*24*($A285-$A284)*(1-VLOOKUP($B284,MAIN!$AA$7:$AM$28,$C284+1))*(1-VLOOKUP($B284,MAIN!$AA$33:$AM$54,$C284+1)),0)*56/168</f>
        <v>180420</v>
      </c>
      <c r="HI284" s="1715">
        <f t="shared" si="853"/>
        <v>38.025070580370617</v>
      </c>
      <c r="HJ284" s="1715">
        <f>IF($A284&gt;=BegDate,VLOOKUP($A284,GasTable,13)+Assumptions!$C$58,0)</f>
        <v>4.5871112217967047</v>
      </c>
      <c r="HK284" s="1715">
        <f>HJ284*Assumptions!$C$57/1000</f>
        <v>33.25655635802611</v>
      </c>
      <c r="HL284" s="625">
        <f>IF(Assumptions!$C$60="Hourly",MAX(0,HH284*(HI284-HK284)),HH284*(HI284-HK284))</f>
        <v>860335.3359953959</v>
      </c>
      <c r="HM284" s="640">
        <f>IF(AND(Assumptions!$H$71="Yes",A284&gt;=Assumptions!$H$72,A284&lt;=Assumptions!$H$73),Assumptions!$H$74*Assumptions!$C$9*1000,0)</f>
        <v>0</v>
      </c>
      <c r="HN284" s="530"/>
      <c r="HO284" s="545"/>
      <c r="HP284" s="545"/>
      <c r="HQ284" s="545"/>
      <c r="HR284" s="545"/>
      <c r="HS284" s="545"/>
      <c r="HT284" s="545"/>
      <c r="HU284" s="545"/>
      <c r="HV284" s="545"/>
      <c r="HW284" s="545"/>
      <c r="HX284" s="545"/>
      <c r="HY284" s="545"/>
      <c r="HZ284" s="545"/>
      <c r="IA284" s="545"/>
      <c r="IB284" s="545"/>
      <c r="IC284" s="545"/>
      <c r="ID284" s="545"/>
      <c r="IE284" s="545"/>
      <c r="IF284" s="545"/>
      <c r="IG284" s="545"/>
      <c r="IH284" s="545"/>
      <c r="II284" s="1464"/>
      <c r="IJ284" s="1463"/>
      <c r="IK284" s="1463"/>
    </row>
    <row r="285" spans="1:245">
      <c r="A285" s="177">
        <f t="shared" si="808"/>
        <v>44805</v>
      </c>
      <c r="B285" s="349">
        <f t="shared" si="809"/>
        <v>2022</v>
      </c>
      <c r="C285" s="15">
        <f t="shared" si="749"/>
        <v>9</v>
      </c>
      <c r="D285" s="612">
        <f t="shared" si="810"/>
        <v>44809</v>
      </c>
      <c r="E285" s="609">
        <f t="shared" si="750"/>
        <v>44805</v>
      </c>
      <c r="F285" s="614">
        <f t="shared" si="751"/>
        <v>44834</v>
      </c>
      <c r="G285" s="1349">
        <v>0</v>
      </c>
      <c r="H285" s="152">
        <f t="shared" si="854"/>
        <v>1</v>
      </c>
      <c r="I285" s="154">
        <f>IF(Assumptions!$L$25=4,VLOOKUP($A285,'Henwood Reference'!$E$9:$R$320,10),(VLOOKUP($A285,PriceTable,2,0)+IF(BasisNumber&lt;&gt;1,VLOOKUP($A285,BasisTable,2,0),0)+I$1)/(1-I$2))</f>
        <v>77.718871617376706</v>
      </c>
      <c r="J285" s="154">
        <f>IF(Assumptions!$L$25=4,VLOOKUP($A285,'Henwood Reference'!$E$9:$R$320,10),(VLOOKUP($A285,PriceTable,3,0)+IF(BasisNumber&lt;&gt;1,VLOOKUP($A285,BasisTable,2,0),0)+J$1)/(1-J$2))</f>
        <v>77.718871617376706</v>
      </c>
      <c r="K285" s="154">
        <f>IF(Assumptions!$L$25=4,VLOOKUP($A285,'Henwood Reference'!$E$9:$R$320,10),(VLOOKUP($A285,PriceTable,4,0)+IF(BasisNumber&lt;&gt;1,VLOOKUP($A285,BasisTable,2,0),0)+K$1)/(1-K$2))</f>
        <v>77.718871617376706</v>
      </c>
      <c r="L285" s="474">
        <f>IF(Assumptions!$L$25=4,VLOOKUP($A285,'Henwood Reference'!$E$9:$R$320,10),(VLOOKUP($A285,PriceTableWeekend,2,0)+IF(BasisNumber&lt;&gt;1,VLOOKUP($A285,BasisTable,2,0),0)+L$1)/(1-L$2))</f>
        <v>77.718871617376706</v>
      </c>
      <c r="M285" s="154">
        <f>IF(Assumptions!$L$25=4,VLOOKUP($A285,'Henwood Reference'!$E$9:$R$320,10),(VLOOKUP($A285,PriceTableWeekend,3,0)+IF(BasisNumber&lt;&gt;1,VLOOKUP($A285,BasisTable,2,0),0)+M$1)/(1-M$2))</f>
        <v>77.718871617376706</v>
      </c>
      <c r="N285" s="156">
        <f>IF(Assumptions!$L$25=4,VLOOKUP($A285,'Henwood Reference'!$E$9:$R$320,10),(VLOOKUP($A285,PriceTableWeekend,4,0)+IF(BasisNumber&lt;&gt;1,VLOOKUP($A285,BasisTable,2,0),0)+N$1)/(1-N$2))</f>
        <v>77.718871617376706</v>
      </c>
      <c r="O285" s="154">
        <f>IF(Assumptions!$L$25=4,VLOOKUP($A285,'Henwood Reference'!$E$9:$R$320,11),(VLOOKUP($A285,PriceTableWeekend,6,0)+IF(BasisNumber&lt;&gt;1,VLOOKUP($A285,BasisTable,3,0),0)+O$1)/(1-O$2))</f>
        <v>36.60215089138849</v>
      </c>
      <c r="P285" s="154">
        <f>IF(Assumptions!$L$25=4,VLOOKUP($A285,'Henwood Reference'!$E$9:$R$320,11),(VLOOKUP($A285,PriceTableWeekend,7,0)+IF(BasisNumber&lt;&gt;1,VLOOKUP($A285,BasisTable,3,0),0)+P$1)/(1-P$2))</f>
        <v>36.60215089138849</v>
      </c>
      <c r="Q285" s="156">
        <f>IF(Assumptions!$L$25=4,VLOOKUP($A285,'Henwood Reference'!$E$9:$R$320,11),(VLOOKUP($A285,PriceTableWeekend,8,0)+IF(BasisNumber&lt;&gt;1,VLOOKUP($A285,BasisTable,3,0),0)+Q$1)/(1-Q$2))</f>
        <v>36.60215089138849</v>
      </c>
      <c r="R285" s="154">
        <f>IF(Assumptions!$L$25=4,VLOOKUP($A285,'Henwood Reference'!$E$9:$R$320,11),(VLOOKUP($A285,PriceTable,6,0)+IF(BasisNumber&lt;&gt;1,VLOOKUP($A285,BasisTable,3,0),0)+R$1)/(1-R$2))</f>
        <v>36.60215089138849</v>
      </c>
      <c r="S285" s="154">
        <f>IF(Assumptions!$L$25=4,VLOOKUP($A285,'Henwood Reference'!$E$9:$R$320,11),(VLOOKUP($A285,PriceTable,7,0)+IF(BasisNumber&lt;&gt;1,VLOOKUP($A285,BasisTable,3,0),0)+S$1)/(1-S$2))</f>
        <v>36.60215089138849</v>
      </c>
      <c r="T285" s="155">
        <f>IF(Assumptions!$L$25=4,VLOOKUP($A285,'Henwood Reference'!$E$9:$R$320,11),(VLOOKUP($A285,PriceTable,8,0)+IF(BasisNumber&lt;&gt;1,VLOOKUP($A285,BasisTable,3,0),0)+T$1)/(1-T$2))</f>
        <v>36.60215089138849</v>
      </c>
      <c r="U285" s="173">
        <f t="shared" si="811"/>
        <v>0.09</v>
      </c>
      <c r="V285" s="173">
        <f t="shared" si="812"/>
        <v>0.1</v>
      </c>
      <c r="W285" s="174">
        <f t="shared" si="813"/>
        <v>0.11</v>
      </c>
      <c r="X285" s="173">
        <f t="shared" si="814"/>
        <v>0.09</v>
      </c>
      <c r="Y285" s="173">
        <f t="shared" si="815"/>
        <v>0.1</v>
      </c>
      <c r="Z285" s="174">
        <f t="shared" si="816"/>
        <v>0.11</v>
      </c>
      <c r="AA285" s="173">
        <f t="shared" si="817"/>
        <v>0.09</v>
      </c>
      <c r="AB285" s="173">
        <f t="shared" si="818"/>
        <v>0.11</v>
      </c>
      <c r="AC285" s="174">
        <f t="shared" si="819"/>
        <v>0.13</v>
      </c>
      <c r="AD285" s="173">
        <f t="shared" si="820"/>
        <v>0.09</v>
      </c>
      <c r="AE285" s="173">
        <f t="shared" si="821"/>
        <v>0.11</v>
      </c>
      <c r="AF285" s="174">
        <f t="shared" si="822"/>
        <v>0.13</v>
      </c>
      <c r="AG285" s="173">
        <f t="shared" si="823"/>
        <v>-0.35</v>
      </c>
      <c r="AH285" s="173">
        <f t="shared" si="824"/>
        <v>3</v>
      </c>
      <c r="AI285" s="174">
        <f t="shared" si="825"/>
        <v>0.2</v>
      </c>
      <c r="AJ285" s="173">
        <f t="shared" si="826"/>
        <v>-0.35</v>
      </c>
      <c r="AK285" s="173">
        <f t="shared" si="827"/>
        <v>3</v>
      </c>
      <c r="AL285" s="174">
        <f t="shared" si="828"/>
        <v>0.2</v>
      </c>
      <c r="AM285" s="173">
        <f t="shared" si="829"/>
        <v>-0.01</v>
      </c>
      <c r="AN285" s="173">
        <f t="shared" si="830"/>
        <v>0.16</v>
      </c>
      <c r="AO285" s="174">
        <f t="shared" si="831"/>
        <v>0.01</v>
      </c>
      <c r="AP285" s="173">
        <f t="shared" si="832"/>
        <v>-0.01</v>
      </c>
      <c r="AQ285" s="173">
        <f t="shared" si="833"/>
        <v>0.16</v>
      </c>
      <c r="AR285" s="175">
        <f t="shared" si="834"/>
        <v>0.01</v>
      </c>
      <c r="AS285" s="521">
        <f t="shared" si="835"/>
        <v>0.5</v>
      </c>
      <c r="AT285" s="349">
        <f t="shared" si="752"/>
        <v>21</v>
      </c>
      <c r="AU285" s="159">
        <f t="shared" si="753"/>
        <v>4</v>
      </c>
      <c r="AV285" s="159">
        <f t="shared" si="754"/>
        <v>4</v>
      </c>
      <c r="AW285" s="159">
        <f t="shared" si="836"/>
        <v>1</v>
      </c>
      <c r="AX285" s="15">
        <f t="shared" si="755"/>
        <v>30</v>
      </c>
      <c r="AY285" s="607">
        <f>IF(E285="",0,MIN((1-(1-VLOOKUP(B285,MAIN!$AA$7:$AM$28,C285+1))*(1-VLOOKUP(B285,MAIN!$AA$33:$AM$54,C285+1))),1))</f>
        <v>3.0000000000000027E-2</v>
      </c>
      <c r="AZ285" s="337">
        <v>48888</v>
      </c>
      <c r="BA285" s="509">
        <v>9312</v>
      </c>
      <c r="BB285" s="509">
        <v>11640</v>
      </c>
      <c r="BC285" s="511">
        <v>34920</v>
      </c>
      <c r="BD285" s="153">
        <v>0.9699999927729368</v>
      </c>
      <c r="BE285" s="474">
        <v>0.9699999927729368</v>
      </c>
      <c r="BF285" s="474">
        <v>0.9699999927729368</v>
      </c>
      <c r="BG285" s="515">
        <v>0.9699999927729368</v>
      </c>
      <c r="BH285" s="262">
        <v>195552</v>
      </c>
      <c r="BI285" s="509">
        <v>37248</v>
      </c>
      <c r="BJ285" s="509">
        <v>46560</v>
      </c>
      <c r="BK285" s="511">
        <v>139680</v>
      </c>
      <c r="BL285" s="153">
        <v>0.9699999927729368</v>
      </c>
      <c r="BM285" s="474">
        <v>0.9699999927729368</v>
      </c>
      <c r="BN285" s="474">
        <v>0.9699999927729368</v>
      </c>
      <c r="BO285" s="474">
        <v>0.9699999927729368</v>
      </c>
      <c r="BP285" s="261">
        <f t="shared" si="837"/>
        <v>69840</v>
      </c>
      <c r="BQ285" s="578">
        <f t="shared" si="838"/>
        <v>104760</v>
      </c>
      <c r="BR285" s="259">
        <f t="shared" si="839"/>
        <v>279360</v>
      </c>
      <c r="BS285" s="578">
        <f t="shared" si="840"/>
        <v>419040</v>
      </c>
      <c r="BT285" s="216">
        <f t="shared" si="841"/>
        <v>22.381930184804929</v>
      </c>
      <c r="BU285" s="218">
        <f t="shared" si="756"/>
        <v>77.718871038325986</v>
      </c>
      <c r="BV285" s="216">
        <f t="shared" si="757"/>
        <v>77.718871038325986</v>
      </c>
      <c r="BW285" s="216">
        <f t="shared" si="758"/>
        <v>36.602150618681215</v>
      </c>
      <c r="BX285" s="216">
        <f t="shared" si="842"/>
        <v>36.602150618681215</v>
      </c>
      <c r="BY285" s="216">
        <f t="shared" si="759"/>
        <v>70.86608430171853</v>
      </c>
      <c r="BZ285" s="216">
        <f t="shared" si="760"/>
        <v>59.444773074039425</v>
      </c>
      <c r="CA285" s="264">
        <f t="shared" si="761"/>
        <v>77.718871038325986</v>
      </c>
      <c r="CB285" s="216">
        <f t="shared" si="762"/>
        <v>77.718871038325986</v>
      </c>
      <c r="CC285" s="216">
        <f t="shared" si="763"/>
        <v>36.602150618681215</v>
      </c>
      <c r="CD285" s="216">
        <f t="shared" si="843"/>
        <v>36.602150618681215</v>
      </c>
      <c r="CE285" s="216">
        <f t="shared" si="764"/>
        <v>70.86608430171853</v>
      </c>
      <c r="CF285" s="571">
        <f t="shared" si="765"/>
        <v>59.444773074039425</v>
      </c>
      <c r="CG285" s="573">
        <f t="shared" si="766"/>
        <v>0.1</v>
      </c>
      <c r="CH285" s="219">
        <f t="shared" si="767"/>
        <v>0.1</v>
      </c>
      <c r="CI285" s="219">
        <f t="shared" si="768"/>
        <v>0.11</v>
      </c>
      <c r="CJ285" s="219">
        <f t="shared" si="769"/>
        <v>0.10086976935070383</v>
      </c>
      <c r="CK285" s="219">
        <f t="shared" si="770"/>
        <v>0.10086976935070383</v>
      </c>
      <c r="CL285" s="219">
        <f t="shared" si="771"/>
        <v>0.11</v>
      </c>
      <c r="CM285" s="219">
        <f t="shared" si="772"/>
        <v>9.3823253904981613E-2</v>
      </c>
      <c r="CN285" s="569">
        <f t="shared" si="773"/>
        <v>9.3823253904981613E-2</v>
      </c>
      <c r="CO285" s="264">
        <f t="shared" si="856"/>
        <v>32.499591264205215</v>
      </c>
      <c r="CP285" s="216">
        <f t="shared" si="844"/>
        <v>32.499591264205215</v>
      </c>
      <c r="CQ285" s="216">
        <f t="shared" ca="1" si="703"/>
        <v>32.499591264205215</v>
      </c>
      <c r="CR285" s="216">
        <f t="shared" ca="1" si="704"/>
        <v>32.499591264205215</v>
      </c>
      <c r="CS285" s="1626">
        <f t="shared" ca="1" si="705"/>
        <v>32.499591264205215</v>
      </c>
      <c r="CT285" s="216">
        <f t="shared" si="845"/>
        <v>32.499591264205215</v>
      </c>
      <c r="CU285" s="575">
        <f t="shared" si="774"/>
        <v>0.15</v>
      </c>
      <c r="CV285" s="154">
        <f t="shared" si="775"/>
        <v>0.5</v>
      </c>
      <c r="CW285" s="216">
        <f>IF(OR($BQ285,$BS285),SpreadOptPowerMargin,0)*((1+Assumptions!$C$26)^($B285-YEAR(Assumptions!$C$17)))</f>
        <v>2.6222601105500365</v>
      </c>
      <c r="CX285" s="216">
        <f>IF(OR($BQ285,$BS285),SpreadOptPowerMargin,0)*((1+Assumptions!$C$26)^($B285-YEAR(Assumptions!$C$17)))</f>
        <v>2.6222601105500365</v>
      </c>
      <c r="CY285" s="216">
        <f>IF(OR($BQ285,$BS285),SpreadOptPowerMargin,0)*((1+Assumptions!$C$26)^($B285-YEAR(Assumptions!$C$17)))</f>
        <v>2.6222601105500365</v>
      </c>
      <c r="CZ285" s="216">
        <f>IF(OR($BQ285,$BS285),SpreadOptPowerMargin,0)*((1+Assumptions!$C$26)^($B285-YEAR(Assumptions!$C$17)))</f>
        <v>2.6222601105500365</v>
      </c>
      <c r="DA285" s="440">
        <f t="shared" si="776"/>
        <v>2.6222601105500365</v>
      </c>
      <c r="DB285" s="479">
        <f t="shared" si="777"/>
        <v>0.1</v>
      </c>
      <c r="DC285" s="479">
        <f t="shared" si="778"/>
        <v>0.1</v>
      </c>
      <c r="DD285" s="479">
        <f t="shared" si="779"/>
        <v>0.11</v>
      </c>
      <c r="DE285" s="479">
        <f t="shared" si="780"/>
        <v>0.11</v>
      </c>
      <c r="DF285" s="479">
        <f t="shared" si="781"/>
        <v>9.3823253904981613E-2</v>
      </c>
      <c r="DG285" s="574">
        <f t="shared" si="782"/>
        <v>9.3823253904981613E-2</v>
      </c>
      <c r="DH285" s="216">
        <f t="shared" si="783"/>
        <v>43.878913410568849</v>
      </c>
      <c r="DI285" s="216">
        <f t="shared" si="784"/>
        <v>43.878913410568849</v>
      </c>
      <c r="DJ285" s="216">
        <f t="shared" ca="1" si="706"/>
        <v>9.212850425788579</v>
      </c>
      <c r="DK285" s="216">
        <f t="shared" ca="1" si="707"/>
        <v>9.212850425788579</v>
      </c>
      <c r="DL285" s="216">
        <f t="shared" ca="1" si="708"/>
        <v>26.96471594064597</v>
      </c>
      <c r="DM285" s="216"/>
      <c r="DN285" s="216"/>
      <c r="DO285" s="216"/>
      <c r="DP285" s="216"/>
      <c r="DQ285" s="216"/>
      <c r="DR285" s="216"/>
      <c r="DS285" s="216"/>
      <c r="DT285" s="216"/>
      <c r="DU285" s="216"/>
      <c r="DV285" s="216"/>
      <c r="DW285" s="1371">
        <f t="shared" si="785"/>
        <v>9.212850425788579</v>
      </c>
      <c r="DX285" s="216">
        <f t="shared" si="786"/>
        <v>9.212850425788579</v>
      </c>
      <c r="DY285" s="440">
        <f t="shared" si="787"/>
        <v>28.471774306222056</v>
      </c>
      <c r="DZ285" s="180">
        <f t="shared" si="788"/>
        <v>2145152.3188158898</v>
      </c>
      <c r="EA285" s="180">
        <f t="shared" si="789"/>
        <v>408600.4416792171</v>
      </c>
      <c r="EB285" s="180">
        <f t="shared" ca="1" si="709"/>
        <v>107237.57895617906</v>
      </c>
      <c r="EC285" s="180">
        <f t="shared" ca="1" si="710"/>
        <v>321712.73686853721</v>
      </c>
      <c r="ED285" s="180">
        <f t="shared" ca="1" si="711"/>
        <v>2824823.6419420717</v>
      </c>
      <c r="EE285" s="581">
        <f t="shared" si="790"/>
        <v>2082483.097312646</v>
      </c>
      <c r="EF285" s="554">
        <f t="shared" si="791"/>
        <v>396663.44710717065</v>
      </c>
      <c r="EG285" s="554">
        <f t="shared" ca="1" si="712"/>
        <v>17230.683199298204</v>
      </c>
      <c r="EH285" s="554">
        <f t="shared" ca="1" si="713"/>
        <v>51692.049597894613</v>
      </c>
      <c r="EI285" s="561">
        <f t="shared" ca="1" si="792"/>
        <v>2548069.27721701</v>
      </c>
      <c r="EJ285" s="581">
        <f t="shared" si="846"/>
        <v>62669.221503243782</v>
      </c>
      <c r="EK285" s="554">
        <f t="shared" si="847"/>
        <v>11936.994572046446</v>
      </c>
      <c r="EL285" s="554">
        <f t="shared" ca="1" si="714"/>
        <v>90006.895756880855</v>
      </c>
      <c r="EM285" s="554">
        <f t="shared" ca="1" si="715"/>
        <v>270020.68727064261</v>
      </c>
      <c r="EN285" s="561">
        <f t="shared" ca="1" si="716"/>
        <v>276754.36472506169</v>
      </c>
      <c r="EO285" s="180">
        <f t="shared" si="793"/>
        <v>8580609.2752635591</v>
      </c>
      <c r="EP285" s="180">
        <f t="shared" si="794"/>
        <v>1634401.7667168684</v>
      </c>
      <c r="EQ285" s="180">
        <f t="shared" si="795"/>
        <v>428950.31582471624</v>
      </c>
      <c r="ER285" s="180">
        <f t="shared" si="796"/>
        <v>1286850.9474741488</v>
      </c>
      <c r="ES285" s="180">
        <f t="shared" si="797"/>
        <v>11930812.30527929</v>
      </c>
      <c r="ET285" s="1482">
        <f t="shared" ca="1" si="717"/>
        <v>8329932.3892505839</v>
      </c>
      <c r="EU285" s="180">
        <f t="shared" ca="1" si="718"/>
        <v>1586653.7884286826</v>
      </c>
      <c r="EV285" s="180">
        <f t="shared" ca="1" si="719"/>
        <v>68922.732797192817</v>
      </c>
      <c r="EW285" s="180">
        <f t="shared" ca="1" si="720"/>
        <v>206768.19839157845</v>
      </c>
      <c r="EX285" s="555">
        <f t="shared" ca="1" si="693"/>
        <v>10192277.108868038</v>
      </c>
      <c r="EY285" s="180">
        <f t="shared" ca="1" si="721"/>
        <v>250676.88601297513</v>
      </c>
      <c r="EZ285" s="180">
        <f t="shared" ca="1" si="722"/>
        <v>47747.978288185783</v>
      </c>
      <c r="FA285" s="180">
        <f t="shared" ca="1" si="723"/>
        <v>360027.58302752342</v>
      </c>
      <c r="FB285" s="180">
        <f t="shared" ca="1" si="724"/>
        <v>1080082.7490825704</v>
      </c>
      <c r="FC285" s="180">
        <f t="shared" ca="1" si="725"/>
        <v>1738535.196411252</v>
      </c>
      <c r="FD285" s="262">
        <f>IF(AX285,IF(VLOOKUP(C285,MAIN!$L$17:$M$28,2)="Yes",VLOOKUP(CALC!B285,MAIN!$H$17:$I$20,2),0),0)</f>
        <v>0</v>
      </c>
      <c r="FE285" s="623">
        <f t="shared" si="798"/>
        <v>0</v>
      </c>
      <c r="FF285" s="535">
        <f t="shared" si="799"/>
        <v>0</v>
      </c>
      <c r="FG285" s="535">
        <f t="shared" si="800"/>
        <v>0</v>
      </c>
      <c r="FH285" s="624">
        <f t="shared" si="801"/>
        <v>0</v>
      </c>
      <c r="FI285" s="632">
        <f>IF(AX285,VLOOKUP(CALC!B285,MAIN!$H$17:$K$20,4),0)</f>
        <v>0</v>
      </c>
      <c r="FJ285" s="535">
        <f t="shared" si="802"/>
        <v>0</v>
      </c>
      <c r="FK285" s="648">
        <f t="shared" si="848"/>
        <v>0</v>
      </c>
      <c r="FL285" s="530">
        <f t="shared" ca="1" si="726"/>
        <v>0</v>
      </c>
      <c r="FM285" s="530">
        <f t="shared" ca="1" si="727"/>
        <v>0</v>
      </c>
      <c r="FN285" s="530">
        <f t="shared" ca="1" si="728"/>
        <v>0</v>
      </c>
      <c r="FO285" s="622">
        <f t="shared" ca="1" si="729"/>
        <v>0</v>
      </c>
      <c r="FP285" s="530">
        <f t="shared" ca="1" si="730"/>
        <v>0</v>
      </c>
      <c r="FQ285" s="530">
        <f t="shared" ca="1" si="731"/>
        <v>0</v>
      </c>
      <c r="FR285" s="530">
        <f t="shared" ca="1" si="732"/>
        <v>0</v>
      </c>
      <c r="FS285" s="625">
        <f t="shared" ca="1" si="733"/>
        <v>0</v>
      </c>
      <c r="FT285" s="640">
        <f ca="1">IF(AND(Assumptions!$H$71="Yes",A285&gt;=Assumptions!$H$72,A285&lt;=Assumptions!$H$73),0,IF(AND($A285&gt;=Assumptions!$C$17,$A285&lt;=Assumptions!$C$18),MAX(AZ285*(1+VLOOKUP($C285,WeatherCapacityAdjustment,2))-FL285,0),0))</f>
        <v>48888</v>
      </c>
      <c r="FU285" s="530">
        <f ca="1">IF(AND(Assumptions!$H$71="Yes",A285&gt;=Assumptions!$H$72,A285&lt;=Assumptions!$H$73),0,IF(AND($A285&gt;=Assumptions!$C$17,$A285&lt;=Assumptions!$C$18),MAX(BA285*(1+VLOOKUP($C285,WeatherCapacityAdjustment,2))-FM285,0),0))</f>
        <v>9312</v>
      </c>
      <c r="FV285" s="530">
        <f ca="1">IF(AND(Assumptions!$H$71="Yes",A285&gt;=Assumptions!$H$72,A285&lt;=Assumptions!$H$73),0,IF(AND($A285&gt;=Assumptions!$C$17,$A285&lt;=Assumptions!$C$18),MAX(BB285*(1+VLOOKUP($C285,WeatherCapacityAdjustment,2))-FN285,0),0))</f>
        <v>11640</v>
      </c>
      <c r="FW285" s="622">
        <f ca="1">IF(AND(Assumptions!$H$71="Yes",A285&gt;=Assumptions!$H$72,A285&lt;=Assumptions!$H$73),0,IF(AND($A285&gt;=Assumptions!$C$17,$A285&lt;=Assumptions!$C$18),MAX(BC285*(1+VLOOKUP($C285,WeatherCapacityAdjustment,3))-FO285,0),0))</f>
        <v>34920</v>
      </c>
      <c r="FX285" s="621">
        <f ca="1">IF(AND(Assumptions!$H$71="Yes",A285&gt;=Assumptions!$H$72,A285&lt;=Assumptions!$H$73),0,IF(ET285&gt;0,MAX(BH285*(1+VLOOKUP($C285,WeatherCapacityAdjustment,2))-FP285,0),0))</f>
        <v>195552</v>
      </c>
      <c r="FY285" s="530">
        <f ca="1">IF(AND(Assumptions!$H$71="Yes",A285&gt;=Assumptions!$H$72,A285&lt;=Assumptions!$H$73),0,IF(EU285&gt;0,MAX(BI285*(1+VLOOKUP($C285,WeatherCapacityAdjustment,3))-FQ285,0),0))</f>
        <v>37248</v>
      </c>
      <c r="FZ285" s="530">
        <f ca="1">IF(AND(Assumptions!$H$71="Yes",A285&gt;=Assumptions!$H$72,A285&lt;=Assumptions!$H$73),0,IF(EV285&gt;0,MAX(BJ285*(1+VLOOKUP($C285,WeatherCapacityAdjustment,2))-FR285,0),0))</f>
        <v>46560</v>
      </c>
      <c r="GA285" s="622">
        <f ca="1">IF(AND(Assumptions!$H$71="Yes",A285&gt;=Assumptions!$H$72,A285&lt;=Assumptions!$H$73),0,IF(EW285&gt;0,MAX(BK285*(1+VLOOKUP($C285,WeatherCapacityAdjustment,2))-FS285,0),0))</f>
        <v>139680</v>
      </c>
      <c r="GB285" s="530">
        <f t="shared" ca="1" si="803"/>
        <v>523800</v>
      </c>
      <c r="GC285" s="545">
        <f t="shared" ca="1" si="804"/>
        <v>59.444773074039425</v>
      </c>
      <c r="GD285" s="530">
        <f t="shared" ca="1" si="734"/>
        <v>31137172.136181846</v>
      </c>
      <c r="GE285" s="1485">
        <f t="shared" ca="1" si="735"/>
        <v>742222.5048</v>
      </c>
      <c r="GF285" s="1776">
        <f t="shared" ca="1" si="736"/>
        <v>2968890.0192</v>
      </c>
      <c r="GG285" s="545">
        <f t="shared" si="701"/>
        <v>4.5871112217967047</v>
      </c>
      <c r="GH285" s="622">
        <f t="shared" ca="1" si="702"/>
        <v>17023285.904190693</v>
      </c>
      <c r="GI285" s="621">
        <f t="shared" ca="1" si="849"/>
        <v>523800</v>
      </c>
      <c r="GJ285" s="638">
        <f t="shared" si="805"/>
        <v>2.6222601105500365</v>
      </c>
      <c r="GK285" s="625">
        <f t="shared" ca="1" si="855"/>
        <v>1373539.8459061091</v>
      </c>
      <c r="GL285" s="640">
        <f t="shared" ca="1" si="737"/>
        <v>0</v>
      </c>
      <c r="GM285" s="530">
        <f t="shared" ca="1" si="738"/>
        <v>0</v>
      </c>
      <c r="GN285" s="530">
        <f t="shared" ca="1" si="739"/>
        <v>0</v>
      </c>
      <c r="GO285" s="622">
        <f t="shared" ca="1" si="740"/>
        <v>0</v>
      </c>
      <c r="GP285" s="530">
        <f t="shared" ca="1" si="806"/>
        <v>0</v>
      </c>
      <c r="GQ285" s="545">
        <f t="shared" ca="1" si="807"/>
        <v>0</v>
      </c>
      <c r="GR285" s="625">
        <f t="shared" ca="1" si="741"/>
        <v>0</v>
      </c>
      <c r="GS285" s="640">
        <f>IF($A285&gt;=BegDate,Assumptions!$C$56*24*($A286-$A285)*(1-VLOOKUP($B285,MAIN!$AA$7:$AM$28,$C285+1))*(1-VLOOKUP($B285,MAIN!$AA$33:$AM$54,$C285+1)),0)*80/168</f>
        <v>249428.57142857142</v>
      </c>
      <c r="GT285" s="1715">
        <f t="shared" si="850"/>
        <v>77.718871617376706</v>
      </c>
      <c r="GU285" s="1715">
        <f>IF($A285&gt;=BegDate,VLOOKUP($A285,GasTable,13)+Assumptions!$C$58,0)</f>
        <v>4.5871112217967047</v>
      </c>
      <c r="GV285" s="1715">
        <f>GU285*Assumptions!$C$57/1000</f>
        <v>33.25655635802611</v>
      </c>
      <c r="GW285" s="625">
        <f>IF(Assumptions!$C$60="Hourly",MAX(0,GS285*(GT285-GV285)),GS285*(GT285-GV285))</f>
        <v>11090171.777546592</v>
      </c>
      <c r="GX285" s="640">
        <f>IF($A285&gt;=BegDate,Assumptions!$C$56*24*($A286-$A285)*(1-VLOOKUP($B285,MAIN!$AA$7:$AM$28,$C285+1))*(1-VLOOKUP($B285,MAIN!$AA$33:$AM$54,$C285+1)),0)*16/168</f>
        <v>49885.714285714283</v>
      </c>
      <c r="GY285" s="1715">
        <f t="shared" si="851"/>
        <v>77.718871617376706</v>
      </c>
      <c r="GZ285" s="1715">
        <f>IF($A285&gt;=BegDate,VLOOKUP($A285,GasTable,13)+Assumptions!$C$58,0)</f>
        <v>4.5871112217967047</v>
      </c>
      <c r="HA285" s="1715">
        <f>GZ285*Assumptions!$C$57/1000</f>
        <v>33.25655635802611</v>
      </c>
      <c r="HB285" s="625">
        <f>IF(Assumptions!$C$60="Hourly",MAX(0,GX285*(GY285-HA285)),GX285*(GY285-HA285))</f>
        <v>2218034.3555093184</v>
      </c>
      <c r="HC285" s="640">
        <f>IF($A285&gt;=BegDate,Assumptions!$C$56*24*($A286-$A285)*(1-VLOOKUP($B285,MAIN!$AA$7:$AM$28,$C285+1))*(1-VLOOKUP($B285,MAIN!$AA$33:$AM$54,$C285+1)),0)*16/168</f>
        <v>49885.714285714283</v>
      </c>
      <c r="HD285" s="1715">
        <f t="shared" si="852"/>
        <v>36.60215089138849</v>
      </c>
      <c r="HE285" s="1715">
        <f>IF($A285&gt;=BegDate,VLOOKUP($A285,GasTable,13)+Assumptions!$C$58,0)</f>
        <v>4.5871112217967047</v>
      </c>
      <c r="HF285" s="1715">
        <f>HE285*Assumptions!$C$57/1000</f>
        <v>33.25655635802611</v>
      </c>
      <c r="HG285" s="625">
        <f>IF(Assumptions!$C$60="Hourly",MAX(0,HC285*(HD285-HF285)),HC285*(HD285-HF285))</f>
        <v>166897.37300716329</v>
      </c>
      <c r="HH285" s="640">
        <f>IF($A285&gt;=BegDate,Assumptions!$C$56*24*($A286-$A285)*(1-VLOOKUP($B285,MAIN!$AA$7:$AM$28,$C285+1))*(1-VLOOKUP($B285,MAIN!$AA$33:$AM$54,$C285+1)),0)*56/168</f>
        <v>174600</v>
      </c>
      <c r="HI285" s="1715">
        <f t="shared" si="853"/>
        <v>36.60215089138849</v>
      </c>
      <c r="HJ285" s="1715">
        <f>IF($A285&gt;=BegDate,VLOOKUP($A285,GasTable,13)+Assumptions!$C$58,0)</f>
        <v>4.5871112217967047</v>
      </c>
      <c r="HK285" s="1715">
        <f>HJ285*Assumptions!$C$57/1000</f>
        <v>33.25655635802611</v>
      </c>
      <c r="HL285" s="625">
        <f>IF(Assumptions!$C$60="Hourly",MAX(0,HH285*(HI285-HK285)),HH285*(HI285-HK285))</f>
        <v>584140.80552507157</v>
      </c>
      <c r="HM285" s="640">
        <f>IF(AND(Assumptions!$H$71="Yes",A285&gt;=Assumptions!$H$72,A285&lt;=Assumptions!$H$73),Assumptions!$H$74*Assumptions!$C$9*1000,0)</f>
        <v>0</v>
      </c>
      <c r="HN285" s="530"/>
      <c r="HO285" s="545"/>
      <c r="HP285" s="545"/>
      <c r="HQ285" s="545"/>
      <c r="HR285" s="545"/>
      <c r="HS285" s="545"/>
      <c r="HT285" s="545"/>
      <c r="HU285" s="545"/>
      <c r="HV285" s="545"/>
      <c r="HW285" s="545"/>
      <c r="HX285" s="545"/>
      <c r="HY285" s="545"/>
      <c r="HZ285" s="545"/>
      <c r="IA285" s="545"/>
      <c r="IB285" s="545"/>
      <c r="IC285" s="545"/>
      <c r="ID285" s="545"/>
      <c r="IE285" s="545"/>
      <c r="IF285" s="545"/>
      <c r="IG285" s="545"/>
      <c r="IH285" s="545"/>
      <c r="II285" s="1464"/>
      <c r="IJ285" s="1463"/>
      <c r="IK285" s="1463"/>
    </row>
    <row r="286" spans="1:245">
      <c r="A286" s="177">
        <f t="shared" si="808"/>
        <v>44835</v>
      </c>
      <c r="B286" s="349">
        <f t="shared" si="809"/>
        <v>2022</v>
      </c>
      <c r="C286" s="15">
        <f t="shared" si="749"/>
        <v>10</v>
      </c>
      <c r="D286" s="612" t="str">
        <f t="shared" si="810"/>
        <v/>
      </c>
      <c r="E286" s="609">
        <f t="shared" si="750"/>
        <v>44835</v>
      </c>
      <c r="F286" s="614">
        <f t="shared" si="751"/>
        <v>44865</v>
      </c>
      <c r="G286" s="1349">
        <v>0</v>
      </c>
      <c r="H286" s="152">
        <f t="shared" si="854"/>
        <v>1</v>
      </c>
      <c r="I286" s="154">
        <f>IF(Assumptions!$L$25=4,VLOOKUP($A286,'Henwood Reference'!$E$9:$R$320,10),(VLOOKUP($A286,PriceTable,2,0)+IF(BasisNumber&lt;&gt;1,VLOOKUP($A286,BasisTable,2,0),0)+I$1)/(1-I$2))</f>
        <v>62.700761301558586</v>
      </c>
      <c r="J286" s="154">
        <f>IF(Assumptions!$L$25=4,VLOOKUP($A286,'Henwood Reference'!$E$9:$R$320,10),(VLOOKUP($A286,PriceTable,3,0)+IF(BasisNumber&lt;&gt;1,VLOOKUP($A286,BasisTable,2,0),0)+J$1)/(1-J$2))</f>
        <v>62.700761301558586</v>
      </c>
      <c r="K286" s="154">
        <f>IF(Assumptions!$L$25=4,VLOOKUP($A286,'Henwood Reference'!$E$9:$R$320,10),(VLOOKUP($A286,PriceTable,4,0)+IF(BasisNumber&lt;&gt;1,VLOOKUP($A286,BasisTable,2,0),0)+K$1)/(1-K$2))</f>
        <v>62.700761301558586</v>
      </c>
      <c r="L286" s="474">
        <f>IF(Assumptions!$L$25=4,VLOOKUP($A286,'Henwood Reference'!$E$9:$R$320,10),(VLOOKUP($A286,PriceTableWeekend,2,0)+IF(BasisNumber&lt;&gt;1,VLOOKUP($A286,BasisTable,2,0),0)+L$1)/(1-L$2))</f>
        <v>62.700761301558586</v>
      </c>
      <c r="M286" s="154">
        <f>IF(Assumptions!$L$25=4,VLOOKUP($A286,'Henwood Reference'!$E$9:$R$320,10),(VLOOKUP($A286,PriceTableWeekend,3,0)+IF(BasisNumber&lt;&gt;1,VLOOKUP($A286,BasisTable,2,0),0)+M$1)/(1-M$2))</f>
        <v>62.700761301558586</v>
      </c>
      <c r="N286" s="156">
        <f>IF(Assumptions!$L$25=4,VLOOKUP($A286,'Henwood Reference'!$E$9:$R$320,10),(VLOOKUP($A286,PriceTableWeekend,4,0)+IF(BasisNumber&lt;&gt;1,VLOOKUP($A286,BasisTable,2,0),0)+N$1)/(1-N$2))</f>
        <v>62.700761301558586</v>
      </c>
      <c r="O286" s="154">
        <f>IF(Assumptions!$L$25=4,VLOOKUP($A286,'Henwood Reference'!$E$9:$R$320,11),(VLOOKUP($A286,PriceTableWeekend,6,0)+IF(BasisNumber&lt;&gt;1,VLOOKUP($A286,BasisTable,3,0),0)+O$1)/(1-O$2))</f>
        <v>34.910539935625522</v>
      </c>
      <c r="P286" s="154">
        <f>IF(Assumptions!$L$25=4,VLOOKUP($A286,'Henwood Reference'!$E$9:$R$320,11),(VLOOKUP($A286,PriceTableWeekend,7,0)+IF(BasisNumber&lt;&gt;1,VLOOKUP($A286,BasisTable,3,0),0)+P$1)/(1-P$2))</f>
        <v>34.910539935625522</v>
      </c>
      <c r="Q286" s="156">
        <f>IF(Assumptions!$L$25=4,VLOOKUP($A286,'Henwood Reference'!$E$9:$R$320,11),(VLOOKUP($A286,PriceTableWeekend,8,0)+IF(BasisNumber&lt;&gt;1,VLOOKUP($A286,BasisTable,3,0),0)+Q$1)/(1-Q$2))</f>
        <v>34.910539935625522</v>
      </c>
      <c r="R286" s="154">
        <f>IF(Assumptions!$L$25=4,VLOOKUP($A286,'Henwood Reference'!$E$9:$R$320,11),(VLOOKUP($A286,PriceTable,6,0)+IF(BasisNumber&lt;&gt;1,VLOOKUP($A286,BasisTable,3,0),0)+R$1)/(1-R$2))</f>
        <v>34.910539935625522</v>
      </c>
      <c r="S286" s="154">
        <f>IF(Assumptions!$L$25=4,VLOOKUP($A286,'Henwood Reference'!$E$9:$R$320,11),(VLOOKUP($A286,PriceTable,7,0)+IF(BasisNumber&lt;&gt;1,VLOOKUP($A286,BasisTable,3,0),0)+S$1)/(1-S$2))</f>
        <v>34.910539935625522</v>
      </c>
      <c r="T286" s="155">
        <f>IF(Assumptions!$L$25=4,VLOOKUP($A286,'Henwood Reference'!$E$9:$R$320,11),(VLOOKUP($A286,PriceTable,8,0)+IF(BasisNumber&lt;&gt;1,VLOOKUP($A286,BasisTable,3,0),0)+T$1)/(1-T$2))</f>
        <v>34.910539935625522</v>
      </c>
      <c r="U286" s="173">
        <f t="shared" si="811"/>
        <v>0.09</v>
      </c>
      <c r="V286" s="173">
        <f t="shared" si="812"/>
        <v>0.1</v>
      </c>
      <c r="W286" s="174">
        <f t="shared" si="813"/>
        <v>0.11</v>
      </c>
      <c r="X286" s="173">
        <f t="shared" si="814"/>
        <v>0.09</v>
      </c>
      <c r="Y286" s="173">
        <f t="shared" si="815"/>
        <v>0.1</v>
      </c>
      <c r="Z286" s="174">
        <f t="shared" si="816"/>
        <v>0.11</v>
      </c>
      <c r="AA286" s="173">
        <f t="shared" si="817"/>
        <v>0.09</v>
      </c>
      <c r="AB286" s="173">
        <f t="shared" si="818"/>
        <v>0.11</v>
      </c>
      <c r="AC286" s="174">
        <f t="shared" si="819"/>
        <v>0.13</v>
      </c>
      <c r="AD286" s="173">
        <f t="shared" si="820"/>
        <v>0.09</v>
      </c>
      <c r="AE286" s="173">
        <f t="shared" si="821"/>
        <v>0.11</v>
      </c>
      <c r="AF286" s="174">
        <f t="shared" si="822"/>
        <v>0.13</v>
      </c>
      <c r="AG286" s="173">
        <f t="shared" si="823"/>
        <v>-0.1</v>
      </c>
      <c r="AH286" s="173">
        <f t="shared" si="824"/>
        <v>3</v>
      </c>
      <c r="AI286" s="174">
        <f t="shared" si="825"/>
        <v>0.1</v>
      </c>
      <c r="AJ286" s="173">
        <f t="shared" si="826"/>
        <v>-0.1</v>
      </c>
      <c r="AK286" s="173">
        <f t="shared" si="827"/>
        <v>3</v>
      </c>
      <c r="AL286" s="174">
        <f t="shared" si="828"/>
        <v>0.1</v>
      </c>
      <c r="AM286" s="173">
        <f t="shared" si="829"/>
        <v>-0.01</v>
      </c>
      <c r="AN286" s="173">
        <f t="shared" si="830"/>
        <v>0.16</v>
      </c>
      <c r="AO286" s="174">
        <f t="shared" si="831"/>
        <v>0.01</v>
      </c>
      <c r="AP286" s="173">
        <f t="shared" si="832"/>
        <v>-0.01</v>
      </c>
      <c r="AQ286" s="173">
        <f t="shared" si="833"/>
        <v>0.16</v>
      </c>
      <c r="AR286" s="175">
        <f t="shared" si="834"/>
        <v>0.01</v>
      </c>
      <c r="AS286" s="521">
        <f t="shared" si="835"/>
        <v>0.5</v>
      </c>
      <c r="AT286" s="349">
        <f t="shared" si="752"/>
        <v>21</v>
      </c>
      <c r="AU286" s="159">
        <f t="shared" si="753"/>
        <v>5</v>
      </c>
      <c r="AV286" s="159">
        <f t="shared" si="754"/>
        <v>5</v>
      </c>
      <c r="AW286" s="159">
        <f t="shared" si="836"/>
        <v>0</v>
      </c>
      <c r="AX286" s="15">
        <f t="shared" si="755"/>
        <v>31</v>
      </c>
      <c r="AY286" s="607">
        <f>IF(E286="",0,MIN((1-(1-VLOOKUP(B286,MAIN!$AA$7:$AM$28,C286+1))*(1-VLOOKUP(B286,MAIN!$AA$33:$AM$54,C286+1))),1))</f>
        <v>3.0000000000000027E-2</v>
      </c>
      <c r="AZ286" s="337">
        <v>48888</v>
      </c>
      <c r="BA286" s="509">
        <v>11640</v>
      </c>
      <c r="BB286" s="509">
        <v>11640</v>
      </c>
      <c r="BC286" s="511">
        <v>36084</v>
      </c>
      <c r="BD286" s="153">
        <v>0.97000001445412631</v>
      </c>
      <c r="BE286" s="474">
        <v>0.97000001445412631</v>
      </c>
      <c r="BF286" s="474">
        <v>0.97000001445412631</v>
      </c>
      <c r="BG286" s="515">
        <v>0.9699999927729368</v>
      </c>
      <c r="BH286" s="262">
        <v>195552</v>
      </c>
      <c r="BI286" s="509">
        <v>46560</v>
      </c>
      <c r="BJ286" s="509">
        <v>46560</v>
      </c>
      <c r="BK286" s="511">
        <v>144336</v>
      </c>
      <c r="BL286" s="153">
        <v>0.97000001445412631</v>
      </c>
      <c r="BM286" s="474">
        <v>0.97000001445412631</v>
      </c>
      <c r="BN286" s="474">
        <v>0.97000001445412631</v>
      </c>
      <c r="BO286" s="474">
        <v>0.9699999927729368</v>
      </c>
      <c r="BP286" s="261">
        <f t="shared" si="837"/>
        <v>72168</v>
      </c>
      <c r="BQ286" s="578">
        <f t="shared" si="838"/>
        <v>108252</v>
      </c>
      <c r="BR286" s="259">
        <f t="shared" si="839"/>
        <v>288672</v>
      </c>
      <c r="BS286" s="578">
        <f t="shared" si="840"/>
        <v>433008</v>
      </c>
      <c r="BT286" s="216">
        <f t="shared" si="841"/>
        <v>22.464065708418889</v>
      </c>
      <c r="BU286" s="218">
        <f t="shared" si="756"/>
        <v>62.70076223587273</v>
      </c>
      <c r="BV286" s="216">
        <f t="shared" si="757"/>
        <v>62.70076223587273</v>
      </c>
      <c r="BW286" s="216">
        <f t="shared" si="758"/>
        <v>34.910540455833107</v>
      </c>
      <c r="BX286" s="216">
        <f t="shared" si="842"/>
        <v>34.910539675521733</v>
      </c>
      <c r="BY286" s="216">
        <f t="shared" si="759"/>
        <v>58.218468400382463</v>
      </c>
      <c r="BZ286" s="216">
        <f t="shared" si="760"/>
        <v>50.449158825428889</v>
      </c>
      <c r="CA286" s="264">
        <f t="shared" si="761"/>
        <v>62.70076223587273</v>
      </c>
      <c r="CB286" s="216">
        <f t="shared" si="762"/>
        <v>62.70076223587273</v>
      </c>
      <c r="CC286" s="216">
        <f t="shared" si="763"/>
        <v>34.910540455833107</v>
      </c>
      <c r="CD286" s="216">
        <f t="shared" si="843"/>
        <v>34.910539675521733</v>
      </c>
      <c r="CE286" s="216">
        <f t="shared" si="764"/>
        <v>58.218468400382463</v>
      </c>
      <c r="CF286" s="571">
        <f t="shared" si="765"/>
        <v>50.449158825428889</v>
      </c>
      <c r="CG286" s="573">
        <f t="shared" si="766"/>
        <v>0.1</v>
      </c>
      <c r="CH286" s="219">
        <f t="shared" si="767"/>
        <v>0.1</v>
      </c>
      <c r="CI286" s="219">
        <f t="shared" si="768"/>
        <v>0.11</v>
      </c>
      <c r="CJ286" s="219">
        <f t="shared" si="769"/>
        <v>0.10097714693609615</v>
      </c>
      <c r="CK286" s="219">
        <f t="shared" si="770"/>
        <v>0.10097714693609615</v>
      </c>
      <c r="CL286" s="219">
        <f t="shared" si="771"/>
        <v>0.11</v>
      </c>
      <c r="CM286" s="219">
        <f t="shared" si="772"/>
        <v>9.3330617855156978E-2</v>
      </c>
      <c r="CN286" s="569">
        <f t="shared" si="773"/>
        <v>9.3330617855156978E-2</v>
      </c>
      <c r="CO286" s="264">
        <f t="shared" si="856"/>
        <v>32.513077371197298</v>
      </c>
      <c r="CP286" s="216">
        <f t="shared" si="844"/>
        <v>32.513077371197298</v>
      </c>
      <c r="CQ286" s="216">
        <f t="shared" ca="1" si="703"/>
        <v>41.802528048682241</v>
      </c>
      <c r="CR286" s="216">
        <f t="shared" ca="1" si="704"/>
        <v>41.802528048682241</v>
      </c>
      <c r="CS286" s="1626">
        <f t="shared" ca="1" si="705"/>
        <v>36.608426594604644</v>
      </c>
      <c r="CT286" s="216">
        <f t="shared" si="845"/>
        <v>32.513077371197298</v>
      </c>
      <c r="CU286" s="575">
        <f t="shared" si="774"/>
        <v>0.15</v>
      </c>
      <c r="CV286" s="154">
        <f t="shared" si="775"/>
        <v>0.5</v>
      </c>
      <c r="CW286" s="216">
        <f>IF(OR($BQ286,$BS286),SpreadOptPowerMargin,0)*((1+Assumptions!$C$26)^($B286-YEAR(Assumptions!$C$17)))</f>
        <v>2.6222601105500365</v>
      </c>
      <c r="CX286" s="216">
        <f>IF(OR($BQ286,$BS286),SpreadOptPowerMargin,0)*((1+Assumptions!$C$26)^($B286-YEAR(Assumptions!$C$17)))</f>
        <v>2.6222601105500365</v>
      </c>
      <c r="CY286" s="216">
        <f>IF(OR($BQ286,$BS286),SpreadOptPowerMargin,0)*((1+Assumptions!$C$26)^($B286-YEAR(Assumptions!$C$17)))</f>
        <v>2.6222601105500365</v>
      </c>
      <c r="CZ286" s="216">
        <f>IF(OR($BQ286,$BS286),SpreadOptPowerMargin,0)*((1+Assumptions!$C$26)^($B286-YEAR(Assumptions!$C$17)))</f>
        <v>2.6222601105500365</v>
      </c>
      <c r="DA286" s="440">
        <f t="shared" si="776"/>
        <v>2.6222601105500365</v>
      </c>
      <c r="DB286" s="479">
        <f t="shared" si="777"/>
        <v>0.1</v>
      </c>
      <c r="DC286" s="479">
        <f t="shared" si="778"/>
        <v>0.1</v>
      </c>
      <c r="DD286" s="479">
        <f t="shared" si="779"/>
        <v>0.11</v>
      </c>
      <c r="DE286" s="479">
        <f t="shared" si="780"/>
        <v>0.11</v>
      </c>
      <c r="DF286" s="479">
        <f t="shared" si="781"/>
        <v>9.3330617855156978E-2</v>
      </c>
      <c r="DG286" s="574">
        <f t="shared" si="782"/>
        <v>9.3330617855156978E-2</v>
      </c>
      <c r="DH286" s="216">
        <f t="shared" si="783"/>
        <v>29.941790918930089</v>
      </c>
      <c r="DI286" s="216">
        <f t="shared" si="784"/>
        <v>29.941790918930089</v>
      </c>
      <c r="DJ286" s="216">
        <f t="shared" ca="1" si="706"/>
        <v>5.3874023078818993</v>
      </c>
      <c r="DK286" s="216">
        <f t="shared" ca="1" si="707"/>
        <v>5.3874019438752612</v>
      </c>
      <c r="DL286" s="216">
        <f t="shared" ca="1" si="708"/>
        <v>16.875530822323181</v>
      </c>
      <c r="DM286" s="216"/>
      <c r="DN286" s="216"/>
      <c r="DO286" s="216"/>
      <c r="DP286" s="216"/>
      <c r="DQ286" s="216"/>
      <c r="DR286" s="216"/>
      <c r="DS286" s="216"/>
      <c r="DT286" s="216"/>
      <c r="DU286" s="216"/>
      <c r="DV286" s="216"/>
      <c r="DW286" s="1371">
        <f t="shared" si="785"/>
        <v>8.1502714585030418</v>
      </c>
      <c r="DX286" s="216">
        <f t="shared" si="786"/>
        <v>8.1502709756674356</v>
      </c>
      <c r="DY286" s="440">
        <f t="shared" si="787"/>
        <v>20.334776802312749</v>
      </c>
      <c r="DZ286" s="180">
        <f t="shared" si="788"/>
        <v>1463794.2744446541</v>
      </c>
      <c r="EA286" s="180">
        <f t="shared" si="789"/>
        <v>348522.44629634626</v>
      </c>
      <c r="EB286" s="180">
        <f t="shared" ca="1" si="709"/>
        <v>62709.362863745308</v>
      </c>
      <c r="EC286" s="180">
        <f t="shared" ca="1" si="710"/>
        <v>194399.01174279492</v>
      </c>
      <c r="ED286" s="180">
        <f t="shared" ca="1" si="711"/>
        <v>1826809.962578129</v>
      </c>
      <c r="EE286" s="581">
        <f t="shared" si="790"/>
        <v>1347618.4853796824</v>
      </c>
      <c r="EF286" s="554">
        <f t="shared" si="791"/>
        <v>320861.54413801961</v>
      </c>
      <c r="EG286" s="554">
        <f t="shared" ca="1" si="712"/>
        <v>0</v>
      </c>
      <c r="EH286" s="554">
        <f t="shared" ca="1" si="713"/>
        <v>0</v>
      </c>
      <c r="EI286" s="561">
        <f t="shared" ca="1" si="792"/>
        <v>1214422.0439639234</v>
      </c>
      <c r="EJ286" s="581">
        <f t="shared" si="846"/>
        <v>116175.78906497173</v>
      </c>
      <c r="EK286" s="554">
        <f t="shared" si="847"/>
        <v>27660.902158326644</v>
      </c>
      <c r="EL286" s="554">
        <f t="shared" ca="1" si="714"/>
        <v>62709.362863745308</v>
      </c>
      <c r="EM286" s="554">
        <f t="shared" ca="1" si="715"/>
        <v>194399.01174279492</v>
      </c>
      <c r="EN286" s="561">
        <f t="shared" ca="1" si="716"/>
        <v>612387.91861420567</v>
      </c>
      <c r="EO286" s="180">
        <f t="shared" si="793"/>
        <v>5855177.0977786165</v>
      </c>
      <c r="EP286" s="180">
        <f t="shared" si="794"/>
        <v>1394089.785185385</v>
      </c>
      <c r="EQ286" s="180">
        <f t="shared" si="795"/>
        <v>379476.6391079016</v>
      </c>
      <c r="ER286" s="180">
        <f t="shared" si="796"/>
        <v>1176377.5115439349</v>
      </c>
      <c r="ES286" s="180">
        <f t="shared" si="797"/>
        <v>8805121.0336158387</v>
      </c>
      <c r="ET286" s="1482">
        <f t="shared" ca="1" si="717"/>
        <v>5390473.9415187296</v>
      </c>
      <c r="EU286" s="180">
        <f t="shared" ca="1" si="718"/>
        <v>1283446.1765520785</v>
      </c>
      <c r="EV286" s="180">
        <f t="shared" ca="1" si="719"/>
        <v>0</v>
      </c>
      <c r="EW286" s="180">
        <f t="shared" ca="1" si="720"/>
        <v>0</v>
      </c>
      <c r="EX286" s="555">
        <f t="shared" ca="1" si="693"/>
        <v>6673920.1180708082</v>
      </c>
      <c r="EY286" s="180">
        <f t="shared" ca="1" si="721"/>
        <v>464703.15625988692</v>
      </c>
      <c r="EZ286" s="180">
        <f t="shared" ca="1" si="722"/>
        <v>110643.60863330658</v>
      </c>
      <c r="FA286" s="180">
        <f t="shared" ca="1" si="723"/>
        <v>379476.6391079016</v>
      </c>
      <c r="FB286" s="180">
        <f t="shared" ca="1" si="724"/>
        <v>1176377.5115439349</v>
      </c>
      <c r="FC286" s="180">
        <f t="shared" ca="1" si="725"/>
        <v>2131200.9155450305</v>
      </c>
      <c r="FD286" s="262">
        <f>IF(AX286,IF(VLOOKUP(C286,MAIN!$L$17:$M$28,2)="Yes",VLOOKUP(CALC!B286,MAIN!$H$17:$I$20,2),0),0)</f>
        <v>0</v>
      </c>
      <c r="FE286" s="623">
        <f t="shared" si="798"/>
        <v>0</v>
      </c>
      <c r="FF286" s="535">
        <f t="shared" si="799"/>
        <v>0</v>
      </c>
      <c r="FG286" s="535">
        <f t="shared" si="800"/>
        <v>0</v>
      </c>
      <c r="FH286" s="624">
        <f t="shared" si="801"/>
        <v>0</v>
      </c>
      <c r="FI286" s="632">
        <f>IF(AX286,VLOOKUP(CALC!B286,MAIN!$H$17:$K$20,4),0)</f>
        <v>0</v>
      </c>
      <c r="FJ286" s="535">
        <f t="shared" si="802"/>
        <v>0</v>
      </c>
      <c r="FK286" s="648">
        <f t="shared" si="848"/>
        <v>0</v>
      </c>
      <c r="FL286" s="530">
        <f t="shared" ca="1" si="726"/>
        <v>0</v>
      </c>
      <c r="FM286" s="530">
        <f t="shared" ca="1" si="727"/>
        <v>0</v>
      </c>
      <c r="FN286" s="530">
        <f t="shared" ca="1" si="728"/>
        <v>0</v>
      </c>
      <c r="FO286" s="622">
        <f t="shared" ca="1" si="729"/>
        <v>0</v>
      </c>
      <c r="FP286" s="530">
        <f t="shared" ca="1" si="730"/>
        <v>0</v>
      </c>
      <c r="FQ286" s="530">
        <f t="shared" ca="1" si="731"/>
        <v>0</v>
      </c>
      <c r="FR286" s="530">
        <f t="shared" ca="1" si="732"/>
        <v>0</v>
      </c>
      <c r="FS286" s="625">
        <f t="shared" ca="1" si="733"/>
        <v>0</v>
      </c>
      <c r="FT286" s="640">
        <f ca="1">IF(AND(Assumptions!$H$71="Yes",A286&gt;=Assumptions!$H$72,A286&lt;=Assumptions!$H$73),0,IF(AND($A286&gt;=Assumptions!$C$17,$A286&lt;=Assumptions!$C$18),MAX(AZ286*(1+VLOOKUP($C286,WeatherCapacityAdjustment,2))-FL286,0),0))</f>
        <v>48888</v>
      </c>
      <c r="FU286" s="530">
        <f ca="1">IF(AND(Assumptions!$H$71="Yes",A286&gt;=Assumptions!$H$72,A286&lt;=Assumptions!$H$73),0,IF(AND($A286&gt;=Assumptions!$C$17,$A286&lt;=Assumptions!$C$18),MAX(BA286*(1+VLOOKUP($C286,WeatherCapacityAdjustment,2))-FM286,0),0))</f>
        <v>11640</v>
      </c>
      <c r="FV286" s="530">
        <f ca="1">IF(AND(Assumptions!$H$71="Yes",A286&gt;=Assumptions!$H$72,A286&lt;=Assumptions!$H$73),0,IF(AND($A286&gt;=Assumptions!$C$17,$A286&lt;=Assumptions!$C$18),MAX(BB286*(1+VLOOKUP($C286,WeatherCapacityAdjustment,2))-FN286,0),0))</f>
        <v>11640</v>
      </c>
      <c r="FW286" s="622">
        <f ca="1">IF(AND(Assumptions!$H$71="Yes",A286&gt;=Assumptions!$H$72,A286&lt;=Assumptions!$H$73),0,IF(AND($A286&gt;=Assumptions!$C$17,$A286&lt;=Assumptions!$C$18),MAX(BC286*(1+VLOOKUP($C286,WeatherCapacityAdjustment,3))-FO286,0),0))</f>
        <v>36084</v>
      </c>
      <c r="FX286" s="621">
        <f ca="1">IF(AND(Assumptions!$H$71="Yes",A286&gt;=Assumptions!$H$72,A286&lt;=Assumptions!$H$73),0,IF(ET286&gt;0,MAX(BH286*(1+VLOOKUP($C286,WeatherCapacityAdjustment,2))-FP286,0),0))</f>
        <v>195552</v>
      </c>
      <c r="FY286" s="530">
        <f ca="1">IF(AND(Assumptions!$H$71="Yes",A286&gt;=Assumptions!$H$72,A286&lt;=Assumptions!$H$73),0,IF(EU286&gt;0,MAX(BI286*(1+VLOOKUP($C286,WeatherCapacityAdjustment,3))-FQ286,0),0))</f>
        <v>46560</v>
      </c>
      <c r="FZ286" s="530">
        <f ca="1">IF(AND(Assumptions!$H$71="Yes",A286&gt;=Assumptions!$H$72,A286&lt;=Assumptions!$H$73),0,IF(EV286&gt;0,MAX(BJ286*(1+VLOOKUP($C286,WeatherCapacityAdjustment,2))-FR286,0),0))</f>
        <v>0</v>
      </c>
      <c r="GA286" s="622">
        <f ca="1">IF(AND(Assumptions!$H$71="Yes",A286&gt;=Assumptions!$H$72,A286&lt;=Assumptions!$H$73),0,IF(EW286&gt;0,MAX(BK286*(1+VLOOKUP($C286,WeatherCapacityAdjustment,2))-FS286,0),0))</f>
        <v>0</v>
      </c>
      <c r="GB286" s="530">
        <f t="shared" ca="1" si="803"/>
        <v>350364</v>
      </c>
      <c r="GC286" s="545">
        <f t="shared" ca="1" si="804"/>
        <v>58.915383109057849</v>
      </c>
      <c r="GD286" s="530">
        <f t="shared" ca="1" si="734"/>
        <v>20641829.287621945</v>
      </c>
      <c r="GE286" s="1485">
        <f t="shared" ca="1" si="735"/>
        <v>863928.34271999996</v>
      </c>
      <c r="GF286" s="1776">
        <f t="shared" ca="1" si="736"/>
        <v>1716070.4870399998</v>
      </c>
      <c r="GG286" s="545">
        <f t="shared" si="701"/>
        <v>4.5871112217967047</v>
      </c>
      <c r="GH286" s="622">
        <f t="shared" ca="1" si="702"/>
        <v>11834741.58421446</v>
      </c>
      <c r="GI286" s="621">
        <f t="shared" ca="1" si="849"/>
        <v>350364</v>
      </c>
      <c r="GJ286" s="638">
        <f t="shared" si="805"/>
        <v>2.6222601105500365</v>
      </c>
      <c r="GK286" s="625">
        <f t="shared" ca="1" si="855"/>
        <v>918745.54137275298</v>
      </c>
      <c r="GL286" s="640">
        <f t="shared" ca="1" si="737"/>
        <v>0</v>
      </c>
      <c r="GM286" s="530">
        <f t="shared" ca="1" si="738"/>
        <v>0</v>
      </c>
      <c r="GN286" s="530">
        <f t="shared" ca="1" si="739"/>
        <v>0</v>
      </c>
      <c r="GO286" s="622">
        <f t="shared" ca="1" si="740"/>
        <v>0</v>
      </c>
      <c r="GP286" s="530">
        <f t="shared" ca="1" si="806"/>
        <v>0</v>
      </c>
      <c r="GQ286" s="545">
        <f t="shared" ca="1" si="807"/>
        <v>0</v>
      </c>
      <c r="GR286" s="625">
        <f t="shared" ca="1" si="741"/>
        <v>0</v>
      </c>
      <c r="GS286" s="640">
        <f>IF($A286&gt;=BegDate,Assumptions!$C$56*24*($A287-$A286)*(1-VLOOKUP($B286,MAIN!$AA$7:$AM$28,$C286+1))*(1-VLOOKUP($B286,MAIN!$AA$33:$AM$54,$C286+1)),0)*80/168</f>
        <v>257742.85714285713</v>
      </c>
      <c r="GT286" s="1715">
        <f t="shared" si="850"/>
        <v>62.700761301558586</v>
      </c>
      <c r="GU286" s="1715">
        <f>IF($A286&gt;=BegDate,VLOOKUP($A286,GasTable,13)+Assumptions!$C$58,0)</f>
        <v>4.5871112217967047</v>
      </c>
      <c r="GV286" s="1715">
        <f>GU286*Assumptions!$C$57/1000</f>
        <v>33.25655635802611</v>
      </c>
      <c r="GW286" s="625">
        <f>IF(Assumptions!$C$60="Hourly",MAX(0,GS286*(GT286-GV286)),GS286*(GT286-GV286))</f>
        <v>7589033.508445899</v>
      </c>
      <c r="GX286" s="640">
        <f>IF($A286&gt;=BegDate,Assumptions!$C$56*24*($A287-$A286)*(1-VLOOKUP($B286,MAIN!$AA$7:$AM$28,$C286+1))*(1-VLOOKUP($B286,MAIN!$AA$33:$AM$54,$C286+1)),0)*16/168</f>
        <v>51548.571428571428</v>
      </c>
      <c r="GY286" s="1715">
        <f t="shared" si="851"/>
        <v>62.700761301558586</v>
      </c>
      <c r="GZ286" s="1715">
        <f>IF($A286&gt;=BegDate,VLOOKUP($A286,GasTable,13)+Assumptions!$C$58,0)</f>
        <v>4.5871112217967047</v>
      </c>
      <c r="HA286" s="1715">
        <f>GZ286*Assumptions!$C$57/1000</f>
        <v>33.25655635802611</v>
      </c>
      <c r="HB286" s="625">
        <f>IF(Assumptions!$C$60="Hourly",MAX(0,GX286*(GY286-HA286)),GX286*(GY286-HA286))</f>
        <v>1517806.7016891798</v>
      </c>
      <c r="HC286" s="640">
        <f>IF($A286&gt;=BegDate,Assumptions!$C$56*24*($A287-$A286)*(1-VLOOKUP($B286,MAIN!$AA$7:$AM$28,$C286+1))*(1-VLOOKUP($B286,MAIN!$AA$33:$AM$54,$C286+1)),0)*16/168</f>
        <v>51548.571428571428</v>
      </c>
      <c r="HD286" s="1715">
        <f t="shared" si="852"/>
        <v>34.910539935625522</v>
      </c>
      <c r="HE286" s="1715">
        <f>IF($A286&gt;=BegDate,VLOOKUP($A286,GasTable,13)+Assumptions!$C$58,0)</f>
        <v>4.5871112217967047</v>
      </c>
      <c r="HF286" s="1715">
        <f>HE286*Assumptions!$C$57/1000</f>
        <v>33.25655635802611</v>
      </c>
      <c r="HG286" s="625">
        <f>IF(Assumptions!$C$60="Hourly",MAX(0,HC286*(HD286-HF286)),HC286*(HD286-HF286))</f>
        <v>85260.490591567403</v>
      </c>
      <c r="HH286" s="640">
        <f>IF($A286&gt;=BegDate,Assumptions!$C$56*24*($A287-$A286)*(1-VLOOKUP($B286,MAIN!$AA$7:$AM$28,$C286+1))*(1-VLOOKUP($B286,MAIN!$AA$33:$AM$54,$C286+1)),0)*56/168</f>
        <v>180420</v>
      </c>
      <c r="HI286" s="1715">
        <f t="shared" si="853"/>
        <v>34.910539935625522</v>
      </c>
      <c r="HJ286" s="1715">
        <f>IF($A286&gt;=BegDate,VLOOKUP($A286,GasTable,13)+Assumptions!$C$58,0)</f>
        <v>4.5871112217967047</v>
      </c>
      <c r="HK286" s="1715">
        <f>HJ286*Assumptions!$C$57/1000</f>
        <v>33.25655635802611</v>
      </c>
      <c r="HL286" s="625">
        <f>IF(Assumptions!$C$60="Hourly",MAX(0,HH286*(HI286-HK286)),HH286*(HI286-HK286))</f>
        <v>298411.71707048593</v>
      </c>
      <c r="HM286" s="640">
        <f>IF(AND(Assumptions!$H$71="Yes",A286&gt;=Assumptions!$H$72,A286&lt;=Assumptions!$H$73),Assumptions!$H$74*Assumptions!$C$9*1000,0)</f>
        <v>0</v>
      </c>
      <c r="HN286" s="530"/>
      <c r="HO286" s="545"/>
      <c r="HP286" s="545"/>
      <c r="HQ286" s="545"/>
      <c r="HR286" s="545"/>
      <c r="HS286" s="545"/>
      <c r="HT286" s="545"/>
      <c r="HU286" s="545"/>
      <c r="HV286" s="545"/>
      <c r="HW286" s="545"/>
      <c r="HX286" s="545"/>
      <c r="HY286" s="545"/>
      <c r="HZ286" s="545"/>
      <c r="IA286" s="545"/>
      <c r="IB286" s="545"/>
      <c r="IC286" s="545"/>
      <c r="ID286" s="545"/>
      <c r="IE286" s="545"/>
      <c r="IF286" s="545"/>
      <c r="IG286" s="545"/>
      <c r="IH286" s="545"/>
      <c r="II286" s="1464"/>
      <c r="IJ286" s="1463"/>
      <c r="IK286" s="1463"/>
    </row>
    <row r="287" spans="1:245">
      <c r="A287" s="177">
        <f t="shared" si="808"/>
        <v>44866</v>
      </c>
      <c r="B287" s="349">
        <f t="shared" si="809"/>
        <v>2022</v>
      </c>
      <c r="C287" s="15">
        <f t="shared" si="749"/>
        <v>11</v>
      </c>
      <c r="D287" s="612">
        <f t="shared" si="810"/>
        <v>44889</v>
      </c>
      <c r="E287" s="609">
        <f t="shared" si="750"/>
        <v>44866</v>
      </c>
      <c r="F287" s="614">
        <f t="shared" si="751"/>
        <v>44895</v>
      </c>
      <c r="G287" s="1349">
        <v>0</v>
      </c>
      <c r="H287" s="152">
        <f t="shared" si="854"/>
        <v>1</v>
      </c>
      <c r="I287" s="154">
        <f>IF(Assumptions!$L$25=4,VLOOKUP($A287,'Henwood Reference'!$E$9:$R$320,10),(VLOOKUP($A287,PriceTable,2,0)+IF(BasisNumber&lt;&gt;1,VLOOKUP($A287,BasisTable,2,0),0)+I$1)/(1-I$2))</f>
        <v>64.881056431253811</v>
      </c>
      <c r="J287" s="154">
        <f>IF(Assumptions!$L$25=4,VLOOKUP($A287,'Henwood Reference'!$E$9:$R$320,10),(VLOOKUP($A287,PriceTable,3,0)+IF(BasisNumber&lt;&gt;1,VLOOKUP($A287,BasisTable,2,0),0)+J$1)/(1-J$2))</f>
        <v>64.881056431253811</v>
      </c>
      <c r="K287" s="154">
        <f>IF(Assumptions!$L$25=4,VLOOKUP($A287,'Henwood Reference'!$E$9:$R$320,10),(VLOOKUP($A287,PriceTable,4,0)+IF(BasisNumber&lt;&gt;1,VLOOKUP($A287,BasisTable,2,0),0)+K$1)/(1-K$2))</f>
        <v>64.881056431253811</v>
      </c>
      <c r="L287" s="474">
        <f>IF(Assumptions!$L$25=4,VLOOKUP($A287,'Henwood Reference'!$E$9:$R$320,10),(VLOOKUP($A287,PriceTableWeekend,2,0)+IF(BasisNumber&lt;&gt;1,VLOOKUP($A287,BasisTable,2,0),0)+L$1)/(1-L$2))</f>
        <v>64.881056431253811</v>
      </c>
      <c r="M287" s="154">
        <f>IF(Assumptions!$L$25=4,VLOOKUP($A287,'Henwood Reference'!$E$9:$R$320,10),(VLOOKUP($A287,PriceTableWeekend,3,0)+IF(BasisNumber&lt;&gt;1,VLOOKUP($A287,BasisTable,2,0),0)+M$1)/(1-M$2))</f>
        <v>64.881056431253811</v>
      </c>
      <c r="N287" s="156">
        <f>IF(Assumptions!$L$25=4,VLOOKUP($A287,'Henwood Reference'!$E$9:$R$320,10),(VLOOKUP($A287,PriceTableWeekend,4,0)+IF(BasisNumber&lt;&gt;1,VLOOKUP($A287,BasisTable,2,0),0)+N$1)/(1-N$2))</f>
        <v>64.881056431253811</v>
      </c>
      <c r="O287" s="154">
        <f>IF(Assumptions!$L$25=4,VLOOKUP($A287,'Henwood Reference'!$E$9:$R$320,11),(VLOOKUP($A287,PriceTableWeekend,6,0)+IF(BasisNumber&lt;&gt;1,VLOOKUP($A287,BasisTable,3,0),0)+O$1)/(1-O$2))</f>
        <v>37.924736499737257</v>
      </c>
      <c r="P287" s="154">
        <f>IF(Assumptions!$L$25=4,VLOOKUP($A287,'Henwood Reference'!$E$9:$R$320,11),(VLOOKUP($A287,PriceTableWeekend,7,0)+IF(BasisNumber&lt;&gt;1,VLOOKUP($A287,BasisTable,3,0),0)+P$1)/(1-P$2))</f>
        <v>37.924736499737257</v>
      </c>
      <c r="Q287" s="156">
        <f>IF(Assumptions!$L$25=4,VLOOKUP($A287,'Henwood Reference'!$E$9:$R$320,11),(VLOOKUP($A287,PriceTableWeekend,8,0)+IF(BasisNumber&lt;&gt;1,VLOOKUP($A287,BasisTable,3,0),0)+Q$1)/(1-Q$2))</f>
        <v>37.924736499737257</v>
      </c>
      <c r="R287" s="154">
        <f>IF(Assumptions!$L$25=4,VLOOKUP($A287,'Henwood Reference'!$E$9:$R$320,11),(VLOOKUP($A287,PriceTable,6,0)+IF(BasisNumber&lt;&gt;1,VLOOKUP($A287,BasisTable,3,0),0)+R$1)/(1-R$2))</f>
        <v>37.924736499737257</v>
      </c>
      <c r="S287" s="154">
        <f>IF(Assumptions!$L$25=4,VLOOKUP($A287,'Henwood Reference'!$E$9:$R$320,11),(VLOOKUP($A287,PriceTable,7,0)+IF(BasisNumber&lt;&gt;1,VLOOKUP($A287,BasisTable,3,0),0)+S$1)/(1-S$2))</f>
        <v>37.924736499737257</v>
      </c>
      <c r="T287" s="155">
        <f>IF(Assumptions!$L$25=4,VLOOKUP($A287,'Henwood Reference'!$E$9:$R$320,11),(VLOOKUP($A287,PriceTable,8,0)+IF(BasisNumber&lt;&gt;1,VLOOKUP($A287,BasisTable,3,0),0)+T$1)/(1-T$2))</f>
        <v>37.924736499737257</v>
      </c>
      <c r="U287" s="173">
        <f t="shared" si="811"/>
        <v>0.09</v>
      </c>
      <c r="V287" s="173">
        <f t="shared" si="812"/>
        <v>0.1</v>
      </c>
      <c r="W287" s="174">
        <f t="shared" si="813"/>
        <v>0.11</v>
      </c>
      <c r="X287" s="173">
        <f t="shared" si="814"/>
        <v>0.09</v>
      </c>
      <c r="Y287" s="173">
        <f t="shared" si="815"/>
        <v>0.1</v>
      </c>
      <c r="Z287" s="174">
        <f t="shared" si="816"/>
        <v>0.11</v>
      </c>
      <c r="AA287" s="173">
        <f t="shared" si="817"/>
        <v>0.09</v>
      </c>
      <c r="AB287" s="173">
        <f t="shared" si="818"/>
        <v>0.11</v>
      </c>
      <c r="AC287" s="174">
        <f t="shared" si="819"/>
        <v>0.13</v>
      </c>
      <c r="AD287" s="173">
        <f t="shared" si="820"/>
        <v>0.09</v>
      </c>
      <c r="AE287" s="173">
        <f t="shared" si="821"/>
        <v>0.11</v>
      </c>
      <c r="AF287" s="174">
        <f t="shared" si="822"/>
        <v>0.13</v>
      </c>
      <c r="AG287" s="173">
        <f t="shared" si="823"/>
        <v>-0.1</v>
      </c>
      <c r="AH287" s="173">
        <f t="shared" si="824"/>
        <v>3</v>
      </c>
      <c r="AI287" s="174">
        <f t="shared" si="825"/>
        <v>0.1</v>
      </c>
      <c r="AJ287" s="173">
        <f t="shared" si="826"/>
        <v>-0.1</v>
      </c>
      <c r="AK287" s="173">
        <f t="shared" si="827"/>
        <v>3</v>
      </c>
      <c r="AL287" s="174">
        <f t="shared" si="828"/>
        <v>0.1</v>
      </c>
      <c r="AM287" s="173">
        <f t="shared" si="829"/>
        <v>-0.01</v>
      </c>
      <c r="AN287" s="173">
        <f t="shared" si="830"/>
        <v>0.16</v>
      </c>
      <c r="AO287" s="174">
        <f t="shared" si="831"/>
        <v>0.01</v>
      </c>
      <c r="AP287" s="173">
        <f t="shared" si="832"/>
        <v>-0.01</v>
      </c>
      <c r="AQ287" s="173">
        <f t="shared" si="833"/>
        <v>0.16</v>
      </c>
      <c r="AR287" s="175">
        <f t="shared" si="834"/>
        <v>0.01</v>
      </c>
      <c r="AS287" s="521">
        <f t="shared" si="835"/>
        <v>0.5</v>
      </c>
      <c r="AT287" s="349">
        <f t="shared" si="752"/>
        <v>21</v>
      </c>
      <c r="AU287" s="159">
        <f t="shared" si="753"/>
        <v>4</v>
      </c>
      <c r="AV287" s="159">
        <f t="shared" si="754"/>
        <v>4</v>
      </c>
      <c r="AW287" s="159">
        <f t="shared" si="836"/>
        <v>1</v>
      </c>
      <c r="AX287" s="15">
        <f t="shared" si="755"/>
        <v>30</v>
      </c>
      <c r="AY287" s="607">
        <f>IF(E287="",0,MIN((1-(1-VLOOKUP(B287,MAIN!$AA$7:$AM$28,C287+1))*(1-VLOOKUP(B287,MAIN!$AA$33:$AM$54,C287+1))),1))</f>
        <v>3.0000000000000027E-2</v>
      </c>
      <c r="AZ287" s="337">
        <v>48888</v>
      </c>
      <c r="BA287" s="509">
        <v>9312</v>
      </c>
      <c r="BB287" s="509">
        <v>11640</v>
      </c>
      <c r="BC287" s="511">
        <v>34920</v>
      </c>
      <c r="BD287" s="153">
        <v>0.97</v>
      </c>
      <c r="BE287" s="474">
        <v>0.97</v>
      </c>
      <c r="BF287" s="474">
        <v>0.97</v>
      </c>
      <c r="BG287" s="515">
        <v>0.9699999927729368</v>
      </c>
      <c r="BH287" s="262">
        <v>195552</v>
      </c>
      <c r="BI287" s="509">
        <v>37248</v>
      </c>
      <c r="BJ287" s="509">
        <v>46560</v>
      </c>
      <c r="BK287" s="511">
        <v>139680</v>
      </c>
      <c r="BL287" s="153">
        <v>0.97</v>
      </c>
      <c r="BM287" s="474">
        <v>0.97</v>
      </c>
      <c r="BN287" s="474">
        <v>0.97</v>
      </c>
      <c r="BO287" s="474">
        <v>0.9699999927729368</v>
      </c>
      <c r="BP287" s="261">
        <f t="shared" si="837"/>
        <v>69840</v>
      </c>
      <c r="BQ287" s="578">
        <f t="shared" si="838"/>
        <v>104760</v>
      </c>
      <c r="BR287" s="259">
        <f t="shared" si="839"/>
        <v>279360</v>
      </c>
      <c r="BS287" s="578">
        <f t="shared" si="840"/>
        <v>419040</v>
      </c>
      <c r="BT287" s="216">
        <f t="shared" si="841"/>
        <v>22.548939082819988</v>
      </c>
      <c r="BU287" s="218">
        <f t="shared" si="756"/>
        <v>64.881056431253811</v>
      </c>
      <c r="BV287" s="216">
        <f t="shared" si="757"/>
        <v>64.881056431253811</v>
      </c>
      <c r="BW287" s="216">
        <f t="shared" si="758"/>
        <v>37.924736499737257</v>
      </c>
      <c r="BX287" s="216">
        <f t="shared" si="842"/>
        <v>37.924736217175948</v>
      </c>
      <c r="BY287" s="216">
        <f t="shared" si="759"/>
        <v>60.388336442667729</v>
      </c>
      <c r="BZ287" s="216">
        <f t="shared" si="760"/>
        <v>52.900469700837135</v>
      </c>
      <c r="CA287" s="264">
        <f t="shared" si="761"/>
        <v>64.881056431253811</v>
      </c>
      <c r="CB287" s="216">
        <f t="shared" si="762"/>
        <v>64.881056431253811</v>
      </c>
      <c r="CC287" s="216">
        <f t="shared" si="763"/>
        <v>37.924736499737257</v>
      </c>
      <c r="CD287" s="216">
        <f t="shared" si="843"/>
        <v>37.924736217175948</v>
      </c>
      <c r="CE287" s="216">
        <f t="shared" si="764"/>
        <v>60.388336442667729</v>
      </c>
      <c r="CF287" s="571">
        <f t="shared" si="765"/>
        <v>52.900469700837135</v>
      </c>
      <c r="CG287" s="573">
        <f t="shared" si="766"/>
        <v>0.1</v>
      </c>
      <c r="CH287" s="219">
        <f t="shared" si="767"/>
        <v>0.1</v>
      </c>
      <c r="CI287" s="219">
        <f t="shared" si="768"/>
        <v>0.11</v>
      </c>
      <c r="CJ287" s="219">
        <f t="shared" si="769"/>
        <v>0.1010574378390353</v>
      </c>
      <c r="CK287" s="219">
        <f t="shared" si="770"/>
        <v>0.1010574378390353</v>
      </c>
      <c r="CL287" s="219">
        <f t="shared" si="771"/>
        <v>0.11</v>
      </c>
      <c r="CM287" s="219">
        <f t="shared" si="772"/>
        <v>9.3218737760546996E-2</v>
      </c>
      <c r="CN287" s="569">
        <f t="shared" si="773"/>
        <v>9.3218737760546996E-2</v>
      </c>
      <c r="CO287" s="264">
        <f t="shared" si="856"/>
        <v>32.526563478189381</v>
      </c>
      <c r="CP287" s="216">
        <f t="shared" si="844"/>
        <v>32.526563478189381</v>
      </c>
      <c r="CQ287" s="216">
        <f t="shared" ca="1" si="703"/>
        <v>32.526563478189381</v>
      </c>
      <c r="CR287" s="216">
        <f t="shared" ca="1" si="704"/>
        <v>32.526563478189381</v>
      </c>
      <c r="CS287" s="1626">
        <f t="shared" ca="1" si="705"/>
        <v>32.526563478189381</v>
      </c>
      <c r="CT287" s="216">
        <f t="shared" si="845"/>
        <v>32.526563478189381</v>
      </c>
      <c r="CU287" s="575">
        <f t="shared" si="774"/>
        <v>0.15</v>
      </c>
      <c r="CV287" s="154">
        <f t="shared" si="775"/>
        <v>0.5</v>
      </c>
      <c r="CW287" s="216">
        <f>IF(OR($BQ287,$BS287),SpreadOptPowerMargin,0)*((1+Assumptions!$C$26)^($B287-YEAR(Assumptions!$C$17)))</f>
        <v>2.6222601105500365</v>
      </c>
      <c r="CX287" s="216">
        <f>IF(OR($BQ287,$BS287),SpreadOptPowerMargin,0)*((1+Assumptions!$C$26)^($B287-YEAR(Assumptions!$C$17)))</f>
        <v>2.6222601105500365</v>
      </c>
      <c r="CY287" s="216">
        <f>IF(OR($BQ287,$BS287),SpreadOptPowerMargin,0)*((1+Assumptions!$C$26)^($B287-YEAR(Assumptions!$C$17)))</f>
        <v>2.6222601105500365</v>
      </c>
      <c r="CZ287" s="216">
        <f>IF(OR($BQ287,$BS287),SpreadOptPowerMargin,0)*((1+Assumptions!$C$26)^($B287-YEAR(Assumptions!$C$17)))</f>
        <v>2.6222601105500365</v>
      </c>
      <c r="DA287" s="440">
        <f t="shared" si="776"/>
        <v>2.6222601105500365</v>
      </c>
      <c r="DB287" s="479">
        <f t="shared" si="777"/>
        <v>0.1</v>
      </c>
      <c r="DC287" s="479">
        <f t="shared" si="778"/>
        <v>0.1</v>
      </c>
      <c r="DD287" s="479">
        <f t="shared" si="779"/>
        <v>0.11</v>
      </c>
      <c r="DE287" s="479">
        <f t="shared" si="780"/>
        <v>0.11</v>
      </c>
      <c r="DF287" s="479">
        <f t="shared" si="781"/>
        <v>9.3218737760546996E-2</v>
      </c>
      <c r="DG287" s="574">
        <f t="shared" si="782"/>
        <v>9.3218737760546996E-2</v>
      </c>
      <c r="DH287" s="216">
        <f t="shared" si="783"/>
        <v>31.917097600283128</v>
      </c>
      <c r="DI287" s="216">
        <f t="shared" si="784"/>
        <v>31.917097600283128</v>
      </c>
      <c r="DJ287" s="216">
        <f t="shared" ca="1" si="706"/>
        <v>10.104421725100849</v>
      </c>
      <c r="DK287" s="216">
        <f t="shared" ca="1" si="707"/>
        <v>10.104421535786866</v>
      </c>
      <c r="DL287" s="216">
        <f t="shared" ca="1" si="708"/>
        <v>21.30498480831945</v>
      </c>
      <c r="DM287" s="216"/>
      <c r="DN287" s="216"/>
      <c r="DO287" s="216"/>
      <c r="DP287" s="216"/>
      <c r="DQ287" s="216"/>
      <c r="DR287" s="216"/>
      <c r="DS287" s="216"/>
      <c r="DT287" s="216"/>
      <c r="DU287" s="216"/>
      <c r="DV287" s="216"/>
      <c r="DW287" s="1371">
        <f t="shared" si="785"/>
        <v>10.104421725100849</v>
      </c>
      <c r="DX287" s="216">
        <f t="shared" si="786"/>
        <v>10.104421535786866</v>
      </c>
      <c r="DY287" s="440">
        <f t="shared" si="787"/>
        <v>22.222574925986343</v>
      </c>
      <c r="DZ287" s="180">
        <f t="shared" si="788"/>
        <v>1560363.0674826417</v>
      </c>
      <c r="EA287" s="180">
        <f t="shared" si="789"/>
        <v>297212.01285383647</v>
      </c>
      <c r="EB287" s="180">
        <f t="shared" ca="1" si="709"/>
        <v>117615.46888017388</v>
      </c>
      <c r="EC287" s="180">
        <f t="shared" ca="1" si="710"/>
        <v>352846.40002967737</v>
      </c>
      <c r="ED287" s="180">
        <f t="shared" ca="1" si="711"/>
        <v>2231910.2085195454</v>
      </c>
      <c r="EE287" s="581">
        <f t="shared" si="790"/>
        <v>1453549.3992048437</v>
      </c>
      <c r="EF287" s="554">
        <f t="shared" si="791"/>
        <v>276866.55222949403</v>
      </c>
      <c r="EG287" s="554">
        <f t="shared" ca="1" si="712"/>
        <v>32311.626284014845</v>
      </c>
      <c r="EH287" s="554">
        <f t="shared" ca="1" si="713"/>
        <v>96934.868985003603</v>
      </c>
      <c r="EI287" s="561">
        <f t="shared" ca="1" si="792"/>
        <v>1859662.4467033569</v>
      </c>
      <c r="EJ287" s="581">
        <f t="shared" si="846"/>
        <v>106813.66827779799</v>
      </c>
      <c r="EK287" s="554">
        <f t="shared" si="847"/>
        <v>20345.460624342435</v>
      </c>
      <c r="EL287" s="554">
        <f t="shared" ca="1" si="714"/>
        <v>85303.84259615904</v>
      </c>
      <c r="EM287" s="554">
        <f t="shared" ca="1" si="715"/>
        <v>255911.53104467376</v>
      </c>
      <c r="EN287" s="561">
        <f t="shared" ca="1" si="716"/>
        <v>372247.76181618846</v>
      </c>
      <c r="EO287" s="180">
        <f t="shared" si="793"/>
        <v>6241452.2699305667</v>
      </c>
      <c r="EP287" s="180">
        <f t="shared" si="794"/>
        <v>1188848.0514153459</v>
      </c>
      <c r="EQ287" s="180">
        <f t="shared" si="795"/>
        <v>470461.87552069552</v>
      </c>
      <c r="ER287" s="180">
        <f t="shared" si="796"/>
        <v>1411385.6001187095</v>
      </c>
      <c r="ES287" s="180">
        <f t="shared" si="797"/>
        <v>9312147.796985317</v>
      </c>
      <c r="ET287" s="1482">
        <f t="shared" ca="1" si="717"/>
        <v>5814197.5968193747</v>
      </c>
      <c r="EU287" s="180">
        <f t="shared" ca="1" si="718"/>
        <v>1107466.2089179761</v>
      </c>
      <c r="EV287" s="180">
        <f t="shared" ca="1" si="719"/>
        <v>129246.50513605938</v>
      </c>
      <c r="EW287" s="180">
        <f t="shared" ca="1" si="720"/>
        <v>387739.47594001441</v>
      </c>
      <c r="EX287" s="555">
        <f t="shared" ca="1" si="693"/>
        <v>7438649.7868134249</v>
      </c>
      <c r="EY287" s="180">
        <f t="shared" ca="1" si="721"/>
        <v>427254.67311119195</v>
      </c>
      <c r="EZ287" s="180">
        <f t="shared" ca="1" si="722"/>
        <v>81381.84249736974</v>
      </c>
      <c r="FA287" s="180">
        <f t="shared" ca="1" si="723"/>
        <v>341215.37038463616</v>
      </c>
      <c r="FB287" s="180">
        <f t="shared" ca="1" si="724"/>
        <v>1023646.124178695</v>
      </c>
      <c r="FC287" s="180">
        <f t="shared" ca="1" si="725"/>
        <v>1873498.0101718921</v>
      </c>
      <c r="FD287" s="262">
        <f>IF(AX287,IF(VLOOKUP(C287,MAIN!$L$17:$M$28,2)="Yes",VLOOKUP(CALC!B287,MAIN!$H$17:$I$20,2),0),0)</f>
        <v>0</v>
      </c>
      <c r="FE287" s="623">
        <f t="shared" si="798"/>
        <v>0</v>
      </c>
      <c r="FF287" s="535">
        <f t="shared" si="799"/>
        <v>0</v>
      </c>
      <c r="FG287" s="535">
        <f t="shared" si="800"/>
        <v>0</v>
      </c>
      <c r="FH287" s="624">
        <f t="shared" si="801"/>
        <v>0</v>
      </c>
      <c r="FI287" s="632">
        <f>IF(AX287,VLOOKUP(CALC!B287,MAIN!$H$17:$K$20,4),0)</f>
        <v>0</v>
      </c>
      <c r="FJ287" s="535">
        <f t="shared" si="802"/>
        <v>0</v>
      </c>
      <c r="FK287" s="648">
        <f t="shared" si="848"/>
        <v>0</v>
      </c>
      <c r="FL287" s="530">
        <f t="shared" ca="1" si="726"/>
        <v>0</v>
      </c>
      <c r="FM287" s="530">
        <f t="shared" ca="1" si="727"/>
        <v>0</v>
      </c>
      <c r="FN287" s="530">
        <f t="shared" ca="1" si="728"/>
        <v>0</v>
      </c>
      <c r="FO287" s="622">
        <f t="shared" ca="1" si="729"/>
        <v>0</v>
      </c>
      <c r="FP287" s="530">
        <f t="shared" ca="1" si="730"/>
        <v>0</v>
      </c>
      <c r="FQ287" s="530">
        <f t="shared" ca="1" si="731"/>
        <v>0</v>
      </c>
      <c r="FR287" s="530">
        <f t="shared" ca="1" si="732"/>
        <v>0</v>
      </c>
      <c r="FS287" s="625">
        <f t="shared" ca="1" si="733"/>
        <v>0</v>
      </c>
      <c r="FT287" s="640">
        <f ca="1">IF(AND(Assumptions!$H$71="Yes",A287&gt;=Assumptions!$H$72,A287&lt;=Assumptions!$H$73),0,IF(AND($A287&gt;=Assumptions!$C$17,$A287&lt;=Assumptions!$C$18),MAX(AZ287*(1+VLOOKUP($C287,WeatherCapacityAdjustment,2))-FL287,0),0))</f>
        <v>48888</v>
      </c>
      <c r="FU287" s="530">
        <f ca="1">IF(AND(Assumptions!$H$71="Yes",A287&gt;=Assumptions!$H$72,A287&lt;=Assumptions!$H$73),0,IF(AND($A287&gt;=Assumptions!$C$17,$A287&lt;=Assumptions!$C$18),MAX(BA287*(1+VLOOKUP($C287,WeatherCapacityAdjustment,2))-FM287,0),0))</f>
        <v>9312</v>
      </c>
      <c r="FV287" s="530">
        <f ca="1">IF(AND(Assumptions!$H$71="Yes",A287&gt;=Assumptions!$H$72,A287&lt;=Assumptions!$H$73),0,IF(AND($A287&gt;=Assumptions!$C$17,$A287&lt;=Assumptions!$C$18),MAX(BB287*(1+VLOOKUP($C287,WeatherCapacityAdjustment,2))-FN287,0),0))</f>
        <v>11640</v>
      </c>
      <c r="FW287" s="622">
        <f ca="1">IF(AND(Assumptions!$H$71="Yes",A287&gt;=Assumptions!$H$72,A287&lt;=Assumptions!$H$73),0,IF(AND($A287&gt;=Assumptions!$C$17,$A287&lt;=Assumptions!$C$18),MAX(BC287*(1+VLOOKUP($C287,WeatherCapacityAdjustment,3))-FO287,0),0))</f>
        <v>34920</v>
      </c>
      <c r="FX287" s="621">
        <f ca="1">IF(AND(Assumptions!$H$71="Yes",A287&gt;=Assumptions!$H$72,A287&lt;=Assumptions!$H$73),0,IF(ET287&gt;0,MAX(BH287*(1+VLOOKUP($C287,WeatherCapacityAdjustment,2))-FP287,0),0))</f>
        <v>195552</v>
      </c>
      <c r="FY287" s="530">
        <f ca="1">IF(AND(Assumptions!$H$71="Yes",A287&gt;=Assumptions!$H$72,A287&lt;=Assumptions!$H$73),0,IF(EU287&gt;0,MAX(BI287*(1+VLOOKUP($C287,WeatherCapacityAdjustment,3))-FQ287,0),0))</f>
        <v>37248</v>
      </c>
      <c r="FZ287" s="530">
        <f ca="1">IF(AND(Assumptions!$H$71="Yes",A287&gt;=Assumptions!$H$72,A287&lt;=Assumptions!$H$73),0,IF(EV287&gt;0,MAX(BJ287*(1+VLOOKUP($C287,WeatherCapacityAdjustment,2))-FR287,0),0))</f>
        <v>46560</v>
      </c>
      <c r="GA287" s="622">
        <f ca="1">IF(AND(Assumptions!$H$71="Yes",A287&gt;=Assumptions!$H$72,A287&lt;=Assumptions!$H$73),0,IF(EW287&gt;0,MAX(BK287*(1+VLOOKUP($C287,WeatherCapacityAdjustment,2))-FS287,0),0))</f>
        <v>139680</v>
      </c>
      <c r="GB287" s="530">
        <f t="shared" ca="1" si="803"/>
        <v>523800</v>
      </c>
      <c r="GC287" s="545">
        <f t="shared" ca="1" si="804"/>
        <v>52.900469700837135</v>
      </c>
      <c r="GD287" s="530">
        <f t="shared" ca="1" si="734"/>
        <v>27709266.029298492</v>
      </c>
      <c r="GE287" s="1485">
        <f t="shared" ca="1" si="735"/>
        <v>742838.49360000005</v>
      </c>
      <c r="GF287" s="1776">
        <f t="shared" ca="1" si="736"/>
        <v>2971353.9744000002</v>
      </c>
      <c r="GG287" s="545">
        <f t="shared" si="701"/>
        <v>4.5871112217967047</v>
      </c>
      <c r="GH287" s="622">
        <f t="shared" ca="1" si="702"/>
        <v>17037413.949875601</v>
      </c>
      <c r="GI287" s="621">
        <f t="shared" ca="1" si="849"/>
        <v>523800</v>
      </c>
      <c r="GJ287" s="638">
        <f t="shared" si="805"/>
        <v>2.6222601105500365</v>
      </c>
      <c r="GK287" s="625">
        <f t="shared" ca="1" si="855"/>
        <v>1373539.8459061091</v>
      </c>
      <c r="GL287" s="640">
        <f t="shared" ca="1" si="737"/>
        <v>0</v>
      </c>
      <c r="GM287" s="530">
        <f t="shared" ca="1" si="738"/>
        <v>0</v>
      </c>
      <c r="GN287" s="530">
        <f t="shared" ca="1" si="739"/>
        <v>0</v>
      </c>
      <c r="GO287" s="622">
        <f t="shared" ca="1" si="740"/>
        <v>0</v>
      </c>
      <c r="GP287" s="530">
        <f t="shared" ca="1" si="806"/>
        <v>0</v>
      </c>
      <c r="GQ287" s="545">
        <f t="shared" ca="1" si="807"/>
        <v>0</v>
      </c>
      <c r="GR287" s="625">
        <f t="shared" ca="1" si="741"/>
        <v>0</v>
      </c>
      <c r="GS287" s="640">
        <f>IF($A287&gt;=BegDate,Assumptions!$C$56*24*($A288-$A287)*(1-VLOOKUP($B287,MAIN!$AA$7:$AM$28,$C287+1))*(1-VLOOKUP($B287,MAIN!$AA$33:$AM$54,$C287+1)),0)*80/168</f>
        <v>249428.57142857142</v>
      </c>
      <c r="GT287" s="1715">
        <f t="shared" si="850"/>
        <v>64.881056431253811</v>
      </c>
      <c r="GU287" s="1715">
        <f>IF($A287&gt;=BegDate,VLOOKUP($A287,GasTable,13)+Assumptions!$C$58,0)</f>
        <v>4.5871112217967047</v>
      </c>
      <c r="GV287" s="1715">
        <f>GU287*Assumptions!$C$57/1000</f>
        <v>33.25655635802611</v>
      </c>
      <c r="GW287" s="625">
        <f>IF(Assumptions!$C$60="Hourly",MAX(0,GS287*(GT287-GV287)),GS287*(GT287-GV287))</f>
        <v>7888053.8754079379</v>
      </c>
      <c r="GX287" s="640">
        <f>IF($A287&gt;=BegDate,Assumptions!$C$56*24*($A288-$A287)*(1-VLOOKUP($B287,MAIN!$AA$7:$AM$28,$C287+1))*(1-VLOOKUP($B287,MAIN!$AA$33:$AM$54,$C287+1)),0)*16/168</f>
        <v>49885.714285714283</v>
      </c>
      <c r="GY287" s="1715">
        <f t="shared" si="851"/>
        <v>64.881056431253811</v>
      </c>
      <c r="GZ287" s="1715">
        <f>IF($A287&gt;=BegDate,VLOOKUP($A287,GasTable,13)+Assumptions!$C$58,0)</f>
        <v>4.5871112217967047</v>
      </c>
      <c r="HA287" s="1715">
        <f>GZ287*Assumptions!$C$57/1000</f>
        <v>33.25655635802611</v>
      </c>
      <c r="HB287" s="625">
        <f>IF(Assumptions!$C$60="Hourly",MAX(0,GX287*(GY287-HA287)),GX287*(GY287-HA287))</f>
        <v>1577610.7750815875</v>
      </c>
      <c r="HC287" s="640">
        <f>IF($A287&gt;=BegDate,Assumptions!$C$56*24*($A288-$A287)*(1-VLOOKUP($B287,MAIN!$AA$7:$AM$28,$C287+1))*(1-VLOOKUP($B287,MAIN!$AA$33:$AM$54,$C287+1)),0)*16/168</f>
        <v>49885.714285714283</v>
      </c>
      <c r="HD287" s="1715">
        <f t="shared" si="852"/>
        <v>37.924736499737257</v>
      </c>
      <c r="HE287" s="1715">
        <f>IF($A287&gt;=BegDate,VLOOKUP($A287,GasTable,13)+Assumptions!$C$58,0)</f>
        <v>4.5871112217967047</v>
      </c>
      <c r="HF287" s="1715">
        <f>HE287*Assumptions!$C$57/1000</f>
        <v>33.25655635802611</v>
      </c>
      <c r="HG287" s="625">
        <f>IF(Assumptions!$C$60="Hourly",MAX(0,HC287*(HD287-HF287)),HC287*(HD287-HF287))</f>
        <v>232875.5007836475</v>
      </c>
      <c r="HH287" s="640">
        <f>IF($A287&gt;=BegDate,Assumptions!$C$56*24*($A288-$A287)*(1-VLOOKUP($B287,MAIN!$AA$7:$AM$28,$C287+1))*(1-VLOOKUP($B287,MAIN!$AA$33:$AM$54,$C287+1)),0)*56/168</f>
        <v>174600</v>
      </c>
      <c r="HI287" s="1715">
        <f t="shared" si="853"/>
        <v>37.924736499737257</v>
      </c>
      <c r="HJ287" s="1715">
        <f>IF($A287&gt;=BegDate,VLOOKUP($A287,GasTable,13)+Assumptions!$C$58,0)</f>
        <v>4.5871112217967047</v>
      </c>
      <c r="HK287" s="1715">
        <f>HJ287*Assumptions!$C$57/1000</f>
        <v>33.25655635802611</v>
      </c>
      <c r="HL287" s="625">
        <f>IF(Assumptions!$C$60="Hourly",MAX(0,HH287*(HI287-HK287)),HH287*(HI287-HK287))</f>
        <v>815064.25274276629</v>
      </c>
      <c r="HM287" s="640">
        <f>IF(AND(Assumptions!$H$71="Yes",A287&gt;=Assumptions!$H$72,A287&lt;=Assumptions!$H$73),Assumptions!$H$74*Assumptions!$C$9*1000,0)</f>
        <v>0</v>
      </c>
      <c r="HN287" s="530"/>
      <c r="HO287" s="545"/>
      <c r="HP287" s="545"/>
      <c r="HQ287" s="545"/>
      <c r="HR287" s="545"/>
      <c r="HS287" s="545"/>
      <c r="HT287" s="545"/>
      <c r="HU287" s="545"/>
      <c r="HV287" s="545"/>
      <c r="HW287" s="545"/>
      <c r="HX287" s="545"/>
      <c r="HY287" s="545"/>
      <c r="HZ287" s="545"/>
      <c r="IA287" s="545"/>
      <c r="IB287" s="545"/>
      <c r="IC287" s="545"/>
      <c r="ID287" s="545"/>
      <c r="IE287" s="545"/>
      <c r="IF287" s="545"/>
      <c r="IG287" s="545"/>
      <c r="IH287" s="545"/>
      <c r="II287" s="1464"/>
      <c r="IJ287" s="1463"/>
      <c r="IK287" s="1463"/>
    </row>
    <row r="288" spans="1:245">
      <c r="A288" s="177">
        <f t="shared" si="808"/>
        <v>44896</v>
      </c>
      <c r="B288" s="349">
        <f t="shared" si="809"/>
        <v>2022</v>
      </c>
      <c r="C288" s="15">
        <f t="shared" si="749"/>
        <v>12</v>
      </c>
      <c r="D288" s="612">
        <f t="shared" si="810"/>
        <v>44921</v>
      </c>
      <c r="E288" s="609">
        <f t="shared" si="750"/>
        <v>44896</v>
      </c>
      <c r="F288" s="614">
        <f t="shared" si="751"/>
        <v>44926</v>
      </c>
      <c r="G288" s="1349">
        <v>0</v>
      </c>
      <c r="H288" s="152">
        <f t="shared" si="854"/>
        <v>1</v>
      </c>
      <c r="I288" s="154">
        <f>IF(Assumptions!$L$25=4,VLOOKUP($A288,'Henwood Reference'!$E$9:$R$320,10),(VLOOKUP($A288,PriceTable,2,0)+IF(BasisNumber&lt;&gt;1,VLOOKUP($A288,BasisTable,2,0),0)+I$1)/(1-I$2))</f>
        <v>61.790024677504526</v>
      </c>
      <c r="J288" s="154">
        <f>IF(Assumptions!$L$25=4,VLOOKUP($A288,'Henwood Reference'!$E$9:$R$320,10),(VLOOKUP($A288,PriceTable,3,0)+IF(BasisNumber&lt;&gt;1,VLOOKUP($A288,BasisTable,2,0),0)+J$1)/(1-J$2))</f>
        <v>61.790024677504526</v>
      </c>
      <c r="K288" s="154">
        <f>IF(Assumptions!$L$25=4,VLOOKUP($A288,'Henwood Reference'!$E$9:$R$320,10),(VLOOKUP($A288,PriceTable,4,0)+IF(BasisNumber&lt;&gt;1,VLOOKUP($A288,BasisTable,2,0),0)+K$1)/(1-K$2))</f>
        <v>61.790024677504526</v>
      </c>
      <c r="L288" s="474">
        <f>IF(Assumptions!$L$25=4,VLOOKUP($A288,'Henwood Reference'!$E$9:$R$320,10),(VLOOKUP($A288,PriceTableWeekend,2,0)+IF(BasisNumber&lt;&gt;1,VLOOKUP($A288,BasisTable,2,0),0)+L$1)/(1-L$2))</f>
        <v>61.790024677504526</v>
      </c>
      <c r="M288" s="154">
        <f>IF(Assumptions!$L$25=4,VLOOKUP($A288,'Henwood Reference'!$E$9:$R$320,10),(VLOOKUP($A288,PriceTableWeekend,3,0)+IF(BasisNumber&lt;&gt;1,VLOOKUP($A288,BasisTable,2,0),0)+M$1)/(1-M$2))</f>
        <v>61.790024677504526</v>
      </c>
      <c r="N288" s="156">
        <f>IF(Assumptions!$L$25=4,VLOOKUP($A288,'Henwood Reference'!$E$9:$R$320,10),(VLOOKUP($A288,PriceTableWeekend,4,0)+IF(BasisNumber&lt;&gt;1,VLOOKUP($A288,BasisTable,2,0),0)+N$1)/(1-N$2))</f>
        <v>61.790024677504526</v>
      </c>
      <c r="O288" s="154">
        <f>IF(Assumptions!$L$25=4,VLOOKUP($A288,'Henwood Reference'!$E$9:$R$320,11),(VLOOKUP($A288,PriceTableWeekend,6,0)+IF(BasisNumber&lt;&gt;1,VLOOKUP($A288,BasisTable,3,0),0)+O$1)/(1-O$2))</f>
        <v>38.724317185462553</v>
      </c>
      <c r="P288" s="154">
        <f>IF(Assumptions!$L$25=4,VLOOKUP($A288,'Henwood Reference'!$E$9:$R$320,11),(VLOOKUP($A288,PriceTableWeekend,7,0)+IF(BasisNumber&lt;&gt;1,VLOOKUP($A288,BasisTable,3,0),0)+P$1)/(1-P$2))</f>
        <v>38.724317185462553</v>
      </c>
      <c r="Q288" s="156">
        <f>IF(Assumptions!$L$25=4,VLOOKUP($A288,'Henwood Reference'!$E$9:$R$320,11),(VLOOKUP($A288,PriceTableWeekend,8,0)+IF(BasisNumber&lt;&gt;1,VLOOKUP($A288,BasisTable,3,0),0)+Q$1)/(1-Q$2))</f>
        <v>38.724317185462553</v>
      </c>
      <c r="R288" s="154">
        <f>IF(Assumptions!$L$25=4,VLOOKUP($A288,'Henwood Reference'!$E$9:$R$320,11),(VLOOKUP($A288,PriceTable,6,0)+IF(BasisNumber&lt;&gt;1,VLOOKUP($A288,BasisTable,3,0),0)+R$1)/(1-R$2))</f>
        <v>38.724317185462553</v>
      </c>
      <c r="S288" s="154">
        <f>IF(Assumptions!$L$25=4,VLOOKUP($A288,'Henwood Reference'!$E$9:$R$320,11),(VLOOKUP($A288,PriceTable,7,0)+IF(BasisNumber&lt;&gt;1,VLOOKUP($A288,BasisTable,3,0),0)+S$1)/(1-S$2))</f>
        <v>38.724317185462553</v>
      </c>
      <c r="T288" s="155">
        <f>IF(Assumptions!$L$25=4,VLOOKUP($A288,'Henwood Reference'!$E$9:$R$320,11),(VLOOKUP($A288,PriceTable,8,0)+IF(BasisNumber&lt;&gt;1,VLOOKUP($A288,BasisTable,3,0),0)+T$1)/(1-T$2))</f>
        <v>38.724317185462553</v>
      </c>
      <c r="U288" s="173">
        <f t="shared" si="811"/>
        <v>0.09</v>
      </c>
      <c r="V288" s="173">
        <f t="shared" si="812"/>
        <v>0.1</v>
      </c>
      <c r="W288" s="174">
        <f t="shared" si="813"/>
        <v>0.11</v>
      </c>
      <c r="X288" s="173">
        <f t="shared" si="814"/>
        <v>0.09</v>
      </c>
      <c r="Y288" s="173">
        <f t="shared" si="815"/>
        <v>0.1</v>
      </c>
      <c r="Z288" s="174">
        <f t="shared" si="816"/>
        <v>0.11</v>
      </c>
      <c r="AA288" s="173">
        <f t="shared" si="817"/>
        <v>0.09</v>
      </c>
      <c r="AB288" s="173">
        <f t="shared" si="818"/>
        <v>0.11</v>
      </c>
      <c r="AC288" s="174">
        <f t="shared" si="819"/>
        <v>0.13</v>
      </c>
      <c r="AD288" s="173">
        <f t="shared" si="820"/>
        <v>0.09</v>
      </c>
      <c r="AE288" s="173">
        <f t="shared" si="821"/>
        <v>0.11</v>
      </c>
      <c r="AF288" s="174">
        <f t="shared" si="822"/>
        <v>0.13</v>
      </c>
      <c r="AG288" s="173">
        <f t="shared" si="823"/>
        <v>-0.25</v>
      </c>
      <c r="AH288" s="173">
        <f t="shared" si="824"/>
        <v>0.6</v>
      </c>
      <c r="AI288" s="174">
        <f t="shared" si="825"/>
        <v>0.25</v>
      </c>
      <c r="AJ288" s="173">
        <f t="shared" si="826"/>
        <v>-0.25</v>
      </c>
      <c r="AK288" s="173">
        <f t="shared" si="827"/>
        <v>0.6</v>
      </c>
      <c r="AL288" s="174">
        <f t="shared" si="828"/>
        <v>0.25</v>
      </c>
      <c r="AM288" s="173">
        <f t="shared" si="829"/>
        <v>-0.01</v>
      </c>
      <c r="AN288" s="173">
        <f t="shared" si="830"/>
        <v>0.16</v>
      </c>
      <c r="AO288" s="174">
        <f t="shared" si="831"/>
        <v>0.01</v>
      </c>
      <c r="AP288" s="173">
        <f t="shared" si="832"/>
        <v>-0.01</v>
      </c>
      <c r="AQ288" s="173">
        <f t="shared" si="833"/>
        <v>0.16</v>
      </c>
      <c r="AR288" s="175">
        <f t="shared" si="834"/>
        <v>0.01</v>
      </c>
      <c r="AS288" s="521">
        <f t="shared" si="835"/>
        <v>0.5</v>
      </c>
      <c r="AT288" s="349">
        <f t="shared" si="752"/>
        <v>21</v>
      </c>
      <c r="AU288" s="159">
        <f t="shared" si="753"/>
        <v>5</v>
      </c>
      <c r="AV288" s="159">
        <f t="shared" si="754"/>
        <v>4</v>
      </c>
      <c r="AW288" s="159">
        <f t="shared" si="836"/>
        <v>1</v>
      </c>
      <c r="AX288" s="15">
        <f t="shared" si="755"/>
        <v>31</v>
      </c>
      <c r="AY288" s="607">
        <f>IF(E288="",0,MIN((1-(1-VLOOKUP(B288,MAIN!$AA$7:$AM$28,C288+1))*(1-VLOOKUP(B288,MAIN!$AA$33:$AM$54,C288+1))),1))</f>
        <v>3.0000000000000027E-2</v>
      </c>
      <c r="AZ288" s="337">
        <v>48888</v>
      </c>
      <c r="BA288" s="509">
        <v>11640</v>
      </c>
      <c r="BB288" s="509">
        <v>11640</v>
      </c>
      <c r="BC288" s="511">
        <v>36084</v>
      </c>
      <c r="BD288" s="153">
        <v>0.97</v>
      </c>
      <c r="BE288" s="474">
        <v>0.97</v>
      </c>
      <c r="BF288" s="474">
        <v>0.97</v>
      </c>
      <c r="BG288" s="515">
        <v>0.97</v>
      </c>
      <c r="BH288" s="262">
        <v>195552</v>
      </c>
      <c r="BI288" s="509">
        <v>46560</v>
      </c>
      <c r="BJ288" s="509">
        <v>46560</v>
      </c>
      <c r="BK288" s="511">
        <v>144336</v>
      </c>
      <c r="BL288" s="153">
        <v>0.97</v>
      </c>
      <c r="BM288" s="474">
        <v>0.97</v>
      </c>
      <c r="BN288" s="474">
        <v>0.97</v>
      </c>
      <c r="BO288" s="474">
        <v>0.97</v>
      </c>
      <c r="BP288" s="261">
        <f t="shared" si="837"/>
        <v>72168</v>
      </c>
      <c r="BQ288" s="578">
        <f t="shared" si="838"/>
        <v>108252</v>
      </c>
      <c r="BR288" s="259">
        <f t="shared" si="839"/>
        <v>288672</v>
      </c>
      <c r="BS288" s="578">
        <f t="shared" si="840"/>
        <v>433008</v>
      </c>
      <c r="BT288" s="216">
        <f t="shared" si="841"/>
        <v>22.631074606433948</v>
      </c>
      <c r="BU288" s="218">
        <f t="shared" si="756"/>
        <v>61.790024677504526</v>
      </c>
      <c r="BV288" s="216">
        <f t="shared" si="757"/>
        <v>61.790024677504526</v>
      </c>
      <c r="BW288" s="216">
        <f t="shared" si="758"/>
        <v>38.724317185462553</v>
      </c>
      <c r="BX288" s="216">
        <f t="shared" si="842"/>
        <v>38.724317185462553</v>
      </c>
      <c r="BY288" s="216">
        <f t="shared" si="759"/>
        <v>58.069749275562273</v>
      </c>
      <c r="BZ288" s="216">
        <f t="shared" si="760"/>
        <v>51.621271912195695</v>
      </c>
      <c r="CA288" s="264">
        <f t="shared" si="761"/>
        <v>61.790024677504526</v>
      </c>
      <c r="CB288" s="216">
        <f t="shared" si="762"/>
        <v>61.790024677504526</v>
      </c>
      <c r="CC288" s="216">
        <f t="shared" si="763"/>
        <v>38.724317185462553</v>
      </c>
      <c r="CD288" s="216">
        <f t="shared" si="843"/>
        <v>38.724317185462553</v>
      </c>
      <c r="CE288" s="216">
        <f t="shared" si="764"/>
        <v>58.069749275562273</v>
      </c>
      <c r="CF288" s="571">
        <f t="shared" si="765"/>
        <v>51.621271912195695</v>
      </c>
      <c r="CG288" s="573">
        <f t="shared" si="766"/>
        <v>0.1</v>
      </c>
      <c r="CH288" s="219">
        <f t="shared" si="767"/>
        <v>0.1</v>
      </c>
      <c r="CI288" s="219">
        <f t="shared" si="768"/>
        <v>0.11</v>
      </c>
      <c r="CJ288" s="219">
        <f t="shared" si="769"/>
        <v>0.10108663013213723</v>
      </c>
      <c r="CK288" s="219">
        <f t="shared" si="770"/>
        <v>0.10108663013213723</v>
      </c>
      <c r="CL288" s="219">
        <f t="shared" si="771"/>
        <v>0.11</v>
      </c>
      <c r="CM288" s="219">
        <f t="shared" si="772"/>
        <v>9.3021282186609155E-2</v>
      </c>
      <c r="CN288" s="569">
        <f t="shared" si="773"/>
        <v>9.3021282186609155E-2</v>
      </c>
      <c r="CO288" s="264">
        <f t="shared" si="856"/>
        <v>32.540049585181464</v>
      </c>
      <c r="CP288" s="216">
        <f t="shared" si="844"/>
        <v>32.540049585181464</v>
      </c>
      <c r="CQ288" s="216">
        <f t="shared" ca="1" si="703"/>
        <v>32.540049585181464</v>
      </c>
      <c r="CR288" s="216">
        <f t="shared" ca="1" si="704"/>
        <v>32.540049585181464</v>
      </c>
      <c r="CS288" s="1626">
        <f t="shared" ca="1" si="705"/>
        <v>32.540049585181457</v>
      </c>
      <c r="CT288" s="216">
        <f t="shared" si="845"/>
        <v>32.540049585181464</v>
      </c>
      <c r="CU288" s="575">
        <f t="shared" si="774"/>
        <v>0.15</v>
      </c>
      <c r="CV288" s="154">
        <f t="shared" si="775"/>
        <v>0.5</v>
      </c>
      <c r="CW288" s="216">
        <f>IF(OR($BQ288,$BS288),SpreadOptPowerMargin,0)*((1+Assumptions!$C$26)^($B288-YEAR(Assumptions!$C$17)))</f>
        <v>2.6222601105500365</v>
      </c>
      <c r="CX288" s="216">
        <f>IF(OR($BQ288,$BS288),SpreadOptPowerMargin,0)*((1+Assumptions!$C$26)^($B288-YEAR(Assumptions!$C$17)))</f>
        <v>2.6222601105500365</v>
      </c>
      <c r="CY288" s="216">
        <f>IF(OR($BQ288,$BS288),SpreadOptPowerMargin,0)*((1+Assumptions!$C$26)^($B288-YEAR(Assumptions!$C$17)))</f>
        <v>2.6222601105500365</v>
      </c>
      <c r="CZ288" s="216">
        <f>IF(OR($BQ288,$BS288),SpreadOptPowerMargin,0)*((1+Assumptions!$C$26)^($B288-YEAR(Assumptions!$C$17)))</f>
        <v>2.6222601105500365</v>
      </c>
      <c r="DA288" s="440">
        <f t="shared" si="776"/>
        <v>2.6222601105500365</v>
      </c>
      <c r="DB288" s="479">
        <f t="shared" si="777"/>
        <v>0.1</v>
      </c>
      <c r="DC288" s="479">
        <f t="shared" si="778"/>
        <v>0.1</v>
      </c>
      <c r="DD288" s="479">
        <f t="shared" si="779"/>
        <v>0.11</v>
      </c>
      <c r="DE288" s="479">
        <f t="shared" si="780"/>
        <v>0.11</v>
      </c>
      <c r="DF288" s="479">
        <f t="shared" si="781"/>
        <v>9.3021282186609155E-2</v>
      </c>
      <c r="DG288" s="574">
        <f t="shared" si="782"/>
        <v>9.3021282186609155E-2</v>
      </c>
      <c r="DH288" s="216">
        <f t="shared" si="783"/>
        <v>29.128934168369113</v>
      </c>
      <c r="DI288" s="216">
        <f t="shared" si="784"/>
        <v>29.128934168369113</v>
      </c>
      <c r="DJ288" s="216">
        <f t="shared" ca="1" si="706"/>
        <v>10.654446520037274</v>
      </c>
      <c r="DK288" s="216">
        <f t="shared" ca="1" si="707"/>
        <v>10.654446520037274</v>
      </c>
      <c r="DL288" s="216">
        <f t="shared" ca="1" si="708"/>
        <v>20.237152016942048</v>
      </c>
      <c r="DM288" s="216"/>
      <c r="DN288" s="216"/>
      <c r="DO288" s="216"/>
      <c r="DP288" s="216"/>
      <c r="DQ288" s="216"/>
      <c r="DR288" s="216"/>
      <c r="DS288" s="216"/>
      <c r="DT288" s="216"/>
      <c r="DU288" s="216"/>
      <c r="DV288" s="216"/>
      <c r="DW288" s="1371">
        <f t="shared" si="785"/>
        <v>10.654446520037274</v>
      </c>
      <c r="DX288" s="216">
        <f t="shared" si="786"/>
        <v>10.654446520037274</v>
      </c>
      <c r="DY288" s="440">
        <f t="shared" si="787"/>
        <v>20.984267570717442</v>
      </c>
      <c r="DZ288" s="180">
        <f t="shared" si="788"/>
        <v>1424055.3336232293</v>
      </c>
      <c r="EA288" s="180">
        <f t="shared" si="789"/>
        <v>339060.79371981649</v>
      </c>
      <c r="EB288" s="180">
        <f t="shared" ca="1" si="709"/>
        <v>124017.75749323386</v>
      </c>
      <c r="EC288" s="180">
        <f t="shared" ca="1" si="710"/>
        <v>384455.04822902498</v>
      </c>
      <c r="ED288" s="180">
        <f t="shared" ca="1" si="711"/>
        <v>2190712.1801380105</v>
      </c>
      <c r="EE288" s="581">
        <f t="shared" si="790"/>
        <v>1301775.7300289196</v>
      </c>
      <c r="EF288" s="554">
        <f t="shared" si="791"/>
        <v>309946.60238783801</v>
      </c>
      <c r="EG288" s="554">
        <f t="shared" ca="1" si="712"/>
        <v>41461.76718046944</v>
      </c>
      <c r="EH288" s="554">
        <f t="shared" ca="1" si="713"/>
        <v>128531.47825945527</v>
      </c>
      <c r="EI288" s="561">
        <f t="shared" ca="1" si="792"/>
        <v>1781715.5778566827</v>
      </c>
      <c r="EJ288" s="581">
        <f t="shared" si="846"/>
        <v>122279.60359430965</v>
      </c>
      <c r="EK288" s="554">
        <f t="shared" si="847"/>
        <v>29114.19133197848</v>
      </c>
      <c r="EL288" s="554">
        <f t="shared" ca="1" si="714"/>
        <v>82555.990312764421</v>
      </c>
      <c r="EM288" s="554">
        <f t="shared" ca="1" si="715"/>
        <v>255923.56996956971</v>
      </c>
      <c r="EN288" s="561">
        <f t="shared" ca="1" si="716"/>
        <v>408996.60228132783</v>
      </c>
      <c r="EO288" s="180">
        <f t="shared" si="793"/>
        <v>5696221.3344929172</v>
      </c>
      <c r="EP288" s="180">
        <f t="shared" si="794"/>
        <v>1356243.1748792659</v>
      </c>
      <c r="EQ288" s="180">
        <f t="shared" si="795"/>
        <v>496071.02997293544</v>
      </c>
      <c r="ER288" s="180">
        <f t="shared" si="796"/>
        <v>1537820.1929160999</v>
      </c>
      <c r="ES288" s="180">
        <f t="shared" si="797"/>
        <v>9086355.7322612181</v>
      </c>
      <c r="ET288" s="1482">
        <f t="shared" ca="1" si="717"/>
        <v>5207102.9201156786</v>
      </c>
      <c r="EU288" s="180">
        <f t="shared" ca="1" si="718"/>
        <v>1239786.409551352</v>
      </c>
      <c r="EV288" s="180">
        <f t="shared" ca="1" si="719"/>
        <v>165847.06872187776</v>
      </c>
      <c r="EW288" s="180">
        <f t="shared" ca="1" si="720"/>
        <v>514125.91303782107</v>
      </c>
      <c r="EX288" s="555">
        <f t="shared" ca="1" si="693"/>
        <v>7126862.311426729</v>
      </c>
      <c r="EY288" s="180">
        <f t="shared" ca="1" si="721"/>
        <v>489118.4143772386</v>
      </c>
      <c r="EZ288" s="180">
        <f t="shared" ca="1" si="722"/>
        <v>116456.76532791392</v>
      </c>
      <c r="FA288" s="180">
        <f t="shared" ca="1" si="723"/>
        <v>330223.96125105768</v>
      </c>
      <c r="FB288" s="180">
        <f t="shared" ca="1" si="724"/>
        <v>1023694.2798782788</v>
      </c>
      <c r="FC288" s="180">
        <f t="shared" ca="1" si="725"/>
        <v>1959493.4208344892</v>
      </c>
      <c r="FD288" s="262">
        <f>IF(AX288,IF(VLOOKUP(C288,MAIN!$L$17:$M$28,2)="Yes",VLOOKUP(CALC!B288,MAIN!$H$17:$I$20,2),0),0)</f>
        <v>0</v>
      </c>
      <c r="FE288" s="623">
        <f t="shared" si="798"/>
        <v>0</v>
      </c>
      <c r="FF288" s="535">
        <f t="shared" si="799"/>
        <v>0</v>
      </c>
      <c r="FG288" s="535">
        <f t="shared" si="800"/>
        <v>0</v>
      </c>
      <c r="FH288" s="624">
        <f t="shared" si="801"/>
        <v>0</v>
      </c>
      <c r="FI288" s="632">
        <f>IF(AX288,VLOOKUP(CALC!B288,MAIN!$H$17:$K$20,4),0)</f>
        <v>0</v>
      </c>
      <c r="FJ288" s="535">
        <f t="shared" si="802"/>
        <v>0</v>
      </c>
      <c r="FK288" s="648">
        <f t="shared" si="848"/>
        <v>0</v>
      </c>
      <c r="FL288" s="530">
        <f t="shared" ca="1" si="726"/>
        <v>0</v>
      </c>
      <c r="FM288" s="530">
        <f t="shared" ca="1" si="727"/>
        <v>0</v>
      </c>
      <c r="FN288" s="530">
        <f t="shared" ca="1" si="728"/>
        <v>0</v>
      </c>
      <c r="FO288" s="622">
        <f t="shared" ca="1" si="729"/>
        <v>0</v>
      </c>
      <c r="FP288" s="530">
        <f t="shared" ca="1" si="730"/>
        <v>0</v>
      </c>
      <c r="FQ288" s="530">
        <f t="shared" ca="1" si="731"/>
        <v>0</v>
      </c>
      <c r="FR288" s="530">
        <f t="shared" ca="1" si="732"/>
        <v>0</v>
      </c>
      <c r="FS288" s="625">
        <f t="shared" ca="1" si="733"/>
        <v>0</v>
      </c>
      <c r="FT288" s="640">
        <f ca="1">IF(AND(Assumptions!$H$71="Yes",A288&gt;=Assumptions!$H$72,A288&lt;=Assumptions!$H$73),0,IF(AND($A288&gt;=Assumptions!$C$17,$A288&lt;=Assumptions!$C$18),MAX(AZ288*(1+VLOOKUP($C288,WeatherCapacityAdjustment,2))-FL288,0),0))</f>
        <v>48888</v>
      </c>
      <c r="FU288" s="530">
        <f ca="1">IF(AND(Assumptions!$H$71="Yes",A288&gt;=Assumptions!$H$72,A288&lt;=Assumptions!$H$73),0,IF(AND($A288&gt;=Assumptions!$C$17,$A288&lt;=Assumptions!$C$18),MAX(BA288*(1+VLOOKUP($C288,WeatherCapacityAdjustment,2))-FM288,0),0))</f>
        <v>11640</v>
      </c>
      <c r="FV288" s="530">
        <f ca="1">IF(AND(Assumptions!$H$71="Yes",A288&gt;=Assumptions!$H$72,A288&lt;=Assumptions!$H$73),0,IF(AND($A288&gt;=Assumptions!$C$17,$A288&lt;=Assumptions!$C$18),MAX(BB288*(1+VLOOKUP($C288,WeatherCapacityAdjustment,2))-FN288,0),0))</f>
        <v>11640</v>
      </c>
      <c r="FW288" s="622">
        <f ca="1">IF(AND(Assumptions!$H$71="Yes",A288&gt;=Assumptions!$H$72,A288&lt;=Assumptions!$H$73),0,IF(AND($A288&gt;=Assumptions!$C$17,$A288&lt;=Assumptions!$C$18),MAX(BC288*(1+VLOOKUP($C288,WeatherCapacityAdjustment,3))-FO288,0),0))</f>
        <v>36084</v>
      </c>
      <c r="FX288" s="621">
        <f ca="1">IF(AND(Assumptions!$H$71="Yes",A288&gt;=Assumptions!$H$72,A288&lt;=Assumptions!$H$73),0,IF(ET288&gt;0,MAX(BH288*(1+VLOOKUP($C288,WeatherCapacityAdjustment,2))-FP288,0),0))</f>
        <v>195552</v>
      </c>
      <c r="FY288" s="530">
        <f ca="1">IF(AND(Assumptions!$H$71="Yes",A288&gt;=Assumptions!$H$72,A288&lt;=Assumptions!$H$73),0,IF(EU288&gt;0,MAX(BI288*(1+VLOOKUP($C288,WeatherCapacityAdjustment,3))-FQ288,0),0))</f>
        <v>46560</v>
      </c>
      <c r="FZ288" s="530">
        <f ca="1">IF(AND(Assumptions!$H$71="Yes",A288&gt;=Assumptions!$H$72,A288&lt;=Assumptions!$H$73),0,IF(EV288&gt;0,MAX(BJ288*(1+VLOOKUP($C288,WeatherCapacityAdjustment,2))-FR288,0),0))</f>
        <v>46560</v>
      </c>
      <c r="GA288" s="622">
        <f ca="1">IF(AND(Assumptions!$H$71="Yes",A288&gt;=Assumptions!$H$72,A288&lt;=Assumptions!$H$73),0,IF(EW288&gt;0,MAX(BK288*(1+VLOOKUP($C288,WeatherCapacityAdjustment,2))-FS288,0),0))</f>
        <v>144336</v>
      </c>
      <c r="GB288" s="530">
        <f t="shared" ca="1" si="803"/>
        <v>541260</v>
      </c>
      <c r="GC288" s="545">
        <f t="shared" ca="1" si="804"/>
        <v>51.621271912195695</v>
      </c>
      <c r="GD288" s="530">
        <f t="shared" ca="1" si="734"/>
        <v>27940529.635195043</v>
      </c>
      <c r="GE288" s="1485">
        <f t="shared" ca="1" si="735"/>
        <v>767918.03760000004</v>
      </c>
      <c r="GF288" s="1776">
        <f t="shared" ca="1" si="736"/>
        <v>3071672.1504000002</v>
      </c>
      <c r="GG288" s="545">
        <f t="shared" si="701"/>
        <v>4.5871112217967047</v>
      </c>
      <c r="GH288" s="622">
        <f t="shared" ca="1" si="702"/>
        <v>17612627.238475319</v>
      </c>
      <c r="GI288" s="621">
        <f t="shared" ca="1" si="849"/>
        <v>541260</v>
      </c>
      <c r="GJ288" s="638">
        <f t="shared" si="805"/>
        <v>2.6222601105500365</v>
      </c>
      <c r="GK288" s="625">
        <f t="shared" ca="1" si="855"/>
        <v>1419324.5074363127</v>
      </c>
      <c r="GL288" s="640">
        <f t="shared" ca="1" si="737"/>
        <v>0</v>
      </c>
      <c r="GM288" s="530">
        <f t="shared" ca="1" si="738"/>
        <v>0</v>
      </c>
      <c r="GN288" s="530">
        <f t="shared" ca="1" si="739"/>
        <v>0</v>
      </c>
      <c r="GO288" s="622">
        <f t="shared" ca="1" si="740"/>
        <v>0</v>
      </c>
      <c r="GP288" s="530">
        <f t="shared" ca="1" si="806"/>
        <v>0</v>
      </c>
      <c r="GQ288" s="545">
        <f t="shared" ca="1" si="807"/>
        <v>0</v>
      </c>
      <c r="GR288" s="625">
        <f t="shared" ca="1" si="741"/>
        <v>0</v>
      </c>
      <c r="GS288" s="640">
        <f>IF($A288&gt;=BegDate,Assumptions!$C$56*24*($A289-$A288)*(1-VLOOKUP($B288,MAIN!$AA$7:$AM$28,$C288+1))*(1-VLOOKUP($B288,MAIN!$AA$33:$AM$54,$C288+1)),0)*80/168</f>
        <v>257742.85714285713</v>
      </c>
      <c r="GT288" s="1715">
        <f t="shared" si="850"/>
        <v>61.790024677504526</v>
      </c>
      <c r="GU288" s="1715">
        <f>IF($A288&gt;=BegDate,VLOOKUP($A288,GasTable,13)+Assumptions!$C$58,0)</f>
        <v>4.5871112217967047</v>
      </c>
      <c r="GV288" s="1715">
        <f>GU288*Assumptions!$C$57/1000</f>
        <v>33.25655635802611</v>
      </c>
      <c r="GW288" s="625">
        <f>IF(Assumptions!$C$60="Hourly",MAX(0,GS288*(GT288-GV288)),GS288*(GT288-GV288))</f>
        <v>7354297.6488575656</v>
      </c>
      <c r="GX288" s="640">
        <f>IF($A288&gt;=BegDate,Assumptions!$C$56*24*($A289-$A288)*(1-VLOOKUP($B288,MAIN!$AA$7:$AM$28,$C288+1))*(1-VLOOKUP($B288,MAIN!$AA$33:$AM$54,$C288+1)),0)*16/168</f>
        <v>51548.571428571428</v>
      </c>
      <c r="GY288" s="1715">
        <f t="shared" si="851"/>
        <v>61.790024677504526</v>
      </c>
      <c r="GZ288" s="1715">
        <f>IF($A288&gt;=BegDate,VLOOKUP($A288,GasTable,13)+Assumptions!$C$58,0)</f>
        <v>4.5871112217967047</v>
      </c>
      <c r="HA288" s="1715">
        <f>GZ288*Assumptions!$C$57/1000</f>
        <v>33.25655635802611</v>
      </c>
      <c r="HB288" s="625">
        <f>IF(Assumptions!$C$60="Hourly",MAX(0,GX288*(GY288-HA288)),GX288*(GY288-HA288))</f>
        <v>1470859.5297715131</v>
      </c>
      <c r="HC288" s="640">
        <f>IF($A288&gt;=BegDate,Assumptions!$C$56*24*($A289-$A288)*(1-VLOOKUP($B288,MAIN!$AA$7:$AM$28,$C288+1))*(1-VLOOKUP($B288,MAIN!$AA$33:$AM$54,$C288+1)),0)*16/168</f>
        <v>51548.571428571428</v>
      </c>
      <c r="HD288" s="1715">
        <f t="shared" si="852"/>
        <v>38.724317185462553</v>
      </c>
      <c r="HE288" s="1715">
        <f>IF($A288&gt;=BegDate,VLOOKUP($A288,GasTable,13)+Assumptions!$C$58,0)</f>
        <v>4.5871112217967047</v>
      </c>
      <c r="HF288" s="1715">
        <f>HE288*Assumptions!$C$57/1000</f>
        <v>33.25655635802611</v>
      </c>
      <c r="HG288" s="625">
        <f>IF(Assumptions!$C$60="Hourly",MAX(0,HC288*(HD288-HF288)),HC288*(HD288-HF288))</f>
        <v>281855.2595674523</v>
      </c>
      <c r="HH288" s="640">
        <f>IF($A288&gt;=BegDate,Assumptions!$C$56*24*($A289-$A288)*(1-VLOOKUP($B288,MAIN!$AA$7:$AM$28,$C288+1))*(1-VLOOKUP($B288,MAIN!$AA$33:$AM$54,$C288+1)),0)*56/168</f>
        <v>180420</v>
      </c>
      <c r="HI288" s="1715">
        <f t="shared" si="853"/>
        <v>38.724317185462553</v>
      </c>
      <c r="HJ288" s="1715">
        <f>IF($A288&gt;=BegDate,VLOOKUP($A288,GasTable,13)+Assumptions!$C$58,0)</f>
        <v>4.5871112217967047</v>
      </c>
      <c r="HK288" s="1715">
        <f>HJ288*Assumptions!$C$57/1000</f>
        <v>33.25655635802611</v>
      </c>
      <c r="HL288" s="625">
        <f>IF(Assumptions!$C$60="Hourly",MAX(0,HH288*(HI288-HK288)),HH288*(HI288-HK288))</f>
        <v>986493.40848608303</v>
      </c>
      <c r="HM288" s="640">
        <f>IF(AND(Assumptions!$H$71="Yes",A288&gt;=Assumptions!$H$72,A288&lt;=Assumptions!$H$73),Assumptions!$H$74*Assumptions!$C$9*1000,0)</f>
        <v>0</v>
      </c>
      <c r="HN288" s="530"/>
      <c r="HO288" s="545"/>
      <c r="HP288" s="545"/>
      <c r="HQ288" s="545"/>
      <c r="HR288" s="545"/>
      <c r="HS288" s="545"/>
      <c r="HT288" s="545"/>
      <c r="HU288" s="545"/>
      <c r="HV288" s="545"/>
      <c r="HW288" s="545"/>
      <c r="HX288" s="545"/>
      <c r="HY288" s="545"/>
      <c r="HZ288" s="545"/>
      <c r="IA288" s="545"/>
      <c r="IB288" s="545"/>
      <c r="IC288" s="545"/>
      <c r="ID288" s="545"/>
      <c r="IE288" s="545"/>
      <c r="IF288" s="545"/>
      <c r="IG288" s="545"/>
      <c r="IH288" s="545"/>
      <c r="II288" s="1464"/>
      <c r="IJ288" s="1463"/>
      <c r="IK288" s="1463"/>
    </row>
    <row r="289" spans="1:245">
      <c r="A289" s="177">
        <f t="shared" si="808"/>
        <v>44927</v>
      </c>
      <c r="B289" s="349">
        <f t="shared" si="809"/>
        <v>2023</v>
      </c>
      <c r="C289" s="15">
        <f>MONTH(A289)</f>
        <v>1</v>
      </c>
      <c r="D289" s="612" t="str">
        <f t="shared" si="810"/>
        <v/>
      </c>
      <c r="E289" s="609" t="str">
        <f>IF(OR(BegDate&gt;=A290,EndDate&lt;A289,AND(VolumeMonthlyOverFlag,INDEX(VolumeMonthlyOver,C289)=0),NOT(INDEX(MonthKnockOutTable,C289))),"",MAX(A289,BegDate))</f>
        <v/>
      </c>
      <c r="F289" s="614" t="str">
        <f>IF(E289="","",MIN(A290-1,EndDate))</f>
        <v/>
      </c>
      <c r="G289" s="1349">
        <v>0</v>
      </c>
      <c r="H289" s="152">
        <f t="shared" si="854"/>
        <v>1</v>
      </c>
      <c r="I289" s="154">
        <f>IF(Assumptions!$L$25=4,VLOOKUP($A289,'Henwood Reference'!$E$9:$R$320,10),(VLOOKUP($A289,PriceTable,2,0)+IF(BasisNumber&lt;&gt;1,VLOOKUP($A289,BasisTable,2,0),0)+I$1)/(1-I$2))</f>
        <v>65.188857891745954</v>
      </c>
      <c r="J289" s="154">
        <f>IF(Assumptions!$L$25=4,VLOOKUP($A289,'Henwood Reference'!$E$9:$R$320,10),(VLOOKUP($A289,PriceTable,3,0)+IF(BasisNumber&lt;&gt;1,VLOOKUP($A289,BasisTable,2,0),0)+J$1)/(1-J$2))</f>
        <v>65.188857891745954</v>
      </c>
      <c r="K289" s="154">
        <f>IF(Assumptions!$L$25=4,VLOOKUP($A289,'Henwood Reference'!$E$9:$R$320,10),(VLOOKUP($A289,PriceTable,4,0)+IF(BasisNumber&lt;&gt;1,VLOOKUP($A289,BasisTable,2,0),0)+K$1)/(1-K$2))</f>
        <v>65.188857891745954</v>
      </c>
      <c r="L289" s="474">
        <f>IF(Assumptions!$L$25=4,VLOOKUP($A289,'Henwood Reference'!$E$9:$R$320,10),(VLOOKUP($A289,PriceTableWeekend,2,0)+IF(BasisNumber&lt;&gt;1,VLOOKUP($A289,BasisTable,2,0),0)+L$1)/(1-L$2))</f>
        <v>65.188857891745954</v>
      </c>
      <c r="M289" s="154">
        <f>IF(Assumptions!$L$25=4,VLOOKUP($A289,'Henwood Reference'!$E$9:$R$320,10),(VLOOKUP($A289,PriceTableWeekend,3,0)+IF(BasisNumber&lt;&gt;1,VLOOKUP($A289,BasisTable,2,0),0)+M$1)/(1-M$2))</f>
        <v>65.188857891745954</v>
      </c>
      <c r="N289" s="156">
        <f>IF(Assumptions!$L$25=4,VLOOKUP($A289,'Henwood Reference'!$E$9:$R$320,10),(VLOOKUP($A289,PriceTableWeekend,4,0)+IF(BasisNumber&lt;&gt;1,VLOOKUP($A289,BasisTable,2,0),0)+N$1)/(1-N$2))</f>
        <v>65.188857891745954</v>
      </c>
      <c r="O289" s="154">
        <f>IF(Assumptions!$L$25=4,VLOOKUP($A289,'Henwood Reference'!$E$9:$R$320,11),(VLOOKUP($A289,PriceTableWeekend,6,0)+IF(BasisNumber&lt;&gt;1,VLOOKUP($A289,BasisTable,3,0),0)+O$1)/(1-O$2))</f>
        <v>36.741279785880302</v>
      </c>
      <c r="P289" s="154">
        <f>IF(Assumptions!$L$25=4,VLOOKUP($A289,'Henwood Reference'!$E$9:$R$320,11),(VLOOKUP($A289,PriceTableWeekend,7,0)+IF(BasisNumber&lt;&gt;1,VLOOKUP($A289,BasisTable,3,0),0)+P$1)/(1-P$2))</f>
        <v>36.741279785880302</v>
      </c>
      <c r="Q289" s="156">
        <f>IF(Assumptions!$L$25=4,VLOOKUP($A289,'Henwood Reference'!$E$9:$R$320,11),(VLOOKUP($A289,PriceTableWeekend,8,0)+IF(BasisNumber&lt;&gt;1,VLOOKUP($A289,BasisTable,3,0),0)+Q$1)/(1-Q$2))</f>
        <v>36.741279785880302</v>
      </c>
      <c r="R289" s="154">
        <f>IF(Assumptions!$L$25=4,VLOOKUP($A289,'Henwood Reference'!$E$9:$R$320,11),(VLOOKUP($A289,PriceTable,6,0)+IF(BasisNumber&lt;&gt;1,VLOOKUP($A289,BasisTable,3,0),0)+R$1)/(1-R$2))</f>
        <v>36.741279785880302</v>
      </c>
      <c r="S289" s="154">
        <f>IF(Assumptions!$L$25=4,VLOOKUP($A289,'Henwood Reference'!$E$9:$R$320,11),(VLOOKUP($A289,PriceTable,7,0)+IF(BasisNumber&lt;&gt;1,VLOOKUP($A289,BasisTable,3,0),0)+S$1)/(1-S$2))</f>
        <v>36.741279785880302</v>
      </c>
      <c r="T289" s="155">
        <f>IF(Assumptions!$L$25=4,VLOOKUP($A289,'Henwood Reference'!$E$9:$R$320,11),(VLOOKUP($A289,PriceTable,8,0)+IF(BasisNumber&lt;&gt;1,VLOOKUP($A289,BasisTable,3,0),0)+T$1)/(1-T$2))</f>
        <v>36.741279785880302</v>
      </c>
      <c r="U289" s="173">
        <f t="shared" si="811"/>
        <v>0.09</v>
      </c>
      <c r="V289" s="173">
        <f t="shared" si="812"/>
        <v>0.1</v>
      </c>
      <c r="W289" s="174">
        <f t="shared" si="813"/>
        <v>0.11</v>
      </c>
      <c r="X289" s="173">
        <f t="shared" si="814"/>
        <v>0.09</v>
      </c>
      <c r="Y289" s="173">
        <f t="shared" si="815"/>
        <v>0.1</v>
      </c>
      <c r="Z289" s="174">
        <f t="shared" si="816"/>
        <v>0.11</v>
      </c>
      <c r="AA289" s="173">
        <f t="shared" si="817"/>
        <v>0.09</v>
      </c>
      <c r="AB289" s="173">
        <f t="shared" si="818"/>
        <v>0.11</v>
      </c>
      <c r="AC289" s="174">
        <f t="shared" si="819"/>
        <v>0.13</v>
      </c>
      <c r="AD289" s="173">
        <f t="shared" si="820"/>
        <v>0.09</v>
      </c>
      <c r="AE289" s="173">
        <f t="shared" si="821"/>
        <v>0.11</v>
      </c>
      <c r="AF289" s="174">
        <f t="shared" si="822"/>
        <v>0.13</v>
      </c>
      <c r="AG289" s="173">
        <f t="shared" si="823"/>
        <v>-0.25</v>
      </c>
      <c r="AH289" s="173">
        <f t="shared" si="824"/>
        <v>0.6</v>
      </c>
      <c r="AI289" s="174">
        <f t="shared" si="825"/>
        <v>0.25</v>
      </c>
      <c r="AJ289" s="173">
        <f t="shared" si="826"/>
        <v>-0.25</v>
      </c>
      <c r="AK289" s="173">
        <f t="shared" si="827"/>
        <v>0.6</v>
      </c>
      <c r="AL289" s="174">
        <f t="shared" si="828"/>
        <v>0.25</v>
      </c>
      <c r="AM289" s="173">
        <f t="shared" si="829"/>
        <v>-0.01</v>
      </c>
      <c r="AN289" s="173">
        <f t="shared" si="830"/>
        <v>0.16</v>
      </c>
      <c r="AO289" s="174">
        <f t="shared" si="831"/>
        <v>0.01</v>
      </c>
      <c r="AP289" s="173">
        <f t="shared" si="832"/>
        <v>-0.01</v>
      </c>
      <c r="AQ289" s="173">
        <f t="shared" si="833"/>
        <v>0.16</v>
      </c>
      <c r="AR289" s="175">
        <f t="shared" si="834"/>
        <v>0.01</v>
      </c>
      <c r="AS289" s="521">
        <f t="shared" si="835"/>
        <v>0.5</v>
      </c>
      <c r="AT289" s="349">
        <f>AX289-SUM(AU289:AW289)</f>
        <v>0</v>
      </c>
      <c r="AU289" s="159">
        <f t="shared" si="753"/>
        <v>0</v>
      </c>
      <c r="AV289" s="159">
        <f t="shared" si="754"/>
        <v>0</v>
      </c>
      <c r="AW289" s="159">
        <f t="shared" si="836"/>
        <v>0</v>
      </c>
      <c r="AX289" s="15">
        <f>IF(E289="",0,F289-E289+1)</f>
        <v>0</v>
      </c>
      <c r="AY289" s="607">
        <f>IF(E289="",0,MIN((1-(1-VLOOKUP(B289,MAIN!$AA$7:$AM$28,C289+1))*(1-VLOOKUP(B289,MAIN!$AA$33:$AM$54,C289+1))),1))</f>
        <v>0</v>
      </c>
      <c r="AZ289" s="337">
        <v>0</v>
      </c>
      <c r="BA289" s="509">
        <v>0</v>
      </c>
      <c r="BB289" s="509">
        <v>0</v>
      </c>
      <c r="BC289" s="511">
        <v>0</v>
      </c>
      <c r="BD289" s="153">
        <v>0</v>
      </c>
      <c r="BE289" s="474">
        <v>0</v>
      </c>
      <c r="BF289" s="474">
        <v>0</v>
      </c>
      <c r="BG289" s="515">
        <v>0</v>
      </c>
      <c r="BH289" s="262">
        <v>0</v>
      </c>
      <c r="BI289" s="509">
        <v>0</v>
      </c>
      <c r="BJ289" s="509">
        <v>0</v>
      </c>
      <c r="BK289" s="511">
        <v>0</v>
      </c>
      <c r="BL289" s="153">
        <v>0</v>
      </c>
      <c r="BM289" s="474">
        <v>0</v>
      </c>
      <c r="BN289" s="474">
        <v>0</v>
      </c>
      <c r="BO289" s="474">
        <v>0</v>
      </c>
      <c r="BP289" s="261">
        <f t="shared" si="837"/>
        <v>0</v>
      </c>
      <c r="BQ289" s="578">
        <f t="shared" si="838"/>
        <v>0</v>
      </c>
      <c r="BR289" s="259">
        <f t="shared" si="839"/>
        <v>0</v>
      </c>
      <c r="BS289" s="578">
        <f t="shared" si="840"/>
        <v>0</v>
      </c>
      <c r="BT289" s="216">
        <f t="shared" si="841"/>
        <v>22.715947980835043</v>
      </c>
      <c r="BU289" s="218">
        <f t="shared" si="756"/>
        <v>0</v>
      </c>
      <c r="BV289" s="216">
        <f t="shared" si="757"/>
        <v>0</v>
      </c>
      <c r="BW289" s="216">
        <f t="shared" si="758"/>
        <v>0</v>
      </c>
      <c r="BX289" s="216">
        <f t="shared" si="842"/>
        <v>0</v>
      </c>
      <c r="BY289" s="216">
        <f t="shared" si="759"/>
        <v>0</v>
      </c>
      <c r="BZ289" s="216">
        <f t="shared" si="760"/>
        <v>0</v>
      </c>
      <c r="CA289" s="264">
        <f t="shared" si="761"/>
        <v>0</v>
      </c>
      <c r="CB289" s="216">
        <f t="shared" si="762"/>
        <v>0</v>
      </c>
      <c r="CC289" s="216">
        <f t="shared" si="763"/>
        <v>0</v>
      </c>
      <c r="CD289" s="216">
        <f t="shared" si="843"/>
        <v>0</v>
      </c>
      <c r="CE289" s="216">
        <f t="shared" si="764"/>
        <v>0</v>
      </c>
      <c r="CF289" s="571">
        <f t="shared" si="765"/>
        <v>0</v>
      </c>
      <c r="CG289" s="573" t="str">
        <f t="shared" si="766"/>
        <v/>
      </c>
      <c r="CH289" s="219" t="str">
        <f t="shared" si="767"/>
        <v/>
      </c>
      <c r="CI289" s="219" t="str">
        <f t="shared" si="768"/>
        <v/>
      </c>
      <c r="CJ289" s="219" t="str">
        <f t="shared" si="769"/>
        <v/>
      </c>
      <c r="CK289" s="219" t="str">
        <f t="shared" si="770"/>
        <v/>
      </c>
      <c r="CL289" s="219" t="str">
        <f t="shared" si="771"/>
        <v/>
      </c>
      <c r="CM289" s="219" t="str">
        <f t="shared" si="772"/>
        <v/>
      </c>
      <c r="CN289" s="569" t="str">
        <f t="shared" si="773"/>
        <v/>
      </c>
      <c r="CO289" s="264">
        <f t="shared" si="856"/>
        <v>0</v>
      </c>
      <c r="CP289" s="216">
        <f t="shared" si="844"/>
        <v>0</v>
      </c>
      <c r="CQ289" s="216">
        <f t="shared" si="703"/>
        <v>0</v>
      </c>
      <c r="CR289" s="216">
        <f t="shared" si="704"/>
        <v>0</v>
      </c>
      <c r="CS289" s="1626">
        <f t="shared" si="705"/>
        <v>0</v>
      </c>
      <c r="CT289" s="216">
        <f t="shared" si="845"/>
        <v>0</v>
      </c>
      <c r="CU289" s="575" t="str">
        <f t="shared" si="774"/>
        <v/>
      </c>
      <c r="CV289" s="154" t="str">
        <f t="shared" si="775"/>
        <v/>
      </c>
      <c r="CW289" s="216">
        <f>IF(OR($BQ289,$BS289),SpreadOptPowerMargin,0)*((1+Assumptions!$C$26)^($B289-YEAR(Assumptions!$C$17)))</f>
        <v>0</v>
      </c>
      <c r="CX289" s="216">
        <f>IF(OR($BQ289,$BS289),SpreadOptPowerMargin,0)*((1+Assumptions!$C$26)^($B289-YEAR(Assumptions!$C$17)))</f>
        <v>0</v>
      </c>
      <c r="CY289" s="216">
        <f>IF(OR($BQ289,$BS289),SpreadOptPowerMargin,0)*((1+Assumptions!$C$26)^($B289-YEAR(Assumptions!$C$17)))</f>
        <v>0</v>
      </c>
      <c r="CZ289" s="216">
        <f>IF(OR($BQ289,$BS289),SpreadOptPowerMargin,0)*((1+Assumptions!$C$26)^($B289-YEAR(Assumptions!$C$17)))</f>
        <v>0</v>
      </c>
      <c r="DA289" s="440">
        <f t="shared" si="776"/>
        <v>0</v>
      </c>
      <c r="DB289" s="479" t="str">
        <f t="shared" si="777"/>
        <v/>
      </c>
      <c r="DC289" s="479" t="str">
        <f t="shared" si="778"/>
        <v/>
      </c>
      <c r="DD289" s="479" t="str">
        <f t="shared" si="779"/>
        <v/>
      </c>
      <c r="DE289" s="479" t="str">
        <f t="shared" si="780"/>
        <v/>
      </c>
      <c r="DF289" s="479" t="str">
        <f t="shared" si="781"/>
        <v/>
      </c>
      <c r="DG289" s="574" t="str">
        <f t="shared" si="782"/>
        <v/>
      </c>
      <c r="DH289" s="216">
        <f t="shared" si="783"/>
        <v>0</v>
      </c>
      <c r="DI289" s="216">
        <f t="shared" si="784"/>
        <v>0</v>
      </c>
      <c r="DJ289" s="216">
        <f t="shared" si="706"/>
        <v>0</v>
      </c>
      <c r="DK289" s="216">
        <f t="shared" si="707"/>
        <v>0</v>
      </c>
      <c r="DL289" s="216">
        <f t="shared" si="708"/>
        <v>0</v>
      </c>
      <c r="DM289" s="216"/>
      <c r="DN289" s="216"/>
      <c r="DO289" s="216"/>
      <c r="DP289" s="216"/>
      <c r="DQ289" s="216"/>
      <c r="DR289" s="216"/>
      <c r="DS289" s="216"/>
      <c r="DT289" s="216"/>
      <c r="DU289" s="216"/>
      <c r="DV289" s="216"/>
      <c r="DW289" s="1371">
        <f t="shared" si="785"/>
        <v>0</v>
      </c>
      <c r="DX289" s="216">
        <f t="shared" si="786"/>
        <v>0</v>
      </c>
      <c r="DY289" s="440">
        <f t="shared" si="787"/>
        <v>0</v>
      </c>
      <c r="DZ289" s="180">
        <f t="shared" si="788"/>
        <v>0</v>
      </c>
      <c r="EA289" s="180">
        <f t="shared" si="789"/>
        <v>0</v>
      </c>
      <c r="EB289" s="180">
        <f t="shared" si="709"/>
        <v>0</v>
      </c>
      <c r="EC289" s="180">
        <f t="shared" si="710"/>
        <v>0</v>
      </c>
      <c r="ED289" s="180">
        <f t="shared" si="711"/>
        <v>0</v>
      </c>
      <c r="EE289" s="581">
        <f t="shared" si="790"/>
        <v>0</v>
      </c>
      <c r="EF289" s="554">
        <f t="shared" si="791"/>
        <v>0</v>
      </c>
      <c r="EG289" s="554">
        <f t="shared" si="712"/>
        <v>0</v>
      </c>
      <c r="EH289" s="554">
        <f t="shared" si="713"/>
        <v>0</v>
      </c>
      <c r="EI289" s="561">
        <f t="shared" si="792"/>
        <v>0</v>
      </c>
      <c r="EJ289" s="581">
        <f t="shared" si="846"/>
        <v>0</v>
      </c>
      <c r="EK289" s="554">
        <f t="shared" si="847"/>
        <v>0</v>
      </c>
      <c r="EL289" s="554">
        <f t="shared" si="714"/>
        <v>0</v>
      </c>
      <c r="EM289" s="554">
        <f t="shared" si="715"/>
        <v>0</v>
      </c>
      <c r="EN289" s="561">
        <f t="shared" si="716"/>
        <v>0</v>
      </c>
      <c r="EO289" s="180">
        <f t="shared" si="793"/>
        <v>0</v>
      </c>
      <c r="EP289" s="180">
        <f t="shared" si="794"/>
        <v>0</v>
      </c>
      <c r="EQ289" s="180">
        <f t="shared" si="795"/>
        <v>0</v>
      </c>
      <c r="ER289" s="180">
        <f t="shared" si="796"/>
        <v>0</v>
      </c>
      <c r="ES289" s="180">
        <f t="shared" si="797"/>
        <v>0</v>
      </c>
      <c r="ET289" s="1482">
        <f t="shared" si="717"/>
        <v>0</v>
      </c>
      <c r="EU289" s="180">
        <f t="shared" si="718"/>
        <v>0</v>
      </c>
      <c r="EV289" s="180">
        <f t="shared" si="719"/>
        <v>0</v>
      </c>
      <c r="EW289" s="180">
        <f t="shared" si="720"/>
        <v>0</v>
      </c>
      <c r="EX289" s="555">
        <f t="shared" si="693"/>
        <v>0</v>
      </c>
      <c r="EY289" s="180">
        <f t="shared" si="721"/>
        <v>0</v>
      </c>
      <c r="EZ289" s="180">
        <f t="shared" si="722"/>
        <v>0</v>
      </c>
      <c r="FA289" s="180">
        <f t="shared" si="723"/>
        <v>0</v>
      </c>
      <c r="FB289" s="180">
        <f t="shared" si="724"/>
        <v>0</v>
      </c>
      <c r="FC289" s="180">
        <f t="shared" si="725"/>
        <v>0</v>
      </c>
      <c r="FD289" s="262">
        <f>IF(AX289,IF(VLOOKUP(C289,MAIN!$L$17:$M$28,2)="Yes",VLOOKUP(CALC!B289,MAIN!$H$17:$I$20,2),0),0)</f>
        <v>0</v>
      </c>
      <c r="FE289" s="623">
        <f t="shared" si="798"/>
        <v>0</v>
      </c>
      <c r="FF289" s="535">
        <f t="shared" si="799"/>
        <v>0</v>
      </c>
      <c r="FG289" s="535">
        <f t="shared" si="800"/>
        <v>0</v>
      </c>
      <c r="FH289" s="624">
        <f t="shared" si="801"/>
        <v>0</v>
      </c>
      <c r="FI289" s="632">
        <f>IF(AX289,VLOOKUP(CALC!B289,MAIN!$H$17:$K$20,4),0)</f>
        <v>0</v>
      </c>
      <c r="FJ289" s="535">
        <f t="shared" si="802"/>
        <v>0</v>
      </c>
      <c r="FK289" s="648">
        <f t="shared" si="848"/>
        <v>0</v>
      </c>
      <c r="FL289" s="530">
        <f t="shared" si="726"/>
        <v>0</v>
      </c>
      <c r="FM289" s="530">
        <f t="shared" si="727"/>
        <v>0</v>
      </c>
      <c r="FN289" s="530">
        <f t="shared" si="728"/>
        <v>0</v>
      </c>
      <c r="FO289" s="622">
        <f t="shared" si="729"/>
        <v>0</v>
      </c>
      <c r="FP289" s="530">
        <f t="shared" si="730"/>
        <v>0</v>
      </c>
      <c r="FQ289" s="530">
        <f t="shared" si="731"/>
        <v>0</v>
      </c>
      <c r="FR289" s="530">
        <f t="shared" si="732"/>
        <v>0</v>
      </c>
      <c r="FS289" s="625">
        <f t="shared" si="733"/>
        <v>0</v>
      </c>
      <c r="FT289" s="640">
        <f>IF(AND(Assumptions!$H$71="Yes",A289&gt;=Assumptions!$H$72,A289&lt;=Assumptions!$H$73),0,IF(AND($A289&gt;=Assumptions!$C$17,$A289&lt;=Assumptions!$C$18),MAX(AZ289*(1+VLOOKUP($C289,WeatherCapacityAdjustment,2))-FL289,0),0))</f>
        <v>0</v>
      </c>
      <c r="FU289" s="530">
        <f>IF(AND(Assumptions!$H$71="Yes",A289&gt;=Assumptions!$H$72,A289&lt;=Assumptions!$H$73),0,IF(AND($A289&gt;=Assumptions!$C$17,$A289&lt;=Assumptions!$C$18),MAX(BA289*(1+VLOOKUP($C289,WeatherCapacityAdjustment,2))-FM289,0),0))</f>
        <v>0</v>
      </c>
      <c r="FV289" s="530">
        <f>IF(AND(Assumptions!$H$71="Yes",A289&gt;=Assumptions!$H$72,A289&lt;=Assumptions!$H$73),0,IF(AND($A289&gt;=Assumptions!$C$17,$A289&lt;=Assumptions!$C$18),MAX(BB289*(1+VLOOKUP($C289,WeatherCapacityAdjustment,2))-FN289,0),0))</f>
        <v>0</v>
      </c>
      <c r="FW289" s="622">
        <f>IF(AND(Assumptions!$H$71="Yes",A289&gt;=Assumptions!$H$72,A289&lt;=Assumptions!$H$73),0,IF(AND($A289&gt;=Assumptions!$C$17,$A289&lt;=Assumptions!$C$18),MAX(BC289*(1+VLOOKUP($C289,WeatherCapacityAdjustment,3))-FO289,0),0))</f>
        <v>0</v>
      </c>
      <c r="FX289" s="621">
        <f>IF(AND(Assumptions!$H$71="Yes",A289&gt;=Assumptions!$H$72,A289&lt;=Assumptions!$H$73),0,IF(ET289&gt;0,MAX(BH289*(1+VLOOKUP($C289,WeatherCapacityAdjustment,2))-FP289,0),0))</f>
        <v>0</v>
      </c>
      <c r="FY289" s="530">
        <f>IF(AND(Assumptions!$H$71="Yes",A289&gt;=Assumptions!$H$72,A289&lt;=Assumptions!$H$73),0,IF(EU289&gt;0,MAX(BI289*(1+VLOOKUP($C289,WeatherCapacityAdjustment,3))-FQ289,0),0))</f>
        <v>0</v>
      </c>
      <c r="FZ289" s="530">
        <f>IF(AND(Assumptions!$H$71="Yes",A289&gt;=Assumptions!$H$72,A289&lt;=Assumptions!$H$73),0,IF(EV289&gt;0,MAX(BJ289*(1+VLOOKUP($C289,WeatherCapacityAdjustment,2))-FR289,0),0))</f>
        <v>0</v>
      </c>
      <c r="GA289" s="622">
        <f>IF(AND(Assumptions!$H$71="Yes",A289&gt;=Assumptions!$H$72,A289&lt;=Assumptions!$H$73),0,IF(EW289&gt;0,MAX(BK289*(1+VLOOKUP($C289,WeatherCapacityAdjustment,2))-FS289,0),0))</f>
        <v>0</v>
      </c>
      <c r="GB289" s="530">
        <f t="shared" si="803"/>
        <v>0</v>
      </c>
      <c r="GC289" s="545">
        <f t="shared" si="804"/>
        <v>0</v>
      </c>
      <c r="GD289" s="530">
        <f t="shared" si="734"/>
        <v>0</v>
      </c>
      <c r="GE289" s="1485">
        <f t="shared" si="735"/>
        <v>0</v>
      </c>
      <c r="GF289" s="1776">
        <f t="shared" si="736"/>
        <v>0</v>
      </c>
      <c r="GG289" s="545">
        <f>IF(BQ289,VLOOKUP(A289,GasTable,13),0)</f>
        <v>0</v>
      </c>
      <c r="GH289" s="622">
        <f t="shared" si="702"/>
        <v>0</v>
      </c>
      <c r="GI289" s="621">
        <f t="shared" si="849"/>
        <v>0</v>
      </c>
      <c r="GJ289" s="638">
        <f t="shared" si="805"/>
        <v>0</v>
      </c>
      <c r="GK289" s="625">
        <f t="shared" si="855"/>
        <v>0</v>
      </c>
      <c r="GL289" s="640">
        <f t="shared" si="737"/>
        <v>0</v>
      </c>
      <c r="GM289" s="530">
        <f t="shared" si="738"/>
        <v>0</v>
      </c>
      <c r="GN289" s="530">
        <f t="shared" si="739"/>
        <v>0</v>
      </c>
      <c r="GO289" s="622">
        <f t="shared" si="740"/>
        <v>0</v>
      </c>
      <c r="GP289" s="530">
        <f t="shared" si="806"/>
        <v>0</v>
      </c>
      <c r="GQ289" s="545">
        <f t="shared" si="807"/>
        <v>0</v>
      </c>
      <c r="GR289" s="625">
        <f t="shared" si="741"/>
        <v>0</v>
      </c>
      <c r="GS289" s="640">
        <f>IF($A289&gt;=BegDate,Assumptions!$C$56*24*($A290-$A289)*(1-VLOOKUP($B289,MAIN!$AA$7:$AM$28,$C289+1))*(1-VLOOKUP($B289,MAIN!$AA$33:$AM$54,$C289+1)),0)*80/168</f>
        <v>257742.85714285713</v>
      </c>
      <c r="GT289" s="1715">
        <f t="shared" si="850"/>
        <v>65.188857891745954</v>
      </c>
      <c r="GU289" s="1715">
        <f>IF($A289&gt;=BegDate,VLOOKUP($A289,GasTable,13)+Assumptions!$C$58,0)</f>
        <v>4.5871112217967047</v>
      </c>
      <c r="GV289" s="1715">
        <f>GU289*Assumptions!$C$57/1000</f>
        <v>33.25655635802611</v>
      </c>
      <c r="GW289" s="625">
        <f>IF(Assumptions!$C$60="Hourly",MAX(0,GS289*(GT289-GV289)),GS289*(GT289-GV289))</f>
        <v>8230322.6324481918</v>
      </c>
      <c r="GX289" s="640">
        <f>IF($A289&gt;=BegDate,Assumptions!$C$56*24*($A290-$A289)*(1-VLOOKUP($B289,MAIN!$AA$7:$AM$28,$C289+1))*(1-VLOOKUP($B289,MAIN!$AA$33:$AM$54,$C289+1)),0)*16/168</f>
        <v>51548.571428571428</v>
      </c>
      <c r="GY289" s="1715">
        <f t="shared" si="851"/>
        <v>65.188857891745954</v>
      </c>
      <c r="GZ289" s="1715">
        <f>IF($A289&gt;=BegDate,VLOOKUP($A289,GasTable,13)+Assumptions!$C$58,0)</f>
        <v>4.5871112217967047</v>
      </c>
      <c r="HA289" s="1715">
        <f>GZ289*Assumptions!$C$57/1000</f>
        <v>33.25655635802611</v>
      </c>
      <c r="HB289" s="625">
        <f>IF(Assumptions!$C$60="Hourly",MAX(0,GX289*(GY289-HA289)),GX289*(GY289-HA289))</f>
        <v>1646064.5264896383</v>
      </c>
      <c r="HC289" s="640">
        <f>IF($A289&gt;=BegDate,Assumptions!$C$56*24*($A290-$A289)*(1-VLOOKUP($B289,MAIN!$AA$7:$AM$28,$C289+1))*(1-VLOOKUP($B289,MAIN!$AA$33:$AM$54,$C289+1)),0)*16/168</f>
        <v>51548.571428571428</v>
      </c>
      <c r="HD289" s="1715">
        <f t="shared" si="852"/>
        <v>36.741279785880302</v>
      </c>
      <c r="HE289" s="1715">
        <f>IF($A289&gt;=BegDate,VLOOKUP($A289,GasTable,13)+Assumptions!$C$58,0)</f>
        <v>4.5871112217967047</v>
      </c>
      <c r="HF289" s="1715">
        <f>HE289*Assumptions!$C$57/1000</f>
        <v>33.25655635802611</v>
      </c>
      <c r="HG289" s="625">
        <f>IF(Assumptions!$C$60="Hourly",MAX(0,HC289*(HD289-HF289)),HC289*(HD289-HF289))</f>
        <v>179632.51452955807</v>
      </c>
      <c r="HH289" s="640">
        <f>IF($A289&gt;=BegDate,Assumptions!$C$56*24*($A290-$A289)*(1-VLOOKUP($B289,MAIN!$AA$7:$AM$28,$C289+1))*(1-VLOOKUP($B289,MAIN!$AA$33:$AM$54,$C289+1)),0)*56/168</f>
        <v>180420</v>
      </c>
      <c r="HI289" s="1715">
        <f t="shared" si="853"/>
        <v>36.741279785880302</v>
      </c>
      <c r="HJ289" s="1715">
        <f>IF($A289&gt;=BegDate,VLOOKUP($A289,GasTable,13)+Assumptions!$C$58,0)</f>
        <v>4.5871112217967047</v>
      </c>
      <c r="HK289" s="1715">
        <f>HJ289*Assumptions!$C$57/1000</f>
        <v>33.25655635802611</v>
      </c>
      <c r="HL289" s="625">
        <f>IF(Assumptions!$C$60="Hourly",MAX(0,HH289*(HI289-HK289)),HH289*(HI289-HK289))</f>
        <v>628713.80085345334</v>
      </c>
      <c r="HM289" s="640">
        <f>IF(AND(Assumptions!$H$71="Yes",A289&gt;=Assumptions!$H$72,A289&lt;=Assumptions!$H$73),Assumptions!$H$74*Assumptions!$C$9*1000,0)</f>
        <v>0</v>
      </c>
      <c r="HN289" s="530"/>
      <c r="HO289" s="545"/>
      <c r="HP289" s="545"/>
      <c r="HQ289" s="545"/>
      <c r="HR289" s="545"/>
      <c r="HS289" s="545"/>
      <c r="HT289" s="545"/>
      <c r="HU289" s="545"/>
      <c r="HV289" s="545"/>
      <c r="HW289" s="545"/>
      <c r="HX289" s="545"/>
      <c r="HY289" s="545"/>
      <c r="HZ289" s="545"/>
      <c r="IA289" s="545"/>
      <c r="IB289" s="545"/>
      <c r="IC289" s="545"/>
      <c r="ID289" s="545"/>
      <c r="IE289" s="545"/>
      <c r="IF289" s="545"/>
      <c r="IG289" s="545"/>
      <c r="IH289" s="545"/>
      <c r="II289" s="1464"/>
      <c r="IJ289" s="1463"/>
      <c r="IK289" s="1463"/>
    </row>
    <row r="290" spans="1:245">
      <c r="A290" s="177">
        <f t="shared" si="808"/>
        <v>44958</v>
      </c>
      <c r="B290" s="349">
        <f t="shared" si="809"/>
        <v>2023</v>
      </c>
      <c r="C290" s="15">
        <f>MONTH(A290)</f>
        <v>2</v>
      </c>
      <c r="D290" s="612" t="str">
        <f t="shared" si="810"/>
        <v/>
      </c>
      <c r="E290" s="609" t="str">
        <f>IF(OR(BegDate&gt;=A291,EndDate&lt;A290,AND(VolumeMonthlyOverFlag,INDEX(VolumeMonthlyOver,C290)=0),NOT(INDEX(MonthKnockOutTable,C290))),"",MAX(A290,BegDate))</f>
        <v/>
      </c>
      <c r="F290" s="614" t="str">
        <f>IF(E290="","",MIN(A291-1,EndDate))</f>
        <v/>
      </c>
      <c r="G290" s="1349">
        <v>0</v>
      </c>
      <c r="H290" s="152">
        <f t="shared" si="854"/>
        <v>1</v>
      </c>
      <c r="I290" s="154">
        <f>IF(Assumptions!$L$25=4,VLOOKUP($A290,'Henwood Reference'!$E$9:$R$320,10),(VLOOKUP($A290,PriceTable,2,0)+IF(BasisNumber&lt;&gt;1,VLOOKUP($A290,BasisTable,2,0),0)+I$1)/(1-I$2))</f>
        <v>48.848239266562594</v>
      </c>
      <c r="J290" s="154">
        <f>IF(Assumptions!$L$25=4,VLOOKUP($A290,'Henwood Reference'!$E$9:$R$320,10),(VLOOKUP($A290,PriceTable,3,0)+IF(BasisNumber&lt;&gt;1,VLOOKUP($A290,BasisTable,2,0),0)+J$1)/(1-J$2))</f>
        <v>48.848239266562594</v>
      </c>
      <c r="K290" s="154">
        <f>IF(Assumptions!$L$25=4,VLOOKUP($A290,'Henwood Reference'!$E$9:$R$320,10),(VLOOKUP($A290,PriceTable,4,0)+IF(BasisNumber&lt;&gt;1,VLOOKUP($A290,BasisTable,2,0),0)+K$1)/(1-K$2))</f>
        <v>48.848239266562594</v>
      </c>
      <c r="L290" s="474">
        <f>IF(Assumptions!$L$25=4,VLOOKUP($A290,'Henwood Reference'!$E$9:$R$320,10),(VLOOKUP($A290,PriceTableWeekend,2,0)+IF(BasisNumber&lt;&gt;1,VLOOKUP($A290,BasisTable,2,0),0)+L$1)/(1-L$2))</f>
        <v>48.848239266562594</v>
      </c>
      <c r="M290" s="154">
        <f>IF(Assumptions!$L$25=4,VLOOKUP($A290,'Henwood Reference'!$E$9:$R$320,10),(VLOOKUP($A290,PriceTableWeekend,3,0)+IF(BasisNumber&lt;&gt;1,VLOOKUP($A290,BasisTable,2,0),0)+M$1)/(1-M$2))</f>
        <v>48.848239266562594</v>
      </c>
      <c r="N290" s="156">
        <f>IF(Assumptions!$L$25=4,VLOOKUP($A290,'Henwood Reference'!$E$9:$R$320,10),(VLOOKUP($A290,PriceTableWeekend,4,0)+IF(BasisNumber&lt;&gt;1,VLOOKUP($A290,BasisTable,2,0),0)+N$1)/(1-N$2))</f>
        <v>48.848239266562594</v>
      </c>
      <c r="O290" s="154">
        <f>IF(Assumptions!$L$25=4,VLOOKUP($A290,'Henwood Reference'!$E$9:$R$320,11),(VLOOKUP($A290,PriceTableWeekend,6,0)+IF(BasisNumber&lt;&gt;1,VLOOKUP($A290,BasisTable,3,0),0)+O$1)/(1-O$2))</f>
        <v>30.382275813102069</v>
      </c>
      <c r="P290" s="154">
        <f>IF(Assumptions!$L$25=4,VLOOKUP($A290,'Henwood Reference'!$E$9:$R$320,11),(VLOOKUP($A290,PriceTableWeekend,7,0)+IF(BasisNumber&lt;&gt;1,VLOOKUP($A290,BasisTable,3,0),0)+P$1)/(1-P$2))</f>
        <v>30.382275813102069</v>
      </c>
      <c r="Q290" s="156">
        <f>IF(Assumptions!$L$25=4,VLOOKUP($A290,'Henwood Reference'!$E$9:$R$320,11),(VLOOKUP($A290,PriceTableWeekend,8,0)+IF(BasisNumber&lt;&gt;1,VLOOKUP($A290,BasisTable,3,0),0)+Q$1)/(1-Q$2))</f>
        <v>30.382275813102069</v>
      </c>
      <c r="R290" s="154">
        <f>IF(Assumptions!$L$25=4,VLOOKUP($A290,'Henwood Reference'!$E$9:$R$320,11),(VLOOKUP($A290,PriceTable,6,0)+IF(BasisNumber&lt;&gt;1,VLOOKUP($A290,BasisTable,3,0),0)+R$1)/(1-R$2))</f>
        <v>30.382275813102069</v>
      </c>
      <c r="S290" s="154">
        <f>IF(Assumptions!$L$25=4,VLOOKUP($A290,'Henwood Reference'!$E$9:$R$320,11),(VLOOKUP($A290,PriceTable,7,0)+IF(BasisNumber&lt;&gt;1,VLOOKUP($A290,BasisTable,3,0),0)+S$1)/(1-S$2))</f>
        <v>30.382275813102069</v>
      </c>
      <c r="T290" s="155">
        <f>IF(Assumptions!$L$25=4,VLOOKUP($A290,'Henwood Reference'!$E$9:$R$320,11),(VLOOKUP($A290,PriceTable,8,0)+IF(BasisNumber&lt;&gt;1,VLOOKUP($A290,BasisTable,3,0),0)+T$1)/(1-T$2))</f>
        <v>30.382275813102069</v>
      </c>
      <c r="U290" s="173">
        <f t="shared" si="811"/>
        <v>0.09</v>
      </c>
      <c r="V290" s="173">
        <f t="shared" si="812"/>
        <v>0.1</v>
      </c>
      <c r="W290" s="174">
        <f t="shared" si="813"/>
        <v>0.11</v>
      </c>
      <c r="X290" s="173">
        <f t="shared" si="814"/>
        <v>0.09</v>
      </c>
      <c r="Y290" s="173">
        <f t="shared" si="815"/>
        <v>0.1</v>
      </c>
      <c r="Z290" s="174">
        <f t="shared" si="816"/>
        <v>0.11</v>
      </c>
      <c r="AA290" s="173">
        <f t="shared" si="817"/>
        <v>0.09</v>
      </c>
      <c r="AB290" s="173">
        <f t="shared" si="818"/>
        <v>0.11</v>
      </c>
      <c r="AC290" s="174">
        <f t="shared" si="819"/>
        <v>0.13</v>
      </c>
      <c r="AD290" s="173">
        <f t="shared" si="820"/>
        <v>0.09</v>
      </c>
      <c r="AE290" s="173">
        <f t="shared" si="821"/>
        <v>0.11</v>
      </c>
      <c r="AF290" s="174">
        <f t="shared" si="822"/>
        <v>0.13</v>
      </c>
      <c r="AG290" s="173">
        <f t="shared" si="823"/>
        <v>-0.25</v>
      </c>
      <c r="AH290" s="173">
        <f t="shared" si="824"/>
        <v>0.65</v>
      </c>
      <c r="AI290" s="174">
        <f t="shared" si="825"/>
        <v>0.25</v>
      </c>
      <c r="AJ290" s="173">
        <f t="shared" si="826"/>
        <v>-0.25</v>
      </c>
      <c r="AK290" s="173">
        <f t="shared" si="827"/>
        <v>0.65</v>
      </c>
      <c r="AL290" s="174">
        <f t="shared" si="828"/>
        <v>0.25</v>
      </c>
      <c r="AM290" s="173">
        <f t="shared" si="829"/>
        <v>-0.01</v>
      </c>
      <c r="AN290" s="173">
        <f t="shared" si="830"/>
        <v>0.16</v>
      </c>
      <c r="AO290" s="174">
        <f t="shared" si="831"/>
        <v>0.01</v>
      </c>
      <c r="AP290" s="173">
        <f t="shared" si="832"/>
        <v>-0.01</v>
      </c>
      <c r="AQ290" s="173">
        <f t="shared" si="833"/>
        <v>0.16</v>
      </c>
      <c r="AR290" s="175">
        <f t="shared" si="834"/>
        <v>0.01</v>
      </c>
      <c r="AS290" s="521">
        <f>IF(CorrPeakOffPeakOverFlag,INDEX(CorrPeakOffPeakOver,C290),CorrPeakOffPeak)</f>
        <v>0.5</v>
      </c>
      <c r="AT290" s="349">
        <f>AX290-SUM(AU290:AW290)</f>
        <v>0</v>
      </c>
      <c r="AU290" s="159">
        <f t="shared" si="753"/>
        <v>0</v>
      </c>
      <c r="AV290" s="159">
        <f t="shared" si="754"/>
        <v>0</v>
      </c>
      <c r="AW290" s="159">
        <f>IF(OR(E290="",D290="",D290&lt;BegDate,D290&gt;EndDate),0,1)</f>
        <v>0</v>
      </c>
      <c r="AX290" s="15">
        <f>IF(E290="",0,F290-E290+1)</f>
        <v>0</v>
      </c>
      <c r="AY290" s="607">
        <f>IF(E290="",0,MIN((1-(1-VLOOKUP(B290,MAIN!$AA$7:$AM$28,C290+1))*(1-VLOOKUP(B290,MAIN!$AA$33:$AM$54,C290+1))),1))</f>
        <v>0</v>
      </c>
      <c r="AZ290" s="337">
        <v>0</v>
      </c>
      <c r="BA290" s="509">
        <v>0</v>
      </c>
      <c r="BB290" s="509">
        <v>0</v>
      </c>
      <c r="BC290" s="511">
        <v>0</v>
      </c>
      <c r="BD290" s="153">
        <v>0</v>
      </c>
      <c r="BE290" s="474">
        <v>0</v>
      </c>
      <c r="BF290" s="474">
        <v>0</v>
      </c>
      <c r="BG290" s="515">
        <v>0</v>
      </c>
      <c r="BH290" s="262">
        <v>0</v>
      </c>
      <c r="BI290" s="509">
        <v>0</v>
      </c>
      <c r="BJ290" s="509">
        <v>0</v>
      </c>
      <c r="BK290" s="511">
        <v>0</v>
      </c>
      <c r="BL290" s="153">
        <v>0</v>
      </c>
      <c r="BM290" s="474">
        <v>0</v>
      </c>
      <c r="BN290" s="474">
        <v>0</v>
      </c>
      <c r="BO290" s="474">
        <v>0</v>
      </c>
      <c r="BP290" s="261">
        <f t="shared" si="837"/>
        <v>0</v>
      </c>
      <c r="BQ290" s="578">
        <f t="shared" si="838"/>
        <v>0</v>
      </c>
      <c r="BR290" s="259">
        <f t="shared" si="839"/>
        <v>0</v>
      </c>
      <c r="BS290" s="578">
        <f t="shared" si="840"/>
        <v>0</v>
      </c>
      <c r="BT290" s="216">
        <f t="shared" si="841"/>
        <v>22.800821355236138</v>
      </c>
      <c r="BU290" s="218">
        <f t="shared" si="756"/>
        <v>0</v>
      </c>
      <c r="BV290" s="216">
        <f t="shared" si="757"/>
        <v>0</v>
      </c>
      <c r="BW290" s="216">
        <f t="shared" si="758"/>
        <v>0</v>
      </c>
      <c r="BX290" s="216">
        <f t="shared" si="842"/>
        <v>0</v>
      </c>
      <c r="BY290" s="216">
        <f t="shared" si="759"/>
        <v>0</v>
      </c>
      <c r="BZ290" s="216">
        <f t="shared" si="760"/>
        <v>0</v>
      </c>
      <c r="CA290" s="264">
        <f t="shared" si="761"/>
        <v>0</v>
      </c>
      <c r="CB290" s="216">
        <f t="shared" si="762"/>
        <v>0</v>
      </c>
      <c r="CC290" s="216">
        <f t="shared" si="763"/>
        <v>0</v>
      </c>
      <c r="CD290" s="216">
        <f t="shared" si="843"/>
        <v>0</v>
      </c>
      <c r="CE290" s="216">
        <f t="shared" si="764"/>
        <v>0</v>
      </c>
      <c r="CF290" s="571">
        <f t="shared" si="765"/>
        <v>0</v>
      </c>
      <c r="CG290" s="573" t="str">
        <f t="shared" si="766"/>
        <v/>
      </c>
      <c r="CH290" s="219" t="str">
        <f t="shared" si="767"/>
        <v/>
      </c>
      <c r="CI290" s="219" t="str">
        <f t="shared" si="768"/>
        <v/>
      </c>
      <c r="CJ290" s="219" t="str">
        <f t="shared" si="769"/>
        <v/>
      </c>
      <c r="CK290" s="219" t="str">
        <f t="shared" si="770"/>
        <v/>
      </c>
      <c r="CL290" s="219" t="str">
        <f t="shared" si="771"/>
        <v/>
      </c>
      <c r="CM290" s="219" t="str">
        <f t="shared" si="772"/>
        <v/>
      </c>
      <c r="CN290" s="569" t="str">
        <f t="shared" si="773"/>
        <v/>
      </c>
      <c r="CO290" s="264">
        <f t="shared" si="856"/>
        <v>0</v>
      </c>
      <c r="CP290" s="216">
        <f t="shared" si="844"/>
        <v>0</v>
      </c>
      <c r="CQ290" s="216">
        <f t="shared" si="703"/>
        <v>0</v>
      </c>
      <c r="CR290" s="216">
        <f t="shared" si="704"/>
        <v>0</v>
      </c>
      <c r="CS290" s="1626">
        <f t="shared" si="705"/>
        <v>0</v>
      </c>
      <c r="CT290" s="216">
        <f t="shared" si="845"/>
        <v>0</v>
      </c>
      <c r="CU290" s="575" t="str">
        <f t="shared" si="774"/>
        <v/>
      </c>
      <c r="CV290" s="154" t="str">
        <f t="shared" si="775"/>
        <v/>
      </c>
      <c r="CW290" s="216">
        <f>IF(OR($BQ290,$BS290),SpreadOptPowerMargin,0)*((1+Assumptions!$C$26)^($B290-YEAR(Assumptions!$C$17)))</f>
        <v>0</v>
      </c>
      <c r="CX290" s="216">
        <f>IF(OR($BQ290,$BS290),SpreadOptPowerMargin,0)*((1+Assumptions!$C$26)^($B290-YEAR(Assumptions!$C$17)))</f>
        <v>0</v>
      </c>
      <c r="CY290" s="216">
        <f>IF(OR($BQ290,$BS290),SpreadOptPowerMargin,0)*((1+Assumptions!$C$26)^($B290-YEAR(Assumptions!$C$17)))</f>
        <v>0</v>
      </c>
      <c r="CZ290" s="216">
        <f>IF(OR($BQ290,$BS290),SpreadOptPowerMargin,0)*((1+Assumptions!$C$26)^($B290-YEAR(Assumptions!$C$17)))</f>
        <v>0</v>
      </c>
      <c r="DA290" s="440">
        <f t="shared" si="776"/>
        <v>0</v>
      </c>
      <c r="DB290" s="479" t="str">
        <f t="shared" si="777"/>
        <v/>
      </c>
      <c r="DC290" s="479" t="str">
        <f t="shared" si="778"/>
        <v/>
      </c>
      <c r="DD290" s="479" t="str">
        <f t="shared" si="779"/>
        <v/>
      </c>
      <c r="DE290" s="479" t="str">
        <f t="shared" si="780"/>
        <v/>
      </c>
      <c r="DF290" s="479" t="str">
        <f t="shared" si="781"/>
        <v/>
      </c>
      <c r="DG290" s="574" t="str">
        <f t="shared" si="782"/>
        <v/>
      </c>
      <c r="DH290" s="216">
        <f t="shared" si="783"/>
        <v>0</v>
      </c>
      <c r="DI290" s="216">
        <f t="shared" si="784"/>
        <v>0</v>
      </c>
      <c r="DJ290" s="216">
        <f t="shared" si="706"/>
        <v>0</v>
      </c>
      <c r="DK290" s="216">
        <f t="shared" si="707"/>
        <v>0</v>
      </c>
      <c r="DL290" s="216">
        <f t="shared" si="708"/>
        <v>0</v>
      </c>
      <c r="DM290" s="216"/>
      <c r="DN290" s="216"/>
      <c r="DO290" s="216"/>
      <c r="DP290" s="216"/>
      <c r="DQ290" s="216"/>
      <c r="DR290" s="216"/>
      <c r="DS290" s="216"/>
      <c r="DT290" s="216"/>
      <c r="DU290" s="216"/>
      <c r="DV290" s="216"/>
      <c r="DW290" s="1371">
        <f t="shared" si="785"/>
        <v>0</v>
      </c>
      <c r="DX290" s="216">
        <f t="shared" si="786"/>
        <v>0</v>
      </c>
      <c r="DY290" s="440">
        <f t="shared" si="787"/>
        <v>0</v>
      </c>
      <c r="DZ290" s="180">
        <f t="shared" si="788"/>
        <v>0</v>
      </c>
      <c r="EA290" s="180">
        <f t="shared" si="789"/>
        <v>0</v>
      </c>
      <c r="EB290" s="180">
        <f t="shared" si="709"/>
        <v>0</v>
      </c>
      <c r="EC290" s="180">
        <f t="shared" si="710"/>
        <v>0</v>
      </c>
      <c r="ED290" s="180">
        <f t="shared" si="711"/>
        <v>0</v>
      </c>
      <c r="EE290" s="581">
        <f t="shared" si="790"/>
        <v>0</v>
      </c>
      <c r="EF290" s="554">
        <f t="shared" si="791"/>
        <v>0</v>
      </c>
      <c r="EG290" s="554">
        <f t="shared" si="712"/>
        <v>0</v>
      </c>
      <c r="EH290" s="554">
        <f t="shared" si="713"/>
        <v>0</v>
      </c>
      <c r="EI290" s="561">
        <f t="shared" si="792"/>
        <v>0</v>
      </c>
      <c r="EJ290" s="581">
        <f t="shared" si="846"/>
        <v>0</v>
      </c>
      <c r="EK290" s="554">
        <f t="shared" si="847"/>
        <v>0</v>
      </c>
      <c r="EL290" s="554">
        <f t="shared" si="714"/>
        <v>0</v>
      </c>
      <c r="EM290" s="554">
        <f t="shared" si="715"/>
        <v>0</v>
      </c>
      <c r="EN290" s="561">
        <f t="shared" si="716"/>
        <v>0</v>
      </c>
      <c r="EO290" s="180">
        <f t="shared" si="793"/>
        <v>0</v>
      </c>
      <c r="EP290" s="180">
        <f t="shared" si="794"/>
        <v>0</v>
      </c>
      <c r="EQ290" s="180">
        <f t="shared" si="795"/>
        <v>0</v>
      </c>
      <c r="ER290" s="180">
        <f t="shared" si="796"/>
        <v>0</v>
      </c>
      <c r="ES290" s="180">
        <f t="shared" si="797"/>
        <v>0</v>
      </c>
      <c r="ET290" s="1482">
        <f t="shared" si="717"/>
        <v>0</v>
      </c>
      <c r="EU290" s="180">
        <f t="shared" si="718"/>
        <v>0</v>
      </c>
      <c r="EV290" s="180">
        <f t="shared" si="719"/>
        <v>0</v>
      </c>
      <c r="EW290" s="180">
        <f t="shared" si="720"/>
        <v>0</v>
      </c>
      <c r="EX290" s="555">
        <f t="shared" si="693"/>
        <v>0</v>
      </c>
      <c r="EY290" s="180">
        <f t="shared" si="721"/>
        <v>0</v>
      </c>
      <c r="EZ290" s="180">
        <f t="shared" si="722"/>
        <v>0</v>
      </c>
      <c r="FA290" s="180">
        <f t="shared" si="723"/>
        <v>0</v>
      </c>
      <c r="FB290" s="180">
        <f t="shared" si="724"/>
        <v>0</v>
      </c>
      <c r="FC290" s="180">
        <f t="shared" si="725"/>
        <v>0</v>
      </c>
      <c r="FD290" s="262">
        <f>IF(AX290,IF(VLOOKUP(C290,MAIN!$L$17:$M$28,2)="Yes",VLOOKUP(CALC!B290,MAIN!$H$17:$I$20,2),0),0)</f>
        <v>0</v>
      </c>
      <c r="FE290" s="623">
        <f t="shared" si="798"/>
        <v>0</v>
      </c>
      <c r="FF290" s="535">
        <f t="shared" si="799"/>
        <v>0</v>
      </c>
      <c r="FG290" s="535">
        <f t="shared" si="800"/>
        <v>0</v>
      </c>
      <c r="FH290" s="624">
        <f t="shared" si="801"/>
        <v>0</v>
      </c>
      <c r="FI290" s="632">
        <f>IF(AX290,VLOOKUP(CALC!B290,MAIN!$H$17:$K$20,4),0)</f>
        <v>0</v>
      </c>
      <c r="FJ290" s="535">
        <f t="shared" si="802"/>
        <v>0</v>
      </c>
      <c r="FK290" s="648">
        <f t="shared" si="848"/>
        <v>0</v>
      </c>
      <c r="FL290" s="530">
        <f t="shared" si="726"/>
        <v>0</v>
      </c>
      <c r="FM290" s="530">
        <f t="shared" si="727"/>
        <v>0</v>
      </c>
      <c r="FN290" s="530">
        <f t="shared" si="728"/>
        <v>0</v>
      </c>
      <c r="FO290" s="622">
        <f t="shared" si="729"/>
        <v>0</v>
      </c>
      <c r="FP290" s="530">
        <f t="shared" si="730"/>
        <v>0</v>
      </c>
      <c r="FQ290" s="530">
        <f t="shared" si="731"/>
        <v>0</v>
      </c>
      <c r="FR290" s="530">
        <f t="shared" si="732"/>
        <v>0</v>
      </c>
      <c r="FS290" s="625">
        <f t="shared" si="733"/>
        <v>0</v>
      </c>
      <c r="FT290" s="640">
        <f>IF(AND(Assumptions!$H$71="Yes",A290&gt;=Assumptions!$H$72,A290&lt;=Assumptions!$H$73),0,IF(AND($A290&gt;=Assumptions!$C$17,$A290&lt;=Assumptions!$C$18),MAX(AZ290*(1+VLOOKUP($C290,WeatherCapacityAdjustment,2))-FL290,0),0))</f>
        <v>0</v>
      </c>
      <c r="FU290" s="530">
        <f>IF(AND(Assumptions!$H$71="Yes",A290&gt;=Assumptions!$H$72,A290&lt;=Assumptions!$H$73),0,IF(AND($A290&gt;=Assumptions!$C$17,$A290&lt;=Assumptions!$C$18),MAX(BA290*(1+VLOOKUP($C290,WeatherCapacityAdjustment,2))-FM290,0),0))</f>
        <v>0</v>
      </c>
      <c r="FV290" s="530">
        <f>IF(AND(Assumptions!$H$71="Yes",A290&gt;=Assumptions!$H$72,A290&lt;=Assumptions!$H$73),0,IF(AND($A290&gt;=Assumptions!$C$17,$A290&lt;=Assumptions!$C$18),MAX(BB290*(1+VLOOKUP($C290,WeatherCapacityAdjustment,2))-FN290,0),0))</f>
        <v>0</v>
      </c>
      <c r="FW290" s="622">
        <f>IF(AND(Assumptions!$H$71="Yes",A290&gt;=Assumptions!$H$72,A290&lt;=Assumptions!$H$73),0,IF(AND($A290&gt;=Assumptions!$C$17,$A290&lt;=Assumptions!$C$18),MAX(BC290*(1+VLOOKUP($C290,WeatherCapacityAdjustment,3))-FO290,0),0))</f>
        <v>0</v>
      </c>
      <c r="FX290" s="621">
        <f>IF(AND(Assumptions!$H$71="Yes",A290&gt;=Assumptions!$H$72,A290&lt;=Assumptions!$H$73),0,IF(ET290&gt;0,MAX(BH290*(1+VLOOKUP($C290,WeatherCapacityAdjustment,2))-FP290,0),0))</f>
        <v>0</v>
      </c>
      <c r="FY290" s="530">
        <f>IF(AND(Assumptions!$H$71="Yes",A290&gt;=Assumptions!$H$72,A290&lt;=Assumptions!$H$73),0,IF(EU290&gt;0,MAX(BI290*(1+VLOOKUP($C290,WeatherCapacityAdjustment,3))-FQ290,0),0))</f>
        <v>0</v>
      </c>
      <c r="FZ290" s="530">
        <f>IF(AND(Assumptions!$H$71="Yes",A290&gt;=Assumptions!$H$72,A290&lt;=Assumptions!$H$73),0,IF(EV290&gt;0,MAX(BJ290*(1+VLOOKUP($C290,WeatherCapacityAdjustment,2))-FR290,0),0))</f>
        <v>0</v>
      </c>
      <c r="GA290" s="622">
        <f>IF(AND(Assumptions!$H$71="Yes",A290&gt;=Assumptions!$H$72,A290&lt;=Assumptions!$H$73),0,IF(EW290&gt;0,MAX(BK290*(1+VLOOKUP($C290,WeatherCapacityAdjustment,2))-FS290,0),0))</f>
        <v>0</v>
      </c>
      <c r="GB290" s="530">
        <f t="shared" si="803"/>
        <v>0</v>
      </c>
      <c r="GC290" s="545">
        <f t="shared" si="804"/>
        <v>0</v>
      </c>
      <c r="GD290" s="530">
        <f t="shared" si="734"/>
        <v>0</v>
      </c>
      <c r="GE290" s="1485">
        <f t="shared" si="735"/>
        <v>0</v>
      </c>
      <c r="GF290" s="1776">
        <f t="shared" si="736"/>
        <v>0</v>
      </c>
      <c r="GG290" s="545">
        <f>IF(BQ290,VLOOKUP(A290,GasTable,13),0)</f>
        <v>0</v>
      </c>
      <c r="GH290" s="622">
        <f t="shared" si="702"/>
        <v>0</v>
      </c>
      <c r="GI290" s="621">
        <f t="shared" si="849"/>
        <v>0</v>
      </c>
      <c r="GJ290" s="638">
        <f t="shared" si="805"/>
        <v>0</v>
      </c>
      <c r="GK290" s="625">
        <f t="shared" si="855"/>
        <v>0</v>
      </c>
      <c r="GL290" s="640">
        <f t="shared" si="737"/>
        <v>0</v>
      </c>
      <c r="GM290" s="530">
        <f t="shared" si="738"/>
        <v>0</v>
      </c>
      <c r="GN290" s="530">
        <f t="shared" si="739"/>
        <v>0</v>
      </c>
      <c r="GO290" s="622">
        <f t="shared" si="740"/>
        <v>0</v>
      </c>
      <c r="GP290" s="530">
        <f t="shared" si="806"/>
        <v>0</v>
      </c>
      <c r="GQ290" s="545">
        <f t="shared" si="807"/>
        <v>0</v>
      </c>
      <c r="GR290" s="625">
        <f t="shared" si="741"/>
        <v>0</v>
      </c>
      <c r="GS290" s="640">
        <f>IF($A290&gt;=BegDate,Assumptions!$C$56*24*($A291-$A290)*(1-VLOOKUP($B290,MAIN!$AA$7:$AM$28,$C290+1))*(1-VLOOKUP($B290,MAIN!$AA$33:$AM$54,$C290+1)),0)*80/168</f>
        <v>232800</v>
      </c>
      <c r="GT290" s="1715">
        <f t="shared" si="850"/>
        <v>48.848239266562594</v>
      </c>
      <c r="GU290" s="1715">
        <f>IF($A290&gt;=BegDate,VLOOKUP($A290,GasTable,13)+Assumptions!$C$58,0)</f>
        <v>4.5871112217967047</v>
      </c>
      <c r="GV290" s="1715">
        <f>GU290*Assumptions!$C$57/1000</f>
        <v>33.25655635802611</v>
      </c>
      <c r="GW290" s="625">
        <f>IF(Assumptions!$C$60="Hourly",MAX(0,GS290*(GT290-GV290)),GS290*(GT290-GV290))</f>
        <v>3629743.7811072934</v>
      </c>
      <c r="GX290" s="640">
        <f>IF($A290&gt;=BegDate,Assumptions!$C$56*24*($A291-$A290)*(1-VLOOKUP($B290,MAIN!$AA$7:$AM$28,$C290+1))*(1-VLOOKUP($B290,MAIN!$AA$33:$AM$54,$C290+1)),0)*16/168</f>
        <v>46560</v>
      </c>
      <c r="GY290" s="1715">
        <f t="shared" si="851"/>
        <v>48.848239266562594</v>
      </c>
      <c r="GZ290" s="1715">
        <f>IF($A290&gt;=BegDate,VLOOKUP($A290,GasTable,13)+Assumptions!$C$58,0)</f>
        <v>4.5871112217967047</v>
      </c>
      <c r="HA290" s="1715">
        <f>GZ290*Assumptions!$C$57/1000</f>
        <v>33.25655635802611</v>
      </c>
      <c r="HB290" s="625">
        <f>IF(Assumptions!$C$60="Hourly",MAX(0,GX290*(GY290-HA290)),GX290*(GY290-HA290))</f>
        <v>725948.75622145867</v>
      </c>
      <c r="HC290" s="640">
        <f>IF($A290&gt;=BegDate,Assumptions!$C$56*24*($A291-$A290)*(1-VLOOKUP($B290,MAIN!$AA$7:$AM$28,$C290+1))*(1-VLOOKUP($B290,MAIN!$AA$33:$AM$54,$C290+1)),0)*16/168</f>
        <v>46560</v>
      </c>
      <c r="HD290" s="1715">
        <f t="shared" si="852"/>
        <v>30.382275813102069</v>
      </c>
      <c r="HE290" s="1715">
        <f>IF($A290&gt;=BegDate,VLOOKUP($A290,GasTable,13)+Assumptions!$C$58,0)</f>
        <v>4.5871112217967047</v>
      </c>
      <c r="HF290" s="1715">
        <f>HE290*Assumptions!$C$57/1000</f>
        <v>33.25655635802611</v>
      </c>
      <c r="HG290" s="625">
        <f>IF(Assumptions!$C$60="Hourly",MAX(0,HC290*(HD290-HF290)),HC290*(HD290-HF290))</f>
        <v>0</v>
      </c>
      <c r="HH290" s="640">
        <f>IF($A290&gt;=BegDate,Assumptions!$C$56*24*($A291-$A290)*(1-VLOOKUP($B290,MAIN!$AA$7:$AM$28,$C290+1))*(1-VLOOKUP($B290,MAIN!$AA$33:$AM$54,$C290+1)),0)*56/168</f>
        <v>162960</v>
      </c>
      <c r="HI290" s="1715">
        <f t="shared" si="853"/>
        <v>30.382275813102069</v>
      </c>
      <c r="HJ290" s="1715">
        <f>IF($A290&gt;=BegDate,VLOOKUP($A290,GasTable,13)+Assumptions!$C$58,0)</f>
        <v>4.5871112217967047</v>
      </c>
      <c r="HK290" s="1715">
        <f>HJ290*Assumptions!$C$57/1000</f>
        <v>33.25655635802611</v>
      </c>
      <c r="HL290" s="625">
        <f>IF(Assumptions!$C$60="Hourly",MAX(0,HH290*(HI290-HK290)),HH290*(HI290-HK290))</f>
        <v>0</v>
      </c>
      <c r="HM290" s="640">
        <f>IF(AND(Assumptions!$H$71="Yes",A290&gt;=Assumptions!$H$72,A290&lt;=Assumptions!$H$73),Assumptions!$H$74*Assumptions!$C$9*1000,0)</f>
        <v>0</v>
      </c>
      <c r="HN290" s="530"/>
      <c r="HO290" s="545"/>
      <c r="HP290" s="545"/>
      <c r="HQ290" s="545"/>
      <c r="HR290" s="545"/>
      <c r="HS290" s="545"/>
      <c r="HT290" s="545"/>
      <c r="HU290" s="545"/>
      <c r="HV290" s="545"/>
      <c r="HW290" s="545"/>
      <c r="HX290" s="545"/>
      <c r="HY290" s="545"/>
      <c r="HZ290" s="545"/>
      <c r="IA290" s="545"/>
      <c r="IB290" s="545"/>
      <c r="IC290" s="545"/>
      <c r="ID290" s="545"/>
      <c r="IE290" s="545"/>
      <c r="IF290" s="545"/>
      <c r="IG290" s="545"/>
      <c r="IH290" s="545"/>
      <c r="II290" s="1464"/>
      <c r="IJ290" s="1463"/>
      <c r="IK290" s="1463"/>
    </row>
    <row r="291" spans="1:245">
      <c r="A291" s="177">
        <f t="shared" si="808"/>
        <v>44986</v>
      </c>
      <c r="B291" s="349">
        <f t="shared" si="809"/>
        <v>2023</v>
      </c>
      <c r="C291" s="15">
        <f>MONTH(A291)</f>
        <v>3</v>
      </c>
      <c r="D291" s="612" t="str">
        <f t="shared" si="810"/>
        <v/>
      </c>
      <c r="E291" s="609" t="str">
        <f>IF(OR(BegDate&gt;=A292,EndDate&lt;A291,AND(VolumeMonthlyOverFlag,INDEX(VolumeMonthlyOver,C291)=0),NOT(INDEX(MonthKnockOutTable,C291))),"",MAX(A291,BegDate))</f>
        <v/>
      </c>
      <c r="F291" s="614" t="str">
        <f>IF(E291="","",MIN(A292-1,EndDate))</f>
        <v/>
      </c>
      <c r="G291" s="1349">
        <v>0</v>
      </c>
      <c r="H291" s="152">
        <f t="shared" si="854"/>
        <v>1</v>
      </c>
      <c r="I291" s="154">
        <f>IF(Assumptions!$L$25=4,VLOOKUP($A291,'Henwood Reference'!$E$9:$R$320,10),(VLOOKUP($A291,PriceTable,2,0)+IF(BasisNumber&lt;&gt;1,VLOOKUP($A291,BasisTable,2,0),0)+I$1)/(1-I$2))</f>
        <v>46.895091837935134</v>
      </c>
      <c r="J291" s="154">
        <f>IF(Assumptions!$L$25=4,VLOOKUP($A291,'Henwood Reference'!$E$9:$R$320,10),(VLOOKUP($A291,PriceTable,3,0)+IF(BasisNumber&lt;&gt;1,VLOOKUP($A291,BasisTable,2,0),0)+J$1)/(1-J$2))</f>
        <v>46.895091837935134</v>
      </c>
      <c r="K291" s="154">
        <f>IF(Assumptions!$L$25=4,VLOOKUP($A291,'Henwood Reference'!$E$9:$R$320,10),(VLOOKUP($A291,PriceTable,4,0)+IF(BasisNumber&lt;&gt;1,VLOOKUP($A291,BasisTable,2,0),0)+K$1)/(1-K$2))</f>
        <v>46.895091837935134</v>
      </c>
      <c r="L291" s="474">
        <f>IF(Assumptions!$L$25=4,VLOOKUP($A291,'Henwood Reference'!$E$9:$R$320,10),(VLOOKUP($A291,PriceTableWeekend,2,0)+IF(BasisNumber&lt;&gt;1,VLOOKUP($A291,BasisTable,2,0),0)+L$1)/(1-L$2))</f>
        <v>46.895091837935134</v>
      </c>
      <c r="M291" s="154">
        <f>IF(Assumptions!$L$25=4,VLOOKUP($A291,'Henwood Reference'!$E$9:$R$320,10),(VLOOKUP($A291,PriceTableWeekend,3,0)+IF(BasisNumber&lt;&gt;1,VLOOKUP($A291,BasisTable,2,0),0)+M$1)/(1-M$2))</f>
        <v>46.895091837935134</v>
      </c>
      <c r="N291" s="156">
        <f>IF(Assumptions!$L$25=4,VLOOKUP($A291,'Henwood Reference'!$E$9:$R$320,10),(VLOOKUP($A291,PriceTableWeekend,4,0)+IF(BasisNumber&lt;&gt;1,VLOOKUP($A291,BasisTable,2,0),0)+N$1)/(1-N$2))</f>
        <v>46.895091837935134</v>
      </c>
      <c r="O291" s="154">
        <f>IF(Assumptions!$L$25=4,VLOOKUP($A291,'Henwood Reference'!$E$9:$R$320,11),(VLOOKUP($A291,PriceTableWeekend,6,0)+IF(BasisNumber&lt;&gt;1,VLOOKUP($A291,BasisTable,3,0),0)+O$1)/(1-O$2))</f>
        <v>32.547989262542536</v>
      </c>
      <c r="P291" s="154">
        <f>IF(Assumptions!$L$25=4,VLOOKUP($A291,'Henwood Reference'!$E$9:$R$320,11),(VLOOKUP($A291,PriceTableWeekend,7,0)+IF(BasisNumber&lt;&gt;1,VLOOKUP($A291,BasisTable,3,0),0)+P$1)/(1-P$2))</f>
        <v>32.547989262542536</v>
      </c>
      <c r="Q291" s="156">
        <f>IF(Assumptions!$L$25=4,VLOOKUP($A291,'Henwood Reference'!$E$9:$R$320,11),(VLOOKUP($A291,PriceTableWeekend,8,0)+IF(BasisNumber&lt;&gt;1,VLOOKUP($A291,BasisTable,3,0),0)+Q$1)/(1-Q$2))</f>
        <v>32.547989262542536</v>
      </c>
      <c r="R291" s="154">
        <f>IF(Assumptions!$L$25=4,VLOOKUP($A291,'Henwood Reference'!$E$9:$R$320,11),(VLOOKUP($A291,PriceTable,6,0)+IF(BasisNumber&lt;&gt;1,VLOOKUP($A291,BasisTable,3,0),0)+R$1)/(1-R$2))</f>
        <v>32.547989262542536</v>
      </c>
      <c r="S291" s="154">
        <f>IF(Assumptions!$L$25=4,VLOOKUP($A291,'Henwood Reference'!$E$9:$R$320,11),(VLOOKUP($A291,PriceTable,7,0)+IF(BasisNumber&lt;&gt;1,VLOOKUP($A291,BasisTable,3,0),0)+S$1)/(1-S$2))</f>
        <v>32.547989262542536</v>
      </c>
      <c r="T291" s="155">
        <f>IF(Assumptions!$L$25=4,VLOOKUP($A291,'Henwood Reference'!$E$9:$R$320,11),(VLOOKUP($A291,PriceTable,8,0)+IF(BasisNumber&lt;&gt;1,VLOOKUP($A291,BasisTable,3,0),0)+T$1)/(1-T$2))</f>
        <v>32.547989262542536</v>
      </c>
      <c r="U291" s="173">
        <f t="shared" si="811"/>
        <v>0.09</v>
      </c>
      <c r="V291" s="173">
        <f t="shared" si="812"/>
        <v>0.1</v>
      </c>
      <c r="W291" s="174">
        <f t="shared" si="813"/>
        <v>0.11</v>
      </c>
      <c r="X291" s="173">
        <f t="shared" si="814"/>
        <v>0.09</v>
      </c>
      <c r="Y291" s="173">
        <f t="shared" si="815"/>
        <v>0.1</v>
      </c>
      <c r="Z291" s="174">
        <f t="shared" si="816"/>
        <v>0.11</v>
      </c>
      <c r="AA291" s="173">
        <f t="shared" si="817"/>
        <v>0.09</v>
      </c>
      <c r="AB291" s="173">
        <f t="shared" si="818"/>
        <v>0.11</v>
      </c>
      <c r="AC291" s="174">
        <f t="shared" si="819"/>
        <v>0.13</v>
      </c>
      <c r="AD291" s="173">
        <f t="shared" si="820"/>
        <v>0.09</v>
      </c>
      <c r="AE291" s="173">
        <f t="shared" si="821"/>
        <v>0.11</v>
      </c>
      <c r="AF291" s="174">
        <f t="shared" si="822"/>
        <v>0.13</v>
      </c>
      <c r="AG291" s="173">
        <f t="shared" si="823"/>
        <v>-0.1</v>
      </c>
      <c r="AH291" s="173">
        <f t="shared" si="824"/>
        <v>0.65</v>
      </c>
      <c r="AI291" s="174">
        <f t="shared" si="825"/>
        <v>0.1</v>
      </c>
      <c r="AJ291" s="173">
        <f t="shared" si="826"/>
        <v>-0.1</v>
      </c>
      <c r="AK291" s="173">
        <f t="shared" si="827"/>
        <v>0.65</v>
      </c>
      <c r="AL291" s="174">
        <f t="shared" si="828"/>
        <v>0.1</v>
      </c>
      <c r="AM291" s="173">
        <f t="shared" si="829"/>
        <v>-0.01</v>
      </c>
      <c r="AN291" s="173">
        <f t="shared" si="830"/>
        <v>0.16</v>
      </c>
      <c r="AO291" s="174">
        <f t="shared" si="831"/>
        <v>0.01</v>
      </c>
      <c r="AP291" s="173">
        <f t="shared" si="832"/>
        <v>-0.01</v>
      </c>
      <c r="AQ291" s="173">
        <f t="shared" si="833"/>
        <v>0.16</v>
      </c>
      <c r="AR291" s="175">
        <f t="shared" si="834"/>
        <v>0.01</v>
      </c>
      <c r="AS291" s="521">
        <f>IF(CorrPeakOffPeakOverFlag,INDEX(CorrPeakOffPeakOver,C291),CorrPeakOffPeak)</f>
        <v>0.5</v>
      </c>
      <c r="AT291" s="349">
        <f>AX291-SUM(AU291:AW291)</f>
        <v>0</v>
      </c>
      <c r="AU291" s="159">
        <f t="shared" si="753"/>
        <v>0</v>
      </c>
      <c r="AV291" s="159">
        <f t="shared" si="754"/>
        <v>0</v>
      </c>
      <c r="AW291" s="159">
        <f>IF(OR(E291="",D291="",D291&lt;BegDate,D291&gt;EndDate),0,1)</f>
        <v>0</v>
      </c>
      <c r="AX291" s="15">
        <f>IF(E291="",0,F291-E291+1)</f>
        <v>0</v>
      </c>
      <c r="AY291" s="607">
        <f>IF(E291="",0,MIN((1-(1-VLOOKUP(B291,MAIN!$AA$7:$AM$28,C291+1))*(1-VLOOKUP(B291,MAIN!$AA$33:$AM$54,C291+1))),1))</f>
        <v>0</v>
      </c>
      <c r="AZ291" s="337">
        <v>0</v>
      </c>
      <c r="BA291" s="509">
        <v>0</v>
      </c>
      <c r="BB291" s="509">
        <v>0</v>
      </c>
      <c r="BC291" s="511">
        <v>0</v>
      </c>
      <c r="BD291" s="153">
        <v>0</v>
      </c>
      <c r="BE291" s="474">
        <v>0</v>
      </c>
      <c r="BF291" s="474">
        <v>0</v>
      </c>
      <c r="BG291" s="515">
        <v>0</v>
      </c>
      <c r="BH291" s="262">
        <v>0</v>
      </c>
      <c r="BI291" s="509">
        <v>0</v>
      </c>
      <c r="BJ291" s="509">
        <v>0</v>
      </c>
      <c r="BK291" s="511">
        <v>0</v>
      </c>
      <c r="BL291" s="153">
        <v>0</v>
      </c>
      <c r="BM291" s="474">
        <v>0</v>
      </c>
      <c r="BN291" s="474">
        <v>0</v>
      </c>
      <c r="BO291" s="474">
        <v>0</v>
      </c>
      <c r="BP291" s="261">
        <f t="shared" si="837"/>
        <v>0</v>
      </c>
      <c r="BQ291" s="578">
        <f t="shared" si="838"/>
        <v>0</v>
      </c>
      <c r="BR291" s="259">
        <f t="shared" si="839"/>
        <v>0</v>
      </c>
      <c r="BS291" s="578">
        <f t="shared" si="840"/>
        <v>0</v>
      </c>
      <c r="BT291" s="216">
        <f t="shared" si="841"/>
        <v>22.87748117727584</v>
      </c>
      <c r="BU291" s="218">
        <f t="shared" si="756"/>
        <v>0</v>
      </c>
      <c r="BV291" s="216">
        <f t="shared" si="757"/>
        <v>0</v>
      </c>
      <c r="BW291" s="216">
        <f t="shared" si="758"/>
        <v>0</v>
      </c>
      <c r="BX291" s="216">
        <f t="shared" si="842"/>
        <v>0</v>
      </c>
      <c r="BY291" s="216">
        <f t="shared" si="759"/>
        <v>0</v>
      </c>
      <c r="BZ291" s="216">
        <f t="shared" si="760"/>
        <v>0</v>
      </c>
      <c r="CA291" s="264">
        <f t="shared" si="761"/>
        <v>0</v>
      </c>
      <c r="CB291" s="216">
        <f t="shared" si="762"/>
        <v>0</v>
      </c>
      <c r="CC291" s="216">
        <f t="shared" si="763"/>
        <v>0</v>
      </c>
      <c r="CD291" s="216">
        <f t="shared" si="843"/>
        <v>0</v>
      </c>
      <c r="CE291" s="216">
        <f t="shared" si="764"/>
        <v>0</v>
      </c>
      <c r="CF291" s="571">
        <f t="shared" si="765"/>
        <v>0</v>
      </c>
      <c r="CG291" s="573" t="str">
        <f t="shared" si="766"/>
        <v/>
      </c>
      <c r="CH291" s="219" t="str">
        <f t="shared" si="767"/>
        <v/>
      </c>
      <c r="CI291" s="219" t="str">
        <f t="shared" si="768"/>
        <v/>
      </c>
      <c r="CJ291" s="219" t="str">
        <f t="shared" si="769"/>
        <v/>
      </c>
      <c r="CK291" s="219" t="str">
        <f t="shared" si="770"/>
        <v/>
      </c>
      <c r="CL291" s="219" t="str">
        <f t="shared" si="771"/>
        <v/>
      </c>
      <c r="CM291" s="219" t="str">
        <f t="shared" si="772"/>
        <v/>
      </c>
      <c r="CN291" s="569" t="str">
        <f t="shared" si="773"/>
        <v/>
      </c>
      <c r="CO291" s="264">
        <f t="shared" si="856"/>
        <v>0</v>
      </c>
      <c r="CP291" s="216">
        <f t="shared" si="844"/>
        <v>0</v>
      </c>
      <c r="CQ291" s="216">
        <f t="shared" si="703"/>
        <v>0</v>
      </c>
      <c r="CR291" s="216">
        <f t="shared" si="704"/>
        <v>0</v>
      </c>
      <c r="CS291" s="1626">
        <f t="shared" si="705"/>
        <v>0</v>
      </c>
      <c r="CT291" s="216">
        <f t="shared" si="845"/>
        <v>0</v>
      </c>
      <c r="CU291" s="575" t="str">
        <f t="shared" si="774"/>
        <v/>
      </c>
      <c r="CV291" s="154" t="str">
        <f t="shared" si="775"/>
        <v/>
      </c>
      <c r="CW291" s="216">
        <f>IF(OR($BQ291,$BS291),SpreadOptPowerMargin,0)*((1+Assumptions!$C$26)^($B291-YEAR(Assumptions!$C$17)))</f>
        <v>0</v>
      </c>
      <c r="CX291" s="216">
        <f>IF(OR($BQ291,$BS291),SpreadOptPowerMargin,0)*((1+Assumptions!$C$26)^($B291-YEAR(Assumptions!$C$17)))</f>
        <v>0</v>
      </c>
      <c r="CY291" s="216">
        <f>IF(OR($BQ291,$BS291),SpreadOptPowerMargin,0)*((1+Assumptions!$C$26)^($B291-YEAR(Assumptions!$C$17)))</f>
        <v>0</v>
      </c>
      <c r="CZ291" s="216">
        <f>IF(OR($BQ291,$BS291),SpreadOptPowerMargin,0)*((1+Assumptions!$C$26)^($B291-YEAR(Assumptions!$C$17)))</f>
        <v>0</v>
      </c>
      <c r="DA291" s="440">
        <f t="shared" si="776"/>
        <v>0</v>
      </c>
      <c r="DB291" s="479" t="str">
        <f t="shared" si="777"/>
        <v/>
      </c>
      <c r="DC291" s="479" t="str">
        <f t="shared" si="778"/>
        <v/>
      </c>
      <c r="DD291" s="479" t="str">
        <f t="shared" si="779"/>
        <v/>
      </c>
      <c r="DE291" s="479" t="str">
        <f t="shared" si="780"/>
        <v/>
      </c>
      <c r="DF291" s="479" t="str">
        <f t="shared" si="781"/>
        <v/>
      </c>
      <c r="DG291" s="574" t="str">
        <f t="shared" si="782"/>
        <v/>
      </c>
      <c r="DH291" s="216">
        <f t="shared" si="783"/>
        <v>0</v>
      </c>
      <c r="DI291" s="216">
        <f t="shared" si="784"/>
        <v>0</v>
      </c>
      <c r="DJ291" s="216">
        <f t="shared" si="706"/>
        <v>0</v>
      </c>
      <c r="DK291" s="216">
        <f t="shared" si="707"/>
        <v>0</v>
      </c>
      <c r="DL291" s="216">
        <f t="shared" si="708"/>
        <v>0</v>
      </c>
      <c r="DM291" s="216"/>
      <c r="DN291" s="216"/>
      <c r="DO291" s="216"/>
      <c r="DP291" s="216"/>
      <c r="DQ291" s="216"/>
      <c r="DR291" s="216"/>
      <c r="DS291" s="216"/>
      <c r="DT291" s="216"/>
      <c r="DU291" s="216"/>
      <c r="DV291" s="216"/>
      <c r="DW291" s="1371">
        <f t="shared" si="785"/>
        <v>0</v>
      </c>
      <c r="DX291" s="216">
        <f t="shared" si="786"/>
        <v>0</v>
      </c>
      <c r="DY291" s="440">
        <f t="shared" si="787"/>
        <v>0</v>
      </c>
      <c r="DZ291" s="180">
        <f t="shared" si="788"/>
        <v>0</v>
      </c>
      <c r="EA291" s="180">
        <f t="shared" si="789"/>
        <v>0</v>
      </c>
      <c r="EB291" s="180">
        <f t="shared" si="709"/>
        <v>0</v>
      </c>
      <c r="EC291" s="180">
        <f t="shared" si="710"/>
        <v>0</v>
      </c>
      <c r="ED291" s="180">
        <f t="shared" si="711"/>
        <v>0</v>
      </c>
      <c r="EE291" s="581">
        <f t="shared" si="790"/>
        <v>0</v>
      </c>
      <c r="EF291" s="554">
        <f t="shared" si="791"/>
        <v>0</v>
      </c>
      <c r="EG291" s="554">
        <f t="shared" si="712"/>
        <v>0</v>
      </c>
      <c r="EH291" s="554">
        <f t="shared" si="713"/>
        <v>0</v>
      </c>
      <c r="EI291" s="561">
        <f t="shared" si="792"/>
        <v>0</v>
      </c>
      <c r="EJ291" s="581">
        <f t="shared" si="846"/>
        <v>0</v>
      </c>
      <c r="EK291" s="554">
        <f t="shared" si="847"/>
        <v>0</v>
      </c>
      <c r="EL291" s="554">
        <f t="shared" si="714"/>
        <v>0</v>
      </c>
      <c r="EM291" s="554">
        <f t="shared" si="715"/>
        <v>0</v>
      </c>
      <c r="EN291" s="561">
        <f t="shared" si="716"/>
        <v>0</v>
      </c>
      <c r="EO291" s="180">
        <f t="shared" si="793"/>
        <v>0</v>
      </c>
      <c r="EP291" s="180">
        <f t="shared" si="794"/>
        <v>0</v>
      </c>
      <c r="EQ291" s="180">
        <f t="shared" si="795"/>
        <v>0</v>
      </c>
      <c r="ER291" s="180">
        <f t="shared" si="796"/>
        <v>0</v>
      </c>
      <c r="ES291" s="180">
        <f t="shared" si="797"/>
        <v>0</v>
      </c>
      <c r="ET291" s="1482">
        <f t="shared" si="717"/>
        <v>0</v>
      </c>
      <c r="EU291" s="180">
        <f t="shared" si="718"/>
        <v>0</v>
      </c>
      <c r="EV291" s="180">
        <f t="shared" si="719"/>
        <v>0</v>
      </c>
      <c r="EW291" s="180">
        <f t="shared" si="720"/>
        <v>0</v>
      </c>
      <c r="EX291" s="555">
        <f t="shared" si="693"/>
        <v>0</v>
      </c>
      <c r="EY291" s="180">
        <f t="shared" si="721"/>
        <v>0</v>
      </c>
      <c r="EZ291" s="180">
        <f t="shared" si="722"/>
        <v>0</v>
      </c>
      <c r="FA291" s="180">
        <f t="shared" si="723"/>
        <v>0</v>
      </c>
      <c r="FB291" s="180">
        <f t="shared" si="724"/>
        <v>0</v>
      </c>
      <c r="FC291" s="180">
        <f t="shared" si="725"/>
        <v>0</v>
      </c>
      <c r="FD291" s="262">
        <f>IF(AX291,IF(VLOOKUP(C291,MAIN!$L$17:$M$28,2)="Yes",VLOOKUP(CALC!B291,MAIN!$H$17:$I$20,2),0),0)</f>
        <v>0</v>
      </c>
      <c r="FE291" s="623">
        <f t="shared" si="798"/>
        <v>0</v>
      </c>
      <c r="FF291" s="535">
        <f t="shared" si="799"/>
        <v>0</v>
      </c>
      <c r="FG291" s="535">
        <f t="shared" si="800"/>
        <v>0</v>
      </c>
      <c r="FH291" s="624">
        <f t="shared" si="801"/>
        <v>0</v>
      </c>
      <c r="FI291" s="632">
        <f>IF(AX291,VLOOKUP(CALC!B291,MAIN!$H$17:$K$20,4),0)</f>
        <v>0</v>
      </c>
      <c r="FJ291" s="535">
        <f t="shared" si="802"/>
        <v>0</v>
      </c>
      <c r="FK291" s="648">
        <f t="shared" si="848"/>
        <v>0</v>
      </c>
      <c r="FL291" s="530">
        <f t="shared" si="726"/>
        <v>0</v>
      </c>
      <c r="FM291" s="530">
        <f t="shared" si="727"/>
        <v>0</v>
      </c>
      <c r="FN291" s="530">
        <f t="shared" si="728"/>
        <v>0</v>
      </c>
      <c r="FO291" s="622">
        <f t="shared" si="729"/>
        <v>0</v>
      </c>
      <c r="FP291" s="530">
        <f t="shared" si="730"/>
        <v>0</v>
      </c>
      <c r="FQ291" s="530">
        <f t="shared" si="731"/>
        <v>0</v>
      </c>
      <c r="FR291" s="530">
        <f t="shared" si="732"/>
        <v>0</v>
      </c>
      <c r="FS291" s="625">
        <f t="shared" si="733"/>
        <v>0</v>
      </c>
      <c r="FT291" s="640">
        <f>IF(AND(Assumptions!$H$71="Yes",A291&gt;=Assumptions!$H$72,A291&lt;=Assumptions!$H$73),0,IF(AND($A291&gt;=Assumptions!$C$17,$A291&lt;=Assumptions!$C$18),MAX(AZ291*(1+VLOOKUP($C291,WeatherCapacityAdjustment,2))-FL291,0),0))</f>
        <v>0</v>
      </c>
      <c r="FU291" s="530">
        <f>IF(AND(Assumptions!$H$71="Yes",A291&gt;=Assumptions!$H$72,A291&lt;=Assumptions!$H$73),0,IF(AND($A291&gt;=Assumptions!$C$17,$A291&lt;=Assumptions!$C$18),MAX(BA291*(1+VLOOKUP($C291,WeatherCapacityAdjustment,2))-FM291,0),0))</f>
        <v>0</v>
      </c>
      <c r="FV291" s="530">
        <f>IF(AND(Assumptions!$H$71="Yes",A291&gt;=Assumptions!$H$72,A291&lt;=Assumptions!$H$73),0,IF(AND($A291&gt;=Assumptions!$C$17,$A291&lt;=Assumptions!$C$18),MAX(BB291*(1+VLOOKUP($C291,WeatherCapacityAdjustment,2))-FN291,0),0))</f>
        <v>0</v>
      </c>
      <c r="FW291" s="622">
        <f>IF(AND(Assumptions!$H$71="Yes",A291&gt;=Assumptions!$H$72,A291&lt;=Assumptions!$H$73),0,IF(AND($A291&gt;=Assumptions!$C$17,$A291&lt;=Assumptions!$C$18),MAX(BC291*(1+VLOOKUP($C291,WeatherCapacityAdjustment,3))-FO291,0),0))</f>
        <v>0</v>
      </c>
      <c r="FX291" s="621">
        <f>IF(AND(Assumptions!$H$71="Yes",A291&gt;=Assumptions!$H$72,A291&lt;=Assumptions!$H$73),0,IF(ET291&gt;0,MAX(BH291*(1+VLOOKUP($C291,WeatherCapacityAdjustment,2))-FP291,0),0))</f>
        <v>0</v>
      </c>
      <c r="FY291" s="530">
        <f>IF(AND(Assumptions!$H$71="Yes",A291&gt;=Assumptions!$H$72,A291&lt;=Assumptions!$H$73),0,IF(EU291&gt;0,MAX(BI291*(1+VLOOKUP($C291,WeatherCapacityAdjustment,3))-FQ291,0),0))</f>
        <v>0</v>
      </c>
      <c r="FZ291" s="530">
        <f>IF(AND(Assumptions!$H$71="Yes",A291&gt;=Assumptions!$H$72,A291&lt;=Assumptions!$H$73),0,IF(EV291&gt;0,MAX(BJ291*(1+VLOOKUP($C291,WeatherCapacityAdjustment,2))-FR291,0),0))</f>
        <v>0</v>
      </c>
      <c r="GA291" s="622">
        <f>IF(AND(Assumptions!$H$71="Yes",A291&gt;=Assumptions!$H$72,A291&lt;=Assumptions!$H$73),0,IF(EW291&gt;0,MAX(BK291*(1+VLOOKUP($C291,WeatherCapacityAdjustment,2))-FS291,0),0))</f>
        <v>0</v>
      </c>
      <c r="GB291" s="530">
        <f t="shared" si="803"/>
        <v>0</v>
      </c>
      <c r="GC291" s="545">
        <f t="shared" si="804"/>
        <v>0</v>
      </c>
      <c r="GD291" s="530">
        <f t="shared" si="734"/>
        <v>0</v>
      </c>
      <c r="GE291" s="1485">
        <f t="shared" si="735"/>
        <v>0</v>
      </c>
      <c r="GF291" s="1776">
        <f t="shared" si="736"/>
        <v>0</v>
      </c>
      <c r="GG291" s="545">
        <f>IF(BQ291,VLOOKUP(A291,GasTable,13),0)</f>
        <v>0</v>
      </c>
      <c r="GH291" s="622">
        <f t="shared" si="702"/>
        <v>0</v>
      </c>
      <c r="GI291" s="621">
        <f t="shared" si="849"/>
        <v>0</v>
      </c>
      <c r="GJ291" s="638">
        <f t="shared" si="805"/>
        <v>0</v>
      </c>
      <c r="GK291" s="625">
        <f t="shared" si="855"/>
        <v>0</v>
      </c>
      <c r="GL291" s="640">
        <f t="shared" si="737"/>
        <v>0</v>
      </c>
      <c r="GM291" s="530">
        <f t="shared" si="738"/>
        <v>0</v>
      </c>
      <c r="GN291" s="530">
        <f t="shared" si="739"/>
        <v>0</v>
      </c>
      <c r="GO291" s="622">
        <f t="shared" si="740"/>
        <v>0</v>
      </c>
      <c r="GP291" s="530">
        <f t="shared" si="806"/>
        <v>0</v>
      </c>
      <c r="GQ291" s="545">
        <f t="shared" si="807"/>
        <v>0</v>
      </c>
      <c r="GR291" s="625">
        <f t="shared" si="741"/>
        <v>0</v>
      </c>
      <c r="GS291" s="640">
        <f>IF($A291&gt;=BegDate,Assumptions!$C$56*24*($A292-$A291)*(1-VLOOKUP($B291,MAIN!$AA$7:$AM$28,$C291+1))*(1-VLOOKUP($B291,MAIN!$AA$33:$AM$54,$C291+1)),0)*80/168</f>
        <v>257742.85714285713</v>
      </c>
      <c r="GT291" s="1715">
        <f t="shared" si="850"/>
        <v>46.895091837935134</v>
      </c>
      <c r="GU291" s="1715">
        <f>IF($A291&gt;=BegDate,VLOOKUP($A291,GasTable,13)+Assumptions!$C$58,0)</f>
        <v>4.5871112217967047</v>
      </c>
      <c r="GV291" s="1715">
        <f>GU291*Assumptions!$C$57/1000</f>
        <v>33.25655635802611</v>
      </c>
      <c r="GW291" s="625">
        <f>IF(Assumptions!$C$60="Hourly",MAX(0,GS291*(GT291-GV291)),GS291*(GT291-GV291))</f>
        <v>3515235.1018359801</v>
      </c>
      <c r="GX291" s="640">
        <f>IF($A291&gt;=BegDate,Assumptions!$C$56*24*($A292-$A291)*(1-VLOOKUP($B291,MAIN!$AA$7:$AM$28,$C291+1))*(1-VLOOKUP($B291,MAIN!$AA$33:$AM$54,$C291+1)),0)*16/168</f>
        <v>51548.571428571428</v>
      </c>
      <c r="GY291" s="1715">
        <f t="shared" si="851"/>
        <v>46.895091837935134</v>
      </c>
      <c r="GZ291" s="1715">
        <f>IF($A291&gt;=BegDate,VLOOKUP($A291,GasTable,13)+Assumptions!$C$58,0)</f>
        <v>4.5871112217967047</v>
      </c>
      <c r="HA291" s="1715">
        <f>GZ291*Assumptions!$C$57/1000</f>
        <v>33.25655635802611</v>
      </c>
      <c r="HB291" s="625">
        <f>IF(Assumptions!$C$60="Hourly",MAX(0,GX291*(GY291-HA291)),GX291*(GY291-HA291))</f>
        <v>703047.02036719595</v>
      </c>
      <c r="HC291" s="640">
        <f>IF($A291&gt;=BegDate,Assumptions!$C$56*24*($A292-$A291)*(1-VLOOKUP($B291,MAIN!$AA$7:$AM$28,$C291+1))*(1-VLOOKUP($B291,MAIN!$AA$33:$AM$54,$C291+1)),0)*16/168</f>
        <v>51548.571428571428</v>
      </c>
      <c r="HD291" s="1715">
        <f t="shared" si="852"/>
        <v>32.547989262542536</v>
      </c>
      <c r="HE291" s="1715">
        <f>IF($A291&gt;=BegDate,VLOOKUP($A291,GasTable,13)+Assumptions!$C$58,0)</f>
        <v>4.5871112217967047</v>
      </c>
      <c r="HF291" s="1715">
        <f>HE291*Assumptions!$C$57/1000</f>
        <v>33.25655635802611</v>
      </c>
      <c r="HG291" s="625">
        <f>IF(Assumptions!$C$60="Hourly",MAX(0,HC291*(HD291-HF291)),HC291*(HD291-HF291))</f>
        <v>0</v>
      </c>
      <c r="HH291" s="640">
        <f>IF($A291&gt;=BegDate,Assumptions!$C$56*24*($A292-$A291)*(1-VLOOKUP($B291,MAIN!$AA$7:$AM$28,$C291+1))*(1-VLOOKUP($B291,MAIN!$AA$33:$AM$54,$C291+1)),0)*56/168</f>
        <v>180420</v>
      </c>
      <c r="HI291" s="1715">
        <f t="shared" si="853"/>
        <v>32.547989262542536</v>
      </c>
      <c r="HJ291" s="1715">
        <f>IF($A291&gt;=BegDate,VLOOKUP($A291,GasTable,13)+Assumptions!$C$58,0)</f>
        <v>4.5871112217967047</v>
      </c>
      <c r="HK291" s="1715">
        <f>HJ291*Assumptions!$C$57/1000</f>
        <v>33.25655635802611</v>
      </c>
      <c r="HL291" s="625">
        <f>IF(Assumptions!$C$60="Hourly",MAX(0,HH291*(HI291-HK291)),HH291*(HI291-HK291))</f>
        <v>0</v>
      </c>
      <c r="HM291" s="640">
        <f>IF(AND(Assumptions!$H$71="Yes",A291&gt;=Assumptions!$H$72,A291&lt;=Assumptions!$H$73),Assumptions!$H$74*Assumptions!$C$9*1000,0)</f>
        <v>0</v>
      </c>
      <c r="HN291" s="530"/>
      <c r="HO291" s="545"/>
      <c r="HP291" s="545"/>
      <c r="HQ291" s="545"/>
      <c r="HR291" s="545"/>
      <c r="HS291" s="545"/>
      <c r="HT291" s="545"/>
      <c r="HU291" s="545"/>
      <c r="HV291" s="545"/>
      <c r="HW291" s="545"/>
      <c r="HX291" s="545"/>
      <c r="HY291" s="545"/>
      <c r="HZ291" s="545"/>
      <c r="IA291" s="545"/>
      <c r="IB291" s="545"/>
      <c r="IC291" s="545"/>
      <c r="ID291" s="545"/>
      <c r="IE291" s="545"/>
      <c r="IF291" s="545"/>
      <c r="IG291" s="545"/>
      <c r="IH291" s="545"/>
      <c r="II291" s="1464"/>
      <c r="IJ291" s="1463"/>
      <c r="IK291" s="1463"/>
    </row>
    <row r="292" spans="1:245">
      <c r="A292" s="177">
        <f t="shared" si="808"/>
        <v>45017</v>
      </c>
      <c r="B292" s="349">
        <f t="shared" si="809"/>
        <v>2023</v>
      </c>
      <c r="C292" s="1509">
        <f>MONTH(A292)</f>
        <v>4</v>
      </c>
      <c r="D292" s="1864" t="str">
        <f t="shared" si="810"/>
        <v/>
      </c>
      <c r="E292" s="609" t="str">
        <f>IF(OR(BegDate&gt;=A293,EndDate&lt;A292,AND(VolumeMonthlyOverFlag,INDEX(VolumeMonthlyOver,C292)=0),NOT(INDEX(MonthKnockOutTable,C292))),"",MAX(A292,BegDate))</f>
        <v/>
      </c>
      <c r="F292" s="1864" t="str">
        <f>IF(E292="","",MIN(A293-1,EndDate))</f>
        <v/>
      </c>
      <c r="G292" s="1860">
        <v>0</v>
      </c>
      <c r="H292" s="152">
        <f t="shared" si="854"/>
        <v>1</v>
      </c>
      <c r="I292" s="154">
        <f>IF(Assumptions!$L$25=4,VLOOKUP($A292,'Henwood Reference'!$E$9:$R$320,10),(VLOOKUP($A292,PriceTable,2,0)+IF(BasisNumber&lt;&gt;1,VLOOKUP($A292,BasisTable,2,0),0)+I$1)/(1-I$2))</f>
        <v>45.476355569942122</v>
      </c>
      <c r="J292" s="154">
        <f>IF(Assumptions!$L$25=4,VLOOKUP($A292,'Henwood Reference'!$E$9:$R$320,10),(VLOOKUP($A292,PriceTable,3,0)+IF(BasisNumber&lt;&gt;1,VLOOKUP($A292,BasisTable,2,0),0)+J$1)/(1-J$2))</f>
        <v>45.476355569942122</v>
      </c>
      <c r="K292" s="154">
        <f>IF(Assumptions!$L$25=4,VLOOKUP($A292,'Henwood Reference'!$E$9:$R$320,10),(VLOOKUP($A292,PriceTable,4,0)+IF(BasisNumber&lt;&gt;1,VLOOKUP($A292,BasisTable,2,0),0)+K$1)/(1-K$2))</f>
        <v>45.476355569942122</v>
      </c>
      <c r="L292" s="474">
        <f>IF(Assumptions!$L$25=4,VLOOKUP($A292,'Henwood Reference'!$E$9:$R$320,10),(VLOOKUP($A292,PriceTableWeekend,2,0)+IF(BasisNumber&lt;&gt;1,VLOOKUP($A292,BasisTable,2,0),0)+L$1)/(1-L$2))</f>
        <v>45.476355569942122</v>
      </c>
      <c r="M292" s="154">
        <f>IF(Assumptions!$L$25=4,VLOOKUP($A292,'Henwood Reference'!$E$9:$R$320,10),(VLOOKUP($A292,PriceTableWeekend,3,0)+IF(BasisNumber&lt;&gt;1,VLOOKUP($A292,BasisTable,2,0),0)+M$1)/(1-M$2))</f>
        <v>45.476355569942122</v>
      </c>
      <c r="N292" s="156">
        <f>IF(Assumptions!$L$25=4,VLOOKUP($A292,'Henwood Reference'!$E$9:$R$320,10),(VLOOKUP($A292,PriceTableWeekend,4,0)+IF(BasisNumber&lt;&gt;1,VLOOKUP($A292,BasisTable,2,0),0)+N$1)/(1-N$2))</f>
        <v>45.476355569942122</v>
      </c>
      <c r="O292" s="154">
        <f>IF(Assumptions!$L$25=4,VLOOKUP($A292,'Henwood Reference'!$E$9:$R$320,11),(VLOOKUP($A292,PriceTableWeekend,6,0)+IF(BasisNumber&lt;&gt;1,VLOOKUP($A292,BasisTable,3,0),0)+O$1)/(1-O$2))</f>
        <v>31.708763474139875</v>
      </c>
      <c r="P292" s="154">
        <f>IF(Assumptions!$L$25=4,VLOOKUP($A292,'Henwood Reference'!$E$9:$R$320,11),(VLOOKUP($A292,PriceTableWeekend,7,0)+IF(BasisNumber&lt;&gt;1,VLOOKUP($A292,BasisTable,3,0),0)+P$1)/(1-P$2))</f>
        <v>31.708763474139875</v>
      </c>
      <c r="Q292" s="156">
        <f>IF(Assumptions!$L$25=4,VLOOKUP($A292,'Henwood Reference'!$E$9:$R$320,11),(VLOOKUP($A292,PriceTableWeekend,8,0)+IF(BasisNumber&lt;&gt;1,VLOOKUP($A292,BasisTable,3,0),0)+Q$1)/(1-Q$2))</f>
        <v>31.708763474139875</v>
      </c>
      <c r="R292" s="154">
        <f>IF(Assumptions!$L$25=4,VLOOKUP($A292,'Henwood Reference'!$E$9:$R$320,11),(VLOOKUP($A292,PriceTable,6,0)+IF(BasisNumber&lt;&gt;1,VLOOKUP($A292,BasisTable,3,0),0)+R$1)/(1-R$2))</f>
        <v>31.708763474139875</v>
      </c>
      <c r="S292" s="154">
        <f>IF(Assumptions!$L$25=4,VLOOKUP($A292,'Henwood Reference'!$E$9:$R$320,11),(VLOOKUP($A292,PriceTable,7,0)+IF(BasisNumber&lt;&gt;1,VLOOKUP($A292,BasisTable,3,0),0)+S$1)/(1-S$2))</f>
        <v>31.708763474139875</v>
      </c>
      <c r="T292" s="155">
        <f>IF(Assumptions!$L$25=4,VLOOKUP($A292,'Henwood Reference'!$E$9:$R$320,11),(VLOOKUP($A292,PriceTable,8,0)+IF(BasisNumber&lt;&gt;1,VLOOKUP($A292,BasisTable,3,0),0)+T$1)/(1-T$2))</f>
        <v>31.708763474139875</v>
      </c>
      <c r="U292" s="173">
        <f t="shared" si="811"/>
        <v>0.09</v>
      </c>
      <c r="V292" s="173">
        <f t="shared" si="812"/>
        <v>0.1</v>
      </c>
      <c r="W292" s="173">
        <f t="shared" si="813"/>
        <v>0.11</v>
      </c>
      <c r="X292" s="173">
        <f t="shared" si="814"/>
        <v>0.09</v>
      </c>
      <c r="Y292" s="173">
        <f t="shared" si="815"/>
        <v>0.1</v>
      </c>
      <c r="Z292" s="173">
        <f t="shared" si="816"/>
        <v>0.11</v>
      </c>
      <c r="AA292" s="173">
        <f t="shared" si="817"/>
        <v>0.09</v>
      </c>
      <c r="AB292" s="173">
        <f t="shared" si="818"/>
        <v>0.11</v>
      </c>
      <c r="AC292" s="173">
        <f t="shared" si="819"/>
        <v>0.13</v>
      </c>
      <c r="AD292" s="173">
        <f t="shared" si="820"/>
        <v>0.09</v>
      </c>
      <c r="AE292" s="173">
        <f t="shared" si="821"/>
        <v>0.11</v>
      </c>
      <c r="AF292" s="173">
        <f t="shared" si="822"/>
        <v>0.13</v>
      </c>
      <c r="AG292" s="173">
        <f t="shared" si="823"/>
        <v>-0.1</v>
      </c>
      <c r="AH292" s="173">
        <f t="shared" si="824"/>
        <v>0.65</v>
      </c>
      <c r="AI292" s="173">
        <f t="shared" si="825"/>
        <v>0.1</v>
      </c>
      <c r="AJ292" s="173">
        <f t="shared" si="826"/>
        <v>-0.1</v>
      </c>
      <c r="AK292" s="173">
        <f t="shared" si="827"/>
        <v>0.65</v>
      </c>
      <c r="AL292" s="173">
        <f t="shared" si="828"/>
        <v>0.1</v>
      </c>
      <c r="AM292" s="173">
        <f t="shared" si="829"/>
        <v>-0.01</v>
      </c>
      <c r="AN292" s="173">
        <f t="shared" si="830"/>
        <v>0.16</v>
      </c>
      <c r="AO292" s="173">
        <f t="shared" si="831"/>
        <v>0.01</v>
      </c>
      <c r="AP292" s="173">
        <f t="shared" si="832"/>
        <v>-0.01</v>
      </c>
      <c r="AQ292" s="173">
        <f t="shared" si="833"/>
        <v>0.16</v>
      </c>
      <c r="AR292" s="1861">
        <f t="shared" si="834"/>
        <v>0.01</v>
      </c>
      <c r="AS292" s="1862">
        <f>IF(CorrPeakOffPeakOverFlag,INDEX(CorrPeakOffPeakOver,C292),CorrPeakOffPeak)</f>
        <v>0.5</v>
      </c>
      <c r="AT292" s="15">
        <f>AX292-SUM(AU292:AW292)</f>
        <v>0</v>
      </c>
      <c r="AU292" s="159">
        <f t="shared" si="753"/>
        <v>0</v>
      </c>
      <c r="AV292" s="159">
        <f t="shared" si="754"/>
        <v>0</v>
      </c>
      <c r="AW292" s="159">
        <f>IF(OR(E292="",D292="",D292&lt;BegDate,D292&gt;EndDate),0,1)</f>
        <v>0</v>
      </c>
      <c r="AX292" s="15">
        <f>IF(E292="",0,F292-E292+1)</f>
        <v>0</v>
      </c>
      <c r="AY292" s="1861">
        <f>IF(E292="",0,MIN((1-(1-VLOOKUP(B292,MAIN!$AA$7:$AM$28,C292+1))*(1-VLOOKUP(B292,MAIN!$AA$33:$AM$54,C292+1))),1))</f>
        <v>0</v>
      </c>
      <c r="AZ292" s="337">
        <v>0</v>
      </c>
      <c r="BA292" s="337">
        <v>0</v>
      </c>
      <c r="BB292" s="337">
        <v>0</v>
      </c>
      <c r="BC292" s="337">
        <v>0</v>
      </c>
      <c r="BD292" s="154">
        <v>0</v>
      </c>
      <c r="BE292" s="154">
        <v>0</v>
      </c>
      <c r="BF292" s="154">
        <v>0</v>
      </c>
      <c r="BG292" s="154">
        <v>0</v>
      </c>
      <c r="BH292" s="337">
        <v>0</v>
      </c>
      <c r="BI292" s="337">
        <v>0</v>
      </c>
      <c r="BJ292" s="337">
        <v>0</v>
      </c>
      <c r="BK292" s="337">
        <v>0</v>
      </c>
      <c r="BL292" s="154">
        <v>0</v>
      </c>
      <c r="BM292" s="154">
        <v>0</v>
      </c>
      <c r="BN292" s="154">
        <v>0</v>
      </c>
      <c r="BO292" s="154">
        <v>0</v>
      </c>
      <c r="BP292" s="259">
        <f t="shared" si="837"/>
        <v>0</v>
      </c>
      <c r="BQ292" s="259">
        <f t="shared" si="838"/>
        <v>0</v>
      </c>
      <c r="BR292" s="259">
        <f t="shared" si="839"/>
        <v>0</v>
      </c>
      <c r="BS292" s="259">
        <f t="shared" si="840"/>
        <v>0</v>
      </c>
      <c r="BT292" s="216">
        <f t="shared" si="841"/>
        <v>22.962354551676935</v>
      </c>
      <c r="BU292" s="216">
        <f t="shared" si="756"/>
        <v>0</v>
      </c>
      <c r="BV292" s="216">
        <f t="shared" si="757"/>
        <v>0</v>
      </c>
      <c r="BW292" s="216">
        <f t="shared" si="758"/>
        <v>0</v>
      </c>
      <c r="BX292" s="216">
        <f t="shared" si="842"/>
        <v>0</v>
      </c>
      <c r="BY292" s="216">
        <f t="shared" si="759"/>
        <v>0</v>
      </c>
      <c r="BZ292" s="216">
        <f t="shared" si="760"/>
        <v>0</v>
      </c>
      <c r="CA292" s="216">
        <f t="shared" si="761"/>
        <v>0</v>
      </c>
      <c r="CB292" s="216">
        <f t="shared" si="762"/>
        <v>0</v>
      </c>
      <c r="CC292" s="216">
        <f t="shared" si="763"/>
        <v>0</v>
      </c>
      <c r="CD292" s="216">
        <f t="shared" si="843"/>
        <v>0</v>
      </c>
      <c r="CE292" s="216">
        <f t="shared" si="764"/>
        <v>0</v>
      </c>
      <c r="CF292" s="216">
        <f t="shared" si="765"/>
        <v>0</v>
      </c>
      <c r="CG292" s="1863" t="str">
        <f t="shared" si="766"/>
        <v/>
      </c>
      <c r="CH292" s="219" t="str">
        <f t="shared" si="767"/>
        <v/>
      </c>
      <c r="CI292" s="219" t="str">
        <f t="shared" si="768"/>
        <v/>
      </c>
      <c r="CJ292" s="219" t="str">
        <f t="shared" si="769"/>
        <v/>
      </c>
      <c r="CK292" s="219" t="str">
        <f t="shared" si="770"/>
        <v/>
      </c>
      <c r="CL292" s="219" t="str">
        <f t="shared" si="771"/>
        <v/>
      </c>
      <c r="CM292" s="219" t="str">
        <f t="shared" si="772"/>
        <v/>
      </c>
      <c r="CN292" s="219" t="str">
        <f t="shared" si="773"/>
        <v/>
      </c>
      <c r="CO292" s="216">
        <f t="shared" si="856"/>
        <v>0</v>
      </c>
      <c r="CP292" s="216">
        <f t="shared" si="844"/>
        <v>0</v>
      </c>
      <c r="CQ292" s="216">
        <f t="shared" si="703"/>
        <v>0</v>
      </c>
      <c r="CR292" s="216">
        <f t="shared" si="704"/>
        <v>0</v>
      </c>
      <c r="CS292" s="1626">
        <f t="shared" si="705"/>
        <v>0</v>
      </c>
      <c r="CT292" s="216">
        <f t="shared" si="845"/>
        <v>0</v>
      </c>
      <c r="CU292" s="479" t="str">
        <f t="shared" si="774"/>
        <v/>
      </c>
      <c r="CV292" s="154" t="str">
        <f t="shared" si="775"/>
        <v/>
      </c>
      <c r="CW292" s="216">
        <f>IF(OR($BQ292,$BS292),SpreadOptPowerMargin,0)*((1+Assumptions!$C$26)^($B292-YEAR(Assumptions!$C$17)))</f>
        <v>0</v>
      </c>
      <c r="CX292" s="216">
        <f>IF(OR($BQ292,$BS292),SpreadOptPowerMargin,0)*((1+Assumptions!$C$26)^($B292-YEAR(Assumptions!$C$17)))</f>
        <v>0</v>
      </c>
      <c r="CY292" s="216">
        <f>IF(OR($BQ292,$BS292),SpreadOptPowerMargin,0)*((1+Assumptions!$C$26)^($B292-YEAR(Assumptions!$C$17)))</f>
        <v>0</v>
      </c>
      <c r="CZ292" s="216">
        <f>IF(OR($BQ292,$BS292),SpreadOptPowerMargin,0)*((1+Assumptions!$C$26)^($B292-YEAR(Assumptions!$C$17)))</f>
        <v>0</v>
      </c>
      <c r="DA292" s="216">
        <f t="shared" si="776"/>
        <v>0</v>
      </c>
      <c r="DB292" s="479" t="str">
        <f t="shared" si="777"/>
        <v/>
      </c>
      <c r="DC292" s="479" t="str">
        <f t="shared" si="778"/>
        <v/>
      </c>
      <c r="DD292" s="479" t="str">
        <f t="shared" si="779"/>
        <v/>
      </c>
      <c r="DE292" s="479" t="str">
        <f t="shared" si="780"/>
        <v/>
      </c>
      <c r="DF292" s="479" t="str">
        <f t="shared" si="781"/>
        <v/>
      </c>
      <c r="DG292" s="479" t="str">
        <f t="shared" si="782"/>
        <v/>
      </c>
      <c r="DH292" s="216">
        <f t="shared" si="783"/>
        <v>0</v>
      </c>
      <c r="DI292" s="216">
        <f t="shared" si="784"/>
        <v>0</v>
      </c>
      <c r="DJ292" s="216">
        <f t="shared" si="706"/>
        <v>0</v>
      </c>
      <c r="DK292" s="216">
        <f t="shared" si="707"/>
        <v>0</v>
      </c>
      <c r="DL292" s="216">
        <f t="shared" si="708"/>
        <v>0</v>
      </c>
      <c r="DM292" s="216"/>
      <c r="DN292" s="216"/>
      <c r="DO292" s="216"/>
      <c r="DP292" s="216"/>
      <c r="DQ292" s="216"/>
      <c r="DR292" s="216"/>
      <c r="DS292" s="216"/>
      <c r="DT292" s="216"/>
      <c r="DU292" s="216"/>
      <c r="DV292" s="216"/>
      <c r="DW292" s="216">
        <f t="shared" si="785"/>
        <v>0</v>
      </c>
      <c r="DX292" s="216">
        <f t="shared" si="786"/>
        <v>0</v>
      </c>
      <c r="DY292" s="216">
        <f t="shared" si="787"/>
        <v>0</v>
      </c>
      <c r="DZ292" s="180">
        <f t="shared" si="788"/>
        <v>0</v>
      </c>
      <c r="EA292" s="180">
        <f t="shared" si="789"/>
        <v>0</v>
      </c>
      <c r="EB292" s="180">
        <f t="shared" si="709"/>
        <v>0</v>
      </c>
      <c r="EC292" s="180">
        <f t="shared" si="710"/>
        <v>0</v>
      </c>
      <c r="ED292" s="180">
        <f t="shared" si="711"/>
        <v>0</v>
      </c>
      <c r="EE292" s="554">
        <f t="shared" si="790"/>
        <v>0</v>
      </c>
      <c r="EF292" s="554">
        <f t="shared" si="791"/>
        <v>0</v>
      </c>
      <c r="EG292" s="554">
        <f t="shared" si="712"/>
        <v>0</v>
      </c>
      <c r="EH292" s="554">
        <f t="shared" si="713"/>
        <v>0</v>
      </c>
      <c r="EI292" s="561">
        <f t="shared" si="792"/>
        <v>0</v>
      </c>
      <c r="EJ292" s="554">
        <f t="shared" si="846"/>
        <v>0</v>
      </c>
      <c r="EK292" s="554">
        <f t="shared" si="847"/>
        <v>0</v>
      </c>
      <c r="EL292" s="554">
        <f t="shared" si="714"/>
        <v>0</v>
      </c>
      <c r="EM292" s="554">
        <f t="shared" si="715"/>
        <v>0</v>
      </c>
      <c r="EN292" s="561">
        <f t="shared" si="716"/>
        <v>0</v>
      </c>
      <c r="EO292" s="180">
        <f t="shared" si="793"/>
        <v>0</v>
      </c>
      <c r="EP292" s="180">
        <f t="shared" si="794"/>
        <v>0</v>
      </c>
      <c r="EQ292" s="180">
        <f t="shared" si="795"/>
        <v>0</v>
      </c>
      <c r="ER292" s="180">
        <f t="shared" si="796"/>
        <v>0</v>
      </c>
      <c r="ES292" s="180">
        <f t="shared" si="797"/>
        <v>0</v>
      </c>
      <c r="ET292" s="1482">
        <f t="shared" si="717"/>
        <v>0</v>
      </c>
      <c r="EU292" s="180">
        <f t="shared" si="718"/>
        <v>0</v>
      </c>
      <c r="EV292" s="180">
        <f t="shared" si="719"/>
        <v>0</v>
      </c>
      <c r="EW292" s="180">
        <f t="shared" si="720"/>
        <v>0</v>
      </c>
      <c r="EX292" s="555">
        <f t="shared" si="693"/>
        <v>0</v>
      </c>
      <c r="EY292" s="180">
        <f t="shared" si="721"/>
        <v>0</v>
      </c>
      <c r="EZ292" s="180">
        <f t="shared" si="722"/>
        <v>0</v>
      </c>
      <c r="FA292" s="180">
        <f t="shared" si="723"/>
        <v>0</v>
      </c>
      <c r="FB292" s="180">
        <f t="shared" si="724"/>
        <v>0</v>
      </c>
      <c r="FC292" s="180">
        <f t="shared" si="725"/>
        <v>0</v>
      </c>
      <c r="FD292" s="337">
        <f>IF(AX292,IF(VLOOKUP(C292,MAIN!$L$17:$M$28,2)="Yes",VLOOKUP(CALC!B292,MAIN!$H$17:$I$20,2),0),0)</f>
        <v>0</v>
      </c>
      <c r="FE292" s="535">
        <f t="shared" si="798"/>
        <v>0</v>
      </c>
      <c r="FF292" s="535">
        <f t="shared" si="799"/>
        <v>0</v>
      </c>
      <c r="FG292" s="535">
        <f t="shared" si="800"/>
        <v>0</v>
      </c>
      <c r="FH292" s="535">
        <f t="shared" si="801"/>
        <v>0</v>
      </c>
      <c r="FI292" s="632">
        <f>IF(AX292,VLOOKUP(CALC!B292,MAIN!$H$17:$K$20,4),0)</f>
        <v>0</v>
      </c>
      <c r="FJ292" s="535">
        <f t="shared" si="802"/>
        <v>0</v>
      </c>
      <c r="FK292" s="535">
        <f t="shared" si="848"/>
        <v>0</v>
      </c>
      <c r="FL292" s="530">
        <f t="shared" si="726"/>
        <v>0</v>
      </c>
      <c r="FM292" s="530">
        <f t="shared" si="727"/>
        <v>0</v>
      </c>
      <c r="FN292" s="530">
        <f t="shared" si="728"/>
        <v>0</v>
      </c>
      <c r="FO292" s="622">
        <f t="shared" si="729"/>
        <v>0</v>
      </c>
      <c r="FP292" s="530">
        <f t="shared" si="730"/>
        <v>0</v>
      </c>
      <c r="FQ292" s="530">
        <f t="shared" si="731"/>
        <v>0</v>
      </c>
      <c r="FR292" s="530">
        <f t="shared" si="732"/>
        <v>0</v>
      </c>
      <c r="FS292" s="625">
        <f t="shared" si="733"/>
        <v>0</v>
      </c>
      <c r="FT292" s="640">
        <f>IF(AND(Assumptions!$H$71="Yes",A292&gt;=Assumptions!$H$72,A292&lt;=Assumptions!$H$73),0,IF(AND($A292&gt;=Assumptions!$C$17,$A292&lt;=Assumptions!$C$18),MAX(AZ292*(1+VLOOKUP($C292,WeatherCapacityAdjustment,2))-FL292,0),0))</f>
        <v>0</v>
      </c>
      <c r="FU292" s="530">
        <f>IF(AND(Assumptions!$H$71="Yes",A292&gt;=Assumptions!$H$72,A292&lt;=Assumptions!$H$73),0,IF(AND($A292&gt;=Assumptions!$C$17,$A292&lt;=Assumptions!$C$18),MAX(BA292*(1+VLOOKUP($C292,WeatherCapacityAdjustment,2))-FM292,0),0))</f>
        <v>0</v>
      </c>
      <c r="FV292" s="530">
        <f>IF(AND(Assumptions!$H$71="Yes",A292&gt;=Assumptions!$H$72,A292&lt;=Assumptions!$H$73),0,IF(AND($A292&gt;=Assumptions!$C$17,$A292&lt;=Assumptions!$C$18),MAX(BB292*(1+VLOOKUP($C292,WeatherCapacityAdjustment,2))-FN292,0),0))</f>
        <v>0</v>
      </c>
      <c r="FW292" s="622">
        <f>IF(AND(Assumptions!$H$71="Yes",A292&gt;=Assumptions!$H$72,A292&lt;=Assumptions!$H$73),0,IF(AND($A292&gt;=Assumptions!$C$17,$A292&lt;=Assumptions!$C$18),MAX(BC292*(1+VLOOKUP($C292,WeatherCapacityAdjustment,3))-FO292,0),0))</f>
        <v>0</v>
      </c>
      <c r="FX292" s="621">
        <f>IF(AND(Assumptions!$H$71="Yes",A292&gt;=Assumptions!$H$72,A292&lt;=Assumptions!$H$73),0,IF(ET292&gt;0,MAX(BH292*(1+VLOOKUP($C292,WeatherCapacityAdjustment,2))-FP292,0),0))</f>
        <v>0</v>
      </c>
      <c r="FY292" s="530">
        <f>IF(AND(Assumptions!$H$71="Yes",A292&gt;=Assumptions!$H$72,A292&lt;=Assumptions!$H$73),0,IF(EU292&gt;0,MAX(BI292*(1+VLOOKUP($C292,WeatherCapacityAdjustment,3))-FQ292,0),0))</f>
        <v>0</v>
      </c>
      <c r="FZ292" s="530">
        <f>IF(AND(Assumptions!$H$71="Yes",A292&gt;=Assumptions!$H$72,A292&lt;=Assumptions!$H$73),0,IF(EV292&gt;0,MAX(BJ292*(1+VLOOKUP($C292,WeatherCapacityAdjustment,2))-FR292,0),0))</f>
        <v>0</v>
      </c>
      <c r="GA292" s="622">
        <f>IF(AND(Assumptions!$H$71="Yes",A292&gt;=Assumptions!$H$72,A292&lt;=Assumptions!$H$73),0,IF(EW292&gt;0,MAX(BK292*(1+VLOOKUP($C292,WeatherCapacityAdjustment,2))-FS292,0),0))</f>
        <v>0</v>
      </c>
      <c r="GB292" s="530">
        <f t="shared" si="803"/>
        <v>0</v>
      </c>
      <c r="GC292" s="545">
        <f t="shared" si="804"/>
        <v>0</v>
      </c>
      <c r="GD292" s="530">
        <f t="shared" si="734"/>
        <v>0</v>
      </c>
      <c r="GE292" s="1485">
        <f t="shared" si="735"/>
        <v>0</v>
      </c>
      <c r="GF292" s="1776">
        <f t="shared" si="736"/>
        <v>0</v>
      </c>
      <c r="GG292" s="545">
        <f>IF(BQ292,VLOOKUP(A292,GasTable,13),0)</f>
        <v>0</v>
      </c>
      <c r="GH292" s="622">
        <f t="shared" si="702"/>
        <v>0</v>
      </c>
      <c r="GI292" s="621">
        <f t="shared" si="849"/>
        <v>0</v>
      </c>
      <c r="GJ292" s="638">
        <f t="shared" si="805"/>
        <v>0</v>
      </c>
      <c r="GK292" s="625">
        <f t="shared" si="855"/>
        <v>0</v>
      </c>
      <c r="GL292" s="640">
        <f t="shared" si="737"/>
        <v>0</v>
      </c>
      <c r="GM292" s="530">
        <f t="shared" si="738"/>
        <v>0</v>
      </c>
      <c r="GN292" s="530">
        <f t="shared" si="739"/>
        <v>0</v>
      </c>
      <c r="GO292" s="622">
        <f t="shared" si="740"/>
        <v>0</v>
      </c>
      <c r="GP292" s="530">
        <f t="shared" si="806"/>
        <v>0</v>
      </c>
      <c r="GQ292" s="545">
        <f t="shared" si="807"/>
        <v>0</v>
      </c>
      <c r="GR292" s="625">
        <f t="shared" si="741"/>
        <v>0</v>
      </c>
      <c r="GS292" s="530">
        <f>IF($A292&gt;=BegDate,Assumptions!$C$56*24*($A293-$A292)*(1-VLOOKUP($B292,MAIN!$AA$7:$AM$28,$C292+1))*(1-VLOOKUP($B292,MAIN!$AA$33:$AM$54,$C292+1)),0)*80/168</f>
        <v>224485.71428571429</v>
      </c>
      <c r="GT292" s="1715">
        <f t="shared" si="850"/>
        <v>45.476355569942122</v>
      </c>
      <c r="GU292" s="1715">
        <f>IF($A292&gt;=BegDate,VLOOKUP($A292,GasTable,13)+Assumptions!$C$58,0)</f>
        <v>4.5871112217967047</v>
      </c>
      <c r="GV292" s="1715">
        <f>GU292*Assumptions!$C$57/1000</f>
        <v>33.25655635802611</v>
      </c>
      <c r="GW292" s="530">
        <f>IF(Assumptions!$C$60="Hourly",MAX(0,GS292*(GT292-GV292)),GS292*(GT292-GV292))</f>
        <v>2743170.3545149746</v>
      </c>
      <c r="GX292" s="530">
        <f>IF($A292&gt;=BegDate,Assumptions!$C$56*24*($A293-$A292)*(1-VLOOKUP($B292,MAIN!$AA$7:$AM$28,$C292+1))*(1-VLOOKUP($B292,MAIN!$AA$33:$AM$54,$C292+1)),0)*16/168</f>
        <v>44897.142857142855</v>
      </c>
      <c r="GY292" s="1715">
        <f t="shared" si="851"/>
        <v>45.476355569942122</v>
      </c>
      <c r="GZ292" s="1715">
        <f>IF($A292&gt;=BegDate,VLOOKUP($A292,GasTable,13)+Assumptions!$C$58,0)</f>
        <v>4.5871112217967047</v>
      </c>
      <c r="HA292" s="1715">
        <f>GZ292*Assumptions!$C$57/1000</f>
        <v>33.25655635802611</v>
      </c>
      <c r="HB292" s="530">
        <f>IF(Assumptions!$C$60="Hourly",MAX(0,GX292*(GY292-HA292)),GX292*(GY292-HA292))</f>
        <v>548634.07090299483</v>
      </c>
      <c r="HC292" s="530">
        <f>IF($A292&gt;=BegDate,Assumptions!$C$56*24*($A293-$A292)*(1-VLOOKUP($B292,MAIN!$AA$7:$AM$28,$C292+1))*(1-VLOOKUP($B292,MAIN!$AA$33:$AM$54,$C292+1)),0)*16/168</f>
        <v>44897.142857142855</v>
      </c>
      <c r="HD292" s="1715">
        <f t="shared" si="852"/>
        <v>31.708763474139875</v>
      </c>
      <c r="HE292" s="1715">
        <f>IF($A292&gt;=BegDate,VLOOKUP($A292,GasTable,13)+Assumptions!$C$58,0)</f>
        <v>4.5871112217967047</v>
      </c>
      <c r="HF292" s="1715">
        <f>HE292*Assumptions!$C$57/1000</f>
        <v>33.25655635802611</v>
      </c>
      <c r="HG292" s="530">
        <f>IF(Assumptions!$C$60="Hourly",MAX(0,HC292*(HD292-HF292)),HC292*(HD292-HF292))</f>
        <v>0</v>
      </c>
      <c r="HH292" s="530">
        <f>IF($A292&gt;=BegDate,Assumptions!$C$56*24*($A293-$A292)*(1-VLOOKUP($B292,MAIN!$AA$7:$AM$28,$C292+1))*(1-VLOOKUP($B292,MAIN!$AA$33:$AM$54,$C292+1)),0)*56/168</f>
        <v>157140</v>
      </c>
      <c r="HI292" s="1715">
        <f t="shared" si="853"/>
        <v>31.708763474139875</v>
      </c>
      <c r="HJ292" s="1715">
        <f>IF($A292&gt;=BegDate,VLOOKUP($A292,GasTable,13)+Assumptions!$C$58,0)</f>
        <v>4.5871112217967047</v>
      </c>
      <c r="HK292" s="1715">
        <f>HJ292*Assumptions!$C$57/1000</f>
        <v>33.25655635802611</v>
      </c>
      <c r="HL292" s="530">
        <f>IF(Assumptions!$C$60="Hourly",MAX(0,HH292*(HI292-HK292)),HH292*(HI292-HK292))</f>
        <v>0</v>
      </c>
      <c r="HM292" s="530">
        <f>IF(AND(Assumptions!$H$71="Yes",A292&gt;=Assumptions!$H$72,A292&lt;=Assumptions!$H$73),Assumptions!$H$74*Assumptions!$C$9*1000,0)</f>
        <v>0</v>
      </c>
      <c r="HN292" s="530"/>
      <c r="HO292" s="545"/>
      <c r="HP292" s="545"/>
      <c r="HQ292" s="545"/>
      <c r="HR292" s="545"/>
      <c r="HS292" s="545"/>
      <c r="HT292" s="545"/>
      <c r="HU292" s="545"/>
      <c r="HV292" s="545"/>
      <c r="HW292" s="545"/>
      <c r="HX292" s="545"/>
      <c r="HY292" s="545"/>
      <c r="HZ292" s="545"/>
      <c r="IA292" s="545"/>
      <c r="IB292" s="545"/>
      <c r="IC292" s="545"/>
      <c r="ID292" s="545"/>
      <c r="IE292" s="545"/>
      <c r="IF292" s="545"/>
      <c r="IG292" s="545"/>
      <c r="IH292" s="545"/>
      <c r="II292" s="1464"/>
      <c r="IJ292" s="1463"/>
      <c r="IK292" s="1463"/>
    </row>
    <row r="293" spans="1:245">
      <c r="A293" s="1859">
        <f t="shared" si="808"/>
        <v>45047</v>
      </c>
      <c r="B293" s="15">
        <f t="shared" si="809"/>
        <v>2023</v>
      </c>
      <c r="C293" s="1509">
        <f>MONTH(A293)</f>
        <v>5</v>
      </c>
      <c r="D293" s="1864" t="str">
        <f t="shared" ref="D293:D300" si="857">IF(E293="","",Holiday(B293,C293))</f>
        <v/>
      </c>
      <c r="E293" s="609" t="str">
        <f t="shared" ref="E293:E300" si="858">IF(OR(BegDate&gt;=A294,EndDate&lt;A293,AND(VolumeMonthlyOverFlag,INDEX(VolumeMonthlyOver,C293)=0),NOT(INDEX(MonthKnockOutTable,C293))),"",MAX(A293,BegDate))</f>
        <v/>
      </c>
      <c r="F293" s="1864" t="str">
        <f t="shared" ref="F293:F300" si="859">IF(E293="","",MIN(A294-1,EndDate))</f>
        <v/>
      </c>
      <c r="G293" s="1860">
        <v>0</v>
      </c>
      <c r="H293" s="152">
        <f t="shared" ref="H293:H300" si="860">(1+G293/2)^(-2*(DATE(B294,C294,20)-DateToday)/365.25)</f>
        <v>1</v>
      </c>
      <c r="I293" s="154">
        <f>IF(Assumptions!$L$25=4,VLOOKUP($A293,'Henwood Reference'!$E$9:$R$320,10),(VLOOKUP($A293,PriceTable,2,0)+IF(BasisNumber&lt;&gt;1,VLOOKUP($A293,BasisTable,2,0),0)+I$1)/(1-I$2))</f>
        <v>52.790960496820347</v>
      </c>
      <c r="J293" s="154">
        <f>IF(Assumptions!$L$25=4,VLOOKUP($A293,'Henwood Reference'!$E$9:$R$320,10),(VLOOKUP($A293,PriceTable,3,0)+IF(BasisNumber&lt;&gt;1,VLOOKUP($A293,BasisTable,2,0),0)+J$1)/(1-J$2))</f>
        <v>52.790960496820347</v>
      </c>
      <c r="K293" s="154">
        <f>IF(Assumptions!$L$25=4,VLOOKUP($A293,'Henwood Reference'!$E$9:$R$320,10),(VLOOKUP($A293,PriceTable,4,0)+IF(BasisNumber&lt;&gt;1,VLOOKUP($A293,BasisTable,2,0),0)+K$1)/(1-K$2))</f>
        <v>52.790960496820347</v>
      </c>
      <c r="L293" s="474">
        <f>IF(Assumptions!$L$25=4,VLOOKUP($A293,'Henwood Reference'!$E$9:$R$320,10),(VLOOKUP($A293,PriceTableWeekend,2,0)+IF(BasisNumber&lt;&gt;1,VLOOKUP($A293,BasisTable,2,0),0)+L$1)/(1-L$2))</f>
        <v>52.790960496820347</v>
      </c>
      <c r="M293" s="154">
        <f>IF(Assumptions!$L$25=4,VLOOKUP($A293,'Henwood Reference'!$E$9:$R$320,10),(VLOOKUP($A293,PriceTableWeekend,3,0)+IF(BasisNumber&lt;&gt;1,VLOOKUP($A293,BasisTable,2,0),0)+M$1)/(1-M$2))</f>
        <v>52.790960496820347</v>
      </c>
      <c r="N293" s="156">
        <f>IF(Assumptions!$L$25=4,VLOOKUP($A293,'Henwood Reference'!$E$9:$R$320,10),(VLOOKUP($A293,PriceTableWeekend,4,0)+IF(BasisNumber&lt;&gt;1,VLOOKUP($A293,BasisTable,2,0),0)+N$1)/(1-N$2))</f>
        <v>52.790960496820347</v>
      </c>
      <c r="O293" s="154">
        <f>IF(Assumptions!$L$25=4,VLOOKUP($A293,'Henwood Reference'!$E$9:$R$320,11),(VLOOKUP($A293,PriceTableWeekend,6,0)+IF(BasisNumber&lt;&gt;1,VLOOKUP($A293,BasisTable,3,0),0)+O$1)/(1-O$2))</f>
        <v>31.554700416028375</v>
      </c>
      <c r="P293" s="154">
        <f>IF(Assumptions!$L$25=4,VLOOKUP($A293,'Henwood Reference'!$E$9:$R$320,11),(VLOOKUP($A293,PriceTableWeekend,7,0)+IF(BasisNumber&lt;&gt;1,VLOOKUP($A293,BasisTable,3,0),0)+P$1)/(1-P$2))</f>
        <v>31.554700416028375</v>
      </c>
      <c r="Q293" s="156">
        <f>IF(Assumptions!$L$25=4,VLOOKUP($A293,'Henwood Reference'!$E$9:$R$320,11),(VLOOKUP($A293,PriceTableWeekend,8,0)+IF(BasisNumber&lt;&gt;1,VLOOKUP($A293,BasisTable,3,0),0)+Q$1)/(1-Q$2))</f>
        <v>31.554700416028375</v>
      </c>
      <c r="R293" s="154">
        <f>IF(Assumptions!$L$25=4,VLOOKUP($A293,'Henwood Reference'!$E$9:$R$320,11),(VLOOKUP($A293,PriceTable,6,0)+IF(BasisNumber&lt;&gt;1,VLOOKUP($A293,BasisTable,3,0),0)+R$1)/(1-R$2))</f>
        <v>31.554700416028375</v>
      </c>
      <c r="S293" s="154">
        <f>IF(Assumptions!$L$25=4,VLOOKUP($A293,'Henwood Reference'!$E$9:$R$320,11),(VLOOKUP($A293,PriceTable,7,0)+IF(BasisNumber&lt;&gt;1,VLOOKUP($A293,BasisTable,3,0),0)+S$1)/(1-S$2))</f>
        <v>31.554700416028375</v>
      </c>
      <c r="T293" s="155">
        <f>IF(Assumptions!$L$25=4,VLOOKUP($A293,'Henwood Reference'!$E$9:$R$320,11),(VLOOKUP($A293,PriceTable,8,0)+IF(BasisNumber&lt;&gt;1,VLOOKUP($A293,BasisTable,3,0),0)+T$1)/(1-T$2))</f>
        <v>31.554700416028375</v>
      </c>
      <c r="U293" s="173">
        <f t="shared" si="811"/>
        <v>0.09</v>
      </c>
      <c r="V293" s="173">
        <f t="shared" si="812"/>
        <v>0.1</v>
      </c>
      <c r="W293" s="173">
        <f t="shared" si="813"/>
        <v>0.11</v>
      </c>
      <c r="X293" s="173">
        <f t="shared" si="814"/>
        <v>0.09</v>
      </c>
      <c r="Y293" s="173">
        <f t="shared" si="815"/>
        <v>0.1</v>
      </c>
      <c r="Z293" s="173">
        <f t="shared" si="816"/>
        <v>0.11</v>
      </c>
      <c r="AA293" s="173">
        <f t="shared" si="817"/>
        <v>0.09</v>
      </c>
      <c r="AB293" s="173">
        <f t="shared" si="818"/>
        <v>0.11</v>
      </c>
      <c r="AC293" s="173">
        <f t="shared" si="819"/>
        <v>0.13</v>
      </c>
      <c r="AD293" s="173">
        <f t="shared" si="820"/>
        <v>0.09</v>
      </c>
      <c r="AE293" s="173">
        <f t="shared" si="821"/>
        <v>0.11</v>
      </c>
      <c r="AF293" s="173">
        <f t="shared" si="822"/>
        <v>0.13</v>
      </c>
      <c r="AG293" s="173">
        <f t="shared" si="823"/>
        <v>-0.1</v>
      </c>
      <c r="AH293" s="173">
        <f t="shared" si="824"/>
        <v>0.65</v>
      </c>
      <c r="AI293" s="173">
        <f t="shared" si="825"/>
        <v>0.1</v>
      </c>
      <c r="AJ293" s="173">
        <f t="shared" si="826"/>
        <v>-0.1</v>
      </c>
      <c r="AK293" s="173">
        <f t="shared" si="827"/>
        <v>0.65</v>
      </c>
      <c r="AL293" s="173">
        <f t="shared" si="828"/>
        <v>0.1</v>
      </c>
      <c r="AM293" s="173">
        <f t="shared" si="829"/>
        <v>-0.01</v>
      </c>
      <c r="AN293" s="173">
        <f t="shared" si="830"/>
        <v>0.16</v>
      </c>
      <c r="AO293" s="173">
        <f t="shared" si="831"/>
        <v>0.01</v>
      </c>
      <c r="AP293" s="173">
        <f t="shared" si="832"/>
        <v>-0.01</v>
      </c>
      <c r="AQ293" s="173">
        <f t="shared" si="833"/>
        <v>0.16</v>
      </c>
      <c r="AR293" s="1861">
        <f t="shared" si="834"/>
        <v>0.01</v>
      </c>
      <c r="AS293" s="1862">
        <f t="shared" ref="AS293:AS300" si="861">IF(CorrPeakOffPeakOverFlag,INDEX(CorrPeakOffPeakOver,C293),CorrPeakOffPeak)</f>
        <v>0.5</v>
      </c>
      <c r="AT293" s="15">
        <f t="shared" ref="AT293:AT300" si="862">AX293-SUM(AU293:AW293)</f>
        <v>0</v>
      </c>
      <c r="AU293" s="159">
        <f t="shared" ref="AU293:AU300" si="863">IF(E293="",0,INT((F293-MOD(F293,7)-E293)/7)+1-IF(AW293,IF(WEEKDAY(D293)=7,1,0),0))</f>
        <v>0</v>
      </c>
      <c r="AV293" s="159">
        <f t="shared" ref="AV293:AV300" si="864">IF(E293="",0,INT((F293-MOD(F293-1,7)-E293)/7)+1-IF(AW293,IF(WEEKDAY(D293)=1,1,0),0))</f>
        <v>0</v>
      </c>
      <c r="AW293" s="159">
        <f t="shared" ref="AW293:AW300" si="865">IF(OR(E293="",D293="",D293&lt;BegDate,D293&gt;EndDate),0,1)</f>
        <v>0</v>
      </c>
      <c r="AX293" s="15">
        <f t="shared" ref="AX293:AX300" si="866">IF(E293="",0,F293-E293+1)</f>
        <v>0</v>
      </c>
      <c r="AY293" s="1861">
        <f>IF(E293="",0,MIN((1-(1-VLOOKUP(B293,MAIN!$AA$7:$AM$28,C293+1))*(1-VLOOKUP(B293,MAIN!$AA$33:$AM$54,C293+1))),1))</f>
        <v>0</v>
      </c>
      <c r="AZ293" s="337">
        <f t="array" ref="AZ293:BO293">TakeFunction(TakeType,STake,OTake,CombineTakesFlag,MostExpFlag,VolumeEscType,VolumeEsc,DateToday,BegDate,EndDate,OrderedScalars,OrderedPrices,OrderedPricesSat,OrderedPricesSun,AvailDays,FirmWeek,FirmSat,FirmSun,FirmHol,OptWeek,OptSat,OptSun,OptHol)*(1-PlannedOutages)</f>
        <v>0</v>
      </c>
      <c r="BA293" s="337">
        <v>0</v>
      </c>
      <c r="BB293" s="337">
        <v>0</v>
      </c>
      <c r="BC293" s="337">
        <v>0</v>
      </c>
      <c r="BD293" s="154">
        <v>0</v>
      </c>
      <c r="BE293" s="154">
        <v>0</v>
      </c>
      <c r="BF293" s="154">
        <v>0</v>
      </c>
      <c r="BG293" s="154">
        <v>0</v>
      </c>
      <c r="BH293" s="337">
        <v>0</v>
      </c>
      <c r="BI293" s="337">
        <v>0</v>
      </c>
      <c r="BJ293" s="337">
        <v>0</v>
      </c>
      <c r="BK293" s="337">
        <v>0</v>
      </c>
      <c r="BL293" s="154">
        <v>0</v>
      </c>
      <c r="BM293" s="154">
        <v>0</v>
      </c>
      <c r="BN293" s="154">
        <v>0</v>
      </c>
      <c r="BO293" s="154">
        <v>0</v>
      </c>
      <c r="BP293" s="259">
        <f t="shared" ref="BP293:BP300" si="867">SUM(AZ293:BB293)</f>
        <v>0</v>
      </c>
      <c r="BQ293" s="259">
        <f t="shared" ref="BQ293:BQ300" si="868">SUM(AZ293:BC293)</f>
        <v>0</v>
      </c>
      <c r="BR293" s="259">
        <f t="shared" ref="BR293:BR300" si="869">SUM(BH293:BJ293)</f>
        <v>0</v>
      </c>
      <c r="BS293" s="259">
        <f t="shared" ref="BS293:BS300" si="870">SUM(BH293:BK293)</f>
        <v>0</v>
      </c>
      <c r="BT293" s="216">
        <f t="shared" ref="BT293:BT300" si="871">(IF(OVolType&lt;&gt;2,A293+14,IF(OptExpDateShift,ShiftBack(A293,OptExpDateShift,D292),A293))-DateToday)/365.25</f>
        <v>23.044490075290895</v>
      </c>
      <c r="BU293" s="216">
        <f t="shared" ref="BU293:BU300" si="872">IF(BQ293,IF(OPriceCurve,IF(OBuySell=OCallPut,I293/(1-AY293),K293/(1-AY293)),J293/(1-AY293))*BD293,0)</f>
        <v>0</v>
      </c>
      <c r="BV293" s="216">
        <f t="shared" ref="BV293:BV300" si="873">IF(BQ293,IF(OPriceCurve,IF(OBuySell=OCallPut,L293/(1-AY293),N293/(1-AY293)),M293/(1-AY293))*BE293,0)</f>
        <v>0</v>
      </c>
      <c r="BW293" s="216">
        <f t="shared" ref="BW293:BW300" si="874">IF(BQ293,IF(OPriceCurve,IF(OBuySell=OCallPut,O293/(1-AY293),Q293/(1-AY293)),P293/(1-AY293))*BF293,0)</f>
        <v>0</v>
      </c>
      <c r="BX293" s="216">
        <f t="shared" ref="BX293:BX300" si="875">IF(BQ293,IF(OPriceCurve,IF(OBuySell=OCallPut,R293/(1-AY293),T293/(1-AY293)),S293/(1-AY293))*BG293,0)</f>
        <v>0</v>
      </c>
      <c r="BY293" s="216">
        <f t="shared" ref="BY293:BY300" si="876">IF(BP293,(BU293*AZ293+BV293*BA293+BW293*BB293)/BP293,0)</f>
        <v>0</v>
      </c>
      <c r="BZ293" s="216">
        <f t="shared" ref="BZ293:BZ300" si="877">IF(BQ293,(BY293*BP293+BX293*BC293)/BQ293,0)</f>
        <v>0</v>
      </c>
      <c r="CA293" s="216">
        <f t="shared" ref="CA293:CA300" si="878">IF(BS293,IF(OPriceCurve,IF(OBuySell=OCallPut,I293/(1-AY293),K293/(1-AY293)),J293/(1-AY293))*BL293,0)</f>
        <v>0</v>
      </c>
      <c r="CB293" s="216">
        <f t="shared" ref="CB293:CB300" si="879">IF(BS293,IF(OPriceCurve,IF(OBuySell=OCallPut,L293/(1-AY293),N293/(1-AY293)),M293/(1-AY293))*BM293,0)</f>
        <v>0</v>
      </c>
      <c r="CC293" s="216">
        <f t="shared" ref="CC293:CC300" si="880">IF(BS293,IF(OPriceCurve,IF(OBuySell=OCallPut,O293/(1-AY293),Q293/(1-AY293)),P293/(1-AY293))*BN293,0)</f>
        <v>0</v>
      </c>
      <c r="CD293" s="216">
        <f t="shared" ref="CD293:CD300" si="881">IF(BS293,IF(OPriceCurve,IF(OBuySell=OCallPut,R293/(1-AY293),T293/(1-AY293)),S293/(1-AY293))*BO293,0)</f>
        <v>0</v>
      </c>
      <c r="CE293" s="216">
        <f t="shared" ref="CE293:CE300" si="882">IF(BR293,(BU293*BH293+BV293*BI293+BW293*BJ293)/BR293,0)</f>
        <v>0</v>
      </c>
      <c r="CF293" s="216">
        <f t="shared" ref="CF293:CF300" si="883">IF(BS293,(CE293*BR293+CD293*BK293)/BS293,0)</f>
        <v>0</v>
      </c>
      <c r="CG293" s="1863" t="str">
        <f t="shared" ref="CG293:CG300" si="884">IF(OR(BQ293,BS293),IF(OVolType&lt;&gt;2,SQRT(IF(OVolOverMonthlyPeak,OVolOverMonthlyPeak,IF(OVolCurve,IF(OBuySell,U293,W293),V293))^2*(1-15/365.25/BT293)+IF(OVolOverDailyPeak,OVolOverDailyPeak,IF(OVolCurve,IF(OBuySell,AG293,AI293),AH293))^2*15/365.25/BT293),IF(OVolOverMonthlyPeak,OVolOverMonthlyPeak,IF(OVolCurve,IF(OBuySell,U293,W293),V293))),"")</f>
        <v/>
      </c>
      <c r="CH293" s="219" t="str">
        <f t="shared" ref="CH293:CH300" si="885">IF(OR(BQ293,BS293),IF(OVolType&lt;&gt;2,SQRT(IF(OVolOverMonthlyPeak,OVolOverMonthlyPeak,IF(OVolCurve,IF(OBuySell,X293,Z293),Y293))^2*(1-15/365.25/BT293)+IF(OVolOverDailyPeak,OVolOverDailyPeak,IF(OVolCurve,IF(OBuySell,AJ293,AL293),AK293))^2*15/365.25/BT293),IF(OVolOverMonthlyPeak,OVolOverMonthlyPeak,IF(OVolCurve,IF(OBuySell,X293,Z293),Y293))),"")</f>
        <v/>
      </c>
      <c r="CI293" s="219" t="str">
        <f t="shared" ref="CI293:CI300" si="886">IF(OR(BQ293,BS293),IF(OVolType&lt;&gt;2,SQRT(IF(OVolOverMonthlyPeak,OVolOverMonthlyPeak,IF(OVolCurve,IF(OBuySell,AA293,AC293),AB293))^2*(1-15/365.25/BT293)+IF(OVolOverDailyPeak,OVolOverDailyPeak,IF(OVolCurve,IF(OBuySell,AM293,AO293),AN293))^2*15/365.25/BT293),IF(OVolOverMonthlyPeak,OVolOverMonthlyPeak,IF(OVolCurve,IF(OBuySell,AA293,AC293),AB293))),"")</f>
        <v/>
      </c>
      <c r="CJ293" s="219" t="str">
        <f t="shared" ref="CJ293:CJ300" si="887">IF(BQ293,IF(BP293,SQRT(LN(1+((BU293*AZ293)^2*(EXP(CG293^2*BT293)-1)+(BV293*BA293)^2*(EXP(CH293^2*BT293)-1)+(BW293*BB293)^2*(EXP(CI293^2*BT293)-1)+2*BU293*AZ293*BV293*BA293*(EXP(CG293*CH293*BT293)-1)+2*BV293*BA293*BW293*BB293*(EXP(CH293*CI293*BT293)-1)+2*BW293*BB293*BU293*AZ293*(EXP(CI293*CG293*BT293)-1))/(BY293*BP293)^2)/BT293),0),"")</f>
        <v/>
      </c>
      <c r="CK293" s="219" t="str">
        <f t="shared" ref="CK293:CK300" si="888">IF(BS293,IF(BR293,SQRT(LN(1+((CA293*BH293)^2*(EXP(CG293^2*BT293)-1)+(CB293*BI293)^2*(EXP(CH293^2*BT293)-1)+(CC293*BJ293)^2*(EXP(CI293^2*BT293)-1)+2*CA293*BH293*CB293*BI293*(EXP(CG293*CH293*BT293)-1)+2*CB293*BI293*CC293*BJ293*(EXP(CH293*CI293*BT293)-1)+2*CC293*BJ293*CA293*BH293*(EXP(CI293*CG293*BT293)-1))/(CE293*BR293)^2)/BT293),0),"")</f>
        <v/>
      </c>
      <c r="CL293" s="219" t="str">
        <f t="shared" ref="CL293:CL300" si="889">IF(OR(BQ293,BS293),IF(OVolType&lt;&gt;2,SQRT(IF(OVolOverMonthlyOffPeak,OVolOverMonthlyOffPeak,IF(OVolCurve,IF(OBuySell,AD293,AF293),AE293))^2*(1-15/365.25/BT293)+IF(OVolOverDailyOffPeak,OVolOverDailyOffPeak,IF(OVolCurve,IF(OBuySell,AP293,AR293),AQ293))^2*15/365.25/BT293),IF(OVolOverMonthlyOffPeak,OVolOverMonthlyOffPeak,IF(OVolCurve,IF(OBuySell,AD293,AF293),AE293))),"")</f>
        <v/>
      </c>
      <c r="CM293" s="219" t="str">
        <f t="shared" ref="CM293:CM300" si="890">IF(BQ293,SQRT(LN(1+((BY293*BP293)^2*(EXP(CJ293^2*BT293)-1)+(BX293*BC293)^2*(EXP(CL293^2*BT293)-1)+2*BY293*BP293*BX293*BC293*(EXP(AS293*CJ293*CL293*BT293)-1))/(BY293*BP293+BX293*BC293)^2)/BT293),"")</f>
        <v/>
      </c>
      <c r="CN293" s="219" t="str">
        <f t="shared" ref="CN293:CN300" si="891">IF(BS293,SQRT(LN(1+((CE293*BR293)^2*(EXP(CK293^2*BT293)-1)+(CD293*BK293)^2*(EXP(CL293^2*BT293)-1)+2*CE293*BR293*CD293*BK293*(EXP(AS293*CK293*CL293*BT293)-1))/(CE293*BR293+CD293*BK293)^2)/BT293),"")</f>
        <v/>
      </c>
      <c r="CO293" s="216">
        <f t="shared" ref="CO293:CO300" si="892">IF(OR(BQ293,BS293),VLOOKUP(A293,GasTable,13)*HeatRatePeak*(1+VLOOKUP($B293,HeatRateDegradation,$C293+1))/1000,0)</f>
        <v>0</v>
      </c>
      <c r="CP293" s="216">
        <f t="shared" ref="CP293:CP300" si="893">IF(OR(BQ293,BS293),VLOOKUP(A293,GasTable,13)*HeatRatePeak*(1+VLOOKUP($B293,HeatRateDegradation,$C293+1))/1000,0)</f>
        <v>0</v>
      </c>
      <c r="CQ293" s="216">
        <f t="shared" si="703"/>
        <v>0</v>
      </c>
      <c r="CR293" s="216">
        <f t="shared" si="704"/>
        <v>0</v>
      </c>
      <c r="CS293" s="1626">
        <f t="shared" si="705"/>
        <v>0</v>
      </c>
      <c r="CT293" s="216">
        <f t="shared" ref="CT293:CT300" si="894">IF(BS293,CO293,0)</f>
        <v>0</v>
      </c>
      <c r="CU293" s="479" t="str">
        <f t="shared" ref="CU293:CU300" si="895">IF(OR(BQ293,BS293),VLOOKUP(A293,GasTable,14),"")</f>
        <v/>
      </c>
      <c r="CV293" s="154" t="str">
        <f t="shared" ref="CV293:CV300" si="896">IF(OR(BQ293,BS293),IF(CorrPowerGasOverFlag,INDEX(CorrPowerGasOver,C293),CorrPowerGas),"")</f>
        <v/>
      </c>
      <c r="CW293" s="216">
        <f>IF(OR($BQ293,$BS293),SpreadOptPowerMargin,0)*((1+Assumptions!$C$26)^($B293-YEAR(Assumptions!$C$17)))</f>
        <v>0</v>
      </c>
      <c r="CX293" s="216">
        <f>IF(OR($BQ293,$BS293),SpreadOptPowerMargin,0)*((1+Assumptions!$C$26)^($B293-YEAR(Assumptions!$C$17)))</f>
        <v>0</v>
      </c>
      <c r="CY293" s="216">
        <f>IF(OR($BQ293,$BS293),SpreadOptPowerMargin,0)*((1+Assumptions!$C$26)^($B293-YEAR(Assumptions!$C$17)))</f>
        <v>0</v>
      </c>
      <c r="CZ293" s="216">
        <f>IF(OR($BQ293,$BS293),SpreadOptPowerMargin,0)*((1+Assumptions!$C$26)^($B293-YEAR(Assumptions!$C$17)))</f>
        <v>0</v>
      </c>
      <c r="DA293" s="216">
        <f t="shared" ref="DA293:DA300" si="897">IF(OR(BQ293,BS293),(CW293*(AZ293+BH293)+CX293*(BA293+BI293)+CY293*(BB293+BJ293)+CZ293*(BC293+BK293))/(BQ293+BS293),0)</f>
        <v>0</v>
      </c>
      <c r="DB293" s="479" t="str">
        <f t="shared" ref="DB293:DB300" si="898">IF(OR(BQ293,BS293),CG293+IF(OVolSmile,VLOOKUP(MAX(-5,CO293+CW293-BU293),IF(OVolSmile=1,VolSmileBook,VolSmileModel),2),0),"")</f>
        <v/>
      </c>
      <c r="DC293" s="479" t="str">
        <f t="shared" ref="DC293:DC300" si="899">IF(OR(BQ293,BS293),CH293+IF(OVolSmile,VLOOKUP(MAX(-5,CP293+CW293-BV293),IF(OVolSmile=1,VolSmileBook,VolSmileModel),2),0),"")</f>
        <v/>
      </c>
      <c r="DD293" s="479" t="str">
        <f t="shared" ref="DD293:DD300" si="900">IF(OR(BQ293,BS293),CI293+IF(OVolSmile,VLOOKUP(MAX(-5,CQ293+CW293-BW293),IF(OVolSmile=1,VolSmileBook,VolSmileModel),2),0),"")</f>
        <v/>
      </c>
      <c r="DE293" s="479" t="str">
        <f t="shared" ref="DE293:DE300" si="901">IF(OR(BQ293,BS293),CL293+IF(OVolSmile,VLOOKUP(MAX(-5,CR293+CZ293-BX293),IF(OVolSmile=1,VolSmileBook,VolSmileModel),2),0),"")</f>
        <v/>
      </c>
      <c r="DF293" s="479" t="str">
        <f t="shared" ref="DF293:DF300" si="902">IF(BQ293,CM293+IF(OVolSmile,VLOOKUP(MAX(-5,CS293+DA293-BZ293),IF(OVolSmile=1,VolSmileBook,VolSmileModel),2),0),"")</f>
        <v/>
      </c>
      <c r="DG293" s="479" t="str">
        <f t="shared" ref="DG293:DG300" si="903">IF(BS293,CN293+IF(OVolSmile,VLOOKUP(MAX(-5,CT293+DA293-CF293),IF(OVolSmile=1,VolSmileBook,VolSmileModel),2),0),"")</f>
        <v/>
      </c>
      <c r="DH293" s="216">
        <f t="shared" ref="DH293:DH300" si="904">IF(AND(BU293&gt;0,CO293&gt;0,DB293&gt;0,CU293&gt;0),newSPRDOPT(BU293,CO293,CW293,0,DB293,CU293,CV293,BT293*365.25,OCallPut,0),0)</f>
        <v>0</v>
      </c>
      <c r="DI293" s="216">
        <f t="shared" ref="DI293:DI300" si="905">IF(AND(BV293&gt;0,CP293&gt;0,DC293&gt;0,CU293&gt;0),newSPRDOPT(BV293,CP293,CX293,0,DC293,CU293,CV293,BT293*365.25,OCallPut,0),0)</f>
        <v>0</v>
      </c>
      <c r="DJ293" s="216">
        <f t="shared" si="706"/>
        <v>0</v>
      </c>
      <c r="DK293" s="216">
        <f t="shared" si="707"/>
        <v>0</v>
      </c>
      <c r="DL293" s="216">
        <f t="shared" si="708"/>
        <v>0</v>
      </c>
      <c r="DM293" s="216"/>
      <c r="DN293" s="216"/>
      <c r="DO293" s="216"/>
      <c r="DP293" s="216"/>
      <c r="DQ293" s="216"/>
      <c r="DR293" s="216"/>
      <c r="DS293" s="216"/>
      <c r="DT293" s="216"/>
      <c r="DU293" s="216"/>
      <c r="DV293" s="216"/>
      <c r="DW293" s="216">
        <f t="shared" ref="DW293:DW300" si="906">IF(AND(BW293&gt;0,CT293&gt;0,DD293&gt;0,CU293&gt;0),newSPRDOPT(BW293,CT293,CY293,0,DD293,CU293,CV293,BT293*365.25,OCallPut,0),0)</f>
        <v>0</v>
      </c>
      <c r="DX293" s="216">
        <f t="shared" ref="DX293:DX300" si="907">IF(AND(BX293&gt;0,CT293&gt;0,DE293&gt;0,CU293&gt;0),newSPRDOPT(BX293,CT293,CZ293,0,DE293,CU293,CV293,BT293*365.25,OCallPut,0),0)</f>
        <v>0</v>
      </c>
      <c r="DY293" s="216">
        <f t="shared" ref="DY293:DY300" si="908">IF(BS293,(DH293*BH293+DI293*BI293+DW293*BJ293+DX293*BK293)/BS293,0)</f>
        <v>0</v>
      </c>
      <c r="DZ293" s="180">
        <f t="shared" ref="DZ293:DZ300" si="909">DH293*AZ293</f>
        <v>0</v>
      </c>
      <c r="EA293" s="180">
        <f t="shared" ref="EA293:EA300" si="910">DI293*BA293</f>
        <v>0</v>
      </c>
      <c r="EB293" s="180">
        <f t="shared" si="709"/>
        <v>0</v>
      </c>
      <c r="EC293" s="180">
        <f t="shared" si="710"/>
        <v>0</v>
      </c>
      <c r="ED293" s="180">
        <f t="shared" si="711"/>
        <v>0</v>
      </c>
      <c r="EE293" s="554">
        <f t="shared" ref="EE293:EE300" si="911">IF(BQ293,IF(OCallPut,IF(BU293&gt;(CO293+CW293),BU293-(CO293+CW293),0),IF((CO293+CW293)&gt;BU293,(CO293+CW293)-BU293,0))*AZ293,0)</f>
        <v>0</v>
      </c>
      <c r="EF293" s="554">
        <f t="shared" ref="EF293:EF300" si="912">IF(BQ293,IF(OCallPut,IF(BV293&gt;(CP293+CX293),BV293-(CP293+CX293),0),IF((CP293+CX293)&gt;BV293,(CP293+CX293)-BV293,0))*BA293,0)</f>
        <v>0</v>
      </c>
      <c r="EG293" s="554">
        <f t="shared" si="712"/>
        <v>0</v>
      </c>
      <c r="EH293" s="554">
        <f t="shared" si="713"/>
        <v>0</v>
      </c>
      <c r="EI293" s="561">
        <f t="shared" si="792"/>
        <v>0</v>
      </c>
      <c r="EJ293" s="554">
        <f t="shared" ref="EJ293:EJ300" si="913">DZ293-EE293</f>
        <v>0</v>
      </c>
      <c r="EK293" s="554">
        <f t="shared" ref="EK293:EK300" si="914">EA293-EF293</f>
        <v>0</v>
      </c>
      <c r="EL293" s="554">
        <f t="shared" si="714"/>
        <v>0</v>
      </c>
      <c r="EM293" s="554">
        <f t="shared" si="715"/>
        <v>0</v>
      </c>
      <c r="EN293" s="561">
        <f t="shared" si="716"/>
        <v>0</v>
      </c>
      <c r="EO293" s="180">
        <f t="shared" ref="EO293:EO300" si="915">DH293*BH293</f>
        <v>0</v>
      </c>
      <c r="EP293" s="180">
        <f t="shared" ref="EP293:EP300" si="916">DI293*BI293</f>
        <v>0</v>
      </c>
      <c r="EQ293" s="180">
        <f t="shared" ref="EQ293:EQ300" si="917">DW293*BJ293</f>
        <v>0</v>
      </c>
      <c r="ER293" s="180">
        <f t="shared" ref="ER293:ER300" si="918">DX293*BK293</f>
        <v>0</v>
      </c>
      <c r="ES293" s="180">
        <f t="shared" ref="ES293:ES300" si="919">DY293*BS293</f>
        <v>0</v>
      </c>
      <c r="ET293" s="1482">
        <f t="shared" si="717"/>
        <v>0</v>
      </c>
      <c r="EU293" s="180">
        <f t="shared" si="718"/>
        <v>0</v>
      </c>
      <c r="EV293" s="180">
        <f t="shared" si="719"/>
        <v>0</v>
      </c>
      <c r="EW293" s="180">
        <f t="shared" si="720"/>
        <v>0</v>
      </c>
      <c r="EX293" s="555">
        <f t="shared" si="693"/>
        <v>0</v>
      </c>
      <c r="EY293" s="180">
        <f t="shared" si="721"/>
        <v>0</v>
      </c>
      <c r="EZ293" s="180">
        <f t="shared" si="722"/>
        <v>0</v>
      </c>
      <c r="FA293" s="180">
        <f t="shared" si="723"/>
        <v>0</v>
      </c>
      <c r="FB293" s="180">
        <f t="shared" si="724"/>
        <v>0</v>
      </c>
      <c r="FC293" s="180">
        <f t="shared" si="725"/>
        <v>0</v>
      </c>
      <c r="FD293" s="337">
        <f>IF(AX293,IF(VLOOKUP(C293,MAIN!$L$17:$M$28,2)="Yes",VLOOKUP(CALC!B293,MAIN!$H$17:$I$20,2),0),0)</f>
        <v>0</v>
      </c>
      <c r="FE293" s="535">
        <f t="shared" ref="FE293:FE300" si="920">$FD293*16*AT293*(1-$AY293)</f>
        <v>0</v>
      </c>
      <c r="FF293" s="535">
        <f t="shared" ref="FF293:FF300" si="921">$FD293*16*AU293*(1-$AY293)</f>
        <v>0</v>
      </c>
      <c r="FG293" s="535">
        <f t="shared" ref="FG293:FG300" si="922">$FD293*16*(AV293+AW293)*(1-$AY293)</f>
        <v>0</v>
      </c>
      <c r="FH293" s="535">
        <f t="shared" ref="FH293:FH300" si="923">$FD293*8*AX293*(1-$AY293)</f>
        <v>0</v>
      </c>
      <c r="FI293" s="632">
        <f>IF(AX293,VLOOKUP(CALC!B293,MAIN!$H$17:$K$20,4),0)</f>
        <v>0</v>
      </c>
      <c r="FJ293" s="535">
        <f t="shared" si="802"/>
        <v>0</v>
      </c>
      <c r="FK293" s="535">
        <f t="shared" ref="FK293:FK300" si="924">FI293*FJ293</f>
        <v>0</v>
      </c>
      <c r="FL293" s="530">
        <f t="shared" si="726"/>
        <v>0</v>
      </c>
      <c r="FM293" s="530">
        <f t="shared" si="727"/>
        <v>0</v>
      </c>
      <c r="FN293" s="530">
        <f t="shared" si="728"/>
        <v>0</v>
      </c>
      <c r="FO293" s="622">
        <f t="shared" si="729"/>
        <v>0</v>
      </c>
      <c r="FP293" s="530">
        <f t="shared" si="730"/>
        <v>0</v>
      </c>
      <c r="FQ293" s="530">
        <f t="shared" si="731"/>
        <v>0</v>
      </c>
      <c r="FR293" s="530">
        <f t="shared" si="732"/>
        <v>0</v>
      </c>
      <c r="FS293" s="625">
        <f t="shared" si="733"/>
        <v>0</v>
      </c>
      <c r="FT293" s="640">
        <f>IF(AND(Assumptions!$H$71="Yes",A293&gt;=Assumptions!$H$72,A293&lt;=Assumptions!$H$73),0,IF(AND($A293&gt;=Assumptions!$C$17,$A293&lt;=Assumptions!$C$18),MAX(AZ293*(1+VLOOKUP($C293,WeatherCapacityAdjustment,2))-FL293,0),0))</f>
        <v>0</v>
      </c>
      <c r="FU293" s="530">
        <f>IF(AND(Assumptions!$H$71="Yes",A293&gt;=Assumptions!$H$72,A293&lt;=Assumptions!$H$73),0,IF(AND($A293&gt;=Assumptions!$C$17,$A293&lt;=Assumptions!$C$18),MAX(BA293*(1+VLOOKUP($C293,WeatherCapacityAdjustment,2))-FM293,0),0))</f>
        <v>0</v>
      </c>
      <c r="FV293" s="530">
        <f>IF(AND(Assumptions!$H$71="Yes",A293&gt;=Assumptions!$H$72,A293&lt;=Assumptions!$H$73),0,IF(AND($A293&gt;=Assumptions!$C$17,$A293&lt;=Assumptions!$C$18),MAX(BB293*(1+VLOOKUP($C293,WeatherCapacityAdjustment,2))-FN293,0),0))</f>
        <v>0</v>
      </c>
      <c r="FW293" s="622">
        <f>IF(AND(Assumptions!$H$71="Yes",A293&gt;=Assumptions!$H$72,A293&lt;=Assumptions!$H$73),0,IF(AND($A293&gt;=Assumptions!$C$17,$A293&lt;=Assumptions!$C$18),MAX(BC293*(1+VLOOKUP($C293,WeatherCapacityAdjustment,3))-FO293,0),0))</f>
        <v>0</v>
      </c>
      <c r="FX293" s="621">
        <f>IF(AND(Assumptions!$H$71="Yes",A293&gt;=Assumptions!$H$72,A293&lt;=Assumptions!$H$73),0,IF(ET293&gt;0,MAX(BH293*(1+VLOOKUP($C293,WeatherCapacityAdjustment,2))-FP293,0),0))</f>
        <v>0</v>
      </c>
      <c r="FY293" s="530">
        <f>IF(AND(Assumptions!$H$71="Yes",A293&gt;=Assumptions!$H$72,A293&lt;=Assumptions!$H$73),0,IF(EU293&gt;0,MAX(BI293*(1+VLOOKUP($C293,WeatherCapacityAdjustment,3))-FQ293,0),0))</f>
        <v>0</v>
      </c>
      <c r="FZ293" s="530">
        <f>IF(AND(Assumptions!$H$71="Yes",A293&gt;=Assumptions!$H$72,A293&lt;=Assumptions!$H$73),0,IF(EV293&gt;0,MAX(BJ293*(1+VLOOKUP($C293,WeatherCapacityAdjustment,2))-FR293,0),0))</f>
        <v>0</v>
      </c>
      <c r="GA293" s="622">
        <f>IF(AND(Assumptions!$H$71="Yes",A293&gt;=Assumptions!$H$72,A293&lt;=Assumptions!$H$73),0,IF(EW293&gt;0,MAX(BK293*(1+VLOOKUP($C293,WeatherCapacityAdjustment,2))-FS293,0),0))</f>
        <v>0</v>
      </c>
      <c r="GB293" s="530">
        <f t="shared" si="803"/>
        <v>0</v>
      </c>
      <c r="GC293" s="545">
        <f t="shared" si="804"/>
        <v>0</v>
      </c>
      <c r="GD293" s="530">
        <f t="shared" si="734"/>
        <v>0</v>
      </c>
      <c r="GE293" s="1485">
        <f t="shared" si="735"/>
        <v>0</v>
      </c>
      <c r="GF293" s="1776">
        <f t="shared" si="736"/>
        <v>0</v>
      </c>
      <c r="GG293" s="545">
        <f t="shared" ref="GG293:GG300" si="925">IF(BQ293,VLOOKUP(A293,GasTable,13),0)</f>
        <v>0</v>
      </c>
      <c r="GH293" s="622">
        <f t="shared" si="702"/>
        <v>0</v>
      </c>
      <c r="GI293" s="621">
        <f t="shared" si="849"/>
        <v>0</v>
      </c>
      <c r="GJ293" s="638">
        <f t="shared" ref="GJ293:GJ300" si="926">+DA293</f>
        <v>0</v>
      </c>
      <c r="GK293" s="625">
        <f t="shared" si="855"/>
        <v>0</v>
      </c>
      <c r="GL293" s="640">
        <f t="shared" si="737"/>
        <v>0</v>
      </c>
      <c r="GM293" s="530">
        <f t="shared" si="738"/>
        <v>0</v>
      </c>
      <c r="GN293" s="530">
        <f t="shared" si="739"/>
        <v>0</v>
      </c>
      <c r="GO293" s="622">
        <f t="shared" si="740"/>
        <v>0</v>
      </c>
      <c r="GP293" s="530">
        <f t="shared" si="806"/>
        <v>0</v>
      </c>
      <c r="GQ293" s="545">
        <f t="shared" si="807"/>
        <v>0</v>
      </c>
      <c r="GR293" s="625">
        <f t="shared" si="741"/>
        <v>0</v>
      </c>
      <c r="GS293" s="530">
        <f>IF($A293&gt;=BegDate,Assumptions!$C$56*24*($A294-$A293)*(1-VLOOKUP($B293,MAIN!$AA$7:$AM$28,$C293+1))*(1-VLOOKUP($B293,MAIN!$AA$33:$AM$54,$C293+1)),0)*80/168</f>
        <v>257742.85714285713</v>
      </c>
      <c r="GT293" s="1715">
        <f t="shared" ref="GT293:GT300" si="927">J293</f>
        <v>52.790960496820347</v>
      </c>
      <c r="GU293" s="1715">
        <f>IF($A293&gt;=BegDate,VLOOKUP($A293,GasTable,13)+Assumptions!$C$58,0)</f>
        <v>4.5871112217967047</v>
      </c>
      <c r="GV293" s="1715">
        <f>GU293*Assumptions!$C$57/1000</f>
        <v>33.25655635802611</v>
      </c>
      <c r="GW293" s="530">
        <f>IF(Assumptions!$C$60="Hourly",MAX(0,GS293*(GT293-GV293)),GS293*(GT293-GV293))</f>
        <v>5034853.1353160804</v>
      </c>
      <c r="GX293" s="530">
        <f>IF($A293&gt;=BegDate,Assumptions!$C$56*24*($A294-$A293)*(1-VLOOKUP($B293,MAIN!$AA$7:$AM$28,$C293+1))*(1-VLOOKUP($B293,MAIN!$AA$33:$AM$54,$C293+1)),0)*16/168</f>
        <v>51548.571428571428</v>
      </c>
      <c r="GY293" s="1715">
        <f t="shared" ref="GY293:GY300" si="928">M293</f>
        <v>52.790960496820347</v>
      </c>
      <c r="GZ293" s="1715">
        <f>IF($A293&gt;=BegDate,VLOOKUP($A293,GasTable,13)+Assumptions!$C$58,0)</f>
        <v>4.5871112217967047</v>
      </c>
      <c r="HA293" s="1715">
        <f>GZ293*Assumptions!$C$57/1000</f>
        <v>33.25655635802611</v>
      </c>
      <c r="HB293" s="530">
        <f>IF(Assumptions!$C$60="Hourly",MAX(0,GX293*(GY293-HA293)),GX293*(GY293-HA293))</f>
        <v>1006970.6270632161</v>
      </c>
      <c r="HC293" s="530">
        <f>IF($A293&gt;=BegDate,Assumptions!$C$56*24*($A294-$A293)*(1-VLOOKUP($B293,MAIN!$AA$7:$AM$28,$C293+1))*(1-VLOOKUP($B293,MAIN!$AA$33:$AM$54,$C293+1)),0)*16/168</f>
        <v>51548.571428571428</v>
      </c>
      <c r="HD293" s="1715">
        <f t="shared" ref="HD293:HD300" si="929">P293</f>
        <v>31.554700416028375</v>
      </c>
      <c r="HE293" s="1715">
        <f>IF($A293&gt;=BegDate,VLOOKUP($A293,GasTable,13)+Assumptions!$C$58,0)</f>
        <v>4.5871112217967047</v>
      </c>
      <c r="HF293" s="1715">
        <f>HE293*Assumptions!$C$57/1000</f>
        <v>33.25655635802611</v>
      </c>
      <c r="HG293" s="530">
        <f>IF(Assumptions!$C$60="Hourly",MAX(0,HC293*(HD293-HF293)),HC293*(HD293-HF293))</f>
        <v>0</v>
      </c>
      <c r="HH293" s="530">
        <f>IF($A293&gt;=BegDate,Assumptions!$C$56*24*($A294-$A293)*(1-VLOOKUP($B293,MAIN!$AA$7:$AM$28,$C293+1))*(1-VLOOKUP($B293,MAIN!$AA$33:$AM$54,$C293+1)),0)*56/168</f>
        <v>180420</v>
      </c>
      <c r="HI293" s="1715">
        <f t="shared" ref="HI293:HI300" si="930">S293</f>
        <v>31.554700416028375</v>
      </c>
      <c r="HJ293" s="1715">
        <f>IF($A293&gt;=BegDate,VLOOKUP($A293,GasTable,13)+Assumptions!$C$58,0)</f>
        <v>4.5871112217967047</v>
      </c>
      <c r="HK293" s="1715">
        <f>HJ293*Assumptions!$C$57/1000</f>
        <v>33.25655635802611</v>
      </c>
      <c r="HL293" s="530">
        <f>IF(Assumptions!$C$60="Hourly",MAX(0,HH293*(HI293-HK293)),HH293*(HI293-HK293))</f>
        <v>0</v>
      </c>
      <c r="HM293" s="530">
        <f>IF(AND(Assumptions!$H$71="Yes",A293&gt;=Assumptions!$H$72,A293&lt;=Assumptions!$H$73),Assumptions!$H$74*Assumptions!$C$9*1000,0)</f>
        <v>0</v>
      </c>
      <c r="II293" s="1464"/>
      <c r="IJ293" s="1463"/>
      <c r="IK293" s="1463"/>
    </row>
    <row r="294" spans="1:245">
      <c r="A294" s="177">
        <f t="shared" si="808"/>
        <v>45078</v>
      </c>
      <c r="B294" s="15">
        <f t="shared" si="809"/>
        <v>2023</v>
      </c>
      <c r="C294" s="1509">
        <f t="shared" ref="C294:C300" si="931">MONTH(A294)</f>
        <v>6</v>
      </c>
      <c r="D294" s="1864" t="str">
        <f t="shared" si="857"/>
        <v/>
      </c>
      <c r="E294" s="609" t="str">
        <f t="shared" si="858"/>
        <v/>
      </c>
      <c r="F294" s="1864" t="str">
        <f t="shared" si="859"/>
        <v/>
      </c>
      <c r="G294" s="1860">
        <v>0</v>
      </c>
      <c r="H294" s="152">
        <f t="shared" si="860"/>
        <v>1</v>
      </c>
      <c r="I294" s="154">
        <f>IF(Assumptions!$L$25=4,VLOOKUP($A294,'Henwood Reference'!$E$9:$R$320,10),(VLOOKUP($A294,PriceTable,2,0)+IF(BasisNumber&lt;&gt;1,VLOOKUP($A294,BasisTable,2,0),0)+I$1)/(1-I$2))</f>
        <v>51.241656969752292</v>
      </c>
      <c r="J294" s="154">
        <f>IF(Assumptions!$L$25=4,VLOOKUP($A294,'Henwood Reference'!$E$9:$R$320,10),(VLOOKUP($A294,PriceTable,3,0)+IF(BasisNumber&lt;&gt;1,VLOOKUP($A294,BasisTable,2,0),0)+J$1)/(1-J$2))</f>
        <v>51.241656969752292</v>
      </c>
      <c r="K294" s="154">
        <f>IF(Assumptions!$L$25=4,VLOOKUP($A294,'Henwood Reference'!$E$9:$R$320,10),(VLOOKUP($A294,PriceTable,4,0)+IF(BasisNumber&lt;&gt;1,VLOOKUP($A294,BasisTable,2,0),0)+K$1)/(1-K$2))</f>
        <v>51.241656969752292</v>
      </c>
      <c r="L294" s="474">
        <f>IF(Assumptions!$L$25=4,VLOOKUP($A294,'Henwood Reference'!$E$9:$R$320,10),(VLOOKUP($A294,PriceTableWeekend,2,0)+IF(BasisNumber&lt;&gt;1,VLOOKUP($A294,BasisTable,2,0),0)+L$1)/(1-L$2))</f>
        <v>51.241656969752292</v>
      </c>
      <c r="M294" s="154">
        <f>IF(Assumptions!$L$25=4,VLOOKUP($A294,'Henwood Reference'!$E$9:$R$320,10),(VLOOKUP($A294,PriceTableWeekend,3,0)+IF(BasisNumber&lt;&gt;1,VLOOKUP($A294,BasisTable,2,0),0)+M$1)/(1-M$2))</f>
        <v>51.241656969752292</v>
      </c>
      <c r="N294" s="156">
        <f>IF(Assumptions!$L$25=4,VLOOKUP($A294,'Henwood Reference'!$E$9:$R$320,10),(VLOOKUP($A294,PriceTableWeekend,4,0)+IF(BasisNumber&lt;&gt;1,VLOOKUP($A294,BasisTable,2,0),0)+N$1)/(1-N$2))</f>
        <v>51.241656969752292</v>
      </c>
      <c r="O294" s="154">
        <f>IF(Assumptions!$L$25=4,VLOOKUP($A294,'Henwood Reference'!$E$9:$R$320,11),(VLOOKUP($A294,PriceTableWeekend,6,0)+IF(BasisNumber&lt;&gt;1,VLOOKUP($A294,BasisTable,3,0),0)+O$1)/(1-O$2))</f>
        <v>30.778235218340537</v>
      </c>
      <c r="P294" s="154">
        <f>IF(Assumptions!$L$25=4,VLOOKUP($A294,'Henwood Reference'!$E$9:$R$320,11),(VLOOKUP($A294,PriceTableWeekend,7,0)+IF(BasisNumber&lt;&gt;1,VLOOKUP($A294,BasisTable,3,0),0)+P$1)/(1-P$2))</f>
        <v>30.778235218340537</v>
      </c>
      <c r="Q294" s="156">
        <f>IF(Assumptions!$L$25=4,VLOOKUP($A294,'Henwood Reference'!$E$9:$R$320,11),(VLOOKUP($A294,PriceTableWeekend,8,0)+IF(BasisNumber&lt;&gt;1,VLOOKUP($A294,BasisTable,3,0),0)+Q$1)/(1-Q$2))</f>
        <v>30.778235218340537</v>
      </c>
      <c r="R294" s="154">
        <f>IF(Assumptions!$L$25=4,VLOOKUP($A294,'Henwood Reference'!$E$9:$R$320,11),(VLOOKUP($A294,PriceTable,6,0)+IF(BasisNumber&lt;&gt;1,VLOOKUP($A294,BasisTable,3,0),0)+R$1)/(1-R$2))</f>
        <v>30.778235218340537</v>
      </c>
      <c r="S294" s="154">
        <f>IF(Assumptions!$L$25=4,VLOOKUP($A294,'Henwood Reference'!$E$9:$R$320,11),(VLOOKUP($A294,PriceTable,7,0)+IF(BasisNumber&lt;&gt;1,VLOOKUP($A294,BasisTable,3,0),0)+S$1)/(1-S$2))</f>
        <v>30.778235218340537</v>
      </c>
      <c r="T294" s="155">
        <f>IF(Assumptions!$L$25=4,VLOOKUP($A294,'Henwood Reference'!$E$9:$R$320,11),(VLOOKUP($A294,PriceTable,8,0)+IF(BasisNumber&lt;&gt;1,VLOOKUP($A294,BasisTable,3,0),0)+T$1)/(1-T$2))</f>
        <v>30.778235218340537</v>
      </c>
      <c r="U294" s="173">
        <f t="shared" si="811"/>
        <v>0.09</v>
      </c>
      <c r="V294" s="173">
        <f t="shared" si="812"/>
        <v>0.1</v>
      </c>
      <c r="W294" s="173">
        <f t="shared" si="813"/>
        <v>0.11</v>
      </c>
      <c r="X294" s="173">
        <f t="shared" si="814"/>
        <v>0.09</v>
      </c>
      <c r="Y294" s="173">
        <f t="shared" si="815"/>
        <v>0.1</v>
      </c>
      <c r="Z294" s="173">
        <f t="shared" si="816"/>
        <v>0.11</v>
      </c>
      <c r="AA294" s="173">
        <f t="shared" si="817"/>
        <v>0.09</v>
      </c>
      <c r="AB294" s="173">
        <f t="shared" si="818"/>
        <v>0.11</v>
      </c>
      <c r="AC294" s="173">
        <f t="shared" si="819"/>
        <v>0.13</v>
      </c>
      <c r="AD294" s="173">
        <f t="shared" si="820"/>
        <v>0.09</v>
      </c>
      <c r="AE294" s="173">
        <f t="shared" si="821"/>
        <v>0.11</v>
      </c>
      <c r="AF294" s="173">
        <f t="shared" si="822"/>
        <v>0.13</v>
      </c>
      <c r="AG294" s="173">
        <f t="shared" si="823"/>
        <v>-0.35</v>
      </c>
      <c r="AH294" s="173">
        <f t="shared" si="824"/>
        <v>0.65</v>
      </c>
      <c r="AI294" s="173">
        <f t="shared" si="825"/>
        <v>0.2</v>
      </c>
      <c r="AJ294" s="173">
        <f t="shared" si="826"/>
        <v>-0.35</v>
      </c>
      <c r="AK294" s="173">
        <f t="shared" si="827"/>
        <v>0.65</v>
      </c>
      <c r="AL294" s="173">
        <f t="shared" si="828"/>
        <v>0.2</v>
      </c>
      <c r="AM294" s="173">
        <f t="shared" si="829"/>
        <v>-0.01</v>
      </c>
      <c r="AN294" s="173">
        <f t="shared" si="830"/>
        <v>0.16</v>
      </c>
      <c r="AO294" s="173">
        <f t="shared" si="831"/>
        <v>0.01</v>
      </c>
      <c r="AP294" s="173">
        <f t="shared" si="832"/>
        <v>-0.01</v>
      </c>
      <c r="AQ294" s="173">
        <f t="shared" si="833"/>
        <v>0.16</v>
      </c>
      <c r="AR294" s="1861">
        <f t="shared" si="834"/>
        <v>0.01</v>
      </c>
      <c r="AS294" s="1862">
        <f t="shared" si="861"/>
        <v>0.5</v>
      </c>
      <c r="AT294" s="15">
        <f t="shared" si="862"/>
        <v>0</v>
      </c>
      <c r="AU294" s="159">
        <f t="shared" si="863"/>
        <v>0</v>
      </c>
      <c r="AV294" s="159">
        <f t="shared" si="864"/>
        <v>0</v>
      </c>
      <c r="AW294" s="159">
        <f t="shared" si="865"/>
        <v>0</v>
      </c>
      <c r="AX294" s="15">
        <f t="shared" si="866"/>
        <v>0</v>
      </c>
      <c r="AY294" s="1861">
        <f>IF(E294="",0,MIN((1-(1-VLOOKUP(B294,MAIN!$AA$7:$AM$28,C294+1))*(1-VLOOKUP(B294,MAIN!$AA$33:$AM$54,C294+1))),1))</f>
        <v>0</v>
      </c>
      <c r="AZ294" s="337">
        <f t="array" ref="AZ294:BO294">TakeFunction(TakeType,STake,OTake,CombineTakesFlag,MostExpFlag,VolumeEscType,VolumeEsc,DateToday,BegDate,EndDate,OrderedScalars,OrderedPrices,OrderedPricesSat,OrderedPricesSun,AvailDays,FirmWeek,FirmSat,FirmSun,FirmHol,OptWeek,OptSat,OptSun,OptHol)*(1-PlannedOutages)</f>
        <v>0</v>
      </c>
      <c r="BA294" s="337">
        <v>0</v>
      </c>
      <c r="BB294" s="337">
        <v>0</v>
      </c>
      <c r="BC294" s="337">
        <v>0</v>
      </c>
      <c r="BD294" s="154">
        <v>0</v>
      </c>
      <c r="BE294" s="154">
        <v>0</v>
      </c>
      <c r="BF294" s="154">
        <v>0</v>
      </c>
      <c r="BG294" s="154">
        <v>0</v>
      </c>
      <c r="BH294" s="337">
        <v>0</v>
      </c>
      <c r="BI294" s="337">
        <v>0</v>
      </c>
      <c r="BJ294" s="337">
        <v>0</v>
      </c>
      <c r="BK294" s="337">
        <v>0</v>
      </c>
      <c r="BL294" s="154">
        <v>0</v>
      </c>
      <c r="BM294" s="154">
        <v>0</v>
      </c>
      <c r="BN294" s="154">
        <v>0</v>
      </c>
      <c r="BO294" s="154">
        <v>0</v>
      </c>
      <c r="BP294" s="259">
        <f t="shared" si="867"/>
        <v>0</v>
      </c>
      <c r="BQ294" s="259">
        <f t="shared" si="868"/>
        <v>0</v>
      </c>
      <c r="BR294" s="259">
        <f t="shared" si="869"/>
        <v>0</v>
      </c>
      <c r="BS294" s="259">
        <f t="shared" si="870"/>
        <v>0</v>
      </c>
      <c r="BT294" s="216">
        <f t="shared" si="871"/>
        <v>23.129363449691994</v>
      </c>
      <c r="BU294" s="216">
        <f t="shared" si="872"/>
        <v>0</v>
      </c>
      <c r="BV294" s="216">
        <f t="shared" si="873"/>
        <v>0</v>
      </c>
      <c r="BW294" s="216">
        <f t="shared" si="874"/>
        <v>0</v>
      </c>
      <c r="BX294" s="216">
        <f t="shared" si="875"/>
        <v>0</v>
      </c>
      <c r="BY294" s="216">
        <f t="shared" si="876"/>
        <v>0</v>
      </c>
      <c r="BZ294" s="216">
        <f t="shared" si="877"/>
        <v>0</v>
      </c>
      <c r="CA294" s="216">
        <f t="shared" si="878"/>
        <v>0</v>
      </c>
      <c r="CB294" s="216">
        <f t="shared" si="879"/>
        <v>0</v>
      </c>
      <c r="CC294" s="216">
        <f t="shared" si="880"/>
        <v>0</v>
      </c>
      <c r="CD294" s="216">
        <f t="shared" si="881"/>
        <v>0</v>
      </c>
      <c r="CE294" s="216">
        <f t="shared" si="882"/>
        <v>0</v>
      </c>
      <c r="CF294" s="216">
        <f t="shared" si="883"/>
        <v>0</v>
      </c>
      <c r="CG294" s="1863" t="str">
        <f t="shared" si="884"/>
        <v/>
      </c>
      <c r="CH294" s="219" t="str">
        <f t="shared" si="885"/>
        <v/>
      </c>
      <c r="CI294" s="219" t="str">
        <f t="shared" si="886"/>
        <v/>
      </c>
      <c r="CJ294" s="219" t="str">
        <f t="shared" si="887"/>
        <v/>
      </c>
      <c r="CK294" s="219" t="str">
        <f t="shared" si="888"/>
        <v/>
      </c>
      <c r="CL294" s="219" t="str">
        <f t="shared" si="889"/>
        <v/>
      </c>
      <c r="CM294" s="219" t="str">
        <f t="shared" si="890"/>
        <v/>
      </c>
      <c r="CN294" s="219" t="str">
        <f t="shared" si="891"/>
        <v/>
      </c>
      <c r="CO294" s="216">
        <f t="shared" si="892"/>
        <v>0</v>
      </c>
      <c r="CP294" s="216">
        <f t="shared" si="893"/>
        <v>0</v>
      </c>
      <c r="CQ294" s="216">
        <f t="shared" si="703"/>
        <v>0</v>
      </c>
      <c r="CR294" s="216">
        <f t="shared" si="704"/>
        <v>0</v>
      </c>
      <c r="CS294" s="1626">
        <f t="shared" si="705"/>
        <v>0</v>
      </c>
      <c r="CT294" s="216">
        <f t="shared" si="894"/>
        <v>0</v>
      </c>
      <c r="CU294" s="479" t="str">
        <f t="shared" si="895"/>
        <v/>
      </c>
      <c r="CV294" s="154" t="str">
        <f t="shared" si="896"/>
        <v/>
      </c>
      <c r="CW294" s="216">
        <f>IF(OR($BQ294,$BS294),SpreadOptPowerMargin,0)*((1+Assumptions!$C$26)^($B294-YEAR(Assumptions!$C$17)))</f>
        <v>0</v>
      </c>
      <c r="CX294" s="216">
        <f>IF(OR($BQ294,$BS294),SpreadOptPowerMargin,0)*((1+Assumptions!$C$26)^($B294-YEAR(Assumptions!$C$17)))</f>
        <v>0</v>
      </c>
      <c r="CY294" s="216">
        <f>IF(OR($BQ294,$BS294),SpreadOptPowerMargin,0)*((1+Assumptions!$C$26)^($B294-YEAR(Assumptions!$C$17)))</f>
        <v>0</v>
      </c>
      <c r="CZ294" s="216">
        <f>IF(OR($BQ294,$BS294),SpreadOptPowerMargin,0)*((1+Assumptions!$C$26)^($B294-YEAR(Assumptions!$C$17)))</f>
        <v>0</v>
      </c>
      <c r="DA294" s="216">
        <f t="shared" si="897"/>
        <v>0</v>
      </c>
      <c r="DB294" s="479" t="str">
        <f t="shared" si="898"/>
        <v/>
      </c>
      <c r="DC294" s="479" t="str">
        <f t="shared" si="899"/>
        <v/>
      </c>
      <c r="DD294" s="479" t="str">
        <f t="shared" si="900"/>
        <v/>
      </c>
      <c r="DE294" s="479" t="str">
        <f t="shared" si="901"/>
        <v/>
      </c>
      <c r="DF294" s="479" t="str">
        <f t="shared" si="902"/>
        <v/>
      </c>
      <c r="DG294" s="479" t="str">
        <f t="shared" si="903"/>
        <v/>
      </c>
      <c r="DH294" s="216">
        <f t="shared" si="904"/>
        <v>0</v>
      </c>
      <c r="DI294" s="216">
        <f t="shared" si="905"/>
        <v>0</v>
      </c>
      <c r="DJ294" s="216">
        <f t="shared" si="706"/>
        <v>0</v>
      </c>
      <c r="DK294" s="216">
        <f t="shared" si="707"/>
        <v>0</v>
      </c>
      <c r="DL294" s="216">
        <f t="shared" si="708"/>
        <v>0</v>
      </c>
      <c r="DM294" s="216"/>
      <c r="DN294" s="216"/>
      <c r="DO294" s="216"/>
      <c r="DP294" s="216"/>
      <c r="DQ294" s="216"/>
      <c r="DR294" s="216"/>
      <c r="DS294" s="216"/>
      <c r="DT294" s="216"/>
      <c r="DU294" s="216"/>
      <c r="DV294" s="216"/>
      <c r="DW294" s="216">
        <f t="shared" si="906"/>
        <v>0</v>
      </c>
      <c r="DX294" s="216">
        <f t="shared" si="907"/>
        <v>0</v>
      </c>
      <c r="DY294" s="216">
        <f t="shared" si="908"/>
        <v>0</v>
      </c>
      <c r="DZ294" s="180">
        <f t="shared" si="909"/>
        <v>0</v>
      </c>
      <c r="EA294" s="180">
        <f t="shared" si="910"/>
        <v>0</v>
      </c>
      <c r="EB294" s="180">
        <f t="shared" si="709"/>
        <v>0</v>
      </c>
      <c r="EC294" s="180">
        <f t="shared" si="710"/>
        <v>0</v>
      </c>
      <c r="ED294" s="180">
        <f t="shared" si="711"/>
        <v>0</v>
      </c>
      <c r="EE294" s="554">
        <f t="shared" si="911"/>
        <v>0</v>
      </c>
      <c r="EF294" s="554">
        <f t="shared" si="912"/>
        <v>0</v>
      </c>
      <c r="EG294" s="554">
        <f t="shared" si="712"/>
        <v>0</v>
      </c>
      <c r="EH294" s="554">
        <f t="shared" si="713"/>
        <v>0</v>
      </c>
      <c r="EI294" s="561">
        <f t="shared" si="792"/>
        <v>0</v>
      </c>
      <c r="EJ294" s="554">
        <f t="shared" si="913"/>
        <v>0</v>
      </c>
      <c r="EK294" s="554">
        <f t="shared" si="914"/>
        <v>0</v>
      </c>
      <c r="EL294" s="554">
        <f t="shared" si="714"/>
        <v>0</v>
      </c>
      <c r="EM294" s="554">
        <f t="shared" si="715"/>
        <v>0</v>
      </c>
      <c r="EN294" s="561">
        <f t="shared" si="716"/>
        <v>0</v>
      </c>
      <c r="EO294" s="180">
        <f t="shared" si="915"/>
        <v>0</v>
      </c>
      <c r="EP294" s="180">
        <f t="shared" si="916"/>
        <v>0</v>
      </c>
      <c r="EQ294" s="180">
        <f t="shared" si="917"/>
        <v>0</v>
      </c>
      <c r="ER294" s="180">
        <f t="shared" si="918"/>
        <v>0</v>
      </c>
      <c r="ES294" s="180">
        <f t="shared" si="919"/>
        <v>0</v>
      </c>
      <c r="ET294" s="1482">
        <f t="shared" si="717"/>
        <v>0</v>
      </c>
      <c r="EU294" s="180">
        <f t="shared" si="718"/>
        <v>0</v>
      </c>
      <c r="EV294" s="180">
        <f t="shared" si="719"/>
        <v>0</v>
      </c>
      <c r="EW294" s="180">
        <f t="shared" si="720"/>
        <v>0</v>
      </c>
      <c r="EX294" s="555">
        <f t="shared" si="693"/>
        <v>0</v>
      </c>
      <c r="EY294" s="180">
        <f t="shared" si="721"/>
        <v>0</v>
      </c>
      <c r="EZ294" s="180">
        <f t="shared" si="722"/>
        <v>0</v>
      </c>
      <c r="FA294" s="180">
        <f t="shared" si="723"/>
        <v>0</v>
      </c>
      <c r="FB294" s="180">
        <f t="shared" si="724"/>
        <v>0</v>
      </c>
      <c r="FC294" s="180">
        <f t="shared" si="725"/>
        <v>0</v>
      </c>
      <c r="FD294" s="337">
        <f>IF(AX294,IF(VLOOKUP(C294,MAIN!$L$17:$M$28,2)="Yes",VLOOKUP(CALC!B294,MAIN!$H$17:$I$20,2),0),0)</f>
        <v>0</v>
      </c>
      <c r="FE294" s="535">
        <f t="shared" si="920"/>
        <v>0</v>
      </c>
      <c r="FF294" s="535">
        <f t="shared" si="921"/>
        <v>0</v>
      </c>
      <c r="FG294" s="535">
        <f t="shared" si="922"/>
        <v>0</v>
      </c>
      <c r="FH294" s="535">
        <f t="shared" si="923"/>
        <v>0</v>
      </c>
      <c r="FI294" s="632">
        <f>IF(AX294,VLOOKUP(CALC!B294,MAIN!$H$17:$K$20,4),0)</f>
        <v>0</v>
      </c>
      <c r="FJ294" s="535">
        <f t="shared" si="802"/>
        <v>0</v>
      </c>
      <c r="FK294" s="535">
        <f t="shared" si="924"/>
        <v>0</v>
      </c>
      <c r="FL294" s="530">
        <f t="shared" si="726"/>
        <v>0</v>
      </c>
      <c r="FM294" s="530">
        <f t="shared" si="727"/>
        <v>0</v>
      </c>
      <c r="FN294" s="530">
        <f t="shared" si="728"/>
        <v>0</v>
      </c>
      <c r="FO294" s="622">
        <f t="shared" si="729"/>
        <v>0</v>
      </c>
      <c r="FP294" s="530">
        <f t="shared" si="730"/>
        <v>0</v>
      </c>
      <c r="FQ294" s="530">
        <f t="shared" si="731"/>
        <v>0</v>
      </c>
      <c r="FR294" s="530">
        <f t="shared" si="732"/>
        <v>0</v>
      </c>
      <c r="FS294" s="625">
        <f t="shared" si="733"/>
        <v>0</v>
      </c>
      <c r="FT294" s="640">
        <f>IF(AND(Assumptions!$H$71="Yes",A294&gt;=Assumptions!$H$72,A294&lt;=Assumptions!$H$73),0,IF(AND($A294&gt;=Assumptions!$C$17,$A294&lt;=Assumptions!$C$18),MAX(AZ294*(1+VLOOKUP($C294,WeatherCapacityAdjustment,2))-FL294,0),0))</f>
        <v>0</v>
      </c>
      <c r="FU294" s="530">
        <f>IF(AND(Assumptions!$H$71="Yes",A294&gt;=Assumptions!$H$72,A294&lt;=Assumptions!$H$73),0,IF(AND($A294&gt;=Assumptions!$C$17,$A294&lt;=Assumptions!$C$18),MAX(BA294*(1+VLOOKUP($C294,WeatherCapacityAdjustment,2))-FM294,0),0))</f>
        <v>0</v>
      </c>
      <c r="FV294" s="530">
        <f>IF(AND(Assumptions!$H$71="Yes",A294&gt;=Assumptions!$H$72,A294&lt;=Assumptions!$H$73),0,IF(AND($A294&gt;=Assumptions!$C$17,$A294&lt;=Assumptions!$C$18),MAX(BB294*(1+VLOOKUP($C294,WeatherCapacityAdjustment,2))-FN294,0),0))</f>
        <v>0</v>
      </c>
      <c r="FW294" s="622">
        <f>IF(AND(Assumptions!$H$71="Yes",A294&gt;=Assumptions!$H$72,A294&lt;=Assumptions!$H$73),0,IF(AND($A294&gt;=Assumptions!$C$17,$A294&lt;=Assumptions!$C$18),MAX(BC294*(1+VLOOKUP($C294,WeatherCapacityAdjustment,3))-FO294,0),0))</f>
        <v>0</v>
      </c>
      <c r="FX294" s="621">
        <f>IF(AND(Assumptions!$H$71="Yes",A294&gt;=Assumptions!$H$72,A294&lt;=Assumptions!$H$73),0,IF(ET294&gt;0,MAX(BH294*(1+VLOOKUP($C294,WeatherCapacityAdjustment,2))-FP294,0),0))</f>
        <v>0</v>
      </c>
      <c r="FY294" s="530">
        <f>IF(AND(Assumptions!$H$71="Yes",A294&gt;=Assumptions!$H$72,A294&lt;=Assumptions!$H$73),0,IF(EU294&gt;0,MAX(BI294*(1+VLOOKUP($C294,WeatherCapacityAdjustment,3))-FQ294,0),0))</f>
        <v>0</v>
      </c>
      <c r="FZ294" s="530">
        <f>IF(AND(Assumptions!$H$71="Yes",A294&gt;=Assumptions!$H$72,A294&lt;=Assumptions!$H$73),0,IF(EV294&gt;0,MAX(BJ294*(1+VLOOKUP($C294,WeatherCapacityAdjustment,2))-FR294,0),0))</f>
        <v>0</v>
      </c>
      <c r="GA294" s="622">
        <f>IF(AND(Assumptions!$H$71="Yes",A294&gt;=Assumptions!$H$72,A294&lt;=Assumptions!$H$73),0,IF(EW294&gt;0,MAX(BK294*(1+VLOOKUP($C294,WeatherCapacityAdjustment,2))-FS294,0),0))</f>
        <v>0</v>
      </c>
      <c r="GB294" s="530">
        <f t="shared" si="803"/>
        <v>0</v>
      </c>
      <c r="GC294" s="545">
        <f t="shared" si="804"/>
        <v>0</v>
      </c>
      <c r="GD294" s="530">
        <f t="shared" si="734"/>
        <v>0</v>
      </c>
      <c r="GE294" s="1485">
        <f t="shared" si="735"/>
        <v>0</v>
      </c>
      <c r="GF294" s="1776">
        <f t="shared" si="736"/>
        <v>0</v>
      </c>
      <c r="GG294" s="545">
        <f t="shared" si="925"/>
        <v>0</v>
      </c>
      <c r="GH294" s="622">
        <f t="shared" si="702"/>
        <v>0</v>
      </c>
      <c r="GI294" s="621">
        <f t="shared" si="849"/>
        <v>0</v>
      </c>
      <c r="GJ294" s="638">
        <f t="shared" si="926"/>
        <v>0</v>
      </c>
      <c r="GK294" s="625">
        <f t="shared" si="855"/>
        <v>0</v>
      </c>
      <c r="GL294" s="640">
        <f t="shared" si="737"/>
        <v>0</v>
      </c>
      <c r="GM294" s="530">
        <f t="shared" si="738"/>
        <v>0</v>
      </c>
      <c r="GN294" s="530">
        <f t="shared" si="739"/>
        <v>0</v>
      </c>
      <c r="GO294" s="622">
        <f t="shared" si="740"/>
        <v>0</v>
      </c>
      <c r="GP294" s="530">
        <f t="shared" si="806"/>
        <v>0</v>
      </c>
      <c r="GQ294" s="545">
        <f t="shared" si="807"/>
        <v>0</v>
      </c>
      <c r="GR294" s="625">
        <f t="shared" si="741"/>
        <v>0</v>
      </c>
      <c r="GS294" s="530">
        <f>IF($A294&gt;=BegDate,Assumptions!$C$56*24*($A295-$A294)*(1-VLOOKUP($B294,MAIN!$AA$7:$AM$28,$C294+1))*(1-VLOOKUP($B294,MAIN!$AA$33:$AM$54,$C294+1)),0)*80/168</f>
        <v>249428.57142857142</v>
      </c>
      <c r="GT294" s="1715">
        <f t="shared" si="927"/>
        <v>51.241656969752292</v>
      </c>
      <c r="GU294" s="1715">
        <f>IF($A294&gt;=BegDate,VLOOKUP($A294,GasTable,13)+Assumptions!$C$58,0)</f>
        <v>4.5871112217967047</v>
      </c>
      <c r="GV294" s="1715">
        <f>GU294*Assumptions!$C$57/1000</f>
        <v>33.25655635802611</v>
      </c>
      <c r="GW294" s="530">
        <f>IF(Assumptions!$C$60="Hourly",MAX(0,GS294*(GT294-GV294)),GS294*(GT294-GV294))</f>
        <v>4485997.9525819877</v>
      </c>
      <c r="GX294" s="530">
        <f>IF($A294&gt;=BegDate,Assumptions!$C$56*24*($A295-$A294)*(1-VLOOKUP($B294,MAIN!$AA$7:$AM$28,$C294+1))*(1-VLOOKUP($B294,MAIN!$AA$33:$AM$54,$C294+1)),0)*16/168</f>
        <v>49885.714285714283</v>
      </c>
      <c r="GY294" s="1715">
        <f t="shared" si="928"/>
        <v>51.241656969752292</v>
      </c>
      <c r="GZ294" s="1715">
        <f>IF($A294&gt;=BegDate,VLOOKUP($A294,GasTable,13)+Assumptions!$C$58,0)</f>
        <v>4.5871112217967047</v>
      </c>
      <c r="HA294" s="1715">
        <f>GZ294*Assumptions!$C$57/1000</f>
        <v>33.25655635802611</v>
      </c>
      <c r="HB294" s="530">
        <f>IF(Assumptions!$C$60="Hourly",MAX(0,GX294*(GY294-HA294)),GX294*(GY294-HA294))</f>
        <v>897199.5905163975</v>
      </c>
      <c r="HC294" s="530">
        <f>IF($A294&gt;=BegDate,Assumptions!$C$56*24*($A295-$A294)*(1-VLOOKUP($B294,MAIN!$AA$7:$AM$28,$C294+1))*(1-VLOOKUP($B294,MAIN!$AA$33:$AM$54,$C294+1)),0)*16/168</f>
        <v>49885.714285714283</v>
      </c>
      <c r="HD294" s="1715">
        <f t="shared" si="929"/>
        <v>30.778235218340537</v>
      </c>
      <c r="HE294" s="1715">
        <f>IF($A294&gt;=BegDate,VLOOKUP($A294,GasTable,13)+Assumptions!$C$58,0)</f>
        <v>4.5871112217967047</v>
      </c>
      <c r="HF294" s="1715">
        <f>HE294*Assumptions!$C$57/1000</f>
        <v>33.25655635802611</v>
      </c>
      <c r="HG294" s="530">
        <f>IF(Assumptions!$C$60="Hourly",MAX(0,HC294*(HD294-HF294)),HC294*(HD294-HF294))</f>
        <v>0</v>
      </c>
      <c r="HH294" s="530">
        <f>IF($A294&gt;=BegDate,Assumptions!$C$56*24*($A295-$A294)*(1-VLOOKUP($B294,MAIN!$AA$7:$AM$28,$C294+1))*(1-VLOOKUP($B294,MAIN!$AA$33:$AM$54,$C294+1)),0)*56/168</f>
        <v>174600</v>
      </c>
      <c r="HI294" s="1715">
        <f t="shared" si="930"/>
        <v>30.778235218340537</v>
      </c>
      <c r="HJ294" s="1715">
        <f>IF($A294&gt;=BegDate,VLOOKUP($A294,GasTable,13)+Assumptions!$C$58,0)</f>
        <v>4.5871112217967047</v>
      </c>
      <c r="HK294" s="1715">
        <f>HJ294*Assumptions!$C$57/1000</f>
        <v>33.25655635802611</v>
      </c>
      <c r="HL294" s="530">
        <f>IF(Assumptions!$C$60="Hourly",MAX(0,HH294*(HI294-HK294)),HH294*(HI294-HK294))</f>
        <v>0</v>
      </c>
      <c r="HM294" s="530">
        <f>IF(AND(Assumptions!$H$71="Yes",A294&gt;=Assumptions!$H$72,A294&lt;=Assumptions!$H$73),Assumptions!$H$74*Assumptions!$C$9*1000,0)</f>
        <v>0</v>
      </c>
    </row>
    <row r="295" spans="1:245">
      <c r="A295" s="1859">
        <f t="shared" si="808"/>
        <v>45108</v>
      </c>
      <c r="B295" s="15">
        <f t="shared" si="809"/>
        <v>2023</v>
      </c>
      <c r="C295" s="1509">
        <f t="shared" si="931"/>
        <v>7</v>
      </c>
      <c r="D295" s="1864" t="str">
        <f t="shared" si="857"/>
        <v/>
      </c>
      <c r="E295" s="609" t="str">
        <f t="shared" si="858"/>
        <v/>
      </c>
      <c r="F295" s="1864" t="str">
        <f t="shared" si="859"/>
        <v/>
      </c>
      <c r="G295" s="1860">
        <v>0</v>
      </c>
      <c r="H295" s="152">
        <f t="shared" si="860"/>
        <v>1</v>
      </c>
      <c r="I295" s="154">
        <f>IF(Assumptions!$L$25=4,VLOOKUP($A295,'Henwood Reference'!$E$9:$R$320,10),(VLOOKUP($A295,PriceTable,2,0)+IF(BasisNumber&lt;&gt;1,VLOOKUP($A295,BasisTable,2,0),0)+I$1)/(1-I$2))</f>
        <v>76.071355093783637</v>
      </c>
      <c r="J295" s="154">
        <f>IF(Assumptions!$L$25=4,VLOOKUP($A295,'Henwood Reference'!$E$9:$R$320,10),(VLOOKUP($A295,PriceTable,3,0)+IF(BasisNumber&lt;&gt;1,VLOOKUP($A295,BasisTable,2,0),0)+J$1)/(1-J$2))</f>
        <v>76.071355093783637</v>
      </c>
      <c r="K295" s="154">
        <f>IF(Assumptions!$L$25=4,VLOOKUP($A295,'Henwood Reference'!$E$9:$R$320,10),(VLOOKUP($A295,PriceTable,4,0)+IF(BasisNumber&lt;&gt;1,VLOOKUP($A295,BasisTable,2,0),0)+K$1)/(1-K$2))</f>
        <v>76.071355093783637</v>
      </c>
      <c r="L295" s="474">
        <f>IF(Assumptions!$L$25=4,VLOOKUP($A295,'Henwood Reference'!$E$9:$R$320,10),(VLOOKUP($A295,PriceTableWeekend,2,0)+IF(BasisNumber&lt;&gt;1,VLOOKUP($A295,BasisTable,2,0),0)+L$1)/(1-L$2))</f>
        <v>76.071355093783637</v>
      </c>
      <c r="M295" s="154">
        <f>IF(Assumptions!$L$25=4,VLOOKUP($A295,'Henwood Reference'!$E$9:$R$320,10),(VLOOKUP($A295,PriceTableWeekend,3,0)+IF(BasisNumber&lt;&gt;1,VLOOKUP($A295,BasisTable,2,0),0)+M$1)/(1-M$2))</f>
        <v>76.071355093783637</v>
      </c>
      <c r="N295" s="156">
        <f>IF(Assumptions!$L$25=4,VLOOKUP($A295,'Henwood Reference'!$E$9:$R$320,10),(VLOOKUP($A295,PriceTableWeekend,4,0)+IF(BasisNumber&lt;&gt;1,VLOOKUP($A295,BasisTable,2,0),0)+N$1)/(1-N$2))</f>
        <v>76.071355093783637</v>
      </c>
      <c r="O295" s="154">
        <f>IF(Assumptions!$L$25=4,VLOOKUP($A295,'Henwood Reference'!$E$9:$R$320,11),(VLOOKUP($A295,PriceTableWeekend,6,0)+IF(BasisNumber&lt;&gt;1,VLOOKUP($A295,BasisTable,3,0),0)+O$1)/(1-O$2))</f>
        <v>36.27861754176655</v>
      </c>
      <c r="P295" s="154">
        <f>IF(Assumptions!$L$25=4,VLOOKUP($A295,'Henwood Reference'!$E$9:$R$320,11),(VLOOKUP($A295,PriceTableWeekend,7,0)+IF(BasisNumber&lt;&gt;1,VLOOKUP($A295,BasisTable,3,0),0)+P$1)/(1-P$2))</f>
        <v>36.27861754176655</v>
      </c>
      <c r="Q295" s="156">
        <f>IF(Assumptions!$L$25=4,VLOOKUP($A295,'Henwood Reference'!$E$9:$R$320,11),(VLOOKUP($A295,PriceTableWeekend,8,0)+IF(BasisNumber&lt;&gt;1,VLOOKUP($A295,BasisTable,3,0),0)+Q$1)/(1-Q$2))</f>
        <v>36.27861754176655</v>
      </c>
      <c r="R295" s="154">
        <f>IF(Assumptions!$L$25=4,VLOOKUP($A295,'Henwood Reference'!$E$9:$R$320,11),(VLOOKUP($A295,PriceTable,6,0)+IF(BasisNumber&lt;&gt;1,VLOOKUP($A295,BasisTable,3,0),0)+R$1)/(1-R$2))</f>
        <v>36.27861754176655</v>
      </c>
      <c r="S295" s="154">
        <f>IF(Assumptions!$L$25=4,VLOOKUP($A295,'Henwood Reference'!$E$9:$R$320,11),(VLOOKUP($A295,PriceTable,7,0)+IF(BasisNumber&lt;&gt;1,VLOOKUP($A295,BasisTable,3,0),0)+S$1)/(1-S$2))</f>
        <v>36.27861754176655</v>
      </c>
      <c r="T295" s="155">
        <f>IF(Assumptions!$L$25=4,VLOOKUP($A295,'Henwood Reference'!$E$9:$R$320,11),(VLOOKUP($A295,PriceTable,8,0)+IF(BasisNumber&lt;&gt;1,VLOOKUP($A295,BasisTable,3,0),0)+T$1)/(1-T$2))</f>
        <v>36.27861754176655</v>
      </c>
      <c r="U295" s="173">
        <f t="shared" si="811"/>
        <v>0.09</v>
      </c>
      <c r="V295" s="173">
        <f t="shared" si="812"/>
        <v>0.1</v>
      </c>
      <c r="W295" s="173">
        <f t="shared" si="813"/>
        <v>0.11</v>
      </c>
      <c r="X295" s="173">
        <f t="shared" si="814"/>
        <v>0.09</v>
      </c>
      <c r="Y295" s="173">
        <f t="shared" si="815"/>
        <v>0.1</v>
      </c>
      <c r="Z295" s="173">
        <f t="shared" si="816"/>
        <v>0.11</v>
      </c>
      <c r="AA295" s="173">
        <f t="shared" si="817"/>
        <v>0.09</v>
      </c>
      <c r="AB295" s="173">
        <f t="shared" si="818"/>
        <v>0.11</v>
      </c>
      <c r="AC295" s="173">
        <f t="shared" si="819"/>
        <v>0.13</v>
      </c>
      <c r="AD295" s="173">
        <f t="shared" si="820"/>
        <v>0.09</v>
      </c>
      <c r="AE295" s="173">
        <f t="shared" si="821"/>
        <v>0.11</v>
      </c>
      <c r="AF295" s="173">
        <f t="shared" si="822"/>
        <v>0.13</v>
      </c>
      <c r="AG295" s="173">
        <f t="shared" si="823"/>
        <v>-0.35</v>
      </c>
      <c r="AH295" s="173">
        <f t="shared" si="824"/>
        <v>0.65</v>
      </c>
      <c r="AI295" s="173">
        <f t="shared" si="825"/>
        <v>0.35</v>
      </c>
      <c r="AJ295" s="173">
        <f t="shared" si="826"/>
        <v>-0.35</v>
      </c>
      <c r="AK295" s="173">
        <f t="shared" si="827"/>
        <v>0.65</v>
      </c>
      <c r="AL295" s="173">
        <f t="shared" si="828"/>
        <v>0.35</v>
      </c>
      <c r="AM295" s="173">
        <f t="shared" si="829"/>
        <v>-0.01</v>
      </c>
      <c r="AN295" s="173">
        <f t="shared" si="830"/>
        <v>0.16</v>
      </c>
      <c r="AO295" s="173">
        <f t="shared" si="831"/>
        <v>0.01</v>
      </c>
      <c r="AP295" s="173">
        <f t="shared" si="832"/>
        <v>-0.01</v>
      </c>
      <c r="AQ295" s="173">
        <f t="shared" si="833"/>
        <v>0.16</v>
      </c>
      <c r="AR295" s="1861">
        <f t="shared" si="834"/>
        <v>0.01</v>
      </c>
      <c r="AS295" s="1862">
        <f t="shared" si="861"/>
        <v>0.5</v>
      </c>
      <c r="AT295" s="15">
        <f t="shared" si="862"/>
        <v>0</v>
      </c>
      <c r="AU295" s="159">
        <f t="shared" si="863"/>
        <v>0</v>
      </c>
      <c r="AV295" s="159">
        <f t="shared" si="864"/>
        <v>0</v>
      </c>
      <c r="AW295" s="159">
        <f t="shared" si="865"/>
        <v>0</v>
      </c>
      <c r="AX295" s="15">
        <f t="shared" si="866"/>
        <v>0</v>
      </c>
      <c r="AY295" s="1861">
        <f>IF(E295="",0,MIN((1-(1-VLOOKUP(B295,MAIN!$AA$7:$AM$28,C295+1))*(1-VLOOKUP(B295,MAIN!$AA$33:$AM$54,C295+1))),1))</f>
        <v>0</v>
      </c>
      <c r="AZ295" s="337">
        <f t="array" ref="AZ295:BO295">TakeFunction(TakeType,STake,OTake,CombineTakesFlag,MostExpFlag,VolumeEscType,VolumeEsc,DateToday,BegDate,EndDate,OrderedScalars,OrderedPrices,OrderedPricesSat,OrderedPricesSun,AvailDays,FirmWeek,FirmSat,FirmSun,FirmHol,OptWeek,OptSat,OptSun,OptHol)*(1-PlannedOutages)</f>
        <v>0</v>
      </c>
      <c r="BA295" s="337">
        <v>0</v>
      </c>
      <c r="BB295" s="337">
        <v>0</v>
      </c>
      <c r="BC295" s="337">
        <v>0</v>
      </c>
      <c r="BD295" s="154">
        <v>0</v>
      </c>
      <c r="BE295" s="154">
        <v>0</v>
      </c>
      <c r="BF295" s="154">
        <v>0</v>
      </c>
      <c r="BG295" s="154">
        <v>0</v>
      </c>
      <c r="BH295" s="337">
        <v>0</v>
      </c>
      <c r="BI295" s="337">
        <v>0</v>
      </c>
      <c r="BJ295" s="337">
        <v>0</v>
      </c>
      <c r="BK295" s="337">
        <v>0</v>
      </c>
      <c r="BL295" s="154">
        <v>0</v>
      </c>
      <c r="BM295" s="154">
        <v>0</v>
      </c>
      <c r="BN295" s="154">
        <v>0</v>
      </c>
      <c r="BO295" s="154">
        <v>0</v>
      </c>
      <c r="BP295" s="259">
        <f t="shared" si="867"/>
        <v>0</v>
      </c>
      <c r="BQ295" s="259">
        <f t="shared" si="868"/>
        <v>0</v>
      </c>
      <c r="BR295" s="259">
        <f t="shared" si="869"/>
        <v>0</v>
      </c>
      <c r="BS295" s="259">
        <f t="shared" si="870"/>
        <v>0</v>
      </c>
      <c r="BT295" s="216">
        <f t="shared" si="871"/>
        <v>23.211498973305954</v>
      </c>
      <c r="BU295" s="216">
        <f t="shared" si="872"/>
        <v>0</v>
      </c>
      <c r="BV295" s="216">
        <f t="shared" si="873"/>
        <v>0</v>
      </c>
      <c r="BW295" s="216">
        <f t="shared" si="874"/>
        <v>0</v>
      </c>
      <c r="BX295" s="216">
        <f t="shared" si="875"/>
        <v>0</v>
      </c>
      <c r="BY295" s="216">
        <f t="shared" si="876"/>
        <v>0</v>
      </c>
      <c r="BZ295" s="216">
        <f t="shared" si="877"/>
        <v>0</v>
      </c>
      <c r="CA295" s="216">
        <f t="shared" si="878"/>
        <v>0</v>
      </c>
      <c r="CB295" s="216">
        <f t="shared" si="879"/>
        <v>0</v>
      </c>
      <c r="CC295" s="216">
        <f t="shared" si="880"/>
        <v>0</v>
      </c>
      <c r="CD295" s="216">
        <f t="shared" si="881"/>
        <v>0</v>
      </c>
      <c r="CE295" s="216">
        <f t="shared" si="882"/>
        <v>0</v>
      </c>
      <c r="CF295" s="216">
        <f t="shared" si="883"/>
        <v>0</v>
      </c>
      <c r="CG295" s="1863" t="str">
        <f t="shared" si="884"/>
        <v/>
      </c>
      <c r="CH295" s="219" t="str">
        <f t="shared" si="885"/>
        <v/>
      </c>
      <c r="CI295" s="219" t="str">
        <f t="shared" si="886"/>
        <v/>
      </c>
      <c r="CJ295" s="219" t="str">
        <f t="shared" si="887"/>
        <v/>
      </c>
      <c r="CK295" s="219" t="str">
        <f t="shared" si="888"/>
        <v/>
      </c>
      <c r="CL295" s="219" t="str">
        <f t="shared" si="889"/>
        <v/>
      </c>
      <c r="CM295" s="219" t="str">
        <f t="shared" si="890"/>
        <v/>
      </c>
      <c r="CN295" s="219" t="str">
        <f t="shared" si="891"/>
        <v/>
      </c>
      <c r="CO295" s="216">
        <f t="shared" si="892"/>
        <v>0</v>
      </c>
      <c r="CP295" s="216">
        <f t="shared" si="893"/>
        <v>0</v>
      </c>
      <c r="CQ295" s="216">
        <f t="shared" si="703"/>
        <v>0</v>
      </c>
      <c r="CR295" s="216">
        <f t="shared" si="704"/>
        <v>0</v>
      </c>
      <c r="CS295" s="1626">
        <f t="shared" si="705"/>
        <v>0</v>
      </c>
      <c r="CT295" s="216">
        <f t="shared" si="894"/>
        <v>0</v>
      </c>
      <c r="CU295" s="479" t="str">
        <f t="shared" si="895"/>
        <v/>
      </c>
      <c r="CV295" s="154" t="str">
        <f t="shared" si="896"/>
        <v/>
      </c>
      <c r="CW295" s="216">
        <f>IF(OR($BQ295,$BS295),SpreadOptPowerMargin,0)*((1+Assumptions!$C$26)^($B295-YEAR(Assumptions!$C$17)))</f>
        <v>0</v>
      </c>
      <c r="CX295" s="216">
        <f>IF(OR($BQ295,$BS295),SpreadOptPowerMargin,0)*((1+Assumptions!$C$26)^($B295-YEAR(Assumptions!$C$17)))</f>
        <v>0</v>
      </c>
      <c r="CY295" s="216">
        <f>IF(OR($BQ295,$BS295),SpreadOptPowerMargin,0)*((1+Assumptions!$C$26)^($B295-YEAR(Assumptions!$C$17)))</f>
        <v>0</v>
      </c>
      <c r="CZ295" s="216">
        <f>IF(OR($BQ295,$BS295),SpreadOptPowerMargin,0)*((1+Assumptions!$C$26)^($B295-YEAR(Assumptions!$C$17)))</f>
        <v>0</v>
      </c>
      <c r="DA295" s="216">
        <f t="shared" si="897"/>
        <v>0</v>
      </c>
      <c r="DB295" s="479" t="str">
        <f t="shared" si="898"/>
        <v/>
      </c>
      <c r="DC295" s="479" t="str">
        <f t="shared" si="899"/>
        <v/>
      </c>
      <c r="DD295" s="479" t="str">
        <f t="shared" si="900"/>
        <v/>
      </c>
      <c r="DE295" s="479" t="str">
        <f t="shared" si="901"/>
        <v/>
      </c>
      <c r="DF295" s="479" t="str">
        <f t="shared" si="902"/>
        <v/>
      </c>
      <c r="DG295" s="479" t="str">
        <f t="shared" si="903"/>
        <v/>
      </c>
      <c r="DH295" s="216">
        <f t="shared" si="904"/>
        <v>0</v>
      </c>
      <c r="DI295" s="216">
        <f t="shared" si="905"/>
        <v>0</v>
      </c>
      <c r="DJ295" s="216">
        <f t="shared" si="706"/>
        <v>0</v>
      </c>
      <c r="DK295" s="216">
        <f t="shared" si="707"/>
        <v>0</v>
      </c>
      <c r="DL295" s="216">
        <f t="shared" si="708"/>
        <v>0</v>
      </c>
      <c r="DM295" s="216"/>
      <c r="DN295" s="216"/>
      <c r="DO295" s="216"/>
      <c r="DP295" s="216"/>
      <c r="DQ295" s="216"/>
      <c r="DR295" s="216"/>
      <c r="DS295" s="216"/>
      <c r="DT295" s="216"/>
      <c r="DU295" s="216"/>
      <c r="DV295" s="216"/>
      <c r="DW295" s="216">
        <f t="shared" si="906"/>
        <v>0</v>
      </c>
      <c r="DX295" s="216">
        <f t="shared" si="907"/>
        <v>0</v>
      </c>
      <c r="DY295" s="216">
        <f t="shared" si="908"/>
        <v>0</v>
      </c>
      <c r="DZ295" s="180">
        <f t="shared" si="909"/>
        <v>0</v>
      </c>
      <c r="EA295" s="180">
        <f t="shared" si="910"/>
        <v>0</v>
      </c>
      <c r="EB295" s="180">
        <f t="shared" si="709"/>
        <v>0</v>
      </c>
      <c r="EC295" s="180">
        <f t="shared" si="710"/>
        <v>0</v>
      </c>
      <c r="ED295" s="180">
        <f t="shared" si="711"/>
        <v>0</v>
      </c>
      <c r="EE295" s="554">
        <f t="shared" si="911"/>
        <v>0</v>
      </c>
      <c r="EF295" s="554">
        <f t="shared" si="912"/>
        <v>0</v>
      </c>
      <c r="EG295" s="554">
        <f t="shared" si="712"/>
        <v>0</v>
      </c>
      <c r="EH295" s="554">
        <f t="shared" si="713"/>
        <v>0</v>
      </c>
      <c r="EI295" s="561">
        <f t="shared" si="792"/>
        <v>0</v>
      </c>
      <c r="EJ295" s="554">
        <f t="shared" si="913"/>
        <v>0</v>
      </c>
      <c r="EK295" s="554">
        <f t="shared" si="914"/>
        <v>0</v>
      </c>
      <c r="EL295" s="554">
        <f t="shared" si="714"/>
        <v>0</v>
      </c>
      <c r="EM295" s="554">
        <f t="shared" si="715"/>
        <v>0</v>
      </c>
      <c r="EN295" s="561">
        <f t="shared" si="716"/>
        <v>0</v>
      </c>
      <c r="EO295" s="180">
        <f t="shared" si="915"/>
        <v>0</v>
      </c>
      <c r="EP295" s="180">
        <f t="shared" si="916"/>
        <v>0</v>
      </c>
      <c r="EQ295" s="180">
        <f t="shared" si="917"/>
        <v>0</v>
      </c>
      <c r="ER295" s="180">
        <f t="shared" si="918"/>
        <v>0</v>
      </c>
      <c r="ES295" s="180">
        <f t="shared" si="919"/>
        <v>0</v>
      </c>
      <c r="ET295" s="1482">
        <f t="shared" si="717"/>
        <v>0</v>
      </c>
      <c r="EU295" s="180">
        <f t="shared" si="718"/>
        <v>0</v>
      </c>
      <c r="EV295" s="180">
        <f t="shared" si="719"/>
        <v>0</v>
      </c>
      <c r="EW295" s="180">
        <f t="shared" si="720"/>
        <v>0</v>
      </c>
      <c r="EX295" s="555">
        <f t="shared" si="693"/>
        <v>0</v>
      </c>
      <c r="EY295" s="180">
        <f t="shared" si="721"/>
        <v>0</v>
      </c>
      <c r="EZ295" s="180">
        <f t="shared" si="722"/>
        <v>0</v>
      </c>
      <c r="FA295" s="180">
        <f t="shared" si="723"/>
        <v>0</v>
      </c>
      <c r="FB295" s="180">
        <f t="shared" si="724"/>
        <v>0</v>
      </c>
      <c r="FC295" s="180">
        <f t="shared" si="725"/>
        <v>0</v>
      </c>
      <c r="FD295" s="337">
        <f>IF(AX295,IF(VLOOKUP(C295,MAIN!$L$17:$M$28,2)="Yes",VLOOKUP(CALC!B295,MAIN!$H$17:$I$20,2),0),0)</f>
        <v>0</v>
      </c>
      <c r="FE295" s="535">
        <f t="shared" si="920"/>
        <v>0</v>
      </c>
      <c r="FF295" s="535">
        <f t="shared" si="921"/>
        <v>0</v>
      </c>
      <c r="FG295" s="535">
        <f t="shared" si="922"/>
        <v>0</v>
      </c>
      <c r="FH295" s="535">
        <f t="shared" si="923"/>
        <v>0</v>
      </c>
      <c r="FI295" s="632">
        <f>IF(AX295,VLOOKUP(CALC!B295,MAIN!$H$17:$K$20,4),0)</f>
        <v>0</v>
      </c>
      <c r="FJ295" s="535">
        <f t="shared" si="802"/>
        <v>0</v>
      </c>
      <c r="FK295" s="535">
        <f t="shared" si="924"/>
        <v>0</v>
      </c>
      <c r="FL295" s="530">
        <f t="shared" si="726"/>
        <v>0</v>
      </c>
      <c r="FM295" s="530">
        <f t="shared" si="727"/>
        <v>0</v>
      </c>
      <c r="FN295" s="530">
        <f t="shared" si="728"/>
        <v>0</v>
      </c>
      <c r="FO295" s="622">
        <f t="shared" si="729"/>
        <v>0</v>
      </c>
      <c r="FP295" s="530">
        <f t="shared" si="730"/>
        <v>0</v>
      </c>
      <c r="FQ295" s="530">
        <f t="shared" si="731"/>
        <v>0</v>
      </c>
      <c r="FR295" s="530">
        <f t="shared" si="732"/>
        <v>0</v>
      </c>
      <c r="FS295" s="625">
        <f t="shared" si="733"/>
        <v>0</v>
      </c>
      <c r="FT295" s="640">
        <f>IF(AND(Assumptions!$H$71="Yes",A295&gt;=Assumptions!$H$72,A295&lt;=Assumptions!$H$73),0,IF(AND($A295&gt;=Assumptions!$C$17,$A295&lt;=Assumptions!$C$18),MAX(AZ295*(1+VLOOKUP($C295,WeatherCapacityAdjustment,2))-FL295,0),0))</f>
        <v>0</v>
      </c>
      <c r="FU295" s="530">
        <f>IF(AND(Assumptions!$H$71="Yes",A295&gt;=Assumptions!$H$72,A295&lt;=Assumptions!$H$73),0,IF(AND($A295&gt;=Assumptions!$C$17,$A295&lt;=Assumptions!$C$18),MAX(BA295*(1+VLOOKUP($C295,WeatherCapacityAdjustment,2))-FM295,0),0))</f>
        <v>0</v>
      </c>
      <c r="FV295" s="530">
        <f>IF(AND(Assumptions!$H$71="Yes",A295&gt;=Assumptions!$H$72,A295&lt;=Assumptions!$H$73),0,IF(AND($A295&gt;=Assumptions!$C$17,$A295&lt;=Assumptions!$C$18),MAX(BB295*(1+VLOOKUP($C295,WeatherCapacityAdjustment,2))-FN295,0),0))</f>
        <v>0</v>
      </c>
      <c r="FW295" s="622">
        <f>IF(AND(Assumptions!$H$71="Yes",A295&gt;=Assumptions!$H$72,A295&lt;=Assumptions!$H$73),0,IF(AND($A295&gt;=Assumptions!$C$17,$A295&lt;=Assumptions!$C$18),MAX(BC295*(1+VLOOKUP($C295,WeatherCapacityAdjustment,3))-FO295,0),0))</f>
        <v>0</v>
      </c>
      <c r="FX295" s="621">
        <f>IF(AND(Assumptions!$H$71="Yes",A295&gt;=Assumptions!$H$72,A295&lt;=Assumptions!$H$73),0,IF(ET295&gt;0,MAX(BH295*(1+VLOOKUP($C295,WeatherCapacityAdjustment,2))-FP295,0),0))</f>
        <v>0</v>
      </c>
      <c r="FY295" s="530">
        <f>IF(AND(Assumptions!$H$71="Yes",A295&gt;=Assumptions!$H$72,A295&lt;=Assumptions!$H$73),0,IF(EU295&gt;0,MAX(BI295*(1+VLOOKUP($C295,WeatherCapacityAdjustment,3))-FQ295,0),0))</f>
        <v>0</v>
      </c>
      <c r="FZ295" s="530">
        <f>IF(AND(Assumptions!$H$71="Yes",A295&gt;=Assumptions!$H$72,A295&lt;=Assumptions!$H$73),0,IF(EV295&gt;0,MAX(BJ295*(1+VLOOKUP($C295,WeatherCapacityAdjustment,2))-FR295,0),0))</f>
        <v>0</v>
      </c>
      <c r="GA295" s="622">
        <f>IF(AND(Assumptions!$H$71="Yes",A295&gt;=Assumptions!$H$72,A295&lt;=Assumptions!$H$73),0,IF(EW295&gt;0,MAX(BK295*(1+VLOOKUP($C295,WeatherCapacityAdjustment,2))-FS295,0),0))</f>
        <v>0</v>
      </c>
      <c r="GB295" s="530">
        <f t="shared" si="803"/>
        <v>0</v>
      </c>
      <c r="GC295" s="545">
        <f t="shared" si="804"/>
        <v>0</v>
      </c>
      <c r="GD295" s="530">
        <f t="shared" si="734"/>
        <v>0</v>
      </c>
      <c r="GE295" s="1485">
        <f t="shared" si="735"/>
        <v>0</v>
      </c>
      <c r="GF295" s="1776">
        <f t="shared" si="736"/>
        <v>0</v>
      </c>
      <c r="GG295" s="545">
        <f t="shared" si="925"/>
        <v>0</v>
      </c>
      <c r="GH295" s="622">
        <f t="shared" si="702"/>
        <v>0</v>
      </c>
      <c r="GI295" s="621">
        <f t="shared" si="849"/>
        <v>0</v>
      </c>
      <c r="GJ295" s="638">
        <f t="shared" si="926"/>
        <v>0</v>
      </c>
      <c r="GK295" s="625">
        <f t="shared" si="855"/>
        <v>0</v>
      </c>
      <c r="GL295" s="640">
        <f t="shared" si="737"/>
        <v>0</v>
      </c>
      <c r="GM295" s="530">
        <f t="shared" si="738"/>
        <v>0</v>
      </c>
      <c r="GN295" s="530">
        <f t="shared" si="739"/>
        <v>0</v>
      </c>
      <c r="GO295" s="622">
        <f t="shared" si="740"/>
        <v>0</v>
      </c>
      <c r="GP295" s="530">
        <f t="shared" si="806"/>
        <v>0</v>
      </c>
      <c r="GQ295" s="545">
        <f t="shared" si="807"/>
        <v>0</v>
      </c>
      <c r="GR295" s="625">
        <f t="shared" si="741"/>
        <v>0</v>
      </c>
      <c r="GS295" s="530">
        <f>IF($A295&gt;=BegDate,Assumptions!$C$56*24*($A296-$A295)*(1-VLOOKUP($B295,MAIN!$AA$7:$AM$28,$C295+1))*(1-VLOOKUP($B295,MAIN!$AA$33:$AM$54,$C295+1)),0)*80/168</f>
        <v>257742.85714285713</v>
      </c>
      <c r="GT295" s="1715">
        <f t="shared" si="927"/>
        <v>76.071355093783637</v>
      </c>
      <c r="GU295" s="1715">
        <f>IF($A295&gt;=BegDate,VLOOKUP($A295,GasTable,13)+Assumptions!$C$58,0)</f>
        <v>4.5871112217967047</v>
      </c>
      <c r="GV295" s="1715">
        <f>GU295*Assumptions!$C$57/1000</f>
        <v>33.25655635802611</v>
      </c>
      <c r="GW295" s="530">
        <f>IF(Assumptions!$C$60="Hourly",MAX(0,GS295*(GT295-GV295)),GS295*(GT295-GV295))</f>
        <v>11035208.554150533</v>
      </c>
      <c r="GX295" s="530">
        <f>IF($A295&gt;=BegDate,Assumptions!$C$56*24*($A296-$A295)*(1-VLOOKUP($B295,MAIN!$AA$7:$AM$28,$C295+1))*(1-VLOOKUP($B295,MAIN!$AA$33:$AM$54,$C295+1)),0)*16/168</f>
        <v>51548.571428571428</v>
      </c>
      <c r="GY295" s="1715">
        <f t="shared" si="928"/>
        <v>76.071355093783637</v>
      </c>
      <c r="GZ295" s="1715">
        <f>IF($A295&gt;=BegDate,VLOOKUP($A295,GasTable,13)+Assumptions!$C$58,0)</f>
        <v>4.5871112217967047</v>
      </c>
      <c r="HA295" s="1715">
        <f>GZ295*Assumptions!$C$57/1000</f>
        <v>33.25655635802611</v>
      </c>
      <c r="HB295" s="530">
        <f>IF(Assumptions!$C$60="Hourly",MAX(0,GX295*(GY295-HA295)),GX295*(GY295-HA295))</f>
        <v>2207041.7108301064</v>
      </c>
      <c r="HC295" s="530">
        <f>IF($A295&gt;=BegDate,Assumptions!$C$56*24*($A296-$A295)*(1-VLOOKUP($B295,MAIN!$AA$7:$AM$28,$C295+1))*(1-VLOOKUP($B295,MAIN!$AA$33:$AM$54,$C295+1)),0)*16/168</f>
        <v>51548.571428571428</v>
      </c>
      <c r="HD295" s="1715">
        <f t="shared" si="929"/>
        <v>36.27861754176655</v>
      </c>
      <c r="HE295" s="1715">
        <f>IF($A295&gt;=BegDate,VLOOKUP($A295,GasTable,13)+Assumptions!$C$58,0)</f>
        <v>4.5871112217967047</v>
      </c>
      <c r="HF295" s="1715">
        <f>HE295*Assumptions!$C$57/1000</f>
        <v>33.25655635802611</v>
      </c>
      <c r="HG295" s="530">
        <f>IF(Assumptions!$C$60="Hourly",MAX(0,HC295*(HD295-HF295)),HC295*(HD295-HF295))</f>
        <v>155782.93679155721</v>
      </c>
      <c r="HH295" s="530">
        <f>IF($A295&gt;=BegDate,Assumptions!$C$56*24*($A296-$A295)*(1-VLOOKUP($B295,MAIN!$AA$7:$AM$28,$C295+1))*(1-VLOOKUP($B295,MAIN!$AA$33:$AM$54,$C295+1)),0)*56/168</f>
        <v>180420</v>
      </c>
      <c r="HI295" s="1715">
        <f t="shared" si="930"/>
        <v>36.27861754176655</v>
      </c>
      <c r="HJ295" s="1715">
        <f>IF($A295&gt;=BegDate,VLOOKUP($A295,GasTable,13)+Assumptions!$C$58,0)</f>
        <v>4.5871112217967047</v>
      </c>
      <c r="HK295" s="1715">
        <f>HJ295*Assumptions!$C$57/1000</f>
        <v>33.25655635802611</v>
      </c>
      <c r="HL295" s="530">
        <f>IF(Assumptions!$C$60="Hourly",MAX(0,HH295*(HI295-HK295)),HH295*(HI295-HK295))</f>
        <v>545240.27877045027</v>
      </c>
      <c r="HM295" s="530">
        <f>IF(AND(Assumptions!$H$71="Yes",A295&gt;=Assumptions!$H$72,A295&lt;=Assumptions!$H$73),Assumptions!$H$74*Assumptions!$C$9*1000,0)</f>
        <v>0</v>
      </c>
    </row>
    <row r="296" spans="1:245">
      <c r="A296" s="177">
        <f t="shared" si="808"/>
        <v>45139</v>
      </c>
      <c r="B296" s="15">
        <f t="shared" si="809"/>
        <v>2023</v>
      </c>
      <c r="C296" s="1509">
        <f t="shared" si="931"/>
        <v>8</v>
      </c>
      <c r="D296" s="1864" t="str">
        <f t="shared" si="857"/>
        <v/>
      </c>
      <c r="E296" s="609" t="str">
        <f t="shared" si="858"/>
        <v/>
      </c>
      <c r="F296" s="1864" t="str">
        <f t="shared" si="859"/>
        <v/>
      </c>
      <c r="G296" s="1860">
        <v>0</v>
      </c>
      <c r="H296" s="152">
        <f t="shared" si="860"/>
        <v>1</v>
      </c>
      <c r="I296" s="154">
        <f>IF(Assumptions!$L$25=4,VLOOKUP($A296,'Henwood Reference'!$E$9:$R$320,10),(VLOOKUP($A296,PriceTable,2,0)+IF(BasisNumber&lt;&gt;1,VLOOKUP($A296,BasisTable,2,0),0)+I$1)/(1-I$2))</f>
        <v>94.395555303393337</v>
      </c>
      <c r="J296" s="154">
        <f>IF(Assumptions!$L$25=4,VLOOKUP($A296,'Henwood Reference'!$E$9:$R$320,10),(VLOOKUP($A296,PriceTable,3,0)+IF(BasisNumber&lt;&gt;1,VLOOKUP($A296,BasisTable,2,0),0)+J$1)/(1-J$2))</f>
        <v>94.395555303393337</v>
      </c>
      <c r="K296" s="154">
        <f>IF(Assumptions!$L$25=4,VLOOKUP($A296,'Henwood Reference'!$E$9:$R$320,10),(VLOOKUP($A296,PriceTable,4,0)+IF(BasisNumber&lt;&gt;1,VLOOKUP($A296,BasisTable,2,0),0)+K$1)/(1-K$2))</f>
        <v>94.395555303393337</v>
      </c>
      <c r="L296" s="474">
        <f>IF(Assumptions!$L$25=4,VLOOKUP($A296,'Henwood Reference'!$E$9:$R$320,10),(VLOOKUP($A296,PriceTableWeekend,2,0)+IF(BasisNumber&lt;&gt;1,VLOOKUP($A296,BasisTable,2,0),0)+L$1)/(1-L$2))</f>
        <v>94.395555303393337</v>
      </c>
      <c r="M296" s="154">
        <f>IF(Assumptions!$L$25=4,VLOOKUP($A296,'Henwood Reference'!$E$9:$R$320,10),(VLOOKUP($A296,PriceTableWeekend,3,0)+IF(BasisNumber&lt;&gt;1,VLOOKUP($A296,BasisTable,2,0),0)+M$1)/(1-M$2))</f>
        <v>94.395555303393337</v>
      </c>
      <c r="N296" s="156">
        <f>IF(Assumptions!$L$25=4,VLOOKUP($A296,'Henwood Reference'!$E$9:$R$320,10),(VLOOKUP($A296,PriceTableWeekend,4,0)+IF(BasisNumber&lt;&gt;1,VLOOKUP($A296,BasisTable,2,0),0)+N$1)/(1-N$2))</f>
        <v>94.395555303393337</v>
      </c>
      <c r="O296" s="154">
        <f>IF(Assumptions!$L$25=4,VLOOKUP($A296,'Henwood Reference'!$E$9:$R$320,11),(VLOOKUP($A296,PriceTableWeekend,6,0)+IF(BasisNumber&lt;&gt;1,VLOOKUP($A296,BasisTable,3,0),0)+O$1)/(1-O$2))</f>
        <v>38.785571991978031</v>
      </c>
      <c r="P296" s="154">
        <f>IF(Assumptions!$L$25=4,VLOOKUP($A296,'Henwood Reference'!$E$9:$R$320,11),(VLOOKUP($A296,PriceTableWeekend,7,0)+IF(BasisNumber&lt;&gt;1,VLOOKUP($A296,BasisTable,3,0),0)+P$1)/(1-P$2))</f>
        <v>38.785571991978031</v>
      </c>
      <c r="Q296" s="156">
        <f>IF(Assumptions!$L$25=4,VLOOKUP($A296,'Henwood Reference'!$E$9:$R$320,11),(VLOOKUP($A296,PriceTableWeekend,8,0)+IF(BasisNumber&lt;&gt;1,VLOOKUP($A296,BasisTable,3,0),0)+Q$1)/(1-Q$2))</f>
        <v>38.785571991978031</v>
      </c>
      <c r="R296" s="154">
        <f>IF(Assumptions!$L$25=4,VLOOKUP($A296,'Henwood Reference'!$E$9:$R$320,11),(VLOOKUP($A296,PriceTable,6,0)+IF(BasisNumber&lt;&gt;1,VLOOKUP($A296,BasisTable,3,0),0)+R$1)/(1-R$2))</f>
        <v>38.785571991978031</v>
      </c>
      <c r="S296" s="154">
        <f>IF(Assumptions!$L$25=4,VLOOKUP($A296,'Henwood Reference'!$E$9:$R$320,11),(VLOOKUP($A296,PriceTable,7,0)+IF(BasisNumber&lt;&gt;1,VLOOKUP($A296,BasisTable,3,0),0)+S$1)/(1-S$2))</f>
        <v>38.785571991978031</v>
      </c>
      <c r="T296" s="155">
        <f>IF(Assumptions!$L$25=4,VLOOKUP($A296,'Henwood Reference'!$E$9:$R$320,11),(VLOOKUP($A296,PriceTable,8,0)+IF(BasisNumber&lt;&gt;1,VLOOKUP($A296,BasisTable,3,0),0)+T$1)/(1-T$2))</f>
        <v>38.785571991978031</v>
      </c>
      <c r="U296" s="173">
        <f t="shared" si="811"/>
        <v>0.09</v>
      </c>
      <c r="V296" s="173">
        <f t="shared" si="812"/>
        <v>0.1</v>
      </c>
      <c r="W296" s="173">
        <f t="shared" si="813"/>
        <v>0.11</v>
      </c>
      <c r="X296" s="173">
        <f t="shared" si="814"/>
        <v>0.09</v>
      </c>
      <c r="Y296" s="173">
        <f t="shared" si="815"/>
        <v>0.1</v>
      </c>
      <c r="Z296" s="173">
        <f t="shared" si="816"/>
        <v>0.11</v>
      </c>
      <c r="AA296" s="173">
        <f t="shared" si="817"/>
        <v>0.09</v>
      </c>
      <c r="AB296" s="173">
        <f t="shared" si="818"/>
        <v>0.11</v>
      </c>
      <c r="AC296" s="173">
        <f t="shared" si="819"/>
        <v>0.13</v>
      </c>
      <c r="AD296" s="173">
        <f t="shared" si="820"/>
        <v>0.09</v>
      </c>
      <c r="AE296" s="173">
        <f t="shared" si="821"/>
        <v>0.11</v>
      </c>
      <c r="AF296" s="173">
        <f t="shared" si="822"/>
        <v>0.13</v>
      </c>
      <c r="AG296" s="173">
        <f t="shared" si="823"/>
        <v>-0.35</v>
      </c>
      <c r="AH296" s="173">
        <f t="shared" si="824"/>
        <v>0.65</v>
      </c>
      <c r="AI296" s="173">
        <f t="shared" si="825"/>
        <v>0.35</v>
      </c>
      <c r="AJ296" s="173">
        <f t="shared" si="826"/>
        <v>-0.35</v>
      </c>
      <c r="AK296" s="173">
        <f t="shared" si="827"/>
        <v>0.65</v>
      </c>
      <c r="AL296" s="173">
        <f t="shared" si="828"/>
        <v>0.35</v>
      </c>
      <c r="AM296" s="173">
        <f t="shared" si="829"/>
        <v>-0.01</v>
      </c>
      <c r="AN296" s="173">
        <f t="shared" si="830"/>
        <v>0.16</v>
      </c>
      <c r="AO296" s="173">
        <f t="shared" si="831"/>
        <v>0.01</v>
      </c>
      <c r="AP296" s="173">
        <f t="shared" si="832"/>
        <v>-0.01</v>
      </c>
      <c r="AQ296" s="173">
        <f t="shared" si="833"/>
        <v>0.16</v>
      </c>
      <c r="AR296" s="1861">
        <f t="shared" si="834"/>
        <v>0.01</v>
      </c>
      <c r="AS296" s="1862">
        <f t="shared" si="861"/>
        <v>0.5</v>
      </c>
      <c r="AT296" s="15">
        <f t="shared" si="862"/>
        <v>0</v>
      </c>
      <c r="AU296" s="159">
        <f t="shared" si="863"/>
        <v>0</v>
      </c>
      <c r="AV296" s="159">
        <f t="shared" si="864"/>
        <v>0</v>
      </c>
      <c r="AW296" s="159">
        <f t="shared" si="865"/>
        <v>0</v>
      </c>
      <c r="AX296" s="15">
        <f t="shared" si="866"/>
        <v>0</v>
      </c>
      <c r="AY296" s="1861">
        <f>IF(E296="",0,MIN((1-(1-VLOOKUP(B296,MAIN!$AA$7:$AM$28,C296+1))*(1-VLOOKUP(B296,MAIN!$AA$33:$AM$54,C296+1))),1))</f>
        <v>0</v>
      </c>
      <c r="AZ296" s="337">
        <f t="array" ref="AZ296:BO296">TakeFunction(TakeType,STake,OTake,CombineTakesFlag,MostExpFlag,VolumeEscType,VolumeEsc,DateToday,BegDate,EndDate,OrderedScalars,OrderedPrices,OrderedPricesSat,OrderedPricesSun,AvailDays,FirmWeek,FirmSat,FirmSun,FirmHol,OptWeek,OptSat,OptSun,OptHol)*(1-PlannedOutages)</f>
        <v>0</v>
      </c>
      <c r="BA296" s="337">
        <v>0</v>
      </c>
      <c r="BB296" s="337">
        <v>0</v>
      </c>
      <c r="BC296" s="337">
        <v>0</v>
      </c>
      <c r="BD296" s="154">
        <v>0</v>
      </c>
      <c r="BE296" s="154">
        <v>0</v>
      </c>
      <c r="BF296" s="154">
        <v>0</v>
      </c>
      <c r="BG296" s="154">
        <v>0</v>
      </c>
      <c r="BH296" s="337">
        <v>0</v>
      </c>
      <c r="BI296" s="337">
        <v>0</v>
      </c>
      <c r="BJ296" s="337">
        <v>0</v>
      </c>
      <c r="BK296" s="337">
        <v>0</v>
      </c>
      <c r="BL296" s="154">
        <v>0</v>
      </c>
      <c r="BM296" s="154">
        <v>0</v>
      </c>
      <c r="BN296" s="154">
        <v>0</v>
      </c>
      <c r="BO296" s="154">
        <v>0</v>
      </c>
      <c r="BP296" s="259">
        <f t="shared" si="867"/>
        <v>0</v>
      </c>
      <c r="BQ296" s="259">
        <f t="shared" si="868"/>
        <v>0</v>
      </c>
      <c r="BR296" s="259">
        <f t="shared" si="869"/>
        <v>0</v>
      </c>
      <c r="BS296" s="259">
        <f t="shared" si="870"/>
        <v>0</v>
      </c>
      <c r="BT296" s="216">
        <f t="shared" si="871"/>
        <v>23.296372347707049</v>
      </c>
      <c r="BU296" s="216">
        <f t="shared" si="872"/>
        <v>0</v>
      </c>
      <c r="BV296" s="216">
        <f t="shared" si="873"/>
        <v>0</v>
      </c>
      <c r="BW296" s="216">
        <f t="shared" si="874"/>
        <v>0</v>
      </c>
      <c r="BX296" s="216">
        <f t="shared" si="875"/>
        <v>0</v>
      </c>
      <c r="BY296" s="216">
        <f t="shared" si="876"/>
        <v>0</v>
      </c>
      <c r="BZ296" s="216">
        <f t="shared" si="877"/>
        <v>0</v>
      </c>
      <c r="CA296" s="216">
        <f t="shared" si="878"/>
        <v>0</v>
      </c>
      <c r="CB296" s="216">
        <f t="shared" si="879"/>
        <v>0</v>
      </c>
      <c r="CC296" s="216">
        <f t="shared" si="880"/>
        <v>0</v>
      </c>
      <c r="CD296" s="216">
        <f t="shared" si="881"/>
        <v>0</v>
      </c>
      <c r="CE296" s="216">
        <f t="shared" si="882"/>
        <v>0</v>
      </c>
      <c r="CF296" s="216">
        <f t="shared" si="883"/>
        <v>0</v>
      </c>
      <c r="CG296" s="1863" t="str">
        <f t="shared" si="884"/>
        <v/>
      </c>
      <c r="CH296" s="219" t="str">
        <f t="shared" si="885"/>
        <v/>
      </c>
      <c r="CI296" s="219" t="str">
        <f t="shared" si="886"/>
        <v/>
      </c>
      <c r="CJ296" s="219" t="str">
        <f t="shared" si="887"/>
        <v/>
      </c>
      <c r="CK296" s="219" t="str">
        <f t="shared" si="888"/>
        <v/>
      </c>
      <c r="CL296" s="219" t="str">
        <f t="shared" si="889"/>
        <v/>
      </c>
      <c r="CM296" s="219" t="str">
        <f t="shared" si="890"/>
        <v/>
      </c>
      <c r="CN296" s="219" t="str">
        <f t="shared" si="891"/>
        <v/>
      </c>
      <c r="CO296" s="216">
        <f t="shared" si="892"/>
        <v>0</v>
      </c>
      <c r="CP296" s="216">
        <f t="shared" si="893"/>
        <v>0</v>
      </c>
      <c r="CQ296" s="216">
        <f t="shared" si="703"/>
        <v>0</v>
      </c>
      <c r="CR296" s="216">
        <f t="shared" si="704"/>
        <v>0</v>
      </c>
      <c r="CS296" s="1626">
        <f t="shared" si="705"/>
        <v>0</v>
      </c>
      <c r="CT296" s="216">
        <f t="shared" si="894"/>
        <v>0</v>
      </c>
      <c r="CU296" s="479" t="str">
        <f t="shared" si="895"/>
        <v/>
      </c>
      <c r="CV296" s="154" t="str">
        <f t="shared" si="896"/>
        <v/>
      </c>
      <c r="CW296" s="216">
        <f>IF(OR($BQ296,$BS296),SpreadOptPowerMargin,0)*((1+Assumptions!$C$26)^($B296-YEAR(Assumptions!$C$17)))</f>
        <v>0</v>
      </c>
      <c r="CX296" s="216">
        <f>IF(OR($BQ296,$BS296),SpreadOptPowerMargin,0)*((1+Assumptions!$C$26)^($B296-YEAR(Assumptions!$C$17)))</f>
        <v>0</v>
      </c>
      <c r="CY296" s="216">
        <f>IF(OR($BQ296,$BS296),SpreadOptPowerMargin,0)*((1+Assumptions!$C$26)^($B296-YEAR(Assumptions!$C$17)))</f>
        <v>0</v>
      </c>
      <c r="CZ296" s="216">
        <f>IF(OR($BQ296,$BS296),SpreadOptPowerMargin,0)*((1+Assumptions!$C$26)^($B296-YEAR(Assumptions!$C$17)))</f>
        <v>0</v>
      </c>
      <c r="DA296" s="216">
        <f t="shared" si="897"/>
        <v>0</v>
      </c>
      <c r="DB296" s="479" t="str">
        <f t="shared" si="898"/>
        <v/>
      </c>
      <c r="DC296" s="479" t="str">
        <f t="shared" si="899"/>
        <v/>
      </c>
      <c r="DD296" s="479" t="str">
        <f t="shared" si="900"/>
        <v/>
      </c>
      <c r="DE296" s="479" t="str">
        <f t="shared" si="901"/>
        <v/>
      </c>
      <c r="DF296" s="479" t="str">
        <f t="shared" si="902"/>
        <v/>
      </c>
      <c r="DG296" s="479" t="str">
        <f t="shared" si="903"/>
        <v/>
      </c>
      <c r="DH296" s="216">
        <f t="shared" si="904"/>
        <v>0</v>
      </c>
      <c r="DI296" s="216">
        <f t="shared" si="905"/>
        <v>0</v>
      </c>
      <c r="DJ296" s="216">
        <f t="shared" si="706"/>
        <v>0</v>
      </c>
      <c r="DK296" s="216">
        <f t="shared" si="707"/>
        <v>0</v>
      </c>
      <c r="DL296" s="216">
        <f t="shared" si="708"/>
        <v>0</v>
      </c>
      <c r="DM296" s="216"/>
      <c r="DN296" s="216"/>
      <c r="DO296" s="216"/>
      <c r="DP296" s="216"/>
      <c r="DQ296" s="216"/>
      <c r="DR296" s="216"/>
      <c r="DS296" s="216"/>
      <c r="DT296" s="216"/>
      <c r="DU296" s="216"/>
      <c r="DV296" s="216"/>
      <c r="DW296" s="216">
        <f t="shared" si="906"/>
        <v>0</v>
      </c>
      <c r="DX296" s="216">
        <f t="shared" si="907"/>
        <v>0</v>
      </c>
      <c r="DY296" s="216">
        <f t="shared" si="908"/>
        <v>0</v>
      </c>
      <c r="DZ296" s="180">
        <f t="shared" si="909"/>
        <v>0</v>
      </c>
      <c r="EA296" s="180">
        <f t="shared" si="910"/>
        <v>0</v>
      </c>
      <c r="EB296" s="180">
        <f t="shared" si="709"/>
        <v>0</v>
      </c>
      <c r="EC296" s="180">
        <f t="shared" si="710"/>
        <v>0</v>
      </c>
      <c r="ED296" s="180">
        <f t="shared" si="711"/>
        <v>0</v>
      </c>
      <c r="EE296" s="554">
        <f t="shared" si="911"/>
        <v>0</v>
      </c>
      <c r="EF296" s="554">
        <f t="shared" si="912"/>
        <v>0</v>
      </c>
      <c r="EG296" s="554">
        <f t="shared" si="712"/>
        <v>0</v>
      </c>
      <c r="EH296" s="554">
        <f t="shared" si="713"/>
        <v>0</v>
      </c>
      <c r="EI296" s="561">
        <f t="shared" si="792"/>
        <v>0</v>
      </c>
      <c r="EJ296" s="554">
        <f t="shared" si="913"/>
        <v>0</v>
      </c>
      <c r="EK296" s="554">
        <f t="shared" si="914"/>
        <v>0</v>
      </c>
      <c r="EL296" s="554">
        <f t="shared" si="714"/>
        <v>0</v>
      </c>
      <c r="EM296" s="554">
        <f t="shared" si="715"/>
        <v>0</v>
      </c>
      <c r="EN296" s="561">
        <f t="shared" si="716"/>
        <v>0</v>
      </c>
      <c r="EO296" s="180">
        <f t="shared" si="915"/>
        <v>0</v>
      </c>
      <c r="EP296" s="180">
        <f t="shared" si="916"/>
        <v>0</v>
      </c>
      <c r="EQ296" s="180">
        <f t="shared" si="917"/>
        <v>0</v>
      </c>
      <c r="ER296" s="180">
        <f t="shared" si="918"/>
        <v>0</v>
      </c>
      <c r="ES296" s="180">
        <f t="shared" si="919"/>
        <v>0</v>
      </c>
      <c r="ET296" s="1482">
        <f t="shared" si="717"/>
        <v>0</v>
      </c>
      <c r="EU296" s="180">
        <f t="shared" si="718"/>
        <v>0</v>
      </c>
      <c r="EV296" s="180">
        <f t="shared" si="719"/>
        <v>0</v>
      </c>
      <c r="EW296" s="180">
        <f t="shared" si="720"/>
        <v>0</v>
      </c>
      <c r="EX296" s="555">
        <f t="shared" si="693"/>
        <v>0</v>
      </c>
      <c r="EY296" s="180">
        <f t="shared" si="721"/>
        <v>0</v>
      </c>
      <c r="EZ296" s="180">
        <f t="shared" si="722"/>
        <v>0</v>
      </c>
      <c r="FA296" s="180">
        <f t="shared" si="723"/>
        <v>0</v>
      </c>
      <c r="FB296" s="180">
        <f t="shared" si="724"/>
        <v>0</v>
      </c>
      <c r="FC296" s="180">
        <f t="shared" si="725"/>
        <v>0</v>
      </c>
      <c r="FD296" s="337">
        <f>IF(AX296,IF(VLOOKUP(C296,MAIN!$L$17:$M$28,2)="Yes",VLOOKUP(CALC!B296,MAIN!$H$17:$I$20,2),0),0)</f>
        <v>0</v>
      </c>
      <c r="FE296" s="535">
        <f t="shared" si="920"/>
        <v>0</v>
      </c>
      <c r="FF296" s="535">
        <f t="shared" si="921"/>
        <v>0</v>
      </c>
      <c r="FG296" s="535">
        <f t="shared" si="922"/>
        <v>0</v>
      </c>
      <c r="FH296" s="535">
        <f t="shared" si="923"/>
        <v>0</v>
      </c>
      <c r="FI296" s="632">
        <f>IF(AX296,VLOOKUP(CALC!B296,MAIN!$H$17:$K$20,4),0)</f>
        <v>0</v>
      </c>
      <c r="FJ296" s="535">
        <f t="shared" si="802"/>
        <v>0</v>
      </c>
      <c r="FK296" s="535">
        <f t="shared" si="924"/>
        <v>0</v>
      </c>
      <c r="FL296" s="530">
        <f t="shared" si="726"/>
        <v>0</v>
      </c>
      <c r="FM296" s="530">
        <f t="shared" si="727"/>
        <v>0</v>
      </c>
      <c r="FN296" s="530">
        <f t="shared" si="728"/>
        <v>0</v>
      </c>
      <c r="FO296" s="622">
        <f t="shared" si="729"/>
        <v>0</v>
      </c>
      <c r="FP296" s="530">
        <f t="shared" si="730"/>
        <v>0</v>
      </c>
      <c r="FQ296" s="530">
        <f t="shared" si="731"/>
        <v>0</v>
      </c>
      <c r="FR296" s="530">
        <f t="shared" si="732"/>
        <v>0</v>
      </c>
      <c r="FS296" s="625">
        <f t="shared" si="733"/>
        <v>0</v>
      </c>
      <c r="FT296" s="640">
        <f>IF(AND(Assumptions!$H$71="Yes",A296&gt;=Assumptions!$H$72,A296&lt;=Assumptions!$H$73),0,IF(AND($A296&gt;=Assumptions!$C$17,$A296&lt;=Assumptions!$C$18),MAX(AZ296*(1+VLOOKUP($C296,WeatherCapacityAdjustment,2))-FL296,0),0))</f>
        <v>0</v>
      </c>
      <c r="FU296" s="530">
        <f>IF(AND(Assumptions!$H$71="Yes",A296&gt;=Assumptions!$H$72,A296&lt;=Assumptions!$H$73),0,IF(AND($A296&gt;=Assumptions!$C$17,$A296&lt;=Assumptions!$C$18),MAX(BA296*(1+VLOOKUP($C296,WeatherCapacityAdjustment,2))-FM296,0),0))</f>
        <v>0</v>
      </c>
      <c r="FV296" s="530">
        <f>IF(AND(Assumptions!$H$71="Yes",A296&gt;=Assumptions!$H$72,A296&lt;=Assumptions!$H$73),0,IF(AND($A296&gt;=Assumptions!$C$17,$A296&lt;=Assumptions!$C$18),MAX(BB296*(1+VLOOKUP($C296,WeatherCapacityAdjustment,2))-FN296,0),0))</f>
        <v>0</v>
      </c>
      <c r="FW296" s="622">
        <f>IF(AND(Assumptions!$H$71="Yes",A296&gt;=Assumptions!$H$72,A296&lt;=Assumptions!$H$73),0,IF(AND($A296&gt;=Assumptions!$C$17,$A296&lt;=Assumptions!$C$18),MAX(BC296*(1+VLOOKUP($C296,WeatherCapacityAdjustment,3))-FO296,0),0))</f>
        <v>0</v>
      </c>
      <c r="FX296" s="621">
        <f>IF(AND(Assumptions!$H$71="Yes",A296&gt;=Assumptions!$H$72,A296&lt;=Assumptions!$H$73),0,IF(ET296&gt;0,MAX(BH296*(1+VLOOKUP($C296,WeatherCapacityAdjustment,2))-FP296,0),0))</f>
        <v>0</v>
      </c>
      <c r="FY296" s="530">
        <f>IF(AND(Assumptions!$H$71="Yes",A296&gt;=Assumptions!$H$72,A296&lt;=Assumptions!$H$73),0,IF(EU296&gt;0,MAX(BI296*(1+VLOOKUP($C296,WeatherCapacityAdjustment,3))-FQ296,0),0))</f>
        <v>0</v>
      </c>
      <c r="FZ296" s="530">
        <f>IF(AND(Assumptions!$H$71="Yes",A296&gt;=Assumptions!$H$72,A296&lt;=Assumptions!$H$73),0,IF(EV296&gt;0,MAX(BJ296*(1+VLOOKUP($C296,WeatherCapacityAdjustment,2))-FR296,0),0))</f>
        <v>0</v>
      </c>
      <c r="GA296" s="622">
        <f>IF(AND(Assumptions!$H$71="Yes",A296&gt;=Assumptions!$H$72,A296&lt;=Assumptions!$H$73),0,IF(EW296&gt;0,MAX(BK296*(1+VLOOKUP($C296,WeatherCapacityAdjustment,2))-FS296,0),0))</f>
        <v>0</v>
      </c>
      <c r="GB296" s="530">
        <f t="shared" si="803"/>
        <v>0</v>
      </c>
      <c r="GC296" s="545">
        <f t="shared" si="804"/>
        <v>0</v>
      </c>
      <c r="GD296" s="530">
        <f t="shared" si="734"/>
        <v>0</v>
      </c>
      <c r="GE296" s="1485">
        <f t="shared" si="735"/>
        <v>0</v>
      </c>
      <c r="GF296" s="1776">
        <f t="shared" si="736"/>
        <v>0</v>
      </c>
      <c r="GG296" s="545">
        <f t="shared" si="925"/>
        <v>0</v>
      </c>
      <c r="GH296" s="622">
        <f t="shared" si="702"/>
        <v>0</v>
      </c>
      <c r="GI296" s="621">
        <f t="shared" si="849"/>
        <v>0</v>
      </c>
      <c r="GJ296" s="638">
        <f t="shared" si="926"/>
        <v>0</v>
      </c>
      <c r="GK296" s="625">
        <f t="shared" si="855"/>
        <v>0</v>
      </c>
      <c r="GL296" s="640">
        <f t="shared" si="737"/>
        <v>0</v>
      </c>
      <c r="GM296" s="530">
        <f t="shared" si="738"/>
        <v>0</v>
      </c>
      <c r="GN296" s="530">
        <f t="shared" si="739"/>
        <v>0</v>
      </c>
      <c r="GO296" s="622">
        <f t="shared" si="740"/>
        <v>0</v>
      </c>
      <c r="GP296" s="530">
        <f t="shared" si="806"/>
        <v>0</v>
      </c>
      <c r="GQ296" s="545">
        <f t="shared" si="807"/>
        <v>0</v>
      </c>
      <c r="GR296" s="625">
        <f t="shared" si="741"/>
        <v>0</v>
      </c>
      <c r="GS296" s="530">
        <f>IF($A296&gt;=BegDate,Assumptions!$C$56*24*($A297-$A296)*(1-VLOOKUP($B296,MAIN!$AA$7:$AM$28,$C296+1))*(1-VLOOKUP($B296,MAIN!$AA$33:$AM$54,$C296+1)),0)*80/168</f>
        <v>257742.85714285713</v>
      </c>
      <c r="GT296" s="1715">
        <f t="shared" si="927"/>
        <v>94.395555303393337</v>
      </c>
      <c r="GU296" s="1715">
        <f>IF($A296&gt;=BegDate,VLOOKUP($A296,GasTable,13)+Assumptions!$C$58,0)</f>
        <v>4.5871112217967047</v>
      </c>
      <c r="GV296" s="1715">
        <f>GU296*Assumptions!$C$57/1000</f>
        <v>33.25655635802611</v>
      </c>
      <c r="GW296" s="530">
        <f>IF(Assumptions!$C$60="Hourly",MAX(0,GS296*(GT296-GV296)),GS296*(GT296-GV296))</f>
        <v>15758140.271033078</v>
      </c>
      <c r="GX296" s="530">
        <f>IF($A296&gt;=BegDate,Assumptions!$C$56*24*($A297-$A296)*(1-VLOOKUP($B296,MAIN!$AA$7:$AM$28,$C296+1))*(1-VLOOKUP($B296,MAIN!$AA$33:$AM$54,$C296+1)),0)*16/168</f>
        <v>51548.571428571428</v>
      </c>
      <c r="GY296" s="1715">
        <f t="shared" si="928"/>
        <v>94.395555303393337</v>
      </c>
      <c r="GZ296" s="1715">
        <f>IF($A296&gt;=BegDate,VLOOKUP($A296,GasTable,13)+Assumptions!$C$58,0)</f>
        <v>4.5871112217967047</v>
      </c>
      <c r="HA296" s="1715">
        <f>GZ296*Assumptions!$C$57/1000</f>
        <v>33.25655635802611</v>
      </c>
      <c r="HB296" s="530">
        <f>IF(Assumptions!$C$60="Hourly",MAX(0,GX296*(GY296-HA296)),GX296*(GY296-HA296))</f>
        <v>3151628.0542066158</v>
      </c>
      <c r="HC296" s="530">
        <f>IF($A296&gt;=BegDate,Assumptions!$C$56*24*($A297-$A296)*(1-VLOOKUP($B296,MAIN!$AA$7:$AM$28,$C296+1))*(1-VLOOKUP($B296,MAIN!$AA$33:$AM$54,$C296+1)),0)*16/168</f>
        <v>51548.571428571428</v>
      </c>
      <c r="HD296" s="1715">
        <f t="shared" si="929"/>
        <v>38.785571991978031</v>
      </c>
      <c r="HE296" s="1715">
        <f>IF($A296&gt;=BegDate,VLOOKUP($A296,GasTable,13)+Assumptions!$C$58,0)</f>
        <v>4.5871112217967047</v>
      </c>
      <c r="HF296" s="1715">
        <f>HE296*Assumptions!$C$57/1000</f>
        <v>33.25655635802611</v>
      </c>
      <c r="HG296" s="530">
        <f>IF(Assumptions!$C$60="Hourly",MAX(0,HC296*(HD296-HF296)),HC296*(HD296-HF296))</f>
        <v>285012.85733645875</v>
      </c>
      <c r="HH296" s="530">
        <f>IF($A296&gt;=BegDate,Assumptions!$C$56*24*($A297-$A296)*(1-VLOOKUP($B296,MAIN!$AA$7:$AM$28,$C296+1))*(1-VLOOKUP($B296,MAIN!$AA$33:$AM$54,$C296+1)),0)*56/168</f>
        <v>180420</v>
      </c>
      <c r="HI296" s="1715">
        <f t="shared" si="930"/>
        <v>38.785571991978031</v>
      </c>
      <c r="HJ296" s="1715">
        <f>IF($A296&gt;=BegDate,VLOOKUP($A296,GasTable,13)+Assumptions!$C$58,0)</f>
        <v>4.5871112217967047</v>
      </c>
      <c r="HK296" s="1715">
        <f>HJ296*Assumptions!$C$57/1000</f>
        <v>33.25655635802611</v>
      </c>
      <c r="HL296" s="530">
        <f>IF(Assumptions!$C$60="Hourly",MAX(0,HH296*(HI296-HK296)),HH296*(HI296-HK296))</f>
        <v>997545.00067760563</v>
      </c>
      <c r="HM296" s="530">
        <f>IF(AND(Assumptions!$H$71="Yes",A296&gt;=Assumptions!$H$72,A296&lt;=Assumptions!$H$73),Assumptions!$H$74*Assumptions!$C$9*1000,0)</f>
        <v>0</v>
      </c>
    </row>
    <row r="297" spans="1:245">
      <c r="A297" s="1859">
        <f t="shared" si="808"/>
        <v>45170</v>
      </c>
      <c r="B297" s="15">
        <f t="shared" si="809"/>
        <v>2023</v>
      </c>
      <c r="C297" s="1509">
        <f t="shared" si="931"/>
        <v>9</v>
      </c>
      <c r="D297" s="1864" t="str">
        <f t="shared" si="857"/>
        <v/>
      </c>
      <c r="E297" s="609" t="str">
        <f t="shared" si="858"/>
        <v/>
      </c>
      <c r="F297" s="1864" t="str">
        <f t="shared" si="859"/>
        <v/>
      </c>
      <c r="G297" s="1860">
        <v>0</v>
      </c>
      <c r="H297" s="152">
        <f t="shared" si="860"/>
        <v>1</v>
      </c>
      <c r="I297" s="154">
        <f>IF(Assumptions!$L$25=4,VLOOKUP($A297,'Henwood Reference'!$E$9:$R$320,10),(VLOOKUP($A297,PriceTable,2,0)+IF(BasisNumber&lt;&gt;1,VLOOKUP($A297,BasisTable,2,0),0)+I$1)/(1-I$2))</f>
        <v>79.273249049724242</v>
      </c>
      <c r="J297" s="154">
        <f>IF(Assumptions!$L$25=4,VLOOKUP($A297,'Henwood Reference'!$E$9:$R$320,10),(VLOOKUP($A297,PriceTable,3,0)+IF(BasisNumber&lt;&gt;1,VLOOKUP($A297,BasisTable,2,0),0)+J$1)/(1-J$2))</f>
        <v>79.273249049724242</v>
      </c>
      <c r="K297" s="154">
        <f>IF(Assumptions!$L$25=4,VLOOKUP($A297,'Henwood Reference'!$E$9:$R$320,10),(VLOOKUP($A297,PriceTable,4,0)+IF(BasisNumber&lt;&gt;1,VLOOKUP($A297,BasisTable,2,0),0)+K$1)/(1-K$2))</f>
        <v>79.273249049724242</v>
      </c>
      <c r="L297" s="474">
        <f>IF(Assumptions!$L$25=4,VLOOKUP($A297,'Henwood Reference'!$E$9:$R$320,10),(VLOOKUP($A297,PriceTableWeekend,2,0)+IF(BasisNumber&lt;&gt;1,VLOOKUP($A297,BasisTable,2,0),0)+L$1)/(1-L$2))</f>
        <v>79.273249049724242</v>
      </c>
      <c r="M297" s="154">
        <f>IF(Assumptions!$L$25=4,VLOOKUP($A297,'Henwood Reference'!$E$9:$R$320,10),(VLOOKUP($A297,PriceTableWeekend,3,0)+IF(BasisNumber&lt;&gt;1,VLOOKUP($A297,BasisTable,2,0),0)+M$1)/(1-M$2))</f>
        <v>79.273249049724242</v>
      </c>
      <c r="N297" s="156">
        <f>IF(Assumptions!$L$25=4,VLOOKUP($A297,'Henwood Reference'!$E$9:$R$320,10),(VLOOKUP($A297,PriceTableWeekend,4,0)+IF(BasisNumber&lt;&gt;1,VLOOKUP($A297,BasisTable,2,0),0)+N$1)/(1-N$2))</f>
        <v>79.273249049724242</v>
      </c>
      <c r="O297" s="154">
        <f>IF(Assumptions!$L$25=4,VLOOKUP($A297,'Henwood Reference'!$E$9:$R$320,11),(VLOOKUP($A297,PriceTableWeekend,6,0)+IF(BasisNumber&lt;&gt;1,VLOOKUP($A297,BasisTable,3,0),0)+O$1)/(1-O$2))</f>
        <v>37.33419390921626</v>
      </c>
      <c r="P297" s="154">
        <f>IF(Assumptions!$L$25=4,VLOOKUP($A297,'Henwood Reference'!$E$9:$R$320,11),(VLOOKUP($A297,PriceTableWeekend,7,0)+IF(BasisNumber&lt;&gt;1,VLOOKUP($A297,BasisTable,3,0),0)+P$1)/(1-P$2))</f>
        <v>37.33419390921626</v>
      </c>
      <c r="Q297" s="156">
        <f>IF(Assumptions!$L$25=4,VLOOKUP($A297,'Henwood Reference'!$E$9:$R$320,11),(VLOOKUP($A297,PriceTableWeekend,8,0)+IF(BasisNumber&lt;&gt;1,VLOOKUP($A297,BasisTable,3,0),0)+Q$1)/(1-Q$2))</f>
        <v>37.33419390921626</v>
      </c>
      <c r="R297" s="154">
        <f>IF(Assumptions!$L$25=4,VLOOKUP($A297,'Henwood Reference'!$E$9:$R$320,11),(VLOOKUP($A297,PriceTable,6,0)+IF(BasisNumber&lt;&gt;1,VLOOKUP($A297,BasisTable,3,0),0)+R$1)/(1-R$2))</f>
        <v>37.33419390921626</v>
      </c>
      <c r="S297" s="154">
        <f>IF(Assumptions!$L$25=4,VLOOKUP($A297,'Henwood Reference'!$E$9:$R$320,11),(VLOOKUP($A297,PriceTable,7,0)+IF(BasisNumber&lt;&gt;1,VLOOKUP($A297,BasisTable,3,0),0)+S$1)/(1-S$2))</f>
        <v>37.33419390921626</v>
      </c>
      <c r="T297" s="155">
        <f>IF(Assumptions!$L$25=4,VLOOKUP($A297,'Henwood Reference'!$E$9:$R$320,11),(VLOOKUP($A297,PriceTable,8,0)+IF(BasisNumber&lt;&gt;1,VLOOKUP($A297,BasisTable,3,0),0)+T$1)/(1-T$2))</f>
        <v>37.33419390921626</v>
      </c>
      <c r="U297" s="173">
        <f t="shared" si="811"/>
        <v>0.09</v>
      </c>
      <c r="V297" s="173">
        <f t="shared" si="812"/>
        <v>0.1</v>
      </c>
      <c r="W297" s="173">
        <f t="shared" si="813"/>
        <v>0.11</v>
      </c>
      <c r="X297" s="173">
        <f t="shared" si="814"/>
        <v>0.09</v>
      </c>
      <c r="Y297" s="173">
        <f t="shared" si="815"/>
        <v>0.1</v>
      </c>
      <c r="Z297" s="173">
        <f t="shared" si="816"/>
        <v>0.11</v>
      </c>
      <c r="AA297" s="173">
        <f t="shared" si="817"/>
        <v>0.09</v>
      </c>
      <c r="AB297" s="173">
        <f t="shared" si="818"/>
        <v>0.11</v>
      </c>
      <c r="AC297" s="173">
        <f t="shared" si="819"/>
        <v>0.13</v>
      </c>
      <c r="AD297" s="173">
        <f t="shared" si="820"/>
        <v>0.09</v>
      </c>
      <c r="AE297" s="173">
        <f t="shared" si="821"/>
        <v>0.11</v>
      </c>
      <c r="AF297" s="173">
        <f t="shared" si="822"/>
        <v>0.13</v>
      </c>
      <c r="AG297" s="173">
        <f t="shared" si="823"/>
        <v>-0.35</v>
      </c>
      <c r="AH297" s="173">
        <f t="shared" si="824"/>
        <v>3</v>
      </c>
      <c r="AI297" s="173">
        <f t="shared" si="825"/>
        <v>0.2</v>
      </c>
      <c r="AJ297" s="173">
        <f t="shared" si="826"/>
        <v>-0.35</v>
      </c>
      <c r="AK297" s="173">
        <f t="shared" si="827"/>
        <v>3</v>
      </c>
      <c r="AL297" s="173">
        <f t="shared" si="828"/>
        <v>0.2</v>
      </c>
      <c r="AM297" s="173">
        <f t="shared" si="829"/>
        <v>-0.01</v>
      </c>
      <c r="AN297" s="173">
        <f t="shared" si="830"/>
        <v>0.16</v>
      </c>
      <c r="AO297" s="173">
        <f t="shared" si="831"/>
        <v>0.01</v>
      </c>
      <c r="AP297" s="173">
        <f t="shared" si="832"/>
        <v>-0.01</v>
      </c>
      <c r="AQ297" s="173">
        <f t="shared" si="833"/>
        <v>0.16</v>
      </c>
      <c r="AR297" s="1861">
        <f t="shared" si="834"/>
        <v>0.01</v>
      </c>
      <c r="AS297" s="1862">
        <f t="shared" si="861"/>
        <v>0.5</v>
      </c>
      <c r="AT297" s="15">
        <f t="shared" si="862"/>
        <v>0</v>
      </c>
      <c r="AU297" s="159">
        <f t="shared" si="863"/>
        <v>0</v>
      </c>
      <c r="AV297" s="159">
        <f t="shared" si="864"/>
        <v>0</v>
      </c>
      <c r="AW297" s="159">
        <f t="shared" si="865"/>
        <v>0</v>
      </c>
      <c r="AX297" s="15">
        <f t="shared" si="866"/>
        <v>0</v>
      </c>
      <c r="AY297" s="1861">
        <f>IF(E297="",0,MIN((1-(1-VLOOKUP(B297,MAIN!$AA$7:$AM$28,C297+1))*(1-VLOOKUP(B297,MAIN!$AA$33:$AM$54,C297+1))),1))</f>
        <v>0</v>
      </c>
      <c r="AZ297" s="337">
        <f t="array" ref="AZ297:BO297">TakeFunction(TakeType,STake,OTake,CombineTakesFlag,MostExpFlag,VolumeEscType,VolumeEsc,DateToday,BegDate,EndDate,OrderedScalars,OrderedPrices,OrderedPricesSat,OrderedPricesSun,AvailDays,FirmWeek,FirmSat,FirmSun,FirmHol,OptWeek,OptSat,OptSun,OptHol)*(1-PlannedOutages)</f>
        <v>0</v>
      </c>
      <c r="BA297" s="337">
        <v>0</v>
      </c>
      <c r="BB297" s="337">
        <v>0</v>
      </c>
      <c r="BC297" s="337">
        <v>0</v>
      </c>
      <c r="BD297" s="154">
        <v>0</v>
      </c>
      <c r="BE297" s="154">
        <v>0</v>
      </c>
      <c r="BF297" s="154">
        <v>0</v>
      </c>
      <c r="BG297" s="154">
        <v>0</v>
      </c>
      <c r="BH297" s="337">
        <v>0</v>
      </c>
      <c r="BI297" s="337">
        <v>0</v>
      </c>
      <c r="BJ297" s="337">
        <v>0</v>
      </c>
      <c r="BK297" s="337">
        <v>0</v>
      </c>
      <c r="BL297" s="154">
        <v>0</v>
      </c>
      <c r="BM297" s="154">
        <v>0</v>
      </c>
      <c r="BN297" s="154">
        <v>0</v>
      </c>
      <c r="BO297" s="154">
        <v>0</v>
      </c>
      <c r="BP297" s="259">
        <f t="shared" si="867"/>
        <v>0</v>
      </c>
      <c r="BQ297" s="259">
        <f t="shared" si="868"/>
        <v>0</v>
      </c>
      <c r="BR297" s="259">
        <f t="shared" si="869"/>
        <v>0</v>
      </c>
      <c r="BS297" s="259">
        <f t="shared" si="870"/>
        <v>0</v>
      </c>
      <c r="BT297" s="216">
        <f t="shared" si="871"/>
        <v>23.381245722108144</v>
      </c>
      <c r="BU297" s="216">
        <f t="shared" si="872"/>
        <v>0</v>
      </c>
      <c r="BV297" s="216">
        <f t="shared" si="873"/>
        <v>0</v>
      </c>
      <c r="BW297" s="216">
        <f t="shared" si="874"/>
        <v>0</v>
      </c>
      <c r="BX297" s="216">
        <f t="shared" si="875"/>
        <v>0</v>
      </c>
      <c r="BY297" s="216">
        <f t="shared" si="876"/>
        <v>0</v>
      </c>
      <c r="BZ297" s="216">
        <f t="shared" si="877"/>
        <v>0</v>
      </c>
      <c r="CA297" s="216">
        <f t="shared" si="878"/>
        <v>0</v>
      </c>
      <c r="CB297" s="216">
        <f t="shared" si="879"/>
        <v>0</v>
      </c>
      <c r="CC297" s="216">
        <f t="shared" si="880"/>
        <v>0</v>
      </c>
      <c r="CD297" s="216">
        <f t="shared" si="881"/>
        <v>0</v>
      </c>
      <c r="CE297" s="216">
        <f t="shared" si="882"/>
        <v>0</v>
      </c>
      <c r="CF297" s="216">
        <f t="shared" si="883"/>
        <v>0</v>
      </c>
      <c r="CG297" s="1863" t="str">
        <f t="shared" si="884"/>
        <v/>
      </c>
      <c r="CH297" s="219" t="str">
        <f t="shared" si="885"/>
        <v/>
      </c>
      <c r="CI297" s="219" t="str">
        <f t="shared" si="886"/>
        <v/>
      </c>
      <c r="CJ297" s="219" t="str">
        <f t="shared" si="887"/>
        <v/>
      </c>
      <c r="CK297" s="219" t="str">
        <f t="shared" si="888"/>
        <v/>
      </c>
      <c r="CL297" s="219" t="str">
        <f t="shared" si="889"/>
        <v/>
      </c>
      <c r="CM297" s="219" t="str">
        <f t="shared" si="890"/>
        <v/>
      </c>
      <c r="CN297" s="219" t="str">
        <f t="shared" si="891"/>
        <v/>
      </c>
      <c r="CO297" s="216">
        <f t="shared" si="892"/>
        <v>0</v>
      </c>
      <c r="CP297" s="216">
        <f t="shared" si="893"/>
        <v>0</v>
      </c>
      <c r="CQ297" s="216">
        <f t="shared" si="703"/>
        <v>0</v>
      </c>
      <c r="CR297" s="216">
        <f t="shared" si="704"/>
        <v>0</v>
      </c>
      <c r="CS297" s="1626">
        <f t="shared" si="705"/>
        <v>0</v>
      </c>
      <c r="CT297" s="216">
        <f t="shared" si="894"/>
        <v>0</v>
      </c>
      <c r="CU297" s="479" t="str">
        <f t="shared" si="895"/>
        <v/>
      </c>
      <c r="CV297" s="154" t="str">
        <f t="shared" si="896"/>
        <v/>
      </c>
      <c r="CW297" s="216">
        <f>IF(OR($BQ297,$BS297),SpreadOptPowerMargin,0)*((1+Assumptions!$C$26)^($B297-YEAR(Assumptions!$C$17)))</f>
        <v>0</v>
      </c>
      <c r="CX297" s="216">
        <f>IF(OR($BQ297,$BS297),SpreadOptPowerMargin,0)*((1+Assumptions!$C$26)^($B297-YEAR(Assumptions!$C$17)))</f>
        <v>0</v>
      </c>
      <c r="CY297" s="216">
        <f>IF(OR($BQ297,$BS297),SpreadOptPowerMargin,0)*((1+Assumptions!$C$26)^($B297-YEAR(Assumptions!$C$17)))</f>
        <v>0</v>
      </c>
      <c r="CZ297" s="216">
        <f>IF(OR($BQ297,$BS297),SpreadOptPowerMargin,0)*((1+Assumptions!$C$26)^($B297-YEAR(Assumptions!$C$17)))</f>
        <v>0</v>
      </c>
      <c r="DA297" s="216">
        <f t="shared" si="897"/>
        <v>0</v>
      </c>
      <c r="DB297" s="479" t="str">
        <f t="shared" si="898"/>
        <v/>
      </c>
      <c r="DC297" s="479" t="str">
        <f t="shared" si="899"/>
        <v/>
      </c>
      <c r="DD297" s="479" t="str">
        <f t="shared" si="900"/>
        <v/>
      </c>
      <c r="DE297" s="479" t="str">
        <f t="shared" si="901"/>
        <v/>
      </c>
      <c r="DF297" s="479" t="str">
        <f t="shared" si="902"/>
        <v/>
      </c>
      <c r="DG297" s="479" t="str">
        <f t="shared" si="903"/>
        <v/>
      </c>
      <c r="DH297" s="216">
        <f t="shared" si="904"/>
        <v>0</v>
      </c>
      <c r="DI297" s="216">
        <f t="shared" si="905"/>
        <v>0</v>
      </c>
      <c r="DJ297" s="216">
        <f t="shared" si="706"/>
        <v>0</v>
      </c>
      <c r="DK297" s="216">
        <f t="shared" si="707"/>
        <v>0</v>
      </c>
      <c r="DL297" s="216">
        <f t="shared" si="708"/>
        <v>0</v>
      </c>
      <c r="DM297" s="216"/>
      <c r="DN297" s="216"/>
      <c r="DO297" s="216"/>
      <c r="DP297" s="216"/>
      <c r="DQ297" s="216"/>
      <c r="DR297" s="216"/>
      <c r="DS297" s="216"/>
      <c r="DT297" s="216"/>
      <c r="DU297" s="216"/>
      <c r="DV297" s="216"/>
      <c r="DW297" s="216">
        <f t="shared" si="906"/>
        <v>0</v>
      </c>
      <c r="DX297" s="216">
        <f t="shared" si="907"/>
        <v>0</v>
      </c>
      <c r="DY297" s="216">
        <f t="shared" si="908"/>
        <v>0</v>
      </c>
      <c r="DZ297" s="180">
        <f t="shared" si="909"/>
        <v>0</v>
      </c>
      <c r="EA297" s="180">
        <f t="shared" si="910"/>
        <v>0</v>
      </c>
      <c r="EB297" s="180">
        <f t="shared" si="709"/>
        <v>0</v>
      </c>
      <c r="EC297" s="180">
        <f t="shared" si="710"/>
        <v>0</v>
      </c>
      <c r="ED297" s="180">
        <f t="shared" si="711"/>
        <v>0</v>
      </c>
      <c r="EE297" s="554">
        <f t="shared" si="911"/>
        <v>0</v>
      </c>
      <c r="EF297" s="554">
        <f t="shared" si="912"/>
        <v>0</v>
      </c>
      <c r="EG297" s="554">
        <f t="shared" si="712"/>
        <v>0</v>
      </c>
      <c r="EH297" s="554">
        <f t="shared" si="713"/>
        <v>0</v>
      </c>
      <c r="EI297" s="561">
        <f t="shared" si="792"/>
        <v>0</v>
      </c>
      <c r="EJ297" s="554">
        <f t="shared" si="913"/>
        <v>0</v>
      </c>
      <c r="EK297" s="554">
        <f t="shared" si="914"/>
        <v>0</v>
      </c>
      <c r="EL297" s="554">
        <f t="shared" si="714"/>
        <v>0</v>
      </c>
      <c r="EM297" s="554">
        <f t="shared" si="715"/>
        <v>0</v>
      </c>
      <c r="EN297" s="561">
        <f t="shared" si="716"/>
        <v>0</v>
      </c>
      <c r="EO297" s="180">
        <f t="shared" si="915"/>
        <v>0</v>
      </c>
      <c r="EP297" s="180">
        <f t="shared" si="916"/>
        <v>0</v>
      </c>
      <c r="EQ297" s="180">
        <f t="shared" si="917"/>
        <v>0</v>
      </c>
      <c r="ER297" s="180">
        <f t="shared" si="918"/>
        <v>0</v>
      </c>
      <c r="ES297" s="180">
        <f t="shared" si="919"/>
        <v>0</v>
      </c>
      <c r="ET297" s="1482">
        <f t="shared" si="717"/>
        <v>0</v>
      </c>
      <c r="EU297" s="180">
        <f t="shared" si="718"/>
        <v>0</v>
      </c>
      <c r="EV297" s="180">
        <f t="shared" si="719"/>
        <v>0</v>
      </c>
      <c r="EW297" s="180">
        <f t="shared" si="720"/>
        <v>0</v>
      </c>
      <c r="EX297" s="555">
        <f t="shared" si="693"/>
        <v>0</v>
      </c>
      <c r="EY297" s="180">
        <f t="shared" si="721"/>
        <v>0</v>
      </c>
      <c r="EZ297" s="180">
        <f t="shared" si="722"/>
        <v>0</v>
      </c>
      <c r="FA297" s="180">
        <f t="shared" si="723"/>
        <v>0</v>
      </c>
      <c r="FB297" s="180">
        <f t="shared" si="724"/>
        <v>0</v>
      </c>
      <c r="FC297" s="180">
        <f t="shared" si="725"/>
        <v>0</v>
      </c>
      <c r="FD297" s="337">
        <f>IF(AX297,IF(VLOOKUP(C297,MAIN!$L$17:$M$28,2)="Yes",VLOOKUP(CALC!B297,MAIN!$H$17:$I$20,2),0),0)</f>
        <v>0</v>
      </c>
      <c r="FE297" s="535">
        <f t="shared" si="920"/>
        <v>0</v>
      </c>
      <c r="FF297" s="535">
        <f t="shared" si="921"/>
        <v>0</v>
      </c>
      <c r="FG297" s="535">
        <f t="shared" si="922"/>
        <v>0</v>
      </c>
      <c r="FH297" s="535">
        <f t="shared" si="923"/>
        <v>0</v>
      </c>
      <c r="FI297" s="632">
        <f>IF(AX297,VLOOKUP(CALC!B297,MAIN!$H$17:$K$20,4),0)</f>
        <v>0</v>
      </c>
      <c r="FJ297" s="535">
        <f t="shared" si="802"/>
        <v>0</v>
      </c>
      <c r="FK297" s="535">
        <f t="shared" si="924"/>
        <v>0</v>
      </c>
      <c r="FL297" s="530">
        <f t="shared" si="726"/>
        <v>0</v>
      </c>
      <c r="FM297" s="530">
        <f t="shared" si="727"/>
        <v>0</v>
      </c>
      <c r="FN297" s="530">
        <f t="shared" si="728"/>
        <v>0</v>
      </c>
      <c r="FO297" s="622">
        <f t="shared" si="729"/>
        <v>0</v>
      </c>
      <c r="FP297" s="530">
        <f t="shared" si="730"/>
        <v>0</v>
      </c>
      <c r="FQ297" s="530">
        <f t="shared" si="731"/>
        <v>0</v>
      </c>
      <c r="FR297" s="530">
        <f t="shared" si="732"/>
        <v>0</v>
      </c>
      <c r="FS297" s="625">
        <f t="shared" si="733"/>
        <v>0</v>
      </c>
      <c r="FT297" s="640">
        <f>IF(AND(Assumptions!$H$71="Yes",A297&gt;=Assumptions!$H$72,A297&lt;=Assumptions!$H$73),0,IF(AND($A297&gt;=Assumptions!$C$17,$A297&lt;=Assumptions!$C$18),MAX(AZ297*(1+VLOOKUP($C297,WeatherCapacityAdjustment,2))-FL297,0),0))</f>
        <v>0</v>
      </c>
      <c r="FU297" s="530">
        <f>IF(AND(Assumptions!$H$71="Yes",A297&gt;=Assumptions!$H$72,A297&lt;=Assumptions!$H$73),0,IF(AND($A297&gt;=Assumptions!$C$17,$A297&lt;=Assumptions!$C$18),MAX(BA297*(1+VLOOKUP($C297,WeatherCapacityAdjustment,2))-FM297,0),0))</f>
        <v>0</v>
      </c>
      <c r="FV297" s="530">
        <f>IF(AND(Assumptions!$H$71="Yes",A297&gt;=Assumptions!$H$72,A297&lt;=Assumptions!$H$73),0,IF(AND($A297&gt;=Assumptions!$C$17,$A297&lt;=Assumptions!$C$18),MAX(BB297*(1+VLOOKUP($C297,WeatherCapacityAdjustment,2))-FN297,0),0))</f>
        <v>0</v>
      </c>
      <c r="FW297" s="622">
        <f>IF(AND(Assumptions!$H$71="Yes",A297&gt;=Assumptions!$H$72,A297&lt;=Assumptions!$H$73),0,IF(AND($A297&gt;=Assumptions!$C$17,$A297&lt;=Assumptions!$C$18),MAX(BC297*(1+VLOOKUP($C297,WeatherCapacityAdjustment,3))-FO297,0),0))</f>
        <v>0</v>
      </c>
      <c r="FX297" s="621">
        <f>IF(AND(Assumptions!$H$71="Yes",A297&gt;=Assumptions!$H$72,A297&lt;=Assumptions!$H$73),0,IF(ET297&gt;0,MAX(BH297*(1+VLOOKUP($C297,WeatherCapacityAdjustment,2))-FP297,0),0))</f>
        <v>0</v>
      </c>
      <c r="FY297" s="530">
        <f>IF(AND(Assumptions!$H$71="Yes",A297&gt;=Assumptions!$H$72,A297&lt;=Assumptions!$H$73),0,IF(EU297&gt;0,MAX(BI297*(1+VLOOKUP($C297,WeatherCapacityAdjustment,3))-FQ297,0),0))</f>
        <v>0</v>
      </c>
      <c r="FZ297" s="530">
        <f>IF(AND(Assumptions!$H$71="Yes",A297&gt;=Assumptions!$H$72,A297&lt;=Assumptions!$H$73),0,IF(EV297&gt;0,MAX(BJ297*(1+VLOOKUP($C297,WeatherCapacityAdjustment,2))-FR297,0),0))</f>
        <v>0</v>
      </c>
      <c r="GA297" s="622">
        <f>IF(AND(Assumptions!$H$71="Yes",A297&gt;=Assumptions!$H$72,A297&lt;=Assumptions!$H$73),0,IF(EW297&gt;0,MAX(BK297*(1+VLOOKUP($C297,WeatherCapacityAdjustment,2))-FS297,0),0))</f>
        <v>0</v>
      </c>
      <c r="GB297" s="530">
        <f t="shared" si="803"/>
        <v>0</v>
      </c>
      <c r="GC297" s="545">
        <f t="shared" si="804"/>
        <v>0</v>
      </c>
      <c r="GD297" s="530">
        <f t="shared" si="734"/>
        <v>0</v>
      </c>
      <c r="GE297" s="1485">
        <f t="shared" si="735"/>
        <v>0</v>
      </c>
      <c r="GF297" s="1776">
        <f t="shared" si="736"/>
        <v>0</v>
      </c>
      <c r="GG297" s="545">
        <f t="shared" si="925"/>
        <v>0</v>
      </c>
      <c r="GH297" s="622">
        <f t="shared" si="702"/>
        <v>0</v>
      </c>
      <c r="GI297" s="621">
        <f t="shared" si="849"/>
        <v>0</v>
      </c>
      <c r="GJ297" s="638">
        <f t="shared" si="926"/>
        <v>0</v>
      </c>
      <c r="GK297" s="625">
        <f t="shared" si="855"/>
        <v>0</v>
      </c>
      <c r="GL297" s="640">
        <f t="shared" si="737"/>
        <v>0</v>
      </c>
      <c r="GM297" s="530">
        <f t="shared" si="738"/>
        <v>0</v>
      </c>
      <c r="GN297" s="530">
        <f t="shared" si="739"/>
        <v>0</v>
      </c>
      <c r="GO297" s="622">
        <f t="shared" si="740"/>
        <v>0</v>
      </c>
      <c r="GP297" s="530">
        <f t="shared" si="806"/>
        <v>0</v>
      </c>
      <c r="GQ297" s="545">
        <f t="shared" si="807"/>
        <v>0</v>
      </c>
      <c r="GR297" s="625">
        <f t="shared" si="741"/>
        <v>0</v>
      </c>
      <c r="GS297" s="530">
        <f>IF($A297&gt;=BegDate,Assumptions!$C$56*24*($A298-$A297)*(1-VLOOKUP($B297,MAIN!$AA$7:$AM$28,$C297+1))*(1-VLOOKUP($B297,MAIN!$AA$33:$AM$54,$C297+1)),0)*80/168</f>
        <v>249428.57142857142</v>
      </c>
      <c r="GT297" s="1715">
        <f t="shared" si="927"/>
        <v>79.273249049724242</v>
      </c>
      <c r="GU297" s="1715">
        <f>IF($A297&gt;=BegDate,VLOOKUP($A297,GasTable,13)+Assumptions!$C$58,0)</f>
        <v>4.5871112217967047</v>
      </c>
      <c r="GV297" s="1715">
        <f>GU297*Assumptions!$C$57/1000</f>
        <v>33.25655635802611</v>
      </c>
      <c r="GW297" s="530">
        <f>IF(Assumptions!$C$60="Hourly",MAX(0,GS297*(GT297-GV297)),GS297*(GT297-GV297))</f>
        <v>11477877.919957848</v>
      </c>
      <c r="GX297" s="530">
        <f>IF($A297&gt;=BegDate,Assumptions!$C$56*24*($A298-$A297)*(1-VLOOKUP($B297,MAIN!$AA$7:$AM$28,$C297+1))*(1-VLOOKUP($B297,MAIN!$AA$33:$AM$54,$C297+1)),0)*16/168</f>
        <v>49885.714285714283</v>
      </c>
      <c r="GY297" s="1715">
        <f t="shared" si="928"/>
        <v>79.273249049724242</v>
      </c>
      <c r="GZ297" s="1715">
        <f>IF($A297&gt;=BegDate,VLOOKUP($A297,GasTable,13)+Assumptions!$C$58,0)</f>
        <v>4.5871112217967047</v>
      </c>
      <c r="HA297" s="1715">
        <f>GZ297*Assumptions!$C$57/1000</f>
        <v>33.25655635802611</v>
      </c>
      <c r="HB297" s="530">
        <f>IF(Assumptions!$C$60="Hourly",MAX(0,GX297*(GY297-HA297)),GX297*(GY297-HA297))</f>
        <v>2295575.5839915695</v>
      </c>
      <c r="HC297" s="530">
        <f>IF($A297&gt;=BegDate,Assumptions!$C$56*24*($A298-$A297)*(1-VLOOKUP($B297,MAIN!$AA$7:$AM$28,$C297+1))*(1-VLOOKUP($B297,MAIN!$AA$33:$AM$54,$C297+1)),0)*16/168</f>
        <v>49885.714285714283</v>
      </c>
      <c r="HD297" s="1715">
        <f t="shared" si="929"/>
        <v>37.33419390921626</v>
      </c>
      <c r="HE297" s="1715">
        <f>IF($A297&gt;=BegDate,VLOOKUP($A297,GasTable,13)+Assumptions!$C$58,0)</f>
        <v>4.5871112217967047</v>
      </c>
      <c r="HF297" s="1715">
        <f>HE297*Assumptions!$C$57/1000</f>
        <v>33.25655635802611</v>
      </c>
      <c r="HG297" s="530">
        <f>IF(Assumptions!$C$60="Hourly",MAX(0,HC297*(HD297-HF297)),HC297*(HD297-HF297))</f>
        <v>203415.8618393715</v>
      </c>
      <c r="HH297" s="530">
        <f>IF($A297&gt;=BegDate,Assumptions!$C$56*24*($A298-$A297)*(1-VLOOKUP($B297,MAIN!$AA$7:$AM$28,$C297+1))*(1-VLOOKUP($B297,MAIN!$AA$33:$AM$54,$C297+1)),0)*56/168</f>
        <v>174600</v>
      </c>
      <c r="HI297" s="1715">
        <f t="shared" si="930"/>
        <v>37.33419390921626</v>
      </c>
      <c r="HJ297" s="1715">
        <f>IF($A297&gt;=BegDate,VLOOKUP($A297,GasTable,13)+Assumptions!$C$58,0)</f>
        <v>4.5871112217967047</v>
      </c>
      <c r="HK297" s="1715">
        <f>HJ297*Assumptions!$C$57/1000</f>
        <v>33.25655635802611</v>
      </c>
      <c r="HL297" s="530">
        <f>IF(Assumptions!$C$60="Hourly",MAX(0,HH297*(HI297-HK297)),HH297*(HI297-HK297))</f>
        <v>711955.51643780025</v>
      </c>
      <c r="HM297" s="530">
        <f>IF(AND(Assumptions!$H$71="Yes",A297&gt;=Assumptions!$H$72,A297&lt;=Assumptions!$H$73),Assumptions!$H$74*Assumptions!$C$9*1000,0)</f>
        <v>0</v>
      </c>
    </row>
    <row r="298" spans="1:245">
      <c r="A298" s="177">
        <f t="shared" si="808"/>
        <v>45200</v>
      </c>
      <c r="B298" s="15">
        <f t="shared" si="809"/>
        <v>2023</v>
      </c>
      <c r="C298" s="1509">
        <f t="shared" si="931"/>
        <v>10</v>
      </c>
      <c r="D298" s="1864" t="str">
        <f t="shared" si="857"/>
        <v/>
      </c>
      <c r="E298" s="609" t="str">
        <f t="shared" si="858"/>
        <v/>
      </c>
      <c r="F298" s="1864" t="str">
        <f t="shared" si="859"/>
        <v/>
      </c>
      <c r="G298" s="1860">
        <v>0</v>
      </c>
      <c r="H298" s="152">
        <f t="shared" si="860"/>
        <v>1</v>
      </c>
      <c r="I298" s="154">
        <f>IF(Assumptions!$L$25=4,VLOOKUP($A298,'Henwood Reference'!$E$9:$R$320,10),(VLOOKUP($A298,PriceTable,2,0)+IF(BasisNumber&lt;&gt;1,VLOOKUP($A298,BasisTable,2,0),0)+I$1)/(1-I$2))</f>
        <v>63.954776527589758</v>
      </c>
      <c r="J298" s="154">
        <f>IF(Assumptions!$L$25=4,VLOOKUP($A298,'Henwood Reference'!$E$9:$R$320,10),(VLOOKUP($A298,PriceTable,3,0)+IF(BasisNumber&lt;&gt;1,VLOOKUP($A298,BasisTable,2,0),0)+J$1)/(1-J$2))</f>
        <v>63.954776527589758</v>
      </c>
      <c r="K298" s="154">
        <f>IF(Assumptions!$L$25=4,VLOOKUP($A298,'Henwood Reference'!$E$9:$R$320,10),(VLOOKUP($A298,PriceTable,4,0)+IF(BasisNumber&lt;&gt;1,VLOOKUP($A298,BasisTable,2,0),0)+K$1)/(1-K$2))</f>
        <v>63.954776527589758</v>
      </c>
      <c r="L298" s="474">
        <f>IF(Assumptions!$L$25=4,VLOOKUP($A298,'Henwood Reference'!$E$9:$R$320,10),(VLOOKUP($A298,PriceTableWeekend,2,0)+IF(BasisNumber&lt;&gt;1,VLOOKUP($A298,BasisTable,2,0),0)+L$1)/(1-L$2))</f>
        <v>63.954776527589758</v>
      </c>
      <c r="M298" s="154">
        <f>IF(Assumptions!$L$25=4,VLOOKUP($A298,'Henwood Reference'!$E$9:$R$320,10),(VLOOKUP($A298,PriceTableWeekend,3,0)+IF(BasisNumber&lt;&gt;1,VLOOKUP($A298,BasisTable,2,0),0)+M$1)/(1-M$2))</f>
        <v>63.954776527589758</v>
      </c>
      <c r="N298" s="156">
        <f>IF(Assumptions!$L$25=4,VLOOKUP($A298,'Henwood Reference'!$E$9:$R$320,10),(VLOOKUP($A298,PriceTableWeekend,4,0)+IF(BasisNumber&lt;&gt;1,VLOOKUP($A298,BasisTable,2,0),0)+N$1)/(1-N$2))</f>
        <v>63.954776527589758</v>
      </c>
      <c r="O298" s="154">
        <f>IF(Assumptions!$L$25=4,VLOOKUP($A298,'Henwood Reference'!$E$9:$R$320,11),(VLOOKUP($A298,PriceTableWeekend,6,0)+IF(BasisNumber&lt;&gt;1,VLOOKUP($A298,BasisTable,3,0),0)+O$1)/(1-O$2))</f>
        <v>35.608750734338031</v>
      </c>
      <c r="P298" s="154">
        <f>IF(Assumptions!$L$25=4,VLOOKUP($A298,'Henwood Reference'!$E$9:$R$320,11),(VLOOKUP($A298,PriceTableWeekend,7,0)+IF(BasisNumber&lt;&gt;1,VLOOKUP($A298,BasisTable,3,0),0)+P$1)/(1-P$2))</f>
        <v>35.608750734338031</v>
      </c>
      <c r="Q298" s="156">
        <f>IF(Assumptions!$L$25=4,VLOOKUP($A298,'Henwood Reference'!$E$9:$R$320,11),(VLOOKUP($A298,PriceTableWeekend,8,0)+IF(BasisNumber&lt;&gt;1,VLOOKUP($A298,BasisTable,3,0),0)+Q$1)/(1-Q$2))</f>
        <v>35.608750734338031</v>
      </c>
      <c r="R298" s="154">
        <f>IF(Assumptions!$L$25=4,VLOOKUP($A298,'Henwood Reference'!$E$9:$R$320,11),(VLOOKUP($A298,PriceTable,6,0)+IF(BasisNumber&lt;&gt;1,VLOOKUP($A298,BasisTable,3,0),0)+R$1)/(1-R$2))</f>
        <v>35.608750734338031</v>
      </c>
      <c r="S298" s="154">
        <f>IF(Assumptions!$L$25=4,VLOOKUP($A298,'Henwood Reference'!$E$9:$R$320,11),(VLOOKUP($A298,PriceTable,7,0)+IF(BasisNumber&lt;&gt;1,VLOOKUP($A298,BasisTable,3,0),0)+S$1)/(1-S$2))</f>
        <v>35.608750734338031</v>
      </c>
      <c r="T298" s="155">
        <f>IF(Assumptions!$L$25=4,VLOOKUP($A298,'Henwood Reference'!$E$9:$R$320,11),(VLOOKUP($A298,PriceTable,8,0)+IF(BasisNumber&lt;&gt;1,VLOOKUP($A298,BasisTable,3,0),0)+T$1)/(1-T$2))</f>
        <v>35.608750734338031</v>
      </c>
      <c r="U298" s="173">
        <f t="shared" si="811"/>
        <v>0.09</v>
      </c>
      <c r="V298" s="173">
        <f t="shared" si="812"/>
        <v>0.1</v>
      </c>
      <c r="W298" s="173">
        <f t="shared" si="813"/>
        <v>0.11</v>
      </c>
      <c r="X298" s="173">
        <f t="shared" si="814"/>
        <v>0.09</v>
      </c>
      <c r="Y298" s="173">
        <f t="shared" si="815"/>
        <v>0.1</v>
      </c>
      <c r="Z298" s="173">
        <f t="shared" si="816"/>
        <v>0.11</v>
      </c>
      <c r="AA298" s="173">
        <f t="shared" si="817"/>
        <v>0.09</v>
      </c>
      <c r="AB298" s="173">
        <f t="shared" si="818"/>
        <v>0.11</v>
      </c>
      <c r="AC298" s="173">
        <f t="shared" si="819"/>
        <v>0.13</v>
      </c>
      <c r="AD298" s="173">
        <f t="shared" si="820"/>
        <v>0.09</v>
      </c>
      <c r="AE298" s="173">
        <f t="shared" si="821"/>
        <v>0.11</v>
      </c>
      <c r="AF298" s="173">
        <f t="shared" si="822"/>
        <v>0.13</v>
      </c>
      <c r="AG298" s="173">
        <f t="shared" si="823"/>
        <v>-0.1</v>
      </c>
      <c r="AH298" s="173">
        <f t="shared" si="824"/>
        <v>3</v>
      </c>
      <c r="AI298" s="173">
        <f t="shared" si="825"/>
        <v>0.1</v>
      </c>
      <c r="AJ298" s="173">
        <f t="shared" si="826"/>
        <v>-0.1</v>
      </c>
      <c r="AK298" s="173">
        <f t="shared" si="827"/>
        <v>3</v>
      </c>
      <c r="AL298" s="173">
        <f t="shared" si="828"/>
        <v>0.1</v>
      </c>
      <c r="AM298" s="173">
        <f t="shared" si="829"/>
        <v>-0.01</v>
      </c>
      <c r="AN298" s="173">
        <f t="shared" si="830"/>
        <v>0.16</v>
      </c>
      <c r="AO298" s="173">
        <f t="shared" si="831"/>
        <v>0.01</v>
      </c>
      <c r="AP298" s="173">
        <f t="shared" si="832"/>
        <v>-0.01</v>
      </c>
      <c r="AQ298" s="173">
        <f t="shared" si="833"/>
        <v>0.16</v>
      </c>
      <c r="AR298" s="1861">
        <f t="shared" si="834"/>
        <v>0.01</v>
      </c>
      <c r="AS298" s="1862">
        <f t="shared" si="861"/>
        <v>0.5</v>
      </c>
      <c r="AT298" s="15">
        <f t="shared" si="862"/>
        <v>0</v>
      </c>
      <c r="AU298" s="159">
        <f t="shared" si="863"/>
        <v>0</v>
      </c>
      <c r="AV298" s="159">
        <f t="shared" si="864"/>
        <v>0</v>
      </c>
      <c r="AW298" s="159">
        <f t="shared" si="865"/>
        <v>0</v>
      </c>
      <c r="AX298" s="15">
        <f t="shared" si="866"/>
        <v>0</v>
      </c>
      <c r="AY298" s="1861">
        <f>IF(E298="",0,MIN((1-(1-VLOOKUP(B298,MAIN!$AA$7:$AM$28,C298+1))*(1-VLOOKUP(B298,MAIN!$AA$33:$AM$54,C298+1))),1))</f>
        <v>0</v>
      </c>
      <c r="AZ298" s="337">
        <f t="array" ref="AZ298:BO298">TakeFunction(TakeType,STake,OTake,CombineTakesFlag,MostExpFlag,VolumeEscType,VolumeEsc,DateToday,BegDate,EndDate,OrderedScalars,OrderedPrices,OrderedPricesSat,OrderedPricesSun,AvailDays,FirmWeek,FirmSat,FirmSun,FirmHol,OptWeek,OptSat,OptSun,OptHol)*(1-PlannedOutages)</f>
        <v>0</v>
      </c>
      <c r="BA298" s="337">
        <v>0</v>
      </c>
      <c r="BB298" s="337">
        <v>0</v>
      </c>
      <c r="BC298" s="337">
        <v>0</v>
      </c>
      <c r="BD298" s="154">
        <v>0</v>
      </c>
      <c r="BE298" s="154">
        <v>0</v>
      </c>
      <c r="BF298" s="154">
        <v>0</v>
      </c>
      <c r="BG298" s="154">
        <v>0</v>
      </c>
      <c r="BH298" s="337">
        <v>0</v>
      </c>
      <c r="BI298" s="337">
        <v>0</v>
      </c>
      <c r="BJ298" s="337">
        <v>0</v>
      </c>
      <c r="BK298" s="337">
        <v>0</v>
      </c>
      <c r="BL298" s="154">
        <v>0</v>
      </c>
      <c r="BM298" s="154">
        <v>0</v>
      </c>
      <c r="BN298" s="154">
        <v>0</v>
      </c>
      <c r="BO298" s="154">
        <v>0</v>
      </c>
      <c r="BP298" s="259">
        <f t="shared" si="867"/>
        <v>0</v>
      </c>
      <c r="BQ298" s="259">
        <f t="shared" si="868"/>
        <v>0</v>
      </c>
      <c r="BR298" s="259">
        <f t="shared" si="869"/>
        <v>0</v>
      </c>
      <c r="BS298" s="259">
        <f t="shared" si="870"/>
        <v>0</v>
      </c>
      <c r="BT298" s="216">
        <f t="shared" si="871"/>
        <v>23.463381245722108</v>
      </c>
      <c r="BU298" s="216">
        <f t="shared" si="872"/>
        <v>0</v>
      </c>
      <c r="BV298" s="216">
        <f t="shared" si="873"/>
        <v>0</v>
      </c>
      <c r="BW298" s="216">
        <f t="shared" si="874"/>
        <v>0</v>
      </c>
      <c r="BX298" s="216">
        <f t="shared" si="875"/>
        <v>0</v>
      </c>
      <c r="BY298" s="216">
        <f t="shared" si="876"/>
        <v>0</v>
      </c>
      <c r="BZ298" s="216">
        <f t="shared" si="877"/>
        <v>0</v>
      </c>
      <c r="CA298" s="216">
        <f t="shared" si="878"/>
        <v>0</v>
      </c>
      <c r="CB298" s="216">
        <f t="shared" si="879"/>
        <v>0</v>
      </c>
      <c r="CC298" s="216">
        <f t="shared" si="880"/>
        <v>0</v>
      </c>
      <c r="CD298" s="216">
        <f t="shared" si="881"/>
        <v>0</v>
      </c>
      <c r="CE298" s="216">
        <f t="shared" si="882"/>
        <v>0</v>
      </c>
      <c r="CF298" s="216">
        <f t="shared" si="883"/>
        <v>0</v>
      </c>
      <c r="CG298" s="1863" t="str">
        <f t="shared" si="884"/>
        <v/>
      </c>
      <c r="CH298" s="219" t="str">
        <f t="shared" si="885"/>
        <v/>
      </c>
      <c r="CI298" s="219" t="str">
        <f t="shared" si="886"/>
        <v/>
      </c>
      <c r="CJ298" s="219" t="str">
        <f t="shared" si="887"/>
        <v/>
      </c>
      <c r="CK298" s="219" t="str">
        <f t="shared" si="888"/>
        <v/>
      </c>
      <c r="CL298" s="219" t="str">
        <f t="shared" si="889"/>
        <v/>
      </c>
      <c r="CM298" s="219" t="str">
        <f t="shared" si="890"/>
        <v/>
      </c>
      <c r="CN298" s="219" t="str">
        <f t="shared" si="891"/>
        <v/>
      </c>
      <c r="CO298" s="216">
        <f t="shared" si="892"/>
        <v>0</v>
      </c>
      <c r="CP298" s="216">
        <f t="shared" si="893"/>
        <v>0</v>
      </c>
      <c r="CQ298" s="216">
        <f t="shared" si="703"/>
        <v>0</v>
      </c>
      <c r="CR298" s="216">
        <f t="shared" si="704"/>
        <v>0</v>
      </c>
      <c r="CS298" s="1626">
        <f t="shared" si="705"/>
        <v>0</v>
      </c>
      <c r="CT298" s="216">
        <f t="shared" si="894"/>
        <v>0</v>
      </c>
      <c r="CU298" s="479" t="str">
        <f t="shared" si="895"/>
        <v/>
      </c>
      <c r="CV298" s="154" t="str">
        <f t="shared" si="896"/>
        <v/>
      </c>
      <c r="CW298" s="216">
        <f>IF(OR($BQ298,$BS298),SpreadOptPowerMargin,0)*((1+Assumptions!$C$26)^($B298-YEAR(Assumptions!$C$17)))</f>
        <v>0</v>
      </c>
      <c r="CX298" s="216">
        <f>IF(OR($BQ298,$BS298),SpreadOptPowerMargin,0)*((1+Assumptions!$C$26)^($B298-YEAR(Assumptions!$C$17)))</f>
        <v>0</v>
      </c>
      <c r="CY298" s="216">
        <f>IF(OR($BQ298,$BS298),SpreadOptPowerMargin,0)*((1+Assumptions!$C$26)^($B298-YEAR(Assumptions!$C$17)))</f>
        <v>0</v>
      </c>
      <c r="CZ298" s="216">
        <f>IF(OR($BQ298,$BS298),SpreadOptPowerMargin,0)*((1+Assumptions!$C$26)^($B298-YEAR(Assumptions!$C$17)))</f>
        <v>0</v>
      </c>
      <c r="DA298" s="216">
        <f t="shared" si="897"/>
        <v>0</v>
      </c>
      <c r="DB298" s="479" t="str">
        <f t="shared" si="898"/>
        <v/>
      </c>
      <c r="DC298" s="479" t="str">
        <f t="shared" si="899"/>
        <v/>
      </c>
      <c r="DD298" s="479" t="str">
        <f t="shared" si="900"/>
        <v/>
      </c>
      <c r="DE298" s="479" t="str">
        <f t="shared" si="901"/>
        <v/>
      </c>
      <c r="DF298" s="479" t="str">
        <f t="shared" si="902"/>
        <v/>
      </c>
      <c r="DG298" s="479" t="str">
        <f t="shared" si="903"/>
        <v/>
      </c>
      <c r="DH298" s="216">
        <f t="shared" si="904"/>
        <v>0</v>
      </c>
      <c r="DI298" s="216">
        <f t="shared" si="905"/>
        <v>0</v>
      </c>
      <c r="DJ298" s="216">
        <f t="shared" si="706"/>
        <v>0</v>
      </c>
      <c r="DK298" s="216">
        <f t="shared" si="707"/>
        <v>0</v>
      </c>
      <c r="DL298" s="216">
        <f t="shared" si="708"/>
        <v>0</v>
      </c>
      <c r="DM298" s="216"/>
      <c r="DN298" s="216"/>
      <c r="DO298" s="216"/>
      <c r="DP298" s="216"/>
      <c r="DQ298" s="216"/>
      <c r="DR298" s="216"/>
      <c r="DS298" s="216"/>
      <c r="DT298" s="216"/>
      <c r="DU298" s="216"/>
      <c r="DV298" s="216"/>
      <c r="DW298" s="216">
        <f t="shared" si="906"/>
        <v>0</v>
      </c>
      <c r="DX298" s="216">
        <f t="shared" si="907"/>
        <v>0</v>
      </c>
      <c r="DY298" s="216">
        <f t="shared" si="908"/>
        <v>0</v>
      </c>
      <c r="DZ298" s="180">
        <f t="shared" si="909"/>
        <v>0</v>
      </c>
      <c r="EA298" s="180">
        <f t="shared" si="910"/>
        <v>0</v>
      </c>
      <c r="EB298" s="180">
        <f t="shared" si="709"/>
        <v>0</v>
      </c>
      <c r="EC298" s="180">
        <f t="shared" si="710"/>
        <v>0</v>
      </c>
      <c r="ED298" s="180">
        <f t="shared" si="711"/>
        <v>0</v>
      </c>
      <c r="EE298" s="554">
        <f t="shared" si="911"/>
        <v>0</v>
      </c>
      <c r="EF298" s="554">
        <f t="shared" si="912"/>
        <v>0</v>
      </c>
      <c r="EG298" s="554">
        <f t="shared" si="712"/>
        <v>0</v>
      </c>
      <c r="EH298" s="554">
        <f t="shared" si="713"/>
        <v>0</v>
      </c>
      <c r="EI298" s="561">
        <f t="shared" si="792"/>
        <v>0</v>
      </c>
      <c r="EJ298" s="554">
        <f t="shared" si="913"/>
        <v>0</v>
      </c>
      <c r="EK298" s="554">
        <f t="shared" si="914"/>
        <v>0</v>
      </c>
      <c r="EL298" s="554">
        <f t="shared" si="714"/>
        <v>0</v>
      </c>
      <c r="EM298" s="554">
        <f t="shared" si="715"/>
        <v>0</v>
      </c>
      <c r="EN298" s="561">
        <f t="shared" si="716"/>
        <v>0</v>
      </c>
      <c r="EO298" s="180">
        <f t="shared" si="915"/>
        <v>0</v>
      </c>
      <c r="EP298" s="180">
        <f t="shared" si="916"/>
        <v>0</v>
      </c>
      <c r="EQ298" s="180">
        <f t="shared" si="917"/>
        <v>0</v>
      </c>
      <c r="ER298" s="180">
        <f t="shared" si="918"/>
        <v>0</v>
      </c>
      <c r="ES298" s="180">
        <f t="shared" si="919"/>
        <v>0</v>
      </c>
      <c r="ET298" s="1482">
        <f t="shared" si="717"/>
        <v>0</v>
      </c>
      <c r="EU298" s="180">
        <f t="shared" si="718"/>
        <v>0</v>
      </c>
      <c r="EV298" s="180">
        <f t="shared" si="719"/>
        <v>0</v>
      </c>
      <c r="EW298" s="180">
        <f t="shared" si="720"/>
        <v>0</v>
      </c>
      <c r="EX298" s="555">
        <f t="shared" ref="EX298:EX361" si="932">IF(EI298,SUM(ET298:EW298),0)</f>
        <v>0</v>
      </c>
      <c r="EY298" s="180">
        <f t="shared" si="721"/>
        <v>0</v>
      </c>
      <c r="EZ298" s="180">
        <f t="shared" si="722"/>
        <v>0</v>
      </c>
      <c r="FA298" s="180">
        <f t="shared" si="723"/>
        <v>0</v>
      </c>
      <c r="FB298" s="180">
        <f t="shared" si="724"/>
        <v>0</v>
      </c>
      <c r="FC298" s="180">
        <f t="shared" si="725"/>
        <v>0</v>
      </c>
      <c r="FD298" s="337">
        <f>IF(AX298,IF(VLOOKUP(C298,MAIN!$L$17:$M$28,2)="Yes",VLOOKUP(CALC!B298,MAIN!$H$17:$I$20,2),0),0)</f>
        <v>0</v>
      </c>
      <c r="FE298" s="535">
        <f t="shared" si="920"/>
        <v>0</v>
      </c>
      <c r="FF298" s="535">
        <f t="shared" si="921"/>
        <v>0</v>
      </c>
      <c r="FG298" s="535">
        <f t="shared" si="922"/>
        <v>0</v>
      </c>
      <c r="FH298" s="535">
        <f t="shared" si="923"/>
        <v>0</v>
      </c>
      <c r="FI298" s="632">
        <f>IF(AX298,VLOOKUP(CALC!B298,MAIN!$H$17:$K$20,4),0)</f>
        <v>0</v>
      </c>
      <c r="FJ298" s="535">
        <f t="shared" si="802"/>
        <v>0</v>
      </c>
      <c r="FK298" s="535">
        <f t="shared" si="924"/>
        <v>0</v>
      </c>
      <c r="FL298" s="530">
        <f t="shared" si="726"/>
        <v>0</v>
      </c>
      <c r="FM298" s="530">
        <f t="shared" si="727"/>
        <v>0</v>
      </c>
      <c r="FN298" s="530">
        <f t="shared" si="728"/>
        <v>0</v>
      </c>
      <c r="FO298" s="622">
        <f t="shared" si="729"/>
        <v>0</v>
      </c>
      <c r="FP298" s="530">
        <f t="shared" si="730"/>
        <v>0</v>
      </c>
      <c r="FQ298" s="530">
        <f t="shared" si="731"/>
        <v>0</v>
      </c>
      <c r="FR298" s="530">
        <f t="shared" si="732"/>
        <v>0</v>
      </c>
      <c r="FS298" s="625">
        <f t="shared" si="733"/>
        <v>0</v>
      </c>
      <c r="FT298" s="640">
        <f>IF(AND(Assumptions!$H$71="Yes",A298&gt;=Assumptions!$H$72,A298&lt;=Assumptions!$H$73),0,IF(AND($A298&gt;=Assumptions!$C$17,$A298&lt;=Assumptions!$C$18),MAX(AZ298*(1+VLOOKUP($C298,WeatherCapacityAdjustment,2))-FL298,0),0))</f>
        <v>0</v>
      </c>
      <c r="FU298" s="530">
        <f>IF(AND(Assumptions!$H$71="Yes",A298&gt;=Assumptions!$H$72,A298&lt;=Assumptions!$H$73),0,IF(AND($A298&gt;=Assumptions!$C$17,$A298&lt;=Assumptions!$C$18),MAX(BA298*(1+VLOOKUP($C298,WeatherCapacityAdjustment,2))-FM298,0),0))</f>
        <v>0</v>
      </c>
      <c r="FV298" s="530">
        <f>IF(AND(Assumptions!$H$71="Yes",A298&gt;=Assumptions!$H$72,A298&lt;=Assumptions!$H$73),0,IF(AND($A298&gt;=Assumptions!$C$17,$A298&lt;=Assumptions!$C$18),MAX(BB298*(1+VLOOKUP($C298,WeatherCapacityAdjustment,2))-FN298,0),0))</f>
        <v>0</v>
      </c>
      <c r="FW298" s="622">
        <f>IF(AND(Assumptions!$H$71="Yes",A298&gt;=Assumptions!$H$72,A298&lt;=Assumptions!$H$73),0,IF(AND($A298&gt;=Assumptions!$C$17,$A298&lt;=Assumptions!$C$18),MAX(BC298*(1+VLOOKUP($C298,WeatherCapacityAdjustment,3))-FO298,0),0))</f>
        <v>0</v>
      </c>
      <c r="FX298" s="621">
        <f>IF(AND(Assumptions!$H$71="Yes",A298&gt;=Assumptions!$H$72,A298&lt;=Assumptions!$H$73),0,IF(ET298&gt;0,MAX(BH298*(1+VLOOKUP($C298,WeatherCapacityAdjustment,2))-FP298,0),0))</f>
        <v>0</v>
      </c>
      <c r="FY298" s="530">
        <f>IF(AND(Assumptions!$H$71="Yes",A298&gt;=Assumptions!$H$72,A298&lt;=Assumptions!$H$73),0,IF(EU298&gt;0,MAX(BI298*(1+VLOOKUP($C298,WeatherCapacityAdjustment,3))-FQ298,0),0))</f>
        <v>0</v>
      </c>
      <c r="FZ298" s="530">
        <f>IF(AND(Assumptions!$H$71="Yes",A298&gt;=Assumptions!$H$72,A298&lt;=Assumptions!$H$73),0,IF(EV298&gt;0,MAX(BJ298*(1+VLOOKUP($C298,WeatherCapacityAdjustment,2))-FR298,0),0))</f>
        <v>0</v>
      </c>
      <c r="GA298" s="622">
        <f>IF(AND(Assumptions!$H$71="Yes",A298&gt;=Assumptions!$H$72,A298&lt;=Assumptions!$H$73),0,IF(EW298&gt;0,MAX(BK298*(1+VLOOKUP($C298,WeatherCapacityAdjustment,2))-FS298,0),0))</f>
        <v>0</v>
      </c>
      <c r="GB298" s="530">
        <f t="shared" si="803"/>
        <v>0</v>
      </c>
      <c r="GC298" s="545">
        <f t="shared" si="804"/>
        <v>0</v>
      </c>
      <c r="GD298" s="530">
        <f t="shared" si="734"/>
        <v>0</v>
      </c>
      <c r="GE298" s="1485">
        <f t="shared" si="735"/>
        <v>0</v>
      </c>
      <c r="GF298" s="1776">
        <f t="shared" si="736"/>
        <v>0</v>
      </c>
      <c r="GG298" s="545">
        <f t="shared" si="925"/>
        <v>0</v>
      </c>
      <c r="GH298" s="622">
        <f t="shared" si="702"/>
        <v>0</v>
      </c>
      <c r="GI298" s="621">
        <f t="shared" si="849"/>
        <v>0</v>
      </c>
      <c r="GJ298" s="638">
        <f t="shared" si="926"/>
        <v>0</v>
      </c>
      <c r="GK298" s="625">
        <f t="shared" si="855"/>
        <v>0</v>
      </c>
      <c r="GL298" s="640">
        <f t="shared" si="737"/>
        <v>0</v>
      </c>
      <c r="GM298" s="530">
        <f t="shared" si="738"/>
        <v>0</v>
      </c>
      <c r="GN298" s="530">
        <f t="shared" si="739"/>
        <v>0</v>
      </c>
      <c r="GO298" s="622">
        <f t="shared" si="740"/>
        <v>0</v>
      </c>
      <c r="GP298" s="530">
        <f t="shared" si="806"/>
        <v>0</v>
      </c>
      <c r="GQ298" s="545">
        <f t="shared" si="807"/>
        <v>0</v>
      </c>
      <c r="GR298" s="625">
        <f t="shared" si="741"/>
        <v>0</v>
      </c>
      <c r="GS298" s="530">
        <f>IF($A298&gt;=BegDate,Assumptions!$C$56*24*($A299-$A298)*(1-VLOOKUP($B298,MAIN!$AA$7:$AM$28,$C298+1))*(1-VLOOKUP($B298,MAIN!$AA$33:$AM$54,$C298+1)),0)*80/168</f>
        <v>257742.85714285713</v>
      </c>
      <c r="GT298" s="1715">
        <f t="shared" si="927"/>
        <v>63.954776527589758</v>
      </c>
      <c r="GU298" s="1715">
        <f>IF($A298&gt;=BegDate,VLOOKUP($A298,GasTable,13)+Assumptions!$C$58,0)</f>
        <v>4.5871112217967047</v>
      </c>
      <c r="GV298" s="1715">
        <f>GU298*Assumptions!$C$57/1000</f>
        <v>33.25655635802611</v>
      </c>
      <c r="GW298" s="530">
        <f>IF(Assumptions!$C$60="Hourly",MAX(0,GS298*(GT298-GV298)),GS298*(GT298-GV298))</f>
        <v>7912246.9757038187</v>
      </c>
      <c r="GX298" s="530">
        <f>IF($A298&gt;=BegDate,Assumptions!$C$56*24*($A299-$A298)*(1-VLOOKUP($B298,MAIN!$AA$7:$AM$28,$C298+1))*(1-VLOOKUP($B298,MAIN!$AA$33:$AM$54,$C298+1)),0)*16/168</f>
        <v>51548.571428571428</v>
      </c>
      <c r="GY298" s="1715">
        <f t="shared" si="928"/>
        <v>63.954776527589758</v>
      </c>
      <c r="GZ298" s="1715">
        <f>IF($A298&gt;=BegDate,VLOOKUP($A298,GasTable,13)+Assumptions!$C$58,0)</f>
        <v>4.5871112217967047</v>
      </c>
      <c r="HA298" s="1715">
        <f>GZ298*Assumptions!$C$57/1000</f>
        <v>33.25655635802611</v>
      </c>
      <c r="HB298" s="530">
        <f>IF(Assumptions!$C$60="Hourly",MAX(0,GX298*(GY298-HA298)),GX298*(GY298-HA298))</f>
        <v>1582449.3951407638</v>
      </c>
      <c r="HC298" s="530">
        <f>IF($A298&gt;=BegDate,Assumptions!$C$56*24*($A299-$A298)*(1-VLOOKUP($B298,MAIN!$AA$7:$AM$28,$C298+1))*(1-VLOOKUP($B298,MAIN!$AA$33:$AM$54,$C298+1)),0)*16/168</f>
        <v>51548.571428571428</v>
      </c>
      <c r="HD298" s="1715">
        <f t="shared" si="929"/>
        <v>35.608750734338031</v>
      </c>
      <c r="HE298" s="1715">
        <f>IF($A298&gt;=BegDate,VLOOKUP($A298,GasTable,13)+Assumptions!$C$58,0)</f>
        <v>4.5871112217967047</v>
      </c>
      <c r="HF298" s="1715">
        <f>HE298*Assumptions!$C$57/1000</f>
        <v>33.25655635802611</v>
      </c>
      <c r="HG298" s="530">
        <f>IF(Assumptions!$C$60="Hourly",MAX(0,HC298*(HD298-HF298)),HC298*(HD298-HF298))</f>
        <v>121252.25982119908</v>
      </c>
      <c r="HH298" s="530">
        <f>IF($A298&gt;=BegDate,Assumptions!$C$56*24*($A299-$A298)*(1-VLOOKUP($B298,MAIN!$AA$7:$AM$28,$C298+1))*(1-VLOOKUP($B298,MAIN!$AA$33:$AM$54,$C298+1)),0)*56/168</f>
        <v>180420</v>
      </c>
      <c r="HI298" s="1715">
        <f t="shared" si="930"/>
        <v>35.608750734338031</v>
      </c>
      <c r="HJ298" s="1715">
        <f>IF($A298&gt;=BegDate,VLOOKUP($A298,GasTable,13)+Assumptions!$C$58,0)</f>
        <v>4.5871112217967047</v>
      </c>
      <c r="HK298" s="1715">
        <f>HJ298*Assumptions!$C$57/1000</f>
        <v>33.25655635802611</v>
      </c>
      <c r="HL298" s="530">
        <f>IF(Assumptions!$C$60="Hourly",MAX(0,HH298*(HI298-HK298)),HH298*(HI298-HK298))</f>
        <v>424382.90937419678</v>
      </c>
      <c r="HM298" s="530">
        <f>IF(AND(Assumptions!$H$71="Yes",A298&gt;=Assumptions!$H$72,A298&lt;=Assumptions!$H$73),Assumptions!$H$74*Assumptions!$C$9*1000,0)</f>
        <v>0</v>
      </c>
    </row>
    <row r="299" spans="1:245">
      <c r="A299" s="1859">
        <f t="shared" si="808"/>
        <v>45231</v>
      </c>
      <c r="B299" s="15">
        <f t="shared" si="809"/>
        <v>2023</v>
      </c>
      <c r="C299" s="1509">
        <f t="shared" si="931"/>
        <v>11</v>
      </c>
      <c r="D299" s="1864" t="str">
        <f t="shared" si="857"/>
        <v/>
      </c>
      <c r="E299" s="609" t="str">
        <f t="shared" si="858"/>
        <v/>
      </c>
      <c r="F299" s="1864" t="str">
        <f t="shared" si="859"/>
        <v/>
      </c>
      <c r="G299" s="1860">
        <v>0</v>
      </c>
      <c r="H299" s="152">
        <f t="shared" si="860"/>
        <v>1</v>
      </c>
      <c r="I299" s="154">
        <f>IF(Assumptions!$L$25=4,VLOOKUP($A299,'Henwood Reference'!$E$9:$R$320,10),(VLOOKUP($A299,PriceTable,2,0)+IF(BasisNumber&lt;&gt;1,VLOOKUP($A299,BasisTable,2,0),0)+I$1)/(1-I$2))</f>
        <v>66.178677559878892</v>
      </c>
      <c r="J299" s="154">
        <f>IF(Assumptions!$L$25=4,VLOOKUP($A299,'Henwood Reference'!$E$9:$R$320,10),(VLOOKUP($A299,PriceTable,3,0)+IF(BasisNumber&lt;&gt;1,VLOOKUP($A299,BasisTable,2,0),0)+J$1)/(1-J$2))</f>
        <v>66.178677559878892</v>
      </c>
      <c r="K299" s="154">
        <f>IF(Assumptions!$L$25=4,VLOOKUP($A299,'Henwood Reference'!$E$9:$R$320,10),(VLOOKUP($A299,PriceTable,4,0)+IF(BasisNumber&lt;&gt;1,VLOOKUP($A299,BasisTable,2,0),0)+K$1)/(1-K$2))</f>
        <v>66.178677559878892</v>
      </c>
      <c r="L299" s="474">
        <f>IF(Assumptions!$L$25=4,VLOOKUP($A299,'Henwood Reference'!$E$9:$R$320,10),(VLOOKUP($A299,PriceTableWeekend,2,0)+IF(BasisNumber&lt;&gt;1,VLOOKUP($A299,BasisTable,2,0),0)+L$1)/(1-L$2))</f>
        <v>66.178677559878892</v>
      </c>
      <c r="M299" s="154">
        <f>IF(Assumptions!$L$25=4,VLOOKUP($A299,'Henwood Reference'!$E$9:$R$320,10),(VLOOKUP($A299,PriceTableWeekend,3,0)+IF(BasisNumber&lt;&gt;1,VLOOKUP($A299,BasisTable,2,0),0)+M$1)/(1-M$2))</f>
        <v>66.178677559878892</v>
      </c>
      <c r="N299" s="156">
        <f>IF(Assumptions!$L$25=4,VLOOKUP($A299,'Henwood Reference'!$E$9:$R$320,10),(VLOOKUP($A299,PriceTableWeekend,4,0)+IF(BasisNumber&lt;&gt;1,VLOOKUP($A299,BasisTable,2,0),0)+N$1)/(1-N$2))</f>
        <v>66.178677559878892</v>
      </c>
      <c r="O299" s="154">
        <f>IF(Assumptions!$L$25=4,VLOOKUP($A299,'Henwood Reference'!$E$9:$R$320,11),(VLOOKUP($A299,PriceTableWeekend,6,0)+IF(BasisNumber&lt;&gt;1,VLOOKUP($A299,BasisTable,3,0),0)+O$1)/(1-O$2))</f>
        <v>38.683231229732002</v>
      </c>
      <c r="P299" s="154">
        <f>IF(Assumptions!$L$25=4,VLOOKUP($A299,'Henwood Reference'!$E$9:$R$320,11),(VLOOKUP($A299,PriceTableWeekend,7,0)+IF(BasisNumber&lt;&gt;1,VLOOKUP($A299,BasisTable,3,0),0)+P$1)/(1-P$2))</f>
        <v>38.683231229732002</v>
      </c>
      <c r="Q299" s="156">
        <f>IF(Assumptions!$L$25=4,VLOOKUP($A299,'Henwood Reference'!$E$9:$R$320,11),(VLOOKUP($A299,PriceTableWeekend,8,0)+IF(BasisNumber&lt;&gt;1,VLOOKUP($A299,BasisTable,3,0),0)+Q$1)/(1-Q$2))</f>
        <v>38.683231229732002</v>
      </c>
      <c r="R299" s="154">
        <f>IF(Assumptions!$L$25=4,VLOOKUP($A299,'Henwood Reference'!$E$9:$R$320,11),(VLOOKUP($A299,PriceTable,6,0)+IF(BasisNumber&lt;&gt;1,VLOOKUP($A299,BasisTable,3,0),0)+R$1)/(1-R$2))</f>
        <v>38.683231229732002</v>
      </c>
      <c r="S299" s="154">
        <f>IF(Assumptions!$L$25=4,VLOOKUP($A299,'Henwood Reference'!$E$9:$R$320,11),(VLOOKUP($A299,PriceTable,7,0)+IF(BasisNumber&lt;&gt;1,VLOOKUP($A299,BasisTable,3,0),0)+S$1)/(1-S$2))</f>
        <v>38.683231229732002</v>
      </c>
      <c r="T299" s="155">
        <f>IF(Assumptions!$L$25=4,VLOOKUP($A299,'Henwood Reference'!$E$9:$R$320,11),(VLOOKUP($A299,PriceTable,8,0)+IF(BasisNumber&lt;&gt;1,VLOOKUP($A299,BasisTable,3,0),0)+T$1)/(1-T$2))</f>
        <v>38.683231229732002</v>
      </c>
      <c r="U299" s="173">
        <f t="shared" si="811"/>
        <v>0.09</v>
      </c>
      <c r="V299" s="173">
        <f t="shared" si="812"/>
        <v>0.1</v>
      </c>
      <c r="W299" s="173">
        <f t="shared" si="813"/>
        <v>0.11</v>
      </c>
      <c r="X299" s="173">
        <f t="shared" si="814"/>
        <v>0.09</v>
      </c>
      <c r="Y299" s="173">
        <f t="shared" si="815"/>
        <v>0.1</v>
      </c>
      <c r="Z299" s="173">
        <f t="shared" si="816"/>
        <v>0.11</v>
      </c>
      <c r="AA299" s="173">
        <f t="shared" si="817"/>
        <v>0.09</v>
      </c>
      <c r="AB299" s="173">
        <f t="shared" si="818"/>
        <v>0.11</v>
      </c>
      <c r="AC299" s="173">
        <f t="shared" si="819"/>
        <v>0.13</v>
      </c>
      <c r="AD299" s="173">
        <f t="shared" si="820"/>
        <v>0.09</v>
      </c>
      <c r="AE299" s="173">
        <f t="shared" si="821"/>
        <v>0.11</v>
      </c>
      <c r="AF299" s="173">
        <f t="shared" si="822"/>
        <v>0.13</v>
      </c>
      <c r="AG299" s="173">
        <f t="shared" si="823"/>
        <v>-0.1</v>
      </c>
      <c r="AH299" s="173">
        <f t="shared" si="824"/>
        <v>3</v>
      </c>
      <c r="AI299" s="173">
        <f t="shared" si="825"/>
        <v>0.1</v>
      </c>
      <c r="AJ299" s="173">
        <f t="shared" si="826"/>
        <v>-0.1</v>
      </c>
      <c r="AK299" s="173">
        <f t="shared" si="827"/>
        <v>3</v>
      </c>
      <c r="AL299" s="173">
        <f t="shared" si="828"/>
        <v>0.1</v>
      </c>
      <c r="AM299" s="173">
        <f t="shared" si="829"/>
        <v>-0.01</v>
      </c>
      <c r="AN299" s="173">
        <f t="shared" si="830"/>
        <v>0.16</v>
      </c>
      <c r="AO299" s="173">
        <f t="shared" si="831"/>
        <v>0.01</v>
      </c>
      <c r="AP299" s="173">
        <f t="shared" si="832"/>
        <v>-0.01</v>
      </c>
      <c r="AQ299" s="173">
        <f t="shared" si="833"/>
        <v>0.16</v>
      </c>
      <c r="AR299" s="1861">
        <f t="shared" si="834"/>
        <v>0.01</v>
      </c>
      <c r="AS299" s="1862">
        <f t="shared" si="861"/>
        <v>0.5</v>
      </c>
      <c r="AT299" s="15">
        <f t="shared" si="862"/>
        <v>0</v>
      </c>
      <c r="AU299" s="159">
        <f t="shared" si="863"/>
        <v>0</v>
      </c>
      <c r="AV299" s="159">
        <f t="shared" si="864"/>
        <v>0</v>
      </c>
      <c r="AW299" s="159">
        <f t="shared" si="865"/>
        <v>0</v>
      </c>
      <c r="AX299" s="15">
        <f t="shared" si="866"/>
        <v>0</v>
      </c>
      <c r="AY299" s="1861">
        <f>IF(E299="",0,MIN((1-(1-VLOOKUP(B299,MAIN!$AA$7:$AM$28,C299+1))*(1-VLOOKUP(B299,MAIN!$AA$33:$AM$54,C299+1))),1))</f>
        <v>0</v>
      </c>
      <c r="AZ299" s="337">
        <f t="array" ref="AZ299:BO299">TakeFunction(TakeType,STake,OTake,CombineTakesFlag,MostExpFlag,VolumeEscType,VolumeEsc,DateToday,BegDate,EndDate,OrderedScalars,OrderedPrices,OrderedPricesSat,OrderedPricesSun,AvailDays,FirmWeek,FirmSat,FirmSun,FirmHol,OptWeek,OptSat,OptSun,OptHol)*(1-PlannedOutages)</f>
        <v>0</v>
      </c>
      <c r="BA299" s="337">
        <v>0</v>
      </c>
      <c r="BB299" s="337">
        <v>0</v>
      </c>
      <c r="BC299" s="337">
        <v>0</v>
      </c>
      <c r="BD299" s="154">
        <v>0</v>
      </c>
      <c r="BE299" s="154">
        <v>0</v>
      </c>
      <c r="BF299" s="154">
        <v>0</v>
      </c>
      <c r="BG299" s="154">
        <v>0</v>
      </c>
      <c r="BH299" s="337">
        <v>0</v>
      </c>
      <c r="BI299" s="337">
        <v>0</v>
      </c>
      <c r="BJ299" s="337">
        <v>0</v>
      </c>
      <c r="BK299" s="337">
        <v>0</v>
      </c>
      <c r="BL299" s="154">
        <v>0</v>
      </c>
      <c r="BM299" s="154">
        <v>0</v>
      </c>
      <c r="BN299" s="154">
        <v>0</v>
      </c>
      <c r="BO299" s="154">
        <v>0</v>
      </c>
      <c r="BP299" s="259">
        <f t="shared" si="867"/>
        <v>0</v>
      </c>
      <c r="BQ299" s="259">
        <f t="shared" si="868"/>
        <v>0</v>
      </c>
      <c r="BR299" s="259">
        <f t="shared" si="869"/>
        <v>0</v>
      </c>
      <c r="BS299" s="259">
        <f t="shared" si="870"/>
        <v>0</v>
      </c>
      <c r="BT299" s="216">
        <f t="shared" si="871"/>
        <v>23.548254620123203</v>
      </c>
      <c r="BU299" s="216">
        <f t="shared" si="872"/>
        <v>0</v>
      </c>
      <c r="BV299" s="216">
        <f t="shared" si="873"/>
        <v>0</v>
      </c>
      <c r="BW299" s="216">
        <f t="shared" si="874"/>
        <v>0</v>
      </c>
      <c r="BX299" s="216">
        <f t="shared" si="875"/>
        <v>0</v>
      </c>
      <c r="BY299" s="216">
        <f t="shared" si="876"/>
        <v>0</v>
      </c>
      <c r="BZ299" s="216">
        <f t="shared" si="877"/>
        <v>0</v>
      </c>
      <c r="CA299" s="216">
        <f t="shared" si="878"/>
        <v>0</v>
      </c>
      <c r="CB299" s="216">
        <f t="shared" si="879"/>
        <v>0</v>
      </c>
      <c r="CC299" s="216">
        <f t="shared" si="880"/>
        <v>0</v>
      </c>
      <c r="CD299" s="216">
        <f t="shared" si="881"/>
        <v>0</v>
      </c>
      <c r="CE299" s="216">
        <f t="shared" si="882"/>
        <v>0</v>
      </c>
      <c r="CF299" s="216">
        <f t="shared" si="883"/>
        <v>0</v>
      </c>
      <c r="CG299" s="1863" t="str">
        <f t="shared" si="884"/>
        <v/>
      </c>
      <c r="CH299" s="219" t="str">
        <f t="shared" si="885"/>
        <v/>
      </c>
      <c r="CI299" s="219" t="str">
        <f t="shared" si="886"/>
        <v/>
      </c>
      <c r="CJ299" s="219" t="str">
        <f t="shared" si="887"/>
        <v/>
      </c>
      <c r="CK299" s="219" t="str">
        <f t="shared" si="888"/>
        <v/>
      </c>
      <c r="CL299" s="219" t="str">
        <f t="shared" si="889"/>
        <v/>
      </c>
      <c r="CM299" s="219" t="str">
        <f t="shared" si="890"/>
        <v/>
      </c>
      <c r="CN299" s="219" t="str">
        <f t="shared" si="891"/>
        <v/>
      </c>
      <c r="CO299" s="216">
        <f t="shared" si="892"/>
        <v>0</v>
      </c>
      <c r="CP299" s="216">
        <f t="shared" si="893"/>
        <v>0</v>
      </c>
      <c r="CQ299" s="216">
        <f t="shared" si="703"/>
        <v>0</v>
      </c>
      <c r="CR299" s="216">
        <f t="shared" si="704"/>
        <v>0</v>
      </c>
      <c r="CS299" s="1626">
        <f t="shared" si="705"/>
        <v>0</v>
      </c>
      <c r="CT299" s="216">
        <f t="shared" si="894"/>
        <v>0</v>
      </c>
      <c r="CU299" s="479" t="str">
        <f t="shared" si="895"/>
        <v/>
      </c>
      <c r="CV299" s="154" t="str">
        <f t="shared" si="896"/>
        <v/>
      </c>
      <c r="CW299" s="216">
        <f>IF(OR($BQ299,$BS299),SpreadOptPowerMargin,0)*((1+Assumptions!$C$26)^($B299-YEAR(Assumptions!$C$17)))</f>
        <v>0</v>
      </c>
      <c r="CX299" s="216">
        <f>IF(OR($BQ299,$BS299),SpreadOptPowerMargin,0)*((1+Assumptions!$C$26)^($B299-YEAR(Assumptions!$C$17)))</f>
        <v>0</v>
      </c>
      <c r="CY299" s="216">
        <f>IF(OR($BQ299,$BS299),SpreadOptPowerMargin,0)*((1+Assumptions!$C$26)^($B299-YEAR(Assumptions!$C$17)))</f>
        <v>0</v>
      </c>
      <c r="CZ299" s="216">
        <f>IF(OR($BQ299,$BS299),SpreadOptPowerMargin,0)*((1+Assumptions!$C$26)^($B299-YEAR(Assumptions!$C$17)))</f>
        <v>0</v>
      </c>
      <c r="DA299" s="216">
        <f t="shared" si="897"/>
        <v>0</v>
      </c>
      <c r="DB299" s="479" t="str">
        <f t="shared" si="898"/>
        <v/>
      </c>
      <c r="DC299" s="479" t="str">
        <f t="shared" si="899"/>
        <v/>
      </c>
      <c r="DD299" s="479" t="str">
        <f t="shared" si="900"/>
        <v/>
      </c>
      <c r="DE299" s="479" t="str">
        <f t="shared" si="901"/>
        <v/>
      </c>
      <c r="DF299" s="479" t="str">
        <f t="shared" si="902"/>
        <v/>
      </c>
      <c r="DG299" s="479" t="str">
        <f t="shared" si="903"/>
        <v/>
      </c>
      <c r="DH299" s="216">
        <f t="shared" si="904"/>
        <v>0</v>
      </c>
      <c r="DI299" s="216">
        <f t="shared" si="905"/>
        <v>0</v>
      </c>
      <c r="DJ299" s="216">
        <f t="shared" si="706"/>
        <v>0</v>
      </c>
      <c r="DK299" s="216">
        <f t="shared" si="707"/>
        <v>0</v>
      </c>
      <c r="DL299" s="216">
        <f t="shared" si="708"/>
        <v>0</v>
      </c>
      <c r="DM299" s="216"/>
      <c r="DN299" s="216"/>
      <c r="DO299" s="216"/>
      <c r="DP299" s="216"/>
      <c r="DQ299" s="216"/>
      <c r="DR299" s="216"/>
      <c r="DS299" s="216"/>
      <c r="DT299" s="216"/>
      <c r="DU299" s="216"/>
      <c r="DV299" s="216"/>
      <c r="DW299" s="216">
        <f t="shared" si="906"/>
        <v>0</v>
      </c>
      <c r="DX299" s="216">
        <f t="shared" si="907"/>
        <v>0</v>
      </c>
      <c r="DY299" s="216">
        <f t="shared" si="908"/>
        <v>0</v>
      </c>
      <c r="DZ299" s="180">
        <f t="shared" si="909"/>
        <v>0</v>
      </c>
      <c r="EA299" s="180">
        <f t="shared" si="910"/>
        <v>0</v>
      </c>
      <c r="EB299" s="180">
        <f t="shared" si="709"/>
        <v>0</v>
      </c>
      <c r="EC299" s="180">
        <f t="shared" si="710"/>
        <v>0</v>
      </c>
      <c r="ED299" s="180">
        <f t="shared" si="711"/>
        <v>0</v>
      </c>
      <c r="EE299" s="554">
        <f t="shared" si="911"/>
        <v>0</v>
      </c>
      <c r="EF299" s="554">
        <f t="shared" si="912"/>
        <v>0</v>
      </c>
      <c r="EG299" s="554">
        <f t="shared" si="712"/>
        <v>0</v>
      </c>
      <c r="EH299" s="554">
        <f t="shared" si="713"/>
        <v>0</v>
      </c>
      <c r="EI299" s="561">
        <f t="shared" si="792"/>
        <v>0</v>
      </c>
      <c r="EJ299" s="554">
        <f t="shared" si="913"/>
        <v>0</v>
      </c>
      <c r="EK299" s="554">
        <f t="shared" si="914"/>
        <v>0</v>
      </c>
      <c r="EL299" s="554">
        <f t="shared" si="714"/>
        <v>0</v>
      </c>
      <c r="EM299" s="554">
        <f t="shared" si="715"/>
        <v>0</v>
      </c>
      <c r="EN299" s="561">
        <f t="shared" si="716"/>
        <v>0</v>
      </c>
      <c r="EO299" s="180">
        <f t="shared" si="915"/>
        <v>0</v>
      </c>
      <c r="EP299" s="180">
        <f t="shared" si="916"/>
        <v>0</v>
      </c>
      <c r="EQ299" s="180">
        <f t="shared" si="917"/>
        <v>0</v>
      </c>
      <c r="ER299" s="180">
        <f t="shared" si="918"/>
        <v>0</v>
      </c>
      <c r="ES299" s="180">
        <f t="shared" si="919"/>
        <v>0</v>
      </c>
      <c r="ET299" s="1482">
        <f t="shared" si="717"/>
        <v>0</v>
      </c>
      <c r="EU299" s="180">
        <f t="shared" si="718"/>
        <v>0</v>
      </c>
      <c r="EV299" s="180">
        <f t="shared" si="719"/>
        <v>0</v>
      </c>
      <c r="EW299" s="180">
        <f t="shared" si="720"/>
        <v>0</v>
      </c>
      <c r="EX299" s="555">
        <f t="shared" si="932"/>
        <v>0</v>
      </c>
      <c r="EY299" s="180">
        <f t="shared" si="721"/>
        <v>0</v>
      </c>
      <c r="EZ299" s="180">
        <f t="shared" si="722"/>
        <v>0</v>
      </c>
      <c r="FA299" s="180">
        <f t="shared" si="723"/>
        <v>0</v>
      </c>
      <c r="FB299" s="180">
        <f t="shared" si="724"/>
        <v>0</v>
      </c>
      <c r="FC299" s="180">
        <f t="shared" si="725"/>
        <v>0</v>
      </c>
      <c r="FD299" s="337">
        <f>IF(AX299,IF(VLOOKUP(C299,MAIN!$L$17:$M$28,2)="Yes",VLOOKUP(CALC!B299,MAIN!$H$17:$I$20,2),0),0)</f>
        <v>0</v>
      </c>
      <c r="FE299" s="535">
        <f t="shared" si="920"/>
        <v>0</v>
      </c>
      <c r="FF299" s="535">
        <f t="shared" si="921"/>
        <v>0</v>
      </c>
      <c r="FG299" s="535">
        <f t="shared" si="922"/>
        <v>0</v>
      </c>
      <c r="FH299" s="535">
        <f t="shared" si="923"/>
        <v>0</v>
      </c>
      <c r="FI299" s="632">
        <f>IF(AX299,VLOOKUP(CALC!B299,MAIN!$H$17:$K$20,4),0)</f>
        <v>0</v>
      </c>
      <c r="FJ299" s="535">
        <f t="shared" si="802"/>
        <v>0</v>
      </c>
      <c r="FK299" s="535">
        <f t="shared" si="924"/>
        <v>0</v>
      </c>
      <c r="FL299" s="530">
        <f t="shared" si="726"/>
        <v>0</v>
      </c>
      <c r="FM299" s="530">
        <f t="shared" si="727"/>
        <v>0</v>
      </c>
      <c r="FN299" s="530">
        <f t="shared" si="728"/>
        <v>0</v>
      </c>
      <c r="FO299" s="622">
        <f t="shared" si="729"/>
        <v>0</v>
      </c>
      <c r="FP299" s="530">
        <f t="shared" si="730"/>
        <v>0</v>
      </c>
      <c r="FQ299" s="530">
        <f t="shared" si="731"/>
        <v>0</v>
      </c>
      <c r="FR299" s="530">
        <f t="shared" si="732"/>
        <v>0</v>
      </c>
      <c r="FS299" s="625">
        <f t="shared" si="733"/>
        <v>0</v>
      </c>
      <c r="FT299" s="640">
        <f>IF(AND(Assumptions!$H$71="Yes",A299&gt;=Assumptions!$H$72,A299&lt;=Assumptions!$H$73),0,IF(AND($A299&gt;=Assumptions!$C$17,$A299&lt;=Assumptions!$C$18),MAX(AZ299*(1+VLOOKUP($C299,WeatherCapacityAdjustment,2))-FL299,0),0))</f>
        <v>0</v>
      </c>
      <c r="FU299" s="530">
        <f>IF(AND(Assumptions!$H$71="Yes",A299&gt;=Assumptions!$H$72,A299&lt;=Assumptions!$H$73),0,IF(AND($A299&gt;=Assumptions!$C$17,$A299&lt;=Assumptions!$C$18),MAX(BA299*(1+VLOOKUP($C299,WeatherCapacityAdjustment,2))-FM299,0),0))</f>
        <v>0</v>
      </c>
      <c r="FV299" s="530">
        <f>IF(AND(Assumptions!$H$71="Yes",A299&gt;=Assumptions!$H$72,A299&lt;=Assumptions!$H$73),0,IF(AND($A299&gt;=Assumptions!$C$17,$A299&lt;=Assumptions!$C$18),MAX(BB299*(1+VLOOKUP($C299,WeatherCapacityAdjustment,2))-FN299,0),0))</f>
        <v>0</v>
      </c>
      <c r="FW299" s="622">
        <f>IF(AND(Assumptions!$H$71="Yes",A299&gt;=Assumptions!$H$72,A299&lt;=Assumptions!$H$73),0,IF(AND($A299&gt;=Assumptions!$C$17,$A299&lt;=Assumptions!$C$18),MAX(BC299*(1+VLOOKUP($C299,WeatherCapacityAdjustment,3))-FO299,0),0))</f>
        <v>0</v>
      </c>
      <c r="FX299" s="621">
        <f>IF(AND(Assumptions!$H$71="Yes",A299&gt;=Assumptions!$H$72,A299&lt;=Assumptions!$H$73),0,IF(ET299&gt;0,MAX(BH299*(1+VLOOKUP($C299,WeatherCapacityAdjustment,2))-FP299,0),0))</f>
        <v>0</v>
      </c>
      <c r="FY299" s="530">
        <f>IF(AND(Assumptions!$H$71="Yes",A299&gt;=Assumptions!$H$72,A299&lt;=Assumptions!$H$73),0,IF(EU299&gt;0,MAX(BI299*(1+VLOOKUP($C299,WeatherCapacityAdjustment,3))-FQ299,0),0))</f>
        <v>0</v>
      </c>
      <c r="FZ299" s="530">
        <f>IF(AND(Assumptions!$H$71="Yes",A299&gt;=Assumptions!$H$72,A299&lt;=Assumptions!$H$73),0,IF(EV299&gt;0,MAX(BJ299*(1+VLOOKUP($C299,WeatherCapacityAdjustment,2))-FR299,0),0))</f>
        <v>0</v>
      </c>
      <c r="GA299" s="622">
        <f>IF(AND(Assumptions!$H$71="Yes",A299&gt;=Assumptions!$H$72,A299&lt;=Assumptions!$H$73),0,IF(EW299&gt;0,MAX(BK299*(1+VLOOKUP($C299,WeatherCapacityAdjustment,2))-FS299,0),0))</f>
        <v>0</v>
      </c>
      <c r="GB299" s="530">
        <f t="shared" si="803"/>
        <v>0</v>
      </c>
      <c r="GC299" s="545">
        <f t="shared" si="804"/>
        <v>0</v>
      </c>
      <c r="GD299" s="530">
        <f t="shared" si="734"/>
        <v>0</v>
      </c>
      <c r="GE299" s="1485">
        <f t="shared" si="735"/>
        <v>0</v>
      </c>
      <c r="GF299" s="1776">
        <f t="shared" si="736"/>
        <v>0</v>
      </c>
      <c r="GG299" s="545">
        <f t="shared" si="925"/>
        <v>0</v>
      </c>
      <c r="GH299" s="622">
        <f t="shared" si="702"/>
        <v>0</v>
      </c>
      <c r="GI299" s="621">
        <f t="shared" si="849"/>
        <v>0</v>
      </c>
      <c r="GJ299" s="638">
        <f t="shared" si="926"/>
        <v>0</v>
      </c>
      <c r="GK299" s="625">
        <f t="shared" si="855"/>
        <v>0</v>
      </c>
      <c r="GL299" s="640">
        <f t="shared" si="737"/>
        <v>0</v>
      </c>
      <c r="GM299" s="530">
        <f t="shared" si="738"/>
        <v>0</v>
      </c>
      <c r="GN299" s="530">
        <f t="shared" si="739"/>
        <v>0</v>
      </c>
      <c r="GO299" s="622">
        <f t="shared" si="740"/>
        <v>0</v>
      </c>
      <c r="GP299" s="530">
        <f t="shared" si="806"/>
        <v>0</v>
      </c>
      <c r="GQ299" s="545">
        <f t="shared" si="807"/>
        <v>0</v>
      </c>
      <c r="GR299" s="625">
        <f t="shared" si="741"/>
        <v>0</v>
      </c>
      <c r="GS299" s="530">
        <f>IF($A299&gt;=BegDate,Assumptions!$C$56*24*($A300-$A299)*(1-VLOOKUP($B299,MAIN!$AA$7:$AM$28,$C299+1))*(1-VLOOKUP($B299,MAIN!$AA$33:$AM$54,$C299+1)),0)*80/168</f>
        <v>249428.57142857142</v>
      </c>
      <c r="GT299" s="1715">
        <f t="shared" si="927"/>
        <v>66.178677559878892</v>
      </c>
      <c r="GU299" s="1715">
        <f>IF($A299&gt;=BegDate,VLOOKUP($A299,GasTable,13)+Assumptions!$C$58,0)</f>
        <v>4.5871112217967047</v>
      </c>
      <c r="GV299" s="1715">
        <f>GU299*Assumptions!$C$57/1000</f>
        <v>33.25655635802611</v>
      </c>
      <c r="GW299" s="530">
        <f>IF(Assumptions!$C$60="Hourly",MAX(0,GS299*(GT299-GV299)),GS299*(GT299-GV299))</f>
        <v>8211717.6597764222</v>
      </c>
      <c r="GX299" s="530">
        <f>IF($A299&gt;=BegDate,Assumptions!$C$56*24*($A300-$A299)*(1-VLOOKUP($B299,MAIN!$AA$7:$AM$28,$C299+1))*(1-VLOOKUP($B299,MAIN!$AA$33:$AM$54,$C299+1)),0)*16/168</f>
        <v>49885.714285714283</v>
      </c>
      <c r="GY299" s="1715">
        <f t="shared" si="928"/>
        <v>66.178677559878892</v>
      </c>
      <c r="GZ299" s="1715">
        <f>IF($A299&gt;=BegDate,VLOOKUP($A299,GasTable,13)+Assumptions!$C$58,0)</f>
        <v>4.5871112217967047</v>
      </c>
      <c r="HA299" s="1715">
        <f>GZ299*Assumptions!$C$57/1000</f>
        <v>33.25655635802611</v>
      </c>
      <c r="HB299" s="530">
        <f>IF(Assumptions!$C$60="Hourly",MAX(0,GX299*(GY299-HA299)),GX299*(GY299-HA299))</f>
        <v>1642343.5319552843</v>
      </c>
      <c r="HC299" s="530">
        <f>IF($A299&gt;=BegDate,Assumptions!$C$56*24*($A300-$A299)*(1-VLOOKUP($B299,MAIN!$AA$7:$AM$28,$C299+1))*(1-VLOOKUP($B299,MAIN!$AA$33:$AM$54,$C299+1)),0)*16/168</f>
        <v>49885.714285714283</v>
      </c>
      <c r="HD299" s="1715">
        <f t="shared" si="929"/>
        <v>38.683231229732002</v>
      </c>
      <c r="HE299" s="1715">
        <f>IF($A299&gt;=BegDate,VLOOKUP($A299,GasTable,13)+Assumptions!$C$58,0)</f>
        <v>4.5871112217967047</v>
      </c>
      <c r="HF299" s="1715">
        <f>HE299*Assumptions!$C$57/1000</f>
        <v>33.25655635802611</v>
      </c>
      <c r="HG299" s="530">
        <f>IF(Assumptions!$C$60="Hourly",MAX(0,HC299*(HD299-HF299)),HC299*(HD299-HF299))</f>
        <v>270713.55217138532</v>
      </c>
      <c r="HH299" s="530">
        <f>IF($A299&gt;=BegDate,Assumptions!$C$56*24*($A300-$A299)*(1-VLOOKUP($B299,MAIN!$AA$7:$AM$28,$C299+1))*(1-VLOOKUP($B299,MAIN!$AA$33:$AM$54,$C299+1)),0)*56/168</f>
        <v>174600</v>
      </c>
      <c r="HI299" s="1715">
        <f t="shared" si="930"/>
        <v>38.683231229732002</v>
      </c>
      <c r="HJ299" s="1715">
        <f>IF($A299&gt;=BegDate,VLOOKUP($A299,GasTable,13)+Assumptions!$C$58,0)</f>
        <v>4.5871112217967047</v>
      </c>
      <c r="HK299" s="1715">
        <f>HJ299*Assumptions!$C$57/1000</f>
        <v>33.25655635802611</v>
      </c>
      <c r="HL299" s="530">
        <f>IF(Assumptions!$C$60="Hourly",MAX(0,HH299*(HI299-HK299)),HH299*(HI299-HK299))</f>
        <v>947497.43259984872</v>
      </c>
      <c r="HM299" s="530">
        <f>IF(AND(Assumptions!$H$71="Yes",A299&gt;=Assumptions!$H$72,A299&lt;=Assumptions!$H$73),Assumptions!$H$74*Assumptions!$C$9*1000,0)</f>
        <v>0</v>
      </c>
    </row>
    <row r="300" spans="1:245">
      <c r="A300" s="177">
        <f t="shared" si="808"/>
        <v>45261</v>
      </c>
      <c r="B300" s="15">
        <f t="shared" si="809"/>
        <v>2023</v>
      </c>
      <c r="C300" s="1509">
        <f t="shared" si="931"/>
        <v>12</v>
      </c>
      <c r="D300" s="1864" t="str">
        <f t="shared" si="857"/>
        <v/>
      </c>
      <c r="E300" s="609" t="str">
        <f t="shared" si="858"/>
        <v/>
      </c>
      <c r="F300" s="1864" t="str">
        <f t="shared" si="859"/>
        <v/>
      </c>
      <c r="G300" s="1860">
        <v>0</v>
      </c>
      <c r="H300" s="152">
        <f t="shared" si="860"/>
        <v>1</v>
      </c>
      <c r="I300" s="154">
        <f>IF(Assumptions!$L$25=4,VLOOKUP($A300,'Henwood Reference'!$E$9:$R$320,10),(VLOOKUP($A300,PriceTable,2,0)+IF(BasisNumber&lt;&gt;1,VLOOKUP($A300,BasisTable,2,0),0)+I$1)/(1-I$2))</f>
        <v>63.02582517105462</v>
      </c>
      <c r="J300" s="154">
        <f>IF(Assumptions!$L$25=4,VLOOKUP($A300,'Henwood Reference'!$E$9:$R$320,10),(VLOOKUP($A300,PriceTable,3,0)+IF(BasisNumber&lt;&gt;1,VLOOKUP($A300,BasisTable,2,0),0)+J$1)/(1-J$2))</f>
        <v>63.02582517105462</v>
      </c>
      <c r="K300" s="154">
        <f>IF(Assumptions!$L$25=4,VLOOKUP($A300,'Henwood Reference'!$E$9:$R$320,10),(VLOOKUP($A300,PriceTable,4,0)+IF(BasisNumber&lt;&gt;1,VLOOKUP($A300,BasisTable,2,0),0)+K$1)/(1-K$2))</f>
        <v>63.02582517105462</v>
      </c>
      <c r="L300" s="474">
        <f>IF(Assumptions!$L$25=4,VLOOKUP($A300,'Henwood Reference'!$E$9:$R$320,10),(VLOOKUP($A300,PriceTableWeekend,2,0)+IF(BasisNumber&lt;&gt;1,VLOOKUP($A300,BasisTable,2,0),0)+L$1)/(1-L$2))</f>
        <v>63.02582517105462</v>
      </c>
      <c r="M300" s="154">
        <f>IF(Assumptions!$L$25=4,VLOOKUP($A300,'Henwood Reference'!$E$9:$R$320,10),(VLOOKUP($A300,PriceTableWeekend,3,0)+IF(BasisNumber&lt;&gt;1,VLOOKUP($A300,BasisTable,2,0),0)+M$1)/(1-M$2))</f>
        <v>63.02582517105462</v>
      </c>
      <c r="N300" s="156">
        <f>IF(Assumptions!$L$25=4,VLOOKUP($A300,'Henwood Reference'!$E$9:$R$320,10),(VLOOKUP($A300,PriceTableWeekend,4,0)+IF(BasisNumber&lt;&gt;1,VLOOKUP($A300,BasisTable,2,0),0)+N$1)/(1-N$2))</f>
        <v>63.02582517105462</v>
      </c>
      <c r="O300" s="154">
        <f>IF(Assumptions!$L$25=4,VLOOKUP($A300,'Henwood Reference'!$E$9:$R$320,11),(VLOOKUP($A300,PriceTableWeekend,6,0)+IF(BasisNumber&lt;&gt;1,VLOOKUP($A300,BasisTable,3,0),0)+O$1)/(1-O$2))</f>
        <v>39.498803529171802</v>
      </c>
      <c r="P300" s="154">
        <f>IF(Assumptions!$L$25=4,VLOOKUP($A300,'Henwood Reference'!$E$9:$R$320,11),(VLOOKUP($A300,PriceTableWeekend,7,0)+IF(BasisNumber&lt;&gt;1,VLOOKUP($A300,BasisTable,3,0),0)+P$1)/(1-P$2))</f>
        <v>39.498803529171802</v>
      </c>
      <c r="Q300" s="156">
        <f>IF(Assumptions!$L$25=4,VLOOKUP($A300,'Henwood Reference'!$E$9:$R$320,11),(VLOOKUP($A300,PriceTableWeekend,8,0)+IF(BasisNumber&lt;&gt;1,VLOOKUP($A300,BasisTable,3,0),0)+Q$1)/(1-Q$2))</f>
        <v>39.498803529171802</v>
      </c>
      <c r="R300" s="154">
        <f>IF(Assumptions!$L$25=4,VLOOKUP($A300,'Henwood Reference'!$E$9:$R$320,11),(VLOOKUP($A300,PriceTable,6,0)+IF(BasisNumber&lt;&gt;1,VLOOKUP($A300,BasisTable,3,0),0)+R$1)/(1-R$2))</f>
        <v>39.498803529171802</v>
      </c>
      <c r="S300" s="154">
        <f>IF(Assumptions!$L$25=4,VLOOKUP($A300,'Henwood Reference'!$E$9:$R$320,11),(VLOOKUP($A300,PriceTable,7,0)+IF(BasisNumber&lt;&gt;1,VLOOKUP($A300,BasisTable,3,0),0)+S$1)/(1-S$2))</f>
        <v>39.498803529171802</v>
      </c>
      <c r="T300" s="155">
        <f>IF(Assumptions!$L$25=4,VLOOKUP($A300,'Henwood Reference'!$E$9:$R$320,11),(VLOOKUP($A300,PriceTable,8,0)+IF(BasisNumber&lt;&gt;1,VLOOKUP($A300,BasisTable,3,0),0)+T$1)/(1-T$2))</f>
        <v>39.498803529171802</v>
      </c>
      <c r="U300" s="173">
        <f t="shared" si="811"/>
        <v>0.09</v>
      </c>
      <c r="V300" s="173">
        <f t="shared" si="812"/>
        <v>0.1</v>
      </c>
      <c r="W300" s="173">
        <f t="shared" si="813"/>
        <v>0.11</v>
      </c>
      <c r="X300" s="173">
        <f t="shared" si="814"/>
        <v>0.09</v>
      </c>
      <c r="Y300" s="173">
        <f t="shared" si="815"/>
        <v>0.1</v>
      </c>
      <c r="Z300" s="173">
        <f t="shared" si="816"/>
        <v>0.11</v>
      </c>
      <c r="AA300" s="173">
        <f t="shared" si="817"/>
        <v>0.09</v>
      </c>
      <c r="AB300" s="173">
        <f t="shared" si="818"/>
        <v>0.11</v>
      </c>
      <c r="AC300" s="173">
        <f t="shared" si="819"/>
        <v>0.13</v>
      </c>
      <c r="AD300" s="173">
        <f t="shared" si="820"/>
        <v>0.09</v>
      </c>
      <c r="AE300" s="173">
        <f t="shared" si="821"/>
        <v>0.11</v>
      </c>
      <c r="AF300" s="173">
        <f t="shared" si="822"/>
        <v>0.13</v>
      </c>
      <c r="AG300" s="173">
        <f t="shared" si="823"/>
        <v>-0.25</v>
      </c>
      <c r="AH300" s="173">
        <f t="shared" si="824"/>
        <v>0.6</v>
      </c>
      <c r="AI300" s="173">
        <f t="shared" si="825"/>
        <v>0.25</v>
      </c>
      <c r="AJ300" s="173">
        <f t="shared" si="826"/>
        <v>-0.25</v>
      </c>
      <c r="AK300" s="173">
        <f t="shared" si="827"/>
        <v>0.6</v>
      </c>
      <c r="AL300" s="173">
        <f t="shared" si="828"/>
        <v>0.25</v>
      </c>
      <c r="AM300" s="173">
        <f t="shared" si="829"/>
        <v>-0.01</v>
      </c>
      <c r="AN300" s="173">
        <f t="shared" si="830"/>
        <v>0.16</v>
      </c>
      <c r="AO300" s="173">
        <f t="shared" si="831"/>
        <v>0.01</v>
      </c>
      <c r="AP300" s="173">
        <f t="shared" si="832"/>
        <v>-0.01</v>
      </c>
      <c r="AQ300" s="173">
        <f t="shared" si="833"/>
        <v>0.16</v>
      </c>
      <c r="AR300" s="1861">
        <f t="shared" si="834"/>
        <v>0.01</v>
      </c>
      <c r="AS300" s="1862">
        <f t="shared" si="861"/>
        <v>0.5</v>
      </c>
      <c r="AT300" s="15">
        <f t="shared" si="862"/>
        <v>0</v>
      </c>
      <c r="AU300" s="159">
        <f t="shared" si="863"/>
        <v>0</v>
      </c>
      <c r="AV300" s="159">
        <f t="shared" si="864"/>
        <v>0</v>
      </c>
      <c r="AW300" s="159">
        <f t="shared" si="865"/>
        <v>0</v>
      </c>
      <c r="AX300" s="15">
        <f t="shared" si="866"/>
        <v>0</v>
      </c>
      <c r="AY300" s="1861">
        <f>IF(E300="",0,MIN((1-(1-VLOOKUP(B300,MAIN!$AA$7:$AM$28,C300+1))*(1-VLOOKUP(B300,MAIN!$AA$33:$AM$54,C300+1))),1))</f>
        <v>0</v>
      </c>
      <c r="AZ300" s="337">
        <f t="array" ref="AZ300:BO300">TakeFunction(TakeType,STake,OTake,CombineTakesFlag,MostExpFlag,VolumeEscType,VolumeEsc,DateToday,BegDate,EndDate,OrderedScalars,OrderedPrices,OrderedPricesSat,OrderedPricesSun,AvailDays,FirmWeek,FirmSat,FirmSun,FirmHol,OptWeek,OptSat,OptSun,OptHol)*(1-PlannedOutages)</f>
        <v>0</v>
      </c>
      <c r="BA300" s="337">
        <v>0</v>
      </c>
      <c r="BB300" s="337">
        <v>0</v>
      </c>
      <c r="BC300" s="337">
        <v>0</v>
      </c>
      <c r="BD300" s="154">
        <v>0</v>
      </c>
      <c r="BE300" s="154">
        <v>0</v>
      </c>
      <c r="BF300" s="154">
        <v>0</v>
      </c>
      <c r="BG300" s="154">
        <v>0</v>
      </c>
      <c r="BH300" s="337">
        <v>0</v>
      </c>
      <c r="BI300" s="337">
        <v>0</v>
      </c>
      <c r="BJ300" s="337">
        <v>0</v>
      </c>
      <c r="BK300" s="337">
        <v>0</v>
      </c>
      <c r="BL300" s="154">
        <v>0</v>
      </c>
      <c r="BM300" s="154">
        <v>0</v>
      </c>
      <c r="BN300" s="154">
        <v>0</v>
      </c>
      <c r="BO300" s="154">
        <v>0</v>
      </c>
      <c r="BP300" s="259">
        <f t="shared" si="867"/>
        <v>0</v>
      </c>
      <c r="BQ300" s="259">
        <f t="shared" si="868"/>
        <v>0</v>
      </c>
      <c r="BR300" s="259">
        <f t="shared" si="869"/>
        <v>0</v>
      </c>
      <c r="BS300" s="259">
        <f t="shared" si="870"/>
        <v>0</v>
      </c>
      <c r="BT300" s="216">
        <f t="shared" si="871"/>
        <v>23.630390143737166</v>
      </c>
      <c r="BU300" s="216">
        <f t="shared" si="872"/>
        <v>0</v>
      </c>
      <c r="BV300" s="216">
        <f t="shared" si="873"/>
        <v>0</v>
      </c>
      <c r="BW300" s="216">
        <f t="shared" si="874"/>
        <v>0</v>
      </c>
      <c r="BX300" s="216">
        <f t="shared" si="875"/>
        <v>0</v>
      </c>
      <c r="BY300" s="216">
        <f t="shared" si="876"/>
        <v>0</v>
      </c>
      <c r="BZ300" s="216">
        <f t="shared" si="877"/>
        <v>0</v>
      </c>
      <c r="CA300" s="216">
        <f t="shared" si="878"/>
        <v>0</v>
      </c>
      <c r="CB300" s="216">
        <f t="shared" si="879"/>
        <v>0</v>
      </c>
      <c r="CC300" s="216">
        <f t="shared" si="880"/>
        <v>0</v>
      </c>
      <c r="CD300" s="216">
        <f t="shared" si="881"/>
        <v>0</v>
      </c>
      <c r="CE300" s="216">
        <f t="shared" si="882"/>
        <v>0</v>
      </c>
      <c r="CF300" s="216">
        <f t="shared" si="883"/>
        <v>0</v>
      </c>
      <c r="CG300" s="1863" t="str">
        <f t="shared" si="884"/>
        <v/>
      </c>
      <c r="CH300" s="219" t="str">
        <f t="shared" si="885"/>
        <v/>
      </c>
      <c r="CI300" s="219" t="str">
        <f t="shared" si="886"/>
        <v/>
      </c>
      <c r="CJ300" s="219" t="str">
        <f t="shared" si="887"/>
        <v/>
      </c>
      <c r="CK300" s="219" t="str">
        <f t="shared" si="888"/>
        <v/>
      </c>
      <c r="CL300" s="219" t="str">
        <f t="shared" si="889"/>
        <v/>
      </c>
      <c r="CM300" s="219" t="str">
        <f t="shared" si="890"/>
        <v/>
      </c>
      <c r="CN300" s="219" t="str">
        <f t="shared" si="891"/>
        <v/>
      </c>
      <c r="CO300" s="216">
        <f t="shared" si="892"/>
        <v>0</v>
      </c>
      <c r="CP300" s="216">
        <f t="shared" si="893"/>
        <v>0</v>
      </c>
      <c r="CQ300" s="216">
        <f t="shared" si="703"/>
        <v>0</v>
      </c>
      <c r="CR300" s="216">
        <f t="shared" si="704"/>
        <v>0</v>
      </c>
      <c r="CS300" s="1626">
        <f t="shared" si="705"/>
        <v>0</v>
      </c>
      <c r="CT300" s="216">
        <f t="shared" si="894"/>
        <v>0</v>
      </c>
      <c r="CU300" s="479" t="str">
        <f t="shared" si="895"/>
        <v/>
      </c>
      <c r="CV300" s="154" t="str">
        <f t="shared" si="896"/>
        <v/>
      </c>
      <c r="CW300" s="216">
        <f>IF(OR($BQ300,$BS300),SpreadOptPowerMargin,0)*((1+Assumptions!$C$26)^($B300-YEAR(Assumptions!$C$17)))</f>
        <v>0</v>
      </c>
      <c r="CX300" s="216">
        <f>IF(OR($BQ300,$BS300),SpreadOptPowerMargin,0)*((1+Assumptions!$C$26)^($B300-YEAR(Assumptions!$C$17)))</f>
        <v>0</v>
      </c>
      <c r="CY300" s="216">
        <f>IF(OR($BQ300,$BS300),SpreadOptPowerMargin,0)*((1+Assumptions!$C$26)^($B300-YEAR(Assumptions!$C$17)))</f>
        <v>0</v>
      </c>
      <c r="CZ300" s="216">
        <f>IF(OR($BQ300,$BS300),SpreadOptPowerMargin,0)*((1+Assumptions!$C$26)^($B300-YEAR(Assumptions!$C$17)))</f>
        <v>0</v>
      </c>
      <c r="DA300" s="216">
        <f t="shared" si="897"/>
        <v>0</v>
      </c>
      <c r="DB300" s="479" t="str">
        <f t="shared" si="898"/>
        <v/>
      </c>
      <c r="DC300" s="479" t="str">
        <f t="shared" si="899"/>
        <v/>
      </c>
      <c r="DD300" s="479" t="str">
        <f t="shared" si="900"/>
        <v/>
      </c>
      <c r="DE300" s="479" t="str">
        <f t="shared" si="901"/>
        <v/>
      </c>
      <c r="DF300" s="479" t="str">
        <f t="shared" si="902"/>
        <v/>
      </c>
      <c r="DG300" s="479" t="str">
        <f t="shared" si="903"/>
        <v/>
      </c>
      <c r="DH300" s="216">
        <f t="shared" si="904"/>
        <v>0</v>
      </c>
      <c r="DI300" s="216">
        <f t="shared" si="905"/>
        <v>0</v>
      </c>
      <c r="DJ300" s="216">
        <f t="shared" si="706"/>
        <v>0</v>
      </c>
      <c r="DK300" s="216">
        <f t="shared" si="707"/>
        <v>0</v>
      </c>
      <c r="DL300" s="216">
        <f t="shared" si="708"/>
        <v>0</v>
      </c>
      <c r="DM300" s="216"/>
      <c r="DN300" s="216"/>
      <c r="DO300" s="216"/>
      <c r="DP300" s="216"/>
      <c r="DQ300" s="216"/>
      <c r="DR300" s="216"/>
      <c r="DS300" s="216"/>
      <c r="DT300" s="216"/>
      <c r="DU300" s="216"/>
      <c r="DV300" s="216"/>
      <c r="DW300" s="216">
        <f t="shared" si="906"/>
        <v>0</v>
      </c>
      <c r="DX300" s="216">
        <f t="shared" si="907"/>
        <v>0</v>
      </c>
      <c r="DY300" s="216">
        <f t="shared" si="908"/>
        <v>0</v>
      </c>
      <c r="DZ300" s="180">
        <f t="shared" si="909"/>
        <v>0</v>
      </c>
      <c r="EA300" s="180">
        <f t="shared" si="910"/>
        <v>0</v>
      </c>
      <c r="EB300" s="180">
        <f t="shared" si="709"/>
        <v>0</v>
      </c>
      <c r="EC300" s="180">
        <f t="shared" si="710"/>
        <v>0</v>
      </c>
      <c r="ED300" s="180">
        <f t="shared" si="711"/>
        <v>0</v>
      </c>
      <c r="EE300" s="554">
        <f t="shared" si="911"/>
        <v>0</v>
      </c>
      <c r="EF300" s="554">
        <f t="shared" si="912"/>
        <v>0</v>
      </c>
      <c r="EG300" s="554">
        <f t="shared" si="712"/>
        <v>0</v>
      </c>
      <c r="EH300" s="554">
        <f t="shared" si="713"/>
        <v>0</v>
      </c>
      <c r="EI300" s="561">
        <f t="shared" si="792"/>
        <v>0</v>
      </c>
      <c r="EJ300" s="554">
        <f t="shared" si="913"/>
        <v>0</v>
      </c>
      <c r="EK300" s="554">
        <f t="shared" si="914"/>
        <v>0</v>
      </c>
      <c r="EL300" s="554">
        <f t="shared" si="714"/>
        <v>0</v>
      </c>
      <c r="EM300" s="554">
        <f t="shared" si="715"/>
        <v>0</v>
      </c>
      <c r="EN300" s="561">
        <f t="shared" si="716"/>
        <v>0</v>
      </c>
      <c r="EO300" s="180">
        <f t="shared" si="915"/>
        <v>0</v>
      </c>
      <c r="EP300" s="180">
        <f t="shared" si="916"/>
        <v>0</v>
      </c>
      <c r="EQ300" s="180">
        <f t="shared" si="917"/>
        <v>0</v>
      </c>
      <c r="ER300" s="180">
        <f t="shared" si="918"/>
        <v>0</v>
      </c>
      <c r="ES300" s="180">
        <f t="shared" si="919"/>
        <v>0</v>
      </c>
      <c r="ET300" s="1482">
        <f t="shared" si="717"/>
        <v>0</v>
      </c>
      <c r="EU300" s="180">
        <f t="shared" si="718"/>
        <v>0</v>
      </c>
      <c r="EV300" s="180">
        <f t="shared" si="719"/>
        <v>0</v>
      </c>
      <c r="EW300" s="180">
        <f t="shared" si="720"/>
        <v>0</v>
      </c>
      <c r="EX300" s="555">
        <f t="shared" si="932"/>
        <v>0</v>
      </c>
      <c r="EY300" s="180">
        <f t="shared" si="721"/>
        <v>0</v>
      </c>
      <c r="EZ300" s="180">
        <f t="shared" si="722"/>
        <v>0</v>
      </c>
      <c r="FA300" s="180">
        <f t="shared" si="723"/>
        <v>0</v>
      </c>
      <c r="FB300" s="180">
        <f t="shared" si="724"/>
        <v>0</v>
      </c>
      <c r="FC300" s="180">
        <f t="shared" si="725"/>
        <v>0</v>
      </c>
      <c r="FD300" s="337">
        <f>IF(AX300,IF(VLOOKUP(C300,MAIN!$L$17:$M$28,2)="Yes",VLOOKUP(CALC!B300,MAIN!$H$17:$I$20,2),0),0)</f>
        <v>0</v>
      </c>
      <c r="FE300" s="535">
        <f t="shared" si="920"/>
        <v>0</v>
      </c>
      <c r="FF300" s="535">
        <f t="shared" si="921"/>
        <v>0</v>
      </c>
      <c r="FG300" s="535">
        <f t="shared" si="922"/>
        <v>0</v>
      </c>
      <c r="FH300" s="535">
        <f t="shared" si="923"/>
        <v>0</v>
      </c>
      <c r="FI300" s="632">
        <f>IF(AX300,VLOOKUP(CALC!B300,MAIN!$H$17:$K$20,4),0)</f>
        <v>0</v>
      </c>
      <c r="FJ300" s="535">
        <f t="shared" si="802"/>
        <v>0</v>
      </c>
      <c r="FK300" s="535">
        <f t="shared" si="924"/>
        <v>0</v>
      </c>
      <c r="FL300" s="530">
        <f t="shared" si="726"/>
        <v>0</v>
      </c>
      <c r="FM300" s="530">
        <f t="shared" si="727"/>
        <v>0</v>
      </c>
      <c r="FN300" s="530">
        <f t="shared" si="728"/>
        <v>0</v>
      </c>
      <c r="FO300" s="622">
        <f t="shared" si="729"/>
        <v>0</v>
      </c>
      <c r="FP300" s="530">
        <f t="shared" si="730"/>
        <v>0</v>
      </c>
      <c r="FQ300" s="530">
        <f t="shared" si="731"/>
        <v>0</v>
      </c>
      <c r="FR300" s="530">
        <f t="shared" si="732"/>
        <v>0</v>
      </c>
      <c r="FS300" s="625">
        <f t="shared" si="733"/>
        <v>0</v>
      </c>
      <c r="FT300" s="640">
        <f>IF(AND(Assumptions!$H$71="Yes",A300&gt;=Assumptions!$H$72,A300&lt;=Assumptions!$H$73),0,IF(AND($A300&gt;=Assumptions!$C$17,$A300&lt;=Assumptions!$C$18),MAX(AZ300*(1+VLOOKUP($C300,WeatherCapacityAdjustment,2))-FL300,0),0))</f>
        <v>0</v>
      </c>
      <c r="FU300" s="530">
        <f>IF(AND(Assumptions!$H$71="Yes",A300&gt;=Assumptions!$H$72,A300&lt;=Assumptions!$H$73),0,IF(AND($A300&gt;=Assumptions!$C$17,$A300&lt;=Assumptions!$C$18),MAX(BA300*(1+VLOOKUP($C300,WeatherCapacityAdjustment,2))-FM300,0),0))</f>
        <v>0</v>
      </c>
      <c r="FV300" s="530">
        <f>IF(AND(Assumptions!$H$71="Yes",A300&gt;=Assumptions!$H$72,A300&lt;=Assumptions!$H$73),0,IF(AND($A300&gt;=Assumptions!$C$17,$A300&lt;=Assumptions!$C$18),MAX(BB300*(1+VLOOKUP($C300,WeatherCapacityAdjustment,2))-FN300,0),0))</f>
        <v>0</v>
      </c>
      <c r="FW300" s="622">
        <f>IF(AND(Assumptions!$H$71="Yes",A300&gt;=Assumptions!$H$72,A300&lt;=Assumptions!$H$73),0,IF(AND($A300&gt;=Assumptions!$C$17,$A300&lt;=Assumptions!$C$18),MAX(BC300*(1+VLOOKUP($C300,WeatherCapacityAdjustment,3))-FO300,0),0))</f>
        <v>0</v>
      </c>
      <c r="FX300" s="621">
        <f>IF(AND(Assumptions!$H$71="Yes",A300&gt;=Assumptions!$H$72,A300&lt;=Assumptions!$H$73),0,IF(ET300&gt;0,MAX(BH300*(1+VLOOKUP($C300,WeatherCapacityAdjustment,2))-FP300,0),0))</f>
        <v>0</v>
      </c>
      <c r="FY300" s="530">
        <f>IF(AND(Assumptions!$H$71="Yes",A300&gt;=Assumptions!$H$72,A300&lt;=Assumptions!$H$73),0,IF(EU300&gt;0,MAX(BI300*(1+VLOOKUP($C300,WeatherCapacityAdjustment,3))-FQ300,0),0))</f>
        <v>0</v>
      </c>
      <c r="FZ300" s="530">
        <f>IF(AND(Assumptions!$H$71="Yes",A300&gt;=Assumptions!$H$72,A300&lt;=Assumptions!$H$73),0,IF(EV300&gt;0,MAX(BJ300*(1+VLOOKUP($C300,WeatherCapacityAdjustment,2))-FR300,0),0))</f>
        <v>0</v>
      </c>
      <c r="GA300" s="622">
        <f>IF(AND(Assumptions!$H$71="Yes",A300&gt;=Assumptions!$H$72,A300&lt;=Assumptions!$H$73),0,IF(EW300&gt;0,MAX(BK300*(1+VLOOKUP($C300,WeatherCapacityAdjustment,2))-FS300,0),0))</f>
        <v>0</v>
      </c>
      <c r="GB300" s="530">
        <f t="shared" si="803"/>
        <v>0</v>
      </c>
      <c r="GC300" s="545">
        <f t="shared" si="804"/>
        <v>0</v>
      </c>
      <c r="GD300" s="530">
        <f t="shared" si="734"/>
        <v>0</v>
      </c>
      <c r="GE300" s="1485">
        <f t="shared" si="735"/>
        <v>0</v>
      </c>
      <c r="GF300" s="1776">
        <f t="shared" si="736"/>
        <v>0</v>
      </c>
      <c r="GG300" s="545">
        <f t="shared" si="925"/>
        <v>0</v>
      </c>
      <c r="GH300" s="622">
        <f t="shared" si="702"/>
        <v>0</v>
      </c>
      <c r="GI300" s="621">
        <f t="shared" si="849"/>
        <v>0</v>
      </c>
      <c r="GJ300" s="638">
        <f t="shared" si="926"/>
        <v>0</v>
      </c>
      <c r="GK300" s="625">
        <f t="shared" si="855"/>
        <v>0</v>
      </c>
      <c r="GL300" s="640">
        <f t="shared" si="737"/>
        <v>0</v>
      </c>
      <c r="GM300" s="530">
        <f t="shared" si="738"/>
        <v>0</v>
      </c>
      <c r="GN300" s="530">
        <f t="shared" si="739"/>
        <v>0</v>
      </c>
      <c r="GO300" s="622">
        <f t="shared" si="740"/>
        <v>0</v>
      </c>
      <c r="GP300" s="530">
        <f t="shared" si="806"/>
        <v>0</v>
      </c>
      <c r="GQ300" s="545">
        <f t="shared" si="807"/>
        <v>0</v>
      </c>
      <c r="GR300" s="625">
        <f t="shared" si="741"/>
        <v>0</v>
      </c>
      <c r="GS300" s="530">
        <f>IF($A300&gt;=BegDate,Assumptions!$C$56*24*($A301-$A300)*(1-VLOOKUP($B300,MAIN!$AA$7:$AM$28,$C300+1))*(1-VLOOKUP($B300,MAIN!$AA$33:$AM$54,$C300+1)),0)*80/168</f>
        <v>257742.85714285713</v>
      </c>
      <c r="GT300" s="1715">
        <f t="shared" si="927"/>
        <v>63.02582517105462</v>
      </c>
      <c r="GU300" s="1715">
        <f>IF($A300&gt;=BegDate,VLOOKUP($A300,GasTable,13)+Assumptions!$C$58,0)</f>
        <v>4.5871112217967047</v>
      </c>
      <c r="GV300" s="1715">
        <f>GU300*Assumptions!$C$57/1000</f>
        <v>33.25655635802611</v>
      </c>
      <c r="GW300" s="530">
        <f>IF(Assumptions!$C$60="Hourly",MAX(0,GS300*(GT300-GV300)),GS300*(GT300-GV300))</f>
        <v>7672816.3989237193</v>
      </c>
      <c r="GX300" s="530">
        <f>IF($A300&gt;=BegDate,Assumptions!$C$56*24*($A301-$A300)*(1-VLOOKUP($B300,MAIN!$AA$7:$AM$28,$C300+1))*(1-VLOOKUP($B300,MAIN!$AA$33:$AM$54,$C300+1)),0)*16/168</f>
        <v>51548.571428571428</v>
      </c>
      <c r="GY300" s="1715">
        <f t="shared" si="928"/>
        <v>63.02582517105462</v>
      </c>
      <c r="GZ300" s="1715">
        <f>IF($A300&gt;=BegDate,VLOOKUP($A300,GasTable,13)+Assumptions!$C$58,0)</f>
        <v>4.5871112217967047</v>
      </c>
      <c r="HA300" s="1715">
        <f>GZ300*Assumptions!$C$57/1000</f>
        <v>33.25655635802611</v>
      </c>
      <c r="HB300" s="530">
        <f>IF(Assumptions!$C$60="Hourly",MAX(0,GX300*(GY300-HA300)),GX300*(GY300-HA300))</f>
        <v>1534563.2797847439</v>
      </c>
      <c r="HC300" s="530">
        <f>IF($A300&gt;=BegDate,Assumptions!$C$56*24*($A301-$A300)*(1-VLOOKUP($B300,MAIN!$AA$7:$AM$28,$C300+1))*(1-VLOOKUP($B300,MAIN!$AA$33:$AM$54,$C300+1)),0)*16/168</f>
        <v>51548.571428571428</v>
      </c>
      <c r="HD300" s="1715">
        <f t="shared" si="929"/>
        <v>39.498803529171802</v>
      </c>
      <c r="HE300" s="1715">
        <f>IF($A300&gt;=BegDate,VLOOKUP($A300,GasTable,13)+Assumptions!$C$58,0)</f>
        <v>4.5871112217967047</v>
      </c>
      <c r="HF300" s="1715">
        <f>HE300*Assumptions!$C$57/1000</f>
        <v>33.25655635802611</v>
      </c>
      <c r="HG300" s="530">
        <f>IF(Assumptions!$C$60="Hourly",MAX(0,HC300*(HD300-HF300)),HC300*(HD300-HF300))</f>
        <v>321778.92417660163</v>
      </c>
      <c r="HH300" s="530">
        <f>IF($A300&gt;=BegDate,Assumptions!$C$56*24*($A301-$A300)*(1-VLOOKUP($B300,MAIN!$AA$7:$AM$28,$C300+1))*(1-VLOOKUP($B300,MAIN!$AA$33:$AM$54,$C300+1)),0)*56/168</f>
        <v>180420</v>
      </c>
      <c r="HI300" s="1715">
        <f t="shared" si="930"/>
        <v>39.498803529171802</v>
      </c>
      <c r="HJ300" s="1715">
        <f>IF($A300&gt;=BegDate,VLOOKUP($A300,GasTable,13)+Assumptions!$C$58,0)</f>
        <v>4.5871112217967047</v>
      </c>
      <c r="HK300" s="1715">
        <f>HJ300*Assumptions!$C$57/1000</f>
        <v>33.25655635802611</v>
      </c>
      <c r="HL300" s="530">
        <f>IF(Assumptions!$C$60="Hourly",MAX(0,HH300*(HI300-HK300)),HH300*(HI300-HK300))</f>
        <v>1126226.2346181057</v>
      </c>
      <c r="HM300" s="530">
        <f>IF(AND(Assumptions!$H$71="Yes",A300&gt;=Assumptions!$H$72,A300&lt;=Assumptions!$H$73),Assumptions!$H$74*Assumptions!$C$9*1000,0)</f>
        <v>0</v>
      </c>
    </row>
    <row r="301" spans="1:245">
      <c r="A301" s="1859">
        <f t="shared" si="808"/>
        <v>45292</v>
      </c>
      <c r="B301" s="15">
        <f t="shared" si="809"/>
        <v>2024</v>
      </c>
      <c r="C301" s="1509">
        <f>MONTH(A301)</f>
        <v>1</v>
      </c>
      <c r="D301" s="155"/>
      <c r="E301" s="94"/>
      <c r="F301" s="94"/>
      <c r="I301" s="94"/>
      <c r="J301" s="94"/>
      <c r="K301" s="94"/>
      <c r="L301" s="94"/>
      <c r="M301" s="96"/>
      <c r="N301" s="96"/>
      <c r="O301" s="96"/>
      <c r="P301" s="96"/>
      <c r="Q301" s="94"/>
      <c r="R301" s="94"/>
      <c r="S301" s="94"/>
      <c r="T301" s="94"/>
      <c r="AU301" s="95"/>
      <c r="AV301" s="95"/>
      <c r="AW301" s="95"/>
    </row>
    <row r="302" spans="1:245">
      <c r="A302" s="92"/>
      <c r="B302" s="92"/>
      <c r="C302" s="92"/>
      <c r="D302" s="94"/>
      <c r="E302" s="94"/>
      <c r="F302" s="94"/>
      <c r="I302" s="94"/>
      <c r="J302" s="94"/>
      <c r="K302" s="94"/>
      <c r="L302" s="94"/>
      <c r="M302" s="96"/>
      <c r="N302" s="96"/>
      <c r="O302" s="96"/>
      <c r="P302" s="96"/>
      <c r="Q302" s="94"/>
      <c r="R302" s="94"/>
      <c r="S302" s="94"/>
      <c r="T302" s="94"/>
      <c r="AU302" s="95"/>
      <c r="AV302" s="95"/>
      <c r="AW302" s="95"/>
    </row>
    <row r="303" spans="1:245">
      <c r="A303" s="92"/>
      <c r="B303" s="92"/>
      <c r="C303" s="92"/>
      <c r="D303" s="94"/>
      <c r="E303" s="94"/>
      <c r="F303" s="94"/>
      <c r="I303" s="94"/>
      <c r="J303" s="94"/>
      <c r="K303" s="94"/>
      <c r="L303" s="94"/>
      <c r="M303" s="96"/>
      <c r="N303" s="96"/>
      <c r="O303" s="96"/>
      <c r="P303" s="96"/>
      <c r="Q303" s="94"/>
      <c r="R303" s="94"/>
      <c r="S303" s="94"/>
      <c r="T303" s="94"/>
      <c r="AU303" s="95"/>
      <c r="AV303" s="95"/>
      <c r="AW303" s="95"/>
    </row>
    <row r="304" spans="1:245">
      <c r="A304" s="92"/>
      <c r="B304" s="92"/>
      <c r="C304" s="92"/>
      <c r="D304" s="94"/>
      <c r="E304" s="94"/>
      <c r="F304" s="94"/>
      <c r="I304" s="94"/>
      <c r="J304" s="94"/>
      <c r="K304" s="94"/>
      <c r="L304" s="94"/>
      <c r="M304" s="96"/>
      <c r="N304" s="96"/>
      <c r="O304" s="96"/>
      <c r="P304" s="96"/>
      <c r="Q304" s="94"/>
      <c r="R304" s="94"/>
      <c r="S304" s="94"/>
      <c r="T304" s="94"/>
      <c r="AU304" s="95"/>
      <c r="AV304" s="95"/>
      <c r="AW304" s="95"/>
      <c r="IK304" s="544"/>
    </row>
    <row r="305" spans="1:245">
      <c r="A305" s="92"/>
      <c r="B305" s="92"/>
      <c r="C305" s="92"/>
      <c r="D305" s="94"/>
      <c r="E305" s="94"/>
      <c r="F305" s="94"/>
      <c r="I305" s="94"/>
      <c r="J305" s="94"/>
      <c r="K305" s="94"/>
      <c r="L305" s="94"/>
      <c r="M305" s="96"/>
      <c r="N305" s="96"/>
      <c r="O305" s="96"/>
      <c r="P305" s="96"/>
      <c r="Q305" s="94"/>
      <c r="R305" s="94"/>
      <c r="S305" s="94"/>
      <c r="T305" s="94"/>
      <c r="AU305" s="95"/>
      <c r="AV305" s="95"/>
      <c r="AW305" s="95"/>
      <c r="IK305" s="544"/>
    </row>
    <row r="306" spans="1:245">
      <c r="A306" s="92"/>
      <c r="B306" s="92"/>
      <c r="C306" s="92"/>
      <c r="D306" s="94"/>
      <c r="E306" s="94"/>
      <c r="F306" s="94"/>
      <c r="I306" s="94"/>
      <c r="J306" s="94"/>
      <c r="K306" s="94"/>
      <c r="L306" s="94"/>
      <c r="M306" s="96"/>
      <c r="N306" s="96"/>
      <c r="O306" s="96"/>
      <c r="P306" s="96"/>
      <c r="Q306" s="94"/>
      <c r="R306" s="94"/>
      <c r="S306" s="94"/>
      <c r="T306" s="94"/>
      <c r="AU306" s="95"/>
      <c r="AV306" s="95"/>
      <c r="AW306" s="95"/>
      <c r="IK306" s="544"/>
    </row>
    <row r="307" spans="1:245">
      <c r="A307" s="92"/>
      <c r="B307" s="92"/>
      <c r="C307" s="92"/>
      <c r="D307" s="94"/>
      <c r="E307" s="94"/>
      <c r="F307" s="94"/>
      <c r="I307" s="94"/>
      <c r="J307" s="94"/>
      <c r="K307" s="94"/>
      <c r="L307" s="94"/>
      <c r="M307" s="96"/>
      <c r="N307" s="96"/>
      <c r="O307" s="96"/>
      <c r="P307" s="96"/>
      <c r="Q307" s="94"/>
      <c r="R307" s="94"/>
      <c r="S307" s="94"/>
      <c r="T307" s="94"/>
      <c r="AU307" s="95"/>
      <c r="AV307" s="95"/>
      <c r="AW307" s="95"/>
      <c r="IK307" s="544"/>
    </row>
    <row r="308" spans="1:245">
      <c r="A308" s="92"/>
      <c r="B308" s="92"/>
      <c r="C308" s="92"/>
      <c r="D308" s="94"/>
      <c r="E308" s="94"/>
      <c r="F308" s="94"/>
      <c r="I308" s="94"/>
      <c r="J308" s="94"/>
      <c r="K308" s="94"/>
      <c r="L308" s="94"/>
      <c r="M308" s="96"/>
      <c r="N308" s="96"/>
      <c r="O308" s="96"/>
      <c r="P308" s="96"/>
      <c r="Q308" s="94"/>
      <c r="R308" s="94"/>
      <c r="S308" s="94"/>
      <c r="T308" s="94"/>
      <c r="AU308" s="95"/>
      <c r="AV308" s="95"/>
      <c r="AW308" s="95"/>
      <c r="IK308" s="544"/>
    </row>
    <row r="309" spans="1:245">
      <c r="A309" s="92"/>
      <c r="B309" s="92"/>
      <c r="C309" s="92"/>
      <c r="D309" s="94"/>
      <c r="E309" s="94"/>
      <c r="F309" s="94"/>
      <c r="I309" s="94"/>
      <c r="J309" s="94"/>
      <c r="K309" s="94"/>
      <c r="L309" s="94"/>
      <c r="M309" s="96"/>
      <c r="N309" s="96"/>
      <c r="O309" s="96"/>
      <c r="P309" s="96"/>
      <c r="Q309" s="94"/>
      <c r="R309" s="94"/>
      <c r="S309" s="94"/>
      <c r="T309" s="94"/>
      <c r="AU309" s="95"/>
      <c r="AV309" s="95"/>
      <c r="AW309" s="95"/>
      <c r="IK309" s="544"/>
    </row>
    <row r="310" spans="1:245">
      <c r="A310" s="92"/>
      <c r="B310" s="92"/>
      <c r="C310" s="92"/>
      <c r="D310" s="94"/>
      <c r="E310" s="94"/>
      <c r="F310" s="94"/>
      <c r="I310" s="94"/>
      <c r="J310" s="94"/>
      <c r="K310" s="94"/>
      <c r="L310" s="94"/>
      <c r="M310" s="96"/>
      <c r="N310" s="96"/>
      <c r="O310" s="96"/>
      <c r="P310" s="96"/>
      <c r="Q310" s="94"/>
      <c r="R310" s="94"/>
      <c r="S310" s="94"/>
      <c r="T310" s="94"/>
      <c r="AU310" s="95"/>
      <c r="AV310" s="95"/>
      <c r="AW310" s="95"/>
      <c r="IK310" s="544"/>
    </row>
    <row r="311" spans="1:245">
      <c r="A311" s="92"/>
      <c r="B311" s="92"/>
      <c r="C311" s="92"/>
      <c r="D311" s="94"/>
      <c r="E311" s="94"/>
      <c r="F311" s="94"/>
      <c r="I311" s="94"/>
      <c r="J311" s="94"/>
      <c r="K311" s="94"/>
      <c r="L311" s="94"/>
      <c r="M311" s="96"/>
      <c r="N311" s="96"/>
      <c r="O311" s="96"/>
      <c r="P311" s="96"/>
      <c r="Q311" s="94"/>
      <c r="R311" s="94"/>
      <c r="S311" s="94"/>
      <c r="T311" s="94"/>
      <c r="AU311" s="95"/>
      <c r="AV311" s="95"/>
      <c r="AW311" s="95"/>
      <c r="IK311" s="544"/>
    </row>
    <row r="312" spans="1:245">
      <c r="A312" s="92"/>
      <c r="B312" s="92"/>
      <c r="C312" s="92"/>
      <c r="D312" s="94"/>
      <c r="E312" s="94"/>
      <c r="F312" s="94"/>
      <c r="I312" s="94"/>
      <c r="J312" s="94"/>
      <c r="K312" s="94"/>
      <c r="L312" s="94"/>
      <c r="M312" s="96"/>
      <c r="N312" s="96"/>
      <c r="O312" s="96"/>
      <c r="P312" s="96"/>
      <c r="Q312" s="94"/>
      <c r="R312" s="94"/>
      <c r="S312" s="94"/>
      <c r="T312" s="94"/>
      <c r="AU312" s="95"/>
      <c r="AV312" s="95"/>
      <c r="AW312" s="95"/>
      <c r="IK312" s="544"/>
    </row>
    <row r="313" spans="1:245">
      <c r="A313" s="92"/>
      <c r="B313" s="92"/>
      <c r="C313" s="92"/>
      <c r="D313" s="94"/>
      <c r="E313" s="94"/>
      <c r="F313" s="94"/>
      <c r="I313" s="94"/>
      <c r="J313" s="94"/>
      <c r="K313" s="94"/>
      <c r="L313" s="94"/>
      <c r="M313" s="96"/>
      <c r="N313" s="96"/>
      <c r="O313" s="96"/>
      <c r="P313" s="96"/>
      <c r="Q313" s="94"/>
      <c r="R313" s="94"/>
      <c r="S313" s="94"/>
      <c r="T313" s="94"/>
      <c r="AU313" s="95"/>
      <c r="AV313" s="95"/>
      <c r="AW313" s="95"/>
      <c r="IK313" s="544"/>
    </row>
    <row r="314" spans="1:245">
      <c r="A314" s="92"/>
      <c r="B314" s="92"/>
      <c r="C314" s="92"/>
      <c r="D314" s="94"/>
      <c r="E314" s="94"/>
      <c r="F314" s="94"/>
      <c r="I314" s="94"/>
      <c r="J314" s="94"/>
      <c r="K314" s="94"/>
      <c r="L314" s="94"/>
      <c r="M314" s="96"/>
      <c r="N314" s="96"/>
      <c r="O314" s="96"/>
      <c r="P314" s="96"/>
      <c r="Q314" s="94"/>
      <c r="R314" s="94"/>
      <c r="S314" s="94"/>
      <c r="T314" s="94"/>
      <c r="AU314" s="95"/>
      <c r="AV314" s="95"/>
      <c r="AW314" s="95"/>
      <c r="IK314" s="544"/>
    </row>
    <row r="315" spans="1:245">
      <c r="A315" s="92"/>
      <c r="B315" s="92"/>
      <c r="C315" s="92"/>
      <c r="D315" s="94"/>
      <c r="E315" s="94"/>
      <c r="F315" s="94"/>
      <c r="I315" s="94"/>
      <c r="J315" s="94"/>
      <c r="K315" s="94"/>
      <c r="L315" s="94"/>
      <c r="M315" s="96"/>
      <c r="N315" s="96"/>
      <c r="O315" s="96"/>
      <c r="P315" s="96"/>
      <c r="Q315" s="94"/>
      <c r="R315" s="94"/>
      <c r="S315" s="94"/>
      <c r="T315" s="94"/>
      <c r="AU315" s="95"/>
      <c r="AV315" s="95"/>
      <c r="AW315" s="95"/>
      <c r="IK315" s="544"/>
    </row>
    <row r="316" spans="1:245">
      <c r="A316" s="92"/>
      <c r="B316" s="92"/>
      <c r="C316" s="92"/>
      <c r="D316" s="94"/>
      <c r="E316" s="94"/>
      <c r="F316" s="94"/>
      <c r="I316" s="94"/>
      <c r="IK316" s="544"/>
    </row>
    <row r="317" spans="1:245">
      <c r="A317" s="92"/>
      <c r="B317" s="92"/>
      <c r="C317" s="92"/>
      <c r="D317" s="94"/>
      <c r="E317" s="94"/>
      <c r="F317" s="94"/>
      <c r="I317" s="94"/>
      <c r="IK317" s="544"/>
    </row>
    <row r="318" spans="1:245">
      <c r="A318" s="92"/>
      <c r="B318" s="92"/>
      <c r="C318" s="92"/>
      <c r="D318" s="94"/>
      <c r="E318" s="94"/>
      <c r="F318" s="94"/>
      <c r="I318" s="94"/>
      <c r="IK318" s="544"/>
    </row>
    <row r="319" spans="1:245">
      <c r="A319" s="92"/>
      <c r="B319" s="92"/>
      <c r="C319" s="92"/>
      <c r="D319" s="94"/>
      <c r="E319" s="94"/>
      <c r="F319" s="94"/>
      <c r="I319" s="94"/>
      <c r="IK319" s="544"/>
    </row>
    <row r="320" spans="1:245">
      <c r="A320" s="92"/>
      <c r="B320" s="92"/>
      <c r="C320" s="92"/>
      <c r="D320" s="94"/>
      <c r="E320" s="94"/>
      <c r="F320" s="94"/>
      <c r="I320" s="94"/>
      <c r="IK320" s="544"/>
    </row>
    <row r="321" spans="1:245">
      <c r="A321" s="92"/>
      <c r="B321" s="92"/>
      <c r="C321" s="92"/>
      <c r="D321" s="94"/>
      <c r="E321" s="94"/>
      <c r="F321" s="94"/>
      <c r="I321" s="94"/>
      <c r="IK321" s="544"/>
    </row>
    <row r="322" spans="1:245">
      <c r="A322" s="92"/>
      <c r="B322" s="92"/>
      <c r="C322" s="92"/>
      <c r="D322" s="94"/>
      <c r="E322" s="94"/>
      <c r="F322" s="94"/>
      <c r="I322" s="94"/>
      <c r="IK322" s="544"/>
    </row>
    <row r="323" spans="1:245">
      <c r="A323" s="92"/>
      <c r="B323" s="92"/>
      <c r="C323" s="92"/>
      <c r="D323" s="94"/>
      <c r="E323" s="94"/>
      <c r="F323" s="94"/>
      <c r="I323" s="94"/>
      <c r="IK323" s="544"/>
    </row>
    <row r="324" spans="1:245">
      <c r="A324" s="92"/>
      <c r="B324" s="92"/>
      <c r="C324" s="92"/>
      <c r="D324" s="94"/>
      <c r="E324" s="94"/>
      <c r="F324" s="94"/>
      <c r="I324" s="94"/>
      <c r="IK324" s="544"/>
    </row>
    <row r="325" spans="1:245">
      <c r="A325" s="92"/>
      <c r="B325" s="92"/>
      <c r="C325" s="92"/>
      <c r="D325" s="94"/>
      <c r="E325" s="94"/>
      <c r="F325" s="94"/>
      <c r="I325" s="94"/>
      <c r="IK325" s="544"/>
    </row>
    <row r="326" spans="1:245">
      <c r="A326" s="92"/>
      <c r="B326" s="92"/>
      <c r="C326" s="92"/>
      <c r="D326" s="94"/>
      <c r="E326" s="94"/>
      <c r="F326" s="94"/>
      <c r="I326" s="94"/>
      <c r="IK326" s="544"/>
    </row>
    <row r="327" spans="1:245">
      <c r="A327" s="92"/>
      <c r="B327" s="92"/>
      <c r="C327" s="92"/>
      <c r="D327" s="94"/>
      <c r="E327" s="94"/>
      <c r="F327" s="94"/>
      <c r="I327" s="94"/>
      <c r="IK327" s="544"/>
    </row>
    <row r="328" spans="1:245">
      <c r="A328" s="92"/>
      <c r="B328" s="92"/>
      <c r="C328" s="92"/>
      <c r="D328" s="94"/>
      <c r="E328" s="94"/>
      <c r="F328" s="94"/>
      <c r="I328" s="94"/>
      <c r="IK328" s="544"/>
    </row>
    <row r="329" spans="1:245">
      <c r="A329" s="92"/>
      <c r="B329" s="92"/>
      <c r="C329" s="92"/>
      <c r="D329" s="94"/>
      <c r="E329" s="94"/>
      <c r="F329" s="94"/>
      <c r="I329" s="94"/>
      <c r="IK329" s="544"/>
    </row>
    <row r="330" spans="1:245">
      <c r="A330" s="92"/>
      <c r="B330" s="92"/>
      <c r="C330" s="92"/>
      <c r="D330" s="94"/>
      <c r="E330" s="94"/>
      <c r="F330" s="94"/>
      <c r="I330" s="94"/>
      <c r="IK330" s="544"/>
    </row>
    <row r="331" spans="1:245">
      <c r="A331" s="92"/>
      <c r="B331" s="92"/>
      <c r="C331" s="92"/>
      <c r="D331" s="94"/>
      <c r="E331" s="94"/>
      <c r="F331" s="94"/>
      <c r="I331" s="94"/>
      <c r="IK331" s="544"/>
    </row>
    <row r="332" spans="1:245">
      <c r="A332" s="92"/>
      <c r="B332" s="92"/>
      <c r="C332" s="92"/>
      <c r="D332" s="94"/>
      <c r="E332" s="94"/>
      <c r="F332" s="94"/>
      <c r="I332" s="94"/>
      <c r="IK332" s="544"/>
    </row>
    <row r="333" spans="1:245">
      <c r="A333" s="92"/>
      <c r="B333" s="92"/>
      <c r="C333" s="92"/>
      <c r="D333" s="94"/>
      <c r="E333" s="94"/>
      <c r="F333" s="94"/>
      <c r="I333" s="94"/>
      <c r="IK333" s="544"/>
    </row>
    <row r="334" spans="1:245">
      <c r="A334" s="92"/>
      <c r="B334" s="92"/>
      <c r="C334" s="92"/>
      <c r="D334" s="94"/>
      <c r="E334" s="94"/>
      <c r="F334" s="94"/>
      <c r="I334" s="94"/>
      <c r="IK334" s="544"/>
    </row>
    <row r="335" spans="1:245">
      <c r="A335" s="92"/>
      <c r="B335" s="92"/>
      <c r="C335" s="92"/>
      <c r="D335" s="94"/>
      <c r="E335" s="94"/>
      <c r="F335" s="94"/>
      <c r="I335" s="94"/>
      <c r="IK335" s="544"/>
    </row>
    <row r="336" spans="1:245">
      <c r="A336" s="92"/>
      <c r="B336" s="92"/>
      <c r="C336" s="92"/>
      <c r="D336" s="94"/>
      <c r="E336" s="94"/>
      <c r="F336" s="94"/>
      <c r="I336" s="94"/>
      <c r="IK336" s="544"/>
    </row>
    <row r="337" spans="1:245">
      <c r="A337" s="92"/>
      <c r="B337" s="92"/>
      <c r="C337" s="92"/>
      <c r="D337" s="94"/>
      <c r="E337" s="94"/>
      <c r="F337" s="94"/>
      <c r="I337" s="94"/>
      <c r="IK337" s="544"/>
    </row>
    <row r="338" spans="1:245">
      <c r="A338" s="92"/>
      <c r="B338" s="92"/>
      <c r="C338" s="92"/>
      <c r="D338" s="94"/>
      <c r="E338" s="94"/>
      <c r="F338" s="94"/>
      <c r="I338" s="94"/>
      <c r="IK338" s="544"/>
    </row>
    <row r="339" spans="1:245">
      <c r="A339" s="92"/>
      <c r="B339" s="92"/>
      <c r="C339" s="92"/>
      <c r="D339" s="94"/>
      <c r="E339" s="94"/>
      <c r="F339" s="94"/>
      <c r="I339" s="94"/>
      <c r="IK339" s="544"/>
    </row>
    <row r="340" spans="1:245">
      <c r="A340" s="92"/>
      <c r="B340" s="92"/>
      <c r="C340" s="92"/>
      <c r="D340" s="94"/>
      <c r="E340" s="94"/>
      <c r="F340" s="94"/>
      <c r="I340" s="94"/>
      <c r="IK340" s="544"/>
    </row>
    <row r="341" spans="1:245">
      <c r="A341" s="92"/>
      <c r="B341" s="92"/>
      <c r="C341" s="92"/>
      <c r="D341" s="94"/>
      <c r="E341" s="94"/>
      <c r="F341" s="94"/>
      <c r="I341" s="94"/>
      <c r="IK341" s="544"/>
    </row>
    <row r="342" spans="1:245">
      <c r="A342" s="92"/>
      <c r="B342" s="92"/>
      <c r="C342" s="92"/>
      <c r="D342" s="94"/>
      <c r="E342" s="94"/>
      <c r="F342" s="94"/>
      <c r="I342" s="94"/>
    </row>
    <row r="343" spans="1:245">
      <c r="A343" s="92"/>
      <c r="B343" s="92"/>
      <c r="C343" s="92"/>
      <c r="D343" s="94"/>
      <c r="E343" s="94"/>
      <c r="F343" s="94"/>
      <c r="I343" s="94"/>
    </row>
    <row r="344" spans="1:245">
      <c r="A344" s="92"/>
      <c r="B344" s="92"/>
      <c r="C344" s="92"/>
      <c r="D344" s="94"/>
      <c r="E344" s="94"/>
      <c r="F344" s="94"/>
      <c r="I344" s="94"/>
    </row>
    <row r="345" spans="1:245">
      <c r="A345" s="92"/>
      <c r="B345" s="92"/>
      <c r="C345" s="92"/>
      <c r="D345" s="94"/>
      <c r="E345" s="94"/>
      <c r="F345" s="94"/>
      <c r="I345" s="94"/>
    </row>
    <row r="346" spans="1:245">
      <c r="A346" s="92"/>
      <c r="B346" s="92"/>
      <c r="C346" s="92"/>
      <c r="D346" s="94"/>
      <c r="E346" s="94"/>
      <c r="F346" s="94"/>
      <c r="I346" s="94"/>
    </row>
    <row r="347" spans="1:245">
      <c r="A347" s="92"/>
      <c r="B347" s="92"/>
      <c r="C347" s="92"/>
      <c r="D347" s="94"/>
      <c r="E347" s="94"/>
      <c r="F347" s="94"/>
      <c r="I347" s="94"/>
    </row>
    <row r="348" spans="1:245">
      <c r="A348" s="92"/>
      <c r="B348" s="92"/>
      <c r="C348" s="92"/>
      <c r="D348" s="94"/>
      <c r="E348" s="94"/>
      <c r="F348" s="94"/>
      <c r="I348" s="94"/>
    </row>
    <row r="349" spans="1:245">
      <c r="A349" s="92"/>
      <c r="B349" s="92"/>
      <c r="C349" s="92"/>
      <c r="D349" s="94"/>
      <c r="E349" s="94"/>
      <c r="F349" s="94"/>
      <c r="I349" s="94"/>
    </row>
    <row r="350" spans="1:245">
      <c r="A350" s="92"/>
      <c r="B350" s="92"/>
      <c r="C350" s="92"/>
      <c r="D350" s="94"/>
      <c r="E350" s="94"/>
      <c r="F350" s="94"/>
      <c r="I350" s="94"/>
    </row>
    <row r="351" spans="1:245">
      <c r="A351" s="92"/>
      <c r="B351" s="92"/>
      <c r="C351" s="92"/>
      <c r="D351" s="94"/>
      <c r="E351" s="94"/>
      <c r="F351" s="94"/>
      <c r="I351" s="94"/>
    </row>
    <row r="352" spans="1:245">
      <c r="A352" s="92"/>
      <c r="B352" s="92"/>
      <c r="C352" s="92"/>
      <c r="D352" s="94"/>
      <c r="E352" s="94"/>
      <c r="F352" s="94"/>
      <c r="I352" s="94"/>
    </row>
    <row r="353" spans="1:9">
      <c r="A353" s="92"/>
      <c r="B353" s="92"/>
      <c r="C353" s="92"/>
      <c r="D353" s="94"/>
      <c r="E353" s="94"/>
      <c r="F353" s="94"/>
      <c r="I353" s="94"/>
    </row>
    <row r="354" spans="1:9">
      <c r="A354" s="92"/>
      <c r="B354" s="92"/>
      <c r="C354" s="92"/>
      <c r="D354" s="94"/>
      <c r="E354" s="94"/>
      <c r="F354" s="94"/>
      <c r="I354" s="94"/>
    </row>
    <row r="355" spans="1:9">
      <c r="A355" s="92"/>
      <c r="B355" s="92"/>
      <c r="C355" s="92"/>
      <c r="D355" s="94"/>
      <c r="E355" s="94"/>
      <c r="F355" s="94"/>
      <c r="I355" s="94"/>
    </row>
    <row r="356" spans="1:9">
      <c r="A356" s="92"/>
      <c r="B356" s="92"/>
      <c r="C356" s="92"/>
      <c r="D356" s="94"/>
      <c r="E356" s="94"/>
      <c r="F356" s="94"/>
      <c r="I356" s="94"/>
    </row>
    <row r="357" spans="1:9">
      <c r="A357" s="92"/>
      <c r="B357" s="92"/>
      <c r="C357" s="92"/>
      <c r="D357" s="94"/>
      <c r="E357" s="94"/>
      <c r="F357" s="94"/>
      <c r="I357" s="94"/>
    </row>
    <row r="358" spans="1:9">
      <c r="A358" s="92"/>
      <c r="B358" s="92"/>
      <c r="C358" s="92"/>
      <c r="D358" s="94"/>
      <c r="E358" s="94"/>
      <c r="F358" s="94"/>
      <c r="I358" s="94"/>
    </row>
    <row r="359" spans="1:9">
      <c r="A359" s="92"/>
      <c r="B359" s="92"/>
      <c r="C359" s="92"/>
      <c r="D359" s="94"/>
      <c r="E359" s="94"/>
      <c r="F359" s="94"/>
      <c r="I359" s="94"/>
    </row>
    <row r="360" spans="1:9">
      <c r="A360" s="92"/>
      <c r="B360" s="92"/>
      <c r="C360" s="92"/>
      <c r="D360" s="94"/>
      <c r="E360" s="94"/>
      <c r="F360" s="94"/>
      <c r="I360" s="94"/>
    </row>
    <row r="361" spans="1:9">
      <c r="A361" s="92"/>
      <c r="B361" s="92"/>
      <c r="C361" s="92"/>
      <c r="D361" s="94"/>
      <c r="E361" s="94"/>
      <c r="F361" s="94"/>
      <c r="I361" s="94"/>
    </row>
    <row r="362" spans="1:9">
      <c r="A362" s="92"/>
      <c r="B362" s="92"/>
      <c r="C362" s="92"/>
      <c r="D362" s="94"/>
      <c r="E362" s="94"/>
      <c r="F362" s="94"/>
      <c r="I362" s="94"/>
    </row>
    <row r="363" spans="1:9">
      <c r="A363" s="92"/>
      <c r="B363" s="92"/>
      <c r="C363" s="92"/>
      <c r="D363" s="94"/>
      <c r="E363" s="94"/>
      <c r="F363" s="94"/>
      <c r="I363" s="94"/>
    </row>
    <row r="364" spans="1:9">
      <c r="A364" s="92"/>
      <c r="B364" s="92"/>
      <c r="C364" s="92"/>
      <c r="D364" s="94"/>
      <c r="E364" s="94"/>
      <c r="F364" s="94"/>
      <c r="I364" s="94"/>
    </row>
    <row r="365" spans="1:9">
      <c r="A365" s="92"/>
      <c r="B365" s="92"/>
      <c r="C365" s="92"/>
      <c r="D365" s="94"/>
      <c r="E365" s="94"/>
      <c r="F365" s="94"/>
      <c r="I365" s="94"/>
    </row>
    <row r="366" spans="1:9">
      <c r="A366" s="92"/>
      <c r="B366" s="92"/>
      <c r="C366" s="92"/>
      <c r="D366" s="94"/>
      <c r="E366" s="94"/>
      <c r="F366" s="94"/>
      <c r="I366" s="94"/>
    </row>
    <row r="367" spans="1:9">
      <c r="A367" s="92"/>
      <c r="B367" s="92"/>
      <c r="C367" s="92"/>
      <c r="D367" s="94"/>
      <c r="E367" s="94"/>
      <c r="F367" s="94"/>
      <c r="I367" s="94"/>
    </row>
    <row r="368" spans="1:9">
      <c r="A368" s="92"/>
      <c r="B368" s="92"/>
      <c r="C368" s="92"/>
      <c r="D368" s="94"/>
      <c r="E368" s="94"/>
      <c r="F368" s="94"/>
      <c r="I368" s="94"/>
    </row>
    <row r="369" spans="1:9">
      <c r="A369" s="92"/>
      <c r="B369" s="92"/>
      <c r="C369" s="92"/>
      <c r="D369" s="94"/>
      <c r="E369" s="94"/>
      <c r="F369" s="94"/>
      <c r="I369" s="94"/>
    </row>
    <row r="370" spans="1:9">
      <c r="A370" s="92"/>
      <c r="B370" s="92"/>
      <c r="C370" s="92"/>
      <c r="D370" s="94"/>
      <c r="E370" s="94"/>
      <c r="F370" s="94"/>
      <c r="I370" s="94"/>
    </row>
    <row r="371" spans="1:9">
      <c r="A371" s="92"/>
      <c r="B371" s="92"/>
      <c r="C371" s="92"/>
      <c r="D371" s="94"/>
      <c r="E371" s="94"/>
      <c r="F371" s="94"/>
      <c r="I371" s="94"/>
    </row>
    <row r="372" spans="1:9">
      <c r="A372" s="92"/>
      <c r="B372" s="92"/>
      <c r="C372" s="92"/>
      <c r="D372" s="94"/>
      <c r="E372" s="94"/>
      <c r="F372" s="94"/>
      <c r="I372" s="94"/>
    </row>
    <row r="373" spans="1:9">
      <c r="A373" s="92"/>
      <c r="B373" s="92"/>
      <c r="C373" s="92"/>
      <c r="D373" s="94"/>
      <c r="E373" s="94"/>
      <c r="F373" s="94"/>
      <c r="I373" s="94"/>
    </row>
    <row r="374" spans="1:9">
      <c r="A374" s="92"/>
      <c r="B374" s="92"/>
      <c r="C374" s="92"/>
      <c r="D374" s="94"/>
      <c r="E374" s="94"/>
      <c r="F374" s="94"/>
      <c r="I374" s="94"/>
    </row>
    <row r="375" spans="1:9">
      <c r="A375" s="92"/>
      <c r="B375" s="92"/>
      <c r="C375" s="92"/>
      <c r="D375" s="94"/>
      <c r="E375" s="94"/>
      <c r="F375" s="94"/>
      <c r="I375" s="94"/>
    </row>
    <row r="376" spans="1:9">
      <c r="A376" s="92"/>
      <c r="B376" s="92"/>
      <c r="C376" s="92"/>
      <c r="D376" s="94"/>
      <c r="E376" s="94"/>
      <c r="F376" s="94"/>
      <c r="I376" s="94"/>
    </row>
    <row r="377" spans="1:9">
      <c r="A377" s="92"/>
      <c r="B377" s="92"/>
      <c r="C377" s="92"/>
      <c r="D377" s="94"/>
      <c r="E377" s="94"/>
      <c r="F377" s="94"/>
      <c r="I377" s="94"/>
    </row>
    <row r="378" spans="1:9">
      <c r="A378" s="92"/>
      <c r="B378" s="92"/>
      <c r="C378" s="92"/>
      <c r="D378" s="94"/>
      <c r="E378" s="94"/>
      <c r="F378" s="94"/>
      <c r="I378" s="94"/>
    </row>
    <row r="379" spans="1:9">
      <c r="A379" s="92"/>
      <c r="B379" s="92"/>
      <c r="C379" s="92"/>
      <c r="D379" s="94"/>
      <c r="E379" s="94"/>
      <c r="F379" s="94"/>
      <c r="I379" s="94"/>
    </row>
    <row r="380" spans="1:9">
      <c r="A380" s="92"/>
      <c r="B380" s="92"/>
      <c r="C380" s="92"/>
      <c r="D380" s="94"/>
      <c r="E380" s="94"/>
      <c r="F380" s="94"/>
      <c r="I380" s="94"/>
    </row>
    <row r="381" spans="1:9">
      <c r="A381" s="92"/>
      <c r="B381" s="92"/>
      <c r="C381" s="92"/>
      <c r="D381" s="94"/>
      <c r="E381" s="94"/>
      <c r="F381" s="94"/>
      <c r="I381" s="94"/>
    </row>
    <row r="382" spans="1:9">
      <c r="A382" s="92"/>
      <c r="B382" s="92"/>
      <c r="C382" s="92"/>
      <c r="D382" s="94"/>
      <c r="E382" s="94"/>
      <c r="F382" s="94"/>
      <c r="I382" s="94"/>
    </row>
    <row r="383" spans="1:9">
      <c r="A383" s="92"/>
      <c r="B383" s="92"/>
      <c r="C383" s="92"/>
      <c r="D383" s="94"/>
      <c r="E383" s="94"/>
      <c r="F383" s="94"/>
      <c r="I383" s="94"/>
    </row>
    <row r="384" spans="1:9">
      <c r="A384" s="92"/>
      <c r="B384" s="92"/>
      <c r="C384" s="92"/>
      <c r="D384" s="94"/>
      <c r="E384" s="94"/>
      <c r="F384" s="94"/>
      <c r="I384" s="94"/>
    </row>
    <row r="385" spans="1:9">
      <c r="A385" s="92"/>
      <c r="B385" s="92"/>
      <c r="C385" s="92"/>
      <c r="D385" s="94"/>
      <c r="E385" s="94"/>
      <c r="F385" s="94"/>
      <c r="I385" s="94"/>
    </row>
    <row r="386" spans="1:9">
      <c r="A386" s="92"/>
      <c r="B386" s="92"/>
      <c r="C386" s="92"/>
      <c r="D386" s="94"/>
      <c r="E386" s="94"/>
      <c r="F386" s="94"/>
      <c r="I386" s="94"/>
    </row>
    <row r="387" spans="1:9">
      <c r="A387" s="92"/>
      <c r="B387" s="92"/>
      <c r="C387" s="92"/>
      <c r="D387" s="94"/>
      <c r="E387" s="94"/>
      <c r="F387" s="94"/>
      <c r="I387" s="94"/>
    </row>
    <row r="388" spans="1:9">
      <c r="A388" s="92"/>
      <c r="B388" s="92"/>
      <c r="C388" s="92"/>
      <c r="D388" s="94"/>
      <c r="E388" s="94"/>
      <c r="F388" s="94"/>
      <c r="I388" s="94"/>
    </row>
    <row r="389" spans="1:9">
      <c r="A389" s="92"/>
      <c r="B389" s="92"/>
      <c r="C389" s="92"/>
      <c r="D389" s="94"/>
      <c r="E389" s="94"/>
      <c r="F389" s="94"/>
      <c r="I389" s="94"/>
    </row>
    <row r="390" spans="1:9">
      <c r="A390" s="92"/>
      <c r="B390" s="92"/>
      <c r="C390" s="92"/>
      <c r="D390" s="94"/>
      <c r="E390" s="94"/>
      <c r="F390" s="94"/>
      <c r="I390" s="94"/>
    </row>
    <row r="391" spans="1:9">
      <c r="A391" s="92"/>
      <c r="B391" s="92"/>
      <c r="C391" s="92"/>
      <c r="D391" s="94"/>
      <c r="E391" s="94"/>
      <c r="F391" s="94"/>
      <c r="I391" s="94"/>
    </row>
    <row r="392" spans="1:9">
      <c r="A392" s="92"/>
      <c r="B392" s="92"/>
      <c r="C392" s="92"/>
      <c r="D392" s="94"/>
      <c r="E392" s="94"/>
      <c r="F392" s="94"/>
      <c r="I392" s="94"/>
    </row>
    <row r="393" spans="1:9">
      <c r="A393" s="92"/>
      <c r="B393" s="92"/>
      <c r="C393" s="92"/>
      <c r="D393" s="94"/>
      <c r="E393" s="94"/>
      <c r="F393" s="94"/>
      <c r="I393" s="94"/>
    </row>
    <row r="394" spans="1:9">
      <c r="A394" s="92"/>
      <c r="B394" s="92"/>
      <c r="C394" s="92"/>
      <c r="D394" s="94"/>
      <c r="E394" s="94"/>
      <c r="F394" s="94"/>
      <c r="I394" s="94"/>
    </row>
    <row r="395" spans="1:9">
      <c r="A395" s="92"/>
      <c r="B395" s="92"/>
      <c r="C395" s="92"/>
      <c r="D395" s="94"/>
      <c r="E395" s="94"/>
      <c r="F395" s="94"/>
      <c r="I395" s="94"/>
    </row>
    <row r="396" spans="1:9">
      <c r="A396" s="92"/>
      <c r="B396" s="92"/>
      <c r="C396" s="92"/>
      <c r="D396" s="94"/>
      <c r="E396" s="94"/>
      <c r="F396" s="94"/>
      <c r="I396" s="94"/>
    </row>
    <row r="397" spans="1:9">
      <c r="A397" s="92"/>
      <c r="B397" s="92"/>
      <c r="C397" s="92"/>
      <c r="D397" s="94"/>
      <c r="E397" s="94"/>
      <c r="F397" s="94"/>
      <c r="I397" s="94"/>
    </row>
    <row r="398" spans="1:9">
      <c r="A398" s="92"/>
      <c r="B398" s="92"/>
      <c r="C398" s="92"/>
      <c r="D398" s="94"/>
      <c r="E398" s="94"/>
      <c r="F398" s="94"/>
      <c r="I398" s="94"/>
    </row>
    <row r="399" spans="1:9">
      <c r="A399" s="92"/>
      <c r="B399" s="92"/>
      <c r="C399" s="92"/>
      <c r="D399" s="94"/>
      <c r="E399" s="94"/>
      <c r="F399" s="94"/>
      <c r="I399" s="94"/>
    </row>
    <row r="400" spans="1:9">
      <c r="A400" s="92"/>
      <c r="B400" s="92"/>
      <c r="C400" s="92"/>
      <c r="D400" s="94"/>
      <c r="E400" s="94"/>
      <c r="F400" s="94"/>
      <c r="I400" s="94"/>
    </row>
    <row r="401" spans="1:9">
      <c r="A401" s="92"/>
      <c r="B401" s="92"/>
      <c r="C401" s="92"/>
      <c r="D401" s="94"/>
      <c r="E401" s="94"/>
      <c r="F401" s="94"/>
      <c r="I401" s="94"/>
    </row>
    <row r="402" spans="1:9">
      <c r="A402" s="92"/>
      <c r="B402" s="92"/>
      <c r="C402" s="92"/>
      <c r="D402" s="94"/>
      <c r="E402" s="94"/>
      <c r="F402" s="94"/>
      <c r="I402" s="94"/>
    </row>
    <row r="403" spans="1:9">
      <c r="A403" s="92"/>
      <c r="B403" s="92"/>
      <c r="C403" s="92"/>
      <c r="D403" s="94"/>
      <c r="E403" s="94"/>
      <c r="F403" s="94"/>
      <c r="I403" s="94"/>
    </row>
    <row r="404" spans="1:9">
      <c r="A404" s="92"/>
      <c r="B404" s="92"/>
      <c r="C404" s="92"/>
      <c r="D404" s="94"/>
      <c r="E404" s="94"/>
      <c r="F404" s="94"/>
      <c r="I404" s="94"/>
    </row>
    <row r="405" spans="1:9">
      <c r="A405" s="92"/>
      <c r="B405" s="92"/>
      <c r="C405" s="92"/>
      <c r="D405" s="94"/>
      <c r="E405" s="94"/>
      <c r="F405" s="94"/>
      <c r="I405" s="94"/>
    </row>
    <row r="406" spans="1:9">
      <c r="A406" s="92"/>
      <c r="B406" s="92"/>
      <c r="C406" s="92"/>
      <c r="D406" s="94"/>
      <c r="E406" s="94"/>
      <c r="F406" s="94"/>
      <c r="I406" s="94"/>
    </row>
    <row r="407" spans="1:9">
      <c r="A407" s="92"/>
      <c r="B407" s="92"/>
      <c r="C407" s="92"/>
      <c r="D407" s="94"/>
      <c r="E407" s="94"/>
      <c r="F407" s="94"/>
      <c r="I407" s="94"/>
    </row>
    <row r="408" spans="1:9">
      <c r="A408" s="92"/>
      <c r="B408" s="92"/>
      <c r="C408" s="92"/>
      <c r="D408" s="94"/>
      <c r="E408" s="94"/>
      <c r="F408" s="94"/>
      <c r="I408" s="94"/>
    </row>
    <row r="409" spans="1:9">
      <c r="A409" s="92"/>
      <c r="B409" s="92"/>
      <c r="C409" s="92"/>
      <c r="D409" s="94"/>
      <c r="E409" s="94"/>
      <c r="F409" s="94"/>
      <c r="I409" s="94"/>
    </row>
    <row r="410" spans="1:9">
      <c r="A410" s="92"/>
      <c r="B410" s="92"/>
      <c r="C410" s="92"/>
      <c r="D410" s="94"/>
      <c r="E410" s="94"/>
      <c r="F410" s="94"/>
      <c r="I410" s="94"/>
    </row>
    <row r="411" spans="1:9">
      <c r="A411" s="92"/>
      <c r="B411" s="92"/>
      <c r="C411" s="92"/>
      <c r="D411" s="94"/>
      <c r="E411" s="94"/>
      <c r="F411" s="94"/>
      <c r="I411" s="94"/>
    </row>
    <row r="412" spans="1:9">
      <c r="A412" s="92"/>
      <c r="B412" s="92"/>
      <c r="C412" s="92"/>
      <c r="D412" s="94"/>
      <c r="E412" s="94"/>
      <c r="F412" s="94"/>
      <c r="I412" s="94"/>
    </row>
    <row r="413" spans="1:9">
      <c r="A413" s="92"/>
      <c r="B413" s="92"/>
      <c r="C413" s="92"/>
      <c r="D413" s="94"/>
      <c r="E413" s="94"/>
      <c r="F413" s="94"/>
      <c r="I413" s="94"/>
    </row>
    <row r="414" spans="1:9">
      <c r="A414" s="92"/>
      <c r="B414" s="92"/>
      <c r="C414" s="92"/>
      <c r="D414" s="94"/>
      <c r="E414" s="94"/>
      <c r="F414" s="94"/>
      <c r="I414" s="94"/>
    </row>
    <row r="415" spans="1:9">
      <c r="A415" s="92"/>
      <c r="B415" s="92"/>
      <c r="C415" s="92"/>
      <c r="D415" s="94"/>
      <c r="E415" s="94"/>
      <c r="F415" s="94"/>
      <c r="I415" s="94"/>
    </row>
    <row r="416" spans="1:9">
      <c r="A416" s="92"/>
      <c r="B416" s="92"/>
      <c r="C416" s="92"/>
      <c r="D416" s="94"/>
      <c r="E416" s="94"/>
      <c r="F416" s="94"/>
      <c r="I416" s="94"/>
    </row>
    <row r="417" spans="1:9">
      <c r="A417" s="92"/>
      <c r="B417" s="92"/>
      <c r="C417" s="92"/>
      <c r="D417" s="94"/>
      <c r="E417" s="94"/>
      <c r="F417" s="94"/>
      <c r="I417" s="94"/>
    </row>
    <row r="418" spans="1:9">
      <c r="A418" s="92"/>
      <c r="B418" s="92"/>
      <c r="C418" s="92"/>
      <c r="D418" s="94"/>
      <c r="E418" s="94"/>
      <c r="F418" s="94"/>
      <c r="I418" s="94"/>
    </row>
    <row r="419" spans="1:9">
      <c r="A419" s="92"/>
      <c r="B419" s="92"/>
      <c r="C419" s="92"/>
      <c r="D419" s="94"/>
      <c r="E419" s="94"/>
      <c r="F419" s="94"/>
      <c r="I419" s="94"/>
    </row>
    <row r="420" spans="1:9">
      <c r="A420" s="92"/>
      <c r="B420" s="92"/>
      <c r="C420" s="92"/>
      <c r="D420" s="94"/>
      <c r="E420" s="94"/>
      <c r="F420" s="94"/>
      <c r="I420" s="94"/>
    </row>
    <row r="421" spans="1:9">
      <c r="A421" s="92"/>
      <c r="B421" s="92"/>
      <c r="C421" s="92"/>
      <c r="D421" s="94"/>
      <c r="E421" s="94"/>
      <c r="F421" s="94"/>
      <c r="I421" s="94"/>
    </row>
    <row r="422" spans="1:9">
      <c r="A422" s="92"/>
      <c r="B422" s="92"/>
      <c r="C422" s="92"/>
      <c r="D422" s="94"/>
      <c r="E422" s="94"/>
      <c r="F422" s="94"/>
      <c r="I422" s="94"/>
    </row>
    <row r="423" spans="1:9">
      <c r="A423" s="92"/>
      <c r="B423" s="92"/>
      <c r="C423" s="92"/>
      <c r="D423" s="94"/>
      <c r="E423" s="94"/>
      <c r="F423" s="94"/>
      <c r="I423" s="94"/>
    </row>
    <row r="424" spans="1:9">
      <c r="A424" s="92"/>
      <c r="B424" s="92"/>
      <c r="C424" s="92"/>
      <c r="D424" s="94"/>
      <c r="E424" s="94"/>
      <c r="F424" s="94"/>
      <c r="I424" s="94"/>
    </row>
    <row r="425" spans="1:9">
      <c r="A425" s="92"/>
      <c r="B425" s="92"/>
      <c r="C425" s="92"/>
      <c r="D425" s="94"/>
      <c r="E425" s="94"/>
      <c r="F425" s="94"/>
      <c r="I425" s="94"/>
    </row>
    <row r="426" spans="1:9">
      <c r="A426" s="92"/>
      <c r="B426" s="92"/>
      <c r="C426" s="92"/>
      <c r="D426" s="94"/>
      <c r="E426" s="94"/>
      <c r="F426" s="94"/>
      <c r="I426" s="94"/>
    </row>
    <row r="427" spans="1:9">
      <c r="A427" s="92"/>
      <c r="B427" s="92"/>
      <c r="C427" s="92"/>
      <c r="D427" s="94"/>
      <c r="E427" s="94"/>
      <c r="F427" s="94"/>
      <c r="I427" s="94"/>
    </row>
    <row r="428" spans="1:9">
      <c r="A428" s="92"/>
      <c r="B428" s="92"/>
      <c r="C428" s="92"/>
      <c r="D428" s="94"/>
      <c r="E428" s="94"/>
      <c r="F428" s="94"/>
      <c r="I428" s="94"/>
    </row>
    <row r="429" spans="1:9">
      <c r="A429" s="92"/>
      <c r="B429" s="92"/>
      <c r="C429" s="92"/>
      <c r="D429" s="94"/>
      <c r="E429" s="94"/>
      <c r="F429" s="94"/>
      <c r="I429" s="94"/>
    </row>
    <row r="430" spans="1:9">
      <c r="A430" s="92"/>
      <c r="B430" s="92"/>
      <c r="C430" s="92"/>
      <c r="D430" s="94"/>
      <c r="E430" s="94"/>
      <c r="F430" s="94"/>
      <c r="I430" s="94"/>
    </row>
    <row r="431" spans="1:9">
      <c r="A431" s="92"/>
      <c r="B431" s="92"/>
      <c r="C431" s="92"/>
      <c r="D431" s="94"/>
      <c r="E431" s="94"/>
      <c r="F431" s="94"/>
      <c r="I431" s="94"/>
    </row>
    <row r="432" spans="1:9">
      <c r="A432" s="92"/>
      <c r="B432" s="92"/>
      <c r="C432" s="92"/>
      <c r="D432" s="94"/>
      <c r="E432" s="94"/>
      <c r="F432" s="94"/>
      <c r="I432" s="94"/>
    </row>
    <row r="433" spans="1:9">
      <c r="A433" s="92"/>
      <c r="B433" s="92"/>
      <c r="C433" s="92"/>
      <c r="D433" s="94"/>
      <c r="E433" s="94"/>
      <c r="F433" s="94"/>
      <c r="I433" s="94"/>
    </row>
    <row r="434" spans="1:9">
      <c r="A434" s="92"/>
      <c r="B434" s="92"/>
      <c r="C434" s="92"/>
      <c r="D434" s="94"/>
      <c r="E434" s="94"/>
      <c r="F434" s="94"/>
      <c r="I434" s="94"/>
    </row>
    <row r="435" spans="1:9">
      <c r="A435" s="92"/>
      <c r="B435" s="92"/>
      <c r="C435" s="92"/>
      <c r="D435" s="94"/>
      <c r="E435" s="94"/>
      <c r="F435" s="94"/>
      <c r="I435" s="94"/>
    </row>
    <row r="436" spans="1:9">
      <c r="A436" s="92"/>
      <c r="B436" s="92"/>
      <c r="C436" s="92"/>
      <c r="D436" s="94"/>
      <c r="E436" s="94"/>
      <c r="F436" s="94"/>
      <c r="I436" s="94"/>
    </row>
    <row r="437" spans="1:9">
      <c r="A437" s="92"/>
      <c r="B437" s="92"/>
      <c r="C437" s="92"/>
      <c r="D437" s="94"/>
      <c r="E437" s="94"/>
      <c r="F437" s="94"/>
      <c r="I437" s="94"/>
    </row>
    <row r="438" spans="1:9">
      <c r="A438" s="92"/>
      <c r="B438" s="92"/>
      <c r="C438" s="92"/>
      <c r="D438" s="94"/>
      <c r="E438" s="94"/>
      <c r="F438" s="94"/>
      <c r="I438" s="94"/>
    </row>
    <row r="439" spans="1:9">
      <c r="A439" s="92"/>
      <c r="B439" s="92"/>
      <c r="C439" s="92"/>
      <c r="D439" s="94"/>
      <c r="E439" s="94"/>
      <c r="F439" s="94"/>
      <c r="I439" s="94"/>
    </row>
    <row r="440" spans="1:9">
      <c r="A440" s="92"/>
      <c r="B440" s="92"/>
      <c r="C440" s="92"/>
      <c r="D440" s="94"/>
      <c r="E440" s="94"/>
      <c r="F440" s="94"/>
      <c r="I440" s="94"/>
    </row>
    <row r="441" spans="1:9">
      <c r="A441" s="92"/>
      <c r="B441" s="92"/>
      <c r="C441" s="92"/>
      <c r="D441" s="94"/>
      <c r="E441" s="94"/>
      <c r="F441" s="94"/>
      <c r="I441" s="94"/>
    </row>
    <row r="442" spans="1:9">
      <c r="A442" s="92"/>
      <c r="B442" s="92"/>
      <c r="C442" s="92"/>
      <c r="D442" s="94"/>
      <c r="E442" s="94"/>
      <c r="F442" s="94"/>
      <c r="I442" s="94"/>
    </row>
    <row r="443" spans="1:9">
      <c r="A443" s="92"/>
      <c r="B443" s="92"/>
      <c r="C443" s="92"/>
      <c r="D443" s="94"/>
      <c r="E443" s="94"/>
      <c r="F443" s="94"/>
      <c r="I443" s="94"/>
    </row>
    <row r="444" spans="1:9">
      <c r="A444" s="92"/>
      <c r="B444" s="92"/>
      <c r="C444" s="92"/>
      <c r="D444" s="94"/>
      <c r="E444" s="94"/>
      <c r="F444" s="94"/>
      <c r="I444" s="94"/>
    </row>
    <row r="445" spans="1:9">
      <c r="A445" s="92"/>
      <c r="B445" s="92"/>
      <c r="C445" s="92"/>
      <c r="D445" s="94"/>
      <c r="E445" s="94"/>
      <c r="F445" s="94"/>
      <c r="I445" s="94"/>
    </row>
    <row r="446" spans="1:9">
      <c r="A446" s="92"/>
      <c r="B446" s="92"/>
      <c r="C446" s="92"/>
      <c r="D446" s="94"/>
      <c r="E446" s="94"/>
      <c r="F446" s="94"/>
      <c r="I446" s="94"/>
    </row>
    <row r="447" spans="1:9">
      <c r="A447" s="92"/>
      <c r="B447" s="92"/>
      <c r="C447" s="92"/>
      <c r="D447" s="94"/>
      <c r="E447" s="94"/>
      <c r="F447" s="94"/>
      <c r="I447" s="94"/>
    </row>
    <row r="448" spans="1:9">
      <c r="A448" s="92"/>
      <c r="B448" s="92"/>
      <c r="C448" s="92"/>
      <c r="D448" s="94"/>
      <c r="E448" s="94"/>
      <c r="F448" s="94"/>
      <c r="I448" s="94"/>
    </row>
    <row r="449" spans="1:9">
      <c r="A449" s="92"/>
      <c r="B449" s="92"/>
      <c r="C449" s="92"/>
      <c r="D449" s="94"/>
      <c r="E449" s="94"/>
      <c r="F449" s="94"/>
      <c r="I449" s="94"/>
    </row>
    <row r="450" spans="1:9">
      <c r="A450" s="92"/>
      <c r="B450" s="92"/>
      <c r="C450" s="92"/>
      <c r="D450" s="94"/>
      <c r="E450" s="94"/>
      <c r="F450" s="94"/>
      <c r="I450" s="94"/>
    </row>
    <row r="451" spans="1:9">
      <c r="A451" s="92"/>
      <c r="B451" s="92"/>
      <c r="C451" s="92"/>
      <c r="D451" s="94"/>
      <c r="E451" s="94"/>
      <c r="F451" s="94"/>
      <c r="I451" s="94"/>
    </row>
    <row r="452" spans="1:9">
      <c r="A452" s="92"/>
      <c r="B452" s="92"/>
      <c r="C452" s="92"/>
      <c r="D452" s="94"/>
      <c r="E452" s="94"/>
      <c r="F452" s="94"/>
      <c r="I452" s="94"/>
    </row>
    <row r="453" spans="1:9">
      <c r="A453" s="92"/>
      <c r="B453" s="92"/>
      <c r="C453" s="92"/>
      <c r="D453" s="94"/>
      <c r="E453" s="94"/>
      <c r="F453" s="94"/>
      <c r="I453" s="94"/>
    </row>
    <row r="454" spans="1:9">
      <c r="A454" s="92"/>
      <c r="B454" s="92"/>
      <c r="C454" s="92"/>
      <c r="D454" s="94"/>
      <c r="E454" s="94"/>
      <c r="F454" s="94"/>
      <c r="I454" s="94"/>
    </row>
    <row r="455" spans="1:9">
      <c r="A455" s="92"/>
      <c r="B455" s="92"/>
      <c r="C455" s="92"/>
      <c r="D455" s="94"/>
      <c r="E455" s="94"/>
      <c r="F455" s="94"/>
      <c r="I455" s="94"/>
    </row>
    <row r="456" spans="1:9">
      <c r="A456" s="92"/>
      <c r="B456" s="92"/>
      <c r="C456" s="92"/>
      <c r="D456" s="94"/>
      <c r="E456" s="94"/>
      <c r="F456" s="94"/>
      <c r="I456" s="94"/>
    </row>
    <row r="457" spans="1:9">
      <c r="A457" s="92"/>
      <c r="B457" s="92"/>
      <c r="C457" s="92"/>
      <c r="D457" s="94"/>
      <c r="E457" s="94"/>
      <c r="F457" s="94"/>
      <c r="I457" s="94"/>
    </row>
    <row r="458" spans="1:9">
      <c r="A458" s="92"/>
      <c r="B458" s="92"/>
      <c r="C458" s="92"/>
      <c r="D458" s="94"/>
      <c r="E458" s="94"/>
      <c r="F458" s="94"/>
      <c r="I458" s="94"/>
    </row>
    <row r="459" spans="1:9">
      <c r="A459" s="92"/>
      <c r="B459" s="92"/>
      <c r="C459" s="92"/>
      <c r="D459" s="94"/>
      <c r="E459" s="94"/>
      <c r="F459" s="94"/>
      <c r="I459" s="94"/>
    </row>
    <row r="460" spans="1:9">
      <c r="A460" s="92"/>
      <c r="B460" s="92"/>
      <c r="C460" s="92"/>
      <c r="D460" s="94"/>
      <c r="E460" s="94"/>
      <c r="F460" s="94"/>
      <c r="I460" s="94"/>
    </row>
    <row r="461" spans="1:9">
      <c r="A461" s="92"/>
      <c r="B461" s="92"/>
      <c r="C461" s="92"/>
      <c r="D461" s="94"/>
      <c r="E461" s="94"/>
      <c r="F461" s="94"/>
      <c r="I461" s="94"/>
    </row>
    <row r="462" spans="1:9">
      <c r="A462" s="92"/>
      <c r="B462" s="92"/>
      <c r="C462" s="92"/>
      <c r="D462" s="94"/>
      <c r="E462" s="94"/>
      <c r="F462" s="94"/>
      <c r="I462" s="94"/>
    </row>
    <row r="463" spans="1:9">
      <c r="A463" s="92"/>
      <c r="B463" s="92"/>
      <c r="C463" s="92"/>
      <c r="D463" s="94"/>
      <c r="E463" s="94"/>
      <c r="F463" s="94"/>
      <c r="I463" s="94"/>
    </row>
    <row r="464" spans="1:9">
      <c r="A464" s="92"/>
      <c r="B464" s="92"/>
      <c r="C464" s="92"/>
      <c r="D464" s="94"/>
      <c r="E464" s="94"/>
      <c r="F464" s="94"/>
      <c r="I464" s="94"/>
    </row>
    <row r="465" spans="1:9">
      <c r="A465" s="92"/>
      <c r="B465" s="92"/>
      <c r="C465" s="92"/>
      <c r="D465" s="94"/>
      <c r="E465" s="94"/>
      <c r="F465" s="94"/>
      <c r="I465" s="94"/>
    </row>
    <row r="466" spans="1:9">
      <c r="A466" s="92"/>
      <c r="B466" s="92"/>
      <c r="C466" s="92"/>
      <c r="D466" s="94"/>
      <c r="E466" s="94"/>
      <c r="F466" s="94"/>
      <c r="I466" s="94"/>
    </row>
    <row r="467" spans="1:9">
      <c r="A467" s="92"/>
      <c r="B467" s="92"/>
      <c r="C467" s="92"/>
      <c r="D467" s="94"/>
      <c r="E467" s="94"/>
      <c r="F467" s="94"/>
      <c r="I467" s="94"/>
    </row>
    <row r="468" spans="1:9">
      <c r="A468" s="92"/>
      <c r="B468" s="92"/>
      <c r="C468" s="92"/>
      <c r="D468" s="94"/>
      <c r="E468" s="94"/>
      <c r="F468" s="94"/>
      <c r="I468" s="94"/>
    </row>
    <row r="469" spans="1:9">
      <c r="A469" s="92"/>
      <c r="B469" s="92"/>
      <c r="C469" s="92"/>
      <c r="D469" s="94"/>
      <c r="E469" s="94"/>
      <c r="F469" s="94"/>
      <c r="I469" s="94"/>
    </row>
    <row r="470" spans="1:9">
      <c r="A470" s="92"/>
      <c r="B470" s="92"/>
      <c r="C470" s="92"/>
      <c r="D470" s="94"/>
      <c r="E470" s="94"/>
      <c r="F470" s="94"/>
      <c r="I470" s="94"/>
    </row>
    <row r="471" spans="1:9">
      <c r="A471" s="92"/>
      <c r="B471" s="92"/>
      <c r="C471" s="92"/>
      <c r="D471" s="94"/>
      <c r="E471" s="94"/>
      <c r="F471" s="94"/>
      <c r="I471" s="94"/>
    </row>
    <row r="472" spans="1:9">
      <c r="A472" s="92"/>
      <c r="B472" s="92"/>
      <c r="C472" s="92"/>
      <c r="D472" s="94"/>
      <c r="E472" s="94"/>
      <c r="F472" s="94"/>
      <c r="I472" s="94"/>
    </row>
    <row r="473" spans="1:9">
      <c r="A473" s="92"/>
      <c r="B473" s="92"/>
      <c r="C473" s="92"/>
      <c r="D473" s="94"/>
      <c r="E473" s="94"/>
      <c r="F473" s="94"/>
      <c r="I473" s="94"/>
    </row>
    <row r="474" spans="1:9">
      <c r="A474" s="92"/>
      <c r="B474" s="92"/>
      <c r="C474" s="92"/>
      <c r="D474" s="94"/>
      <c r="E474" s="94"/>
      <c r="F474" s="94"/>
      <c r="I474" s="94"/>
    </row>
    <row r="475" spans="1:9">
      <c r="A475" s="92"/>
      <c r="B475" s="92"/>
      <c r="C475" s="92"/>
      <c r="D475" s="94"/>
      <c r="E475" s="94"/>
      <c r="F475" s="94"/>
      <c r="I475" s="94"/>
    </row>
    <row r="476" spans="1:9">
      <c r="A476" s="92"/>
      <c r="B476" s="92"/>
      <c r="C476" s="92"/>
      <c r="D476" s="94"/>
      <c r="E476" s="94"/>
      <c r="F476" s="94"/>
      <c r="I476" s="94"/>
    </row>
    <row r="477" spans="1:9">
      <c r="A477" s="92"/>
      <c r="B477" s="92"/>
      <c r="C477" s="92"/>
      <c r="D477" s="94"/>
      <c r="E477" s="94"/>
      <c r="F477" s="94"/>
      <c r="I477" s="94"/>
    </row>
    <row r="478" spans="1:9">
      <c r="A478" s="92"/>
      <c r="B478" s="92"/>
      <c r="C478" s="92"/>
      <c r="D478" s="94"/>
      <c r="E478" s="94"/>
      <c r="F478" s="94"/>
      <c r="I478" s="94"/>
    </row>
    <row r="479" spans="1:9">
      <c r="A479" s="92"/>
      <c r="B479" s="92"/>
      <c r="C479" s="92"/>
      <c r="D479" s="94"/>
      <c r="E479" s="94"/>
      <c r="F479" s="94"/>
      <c r="I479" s="94"/>
    </row>
    <row r="480" spans="1:9">
      <c r="A480" s="92"/>
      <c r="B480" s="92"/>
      <c r="C480" s="92"/>
      <c r="D480" s="94"/>
      <c r="E480" s="94"/>
      <c r="F480" s="94"/>
      <c r="I480" s="94"/>
    </row>
    <row r="481" spans="1:9">
      <c r="A481" s="92"/>
      <c r="B481" s="92"/>
      <c r="C481" s="92"/>
      <c r="D481" s="94"/>
      <c r="E481" s="94"/>
      <c r="F481" s="94"/>
      <c r="I481" s="94"/>
    </row>
    <row r="482" spans="1:9">
      <c r="A482" s="92"/>
      <c r="B482" s="92"/>
      <c r="C482" s="92"/>
      <c r="D482" s="94"/>
      <c r="E482" s="94"/>
      <c r="F482" s="94"/>
      <c r="I482" s="94"/>
    </row>
    <row r="483" spans="1:9">
      <c r="A483" s="92"/>
      <c r="B483" s="92"/>
      <c r="C483" s="92"/>
      <c r="D483" s="94"/>
      <c r="E483" s="94"/>
      <c r="F483" s="94"/>
      <c r="I483" s="94"/>
    </row>
    <row r="484" spans="1:9">
      <c r="A484" s="92"/>
      <c r="B484" s="92"/>
      <c r="C484" s="92"/>
      <c r="D484" s="94"/>
      <c r="E484" s="94"/>
      <c r="F484" s="94"/>
      <c r="I484" s="94"/>
    </row>
    <row r="485" spans="1:9">
      <c r="A485" s="92"/>
      <c r="B485" s="92"/>
      <c r="C485" s="92"/>
      <c r="D485" s="94"/>
      <c r="E485" s="94"/>
      <c r="F485" s="94"/>
      <c r="I485" s="94"/>
    </row>
    <row r="486" spans="1:9">
      <c r="A486" s="92"/>
      <c r="B486" s="92"/>
      <c r="C486" s="92"/>
      <c r="D486" s="94"/>
      <c r="E486" s="94"/>
      <c r="F486" s="94"/>
      <c r="I486" s="94"/>
    </row>
    <row r="487" spans="1:9">
      <c r="A487" s="92"/>
      <c r="B487" s="92"/>
      <c r="C487" s="92"/>
      <c r="D487" s="94"/>
      <c r="E487" s="94"/>
      <c r="F487" s="94"/>
      <c r="I487" s="94"/>
    </row>
    <row r="488" spans="1:9">
      <c r="A488" s="92"/>
      <c r="B488" s="92"/>
      <c r="C488" s="92"/>
      <c r="D488" s="94"/>
      <c r="E488" s="94"/>
      <c r="F488" s="94"/>
      <c r="I488" s="94"/>
    </row>
    <row r="489" spans="1:9">
      <c r="A489" s="92"/>
      <c r="B489" s="92"/>
      <c r="C489" s="92"/>
      <c r="D489" s="94"/>
      <c r="E489" s="94"/>
      <c r="F489" s="94"/>
      <c r="I489" s="94"/>
    </row>
    <row r="490" spans="1:9">
      <c r="A490" s="92"/>
      <c r="B490" s="92"/>
      <c r="C490" s="92"/>
      <c r="D490" s="94"/>
      <c r="E490" s="94"/>
      <c r="F490" s="94"/>
      <c r="I490" s="94"/>
    </row>
    <row r="491" spans="1:9">
      <c r="A491" s="92"/>
      <c r="B491" s="92"/>
      <c r="C491" s="92"/>
      <c r="D491" s="94"/>
      <c r="E491" s="94"/>
      <c r="F491" s="94"/>
      <c r="I491" s="94"/>
    </row>
    <row r="492" spans="1:9">
      <c r="A492" s="92"/>
      <c r="B492" s="92"/>
      <c r="C492" s="92"/>
      <c r="D492" s="94"/>
      <c r="E492" s="94"/>
      <c r="F492" s="94"/>
      <c r="I492" s="94"/>
    </row>
    <row r="493" spans="1:9">
      <c r="A493" s="92"/>
      <c r="B493" s="92"/>
      <c r="C493" s="92"/>
      <c r="D493" s="94"/>
      <c r="E493" s="94"/>
      <c r="F493" s="94"/>
      <c r="I493" s="94"/>
    </row>
    <row r="494" spans="1:9">
      <c r="A494" s="92"/>
      <c r="B494" s="92"/>
      <c r="C494" s="92"/>
      <c r="D494" s="94"/>
      <c r="E494" s="94"/>
      <c r="F494" s="94"/>
      <c r="I494" s="94"/>
    </row>
    <row r="495" spans="1:9">
      <c r="A495" s="92"/>
      <c r="B495" s="92"/>
      <c r="C495" s="92"/>
      <c r="D495" s="94"/>
      <c r="E495" s="94"/>
      <c r="F495" s="94"/>
      <c r="I495" s="94"/>
    </row>
    <row r="496" spans="1:9">
      <c r="A496" s="92"/>
      <c r="B496" s="92"/>
      <c r="C496" s="92"/>
      <c r="D496" s="94"/>
      <c r="E496" s="94"/>
      <c r="F496" s="94"/>
      <c r="I496" s="94"/>
    </row>
    <row r="497" spans="1:9">
      <c r="A497" s="92"/>
      <c r="B497" s="92"/>
      <c r="C497" s="92"/>
      <c r="D497" s="94"/>
      <c r="E497" s="94"/>
      <c r="F497" s="94"/>
      <c r="I497" s="94"/>
    </row>
    <row r="498" spans="1:9">
      <c r="A498" s="92"/>
      <c r="B498" s="92"/>
      <c r="C498" s="92"/>
      <c r="D498" s="94"/>
      <c r="E498" s="94"/>
      <c r="F498" s="94"/>
      <c r="I498" s="94"/>
    </row>
    <row r="499" spans="1:9">
      <c r="A499" s="92"/>
      <c r="B499" s="92"/>
      <c r="C499" s="92"/>
      <c r="D499" s="94"/>
      <c r="E499" s="94"/>
      <c r="F499" s="94"/>
      <c r="I499" s="94"/>
    </row>
    <row r="500" spans="1:9">
      <c r="A500" s="92"/>
      <c r="B500" s="92"/>
      <c r="C500" s="92"/>
      <c r="D500" s="94"/>
      <c r="E500" s="94"/>
      <c r="F500" s="94"/>
      <c r="I500" s="94"/>
    </row>
    <row r="501" spans="1:9">
      <c r="A501" s="92"/>
      <c r="B501" s="92"/>
      <c r="C501" s="92"/>
      <c r="D501" s="94"/>
      <c r="E501" s="94"/>
      <c r="F501" s="94"/>
      <c r="I501" s="94"/>
    </row>
    <row r="502" spans="1:9">
      <c r="A502" s="92"/>
      <c r="B502" s="92"/>
      <c r="C502" s="92"/>
      <c r="D502" s="94"/>
      <c r="E502" s="94"/>
      <c r="F502" s="94"/>
      <c r="I502" s="94"/>
    </row>
    <row r="503" spans="1:9">
      <c r="A503" s="92"/>
      <c r="B503" s="92"/>
      <c r="C503" s="92"/>
      <c r="D503" s="94"/>
      <c r="E503" s="94"/>
      <c r="F503" s="94"/>
      <c r="I503" s="94"/>
    </row>
    <row r="504" spans="1:9">
      <c r="A504" s="92"/>
      <c r="B504" s="92"/>
      <c r="C504" s="92"/>
      <c r="D504" s="94"/>
      <c r="E504" s="94"/>
      <c r="F504" s="94"/>
      <c r="I504" s="94"/>
    </row>
    <row r="505" spans="1:9">
      <c r="A505" s="92"/>
      <c r="B505" s="92"/>
      <c r="C505" s="92"/>
      <c r="D505" s="94"/>
      <c r="E505" s="94"/>
      <c r="F505" s="94"/>
      <c r="I505" s="94"/>
    </row>
    <row r="506" spans="1:9">
      <c r="A506" s="92"/>
      <c r="B506" s="92"/>
      <c r="C506" s="92"/>
      <c r="D506" s="94"/>
      <c r="E506" s="94"/>
      <c r="F506" s="94"/>
      <c r="I506" s="94"/>
    </row>
    <row r="507" spans="1:9">
      <c r="A507" s="92"/>
      <c r="B507" s="92"/>
      <c r="C507" s="92"/>
      <c r="D507" s="94"/>
      <c r="E507" s="94"/>
      <c r="F507" s="94"/>
      <c r="I507" s="94"/>
    </row>
    <row r="508" spans="1:9">
      <c r="A508" s="92"/>
      <c r="B508" s="92"/>
      <c r="C508" s="92"/>
      <c r="D508" s="94"/>
      <c r="E508" s="94"/>
      <c r="F508" s="94"/>
      <c r="I508" s="94"/>
    </row>
    <row r="509" spans="1:9">
      <c r="A509" s="92"/>
      <c r="B509" s="92"/>
      <c r="C509" s="92"/>
      <c r="D509" s="94"/>
      <c r="E509" s="94"/>
      <c r="F509" s="94"/>
      <c r="I509" s="94"/>
    </row>
    <row r="510" spans="1:9">
      <c r="A510" s="92"/>
      <c r="B510" s="92"/>
      <c r="C510" s="92"/>
      <c r="D510" s="94"/>
      <c r="E510" s="94"/>
      <c r="F510" s="94"/>
      <c r="I510" s="94"/>
    </row>
    <row r="511" spans="1:9">
      <c r="A511" s="92"/>
      <c r="B511" s="92"/>
      <c r="C511" s="92"/>
      <c r="D511" s="94"/>
      <c r="E511" s="94"/>
      <c r="F511" s="94"/>
      <c r="I511" s="94"/>
    </row>
    <row r="512" spans="1:9">
      <c r="A512" s="92"/>
      <c r="B512" s="92"/>
      <c r="C512" s="92"/>
      <c r="D512" s="94"/>
      <c r="E512" s="94"/>
      <c r="F512" s="94"/>
      <c r="I512" s="94"/>
    </row>
    <row r="513" spans="1:9">
      <c r="A513" s="92"/>
      <c r="B513" s="92"/>
      <c r="C513" s="92"/>
      <c r="D513" s="94"/>
      <c r="E513" s="94"/>
      <c r="F513" s="94"/>
      <c r="I513" s="94"/>
    </row>
    <row r="514" spans="1:9">
      <c r="A514" s="92"/>
      <c r="B514" s="92"/>
      <c r="C514" s="92"/>
      <c r="D514" s="94"/>
      <c r="E514" s="94"/>
      <c r="F514" s="94"/>
      <c r="I514" s="94"/>
    </row>
    <row r="515" spans="1:9">
      <c r="A515" s="92"/>
      <c r="B515" s="92"/>
      <c r="C515" s="92"/>
      <c r="D515" s="94"/>
      <c r="E515" s="94"/>
      <c r="F515" s="94"/>
      <c r="I515" s="94"/>
    </row>
    <row r="516" spans="1:9">
      <c r="A516" s="92"/>
      <c r="B516" s="92"/>
      <c r="C516" s="92"/>
      <c r="D516" s="94"/>
      <c r="E516" s="94"/>
      <c r="F516" s="94"/>
      <c r="I516" s="94"/>
    </row>
    <row r="517" spans="1:9">
      <c r="A517" s="92"/>
      <c r="B517" s="92"/>
      <c r="C517" s="92"/>
      <c r="D517" s="94"/>
      <c r="E517" s="94"/>
      <c r="F517" s="94"/>
      <c r="I517" s="94"/>
    </row>
    <row r="518" spans="1:9">
      <c r="A518" s="92"/>
      <c r="B518" s="92"/>
      <c r="C518" s="92"/>
      <c r="D518" s="94"/>
      <c r="E518" s="94"/>
      <c r="F518" s="94"/>
      <c r="I518" s="94"/>
    </row>
    <row r="519" spans="1:9">
      <c r="A519" s="92"/>
      <c r="B519" s="92"/>
      <c r="C519" s="92"/>
      <c r="D519" s="94"/>
      <c r="E519" s="94"/>
      <c r="F519" s="94"/>
      <c r="I519" s="94"/>
    </row>
    <row r="520" spans="1:9">
      <c r="A520" s="92"/>
      <c r="B520" s="92"/>
      <c r="C520" s="92"/>
      <c r="D520" s="94"/>
      <c r="E520" s="94"/>
      <c r="F520" s="94"/>
      <c r="I520" s="94"/>
    </row>
    <row r="521" spans="1:9">
      <c r="A521" s="92"/>
      <c r="B521" s="92"/>
      <c r="C521" s="92"/>
      <c r="D521" s="94"/>
      <c r="E521" s="94"/>
      <c r="F521" s="94"/>
      <c r="I521" s="94"/>
    </row>
    <row r="522" spans="1:9">
      <c r="A522" s="92"/>
      <c r="B522" s="92"/>
      <c r="C522" s="92"/>
      <c r="D522" s="94"/>
      <c r="E522" s="94"/>
      <c r="F522" s="94"/>
      <c r="I522" s="94"/>
    </row>
    <row r="523" spans="1:9">
      <c r="A523" s="92"/>
      <c r="B523" s="92"/>
      <c r="C523" s="92"/>
      <c r="D523" s="94"/>
      <c r="E523" s="94"/>
      <c r="F523" s="94"/>
      <c r="I523" s="94"/>
    </row>
    <row r="524" spans="1:9">
      <c r="A524" s="92"/>
      <c r="B524" s="92"/>
      <c r="C524" s="92"/>
      <c r="D524" s="94"/>
      <c r="E524" s="94"/>
      <c r="F524" s="94"/>
      <c r="I524" s="94"/>
    </row>
    <row r="525" spans="1:9">
      <c r="A525" s="92"/>
      <c r="B525" s="92"/>
      <c r="C525" s="92"/>
      <c r="D525" s="94"/>
      <c r="E525" s="94"/>
      <c r="F525" s="94"/>
      <c r="I525" s="94"/>
    </row>
    <row r="526" spans="1:9">
      <c r="A526" s="92"/>
      <c r="B526" s="92"/>
      <c r="C526" s="92"/>
      <c r="D526" s="94"/>
      <c r="E526" s="94"/>
      <c r="F526" s="94"/>
    </row>
    <row r="527" spans="1:9">
      <c r="A527" s="92"/>
      <c r="B527" s="92"/>
      <c r="C527" s="92"/>
      <c r="D527" s="94"/>
      <c r="E527" s="94"/>
      <c r="F527" s="94"/>
    </row>
    <row r="528" spans="1:9">
      <c r="A528" s="92"/>
      <c r="B528" s="92"/>
      <c r="C528" s="92"/>
      <c r="D528" s="94"/>
      <c r="E528" s="94"/>
      <c r="F528" s="94"/>
    </row>
    <row r="529" spans="1:6">
      <c r="A529" s="92"/>
      <c r="B529" s="92"/>
      <c r="C529" s="92"/>
      <c r="D529" s="94"/>
      <c r="E529" s="94"/>
      <c r="F529" s="94"/>
    </row>
    <row r="530" spans="1:6">
      <c r="A530" s="92"/>
      <c r="B530" s="92"/>
      <c r="C530" s="92"/>
      <c r="D530" s="94"/>
      <c r="E530" s="94"/>
      <c r="F530" s="94"/>
    </row>
    <row r="531" spans="1:6">
      <c r="A531" s="92"/>
      <c r="B531" s="92"/>
      <c r="C531" s="92"/>
      <c r="D531" s="94"/>
      <c r="E531" s="94"/>
      <c r="F531" s="94"/>
    </row>
    <row r="532" spans="1:6">
      <c r="A532" s="92"/>
      <c r="B532" s="92"/>
      <c r="C532" s="92"/>
      <c r="D532" s="94"/>
      <c r="E532" s="94"/>
      <c r="F532" s="94"/>
    </row>
    <row r="533" spans="1:6">
      <c r="A533" s="92"/>
      <c r="B533" s="92"/>
      <c r="C533" s="92"/>
      <c r="D533" s="94"/>
      <c r="E533" s="94"/>
      <c r="F533" s="94"/>
    </row>
    <row r="534" spans="1:6">
      <c r="A534" s="92"/>
      <c r="B534" s="92"/>
      <c r="C534" s="92"/>
      <c r="D534" s="94"/>
      <c r="E534" s="94"/>
      <c r="F534" s="94"/>
    </row>
    <row r="535" spans="1:6">
      <c r="A535" s="92"/>
      <c r="B535" s="92"/>
      <c r="C535" s="92"/>
      <c r="D535" s="94"/>
      <c r="E535" s="94"/>
      <c r="F535" s="94"/>
    </row>
    <row r="536" spans="1:6">
      <c r="A536" s="92"/>
      <c r="B536" s="92"/>
      <c r="C536" s="92"/>
      <c r="D536" s="94"/>
      <c r="E536" s="94"/>
      <c r="F536" s="94"/>
    </row>
    <row r="537" spans="1:6">
      <c r="A537" s="92"/>
      <c r="B537" s="92"/>
      <c r="C537" s="92"/>
      <c r="D537" s="94"/>
      <c r="E537" s="94"/>
      <c r="F537" s="94"/>
    </row>
    <row r="538" spans="1:6">
      <c r="A538" s="92"/>
      <c r="B538" s="92"/>
      <c r="C538" s="92"/>
      <c r="D538" s="94"/>
      <c r="E538" s="94"/>
      <c r="F538" s="94"/>
    </row>
    <row r="539" spans="1:6">
      <c r="A539" s="92"/>
      <c r="B539" s="92"/>
      <c r="C539" s="92"/>
      <c r="D539" s="94"/>
      <c r="E539" s="94"/>
      <c r="F539" s="94"/>
    </row>
    <row r="540" spans="1:6">
      <c r="A540" s="92"/>
      <c r="B540" s="92"/>
      <c r="C540" s="92"/>
      <c r="D540" s="94"/>
      <c r="E540" s="94"/>
      <c r="F540" s="94"/>
    </row>
    <row r="541" spans="1:6">
      <c r="A541" s="92"/>
      <c r="B541" s="92"/>
      <c r="C541" s="92"/>
      <c r="D541" s="94"/>
      <c r="E541" s="94"/>
      <c r="F541" s="94"/>
    </row>
    <row r="542" spans="1:6">
      <c r="A542" s="92"/>
      <c r="B542" s="92"/>
      <c r="C542" s="92"/>
      <c r="D542" s="94"/>
      <c r="E542" s="94"/>
      <c r="F542" s="94"/>
    </row>
    <row r="543" spans="1:6">
      <c r="A543" s="92"/>
      <c r="B543" s="92"/>
      <c r="C543" s="92"/>
      <c r="D543" s="94"/>
      <c r="E543" s="94"/>
      <c r="F543" s="94"/>
    </row>
    <row r="544" spans="1:6">
      <c r="A544" s="92"/>
      <c r="B544" s="92"/>
      <c r="C544" s="92"/>
      <c r="D544" s="94"/>
      <c r="E544" s="94"/>
      <c r="F544" s="94"/>
    </row>
    <row r="545" spans="1:6">
      <c r="A545" s="92"/>
      <c r="B545" s="92"/>
      <c r="C545" s="92"/>
      <c r="D545" s="94"/>
      <c r="E545" s="94"/>
      <c r="F545" s="94"/>
    </row>
    <row r="546" spans="1:6">
      <c r="A546" s="92"/>
      <c r="B546" s="92"/>
      <c r="C546" s="92"/>
      <c r="D546" s="94"/>
      <c r="E546" s="94"/>
      <c r="F546" s="94"/>
    </row>
    <row r="547" spans="1:6">
      <c r="A547" s="92"/>
      <c r="B547" s="92"/>
      <c r="C547" s="92"/>
      <c r="D547" s="94"/>
      <c r="E547" s="94"/>
      <c r="F547" s="94"/>
    </row>
    <row r="548" spans="1:6">
      <c r="A548" s="92"/>
      <c r="B548" s="92"/>
      <c r="C548" s="92"/>
      <c r="D548" s="94"/>
      <c r="E548" s="94"/>
      <c r="F548" s="94"/>
    </row>
    <row r="549" spans="1:6">
      <c r="A549" s="92"/>
      <c r="B549" s="92"/>
      <c r="C549" s="92"/>
      <c r="D549" s="94"/>
      <c r="E549" s="94"/>
      <c r="F549" s="94"/>
    </row>
    <row r="550" spans="1:6">
      <c r="A550" s="92"/>
      <c r="B550" s="92"/>
      <c r="C550" s="92"/>
      <c r="D550" s="94"/>
      <c r="E550" s="94"/>
      <c r="F550" s="94"/>
    </row>
    <row r="551" spans="1:6">
      <c r="A551" s="92"/>
      <c r="B551" s="92"/>
      <c r="C551" s="92"/>
      <c r="D551" s="94"/>
      <c r="E551" s="94"/>
      <c r="F551" s="94"/>
    </row>
    <row r="552" spans="1:6">
      <c r="A552" s="92"/>
      <c r="B552" s="92"/>
      <c r="C552" s="92"/>
      <c r="D552" s="94"/>
      <c r="E552" s="94"/>
      <c r="F552" s="94"/>
    </row>
    <row r="553" spans="1:6">
      <c r="A553" s="92"/>
      <c r="B553" s="92"/>
      <c r="C553" s="92"/>
      <c r="D553" s="94"/>
      <c r="E553" s="94"/>
      <c r="F553" s="94"/>
    </row>
    <row r="554" spans="1:6">
      <c r="A554" s="92"/>
      <c r="B554" s="92"/>
      <c r="C554" s="92"/>
      <c r="D554" s="94"/>
      <c r="E554" s="94"/>
      <c r="F554" s="94"/>
    </row>
    <row r="555" spans="1:6">
      <c r="A555" s="92"/>
      <c r="B555" s="92"/>
      <c r="C555" s="92"/>
      <c r="D555" s="94"/>
      <c r="E555" s="94"/>
      <c r="F555" s="94"/>
    </row>
    <row r="556" spans="1:6">
      <c r="A556" s="92"/>
      <c r="B556" s="92"/>
      <c r="C556" s="92"/>
      <c r="D556" s="94"/>
      <c r="E556" s="94"/>
      <c r="F556" s="94"/>
    </row>
    <row r="557" spans="1:6">
      <c r="A557" s="92"/>
      <c r="B557" s="92"/>
      <c r="C557" s="92"/>
      <c r="D557" s="94"/>
      <c r="E557" s="94"/>
      <c r="F557" s="94"/>
    </row>
    <row r="558" spans="1:6">
      <c r="A558" s="92"/>
      <c r="B558" s="92"/>
      <c r="C558" s="92"/>
      <c r="D558" s="94"/>
      <c r="E558" s="94"/>
      <c r="F558" s="94"/>
    </row>
    <row r="559" spans="1:6">
      <c r="A559" s="92"/>
      <c r="B559" s="92"/>
      <c r="C559" s="92"/>
      <c r="D559" s="94"/>
      <c r="E559" s="94"/>
      <c r="F559" s="94"/>
    </row>
    <row r="560" spans="1:6">
      <c r="A560" s="92"/>
      <c r="B560" s="92"/>
      <c r="C560" s="92"/>
      <c r="D560" s="94"/>
      <c r="E560" s="94"/>
      <c r="F560" s="94"/>
    </row>
    <row r="561" spans="1:6">
      <c r="A561" s="92"/>
      <c r="B561" s="92"/>
      <c r="C561" s="92"/>
      <c r="D561" s="94"/>
      <c r="E561" s="94"/>
      <c r="F561" s="94"/>
    </row>
    <row r="562" spans="1:6">
      <c r="A562" s="92"/>
      <c r="B562" s="92"/>
      <c r="C562" s="92"/>
      <c r="D562" s="94"/>
      <c r="E562" s="94"/>
      <c r="F562" s="94"/>
    </row>
    <row r="563" spans="1:6">
      <c r="A563" s="92"/>
      <c r="B563" s="92"/>
      <c r="C563" s="92"/>
      <c r="D563" s="94"/>
      <c r="E563" s="94"/>
      <c r="F563" s="94"/>
    </row>
    <row r="564" spans="1:6">
      <c r="A564" s="92"/>
      <c r="B564" s="92"/>
      <c r="C564" s="92"/>
      <c r="D564" s="94"/>
      <c r="E564" s="94"/>
      <c r="F564" s="94"/>
    </row>
    <row r="565" spans="1:6">
      <c r="A565" s="92"/>
      <c r="B565" s="92"/>
      <c r="C565" s="92"/>
      <c r="D565" s="94"/>
      <c r="E565" s="94"/>
      <c r="F565" s="94"/>
    </row>
    <row r="566" spans="1:6">
      <c r="A566" s="92"/>
      <c r="B566" s="92"/>
      <c r="C566" s="92"/>
      <c r="D566" s="94"/>
      <c r="E566" s="94"/>
      <c r="F566" s="94"/>
    </row>
    <row r="567" spans="1:6">
      <c r="A567" s="92"/>
      <c r="B567" s="92"/>
      <c r="C567" s="92"/>
      <c r="D567" s="94"/>
      <c r="E567" s="94"/>
      <c r="F567" s="94"/>
    </row>
    <row r="568" spans="1:6">
      <c r="A568" s="92"/>
      <c r="B568" s="92"/>
      <c r="C568" s="92"/>
      <c r="D568" s="94"/>
      <c r="E568" s="94"/>
      <c r="F568" s="94"/>
    </row>
    <row r="569" spans="1:6">
      <c r="A569" s="92"/>
      <c r="B569" s="92"/>
      <c r="C569" s="92"/>
      <c r="D569" s="94"/>
      <c r="E569" s="94"/>
      <c r="F569" s="94"/>
    </row>
    <row r="570" spans="1:6">
      <c r="A570" s="92"/>
      <c r="B570" s="92"/>
      <c r="C570" s="92"/>
      <c r="D570" s="94"/>
      <c r="E570" s="94"/>
      <c r="F570" s="94"/>
    </row>
    <row r="571" spans="1:6">
      <c r="A571" s="92"/>
      <c r="B571" s="92"/>
      <c r="C571" s="92"/>
      <c r="D571" s="94"/>
      <c r="E571" s="94"/>
      <c r="F571" s="94"/>
    </row>
    <row r="572" spans="1:6">
      <c r="A572" s="92"/>
      <c r="B572" s="92"/>
      <c r="C572" s="92"/>
      <c r="D572" s="94"/>
      <c r="E572" s="94"/>
      <c r="F572" s="94"/>
    </row>
    <row r="573" spans="1:6">
      <c r="A573" s="92"/>
      <c r="B573" s="92"/>
      <c r="C573" s="92"/>
      <c r="D573" s="94"/>
      <c r="E573" s="94"/>
      <c r="F573" s="94"/>
    </row>
    <row r="574" spans="1:6">
      <c r="A574" s="92"/>
      <c r="B574" s="92"/>
      <c r="C574" s="92"/>
      <c r="D574" s="94"/>
      <c r="E574" s="94"/>
      <c r="F574" s="94"/>
    </row>
    <row r="575" spans="1:6">
      <c r="A575" s="92"/>
      <c r="B575" s="92"/>
      <c r="C575" s="92"/>
      <c r="D575" s="94"/>
      <c r="E575" s="94"/>
      <c r="F575" s="94"/>
    </row>
    <row r="576" spans="1:6">
      <c r="A576" s="92"/>
      <c r="B576" s="92"/>
      <c r="C576" s="92"/>
      <c r="D576" s="94"/>
      <c r="E576" s="94"/>
      <c r="F576" s="94"/>
    </row>
    <row r="577" spans="1:6">
      <c r="A577" s="92"/>
      <c r="B577" s="92"/>
      <c r="C577" s="92"/>
      <c r="D577" s="94"/>
      <c r="E577" s="94"/>
      <c r="F577" s="94"/>
    </row>
    <row r="578" spans="1:6">
      <c r="A578" s="92"/>
      <c r="B578" s="92"/>
      <c r="C578" s="92"/>
      <c r="D578" s="94"/>
      <c r="E578" s="94"/>
      <c r="F578" s="94"/>
    </row>
    <row r="579" spans="1:6">
      <c r="A579" s="92"/>
      <c r="B579" s="92"/>
      <c r="C579" s="92"/>
      <c r="D579" s="94"/>
      <c r="E579" s="94"/>
      <c r="F579" s="94"/>
    </row>
    <row r="580" spans="1:6">
      <c r="A580" s="92"/>
      <c r="B580" s="92"/>
      <c r="C580" s="92"/>
      <c r="D580" s="94"/>
      <c r="E580" s="94"/>
      <c r="F580" s="94"/>
    </row>
    <row r="581" spans="1:6">
      <c r="A581" s="92"/>
      <c r="B581" s="92"/>
      <c r="C581" s="92"/>
      <c r="D581" s="94"/>
      <c r="E581" s="94"/>
      <c r="F581" s="94"/>
    </row>
    <row r="582" spans="1:6">
      <c r="A582" s="92"/>
      <c r="B582" s="92"/>
      <c r="C582" s="92"/>
      <c r="D582" s="94"/>
      <c r="E582" s="94"/>
      <c r="F582" s="94"/>
    </row>
    <row r="583" spans="1:6">
      <c r="A583" s="92"/>
      <c r="B583" s="92"/>
      <c r="C583" s="92"/>
      <c r="D583" s="94"/>
      <c r="E583" s="94"/>
      <c r="F583" s="94"/>
    </row>
    <row r="584" spans="1:6">
      <c r="A584" s="92"/>
      <c r="B584" s="92"/>
      <c r="C584" s="92"/>
      <c r="D584" s="94"/>
      <c r="E584" s="94"/>
      <c r="F584" s="94"/>
    </row>
    <row r="585" spans="1:6">
      <c r="A585" s="92"/>
      <c r="B585" s="92"/>
      <c r="C585" s="92"/>
      <c r="D585" s="94"/>
      <c r="E585" s="94"/>
      <c r="F585" s="94"/>
    </row>
    <row r="586" spans="1:6">
      <c r="A586" s="92"/>
      <c r="B586" s="92"/>
      <c r="C586" s="92"/>
      <c r="D586" s="94"/>
      <c r="E586" s="94"/>
      <c r="F586" s="94"/>
    </row>
    <row r="587" spans="1:6">
      <c r="A587" s="92"/>
      <c r="B587" s="92"/>
      <c r="C587" s="92"/>
      <c r="D587" s="94"/>
      <c r="E587" s="94"/>
      <c r="F587" s="94"/>
    </row>
    <row r="588" spans="1:6">
      <c r="A588" s="92"/>
      <c r="B588" s="92"/>
      <c r="C588" s="92"/>
      <c r="D588" s="94"/>
      <c r="E588" s="94"/>
      <c r="F588" s="94"/>
    </row>
    <row r="589" spans="1:6">
      <c r="A589" s="92"/>
      <c r="B589" s="92"/>
      <c r="C589" s="92"/>
      <c r="D589" s="94"/>
      <c r="E589" s="94"/>
      <c r="F589" s="94"/>
    </row>
    <row r="590" spans="1:6">
      <c r="A590" s="92"/>
      <c r="B590" s="92"/>
      <c r="C590" s="92"/>
      <c r="D590" s="94"/>
      <c r="E590" s="94"/>
      <c r="F590" s="94"/>
    </row>
    <row r="591" spans="1:6">
      <c r="A591" s="92"/>
      <c r="B591" s="92"/>
      <c r="C591" s="92"/>
      <c r="D591" s="94"/>
      <c r="E591" s="94"/>
      <c r="F591" s="94"/>
    </row>
    <row r="592" spans="1:6">
      <c r="A592" s="92"/>
      <c r="B592" s="92"/>
      <c r="C592" s="92"/>
      <c r="D592" s="94"/>
      <c r="E592" s="94"/>
      <c r="F592" s="94"/>
    </row>
    <row r="593" spans="1:6">
      <c r="A593" s="92"/>
      <c r="B593" s="92"/>
      <c r="C593" s="92"/>
      <c r="D593" s="94"/>
      <c r="E593" s="94"/>
      <c r="F593" s="94"/>
    </row>
    <row r="594" spans="1:6">
      <c r="A594" s="92"/>
      <c r="B594" s="92"/>
      <c r="C594" s="92"/>
      <c r="D594" s="94"/>
      <c r="E594" s="94"/>
      <c r="F594" s="94"/>
    </row>
    <row r="595" spans="1:6">
      <c r="A595" s="92"/>
      <c r="B595" s="92"/>
      <c r="C595" s="92"/>
      <c r="D595" s="94"/>
      <c r="E595" s="94"/>
      <c r="F595" s="94"/>
    </row>
    <row r="596" spans="1:6">
      <c r="A596" s="92"/>
      <c r="B596" s="92"/>
      <c r="C596" s="92"/>
      <c r="D596" s="94"/>
      <c r="E596" s="94"/>
      <c r="F596" s="94"/>
    </row>
    <row r="597" spans="1:6">
      <c r="A597" s="92"/>
      <c r="B597" s="92"/>
      <c r="C597" s="92"/>
      <c r="D597" s="94"/>
      <c r="E597" s="94"/>
      <c r="F597" s="94"/>
    </row>
    <row r="598" spans="1:6">
      <c r="A598" s="92"/>
      <c r="B598" s="92"/>
      <c r="C598" s="92"/>
      <c r="D598" s="94"/>
      <c r="E598" s="94"/>
      <c r="F598" s="94"/>
    </row>
    <row r="599" spans="1:6">
      <c r="A599" s="92"/>
      <c r="B599" s="92"/>
      <c r="C599" s="92"/>
      <c r="D599" s="94"/>
      <c r="E599" s="94"/>
      <c r="F599" s="94"/>
    </row>
    <row r="600" spans="1:6">
      <c r="A600" s="92"/>
      <c r="B600" s="92"/>
      <c r="C600" s="92"/>
      <c r="D600" s="94"/>
      <c r="E600" s="94"/>
      <c r="F600" s="94"/>
    </row>
    <row r="601" spans="1:6">
      <c r="A601" s="92"/>
      <c r="B601" s="92"/>
      <c r="C601" s="92"/>
      <c r="D601" s="94"/>
      <c r="E601" s="94"/>
      <c r="F601" s="94"/>
    </row>
    <row r="602" spans="1:6">
      <c r="A602" s="92"/>
      <c r="B602" s="92"/>
      <c r="C602" s="92"/>
      <c r="D602" s="94"/>
      <c r="E602" s="94"/>
      <c r="F602" s="94"/>
    </row>
    <row r="603" spans="1:6">
      <c r="A603" s="92"/>
      <c r="B603" s="92"/>
      <c r="C603" s="92"/>
      <c r="D603" s="94"/>
      <c r="E603" s="94"/>
      <c r="F603" s="94"/>
    </row>
    <row r="604" spans="1:6">
      <c r="A604" s="92"/>
      <c r="B604" s="92"/>
      <c r="C604" s="92"/>
      <c r="D604" s="94"/>
      <c r="E604" s="94"/>
      <c r="F604" s="94"/>
    </row>
    <row r="605" spans="1:6">
      <c r="A605" s="92"/>
      <c r="B605" s="92"/>
      <c r="C605" s="92"/>
      <c r="D605" s="94"/>
      <c r="E605" s="94"/>
      <c r="F605" s="94"/>
    </row>
    <row r="606" spans="1:6">
      <c r="A606" s="92"/>
      <c r="B606" s="92"/>
      <c r="C606" s="92"/>
      <c r="D606" s="94"/>
      <c r="E606" s="94"/>
      <c r="F606" s="94"/>
    </row>
    <row r="607" spans="1:6">
      <c r="A607" s="92"/>
      <c r="B607" s="92"/>
      <c r="C607" s="92"/>
      <c r="D607" s="94"/>
      <c r="E607" s="94"/>
      <c r="F607" s="94"/>
    </row>
    <row r="608" spans="1:6">
      <c r="A608" s="92"/>
      <c r="B608" s="92"/>
      <c r="C608" s="92"/>
      <c r="D608" s="94"/>
      <c r="E608" s="94"/>
      <c r="F608" s="94"/>
    </row>
    <row r="609" spans="1:6">
      <c r="A609" s="92"/>
      <c r="B609" s="92"/>
      <c r="C609" s="92"/>
      <c r="D609" s="94"/>
      <c r="E609" s="94"/>
      <c r="F609" s="94"/>
    </row>
    <row r="610" spans="1:6">
      <c r="A610" s="92"/>
      <c r="B610" s="92"/>
      <c r="C610" s="92"/>
      <c r="D610" s="94"/>
      <c r="E610" s="94"/>
      <c r="F610" s="94"/>
    </row>
    <row r="611" spans="1:6">
      <c r="A611" s="92"/>
      <c r="B611" s="92"/>
      <c r="C611" s="92"/>
      <c r="D611" s="94"/>
      <c r="E611" s="94"/>
      <c r="F611" s="94"/>
    </row>
    <row r="612" spans="1:6">
      <c r="A612" s="92"/>
      <c r="B612" s="92"/>
      <c r="C612" s="92"/>
      <c r="D612" s="94"/>
      <c r="E612" s="94"/>
      <c r="F612" s="94"/>
    </row>
    <row r="613" spans="1:6">
      <c r="A613" s="92"/>
      <c r="B613" s="92"/>
      <c r="C613" s="92"/>
      <c r="D613" s="94"/>
      <c r="E613" s="94"/>
      <c r="F613" s="94"/>
    </row>
    <row r="614" spans="1:6">
      <c r="A614" s="92"/>
      <c r="B614" s="92"/>
      <c r="C614" s="92"/>
      <c r="D614" s="94"/>
      <c r="E614" s="94"/>
      <c r="F614" s="94"/>
    </row>
    <row r="615" spans="1:6">
      <c r="A615" s="92"/>
      <c r="B615" s="92"/>
      <c r="C615" s="92"/>
      <c r="D615" s="94"/>
      <c r="E615" s="94"/>
      <c r="F615" s="94"/>
    </row>
    <row r="616" spans="1:6">
      <c r="A616" s="92"/>
      <c r="B616" s="92"/>
      <c r="C616" s="92"/>
      <c r="D616" s="94"/>
      <c r="E616" s="94"/>
      <c r="F616" s="94"/>
    </row>
    <row r="617" spans="1:6">
      <c r="A617" s="92"/>
      <c r="B617" s="92"/>
      <c r="C617" s="92"/>
      <c r="D617" s="94"/>
      <c r="E617" s="94"/>
      <c r="F617" s="94"/>
    </row>
    <row r="618" spans="1:6">
      <c r="A618" s="92"/>
      <c r="B618" s="92"/>
      <c r="C618" s="92"/>
      <c r="D618" s="94"/>
      <c r="E618" s="94"/>
      <c r="F618" s="94"/>
    </row>
    <row r="619" spans="1:6">
      <c r="A619" s="92"/>
      <c r="B619" s="92"/>
      <c r="C619" s="92"/>
      <c r="D619" s="94"/>
      <c r="E619" s="94"/>
      <c r="F619" s="94"/>
    </row>
    <row r="620" spans="1:6">
      <c r="A620" s="92"/>
      <c r="B620" s="92"/>
      <c r="C620" s="92"/>
      <c r="D620" s="94"/>
      <c r="E620" s="94"/>
      <c r="F620" s="94"/>
    </row>
    <row r="621" spans="1:6">
      <c r="A621" s="92"/>
      <c r="B621" s="92"/>
      <c r="C621" s="92"/>
      <c r="D621" s="94"/>
      <c r="E621" s="94"/>
      <c r="F621" s="94"/>
    </row>
    <row r="622" spans="1:6">
      <c r="A622" s="92"/>
      <c r="B622" s="92"/>
      <c r="C622" s="92"/>
      <c r="D622" s="94"/>
      <c r="E622" s="94"/>
      <c r="F622" s="94"/>
    </row>
    <row r="623" spans="1:6">
      <c r="A623" s="92"/>
      <c r="B623" s="92"/>
      <c r="C623" s="92"/>
      <c r="D623" s="94"/>
      <c r="E623" s="94"/>
      <c r="F623" s="94"/>
    </row>
    <row r="624" spans="1:6">
      <c r="A624" s="92"/>
      <c r="B624" s="92"/>
      <c r="C624" s="92"/>
      <c r="D624" s="94"/>
      <c r="E624" s="94"/>
      <c r="F624" s="94"/>
    </row>
    <row r="625" spans="1:6">
      <c r="A625" s="92"/>
      <c r="B625" s="92"/>
      <c r="C625" s="92"/>
      <c r="D625" s="94"/>
      <c r="E625" s="94"/>
      <c r="F625" s="94"/>
    </row>
    <row r="626" spans="1:6">
      <c r="A626" s="92"/>
      <c r="B626" s="92"/>
      <c r="C626" s="92"/>
      <c r="D626" s="94"/>
      <c r="E626" s="94"/>
      <c r="F626" s="94"/>
    </row>
    <row r="627" spans="1:6">
      <c r="A627" s="92"/>
      <c r="B627" s="92"/>
      <c r="C627" s="92"/>
      <c r="D627" s="94"/>
      <c r="E627" s="94"/>
      <c r="F627" s="94"/>
    </row>
    <row r="628" spans="1:6">
      <c r="A628" s="92"/>
      <c r="B628" s="92"/>
      <c r="C628" s="92"/>
      <c r="D628" s="94"/>
      <c r="E628" s="94"/>
      <c r="F628" s="94"/>
    </row>
    <row r="629" spans="1:6">
      <c r="A629" s="92"/>
      <c r="B629" s="92"/>
      <c r="C629" s="92"/>
      <c r="D629" s="94"/>
      <c r="E629" s="94"/>
      <c r="F629" s="94"/>
    </row>
    <row r="630" spans="1:6">
      <c r="A630" s="92"/>
      <c r="B630" s="92"/>
      <c r="C630" s="92"/>
      <c r="D630" s="94"/>
      <c r="E630" s="94"/>
      <c r="F630" s="94"/>
    </row>
    <row r="631" spans="1:6">
      <c r="A631" s="92"/>
      <c r="B631" s="92"/>
      <c r="C631" s="92"/>
      <c r="D631" s="94"/>
      <c r="E631" s="94"/>
      <c r="F631" s="94"/>
    </row>
    <row r="632" spans="1:6">
      <c r="A632" s="92"/>
      <c r="B632" s="92"/>
      <c r="C632" s="92"/>
      <c r="D632" s="94"/>
      <c r="E632" s="94"/>
      <c r="F632" s="94"/>
    </row>
    <row r="633" spans="1:6">
      <c r="A633" s="92"/>
      <c r="B633" s="92"/>
      <c r="C633" s="92"/>
      <c r="D633" s="94"/>
      <c r="E633" s="94"/>
      <c r="F633" s="94"/>
    </row>
    <row r="634" spans="1:6">
      <c r="A634" s="92"/>
      <c r="B634" s="92"/>
      <c r="C634" s="92"/>
      <c r="D634" s="94"/>
      <c r="E634" s="94"/>
      <c r="F634" s="94"/>
    </row>
    <row r="635" spans="1:6">
      <c r="A635" s="92"/>
      <c r="B635" s="92"/>
      <c r="C635" s="92"/>
      <c r="D635" s="94"/>
      <c r="E635" s="94"/>
      <c r="F635" s="94"/>
    </row>
    <row r="636" spans="1:6">
      <c r="A636" s="92"/>
      <c r="B636" s="92"/>
      <c r="C636" s="92"/>
      <c r="D636" s="94"/>
      <c r="E636" s="94"/>
      <c r="F636" s="94"/>
    </row>
    <row r="637" spans="1:6">
      <c r="A637" s="92"/>
      <c r="B637" s="92"/>
      <c r="C637" s="92"/>
      <c r="D637" s="94"/>
      <c r="E637" s="94"/>
      <c r="F637" s="94"/>
    </row>
    <row r="638" spans="1:6">
      <c r="A638" s="92"/>
      <c r="B638" s="92"/>
      <c r="C638" s="92"/>
      <c r="D638" s="94"/>
      <c r="E638" s="94"/>
      <c r="F638" s="94"/>
    </row>
    <row r="639" spans="1:6">
      <c r="A639" s="92"/>
      <c r="B639" s="92"/>
      <c r="C639" s="92"/>
      <c r="D639" s="94"/>
      <c r="E639" s="94"/>
      <c r="F639" s="94"/>
    </row>
    <row r="640" spans="1:6">
      <c r="A640" s="92"/>
      <c r="B640" s="92"/>
      <c r="C640" s="92"/>
      <c r="D640" s="94"/>
      <c r="E640" s="94"/>
      <c r="F640" s="94"/>
    </row>
    <row r="641" spans="1:6">
      <c r="A641" s="92"/>
      <c r="B641" s="92"/>
      <c r="C641" s="92"/>
      <c r="D641" s="94"/>
      <c r="E641" s="94"/>
      <c r="F641" s="94"/>
    </row>
    <row r="642" spans="1:6">
      <c r="A642" s="92"/>
      <c r="B642" s="92"/>
      <c r="C642" s="92"/>
      <c r="D642" s="94"/>
      <c r="E642" s="94"/>
      <c r="F642" s="94"/>
    </row>
    <row r="643" spans="1:6">
      <c r="A643" s="92"/>
      <c r="B643" s="92"/>
      <c r="C643" s="92"/>
      <c r="D643" s="94"/>
      <c r="E643" s="94"/>
      <c r="F643" s="94"/>
    </row>
    <row r="644" spans="1:6">
      <c r="A644" s="92"/>
      <c r="B644" s="92"/>
      <c r="C644" s="92"/>
      <c r="D644" s="94"/>
      <c r="E644" s="94"/>
      <c r="F644" s="94"/>
    </row>
    <row r="645" spans="1:6">
      <c r="A645" s="92"/>
      <c r="B645" s="92"/>
      <c r="C645" s="92"/>
      <c r="D645" s="94"/>
      <c r="E645" s="94"/>
      <c r="F645" s="94"/>
    </row>
    <row r="646" spans="1:6">
      <c r="A646" s="92"/>
      <c r="B646" s="92"/>
      <c r="C646" s="92"/>
      <c r="D646" s="94"/>
      <c r="E646" s="94"/>
      <c r="F646" s="94"/>
    </row>
    <row r="647" spans="1:6">
      <c r="A647" s="92"/>
      <c r="B647" s="92"/>
      <c r="C647" s="92"/>
      <c r="D647" s="94"/>
      <c r="E647" s="94"/>
      <c r="F647" s="94"/>
    </row>
    <row r="648" spans="1:6">
      <c r="A648" s="92"/>
      <c r="B648" s="92"/>
      <c r="C648" s="92"/>
      <c r="D648" s="94"/>
      <c r="E648" s="94"/>
      <c r="F648" s="94"/>
    </row>
    <row r="649" spans="1:6">
      <c r="A649" s="92"/>
      <c r="B649" s="92"/>
      <c r="C649" s="92"/>
      <c r="D649" s="94"/>
      <c r="E649" s="94"/>
      <c r="F649" s="94"/>
    </row>
    <row r="650" spans="1:6">
      <c r="A650" s="92"/>
      <c r="B650" s="92"/>
      <c r="C650" s="92"/>
      <c r="D650" s="94"/>
      <c r="E650" s="94"/>
      <c r="F650" s="94"/>
    </row>
    <row r="651" spans="1:6">
      <c r="A651" s="92"/>
      <c r="B651" s="92"/>
      <c r="C651" s="92"/>
      <c r="D651" s="94"/>
      <c r="E651" s="94"/>
      <c r="F651" s="94"/>
    </row>
    <row r="652" spans="1:6">
      <c r="A652" s="92"/>
      <c r="B652" s="92"/>
      <c r="C652" s="92"/>
      <c r="D652" s="94"/>
      <c r="E652" s="94"/>
      <c r="F652" s="94"/>
    </row>
    <row r="653" spans="1:6">
      <c r="A653" s="92"/>
      <c r="B653" s="92"/>
      <c r="C653" s="92"/>
      <c r="D653" s="94"/>
      <c r="E653" s="94"/>
      <c r="F653" s="94"/>
    </row>
    <row r="654" spans="1:6">
      <c r="A654" s="92"/>
      <c r="B654" s="92"/>
      <c r="C654" s="92"/>
      <c r="D654" s="94"/>
      <c r="E654" s="94"/>
      <c r="F654" s="94"/>
    </row>
    <row r="655" spans="1:6">
      <c r="A655" s="92"/>
      <c r="B655" s="92"/>
      <c r="C655" s="92"/>
      <c r="D655" s="94"/>
      <c r="E655" s="94"/>
      <c r="F655" s="94"/>
    </row>
    <row r="656" spans="1:6">
      <c r="A656" s="92"/>
      <c r="B656" s="92"/>
      <c r="C656" s="92"/>
      <c r="D656" s="94"/>
      <c r="E656" s="94"/>
      <c r="F656" s="94"/>
    </row>
    <row r="657" spans="1:6">
      <c r="A657" s="92"/>
      <c r="B657" s="92"/>
      <c r="C657" s="92"/>
      <c r="D657" s="94"/>
      <c r="E657" s="94"/>
      <c r="F657" s="94"/>
    </row>
    <row r="658" spans="1:6">
      <c r="A658" s="92"/>
      <c r="B658" s="92"/>
      <c r="C658" s="92"/>
      <c r="D658" s="94"/>
      <c r="E658" s="94"/>
      <c r="F658" s="94"/>
    </row>
    <row r="659" spans="1:6">
      <c r="A659" s="92"/>
      <c r="B659" s="92"/>
      <c r="C659" s="92"/>
      <c r="D659" s="94"/>
      <c r="E659" s="94"/>
      <c r="F659" s="94"/>
    </row>
    <row r="660" spans="1:6">
      <c r="A660" s="92"/>
      <c r="B660" s="92"/>
      <c r="C660" s="92"/>
      <c r="D660" s="94"/>
      <c r="E660" s="94"/>
      <c r="F660" s="94"/>
    </row>
    <row r="661" spans="1:6">
      <c r="A661" s="92"/>
      <c r="B661" s="92"/>
      <c r="C661" s="92"/>
      <c r="D661" s="94"/>
      <c r="E661" s="94"/>
      <c r="F661" s="94"/>
    </row>
    <row r="662" spans="1:6">
      <c r="A662" s="92"/>
      <c r="B662" s="92"/>
      <c r="C662" s="92"/>
      <c r="D662" s="94"/>
      <c r="E662" s="94"/>
      <c r="F662" s="94"/>
    </row>
    <row r="663" spans="1:6">
      <c r="A663" s="92"/>
      <c r="B663" s="92"/>
      <c r="C663" s="92"/>
      <c r="D663" s="94"/>
      <c r="E663" s="94"/>
      <c r="F663" s="94"/>
    </row>
    <row r="664" spans="1:6">
      <c r="A664" s="92"/>
      <c r="B664" s="92"/>
      <c r="C664" s="92"/>
      <c r="D664" s="94"/>
      <c r="E664" s="94"/>
      <c r="F664" s="94"/>
    </row>
    <row r="665" spans="1:6">
      <c r="A665" s="92"/>
      <c r="B665" s="92"/>
      <c r="C665" s="92"/>
      <c r="D665" s="94"/>
      <c r="E665" s="94"/>
      <c r="F665" s="94"/>
    </row>
    <row r="666" spans="1:6">
      <c r="A666" s="92"/>
      <c r="B666" s="92"/>
      <c r="C666" s="92"/>
      <c r="D666" s="94"/>
      <c r="E666" s="94"/>
      <c r="F666" s="94"/>
    </row>
    <row r="667" spans="1:6">
      <c r="A667" s="92"/>
      <c r="B667" s="92"/>
      <c r="C667" s="92"/>
      <c r="D667" s="94"/>
      <c r="E667" s="94"/>
      <c r="F667" s="94"/>
    </row>
    <row r="668" spans="1:6">
      <c r="A668" s="92"/>
      <c r="B668" s="92"/>
      <c r="C668" s="92"/>
      <c r="D668" s="94"/>
      <c r="E668" s="94"/>
      <c r="F668" s="94"/>
    </row>
    <row r="669" spans="1:6">
      <c r="A669" s="92"/>
      <c r="B669" s="92"/>
      <c r="C669" s="92"/>
      <c r="D669" s="94"/>
      <c r="E669" s="94"/>
      <c r="F669" s="94"/>
    </row>
    <row r="670" spans="1:6">
      <c r="A670" s="92"/>
      <c r="B670" s="92"/>
      <c r="C670" s="92"/>
      <c r="D670" s="94"/>
      <c r="E670" s="94"/>
      <c r="F670" s="94"/>
    </row>
    <row r="671" spans="1:6">
      <c r="A671" s="92"/>
      <c r="B671" s="92"/>
      <c r="C671" s="92"/>
      <c r="D671" s="94"/>
      <c r="E671" s="94"/>
      <c r="F671" s="94"/>
    </row>
    <row r="672" spans="1:6">
      <c r="A672" s="92"/>
      <c r="B672" s="92"/>
      <c r="C672" s="92"/>
      <c r="D672" s="94"/>
      <c r="E672" s="94"/>
      <c r="F672" s="94"/>
    </row>
    <row r="673" spans="1:6">
      <c r="A673" s="92"/>
      <c r="B673" s="92"/>
      <c r="C673" s="92"/>
      <c r="D673" s="94"/>
      <c r="E673" s="94"/>
      <c r="F673" s="94"/>
    </row>
    <row r="674" spans="1:6">
      <c r="A674" s="92"/>
      <c r="B674" s="92"/>
      <c r="C674" s="92"/>
      <c r="D674" s="94"/>
      <c r="E674" s="94"/>
      <c r="F674" s="94"/>
    </row>
    <row r="675" spans="1:6">
      <c r="A675" s="92"/>
      <c r="B675" s="92"/>
      <c r="C675" s="92"/>
      <c r="D675" s="94"/>
      <c r="E675" s="94"/>
      <c r="F675" s="94"/>
    </row>
    <row r="676" spans="1:6">
      <c r="A676" s="92"/>
      <c r="B676" s="92"/>
      <c r="C676" s="92"/>
      <c r="D676" s="94"/>
      <c r="E676" s="94"/>
      <c r="F676" s="94"/>
    </row>
    <row r="677" spans="1:6">
      <c r="A677" s="92"/>
      <c r="B677" s="92"/>
      <c r="C677" s="92"/>
      <c r="D677" s="94"/>
      <c r="E677" s="94"/>
      <c r="F677" s="94"/>
    </row>
    <row r="678" spans="1:6">
      <c r="A678" s="92"/>
      <c r="B678" s="92"/>
      <c r="C678" s="92"/>
      <c r="D678" s="94"/>
      <c r="E678" s="94"/>
      <c r="F678" s="94"/>
    </row>
    <row r="679" spans="1:6">
      <c r="A679" s="92"/>
      <c r="B679" s="92"/>
      <c r="C679" s="92"/>
      <c r="D679" s="94"/>
      <c r="E679" s="94"/>
      <c r="F679" s="94"/>
    </row>
    <row r="680" spans="1:6">
      <c r="A680" s="92"/>
      <c r="B680" s="92"/>
      <c r="C680" s="92"/>
      <c r="D680" s="94"/>
      <c r="E680" s="94"/>
      <c r="F680" s="94"/>
    </row>
    <row r="681" spans="1:6">
      <c r="A681" s="92"/>
      <c r="B681" s="92"/>
      <c r="C681" s="92"/>
      <c r="D681" s="94"/>
      <c r="E681" s="94"/>
      <c r="F681" s="94"/>
    </row>
    <row r="682" spans="1:6">
      <c r="A682" s="92"/>
      <c r="B682" s="92"/>
      <c r="C682" s="92"/>
      <c r="D682" s="94"/>
      <c r="E682" s="94"/>
      <c r="F682" s="94"/>
    </row>
    <row r="683" spans="1:6">
      <c r="A683" s="92"/>
      <c r="B683" s="92"/>
      <c r="C683" s="92"/>
      <c r="D683" s="94"/>
      <c r="E683" s="94"/>
      <c r="F683" s="94"/>
    </row>
    <row r="684" spans="1:6">
      <c r="A684" s="92"/>
      <c r="B684" s="92"/>
      <c r="C684" s="92"/>
      <c r="D684" s="94"/>
      <c r="E684" s="94"/>
      <c r="F684" s="94"/>
    </row>
    <row r="685" spans="1:6">
      <c r="A685" s="92"/>
      <c r="B685" s="92"/>
      <c r="C685" s="92"/>
      <c r="D685" s="94"/>
      <c r="E685" s="94"/>
      <c r="F685" s="94"/>
    </row>
    <row r="686" spans="1:6">
      <c r="A686" s="92"/>
      <c r="B686" s="92"/>
      <c r="C686" s="92"/>
      <c r="D686" s="94"/>
      <c r="E686" s="94"/>
      <c r="F686" s="94"/>
    </row>
    <row r="687" spans="1:6">
      <c r="A687" s="92"/>
      <c r="B687" s="92"/>
      <c r="C687" s="92"/>
      <c r="D687" s="94"/>
      <c r="E687" s="94"/>
      <c r="F687" s="94"/>
    </row>
    <row r="688" spans="1:6">
      <c r="A688" s="92"/>
      <c r="B688" s="92"/>
      <c r="C688" s="92"/>
      <c r="D688" s="94"/>
      <c r="E688" s="94"/>
      <c r="F688" s="94"/>
    </row>
    <row r="689" spans="1:6">
      <c r="A689" s="92"/>
      <c r="B689" s="92"/>
      <c r="C689" s="92"/>
      <c r="D689" s="94"/>
      <c r="E689" s="94"/>
      <c r="F689" s="94"/>
    </row>
    <row r="690" spans="1:6">
      <c r="A690" s="92"/>
      <c r="B690" s="92"/>
      <c r="C690" s="92"/>
      <c r="D690" s="94"/>
      <c r="E690" s="94"/>
      <c r="F690" s="94"/>
    </row>
    <row r="691" spans="1:6">
      <c r="A691" s="92"/>
      <c r="B691" s="92"/>
      <c r="C691" s="92"/>
      <c r="D691" s="94"/>
      <c r="E691" s="94"/>
      <c r="F691" s="94"/>
    </row>
    <row r="692" spans="1:6">
      <c r="A692" s="92"/>
      <c r="B692" s="92"/>
      <c r="C692" s="92"/>
      <c r="D692" s="94"/>
      <c r="E692" s="94"/>
      <c r="F692" s="94"/>
    </row>
    <row r="693" spans="1:6">
      <c r="A693" s="92"/>
      <c r="B693" s="92"/>
      <c r="C693" s="92"/>
      <c r="D693" s="94"/>
      <c r="E693" s="94"/>
      <c r="F693" s="94"/>
    </row>
    <row r="694" spans="1:6">
      <c r="A694" s="92"/>
      <c r="B694" s="92"/>
      <c r="C694" s="92"/>
      <c r="D694" s="94"/>
      <c r="E694" s="94"/>
      <c r="F694" s="94"/>
    </row>
    <row r="695" spans="1:6">
      <c r="A695" s="92"/>
      <c r="B695" s="92"/>
      <c r="C695" s="92"/>
      <c r="D695" s="94"/>
      <c r="E695" s="94"/>
      <c r="F695" s="94"/>
    </row>
    <row r="696" spans="1:6">
      <c r="A696" s="92"/>
      <c r="B696" s="92"/>
      <c r="C696" s="92"/>
      <c r="D696" s="94"/>
      <c r="E696" s="94"/>
      <c r="F696" s="94"/>
    </row>
    <row r="697" spans="1:6">
      <c r="A697" s="92"/>
      <c r="B697" s="92"/>
      <c r="C697" s="92"/>
      <c r="D697" s="94"/>
      <c r="E697" s="94"/>
      <c r="F697" s="94"/>
    </row>
    <row r="698" spans="1:6">
      <c r="A698" s="92"/>
      <c r="B698" s="92"/>
      <c r="C698" s="92"/>
      <c r="D698" s="94"/>
      <c r="E698" s="94"/>
      <c r="F698" s="94"/>
    </row>
    <row r="699" spans="1:6">
      <c r="A699" s="92"/>
      <c r="B699" s="92"/>
      <c r="C699" s="92"/>
      <c r="D699" s="94"/>
      <c r="E699" s="94"/>
      <c r="F699" s="94"/>
    </row>
    <row r="700" spans="1:6">
      <c r="A700" s="92"/>
      <c r="B700" s="92"/>
      <c r="C700" s="92"/>
      <c r="D700" s="94"/>
      <c r="E700" s="94"/>
      <c r="F700" s="94"/>
    </row>
    <row r="701" spans="1:6">
      <c r="A701" s="92"/>
      <c r="B701" s="92"/>
      <c r="C701" s="92"/>
      <c r="D701" s="94"/>
      <c r="E701" s="94"/>
      <c r="F701" s="94"/>
    </row>
    <row r="702" spans="1:6">
      <c r="A702" s="92"/>
      <c r="B702" s="92"/>
      <c r="C702" s="92"/>
      <c r="D702" s="94"/>
      <c r="E702" s="94"/>
      <c r="F702" s="94"/>
    </row>
    <row r="703" spans="1:6">
      <c r="A703" s="92"/>
      <c r="B703" s="92"/>
      <c r="C703" s="92"/>
      <c r="D703" s="94"/>
      <c r="E703" s="94"/>
      <c r="F703" s="94"/>
    </row>
    <row r="704" spans="1:6">
      <c r="A704" s="92"/>
      <c r="B704" s="92"/>
      <c r="C704" s="92"/>
      <c r="D704" s="94"/>
      <c r="E704" s="94"/>
      <c r="F704" s="94"/>
    </row>
    <row r="705" spans="1:6">
      <c r="A705" s="92"/>
      <c r="B705" s="92"/>
      <c r="C705" s="92"/>
      <c r="D705" s="94"/>
      <c r="E705" s="94"/>
      <c r="F705" s="94"/>
    </row>
    <row r="706" spans="1:6">
      <c r="A706" s="92"/>
      <c r="B706" s="92"/>
      <c r="C706" s="92"/>
      <c r="D706" s="94"/>
      <c r="E706" s="94"/>
      <c r="F706" s="94"/>
    </row>
    <row r="707" spans="1:6">
      <c r="A707" s="92"/>
      <c r="B707" s="92"/>
      <c r="C707" s="92"/>
      <c r="D707" s="94"/>
      <c r="E707" s="94"/>
      <c r="F707" s="94"/>
    </row>
    <row r="708" spans="1:6">
      <c r="A708" s="92"/>
      <c r="B708" s="92"/>
      <c r="C708" s="92"/>
      <c r="D708" s="94"/>
      <c r="E708" s="94"/>
      <c r="F708" s="94"/>
    </row>
    <row r="709" spans="1:6">
      <c r="A709" s="92"/>
      <c r="B709" s="92"/>
      <c r="C709" s="92"/>
      <c r="D709" s="94"/>
      <c r="E709" s="94"/>
      <c r="F709" s="94"/>
    </row>
    <row r="710" spans="1:6">
      <c r="A710" s="92"/>
      <c r="B710" s="92"/>
      <c r="C710" s="92"/>
      <c r="D710" s="94"/>
      <c r="E710" s="94"/>
      <c r="F710" s="94"/>
    </row>
    <row r="711" spans="1:6">
      <c r="A711" s="92"/>
      <c r="B711" s="92"/>
      <c r="C711" s="92"/>
      <c r="D711" s="94"/>
      <c r="E711" s="94"/>
      <c r="F711" s="94"/>
    </row>
    <row r="712" spans="1:6">
      <c r="A712" s="92"/>
      <c r="B712" s="92"/>
      <c r="C712" s="92"/>
      <c r="D712" s="94"/>
      <c r="E712" s="94"/>
      <c r="F712" s="94"/>
    </row>
    <row r="713" spans="1:6">
      <c r="A713" s="92"/>
      <c r="B713" s="92"/>
      <c r="C713" s="92"/>
      <c r="D713" s="94"/>
      <c r="E713" s="94"/>
      <c r="F713" s="94"/>
    </row>
    <row r="714" spans="1:6">
      <c r="A714" s="92"/>
      <c r="B714" s="92"/>
      <c r="C714" s="92"/>
      <c r="D714" s="94"/>
      <c r="E714" s="94"/>
      <c r="F714" s="94"/>
    </row>
    <row r="715" spans="1:6">
      <c r="A715" s="92"/>
      <c r="B715" s="92"/>
      <c r="C715" s="92"/>
      <c r="D715" s="94"/>
      <c r="E715" s="94"/>
      <c r="F715" s="94"/>
    </row>
    <row r="716" spans="1:6">
      <c r="A716" s="92"/>
      <c r="B716" s="92"/>
      <c r="C716" s="92"/>
      <c r="D716" s="94"/>
      <c r="E716" s="94"/>
      <c r="F716" s="94"/>
    </row>
    <row r="717" spans="1:6">
      <c r="A717" s="92"/>
      <c r="B717" s="92"/>
      <c r="C717" s="92"/>
      <c r="D717" s="94"/>
      <c r="E717" s="94"/>
      <c r="F717" s="94"/>
    </row>
    <row r="718" spans="1:6">
      <c r="A718" s="92"/>
      <c r="B718" s="92"/>
      <c r="C718" s="92"/>
      <c r="D718" s="94"/>
      <c r="E718" s="94"/>
      <c r="F718" s="94"/>
    </row>
    <row r="719" spans="1:6">
      <c r="A719" s="92"/>
      <c r="B719" s="92"/>
      <c r="C719" s="92"/>
      <c r="D719" s="94"/>
      <c r="E719" s="94"/>
      <c r="F719" s="94"/>
    </row>
    <row r="720" spans="1:6">
      <c r="A720" s="92"/>
      <c r="B720" s="92"/>
      <c r="C720" s="92"/>
      <c r="D720" s="94"/>
      <c r="E720" s="94"/>
      <c r="F720" s="94"/>
    </row>
    <row r="721" spans="1:6">
      <c r="A721" s="92"/>
      <c r="B721" s="92"/>
      <c r="C721" s="92"/>
      <c r="D721" s="94"/>
      <c r="E721" s="94"/>
      <c r="F721" s="94"/>
    </row>
    <row r="722" spans="1:6">
      <c r="A722" s="92"/>
      <c r="B722" s="92"/>
      <c r="C722" s="92"/>
      <c r="D722" s="94"/>
      <c r="E722" s="94"/>
      <c r="F722" s="94"/>
    </row>
    <row r="723" spans="1:6">
      <c r="A723" s="92"/>
      <c r="B723" s="92"/>
      <c r="C723" s="92"/>
      <c r="D723" s="94"/>
      <c r="E723" s="94"/>
      <c r="F723" s="94"/>
    </row>
    <row r="724" spans="1:6">
      <c r="A724" s="92"/>
      <c r="B724" s="92"/>
      <c r="C724" s="92"/>
      <c r="D724" s="94"/>
      <c r="E724" s="94"/>
      <c r="F724" s="94"/>
    </row>
    <row r="725" spans="1:6">
      <c r="A725" s="92"/>
      <c r="B725" s="92"/>
      <c r="C725" s="92"/>
      <c r="D725" s="94"/>
      <c r="E725" s="94"/>
      <c r="F725" s="94"/>
    </row>
    <row r="726" spans="1:6">
      <c r="A726" s="92"/>
      <c r="B726" s="92"/>
      <c r="C726" s="92"/>
      <c r="D726" s="94"/>
      <c r="E726" s="94"/>
      <c r="F726" s="94"/>
    </row>
    <row r="727" spans="1:6">
      <c r="A727" s="92"/>
      <c r="B727" s="92"/>
      <c r="C727" s="92"/>
      <c r="D727" s="94"/>
      <c r="E727" s="94"/>
      <c r="F727" s="94"/>
    </row>
    <row r="728" spans="1:6">
      <c r="A728" s="92"/>
      <c r="B728" s="92"/>
      <c r="C728" s="92"/>
      <c r="D728" s="94"/>
      <c r="E728" s="94"/>
      <c r="F728" s="94"/>
    </row>
    <row r="729" spans="1:6">
      <c r="A729" s="92"/>
      <c r="B729" s="92"/>
      <c r="C729" s="92"/>
      <c r="D729" s="94"/>
      <c r="E729" s="94"/>
      <c r="F729" s="94"/>
    </row>
    <row r="730" spans="1:6">
      <c r="A730" s="92"/>
      <c r="B730" s="92"/>
      <c r="C730" s="92"/>
      <c r="D730" s="94"/>
      <c r="E730" s="94"/>
      <c r="F730" s="94"/>
    </row>
    <row r="731" spans="1:6">
      <c r="A731" s="92"/>
      <c r="B731" s="92"/>
      <c r="C731" s="92"/>
      <c r="D731" s="94"/>
      <c r="E731" s="94"/>
      <c r="F731" s="94"/>
    </row>
    <row r="732" spans="1:6">
      <c r="A732" s="92"/>
      <c r="B732" s="92"/>
      <c r="C732" s="92"/>
      <c r="D732" s="94"/>
      <c r="E732" s="94"/>
      <c r="F732" s="94"/>
    </row>
    <row r="733" spans="1:6">
      <c r="A733" s="92"/>
      <c r="B733" s="92"/>
      <c r="C733" s="92"/>
      <c r="D733" s="94"/>
      <c r="E733" s="94"/>
      <c r="F733" s="94"/>
    </row>
    <row r="734" spans="1:6">
      <c r="A734" s="92"/>
      <c r="B734" s="92"/>
      <c r="C734" s="92"/>
      <c r="D734" s="94"/>
      <c r="E734" s="94"/>
      <c r="F734" s="94"/>
    </row>
    <row r="735" spans="1:6">
      <c r="A735" s="92"/>
      <c r="B735" s="92"/>
      <c r="C735" s="92"/>
      <c r="D735" s="94"/>
      <c r="E735" s="94"/>
      <c r="F735" s="94"/>
    </row>
    <row r="736" spans="1:6">
      <c r="A736" s="92"/>
      <c r="B736" s="92"/>
      <c r="C736" s="92"/>
      <c r="D736" s="94"/>
      <c r="E736" s="94"/>
      <c r="F736" s="94"/>
    </row>
    <row r="737" spans="1:6">
      <c r="A737" s="92"/>
      <c r="B737" s="92"/>
      <c r="C737" s="92"/>
      <c r="D737" s="94"/>
      <c r="E737" s="94"/>
      <c r="F737" s="94"/>
    </row>
    <row r="738" spans="1:6">
      <c r="A738" s="92"/>
      <c r="B738" s="92"/>
      <c r="C738" s="92"/>
      <c r="D738" s="94"/>
      <c r="E738" s="94"/>
      <c r="F738" s="94"/>
    </row>
    <row r="739" spans="1:6">
      <c r="A739" s="92"/>
      <c r="B739" s="92"/>
      <c r="C739" s="92"/>
      <c r="D739" s="94"/>
      <c r="E739" s="94"/>
      <c r="F739" s="94"/>
    </row>
    <row r="740" spans="1:6">
      <c r="A740" s="92"/>
      <c r="B740" s="92"/>
      <c r="C740" s="92"/>
      <c r="D740" s="94"/>
      <c r="E740" s="94"/>
      <c r="F740" s="94"/>
    </row>
    <row r="741" spans="1:6">
      <c r="A741" s="92"/>
      <c r="B741" s="92"/>
      <c r="C741" s="92"/>
      <c r="D741" s="94"/>
      <c r="E741" s="94"/>
      <c r="F741" s="94"/>
    </row>
    <row r="742" spans="1:6">
      <c r="A742" s="92"/>
      <c r="B742" s="92"/>
      <c r="C742" s="92"/>
      <c r="D742" s="94"/>
      <c r="E742" s="94"/>
      <c r="F742" s="94"/>
    </row>
    <row r="743" spans="1:6">
      <c r="A743" s="92"/>
      <c r="B743" s="92"/>
      <c r="C743" s="92"/>
      <c r="D743" s="94"/>
      <c r="E743" s="94"/>
      <c r="F743" s="94"/>
    </row>
    <row r="744" spans="1:6">
      <c r="A744" s="92"/>
      <c r="B744" s="92"/>
      <c r="C744" s="92"/>
      <c r="D744" s="94"/>
      <c r="E744" s="94"/>
      <c r="F744" s="94"/>
    </row>
    <row r="745" spans="1:6">
      <c r="A745" s="92"/>
      <c r="B745" s="92"/>
      <c r="C745" s="92"/>
      <c r="D745" s="94"/>
      <c r="E745" s="94"/>
      <c r="F745" s="94"/>
    </row>
    <row r="746" spans="1:6">
      <c r="A746" s="92"/>
      <c r="B746" s="92"/>
      <c r="C746" s="92"/>
      <c r="D746" s="94"/>
      <c r="E746" s="94"/>
      <c r="F746" s="94"/>
    </row>
    <row r="747" spans="1:6">
      <c r="A747" s="92"/>
      <c r="B747" s="92"/>
      <c r="C747" s="92"/>
      <c r="D747" s="94"/>
      <c r="E747" s="94"/>
      <c r="F747" s="94"/>
    </row>
    <row r="748" spans="1:6">
      <c r="A748" s="92"/>
      <c r="B748" s="92"/>
      <c r="C748" s="92"/>
      <c r="D748" s="94"/>
      <c r="E748" s="94"/>
      <c r="F748" s="94"/>
    </row>
    <row r="749" spans="1:6">
      <c r="A749" s="92"/>
      <c r="B749" s="92"/>
      <c r="C749" s="92"/>
      <c r="D749" s="94"/>
      <c r="E749" s="94"/>
      <c r="F749" s="94"/>
    </row>
    <row r="750" spans="1:6">
      <c r="A750" s="92"/>
      <c r="B750" s="92"/>
      <c r="C750" s="92"/>
      <c r="D750" s="94"/>
      <c r="E750" s="94"/>
      <c r="F750" s="94"/>
    </row>
    <row r="751" spans="1:6">
      <c r="A751" s="92"/>
      <c r="B751" s="92"/>
      <c r="C751" s="92"/>
      <c r="D751" s="94"/>
      <c r="E751" s="94"/>
      <c r="F751" s="94"/>
    </row>
    <row r="752" spans="1:6">
      <c r="A752" s="92"/>
      <c r="B752" s="92"/>
      <c r="C752" s="92"/>
      <c r="D752" s="94"/>
      <c r="E752" s="94"/>
      <c r="F752" s="94"/>
    </row>
    <row r="753" spans="1:6">
      <c r="A753" s="92"/>
      <c r="B753" s="92"/>
      <c r="C753" s="92"/>
      <c r="D753" s="94"/>
      <c r="E753" s="94"/>
      <c r="F753" s="94"/>
    </row>
    <row r="754" spans="1:6">
      <c r="A754" s="92"/>
      <c r="B754" s="92"/>
      <c r="C754" s="92"/>
      <c r="D754" s="94"/>
      <c r="E754" s="94"/>
      <c r="F754" s="94"/>
    </row>
    <row r="755" spans="1:6">
      <c r="A755" s="92"/>
      <c r="B755" s="92"/>
      <c r="C755" s="92"/>
      <c r="D755" s="94"/>
      <c r="E755" s="94"/>
      <c r="F755" s="94"/>
    </row>
    <row r="756" spans="1:6">
      <c r="A756" s="92"/>
      <c r="B756" s="92"/>
      <c r="C756" s="92"/>
      <c r="D756" s="94"/>
      <c r="E756" s="94"/>
      <c r="F756" s="94"/>
    </row>
    <row r="757" spans="1:6">
      <c r="A757" s="92"/>
      <c r="B757" s="92"/>
      <c r="C757" s="92"/>
      <c r="D757" s="94"/>
      <c r="E757" s="94"/>
      <c r="F757" s="94"/>
    </row>
    <row r="758" spans="1:6">
      <c r="A758" s="92"/>
      <c r="B758" s="92"/>
      <c r="C758" s="92"/>
      <c r="D758" s="94"/>
      <c r="E758" s="94"/>
      <c r="F758" s="94"/>
    </row>
    <row r="759" spans="1:6">
      <c r="A759" s="92"/>
      <c r="B759" s="92"/>
      <c r="C759" s="92"/>
      <c r="D759" s="94"/>
      <c r="E759" s="94"/>
      <c r="F759" s="94"/>
    </row>
    <row r="760" spans="1:6">
      <c r="A760" s="92"/>
      <c r="B760" s="92"/>
      <c r="C760" s="92"/>
      <c r="D760" s="94"/>
      <c r="E760" s="94"/>
      <c r="F760" s="94"/>
    </row>
    <row r="761" spans="1:6">
      <c r="A761" s="92"/>
      <c r="B761" s="92"/>
      <c r="C761" s="92"/>
      <c r="D761" s="94"/>
      <c r="E761" s="94"/>
      <c r="F761" s="94"/>
    </row>
    <row r="762" spans="1:6">
      <c r="A762" s="92"/>
      <c r="B762" s="92"/>
      <c r="C762" s="92"/>
      <c r="D762" s="94"/>
      <c r="E762" s="94"/>
      <c r="F762" s="94"/>
    </row>
    <row r="763" spans="1:6">
      <c r="A763" s="92"/>
      <c r="B763" s="92"/>
      <c r="C763" s="92"/>
      <c r="D763" s="94"/>
      <c r="E763" s="94"/>
      <c r="F763" s="94"/>
    </row>
    <row r="764" spans="1:6">
      <c r="A764" s="92"/>
      <c r="B764" s="92"/>
      <c r="C764" s="92"/>
      <c r="D764" s="94"/>
      <c r="E764" s="94"/>
      <c r="F764" s="94"/>
    </row>
    <row r="765" spans="1:6">
      <c r="A765" s="92"/>
      <c r="B765" s="92"/>
      <c r="C765" s="92"/>
      <c r="D765" s="94"/>
      <c r="E765" s="94"/>
      <c r="F765" s="94"/>
    </row>
    <row r="766" spans="1:6">
      <c r="A766" s="92"/>
      <c r="B766" s="92"/>
      <c r="C766" s="92"/>
      <c r="D766" s="94"/>
      <c r="E766" s="94"/>
      <c r="F766" s="94"/>
    </row>
    <row r="767" spans="1:6">
      <c r="A767" s="92"/>
      <c r="B767" s="92"/>
      <c r="C767" s="92"/>
      <c r="D767" s="94"/>
      <c r="E767" s="94"/>
      <c r="F767" s="94"/>
    </row>
    <row r="768" spans="1:6">
      <c r="A768" s="92"/>
      <c r="B768" s="92"/>
      <c r="C768" s="92"/>
      <c r="D768" s="94"/>
      <c r="E768" s="94"/>
      <c r="F768" s="94"/>
    </row>
    <row r="769" spans="1:6">
      <c r="A769" s="92"/>
      <c r="B769" s="92"/>
      <c r="C769" s="92"/>
      <c r="D769" s="94"/>
      <c r="E769" s="94"/>
      <c r="F769" s="94"/>
    </row>
    <row r="770" spans="1:6">
      <c r="A770" s="92"/>
      <c r="B770" s="92"/>
      <c r="C770" s="92"/>
      <c r="D770" s="94"/>
      <c r="E770" s="94"/>
      <c r="F770" s="94"/>
    </row>
    <row r="771" spans="1:6">
      <c r="A771" s="92"/>
      <c r="B771" s="92"/>
      <c r="C771" s="92"/>
      <c r="D771" s="94"/>
      <c r="E771" s="94"/>
      <c r="F771" s="94"/>
    </row>
    <row r="772" spans="1:6">
      <c r="A772" s="92"/>
      <c r="B772" s="92"/>
      <c r="C772" s="92"/>
      <c r="D772" s="94"/>
      <c r="E772" s="94"/>
      <c r="F772" s="94"/>
    </row>
    <row r="773" spans="1:6">
      <c r="A773" s="92"/>
      <c r="B773" s="92"/>
      <c r="C773" s="92"/>
      <c r="D773" s="94"/>
      <c r="E773" s="94"/>
      <c r="F773" s="94"/>
    </row>
    <row r="774" spans="1:6">
      <c r="A774" s="92"/>
      <c r="B774" s="92"/>
      <c r="C774" s="92"/>
      <c r="D774" s="94"/>
      <c r="E774" s="94"/>
      <c r="F774" s="94"/>
    </row>
    <row r="775" spans="1:6">
      <c r="A775" s="92"/>
      <c r="B775" s="92"/>
      <c r="C775" s="92"/>
      <c r="D775" s="94"/>
      <c r="E775" s="94"/>
      <c r="F775" s="94"/>
    </row>
    <row r="776" spans="1:6">
      <c r="A776" s="92"/>
      <c r="B776" s="92"/>
      <c r="C776" s="92"/>
      <c r="D776" s="94"/>
      <c r="E776" s="94"/>
      <c r="F776" s="94"/>
    </row>
    <row r="777" spans="1:6">
      <c r="A777" s="92"/>
      <c r="B777" s="92"/>
      <c r="C777" s="92"/>
      <c r="D777" s="94"/>
      <c r="E777" s="94"/>
      <c r="F777" s="94"/>
    </row>
    <row r="778" spans="1:6">
      <c r="A778" s="92"/>
      <c r="B778" s="92"/>
      <c r="C778" s="92"/>
      <c r="D778" s="94"/>
      <c r="E778" s="94"/>
      <c r="F778" s="94"/>
    </row>
    <row r="779" spans="1:6">
      <c r="A779" s="92"/>
      <c r="B779" s="92"/>
      <c r="C779" s="92"/>
      <c r="D779" s="94"/>
      <c r="E779" s="94"/>
      <c r="F779" s="94"/>
    </row>
    <row r="780" spans="1:6">
      <c r="A780" s="92"/>
      <c r="B780" s="92"/>
      <c r="C780" s="92"/>
      <c r="D780" s="94"/>
      <c r="E780" s="94"/>
      <c r="F780" s="94"/>
    </row>
    <row r="781" spans="1:6">
      <c r="A781" s="92"/>
      <c r="B781" s="92"/>
      <c r="C781" s="92"/>
      <c r="D781" s="94"/>
      <c r="E781" s="94"/>
      <c r="F781" s="94"/>
    </row>
    <row r="782" spans="1:6">
      <c r="A782" s="92"/>
      <c r="B782" s="92"/>
      <c r="C782" s="92"/>
      <c r="D782" s="94"/>
      <c r="E782" s="94"/>
      <c r="F782" s="94"/>
    </row>
    <row r="783" spans="1:6">
      <c r="A783" s="92"/>
      <c r="B783" s="92"/>
      <c r="C783" s="92"/>
      <c r="D783" s="94"/>
      <c r="E783" s="94"/>
      <c r="F783" s="94"/>
    </row>
    <row r="784" spans="1:6">
      <c r="A784" s="92"/>
      <c r="B784" s="92"/>
      <c r="C784" s="92"/>
      <c r="D784" s="94"/>
      <c r="E784" s="94"/>
      <c r="F784" s="94"/>
    </row>
    <row r="785" spans="1:6">
      <c r="A785" s="92"/>
      <c r="B785" s="92"/>
      <c r="C785" s="92"/>
      <c r="D785" s="94"/>
      <c r="E785" s="94"/>
      <c r="F785" s="94"/>
    </row>
    <row r="786" spans="1:6">
      <c r="A786" s="92"/>
      <c r="B786" s="92"/>
      <c r="C786" s="92"/>
      <c r="D786" s="94"/>
      <c r="E786" s="94"/>
      <c r="F786" s="94"/>
    </row>
    <row r="787" spans="1:6">
      <c r="A787" s="92"/>
      <c r="B787" s="92"/>
      <c r="C787" s="92"/>
      <c r="D787" s="94"/>
      <c r="E787" s="94"/>
      <c r="F787" s="94"/>
    </row>
    <row r="788" spans="1:6">
      <c r="A788" s="92"/>
      <c r="B788" s="92"/>
      <c r="C788" s="92"/>
      <c r="D788" s="94"/>
      <c r="E788" s="94"/>
      <c r="F788" s="94"/>
    </row>
    <row r="789" spans="1:6">
      <c r="A789" s="92"/>
      <c r="B789" s="92"/>
      <c r="C789" s="92"/>
      <c r="D789" s="94"/>
      <c r="E789" s="94"/>
      <c r="F789" s="94"/>
    </row>
    <row r="790" spans="1:6">
      <c r="A790" s="92"/>
      <c r="B790" s="92"/>
      <c r="C790" s="92"/>
      <c r="D790" s="94"/>
      <c r="E790" s="94"/>
      <c r="F790" s="94"/>
    </row>
    <row r="791" spans="1:6">
      <c r="A791" s="92"/>
      <c r="B791" s="92"/>
      <c r="C791" s="92"/>
      <c r="D791" s="94"/>
      <c r="E791" s="94"/>
      <c r="F791" s="94"/>
    </row>
    <row r="792" spans="1:6">
      <c r="A792" s="92"/>
      <c r="B792" s="92"/>
      <c r="C792" s="92"/>
      <c r="D792" s="94"/>
      <c r="E792" s="94"/>
      <c r="F792" s="94"/>
    </row>
    <row r="793" spans="1:6">
      <c r="A793" s="92"/>
      <c r="B793" s="92"/>
      <c r="C793" s="92"/>
      <c r="D793" s="94"/>
      <c r="E793" s="94"/>
      <c r="F793" s="94"/>
    </row>
    <row r="794" spans="1:6">
      <c r="A794" s="92"/>
      <c r="B794" s="92"/>
      <c r="C794" s="92"/>
      <c r="D794" s="94"/>
      <c r="E794" s="94"/>
      <c r="F794" s="94"/>
    </row>
    <row r="795" spans="1:6">
      <c r="A795" s="92"/>
      <c r="B795" s="92"/>
      <c r="C795" s="92"/>
      <c r="D795" s="94"/>
      <c r="E795" s="94"/>
      <c r="F795" s="94"/>
    </row>
    <row r="796" spans="1:6">
      <c r="A796" s="92"/>
      <c r="B796" s="92"/>
      <c r="C796" s="92"/>
      <c r="D796" s="94"/>
      <c r="E796" s="94"/>
      <c r="F796" s="94"/>
    </row>
    <row r="797" spans="1:6">
      <c r="A797" s="92"/>
      <c r="B797" s="92"/>
      <c r="C797" s="92"/>
      <c r="D797" s="94"/>
      <c r="E797" s="94"/>
      <c r="F797" s="94"/>
    </row>
    <row r="798" spans="1:6">
      <c r="A798" s="92"/>
      <c r="B798" s="92"/>
      <c r="C798" s="92"/>
      <c r="D798" s="94"/>
      <c r="E798" s="94"/>
      <c r="F798" s="94"/>
    </row>
    <row r="799" spans="1:6">
      <c r="A799" s="92"/>
      <c r="B799" s="92"/>
      <c r="C799" s="92"/>
      <c r="D799" s="94"/>
      <c r="E799" s="94"/>
      <c r="F799" s="94"/>
    </row>
    <row r="800" spans="1:6">
      <c r="A800" s="92"/>
      <c r="B800" s="92"/>
      <c r="C800" s="92"/>
      <c r="D800" s="94"/>
      <c r="E800" s="94"/>
      <c r="F800" s="94"/>
    </row>
    <row r="801" spans="1:6">
      <c r="A801" s="92"/>
      <c r="B801" s="92"/>
      <c r="C801" s="92"/>
      <c r="D801" s="94"/>
      <c r="E801" s="94"/>
      <c r="F801" s="94"/>
    </row>
    <row r="802" spans="1:6">
      <c r="A802" s="92"/>
      <c r="B802" s="92"/>
      <c r="C802" s="92"/>
      <c r="D802" s="94"/>
      <c r="E802" s="94"/>
      <c r="F802" s="94"/>
    </row>
    <row r="803" spans="1:6">
      <c r="A803" s="92"/>
      <c r="B803" s="92"/>
      <c r="C803" s="92"/>
      <c r="D803" s="94"/>
      <c r="E803" s="94"/>
      <c r="F803" s="94"/>
    </row>
    <row r="804" spans="1:6">
      <c r="A804" s="92"/>
      <c r="B804" s="92"/>
      <c r="C804" s="92"/>
      <c r="D804" s="94"/>
      <c r="E804" s="94"/>
      <c r="F804" s="94"/>
    </row>
    <row r="805" spans="1:6">
      <c r="A805" s="92"/>
      <c r="B805" s="92"/>
      <c r="C805" s="92"/>
      <c r="D805" s="94"/>
      <c r="E805" s="94"/>
      <c r="F805" s="94"/>
    </row>
    <row r="806" spans="1:6">
      <c r="A806" s="92"/>
      <c r="B806" s="92"/>
      <c r="C806" s="92"/>
      <c r="D806" s="94"/>
      <c r="E806" s="94"/>
      <c r="F806" s="94"/>
    </row>
    <row r="807" spans="1:6">
      <c r="A807" s="92"/>
      <c r="B807" s="92"/>
      <c r="C807" s="92"/>
      <c r="D807" s="94"/>
      <c r="E807" s="94"/>
      <c r="F807" s="94"/>
    </row>
    <row r="808" spans="1:6">
      <c r="A808" s="92"/>
      <c r="B808" s="92"/>
      <c r="C808" s="92"/>
      <c r="D808" s="94"/>
      <c r="E808" s="94"/>
      <c r="F808" s="94"/>
    </row>
    <row r="809" spans="1:6">
      <c r="A809" s="92"/>
      <c r="B809" s="92"/>
      <c r="C809" s="92"/>
      <c r="D809" s="94"/>
      <c r="E809" s="94"/>
      <c r="F809" s="94"/>
    </row>
    <row r="810" spans="1:6">
      <c r="A810" s="92"/>
      <c r="B810" s="92"/>
      <c r="C810" s="92"/>
      <c r="D810" s="94"/>
      <c r="E810" s="94"/>
      <c r="F810" s="94"/>
    </row>
    <row r="811" spans="1:6">
      <c r="A811" s="92"/>
      <c r="B811" s="92"/>
      <c r="C811" s="92"/>
      <c r="D811" s="94"/>
      <c r="E811" s="94"/>
      <c r="F811" s="94"/>
    </row>
    <row r="812" spans="1:6">
      <c r="A812" s="92"/>
      <c r="B812" s="92"/>
      <c r="C812" s="92"/>
      <c r="D812" s="94"/>
      <c r="E812" s="94"/>
      <c r="F812" s="94"/>
    </row>
    <row r="813" spans="1:6">
      <c r="A813" s="92"/>
      <c r="B813" s="92"/>
      <c r="C813" s="92"/>
      <c r="D813" s="94"/>
      <c r="E813" s="94"/>
      <c r="F813" s="94"/>
    </row>
    <row r="814" spans="1:6">
      <c r="A814" s="92"/>
      <c r="B814" s="92"/>
      <c r="C814" s="92"/>
      <c r="D814" s="94"/>
      <c r="E814" s="94"/>
      <c r="F814" s="94"/>
    </row>
    <row r="815" spans="1:6">
      <c r="A815" s="92"/>
      <c r="B815" s="92"/>
      <c r="C815" s="92"/>
      <c r="D815" s="94"/>
      <c r="E815" s="94"/>
      <c r="F815" s="94"/>
    </row>
    <row r="816" spans="1:6">
      <c r="A816" s="92"/>
      <c r="B816" s="92"/>
      <c r="C816" s="92"/>
      <c r="D816" s="94"/>
      <c r="E816" s="94"/>
      <c r="F816" s="94"/>
    </row>
    <row r="817" spans="1:6">
      <c r="A817" s="92"/>
      <c r="B817" s="92"/>
      <c r="C817" s="92"/>
      <c r="D817" s="94"/>
      <c r="E817" s="94"/>
      <c r="F817" s="94"/>
    </row>
    <row r="818" spans="1:6">
      <c r="A818" s="92"/>
      <c r="B818" s="92"/>
      <c r="C818" s="92"/>
      <c r="D818" s="94"/>
      <c r="E818" s="94"/>
      <c r="F818" s="94"/>
    </row>
    <row r="819" spans="1:6">
      <c r="A819" s="92"/>
      <c r="B819" s="92"/>
      <c r="C819" s="92"/>
      <c r="D819" s="94"/>
      <c r="E819" s="94"/>
      <c r="F819" s="94"/>
    </row>
    <row r="820" spans="1:6">
      <c r="A820" s="92"/>
      <c r="B820" s="92"/>
      <c r="C820" s="92"/>
      <c r="D820" s="94"/>
      <c r="E820" s="94"/>
      <c r="F820" s="94"/>
    </row>
    <row r="821" spans="1:6">
      <c r="A821" s="92"/>
      <c r="B821" s="92"/>
      <c r="C821" s="92"/>
      <c r="D821" s="94"/>
      <c r="E821" s="94"/>
      <c r="F821" s="94"/>
    </row>
    <row r="822" spans="1:6">
      <c r="A822" s="92"/>
      <c r="B822" s="92"/>
      <c r="C822" s="92"/>
      <c r="D822" s="94"/>
      <c r="E822" s="94"/>
      <c r="F822" s="94"/>
    </row>
    <row r="823" spans="1:6">
      <c r="A823" s="92"/>
      <c r="B823" s="92"/>
      <c r="C823" s="92"/>
      <c r="D823" s="94"/>
      <c r="E823" s="94"/>
      <c r="F823" s="94"/>
    </row>
    <row r="824" spans="1:6">
      <c r="A824" s="92"/>
      <c r="B824" s="92"/>
      <c r="C824" s="92"/>
      <c r="D824" s="94"/>
      <c r="E824" s="94"/>
      <c r="F824" s="94"/>
    </row>
    <row r="825" spans="1:6">
      <c r="A825" s="92"/>
      <c r="B825" s="92"/>
      <c r="C825" s="92"/>
      <c r="D825" s="94"/>
      <c r="E825" s="94"/>
      <c r="F825" s="94"/>
    </row>
    <row r="826" spans="1:6">
      <c r="A826" s="92"/>
      <c r="B826" s="92"/>
      <c r="C826" s="92"/>
      <c r="D826" s="94"/>
      <c r="E826" s="94"/>
      <c r="F826" s="94"/>
    </row>
    <row r="827" spans="1:6">
      <c r="A827" s="92"/>
      <c r="B827" s="92"/>
      <c r="C827" s="92"/>
      <c r="D827" s="94"/>
      <c r="E827" s="94"/>
      <c r="F827" s="94"/>
    </row>
    <row r="828" spans="1:6">
      <c r="A828" s="92"/>
      <c r="B828" s="92"/>
      <c r="C828" s="92"/>
      <c r="D828" s="94"/>
      <c r="E828" s="94"/>
      <c r="F828" s="94"/>
    </row>
    <row r="829" spans="1:6">
      <c r="A829" s="92"/>
      <c r="B829" s="92"/>
      <c r="C829" s="92"/>
      <c r="D829" s="94"/>
      <c r="E829" s="94"/>
      <c r="F829" s="94"/>
    </row>
    <row r="830" spans="1:6">
      <c r="A830" s="92"/>
      <c r="B830" s="92"/>
      <c r="C830" s="92"/>
      <c r="D830" s="94"/>
      <c r="E830" s="94"/>
      <c r="F830" s="94"/>
    </row>
    <row r="831" spans="1:6">
      <c r="A831" s="92"/>
      <c r="B831" s="92"/>
      <c r="C831" s="92"/>
      <c r="D831" s="94"/>
      <c r="E831" s="94"/>
      <c r="F831" s="94"/>
    </row>
    <row r="832" spans="1:6">
      <c r="A832" s="92"/>
      <c r="B832" s="92"/>
      <c r="C832" s="92"/>
      <c r="D832" s="94"/>
      <c r="E832" s="94"/>
      <c r="F832" s="94"/>
    </row>
    <row r="833" spans="1:6">
      <c r="A833" s="92"/>
      <c r="B833" s="92"/>
      <c r="C833" s="92"/>
      <c r="D833" s="94"/>
      <c r="E833" s="94"/>
      <c r="F833" s="94"/>
    </row>
    <row r="834" spans="1:6">
      <c r="A834" s="92"/>
      <c r="B834" s="92"/>
      <c r="C834" s="92"/>
      <c r="D834" s="94"/>
      <c r="E834" s="94"/>
      <c r="F834" s="94"/>
    </row>
    <row r="835" spans="1:6">
      <c r="A835" s="92"/>
      <c r="B835" s="92"/>
      <c r="C835" s="92"/>
      <c r="D835" s="94"/>
      <c r="E835" s="94"/>
      <c r="F835" s="94"/>
    </row>
    <row r="836" spans="1:6">
      <c r="A836" s="92"/>
      <c r="B836" s="92"/>
      <c r="C836" s="92"/>
      <c r="D836" s="94"/>
      <c r="E836" s="94"/>
      <c r="F836" s="94"/>
    </row>
    <row r="837" spans="1:6">
      <c r="A837" s="92"/>
      <c r="B837" s="92"/>
      <c r="C837" s="92"/>
      <c r="D837" s="94"/>
      <c r="E837" s="94"/>
      <c r="F837" s="94"/>
    </row>
    <row r="838" spans="1:6">
      <c r="A838" s="92"/>
      <c r="B838" s="92"/>
      <c r="C838" s="92"/>
      <c r="D838" s="94"/>
      <c r="E838" s="94"/>
      <c r="F838" s="94"/>
    </row>
    <row r="839" spans="1:6">
      <c r="A839" s="92"/>
      <c r="B839" s="92"/>
      <c r="C839" s="92"/>
      <c r="D839" s="94"/>
      <c r="E839" s="94"/>
      <c r="F839" s="94"/>
    </row>
    <row r="840" spans="1:6">
      <c r="A840" s="92"/>
      <c r="B840" s="92"/>
      <c r="C840" s="92"/>
      <c r="D840" s="94"/>
      <c r="E840" s="94"/>
      <c r="F840" s="94"/>
    </row>
    <row r="841" spans="1:6">
      <c r="A841" s="92"/>
      <c r="B841" s="92"/>
      <c r="C841" s="92"/>
      <c r="D841" s="94"/>
      <c r="E841" s="94"/>
      <c r="F841" s="94"/>
    </row>
    <row r="842" spans="1:6">
      <c r="A842" s="92"/>
      <c r="B842" s="92"/>
      <c r="C842" s="92"/>
      <c r="D842" s="94"/>
      <c r="E842" s="94"/>
      <c r="F842" s="94"/>
    </row>
    <row r="843" spans="1:6">
      <c r="A843" s="92"/>
      <c r="B843" s="92"/>
      <c r="C843" s="92"/>
      <c r="D843" s="94"/>
      <c r="E843" s="94"/>
      <c r="F843" s="94"/>
    </row>
    <row r="844" spans="1:6">
      <c r="A844" s="92"/>
      <c r="B844" s="92"/>
      <c r="C844" s="92"/>
      <c r="D844" s="94"/>
      <c r="E844" s="94"/>
      <c r="F844" s="94"/>
    </row>
    <row r="845" spans="1:6">
      <c r="A845" s="92"/>
      <c r="B845" s="92"/>
      <c r="C845" s="92"/>
      <c r="D845" s="94"/>
      <c r="E845" s="94"/>
      <c r="F845" s="94"/>
    </row>
    <row r="846" spans="1:6">
      <c r="A846" s="92"/>
      <c r="B846" s="92"/>
      <c r="C846" s="92"/>
      <c r="D846" s="94"/>
      <c r="E846" s="94"/>
      <c r="F846" s="94"/>
    </row>
    <row r="847" spans="1:6">
      <c r="A847" s="92"/>
      <c r="B847" s="92"/>
      <c r="C847" s="92"/>
      <c r="D847" s="94"/>
      <c r="E847" s="94"/>
      <c r="F847" s="94"/>
    </row>
    <row r="848" spans="1:6">
      <c r="A848" s="92"/>
      <c r="B848" s="92"/>
      <c r="C848" s="92"/>
      <c r="D848" s="94"/>
      <c r="E848" s="94"/>
      <c r="F848" s="94"/>
    </row>
    <row r="849" spans="1:6">
      <c r="A849" s="92"/>
      <c r="B849" s="92"/>
      <c r="C849" s="92"/>
      <c r="D849" s="94"/>
      <c r="E849" s="94"/>
      <c r="F849" s="94"/>
    </row>
    <row r="850" spans="1:6">
      <c r="A850" s="92"/>
      <c r="B850" s="92"/>
      <c r="C850" s="92"/>
      <c r="D850" s="94"/>
      <c r="E850" s="94"/>
      <c r="F850" s="94"/>
    </row>
    <row r="851" spans="1:6">
      <c r="A851" s="92"/>
      <c r="B851" s="92"/>
      <c r="C851" s="92"/>
      <c r="D851" s="94"/>
      <c r="E851" s="94"/>
      <c r="F851" s="94"/>
    </row>
    <row r="852" spans="1:6">
      <c r="A852" s="92"/>
      <c r="B852" s="92"/>
      <c r="C852" s="92"/>
      <c r="D852" s="94"/>
      <c r="E852" s="94"/>
      <c r="F852" s="94"/>
    </row>
    <row r="853" spans="1:6">
      <c r="A853" s="92"/>
      <c r="B853" s="92"/>
      <c r="C853" s="92"/>
      <c r="D853" s="94"/>
      <c r="E853" s="94"/>
      <c r="F853" s="94"/>
    </row>
    <row r="854" spans="1:6">
      <c r="A854" s="92"/>
      <c r="B854" s="92"/>
      <c r="C854" s="92"/>
      <c r="D854" s="94"/>
      <c r="E854" s="94"/>
      <c r="F854" s="94"/>
    </row>
    <row r="855" spans="1:6">
      <c r="A855" s="92"/>
      <c r="B855" s="92"/>
      <c r="C855" s="92"/>
      <c r="D855" s="94"/>
      <c r="E855" s="94"/>
      <c r="F855" s="94"/>
    </row>
    <row r="856" spans="1:6">
      <c r="A856" s="92"/>
      <c r="B856" s="92"/>
      <c r="C856" s="92"/>
      <c r="D856" s="94"/>
      <c r="E856" s="94"/>
      <c r="F856" s="94"/>
    </row>
    <row r="857" spans="1:6">
      <c r="A857" s="92"/>
      <c r="B857" s="92"/>
      <c r="C857" s="92"/>
      <c r="D857" s="94"/>
      <c r="E857" s="94"/>
      <c r="F857" s="94"/>
    </row>
    <row r="858" spans="1:6">
      <c r="A858" s="92"/>
      <c r="B858" s="92"/>
      <c r="C858" s="92"/>
      <c r="D858" s="94"/>
      <c r="E858" s="94"/>
      <c r="F858" s="94"/>
    </row>
    <row r="859" spans="1:6">
      <c r="A859" s="92"/>
      <c r="B859" s="92"/>
      <c r="C859" s="92"/>
      <c r="D859" s="94"/>
      <c r="E859" s="94"/>
      <c r="F859" s="94"/>
    </row>
    <row r="860" spans="1:6">
      <c r="A860" s="92"/>
      <c r="B860" s="92"/>
      <c r="C860" s="92"/>
      <c r="D860" s="94"/>
      <c r="E860" s="94"/>
      <c r="F860" s="94"/>
    </row>
    <row r="861" spans="1:6">
      <c r="A861" s="92"/>
      <c r="B861" s="92"/>
      <c r="C861" s="92"/>
      <c r="D861" s="94"/>
      <c r="E861" s="94"/>
      <c r="F861" s="94"/>
    </row>
    <row r="862" spans="1:6">
      <c r="A862" s="92"/>
      <c r="B862" s="92"/>
      <c r="C862" s="92"/>
      <c r="D862" s="94"/>
      <c r="E862" s="94"/>
      <c r="F862" s="94"/>
    </row>
    <row r="863" spans="1:6">
      <c r="A863" s="92"/>
      <c r="B863" s="92"/>
      <c r="C863" s="92"/>
      <c r="D863" s="94"/>
      <c r="E863" s="94"/>
      <c r="F863" s="94"/>
    </row>
    <row r="864" spans="1:6">
      <c r="A864" s="92"/>
      <c r="B864" s="92"/>
      <c r="C864" s="92"/>
      <c r="D864" s="94"/>
      <c r="E864" s="94"/>
      <c r="F864" s="94"/>
    </row>
    <row r="865" spans="1:6">
      <c r="A865" s="92"/>
      <c r="B865" s="92"/>
      <c r="C865" s="92"/>
      <c r="D865" s="94"/>
      <c r="E865" s="94"/>
      <c r="F865" s="94"/>
    </row>
    <row r="866" spans="1:6">
      <c r="A866" s="92"/>
      <c r="B866" s="92"/>
      <c r="C866" s="92"/>
      <c r="D866" s="94"/>
      <c r="E866" s="94"/>
      <c r="F866" s="94"/>
    </row>
    <row r="867" spans="1:6">
      <c r="A867" s="92"/>
      <c r="B867" s="92"/>
      <c r="C867" s="92"/>
      <c r="D867" s="94"/>
      <c r="E867" s="94"/>
      <c r="F867" s="94"/>
    </row>
    <row r="868" spans="1:6">
      <c r="A868" s="92"/>
      <c r="B868" s="92"/>
      <c r="C868" s="92"/>
      <c r="D868" s="94"/>
      <c r="E868" s="94"/>
      <c r="F868" s="94"/>
    </row>
    <row r="869" spans="1:6">
      <c r="A869" s="92"/>
      <c r="B869" s="92"/>
      <c r="C869" s="92"/>
      <c r="D869" s="94"/>
      <c r="E869" s="94"/>
      <c r="F869" s="94"/>
    </row>
    <row r="870" spans="1:6">
      <c r="A870" s="92"/>
      <c r="B870" s="92"/>
      <c r="C870" s="92"/>
      <c r="D870" s="94"/>
      <c r="E870" s="94"/>
      <c r="F870" s="94"/>
    </row>
    <row r="871" spans="1:6">
      <c r="A871" s="92"/>
      <c r="B871" s="92"/>
      <c r="C871" s="92"/>
      <c r="D871" s="94"/>
      <c r="E871" s="94"/>
      <c r="F871" s="94"/>
    </row>
    <row r="872" spans="1:6">
      <c r="A872" s="92"/>
      <c r="B872" s="92"/>
      <c r="C872" s="92"/>
      <c r="D872" s="94"/>
      <c r="E872" s="94"/>
      <c r="F872" s="94"/>
    </row>
    <row r="873" spans="1:6">
      <c r="A873" s="92"/>
      <c r="B873" s="92"/>
      <c r="C873" s="92"/>
      <c r="D873" s="94"/>
      <c r="E873" s="94"/>
      <c r="F873" s="94"/>
    </row>
    <row r="874" spans="1:6">
      <c r="A874" s="92"/>
      <c r="B874" s="92"/>
      <c r="C874" s="92"/>
      <c r="D874" s="94"/>
      <c r="E874" s="94"/>
      <c r="F874" s="94"/>
    </row>
    <row r="875" spans="1:6">
      <c r="A875" s="92"/>
      <c r="B875" s="92"/>
      <c r="C875" s="92"/>
      <c r="D875" s="94"/>
      <c r="E875" s="94"/>
      <c r="F875" s="94"/>
    </row>
    <row r="876" spans="1:6">
      <c r="A876" s="92"/>
      <c r="B876" s="92"/>
      <c r="C876" s="92"/>
      <c r="D876" s="94"/>
      <c r="E876" s="94"/>
      <c r="F876" s="94"/>
    </row>
    <row r="877" spans="1:6">
      <c r="A877" s="92"/>
      <c r="B877" s="92"/>
      <c r="C877" s="92"/>
      <c r="D877" s="94"/>
      <c r="E877" s="94"/>
      <c r="F877" s="94"/>
    </row>
    <row r="878" spans="1:6">
      <c r="A878" s="92"/>
      <c r="B878" s="92"/>
      <c r="C878" s="92"/>
      <c r="D878" s="94"/>
      <c r="E878" s="94"/>
      <c r="F878" s="94"/>
    </row>
    <row r="879" spans="1:6">
      <c r="A879" s="92"/>
      <c r="B879" s="92"/>
      <c r="C879" s="92"/>
      <c r="D879" s="94"/>
      <c r="E879" s="94"/>
      <c r="F879" s="94"/>
    </row>
    <row r="880" spans="1:6">
      <c r="A880" s="92"/>
      <c r="B880" s="92"/>
      <c r="C880" s="92"/>
      <c r="D880" s="94"/>
      <c r="E880" s="94"/>
      <c r="F880" s="94"/>
    </row>
    <row r="881" spans="1:6">
      <c r="A881" s="92"/>
      <c r="B881" s="92"/>
      <c r="C881" s="92"/>
      <c r="D881" s="94"/>
      <c r="E881" s="94"/>
      <c r="F881" s="94"/>
    </row>
    <row r="882" spans="1:6">
      <c r="A882" s="92"/>
      <c r="B882" s="92"/>
      <c r="C882" s="92"/>
      <c r="D882" s="94"/>
      <c r="E882" s="94"/>
      <c r="F882" s="94"/>
    </row>
    <row r="883" spans="1:6">
      <c r="A883" s="92"/>
      <c r="B883" s="92"/>
      <c r="C883" s="92"/>
      <c r="D883" s="94"/>
      <c r="E883" s="94"/>
      <c r="F883" s="94"/>
    </row>
    <row r="884" spans="1:6">
      <c r="A884" s="92"/>
      <c r="B884" s="92"/>
      <c r="C884" s="92"/>
      <c r="D884" s="94"/>
      <c r="E884" s="94"/>
      <c r="F884" s="94"/>
    </row>
    <row r="885" spans="1:6">
      <c r="A885" s="92"/>
      <c r="B885" s="92"/>
      <c r="C885" s="92"/>
      <c r="D885" s="94"/>
      <c r="E885" s="94"/>
      <c r="F885" s="94"/>
    </row>
    <row r="886" spans="1:6">
      <c r="A886" s="92"/>
      <c r="B886" s="92"/>
      <c r="C886" s="92"/>
      <c r="D886" s="94"/>
      <c r="E886" s="94"/>
      <c r="F886" s="94"/>
    </row>
    <row r="887" spans="1:6">
      <c r="A887" s="92"/>
      <c r="B887" s="92"/>
      <c r="C887" s="92"/>
      <c r="D887" s="94"/>
      <c r="E887" s="94"/>
      <c r="F887" s="94"/>
    </row>
    <row r="888" spans="1:6">
      <c r="A888" s="92"/>
      <c r="B888" s="92"/>
      <c r="C888" s="92"/>
      <c r="D888" s="94"/>
      <c r="E888" s="94"/>
      <c r="F888" s="94"/>
    </row>
    <row r="889" spans="1:6">
      <c r="A889" s="92"/>
      <c r="B889" s="92"/>
      <c r="C889" s="92"/>
      <c r="D889" s="94"/>
      <c r="E889" s="94"/>
      <c r="F889" s="94"/>
    </row>
    <row r="890" spans="1:6">
      <c r="A890" s="92"/>
      <c r="B890" s="92"/>
      <c r="C890" s="92"/>
      <c r="D890" s="94"/>
      <c r="E890" s="94"/>
      <c r="F890" s="94"/>
    </row>
    <row r="891" spans="1:6">
      <c r="A891" s="92"/>
      <c r="B891" s="92"/>
      <c r="C891" s="92"/>
      <c r="D891" s="94"/>
      <c r="E891" s="94"/>
      <c r="F891" s="94"/>
    </row>
    <row r="892" spans="1:6">
      <c r="A892" s="92"/>
      <c r="B892" s="92"/>
      <c r="C892" s="92"/>
      <c r="D892" s="94"/>
      <c r="E892" s="94"/>
      <c r="F892" s="94"/>
    </row>
    <row r="893" spans="1:6">
      <c r="A893" s="92"/>
      <c r="B893" s="92"/>
      <c r="C893" s="92"/>
      <c r="D893" s="94"/>
      <c r="E893" s="94"/>
      <c r="F893" s="94"/>
    </row>
    <row r="894" spans="1:6">
      <c r="A894" s="92"/>
      <c r="B894" s="92"/>
      <c r="C894" s="92"/>
      <c r="D894" s="94"/>
      <c r="E894" s="94"/>
      <c r="F894" s="94"/>
    </row>
    <row r="895" spans="1:6">
      <c r="A895" s="92"/>
      <c r="B895" s="92"/>
      <c r="C895" s="92"/>
      <c r="D895" s="94"/>
      <c r="E895" s="94"/>
      <c r="F895" s="94"/>
    </row>
    <row r="896" spans="1:6">
      <c r="A896" s="92"/>
      <c r="B896" s="92"/>
      <c r="C896" s="92"/>
      <c r="D896" s="94"/>
      <c r="E896" s="94"/>
      <c r="F896" s="94"/>
    </row>
    <row r="897" spans="1:6">
      <c r="A897" s="92"/>
      <c r="B897" s="92"/>
      <c r="C897" s="92"/>
      <c r="D897" s="94"/>
      <c r="E897" s="94"/>
      <c r="F897" s="94"/>
    </row>
    <row r="898" spans="1:6">
      <c r="A898" s="92"/>
      <c r="B898" s="92"/>
      <c r="C898" s="92"/>
      <c r="D898" s="94"/>
      <c r="E898" s="94"/>
      <c r="F898" s="94"/>
    </row>
    <row r="899" spans="1:6">
      <c r="A899" s="92"/>
      <c r="B899" s="92"/>
      <c r="C899" s="92"/>
      <c r="D899" s="94"/>
      <c r="E899" s="94"/>
      <c r="F899" s="94"/>
    </row>
    <row r="900" spans="1:6">
      <c r="A900" s="92"/>
      <c r="B900" s="92"/>
      <c r="C900" s="92"/>
      <c r="D900" s="94"/>
      <c r="E900" s="94"/>
      <c r="F900" s="94"/>
    </row>
    <row r="901" spans="1:6">
      <c r="A901" s="92"/>
      <c r="B901" s="92"/>
      <c r="C901" s="92"/>
      <c r="D901" s="94"/>
      <c r="E901" s="94"/>
      <c r="F901" s="94"/>
    </row>
    <row r="902" spans="1:6">
      <c r="A902" s="92"/>
      <c r="B902" s="92"/>
      <c r="C902" s="92"/>
      <c r="D902" s="94"/>
      <c r="E902" s="94"/>
      <c r="F902" s="94"/>
    </row>
    <row r="903" spans="1:6">
      <c r="A903" s="92"/>
      <c r="B903" s="92"/>
      <c r="C903" s="92"/>
      <c r="D903" s="94"/>
      <c r="E903" s="94"/>
      <c r="F903" s="94"/>
    </row>
    <row r="904" spans="1:6">
      <c r="A904" s="92"/>
      <c r="B904" s="92"/>
      <c r="C904" s="92"/>
      <c r="D904" s="94"/>
      <c r="E904" s="94"/>
      <c r="F904" s="94"/>
    </row>
    <row r="905" spans="1:6">
      <c r="A905" s="92"/>
      <c r="B905" s="92"/>
      <c r="C905" s="92"/>
      <c r="D905" s="94"/>
      <c r="E905" s="94"/>
      <c r="F905" s="94"/>
    </row>
    <row r="906" spans="1:6">
      <c r="A906" s="92"/>
      <c r="B906" s="92"/>
      <c r="C906" s="92"/>
      <c r="D906" s="94"/>
      <c r="E906" s="94"/>
      <c r="F906" s="94"/>
    </row>
    <row r="907" spans="1:6">
      <c r="A907" s="92"/>
      <c r="B907" s="92"/>
      <c r="C907" s="92"/>
      <c r="D907" s="94"/>
      <c r="E907" s="94"/>
      <c r="F907" s="94"/>
    </row>
    <row r="908" spans="1:6">
      <c r="A908" s="92"/>
      <c r="B908" s="92"/>
      <c r="C908" s="92"/>
      <c r="D908" s="94"/>
      <c r="E908" s="94"/>
      <c r="F908" s="94"/>
    </row>
    <row r="909" spans="1:6">
      <c r="A909" s="92"/>
      <c r="B909" s="92"/>
      <c r="C909" s="92"/>
      <c r="D909" s="94"/>
      <c r="E909" s="94"/>
      <c r="F909" s="94"/>
    </row>
    <row r="910" spans="1:6">
      <c r="A910" s="92"/>
      <c r="B910" s="92"/>
      <c r="C910" s="92"/>
      <c r="D910" s="94"/>
      <c r="E910" s="94"/>
      <c r="F910" s="94"/>
    </row>
    <row r="911" spans="1:6">
      <c r="A911" s="92"/>
      <c r="B911" s="92"/>
      <c r="C911" s="92"/>
      <c r="D911" s="94"/>
      <c r="E911" s="94"/>
      <c r="F911" s="94"/>
    </row>
    <row r="912" spans="1:6">
      <c r="A912" s="92"/>
      <c r="B912" s="92"/>
      <c r="C912" s="92"/>
      <c r="D912" s="94"/>
      <c r="E912" s="94"/>
      <c r="F912" s="94"/>
    </row>
    <row r="913" spans="1:6">
      <c r="A913" s="92"/>
      <c r="B913" s="92"/>
      <c r="C913" s="92"/>
      <c r="D913" s="94"/>
      <c r="E913" s="94"/>
      <c r="F913" s="94"/>
    </row>
    <row r="914" spans="1:6">
      <c r="A914" s="92"/>
      <c r="B914" s="92"/>
      <c r="C914" s="92"/>
      <c r="D914" s="94"/>
      <c r="E914" s="94"/>
      <c r="F914" s="94"/>
    </row>
    <row r="915" spans="1:6">
      <c r="A915" s="92"/>
      <c r="B915" s="92"/>
      <c r="C915" s="92"/>
      <c r="D915" s="94"/>
      <c r="E915" s="94"/>
      <c r="F915" s="94"/>
    </row>
    <row r="916" spans="1:6">
      <c r="A916" s="92"/>
      <c r="B916" s="92"/>
      <c r="C916" s="92"/>
      <c r="D916" s="94"/>
      <c r="E916" s="94"/>
      <c r="F916" s="94"/>
    </row>
    <row r="917" spans="1:6">
      <c r="A917" s="92"/>
      <c r="B917" s="92"/>
      <c r="C917" s="92"/>
      <c r="D917" s="94"/>
      <c r="E917" s="94"/>
      <c r="F917" s="94"/>
    </row>
    <row r="918" spans="1:6">
      <c r="A918" s="92"/>
      <c r="B918" s="92"/>
      <c r="C918" s="92"/>
      <c r="D918" s="94"/>
      <c r="E918" s="94"/>
      <c r="F918" s="94"/>
    </row>
    <row r="919" spans="1:6">
      <c r="A919" s="92"/>
      <c r="B919" s="92"/>
      <c r="C919" s="92"/>
      <c r="D919" s="94"/>
      <c r="E919" s="94"/>
      <c r="F919" s="94"/>
    </row>
    <row r="920" spans="1:6">
      <c r="A920" s="92"/>
      <c r="B920" s="92"/>
      <c r="C920" s="92"/>
      <c r="D920" s="94"/>
      <c r="E920" s="94"/>
      <c r="F920" s="94"/>
    </row>
    <row r="921" spans="1:6">
      <c r="A921" s="92"/>
      <c r="B921" s="92"/>
      <c r="C921" s="92"/>
      <c r="D921" s="94"/>
      <c r="E921" s="94"/>
      <c r="F921" s="94"/>
    </row>
    <row r="922" spans="1:6">
      <c r="A922" s="92"/>
      <c r="B922" s="92"/>
      <c r="C922" s="92"/>
      <c r="D922" s="94"/>
      <c r="E922" s="94"/>
      <c r="F922" s="94"/>
    </row>
    <row r="923" spans="1:6">
      <c r="A923" s="92"/>
      <c r="B923" s="92"/>
      <c r="C923" s="92"/>
      <c r="D923" s="94"/>
      <c r="E923" s="94"/>
      <c r="F923" s="94"/>
    </row>
    <row r="924" spans="1:6">
      <c r="A924" s="92"/>
      <c r="B924" s="92"/>
      <c r="C924" s="92"/>
      <c r="D924" s="94"/>
      <c r="E924" s="94"/>
      <c r="F924" s="94"/>
    </row>
    <row r="925" spans="1:6">
      <c r="A925" s="92"/>
      <c r="B925" s="92"/>
      <c r="C925" s="92"/>
      <c r="D925" s="94"/>
      <c r="E925" s="94"/>
      <c r="F925" s="94"/>
    </row>
    <row r="926" spans="1:6">
      <c r="A926" s="92"/>
      <c r="B926" s="92"/>
      <c r="C926" s="92"/>
      <c r="D926" s="94"/>
      <c r="E926" s="94"/>
      <c r="F926" s="94"/>
    </row>
    <row r="927" spans="1:6">
      <c r="A927" s="92"/>
      <c r="B927" s="92"/>
      <c r="C927" s="92"/>
      <c r="D927" s="94"/>
      <c r="E927" s="94"/>
      <c r="F927" s="94"/>
    </row>
    <row r="928" spans="1:6">
      <c r="A928" s="92"/>
      <c r="B928" s="92"/>
      <c r="C928" s="92"/>
      <c r="D928" s="94"/>
      <c r="E928" s="94"/>
      <c r="F928" s="94"/>
    </row>
    <row r="929" spans="1:6">
      <c r="A929" s="92"/>
      <c r="B929" s="92"/>
      <c r="C929" s="92"/>
      <c r="D929" s="94"/>
      <c r="E929" s="94"/>
      <c r="F929" s="94"/>
    </row>
    <row r="930" spans="1:6">
      <c r="A930" s="92"/>
      <c r="B930" s="92"/>
      <c r="C930" s="92"/>
      <c r="D930" s="94"/>
      <c r="E930" s="94"/>
      <c r="F930" s="94"/>
    </row>
    <row r="931" spans="1:6">
      <c r="A931" s="92"/>
      <c r="B931" s="92"/>
      <c r="C931" s="92"/>
      <c r="D931" s="94"/>
      <c r="E931" s="94"/>
      <c r="F931" s="94"/>
    </row>
    <row r="932" spans="1:6">
      <c r="A932" s="92"/>
      <c r="B932" s="92"/>
      <c r="C932" s="92"/>
      <c r="D932" s="94"/>
      <c r="E932" s="94"/>
      <c r="F932" s="94"/>
    </row>
    <row r="933" spans="1:6">
      <c r="A933" s="92"/>
      <c r="B933" s="92"/>
      <c r="C933" s="92"/>
      <c r="D933" s="94"/>
      <c r="E933" s="94"/>
      <c r="F933" s="94"/>
    </row>
    <row r="934" spans="1:6">
      <c r="A934" s="92"/>
      <c r="B934" s="92"/>
      <c r="C934" s="92"/>
      <c r="D934" s="94"/>
      <c r="E934" s="94"/>
      <c r="F934" s="94"/>
    </row>
    <row r="935" spans="1:6">
      <c r="A935" s="92"/>
      <c r="B935" s="92"/>
      <c r="C935" s="92"/>
      <c r="D935" s="94"/>
      <c r="E935" s="94"/>
      <c r="F935" s="94"/>
    </row>
    <row r="936" spans="1:6">
      <c r="A936" s="92"/>
      <c r="B936" s="92"/>
      <c r="C936" s="92"/>
      <c r="D936" s="94"/>
      <c r="E936" s="94"/>
      <c r="F936" s="94"/>
    </row>
    <row r="937" spans="1:6">
      <c r="A937" s="92"/>
      <c r="B937" s="92"/>
      <c r="C937" s="92"/>
      <c r="D937" s="94"/>
      <c r="E937" s="94"/>
      <c r="F937" s="94"/>
    </row>
    <row r="938" spans="1:6">
      <c r="A938" s="92"/>
      <c r="B938" s="92"/>
      <c r="C938" s="92"/>
      <c r="D938" s="94"/>
      <c r="E938" s="94"/>
      <c r="F938" s="94"/>
    </row>
    <row r="939" spans="1:6">
      <c r="A939" s="92"/>
      <c r="B939" s="92"/>
      <c r="C939" s="92"/>
      <c r="D939" s="94"/>
      <c r="E939" s="94"/>
      <c r="F939" s="94"/>
    </row>
    <row r="940" spans="1:6">
      <c r="A940" s="92"/>
      <c r="B940" s="92"/>
      <c r="C940" s="92"/>
      <c r="D940" s="94"/>
      <c r="E940" s="94"/>
      <c r="F940" s="94"/>
    </row>
    <row r="941" spans="1:6">
      <c r="A941" s="92"/>
      <c r="B941" s="92"/>
      <c r="C941" s="92"/>
      <c r="D941" s="94"/>
      <c r="E941" s="94"/>
      <c r="F941" s="94"/>
    </row>
    <row r="942" spans="1:6">
      <c r="A942" s="92"/>
      <c r="B942" s="92"/>
      <c r="C942" s="92"/>
      <c r="D942" s="94"/>
      <c r="E942" s="94"/>
      <c r="F942" s="94"/>
    </row>
    <row r="943" spans="1:6">
      <c r="A943" s="92"/>
      <c r="B943" s="92"/>
      <c r="C943" s="92"/>
      <c r="D943" s="94"/>
      <c r="E943" s="94"/>
      <c r="F943" s="94"/>
    </row>
    <row r="944" spans="1:6">
      <c r="A944" s="92"/>
      <c r="B944" s="92"/>
      <c r="C944" s="92"/>
      <c r="D944" s="94"/>
      <c r="E944" s="94"/>
      <c r="F944" s="94"/>
    </row>
    <row r="945" spans="1:6">
      <c r="A945" s="92"/>
      <c r="B945" s="92"/>
      <c r="C945" s="92"/>
      <c r="D945" s="94"/>
      <c r="E945" s="94"/>
      <c r="F945" s="94"/>
    </row>
    <row r="946" spans="1:6">
      <c r="A946" s="92"/>
      <c r="B946" s="92"/>
      <c r="C946" s="92"/>
      <c r="D946" s="94"/>
      <c r="E946" s="94"/>
      <c r="F946" s="94"/>
    </row>
    <row r="947" spans="1:6">
      <c r="A947" s="92"/>
      <c r="B947" s="92"/>
      <c r="C947" s="92"/>
      <c r="D947" s="94"/>
      <c r="E947" s="94"/>
      <c r="F947" s="94"/>
    </row>
    <row r="948" spans="1:6">
      <c r="A948" s="92"/>
      <c r="B948" s="92"/>
      <c r="C948" s="92"/>
      <c r="D948" s="94"/>
      <c r="E948" s="94"/>
      <c r="F948" s="94"/>
    </row>
    <row r="949" spans="1:6">
      <c r="A949" s="92"/>
      <c r="B949" s="92"/>
      <c r="C949" s="92"/>
      <c r="D949" s="94"/>
      <c r="E949" s="94"/>
      <c r="F949" s="94"/>
    </row>
    <row r="950" spans="1:6">
      <c r="A950" s="92"/>
      <c r="B950" s="92"/>
      <c r="C950" s="92"/>
      <c r="D950" s="94"/>
      <c r="E950" s="94"/>
      <c r="F950" s="94"/>
    </row>
    <row r="951" spans="1:6">
      <c r="A951" s="92"/>
      <c r="B951" s="92"/>
      <c r="C951" s="92"/>
      <c r="D951" s="94"/>
      <c r="E951" s="94"/>
      <c r="F951" s="94"/>
    </row>
    <row r="952" spans="1:6">
      <c r="A952" s="92"/>
      <c r="B952" s="92"/>
      <c r="C952" s="92"/>
      <c r="D952" s="94"/>
      <c r="E952" s="94"/>
      <c r="F952" s="94"/>
    </row>
    <row r="953" spans="1:6">
      <c r="A953" s="92"/>
      <c r="B953" s="92"/>
      <c r="C953" s="92"/>
      <c r="D953" s="94"/>
      <c r="E953" s="94"/>
      <c r="F953" s="94"/>
    </row>
    <row r="954" spans="1:6">
      <c r="A954" s="92"/>
      <c r="B954" s="92"/>
      <c r="C954" s="92"/>
      <c r="D954" s="94"/>
      <c r="E954" s="94"/>
      <c r="F954" s="94"/>
    </row>
    <row r="955" spans="1:6">
      <c r="A955" s="92"/>
      <c r="B955" s="92"/>
      <c r="C955" s="92"/>
      <c r="D955" s="94"/>
      <c r="E955" s="94"/>
      <c r="F955" s="94"/>
    </row>
    <row r="956" spans="1:6">
      <c r="A956" s="92"/>
      <c r="B956" s="92"/>
      <c r="C956" s="92"/>
      <c r="D956" s="94"/>
      <c r="E956" s="94"/>
      <c r="F956" s="94"/>
    </row>
    <row r="957" spans="1:6">
      <c r="A957" s="92"/>
      <c r="B957" s="92"/>
      <c r="C957" s="92"/>
      <c r="D957" s="94"/>
      <c r="E957" s="94"/>
      <c r="F957" s="94"/>
    </row>
    <row r="958" spans="1:6">
      <c r="A958" s="92"/>
      <c r="B958" s="92"/>
      <c r="C958" s="92"/>
      <c r="D958" s="94"/>
      <c r="E958" s="94"/>
      <c r="F958" s="94"/>
    </row>
    <row r="959" spans="1:6">
      <c r="A959" s="92"/>
      <c r="B959" s="92"/>
      <c r="C959" s="92"/>
      <c r="D959" s="94"/>
      <c r="E959" s="94"/>
      <c r="F959" s="94"/>
    </row>
    <row r="960" spans="1:6">
      <c r="A960" s="92"/>
      <c r="B960" s="92"/>
      <c r="C960" s="92"/>
      <c r="D960" s="94"/>
      <c r="E960" s="94"/>
      <c r="F960" s="94"/>
    </row>
    <row r="961" spans="1:6">
      <c r="A961" s="92"/>
      <c r="B961" s="92"/>
      <c r="C961" s="92"/>
      <c r="D961" s="94"/>
      <c r="E961" s="94"/>
      <c r="F961" s="94"/>
    </row>
    <row r="962" spans="1:6">
      <c r="A962" s="92"/>
      <c r="B962" s="92"/>
      <c r="C962" s="92"/>
      <c r="D962" s="94"/>
      <c r="E962" s="94"/>
      <c r="F962" s="94"/>
    </row>
    <row r="963" spans="1:6">
      <c r="A963" s="92"/>
      <c r="B963" s="92"/>
      <c r="C963" s="92"/>
      <c r="D963" s="94"/>
      <c r="E963" s="94"/>
      <c r="F963" s="94"/>
    </row>
    <row r="964" spans="1:6">
      <c r="A964" s="92"/>
      <c r="B964" s="92"/>
      <c r="C964" s="92"/>
      <c r="D964" s="94"/>
      <c r="E964" s="94"/>
      <c r="F964" s="94"/>
    </row>
    <row r="965" spans="1:6">
      <c r="A965" s="92"/>
      <c r="B965" s="92"/>
      <c r="C965" s="92"/>
      <c r="D965" s="94"/>
      <c r="E965" s="94"/>
      <c r="F965" s="94"/>
    </row>
    <row r="966" spans="1:6">
      <c r="A966" s="92"/>
      <c r="B966" s="92"/>
      <c r="C966" s="92"/>
      <c r="D966" s="94"/>
      <c r="E966" s="94"/>
      <c r="F966" s="94"/>
    </row>
    <row r="967" spans="1:6">
      <c r="A967" s="92"/>
      <c r="B967" s="92"/>
      <c r="C967" s="92"/>
      <c r="D967" s="94"/>
      <c r="E967" s="94"/>
      <c r="F967" s="94"/>
    </row>
    <row r="968" spans="1:6">
      <c r="A968" s="92"/>
      <c r="B968" s="92"/>
      <c r="C968" s="92"/>
      <c r="D968" s="94"/>
      <c r="E968" s="94"/>
      <c r="F968" s="94"/>
    </row>
    <row r="969" spans="1:6">
      <c r="A969" s="92"/>
      <c r="B969" s="92"/>
      <c r="C969" s="92"/>
      <c r="D969" s="94"/>
      <c r="E969" s="94"/>
      <c r="F969" s="94"/>
    </row>
    <row r="970" spans="1:6">
      <c r="A970" s="92"/>
      <c r="B970" s="92"/>
      <c r="C970" s="92"/>
      <c r="D970" s="94"/>
      <c r="E970" s="94"/>
      <c r="F970" s="94"/>
    </row>
    <row r="971" spans="1:6">
      <c r="A971" s="92"/>
      <c r="B971" s="92"/>
      <c r="C971" s="92"/>
      <c r="D971" s="94"/>
      <c r="E971" s="94"/>
      <c r="F971" s="94"/>
    </row>
    <row r="972" spans="1:6">
      <c r="A972" s="92"/>
      <c r="B972" s="92"/>
      <c r="C972" s="92"/>
      <c r="D972" s="94"/>
      <c r="E972" s="94"/>
      <c r="F972" s="94"/>
    </row>
    <row r="973" spans="1:6">
      <c r="A973" s="92"/>
      <c r="B973" s="92"/>
      <c r="C973" s="92"/>
      <c r="D973" s="94"/>
      <c r="E973" s="94"/>
      <c r="F973" s="94"/>
    </row>
    <row r="974" spans="1:6">
      <c r="A974" s="92"/>
      <c r="B974" s="92"/>
      <c r="C974" s="92"/>
      <c r="D974" s="94"/>
      <c r="E974" s="94"/>
      <c r="F974" s="94"/>
    </row>
    <row r="975" spans="1:6">
      <c r="A975" s="92"/>
      <c r="B975" s="92"/>
      <c r="C975" s="92"/>
      <c r="D975" s="94"/>
      <c r="E975" s="94"/>
      <c r="F975" s="94"/>
    </row>
    <row r="976" spans="1:6">
      <c r="A976" s="92"/>
      <c r="B976" s="92"/>
      <c r="C976" s="92"/>
      <c r="D976" s="94"/>
      <c r="E976" s="94"/>
      <c r="F976" s="94"/>
    </row>
    <row r="977" spans="1:6">
      <c r="A977" s="92"/>
      <c r="B977" s="92"/>
      <c r="C977" s="92"/>
      <c r="D977" s="94"/>
      <c r="E977" s="94"/>
      <c r="F977" s="94"/>
    </row>
    <row r="978" spans="1:6">
      <c r="A978" s="92"/>
      <c r="B978" s="92"/>
      <c r="C978" s="92"/>
      <c r="D978" s="94"/>
      <c r="E978" s="94"/>
      <c r="F978" s="94"/>
    </row>
    <row r="979" spans="1:6">
      <c r="A979" s="92"/>
      <c r="B979" s="92"/>
      <c r="C979" s="92"/>
      <c r="D979" s="94"/>
      <c r="E979" s="94"/>
      <c r="F979" s="94"/>
    </row>
    <row r="980" spans="1:6">
      <c r="A980" s="92"/>
      <c r="B980" s="92"/>
      <c r="C980" s="92"/>
      <c r="D980" s="94"/>
      <c r="E980" s="94"/>
      <c r="F980" s="94"/>
    </row>
    <row r="981" spans="1:6">
      <c r="A981" s="92"/>
      <c r="B981" s="92"/>
      <c r="C981" s="92"/>
      <c r="D981" s="94"/>
      <c r="E981" s="94"/>
      <c r="F981" s="94"/>
    </row>
    <row r="982" spans="1:6">
      <c r="A982" s="92"/>
      <c r="B982" s="92"/>
      <c r="C982" s="92"/>
      <c r="D982" s="94"/>
      <c r="E982" s="94"/>
      <c r="F982" s="94"/>
    </row>
    <row r="983" spans="1:6">
      <c r="A983" s="92"/>
      <c r="B983" s="92"/>
      <c r="C983" s="92"/>
      <c r="D983" s="94"/>
      <c r="E983" s="94"/>
      <c r="F983" s="94"/>
    </row>
    <row r="984" spans="1:6">
      <c r="A984" s="92"/>
      <c r="B984" s="92"/>
      <c r="C984" s="92"/>
      <c r="D984" s="94"/>
      <c r="E984" s="94"/>
      <c r="F984" s="94"/>
    </row>
    <row r="985" spans="1:6">
      <c r="A985" s="92"/>
      <c r="B985" s="92"/>
      <c r="C985" s="92"/>
      <c r="D985" s="94"/>
      <c r="E985" s="94"/>
      <c r="F985" s="94"/>
    </row>
    <row r="986" spans="1:6">
      <c r="A986" s="92"/>
      <c r="B986" s="92"/>
      <c r="C986" s="92"/>
      <c r="D986" s="94"/>
      <c r="E986" s="94"/>
      <c r="F986" s="94"/>
    </row>
    <row r="987" spans="1:6">
      <c r="A987" s="92"/>
      <c r="B987" s="92"/>
      <c r="C987" s="92"/>
      <c r="D987" s="94"/>
      <c r="E987" s="94"/>
      <c r="F987" s="94"/>
    </row>
    <row r="988" spans="1:6">
      <c r="A988" s="92"/>
      <c r="B988" s="92"/>
      <c r="C988" s="92"/>
      <c r="D988" s="94"/>
      <c r="E988" s="94"/>
      <c r="F988" s="94"/>
    </row>
    <row r="989" spans="1:6">
      <c r="A989" s="92"/>
      <c r="B989" s="92"/>
      <c r="C989" s="92"/>
      <c r="D989" s="94"/>
      <c r="E989" s="94"/>
      <c r="F989" s="94"/>
    </row>
    <row r="990" spans="1:6">
      <c r="A990" s="92"/>
      <c r="B990" s="92"/>
      <c r="C990" s="92"/>
      <c r="D990" s="94"/>
      <c r="E990" s="94"/>
      <c r="F990" s="94"/>
    </row>
    <row r="991" spans="1:6">
      <c r="A991" s="92"/>
      <c r="B991" s="92"/>
      <c r="C991" s="92"/>
      <c r="D991" s="94"/>
      <c r="E991" s="94"/>
      <c r="F991" s="94"/>
    </row>
    <row r="992" spans="1:6">
      <c r="A992" s="92"/>
      <c r="B992" s="92"/>
      <c r="C992" s="92"/>
      <c r="D992" s="94"/>
      <c r="E992" s="94"/>
      <c r="F992" s="94"/>
    </row>
    <row r="993" spans="1:6">
      <c r="A993" s="92"/>
      <c r="B993" s="92"/>
      <c r="C993" s="92"/>
      <c r="D993" s="94"/>
      <c r="E993" s="94"/>
      <c r="F993" s="94"/>
    </row>
    <row r="994" spans="1:6">
      <c r="A994" s="92"/>
      <c r="B994" s="92"/>
      <c r="C994" s="92"/>
      <c r="D994" s="94"/>
      <c r="E994" s="94"/>
      <c r="F994" s="94"/>
    </row>
  </sheetData>
  <mergeCells count="10">
    <mergeCell ref="GE14:GH14"/>
    <mergeCell ref="GI14:GK14"/>
    <mergeCell ref="HC13:HG13"/>
    <mergeCell ref="HH13:HL13"/>
    <mergeCell ref="GS13:GW13"/>
    <mergeCell ref="EE13:EI13"/>
    <mergeCell ref="ET13:EX13"/>
    <mergeCell ref="EY13:FC13"/>
    <mergeCell ref="GX13:HB13"/>
    <mergeCell ref="GE13:GK13"/>
  </mergeCells>
  <pageMargins left="0.1" right="0.1" top="1" bottom="1" header="0.5" footer="0.5"/>
  <pageSetup paperSize="5" scale="63" fitToWidth="7" orientation="landscape" r:id="rId1"/>
  <headerFooter alignWithMargins="0">
    <oddHeader>&amp;A</oddHeader>
    <oddFooter>Page &amp;P</oddFooter>
  </headerFooter>
  <rowBreaks count="1" manualBreakCount="1">
    <brk id="122" max="16383" man="1"/>
  </row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E80"/>
  <sheetViews>
    <sheetView zoomScale="75" workbookViewId="0">
      <selection activeCell="E17" sqref="E17"/>
    </sheetView>
  </sheetViews>
  <sheetFormatPr defaultRowHeight="12.75"/>
  <cols>
    <col min="1" max="1" width="6.5703125" style="163" customWidth="1"/>
    <col min="2" max="2" width="10.42578125" style="163" customWidth="1"/>
    <col min="3" max="4" width="9.28515625" style="163" customWidth="1"/>
    <col min="5" max="5" width="16" style="163" customWidth="1"/>
    <col min="6" max="6" width="7" style="163" customWidth="1"/>
    <col min="7" max="7" width="7.140625" style="163" customWidth="1"/>
    <col min="8" max="29" width="6.28515625" style="163" customWidth="1"/>
    <col min="30" max="30" width="5.5703125" style="163" customWidth="1"/>
    <col min="31" max="31" width="16.42578125" style="163" customWidth="1"/>
    <col min="32" max="55" width="5.42578125" style="163" customWidth="1"/>
    <col min="56" max="57" width="6.28515625" style="163" customWidth="1"/>
    <col min="58" max="58" width="8.42578125" style="163" customWidth="1"/>
    <col min="59" max="59" width="10" style="163" customWidth="1"/>
    <col min="60" max="60" width="10.28515625" style="163" customWidth="1"/>
    <col min="61" max="61" width="5.28515625" style="163" customWidth="1"/>
    <col min="62" max="62" width="16.42578125" style="163" customWidth="1"/>
    <col min="63" max="86" width="5.42578125" style="163" customWidth="1"/>
    <col min="87" max="88" width="6.28515625" style="163" customWidth="1"/>
    <col min="89" max="89" width="8.42578125" style="163" customWidth="1"/>
    <col min="90" max="90" width="10" style="163" customWidth="1"/>
    <col min="91" max="91" width="10.28515625" style="163" customWidth="1"/>
    <col min="92" max="92" width="5.28515625" style="163" customWidth="1"/>
    <col min="93" max="93" width="7.7109375" style="163" customWidth="1"/>
    <col min="94" max="94" width="5.85546875" style="163" customWidth="1"/>
    <col min="95" max="95" width="6.28515625" style="163" customWidth="1"/>
    <col min="109" max="136" width="6.28515625" style="163" customWidth="1"/>
    <col min="137" max="16384" width="9.140625" style="163"/>
  </cols>
  <sheetData>
    <row r="1" spans="3:109" ht="13.5" thickBot="1">
      <c r="AE1" s="163" t="s">
        <v>298</v>
      </c>
      <c r="BD1" s="222"/>
      <c r="BE1" s="222"/>
      <c r="BJ1" s="163" t="s">
        <v>298</v>
      </c>
      <c r="CI1" s="222"/>
      <c r="CJ1" s="222"/>
      <c r="CP1" s="222"/>
      <c r="CQ1" s="222"/>
    </row>
    <row r="2" spans="3:109" ht="18.75" thickBot="1">
      <c r="E2" s="251" t="s">
        <v>299</v>
      </c>
      <c r="F2" s="252"/>
      <c r="G2" s="252"/>
      <c r="H2" s="252"/>
      <c r="I2" s="252"/>
      <c r="J2" s="252"/>
      <c r="K2" s="252"/>
      <c r="L2" s="252"/>
      <c r="M2" s="252"/>
      <c r="N2" s="252"/>
      <c r="O2" s="252"/>
      <c r="P2" s="252"/>
      <c r="Q2" s="252"/>
      <c r="R2" s="252"/>
      <c r="S2" s="252"/>
      <c r="T2" s="252"/>
      <c r="U2" s="252"/>
      <c r="V2" s="252"/>
      <c r="W2" s="252"/>
      <c r="X2" s="252"/>
      <c r="Y2" s="252"/>
      <c r="Z2" s="252"/>
      <c r="AA2" s="252"/>
      <c r="AB2" s="252"/>
      <c r="AC2" s="253"/>
      <c r="AD2" s="164"/>
      <c r="AE2" s="254" t="s">
        <v>300</v>
      </c>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98"/>
      <c r="BE2" s="298"/>
      <c r="BF2" s="256"/>
      <c r="BG2" s="223" t="s">
        <v>301</v>
      </c>
      <c r="BH2" s="225"/>
      <c r="BJ2" s="254" t="s">
        <v>302</v>
      </c>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98"/>
      <c r="CJ2" s="298"/>
      <c r="CK2" s="256"/>
      <c r="CL2" s="223" t="s">
        <v>301</v>
      </c>
      <c r="CM2" s="225"/>
      <c r="CP2" s="222"/>
      <c r="CQ2" s="222"/>
    </row>
    <row r="3" spans="3:109" ht="16.5" thickBot="1">
      <c r="E3" s="257"/>
      <c r="F3" s="223" t="s">
        <v>360</v>
      </c>
      <c r="G3" s="224"/>
      <c r="H3" s="224"/>
      <c r="I3" s="224"/>
      <c r="J3" s="224"/>
      <c r="K3" s="224"/>
      <c r="L3" s="224"/>
      <c r="M3" s="224"/>
      <c r="N3" s="224"/>
      <c r="O3" s="224"/>
      <c r="P3" s="224"/>
      <c r="Q3" s="224"/>
      <c r="R3" s="224"/>
      <c r="S3" s="224"/>
      <c r="T3" s="224"/>
      <c r="U3" s="225"/>
      <c r="V3" s="223" t="s">
        <v>344</v>
      </c>
      <c r="W3" s="224"/>
      <c r="X3" s="224"/>
      <c r="Y3" s="224"/>
      <c r="Z3" s="224"/>
      <c r="AA3" s="224"/>
      <c r="AB3" s="224"/>
      <c r="AC3" s="225"/>
      <c r="AD3" s="164"/>
      <c r="AE3" s="258" t="s">
        <v>303</v>
      </c>
      <c r="AF3" s="226" t="s">
        <v>360</v>
      </c>
      <c r="AG3" s="227"/>
      <c r="AH3" s="227"/>
      <c r="AI3" s="227"/>
      <c r="AJ3" s="227"/>
      <c r="AK3" s="227"/>
      <c r="AL3" s="227"/>
      <c r="AM3" s="227"/>
      <c r="AN3" s="227"/>
      <c r="AO3" s="227"/>
      <c r="AP3" s="227"/>
      <c r="AQ3" s="227"/>
      <c r="AR3" s="227"/>
      <c r="AS3" s="227"/>
      <c r="AT3" s="227"/>
      <c r="AU3" s="228"/>
      <c r="AV3" s="227" t="s">
        <v>344</v>
      </c>
      <c r="AW3" s="227"/>
      <c r="AX3" s="227"/>
      <c r="AY3" s="227"/>
      <c r="AZ3" s="227"/>
      <c r="BA3" s="227"/>
      <c r="BB3" s="227"/>
      <c r="BC3" s="228"/>
      <c r="BD3" s="299"/>
      <c r="BE3" s="302" t="s">
        <v>304</v>
      </c>
      <c r="BF3" s="220"/>
      <c r="BG3" s="327" t="s">
        <v>305</v>
      </c>
      <c r="BH3" s="328"/>
      <c r="BJ3" s="258" t="s">
        <v>303</v>
      </c>
      <c r="BK3" s="226" t="s">
        <v>360</v>
      </c>
      <c r="BL3" s="227"/>
      <c r="BM3" s="227"/>
      <c r="BN3" s="227"/>
      <c r="BO3" s="227"/>
      <c r="BP3" s="227"/>
      <c r="BQ3" s="227"/>
      <c r="BR3" s="227"/>
      <c r="BS3" s="227"/>
      <c r="BT3" s="227"/>
      <c r="BU3" s="227"/>
      <c r="BV3" s="227"/>
      <c r="BW3" s="227"/>
      <c r="BX3" s="227"/>
      <c r="BY3" s="227"/>
      <c r="BZ3" s="228"/>
      <c r="CA3" s="227" t="s">
        <v>344</v>
      </c>
      <c r="CB3" s="227"/>
      <c r="CC3" s="227"/>
      <c r="CD3" s="227"/>
      <c r="CE3" s="227"/>
      <c r="CF3" s="227"/>
      <c r="CG3" s="227"/>
      <c r="CH3" s="228"/>
      <c r="CI3" s="299"/>
      <c r="CJ3" s="302" t="s">
        <v>304</v>
      </c>
      <c r="CK3" s="220"/>
      <c r="CL3" s="327" t="s">
        <v>305</v>
      </c>
      <c r="CM3" s="328"/>
      <c r="CO3" s="454" t="s">
        <v>172</v>
      </c>
      <c r="CP3" s="455" t="s">
        <v>306</v>
      </c>
      <c r="CQ3" s="456"/>
      <c r="DE3" s="171"/>
    </row>
    <row r="4" spans="3:109" ht="13.5" thickBot="1">
      <c r="E4" s="226" t="s">
        <v>307</v>
      </c>
      <c r="F4" s="226">
        <v>1</v>
      </c>
      <c r="G4" s="227">
        <v>2</v>
      </c>
      <c r="H4" s="227">
        <v>3</v>
      </c>
      <c r="I4" s="227">
        <v>4</v>
      </c>
      <c r="J4" s="227">
        <v>5</v>
      </c>
      <c r="K4" s="227">
        <v>6</v>
      </c>
      <c r="L4" s="227">
        <v>7</v>
      </c>
      <c r="M4" s="227">
        <v>8</v>
      </c>
      <c r="N4" s="227">
        <v>9</v>
      </c>
      <c r="O4" s="227">
        <v>10</v>
      </c>
      <c r="P4" s="227">
        <v>11</v>
      </c>
      <c r="Q4" s="227">
        <v>12</v>
      </c>
      <c r="R4" s="227">
        <v>13</v>
      </c>
      <c r="S4" s="227">
        <v>14</v>
      </c>
      <c r="T4" s="227">
        <v>15</v>
      </c>
      <c r="U4" s="228">
        <v>16</v>
      </c>
      <c r="V4" s="227">
        <v>1</v>
      </c>
      <c r="W4" s="227">
        <v>2</v>
      </c>
      <c r="X4" s="227">
        <v>3</v>
      </c>
      <c r="Y4" s="227">
        <v>4</v>
      </c>
      <c r="Z4" s="227">
        <v>5</v>
      </c>
      <c r="AA4" s="227">
        <v>6</v>
      </c>
      <c r="AB4" s="227">
        <v>7</v>
      </c>
      <c r="AC4" s="228">
        <v>8</v>
      </c>
      <c r="AD4" s="164"/>
      <c r="AE4" s="229" t="s">
        <v>307</v>
      </c>
      <c r="AF4" s="229">
        <v>1</v>
      </c>
      <c r="AG4" s="164">
        <v>2</v>
      </c>
      <c r="AH4" s="164">
        <v>3</v>
      </c>
      <c r="AI4" s="164">
        <v>4</v>
      </c>
      <c r="AJ4" s="164">
        <v>5</v>
      </c>
      <c r="AK4" s="164">
        <v>6</v>
      </c>
      <c r="AL4" s="164">
        <v>7</v>
      </c>
      <c r="AM4" s="164">
        <v>8</v>
      </c>
      <c r="AN4" s="164">
        <v>9</v>
      </c>
      <c r="AO4" s="164">
        <v>10</v>
      </c>
      <c r="AP4" s="164">
        <v>11</v>
      </c>
      <c r="AQ4" s="164">
        <v>12</v>
      </c>
      <c r="AR4" s="164">
        <v>13</v>
      </c>
      <c r="AS4" s="164">
        <v>14</v>
      </c>
      <c r="AT4" s="164">
        <v>15</v>
      </c>
      <c r="AU4" s="230">
        <v>16</v>
      </c>
      <c r="AV4" s="164">
        <v>1</v>
      </c>
      <c r="AW4" s="164">
        <v>2</v>
      </c>
      <c r="AX4" s="164">
        <v>3</v>
      </c>
      <c r="AY4" s="164">
        <v>4</v>
      </c>
      <c r="AZ4" s="164">
        <v>5</v>
      </c>
      <c r="BA4" s="164">
        <v>6</v>
      </c>
      <c r="BB4" s="164">
        <v>7</v>
      </c>
      <c r="BC4" s="230">
        <v>8</v>
      </c>
      <c r="BD4" s="300" t="s">
        <v>360</v>
      </c>
      <c r="BE4" s="303" t="s">
        <v>360</v>
      </c>
      <c r="BF4" s="301" t="s">
        <v>73</v>
      </c>
      <c r="BG4" s="329" t="s">
        <v>360</v>
      </c>
      <c r="BH4" s="329" t="s">
        <v>344</v>
      </c>
      <c r="BJ4" s="229" t="s">
        <v>307</v>
      </c>
      <c r="BK4" s="229">
        <v>1</v>
      </c>
      <c r="BL4" s="164">
        <v>2</v>
      </c>
      <c r="BM4" s="164">
        <v>3</v>
      </c>
      <c r="BN4" s="164">
        <v>4</v>
      </c>
      <c r="BO4" s="164">
        <v>5</v>
      </c>
      <c r="BP4" s="164">
        <v>6</v>
      </c>
      <c r="BQ4" s="164">
        <v>7</v>
      </c>
      <c r="BR4" s="164">
        <v>8</v>
      </c>
      <c r="BS4" s="164">
        <v>9</v>
      </c>
      <c r="BT4" s="164">
        <v>10</v>
      </c>
      <c r="BU4" s="164">
        <v>11</v>
      </c>
      <c r="BV4" s="164">
        <v>12</v>
      </c>
      <c r="BW4" s="164">
        <v>13</v>
      </c>
      <c r="BX4" s="164">
        <v>14</v>
      </c>
      <c r="BY4" s="164">
        <v>15</v>
      </c>
      <c r="BZ4" s="230">
        <v>16</v>
      </c>
      <c r="CA4" s="164">
        <v>1</v>
      </c>
      <c r="CB4" s="164">
        <v>2</v>
      </c>
      <c r="CC4" s="164">
        <v>3</v>
      </c>
      <c r="CD4" s="164">
        <v>4</v>
      </c>
      <c r="CE4" s="164">
        <v>5</v>
      </c>
      <c r="CF4" s="164">
        <v>6</v>
      </c>
      <c r="CG4" s="164">
        <v>7</v>
      </c>
      <c r="CH4" s="230">
        <v>8</v>
      </c>
      <c r="CI4" s="300" t="s">
        <v>360</v>
      </c>
      <c r="CJ4" s="303" t="s">
        <v>360</v>
      </c>
      <c r="CK4" s="301" t="s">
        <v>73</v>
      </c>
      <c r="CL4" s="329" t="s">
        <v>360</v>
      </c>
      <c r="CM4" s="329" t="s">
        <v>344</v>
      </c>
      <c r="CO4" s="457"/>
      <c r="CP4" s="458" t="s">
        <v>308</v>
      </c>
      <c r="CQ4" s="459" t="s">
        <v>309</v>
      </c>
      <c r="DE4" s="231"/>
    </row>
    <row r="5" spans="3:109">
      <c r="E5" s="229">
        <v>1</v>
      </c>
      <c r="F5" s="232">
        <v>18</v>
      </c>
      <c r="G5" s="233">
        <v>19</v>
      </c>
      <c r="H5" s="233">
        <v>20</v>
      </c>
      <c r="I5" s="233">
        <v>9</v>
      </c>
      <c r="J5" s="233">
        <v>10</v>
      </c>
      <c r="K5" s="233">
        <v>11</v>
      </c>
      <c r="L5" s="233">
        <v>8</v>
      </c>
      <c r="M5" s="233">
        <v>12</v>
      </c>
      <c r="N5" s="233">
        <v>21</v>
      </c>
      <c r="O5" s="233">
        <v>17</v>
      </c>
      <c r="P5" s="233">
        <v>13</v>
      </c>
      <c r="Q5" s="233">
        <v>14</v>
      </c>
      <c r="R5" s="233">
        <v>16</v>
      </c>
      <c r="S5" s="233">
        <v>15</v>
      </c>
      <c r="T5" s="233">
        <v>7</v>
      </c>
      <c r="U5" s="234">
        <v>22</v>
      </c>
      <c r="V5" s="233">
        <v>23</v>
      </c>
      <c r="W5" s="233">
        <v>6</v>
      </c>
      <c r="X5" s="233">
        <v>24</v>
      </c>
      <c r="Y5" s="233">
        <v>5</v>
      </c>
      <c r="Z5" s="233">
        <v>1</v>
      </c>
      <c r="AA5" s="233">
        <v>2</v>
      </c>
      <c r="AB5" s="233">
        <v>4</v>
      </c>
      <c r="AC5" s="234">
        <v>3</v>
      </c>
      <c r="AD5" s="164"/>
      <c r="AE5" s="229">
        <v>1</v>
      </c>
      <c r="AF5" s="235">
        <f t="shared" ref="AF5:AF16" si="0">IF(AND(WeekDef=8,CustomMFFlag,CustomMFPeriod=4),INDEX(VolumeHourlyOver,F5,1),IF(OR(WeekDef=1,WeekDef=2,WeekDef=4,WeekDef=6,AND(WeekDef=8,CustomMFFlag,OR(CustomMFPeriod=1,CustomMFPeriod=2))),IF(VolumeMonthlyOverFlag,INDEX(VolumeMonthlyOver,AE5),Volume),0))</f>
        <v>150</v>
      </c>
      <c r="AG5" s="236">
        <f t="shared" ref="AG5:AG16" si="1">IF(AND(WeekDef=8,CustomMFFlag,CustomMFPeriod=4),INDEX(VolumeHourlyOver,G5,1),IF(OR(WeekDef=1,WeekDef=2,WeekDef=4,WeekDef=6,AND(WeekDef=8,CustomMFFlag,OR(CustomMFPeriod=1,CustomMFPeriod=2))),IF(VolumeMonthlyOverFlag,INDEX(VolumeMonthlyOver,AE5),Volume),0))</f>
        <v>150</v>
      </c>
      <c r="AH5" s="236">
        <f t="shared" ref="AH5:AH16" si="2">IF(AND(WeekDef=8,CustomMFFlag,CustomMFPeriod=4),INDEX(VolumeHourlyOver,H5,1),IF(OR(WeekDef=1,WeekDef=2,WeekDef=4,WeekDef=6,AND(WeekDef=8,CustomMFFlag,OR(CustomMFPeriod=1,CustomMFPeriod=2))),IF(VolumeMonthlyOverFlag,INDEX(VolumeMonthlyOver,AE5),Volume),0))</f>
        <v>150</v>
      </c>
      <c r="AI5" s="236">
        <f t="shared" ref="AI5:AI16" si="3">IF(AND(WeekDef=8,CustomMFFlag,CustomMFPeriod=4),INDEX(VolumeHourlyOver,I5,1),IF(OR(WeekDef=1,WeekDef=2,WeekDef=4,WeekDef=6,AND(WeekDef=8,CustomMFFlag,OR(CustomMFPeriod=1,CustomMFPeriod=2))),IF(VolumeMonthlyOverFlag,INDEX(VolumeMonthlyOver,AE5),Volume),0))</f>
        <v>150</v>
      </c>
      <c r="AJ5" s="236">
        <f t="shared" ref="AJ5:AJ16" si="4">IF(AND(WeekDef=8,CustomMFFlag,CustomMFPeriod=4),INDEX(VolumeHourlyOver,J5,1),IF(OR(WeekDef=1,WeekDef=2,WeekDef=4,WeekDef=6,AND(WeekDef=8,CustomMFFlag,OR(CustomMFPeriod=1,CustomMFPeriod=2))),IF(VolumeMonthlyOverFlag,INDEX(VolumeMonthlyOver,AE5),Volume),0))</f>
        <v>150</v>
      </c>
      <c r="AK5" s="236">
        <f t="shared" ref="AK5:AK16" si="5">IF(AND(WeekDef=8,CustomMFFlag,CustomMFPeriod=4),INDEX(VolumeHourlyOver,K5,1),IF(OR(WeekDef=1,WeekDef=2,WeekDef=4,WeekDef=6,AND(WeekDef=8,CustomMFFlag,OR(CustomMFPeriod=1,CustomMFPeriod=2))),IF(VolumeMonthlyOverFlag,INDEX(VolumeMonthlyOver,AE5),Volume),0))</f>
        <v>150</v>
      </c>
      <c r="AL5" s="236">
        <f t="shared" ref="AL5:AL16" si="6">IF(AND(WeekDef=8,CustomMFFlag,CustomMFPeriod=4),INDEX(VolumeHourlyOver,L5,1),IF(OR(WeekDef=1,WeekDef=2,WeekDef=4,WeekDef=6,AND(WeekDef=8,CustomMFFlag,OR(CustomMFPeriod=1,CustomMFPeriod=2))),IF(VolumeMonthlyOverFlag,INDEX(VolumeMonthlyOver,AE5),Volume),0))</f>
        <v>150</v>
      </c>
      <c r="AM5" s="236">
        <f t="shared" ref="AM5:AM16" si="7">IF(AND(WeekDef=8,CustomMFFlag,CustomMFPeriod=4),INDEX(VolumeHourlyOver,M5,1),IF(OR(WeekDef=1,WeekDef=2,WeekDef=4,WeekDef=6,AND(WeekDef=8,CustomMFFlag,OR(CustomMFPeriod=1,CustomMFPeriod=2))),IF(VolumeMonthlyOverFlag,INDEX(VolumeMonthlyOver,AE5),Volume),0))</f>
        <v>150</v>
      </c>
      <c r="AN5" s="236">
        <f t="shared" ref="AN5:AN16" si="8">IF(AND(WeekDef=8,CustomMFFlag,CustomMFPeriod=4),INDEX(VolumeHourlyOver,N5,1),IF(OR(WeekDef=1,WeekDef=2,WeekDef=4,WeekDef=6,AND(WeekDef=8,CustomMFFlag,OR(CustomMFPeriod=1,CustomMFPeriod=2))),IF(VolumeMonthlyOverFlag,INDEX(VolumeMonthlyOver,AE5),Volume),0))</f>
        <v>150</v>
      </c>
      <c r="AO5" s="236">
        <f t="shared" ref="AO5:AO16" si="9">IF(AND(WeekDef=8,CustomMFFlag,CustomMFPeriod=4),INDEX(VolumeHourlyOver,O5,1),IF(OR(WeekDef=1,WeekDef=2,WeekDef=4,WeekDef=6,AND(WeekDef=8,CustomMFFlag,OR(CustomMFPeriod=1,CustomMFPeriod=2))),IF(VolumeMonthlyOverFlag,INDEX(VolumeMonthlyOver,AE5),Volume),0))</f>
        <v>150</v>
      </c>
      <c r="AP5" s="236">
        <f t="shared" ref="AP5:AP16" si="10">IF(AND(WeekDef=8,CustomMFFlag,CustomMFPeriod=4),INDEX(VolumeHourlyOver,P5,1),IF(OR(WeekDef=1,WeekDef=2,WeekDef=4,WeekDef=6,AND(WeekDef=8,CustomMFFlag,OR(CustomMFPeriod=1,CustomMFPeriod=2))),IF(VolumeMonthlyOverFlag,INDEX(VolumeMonthlyOver,AE5),Volume),0))</f>
        <v>150</v>
      </c>
      <c r="AQ5" s="236">
        <f t="shared" ref="AQ5:AQ16" si="11">IF(AND(WeekDef=8,CustomMFFlag,CustomMFPeriod=4),INDEX(VolumeHourlyOver,Q5,1),IF(OR(WeekDef=1,WeekDef=2,WeekDef=4,WeekDef=6,AND(WeekDef=8,CustomMFFlag,OR(CustomMFPeriod=1,CustomMFPeriod=2))),IF(VolumeMonthlyOverFlag,INDEX(VolumeMonthlyOver,AE5),Volume),0))</f>
        <v>150</v>
      </c>
      <c r="AR5" s="236">
        <f t="shared" ref="AR5:AR16" si="12">IF(AND(WeekDef=8,CustomMFFlag,CustomMFPeriod=4),INDEX(VolumeHourlyOver,R5,1),IF(OR(WeekDef=1,WeekDef=2,WeekDef=4,WeekDef=6,AND(WeekDef=8,CustomMFFlag,OR(CustomMFPeriod=1,CustomMFPeriod=2))),IF(VolumeMonthlyOverFlag,INDEX(VolumeMonthlyOver,AE5),Volume),0))</f>
        <v>150</v>
      </c>
      <c r="AS5" s="236">
        <f t="shared" ref="AS5:AS16" si="13">IF(AND(WeekDef=8,CustomMFFlag,CustomMFPeriod=4),INDEX(VolumeHourlyOver,S5,1),IF(OR(WeekDef=1,WeekDef=2,WeekDef=4,WeekDef=6,AND(WeekDef=8,CustomMFFlag,OR(CustomMFPeriod=1,CustomMFPeriod=2))),IF(VolumeMonthlyOverFlag,INDEX(VolumeMonthlyOver,AE5),Volume),0))</f>
        <v>150</v>
      </c>
      <c r="AT5" s="236">
        <f t="shared" ref="AT5:AT16" si="14">IF(AND(WeekDef=8,CustomMFFlag,CustomMFPeriod=4),INDEX(VolumeHourlyOver,T5,1),IF(OR(WeekDef=1,WeekDef=2,WeekDef=4,WeekDef=6,AND(WeekDef=8,CustomMFFlag,OR(CustomMFPeriod=1,CustomMFPeriod=2))),IF(VolumeMonthlyOverFlag,INDEX(VolumeMonthlyOver,AE5),Volume),0))</f>
        <v>150</v>
      </c>
      <c r="AU5" s="237">
        <f t="shared" ref="AU5:AU16" si="15">IF(AND(WeekDef=8,CustomMFFlag,CustomMFPeriod=4),INDEX(VolumeHourlyOver,U5,1),IF(OR(WeekDef=1,WeekDef=2,WeekDef=4,WeekDef=6,AND(WeekDef=8,CustomMFFlag,OR(CustomMFPeriod=1,CustomMFPeriod=2))),IF(VolumeMonthlyOverFlag,INDEX(VolumeMonthlyOver,AE5),Volume),0))</f>
        <v>150</v>
      </c>
      <c r="AV5" s="236">
        <f t="shared" ref="AV5:AV16" si="16">IF(AND(WeekDef=8,CustomMFFlag,CustomMFPeriod=4),INDEX(VolumeHourlyOver,V5,1),IF(OR(WeekDef=1,WeekDef=3,WeekDef=5,WeekDef=7,AND(WeekDef=8,CustomMFFlag,OR(CustomMFPeriod=1,CustomMFPeriod=3))),IF(VolumeMonthlyOverFlag,INDEX(VolumeMonthlyOver,AE5),Volume),0))</f>
        <v>150</v>
      </c>
      <c r="AW5" s="236">
        <f t="shared" ref="AW5:AW16" si="17">IF(AND(WeekDef=8,CustomMFFlag,CustomMFPeriod=4),INDEX(VolumeHourlyOver,W5,1),IF(OR(WeekDef=1,WeekDef=3,WeekDef=5,WeekDef=7,AND(WeekDef=8,CustomMFFlag,OR(CustomMFPeriod=1,CustomMFPeriod=3))),IF(VolumeMonthlyOverFlag,INDEX(VolumeMonthlyOver,AE5),Volume),0))</f>
        <v>150</v>
      </c>
      <c r="AX5" s="236">
        <f t="shared" ref="AX5:AX16" si="18">IF(AND(WeekDef=8,CustomMFFlag,CustomMFPeriod=4),INDEX(VolumeHourlyOver,X5,1),IF(OR(WeekDef=1,WeekDef=3,WeekDef=5,WeekDef=7,AND(WeekDef=8,CustomMFFlag,OR(CustomMFPeriod=1,CustomMFPeriod=3))),IF(VolumeMonthlyOverFlag,INDEX(VolumeMonthlyOver,AE5),Volume),0))</f>
        <v>150</v>
      </c>
      <c r="AY5" s="236">
        <f t="shared" ref="AY5:AY16" si="19">IF(AND(WeekDef=8,CustomMFFlag,CustomMFPeriod=4),INDEX(VolumeHourlyOver,Y5,1),IF(OR(WeekDef=1,WeekDef=3,WeekDef=5,WeekDef=7,AND(WeekDef=8,CustomMFFlag,OR(CustomMFPeriod=1,CustomMFPeriod=3))),IF(VolumeMonthlyOverFlag,INDEX(VolumeMonthlyOver,AE5),Volume),0))</f>
        <v>150</v>
      </c>
      <c r="AZ5" s="236">
        <f t="shared" ref="AZ5:AZ16" si="20">IF(AND(WeekDef=8,CustomMFFlag,CustomMFPeriod=4),INDEX(VolumeHourlyOver,Z5,1),IF(OR(WeekDef=1,WeekDef=3,WeekDef=5,WeekDef=7,AND(WeekDef=8,CustomMFFlag,OR(CustomMFPeriod=1,CustomMFPeriod=3))),IF(VolumeMonthlyOverFlag,INDEX(VolumeMonthlyOver,AE5),Volume),0))</f>
        <v>150</v>
      </c>
      <c r="BA5" s="236">
        <f t="shared" ref="BA5:BA16" si="21">IF(AND(WeekDef=8,CustomMFFlag,CustomMFPeriod=4),INDEX(VolumeHourlyOver,AA5,1),IF(OR(WeekDef=1,WeekDef=3,WeekDef=5,WeekDef=7,AND(WeekDef=8,CustomMFFlag,OR(CustomMFPeriod=1,CustomMFPeriod=3))),IF(VolumeMonthlyOverFlag,INDEX(VolumeMonthlyOver,AE5),Volume),0))</f>
        <v>150</v>
      </c>
      <c r="BB5" s="236">
        <f t="shared" ref="BB5:BB16" si="22">IF(AND(WeekDef=8,CustomMFFlag,CustomMFPeriod=4),INDEX(VolumeHourlyOver,AB5,1),IF(OR(WeekDef=1,WeekDef=3,WeekDef=5,WeekDef=7,AND(WeekDef=8,CustomMFFlag,OR(CustomMFPeriod=1,CustomMFPeriod=3))),IF(VolumeMonthlyOverFlag,INDEX(VolumeMonthlyOver,AE5),Volume),0))</f>
        <v>150</v>
      </c>
      <c r="BC5" s="237">
        <f t="shared" ref="BC5:BC16" si="23">IF(AND(WeekDef=8,CustomMFFlag,CustomMFPeriod=4),INDEX(VolumeHourlyOver,AC5,1),IF(OR(WeekDef=1,WeekDef=3,WeekDef=5,WeekDef=7,AND(WeekDef=8,CustomMFFlag,OR(CustomMFPeriod=1,CustomMFPeriod=3))),IF(VolumeMonthlyOverFlag,INDEX(VolumeMonthlyOver,AE5),Volume),0))</f>
        <v>150</v>
      </c>
      <c r="BD5" s="306">
        <f>SUM(AF5:AU5)</f>
        <v>2400</v>
      </c>
      <c r="BE5" s="304">
        <f>SUM(AV5:BC5)</f>
        <v>1200</v>
      </c>
      <c r="BF5" s="307">
        <f>BD5+BE5</f>
        <v>3600</v>
      </c>
      <c r="BG5" s="330">
        <f>IF(BD5,SUMPRODUCT(AF5:AU5,F21:U21)/BD5,0)</f>
        <v>0.9999999962747097</v>
      </c>
      <c r="BH5" s="330">
        <f>IF(BE5,SUMPRODUCT(AV5:BC5,V21:AC21)/BE5,0)</f>
        <v>0.9999999925494194</v>
      </c>
      <c r="BJ5" s="229">
        <v>1</v>
      </c>
      <c r="BK5" s="235">
        <f t="shared" ref="BK5:BK16" si="24">IF(AND(WeekDef=8,CustomMFFlag,CustomMFPeriod=4),INDEX(IF(DiffOptVolumeFlag,DiffOptVolumeHourlyOver,VolumeHourlyOver),F5,1),IF(OR(WeekDef=1,WeekDef=2,WeekDef=4,WeekDef=6,AND(WeekDef=8,CustomMFFlag,OR(CustomMFPeriod=1,CustomMFPeriod=2))),IF(VolumeMonthlyOverFlag,INDEX(IF(DiffOptVolumeFlag,DiffOptVolumeMonthlyOver,VolumeMonthlyOver),BJ5),IF(DiffOptVolumeFlag,DiffOptVolume,Volume)),0))</f>
        <v>600</v>
      </c>
      <c r="BL5" s="236">
        <f t="shared" ref="BL5:BL16" si="25">IF(AND(WeekDef=8,CustomMFFlag,CustomMFPeriod=4),INDEX(IF(DiffOptVolumeFlag,DiffOptVolumeHourlyOver,VolumeHourlyOver),G5,1),IF(OR(WeekDef=1,WeekDef=2,WeekDef=4,WeekDef=6,AND(WeekDef=8,CustomMFFlag,OR(CustomMFPeriod=1,CustomMFPeriod=2))),IF(VolumeMonthlyOverFlag,INDEX(IF(DiffOptVolumeFlag,DiffOptVolumeMonthlyOver,VolumeMonthlyOver),BJ5),IF(DiffOptVolumeFlag,DiffOptVolume,Volume)),0))</f>
        <v>600</v>
      </c>
      <c r="BM5" s="236">
        <f t="shared" ref="BM5:BM16" si="26">IF(AND(WeekDef=8,CustomMFFlag,CustomMFPeriod=4),INDEX(IF(DiffOptVolumeFlag,DiffOptVolumeHourlyOver,VolumeHourlyOver),H5,1),IF(OR(WeekDef=1,WeekDef=2,WeekDef=4,WeekDef=6,AND(WeekDef=8,CustomMFFlag,OR(CustomMFPeriod=1,CustomMFPeriod=2))),IF(VolumeMonthlyOverFlag,INDEX(IF(DiffOptVolumeFlag,DiffOptVolumeMonthlyOver,VolumeMonthlyOver),BJ5),IF(DiffOptVolumeFlag,DiffOptVolume,Volume)),0))</f>
        <v>600</v>
      </c>
      <c r="BN5" s="236">
        <f t="shared" ref="BN5:BN16" si="27">IF(AND(WeekDef=8,CustomMFFlag,CustomMFPeriod=4),INDEX(IF(DiffOptVolumeFlag,DiffOptVolumeHourlyOver,VolumeHourlyOver),I5,1),IF(OR(WeekDef=1,WeekDef=2,WeekDef=4,WeekDef=6,AND(WeekDef=8,CustomMFFlag,OR(CustomMFPeriod=1,CustomMFPeriod=2))),IF(VolumeMonthlyOverFlag,INDEX(IF(DiffOptVolumeFlag,DiffOptVolumeMonthlyOver,VolumeMonthlyOver),BJ5),IF(DiffOptVolumeFlag,DiffOptVolume,Volume)),0))</f>
        <v>600</v>
      </c>
      <c r="BO5" s="236">
        <f t="shared" ref="BO5:BO16" si="28">IF(AND(WeekDef=8,CustomMFFlag,CustomMFPeriod=4),INDEX(IF(DiffOptVolumeFlag,DiffOptVolumeHourlyOver,VolumeHourlyOver),J5,1),IF(OR(WeekDef=1,WeekDef=2,WeekDef=4,WeekDef=6,AND(WeekDef=8,CustomMFFlag,OR(CustomMFPeriod=1,CustomMFPeriod=2))),IF(VolumeMonthlyOverFlag,INDEX(IF(DiffOptVolumeFlag,DiffOptVolumeMonthlyOver,VolumeMonthlyOver),BJ5),IF(DiffOptVolumeFlag,DiffOptVolume,Volume)),0))</f>
        <v>600</v>
      </c>
      <c r="BP5" s="236">
        <f t="shared" ref="BP5:BP16" si="29">IF(AND(WeekDef=8,CustomMFFlag,CustomMFPeriod=4),INDEX(IF(DiffOptVolumeFlag,DiffOptVolumeHourlyOver,VolumeHourlyOver),K5,1),IF(OR(WeekDef=1,WeekDef=2,WeekDef=4,WeekDef=6,AND(WeekDef=8,CustomMFFlag,OR(CustomMFPeriod=1,CustomMFPeriod=2))),IF(VolumeMonthlyOverFlag,INDEX(IF(DiffOptVolumeFlag,DiffOptVolumeMonthlyOver,VolumeMonthlyOver),BJ5),IF(DiffOptVolumeFlag,DiffOptVolume,Volume)),0))</f>
        <v>600</v>
      </c>
      <c r="BQ5" s="236">
        <f t="shared" ref="BQ5:BQ16" si="30">IF(AND(WeekDef=8,CustomMFFlag,CustomMFPeriod=4),INDEX(IF(DiffOptVolumeFlag,DiffOptVolumeHourlyOver,VolumeHourlyOver),L5,1),IF(OR(WeekDef=1,WeekDef=2,WeekDef=4,WeekDef=6,AND(WeekDef=8,CustomMFFlag,OR(CustomMFPeriod=1,CustomMFPeriod=2))),IF(VolumeMonthlyOverFlag,INDEX(IF(DiffOptVolumeFlag,DiffOptVolumeMonthlyOver,VolumeMonthlyOver),BJ5),IF(DiffOptVolumeFlag,DiffOptVolume,Volume)),0))</f>
        <v>600</v>
      </c>
      <c r="BR5" s="236">
        <f t="shared" ref="BR5:BR16" si="31">IF(AND(WeekDef=8,CustomMFFlag,CustomMFPeriod=4),INDEX(IF(DiffOptVolumeFlag,DiffOptVolumeHourlyOver,VolumeHourlyOver),M5,1),IF(OR(WeekDef=1,WeekDef=2,WeekDef=4,WeekDef=6,AND(WeekDef=8,CustomMFFlag,OR(CustomMFPeriod=1,CustomMFPeriod=2))),IF(VolumeMonthlyOverFlag,INDEX(IF(DiffOptVolumeFlag,DiffOptVolumeMonthlyOver,VolumeMonthlyOver),BJ5),IF(DiffOptVolumeFlag,DiffOptVolume,Volume)),0))</f>
        <v>600</v>
      </c>
      <c r="BS5" s="236">
        <f t="shared" ref="BS5:BS16" si="32">IF(AND(WeekDef=8,CustomMFFlag,CustomMFPeriod=4),INDEX(IF(DiffOptVolumeFlag,DiffOptVolumeHourlyOver,VolumeHourlyOver),N5,1),IF(OR(WeekDef=1,WeekDef=2,WeekDef=4,WeekDef=6,AND(WeekDef=8,CustomMFFlag,OR(CustomMFPeriod=1,CustomMFPeriod=2))),IF(VolumeMonthlyOverFlag,INDEX(IF(DiffOptVolumeFlag,DiffOptVolumeMonthlyOver,VolumeMonthlyOver),BJ5),IF(DiffOptVolumeFlag,DiffOptVolume,Volume)),0))</f>
        <v>600</v>
      </c>
      <c r="BT5" s="236">
        <f t="shared" ref="BT5:BT16" si="33">IF(AND(WeekDef=8,CustomMFFlag,CustomMFPeriod=4),INDEX(IF(DiffOptVolumeFlag,DiffOptVolumeHourlyOver,VolumeHourlyOver),O5,1),IF(OR(WeekDef=1,WeekDef=2,WeekDef=4,WeekDef=6,AND(WeekDef=8,CustomMFFlag,OR(CustomMFPeriod=1,CustomMFPeriod=2))),IF(VolumeMonthlyOverFlag,INDEX(IF(DiffOptVolumeFlag,DiffOptVolumeMonthlyOver,VolumeMonthlyOver),BJ5),IF(DiffOptVolumeFlag,DiffOptVolume,Volume)),0))</f>
        <v>600</v>
      </c>
      <c r="BU5" s="236">
        <f t="shared" ref="BU5:BU16" si="34">IF(AND(WeekDef=8,CustomMFFlag,CustomMFPeriod=4),INDEX(IF(DiffOptVolumeFlag,DiffOptVolumeHourlyOver,VolumeHourlyOver),P5,1),IF(OR(WeekDef=1,WeekDef=2,WeekDef=4,WeekDef=6,AND(WeekDef=8,CustomMFFlag,OR(CustomMFPeriod=1,CustomMFPeriod=2))),IF(VolumeMonthlyOverFlag,INDEX(IF(DiffOptVolumeFlag,DiffOptVolumeMonthlyOver,VolumeMonthlyOver),BJ5),IF(DiffOptVolumeFlag,DiffOptVolume,Volume)),0))</f>
        <v>600</v>
      </c>
      <c r="BV5" s="236">
        <f t="shared" ref="BV5:BV16" si="35">IF(AND(WeekDef=8,CustomMFFlag,CustomMFPeriod=4),INDEX(IF(DiffOptVolumeFlag,DiffOptVolumeHourlyOver,VolumeHourlyOver),Q5,1),IF(OR(WeekDef=1,WeekDef=2,WeekDef=4,WeekDef=6,AND(WeekDef=8,CustomMFFlag,OR(CustomMFPeriod=1,CustomMFPeriod=2))),IF(VolumeMonthlyOverFlag,INDEX(IF(DiffOptVolumeFlag,DiffOptVolumeMonthlyOver,VolumeMonthlyOver),BJ5),IF(DiffOptVolumeFlag,DiffOptVolume,Volume)),0))</f>
        <v>600</v>
      </c>
      <c r="BW5" s="236">
        <f t="shared" ref="BW5:BW16" si="36">IF(AND(WeekDef=8,CustomMFFlag,CustomMFPeriod=4),INDEX(IF(DiffOptVolumeFlag,DiffOptVolumeHourlyOver,VolumeHourlyOver),R5,1),IF(OR(WeekDef=1,WeekDef=2,WeekDef=4,WeekDef=6,AND(WeekDef=8,CustomMFFlag,OR(CustomMFPeriod=1,CustomMFPeriod=2))),IF(VolumeMonthlyOverFlag,INDEX(IF(DiffOptVolumeFlag,DiffOptVolumeMonthlyOver,VolumeMonthlyOver),BJ5),IF(DiffOptVolumeFlag,DiffOptVolume,Volume)),0))</f>
        <v>600</v>
      </c>
      <c r="BX5" s="236">
        <f t="shared" ref="BX5:BX16" si="37">IF(AND(WeekDef=8,CustomMFFlag,CustomMFPeriod=4),INDEX(IF(DiffOptVolumeFlag,DiffOptVolumeHourlyOver,VolumeHourlyOver),S5,1),IF(OR(WeekDef=1,WeekDef=2,WeekDef=4,WeekDef=6,AND(WeekDef=8,CustomMFFlag,OR(CustomMFPeriod=1,CustomMFPeriod=2))),IF(VolumeMonthlyOverFlag,INDEX(IF(DiffOptVolumeFlag,DiffOptVolumeMonthlyOver,VolumeMonthlyOver),BJ5),IF(DiffOptVolumeFlag,DiffOptVolume,Volume)),0))</f>
        <v>600</v>
      </c>
      <c r="BY5" s="236">
        <f t="shared" ref="BY5:BY16" si="38">IF(AND(WeekDef=8,CustomMFFlag,CustomMFPeriod=4),INDEX(IF(DiffOptVolumeFlag,DiffOptVolumeHourlyOver,VolumeHourlyOver),T5,1),IF(OR(WeekDef=1,WeekDef=2,WeekDef=4,WeekDef=6,AND(WeekDef=8,CustomMFFlag,OR(CustomMFPeriod=1,CustomMFPeriod=2))),IF(VolumeMonthlyOverFlag,INDEX(IF(DiffOptVolumeFlag,DiffOptVolumeMonthlyOver,VolumeMonthlyOver),BJ5),IF(DiffOptVolumeFlag,DiffOptVolume,Volume)),0))</f>
        <v>600</v>
      </c>
      <c r="BZ5" s="237">
        <f t="shared" ref="BZ5:BZ16" si="39">IF(AND(WeekDef=8,CustomMFFlag,CustomMFPeriod=4),INDEX(IF(DiffOptVolumeFlag,DiffOptVolumeHourlyOver,VolumeHourlyOver),U5,1),IF(OR(WeekDef=1,WeekDef=2,WeekDef=4,WeekDef=6,AND(WeekDef=8,CustomMFFlag,OR(CustomMFPeriod=1,CustomMFPeriod=2))),IF(VolumeMonthlyOverFlag,INDEX(IF(DiffOptVolumeFlag,DiffOptVolumeMonthlyOver,VolumeMonthlyOver),BJ5),IF(DiffOptVolumeFlag,DiffOptVolume,Volume)),0))</f>
        <v>600</v>
      </c>
      <c r="CA5" s="236">
        <f t="shared" ref="CA5:CA16" si="40">IF(AND(WeekDef=8,CustomMFFlag,CustomMFPeriod=4),INDEX(IF(DiffOptVolumeFlag,DiffOptVolumeHourlyOver,VolumeHourlyOver),V5,1),IF(OR(WeekDef=1,WeekDef=3,WeekDef=5,WeekDef=7,AND(WeekDef=8,CustomMFFlag,OR(CustomMFPeriod=1,CustomMFPeriod=3))),IF(VolumeMonthlyOverFlag,INDEX(IF(DiffOptVolumeFlag,DiffOptVolumeMonthlyOver,VolumeMonthlyOver),BJ5),IF(DiffOptVolumeFlag,DiffOptVolume,Volume)),0))</f>
        <v>600</v>
      </c>
      <c r="CB5" s="236">
        <f t="shared" ref="CB5:CB16" si="41">IF(AND(WeekDef=8,CustomMFFlag,CustomMFPeriod=4),INDEX(IF(DiffOptVolumeFlag,DiffOptVolumeHourlyOver,VolumeHourlyOver),W5,1),IF(OR(WeekDef=1,WeekDef=3,WeekDef=5,WeekDef=7,AND(WeekDef=8,CustomMFFlag,OR(CustomMFPeriod=1,CustomMFPeriod=3))),IF(VolumeMonthlyOverFlag,INDEX(IF(DiffOptVolumeFlag,DiffOptVolumeMonthlyOver,VolumeMonthlyOver),BJ5),IF(DiffOptVolumeFlag,DiffOptVolume,Volume)),0))</f>
        <v>600</v>
      </c>
      <c r="CC5" s="236">
        <f t="shared" ref="CC5:CC16" si="42">IF(AND(WeekDef=8,CustomMFFlag,CustomMFPeriod=4),INDEX(IF(DiffOptVolumeFlag,DiffOptVolumeHourlyOver,VolumeHourlyOver),X5,1),IF(OR(WeekDef=1,WeekDef=3,WeekDef=5,WeekDef=7,AND(WeekDef=8,CustomMFFlag,OR(CustomMFPeriod=1,CustomMFPeriod=3))),IF(VolumeMonthlyOverFlag,INDEX(IF(DiffOptVolumeFlag,DiffOptVolumeMonthlyOver,VolumeMonthlyOver),BJ5),IF(DiffOptVolumeFlag,DiffOptVolume,Volume)),0))</f>
        <v>600</v>
      </c>
      <c r="CD5" s="236">
        <f t="shared" ref="CD5:CD16" si="43">IF(AND(WeekDef=8,CustomMFFlag,CustomMFPeriod=4),INDEX(IF(DiffOptVolumeFlag,DiffOptVolumeHourlyOver,VolumeHourlyOver),Y5,1),IF(OR(WeekDef=1,WeekDef=3,WeekDef=5,WeekDef=7,AND(WeekDef=8,CustomMFFlag,OR(CustomMFPeriod=1,CustomMFPeriod=3))),IF(VolumeMonthlyOverFlag,INDEX(IF(DiffOptVolumeFlag,DiffOptVolumeMonthlyOver,VolumeMonthlyOver),BJ5),IF(DiffOptVolumeFlag,DiffOptVolume,Volume)),0))</f>
        <v>600</v>
      </c>
      <c r="CE5" s="236">
        <f t="shared" ref="CE5:CE16" si="44">IF(AND(WeekDef=8,CustomMFFlag,CustomMFPeriod=4),INDEX(IF(DiffOptVolumeFlag,DiffOptVolumeHourlyOver,VolumeHourlyOver),Z5,1),IF(OR(WeekDef=1,WeekDef=3,WeekDef=5,WeekDef=7,AND(WeekDef=8,CustomMFFlag,OR(CustomMFPeriod=1,CustomMFPeriod=3))),IF(VolumeMonthlyOverFlag,INDEX(IF(DiffOptVolumeFlag,DiffOptVolumeMonthlyOver,VolumeMonthlyOver),BJ5),IF(DiffOptVolumeFlag,DiffOptVolume,Volume)),0))</f>
        <v>600</v>
      </c>
      <c r="CF5" s="236">
        <f t="shared" ref="CF5:CF16" si="45">IF(AND(WeekDef=8,CustomMFFlag,CustomMFPeriod=4),INDEX(IF(DiffOptVolumeFlag,DiffOptVolumeHourlyOver,VolumeHourlyOver),AA5,1),IF(OR(WeekDef=1,WeekDef=3,WeekDef=5,WeekDef=7,AND(WeekDef=8,CustomMFFlag,OR(CustomMFPeriod=1,CustomMFPeriod=3))),IF(VolumeMonthlyOverFlag,INDEX(IF(DiffOptVolumeFlag,DiffOptVolumeMonthlyOver,VolumeMonthlyOver),BJ5),IF(DiffOptVolumeFlag,DiffOptVolume,Volume)),0))</f>
        <v>600</v>
      </c>
      <c r="CG5" s="236">
        <f t="shared" ref="CG5:CG16" si="46">IF(AND(WeekDef=8,CustomMFFlag,CustomMFPeriod=4),INDEX(IF(DiffOptVolumeFlag,DiffOptVolumeHourlyOver,VolumeHourlyOver),AB5,1),IF(OR(WeekDef=1,WeekDef=3,WeekDef=5,WeekDef=7,AND(WeekDef=8,CustomMFFlag,OR(CustomMFPeriod=1,CustomMFPeriod=3))),IF(VolumeMonthlyOverFlag,INDEX(IF(DiffOptVolumeFlag,DiffOptVolumeMonthlyOver,VolumeMonthlyOver),BJ5),IF(DiffOptVolumeFlag,DiffOptVolume,Volume)),0))</f>
        <v>600</v>
      </c>
      <c r="CH5" s="237">
        <f t="shared" ref="CH5:CH16" si="47">IF(AND(WeekDef=8,CustomMFFlag,CustomMFPeriod=4),INDEX(IF(DiffOptVolumeFlag,DiffOptVolumeHourlyOver,VolumeHourlyOver),AC5,1),IF(OR(WeekDef=1,WeekDef=3,WeekDef=5,WeekDef=7,AND(WeekDef=8,CustomMFFlag,OR(CustomMFPeriod=1,CustomMFPeriod=3))),IF(VolumeMonthlyOverFlag,INDEX(IF(DiffOptVolumeFlag,DiffOptVolumeMonthlyOver,VolumeMonthlyOver),BJ5),IF(DiffOptVolumeFlag,DiffOptVolume,Volume)),0))</f>
        <v>600</v>
      </c>
      <c r="CI5" s="306">
        <f>SUM(BK5:BZ5)</f>
        <v>9600</v>
      </c>
      <c r="CJ5" s="304">
        <f>SUM(CA5:CH5)</f>
        <v>4800</v>
      </c>
      <c r="CK5" s="307">
        <f>CI5+CJ5</f>
        <v>14400</v>
      </c>
      <c r="CL5" s="330">
        <f>IF(CI5,SUMPRODUCT(BK5:BZ5,F21:U21)/CI5,0)</f>
        <v>0.9999999962747097</v>
      </c>
      <c r="CM5" s="330">
        <f>IF(CJ5,SUMPRODUCT(CA5:CH5,V21:AC21)/CJ5,0)</f>
        <v>0.9999999925494194</v>
      </c>
      <c r="CO5" s="317">
        <v>1</v>
      </c>
      <c r="CP5" s="452">
        <f>MAX(AF5:BC5,AF19:BC19,AF33:BC33,AF47:BC47)</f>
        <v>150</v>
      </c>
      <c r="CQ5" s="318">
        <f t="shared" ref="CQ5:CQ16" si="48">MAX(BK5:CH5,BK19:CH19,BK33:CH33,BK47:CH47)</f>
        <v>600</v>
      </c>
      <c r="DE5" s="113"/>
    </row>
    <row r="6" spans="3:109">
      <c r="E6" s="229">
        <v>2</v>
      </c>
      <c r="F6" s="232">
        <v>19</v>
      </c>
      <c r="G6" s="233">
        <v>18</v>
      </c>
      <c r="H6" s="233">
        <v>20</v>
      </c>
      <c r="I6" s="233">
        <v>10</v>
      </c>
      <c r="J6" s="233">
        <v>9</v>
      </c>
      <c r="K6" s="233">
        <v>8</v>
      </c>
      <c r="L6" s="233">
        <v>11</v>
      </c>
      <c r="M6" s="233">
        <v>21</v>
      </c>
      <c r="N6" s="233">
        <v>12</v>
      </c>
      <c r="O6" s="233">
        <v>7</v>
      </c>
      <c r="P6" s="233">
        <v>17</v>
      </c>
      <c r="Q6" s="233">
        <v>13</v>
      </c>
      <c r="R6" s="233">
        <v>16</v>
      </c>
      <c r="S6" s="233">
        <v>15</v>
      </c>
      <c r="T6" s="233">
        <v>14</v>
      </c>
      <c r="U6" s="234">
        <v>22</v>
      </c>
      <c r="V6" s="233">
        <v>23</v>
      </c>
      <c r="W6" s="233">
        <v>6</v>
      </c>
      <c r="X6" s="233">
        <v>24</v>
      </c>
      <c r="Y6" s="233">
        <v>5</v>
      </c>
      <c r="Z6" s="233">
        <v>1</v>
      </c>
      <c r="AA6" s="233">
        <v>4</v>
      </c>
      <c r="AB6" s="233">
        <v>2</v>
      </c>
      <c r="AC6" s="234">
        <v>3</v>
      </c>
      <c r="AD6" s="164"/>
      <c r="AE6" s="229">
        <v>2</v>
      </c>
      <c r="AF6" s="232">
        <f t="shared" si="0"/>
        <v>150</v>
      </c>
      <c r="AG6" s="233">
        <f t="shared" si="1"/>
        <v>150</v>
      </c>
      <c r="AH6" s="233">
        <f t="shared" si="2"/>
        <v>150</v>
      </c>
      <c r="AI6" s="233">
        <f t="shared" si="3"/>
        <v>150</v>
      </c>
      <c r="AJ6" s="233">
        <f t="shared" si="4"/>
        <v>150</v>
      </c>
      <c r="AK6" s="233">
        <f t="shared" si="5"/>
        <v>150</v>
      </c>
      <c r="AL6" s="233">
        <f t="shared" si="6"/>
        <v>150</v>
      </c>
      <c r="AM6" s="233">
        <f t="shared" si="7"/>
        <v>150</v>
      </c>
      <c r="AN6" s="233">
        <f t="shared" si="8"/>
        <v>150</v>
      </c>
      <c r="AO6" s="233">
        <f t="shared" si="9"/>
        <v>150</v>
      </c>
      <c r="AP6" s="233">
        <f t="shared" si="10"/>
        <v>150</v>
      </c>
      <c r="AQ6" s="233">
        <f t="shared" si="11"/>
        <v>150</v>
      </c>
      <c r="AR6" s="233">
        <f t="shared" si="12"/>
        <v>150</v>
      </c>
      <c r="AS6" s="233">
        <f t="shared" si="13"/>
        <v>150</v>
      </c>
      <c r="AT6" s="233">
        <f t="shared" si="14"/>
        <v>150</v>
      </c>
      <c r="AU6" s="234">
        <f t="shared" si="15"/>
        <v>150</v>
      </c>
      <c r="AV6" s="233">
        <f t="shared" si="16"/>
        <v>150</v>
      </c>
      <c r="AW6" s="233">
        <f t="shared" si="17"/>
        <v>150</v>
      </c>
      <c r="AX6" s="233">
        <f t="shared" si="18"/>
        <v>150</v>
      </c>
      <c r="AY6" s="233">
        <f t="shared" si="19"/>
        <v>150</v>
      </c>
      <c r="AZ6" s="233">
        <f t="shared" si="20"/>
        <v>150</v>
      </c>
      <c r="BA6" s="233">
        <f t="shared" si="21"/>
        <v>150</v>
      </c>
      <c r="BB6" s="233">
        <f t="shared" si="22"/>
        <v>150</v>
      </c>
      <c r="BC6" s="234">
        <f t="shared" si="23"/>
        <v>150</v>
      </c>
      <c r="BD6" s="306">
        <f t="shared" ref="BD6:BD16" si="49">SUM(AF6:AU6)</f>
        <v>2400</v>
      </c>
      <c r="BE6" s="304">
        <f t="shared" ref="BE6:BE16" si="50">SUM(AV6:BC6)</f>
        <v>1200</v>
      </c>
      <c r="BF6" s="307">
        <f t="shared" ref="BF6:BF16" si="51">BD6+BE6</f>
        <v>3600</v>
      </c>
      <c r="BG6" s="330">
        <f t="shared" ref="BG6:BG16" si="52">IF(BD6,SUMPRODUCT(AF6:AU6,F22:U22)/BD6,0)</f>
        <v>1</v>
      </c>
      <c r="BH6" s="330">
        <f t="shared" ref="BH6:BH16" si="53">IF(BE6,SUMPRODUCT(AV6:BC6,V22:AC22)/BE6,0)</f>
        <v>0.9999999925494194</v>
      </c>
      <c r="BJ6" s="229">
        <v>2</v>
      </c>
      <c r="BK6" s="232">
        <f t="shared" si="24"/>
        <v>600</v>
      </c>
      <c r="BL6" s="233">
        <f t="shared" si="25"/>
        <v>600</v>
      </c>
      <c r="BM6" s="233">
        <f t="shared" si="26"/>
        <v>600</v>
      </c>
      <c r="BN6" s="233">
        <f t="shared" si="27"/>
        <v>600</v>
      </c>
      <c r="BO6" s="233">
        <f t="shared" si="28"/>
        <v>600</v>
      </c>
      <c r="BP6" s="233">
        <f t="shared" si="29"/>
        <v>600</v>
      </c>
      <c r="BQ6" s="233">
        <f t="shared" si="30"/>
        <v>600</v>
      </c>
      <c r="BR6" s="233">
        <f t="shared" si="31"/>
        <v>600</v>
      </c>
      <c r="BS6" s="233">
        <f t="shared" si="32"/>
        <v>600</v>
      </c>
      <c r="BT6" s="233">
        <f t="shared" si="33"/>
        <v>600</v>
      </c>
      <c r="BU6" s="233">
        <f t="shared" si="34"/>
        <v>600</v>
      </c>
      <c r="BV6" s="233">
        <f t="shared" si="35"/>
        <v>600</v>
      </c>
      <c r="BW6" s="233">
        <f t="shared" si="36"/>
        <v>600</v>
      </c>
      <c r="BX6" s="233">
        <f t="shared" si="37"/>
        <v>600</v>
      </c>
      <c r="BY6" s="233">
        <f t="shared" si="38"/>
        <v>600</v>
      </c>
      <c r="BZ6" s="234">
        <f t="shared" si="39"/>
        <v>600</v>
      </c>
      <c r="CA6" s="233">
        <f t="shared" si="40"/>
        <v>600</v>
      </c>
      <c r="CB6" s="233">
        <f t="shared" si="41"/>
        <v>600</v>
      </c>
      <c r="CC6" s="233">
        <f t="shared" si="42"/>
        <v>600</v>
      </c>
      <c r="CD6" s="233">
        <f t="shared" si="43"/>
        <v>600</v>
      </c>
      <c r="CE6" s="233">
        <f t="shared" si="44"/>
        <v>600</v>
      </c>
      <c r="CF6" s="233">
        <f t="shared" si="45"/>
        <v>600</v>
      </c>
      <c r="CG6" s="233">
        <f t="shared" si="46"/>
        <v>600</v>
      </c>
      <c r="CH6" s="234">
        <f t="shared" si="47"/>
        <v>600</v>
      </c>
      <c r="CI6" s="306">
        <f t="shared" ref="CI6:CI16" si="54">SUM(BK6:BZ6)</f>
        <v>9600</v>
      </c>
      <c r="CJ6" s="304">
        <f t="shared" ref="CJ6:CJ16" si="55">SUM(CA6:CH6)</f>
        <v>4800</v>
      </c>
      <c r="CK6" s="307">
        <f t="shared" ref="CK6:CK16" si="56">CI6+CJ6</f>
        <v>14400</v>
      </c>
      <c r="CL6" s="330">
        <f t="shared" ref="CL6:CL16" si="57">IF(CI6,SUMPRODUCT(BK6:BZ6,F22:U22)/CI6,0)</f>
        <v>1</v>
      </c>
      <c r="CM6" s="330">
        <f t="shared" ref="CM6:CM16" si="58">IF(CJ6,SUMPRODUCT(CA6:CH6,V22:AC22)/CJ6,0)</f>
        <v>0.9999999925494194</v>
      </c>
      <c r="CO6" s="232">
        <v>2</v>
      </c>
      <c r="CP6" s="451">
        <f t="shared" ref="CP6:CP16" si="59">MAX(AF6:BC6,AF20:BC20,AF34:BC34,AF48:BC48)</f>
        <v>150</v>
      </c>
      <c r="CQ6" s="319">
        <f t="shared" si="48"/>
        <v>600</v>
      </c>
      <c r="DE6" s="113"/>
    </row>
    <row r="7" spans="3:109">
      <c r="E7" s="229">
        <v>3</v>
      </c>
      <c r="F7" s="232">
        <v>19</v>
      </c>
      <c r="G7" s="233">
        <v>20</v>
      </c>
      <c r="H7" s="233">
        <v>11</v>
      </c>
      <c r="I7" s="233">
        <v>10</v>
      </c>
      <c r="J7" s="233">
        <v>12</v>
      </c>
      <c r="K7" s="233">
        <v>9</v>
      </c>
      <c r="L7" s="233">
        <v>13</v>
      </c>
      <c r="M7" s="233">
        <v>18</v>
      </c>
      <c r="N7" s="233">
        <v>21</v>
      </c>
      <c r="O7" s="233">
        <v>8</v>
      </c>
      <c r="P7" s="233">
        <v>14</v>
      </c>
      <c r="Q7" s="233">
        <v>15</v>
      </c>
      <c r="R7" s="233">
        <v>17</v>
      </c>
      <c r="S7" s="233">
        <v>16</v>
      </c>
      <c r="T7" s="233">
        <v>7</v>
      </c>
      <c r="U7" s="234">
        <v>22</v>
      </c>
      <c r="V7" s="233">
        <v>23</v>
      </c>
      <c r="W7" s="233">
        <v>6</v>
      </c>
      <c r="X7" s="233">
        <v>24</v>
      </c>
      <c r="Y7" s="233">
        <v>5</v>
      </c>
      <c r="Z7" s="233">
        <v>1</v>
      </c>
      <c r="AA7" s="233">
        <v>4</v>
      </c>
      <c r="AB7" s="233">
        <v>2</v>
      </c>
      <c r="AC7" s="234">
        <v>3</v>
      </c>
      <c r="AD7" s="164"/>
      <c r="AE7" s="229">
        <v>3</v>
      </c>
      <c r="AF7" s="232">
        <f t="shared" si="0"/>
        <v>150</v>
      </c>
      <c r="AG7" s="233">
        <f t="shared" si="1"/>
        <v>150</v>
      </c>
      <c r="AH7" s="233">
        <f t="shared" si="2"/>
        <v>150</v>
      </c>
      <c r="AI7" s="233">
        <f t="shared" si="3"/>
        <v>150</v>
      </c>
      <c r="AJ7" s="233">
        <f t="shared" si="4"/>
        <v>150</v>
      </c>
      <c r="AK7" s="233">
        <f t="shared" si="5"/>
        <v>150</v>
      </c>
      <c r="AL7" s="233">
        <f t="shared" si="6"/>
        <v>150</v>
      </c>
      <c r="AM7" s="233">
        <f t="shared" si="7"/>
        <v>150</v>
      </c>
      <c r="AN7" s="233">
        <f t="shared" si="8"/>
        <v>150</v>
      </c>
      <c r="AO7" s="233">
        <f t="shared" si="9"/>
        <v>150</v>
      </c>
      <c r="AP7" s="233">
        <f t="shared" si="10"/>
        <v>150</v>
      </c>
      <c r="AQ7" s="233">
        <f t="shared" si="11"/>
        <v>150</v>
      </c>
      <c r="AR7" s="233">
        <f t="shared" si="12"/>
        <v>150</v>
      </c>
      <c r="AS7" s="233">
        <f t="shared" si="13"/>
        <v>150</v>
      </c>
      <c r="AT7" s="233">
        <f t="shared" si="14"/>
        <v>150</v>
      </c>
      <c r="AU7" s="234">
        <f t="shared" si="15"/>
        <v>150</v>
      </c>
      <c r="AV7" s="233">
        <f t="shared" si="16"/>
        <v>150</v>
      </c>
      <c r="AW7" s="233">
        <f t="shared" si="17"/>
        <v>150</v>
      </c>
      <c r="AX7" s="233">
        <f t="shared" si="18"/>
        <v>150</v>
      </c>
      <c r="AY7" s="233">
        <f t="shared" si="19"/>
        <v>150</v>
      </c>
      <c r="AZ7" s="233">
        <f t="shared" si="20"/>
        <v>150</v>
      </c>
      <c r="BA7" s="233">
        <f t="shared" si="21"/>
        <v>150</v>
      </c>
      <c r="BB7" s="233">
        <f t="shared" si="22"/>
        <v>150</v>
      </c>
      <c r="BC7" s="234">
        <f t="shared" si="23"/>
        <v>150</v>
      </c>
      <c r="BD7" s="306">
        <f t="shared" si="49"/>
        <v>2400</v>
      </c>
      <c r="BE7" s="304">
        <f t="shared" si="50"/>
        <v>1200</v>
      </c>
      <c r="BF7" s="307">
        <f t="shared" si="51"/>
        <v>3600</v>
      </c>
      <c r="BG7" s="330">
        <f t="shared" si="52"/>
        <v>0.9999999962747097</v>
      </c>
      <c r="BH7" s="330">
        <f t="shared" si="53"/>
        <v>1.0000000074505806</v>
      </c>
      <c r="BJ7" s="229">
        <v>3</v>
      </c>
      <c r="BK7" s="232">
        <f t="shared" si="24"/>
        <v>600</v>
      </c>
      <c r="BL7" s="233">
        <f t="shared" si="25"/>
        <v>600</v>
      </c>
      <c r="BM7" s="233">
        <f t="shared" si="26"/>
        <v>600</v>
      </c>
      <c r="BN7" s="233">
        <f t="shared" si="27"/>
        <v>600</v>
      </c>
      <c r="BO7" s="233">
        <f t="shared" si="28"/>
        <v>600</v>
      </c>
      <c r="BP7" s="233">
        <f t="shared" si="29"/>
        <v>600</v>
      </c>
      <c r="BQ7" s="233">
        <f t="shared" si="30"/>
        <v>600</v>
      </c>
      <c r="BR7" s="233">
        <f t="shared" si="31"/>
        <v>600</v>
      </c>
      <c r="BS7" s="233">
        <f t="shared" si="32"/>
        <v>600</v>
      </c>
      <c r="BT7" s="233">
        <f t="shared" si="33"/>
        <v>600</v>
      </c>
      <c r="BU7" s="233">
        <f t="shared" si="34"/>
        <v>600</v>
      </c>
      <c r="BV7" s="233">
        <f t="shared" si="35"/>
        <v>600</v>
      </c>
      <c r="BW7" s="233">
        <f t="shared" si="36"/>
        <v>600</v>
      </c>
      <c r="BX7" s="233">
        <f t="shared" si="37"/>
        <v>600</v>
      </c>
      <c r="BY7" s="233">
        <f t="shared" si="38"/>
        <v>600</v>
      </c>
      <c r="BZ7" s="234">
        <f t="shared" si="39"/>
        <v>600</v>
      </c>
      <c r="CA7" s="233">
        <f t="shared" si="40"/>
        <v>600</v>
      </c>
      <c r="CB7" s="233">
        <f t="shared" si="41"/>
        <v>600</v>
      </c>
      <c r="CC7" s="233">
        <f t="shared" si="42"/>
        <v>600</v>
      </c>
      <c r="CD7" s="233">
        <f t="shared" si="43"/>
        <v>600</v>
      </c>
      <c r="CE7" s="233">
        <f t="shared" si="44"/>
        <v>600</v>
      </c>
      <c r="CF7" s="233">
        <f t="shared" si="45"/>
        <v>600</v>
      </c>
      <c r="CG7" s="233">
        <f t="shared" si="46"/>
        <v>600</v>
      </c>
      <c r="CH7" s="234">
        <f t="shared" si="47"/>
        <v>600</v>
      </c>
      <c r="CI7" s="306">
        <f t="shared" si="54"/>
        <v>9600</v>
      </c>
      <c r="CJ7" s="304">
        <f t="shared" si="55"/>
        <v>4800</v>
      </c>
      <c r="CK7" s="307">
        <f t="shared" si="56"/>
        <v>14400</v>
      </c>
      <c r="CL7" s="330">
        <f t="shared" si="57"/>
        <v>0.9999999962747097</v>
      </c>
      <c r="CM7" s="330">
        <f t="shared" si="58"/>
        <v>1.0000000074505806</v>
      </c>
      <c r="CO7" s="232">
        <v>3</v>
      </c>
      <c r="CP7" s="451">
        <f t="shared" si="59"/>
        <v>150</v>
      </c>
      <c r="CQ7" s="319">
        <f t="shared" si="48"/>
        <v>600</v>
      </c>
      <c r="DE7" s="113"/>
    </row>
    <row r="8" spans="3:109">
      <c r="E8" s="229">
        <v>4</v>
      </c>
      <c r="F8" s="232">
        <v>11</v>
      </c>
      <c r="G8" s="233">
        <v>10</v>
      </c>
      <c r="H8" s="233">
        <v>20</v>
      </c>
      <c r="I8" s="233">
        <v>12</v>
      </c>
      <c r="J8" s="233">
        <v>21</v>
      </c>
      <c r="K8" s="233">
        <v>9</v>
      </c>
      <c r="L8" s="233">
        <v>13</v>
      </c>
      <c r="M8" s="233">
        <v>19</v>
      </c>
      <c r="N8" s="233">
        <v>14</v>
      </c>
      <c r="O8" s="233">
        <v>15</v>
      </c>
      <c r="P8" s="233">
        <v>8</v>
      </c>
      <c r="Q8" s="233">
        <v>16</v>
      </c>
      <c r="R8" s="233">
        <v>18</v>
      </c>
      <c r="S8" s="233">
        <v>22</v>
      </c>
      <c r="T8" s="233">
        <v>17</v>
      </c>
      <c r="U8" s="234">
        <v>7</v>
      </c>
      <c r="V8" s="233">
        <v>23</v>
      </c>
      <c r="W8" s="233">
        <v>6</v>
      </c>
      <c r="X8" s="233">
        <v>24</v>
      </c>
      <c r="Y8" s="233">
        <v>1</v>
      </c>
      <c r="Z8" s="233">
        <v>5</v>
      </c>
      <c r="AA8" s="233">
        <v>2</v>
      </c>
      <c r="AB8" s="233">
        <v>4</v>
      </c>
      <c r="AC8" s="234">
        <v>3</v>
      </c>
      <c r="AD8" s="164"/>
      <c r="AE8" s="229">
        <v>4</v>
      </c>
      <c r="AF8" s="232">
        <f t="shared" si="0"/>
        <v>150</v>
      </c>
      <c r="AG8" s="233">
        <f t="shared" si="1"/>
        <v>150</v>
      </c>
      <c r="AH8" s="233">
        <f t="shared" si="2"/>
        <v>150</v>
      </c>
      <c r="AI8" s="233">
        <f t="shared" si="3"/>
        <v>150</v>
      </c>
      <c r="AJ8" s="233">
        <f t="shared" si="4"/>
        <v>150</v>
      </c>
      <c r="AK8" s="233">
        <f t="shared" si="5"/>
        <v>150</v>
      </c>
      <c r="AL8" s="233">
        <f t="shared" si="6"/>
        <v>150</v>
      </c>
      <c r="AM8" s="233">
        <f t="shared" si="7"/>
        <v>150</v>
      </c>
      <c r="AN8" s="233">
        <f t="shared" si="8"/>
        <v>150</v>
      </c>
      <c r="AO8" s="233">
        <f t="shared" si="9"/>
        <v>150</v>
      </c>
      <c r="AP8" s="233">
        <f t="shared" si="10"/>
        <v>150</v>
      </c>
      <c r="AQ8" s="233">
        <f t="shared" si="11"/>
        <v>150</v>
      </c>
      <c r="AR8" s="233">
        <f t="shared" si="12"/>
        <v>150</v>
      </c>
      <c r="AS8" s="233">
        <f t="shared" si="13"/>
        <v>150</v>
      </c>
      <c r="AT8" s="233">
        <f t="shared" si="14"/>
        <v>150</v>
      </c>
      <c r="AU8" s="234">
        <f t="shared" si="15"/>
        <v>150</v>
      </c>
      <c r="AV8" s="233">
        <f t="shared" si="16"/>
        <v>150</v>
      </c>
      <c r="AW8" s="233">
        <f t="shared" si="17"/>
        <v>150</v>
      </c>
      <c r="AX8" s="233">
        <f t="shared" si="18"/>
        <v>150</v>
      </c>
      <c r="AY8" s="233">
        <f t="shared" si="19"/>
        <v>150</v>
      </c>
      <c r="AZ8" s="233">
        <f t="shared" si="20"/>
        <v>150</v>
      </c>
      <c r="BA8" s="233">
        <f t="shared" si="21"/>
        <v>150</v>
      </c>
      <c r="BB8" s="233">
        <f t="shared" si="22"/>
        <v>150</v>
      </c>
      <c r="BC8" s="234">
        <f t="shared" si="23"/>
        <v>150</v>
      </c>
      <c r="BD8" s="306">
        <f t="shared" si="49"/>
        <v>2400</v>
      </c>
      <c r="BE8" s="304">
        <f t="shared" si="50"/>
        <v>1200</v>
      </c>
      <c r="BF8" s="307">
        <f t="shared" si="51"/>
        <v>3600</v>
      </c>
      <c r="BG8" s="330">
        <f t="shared" si="52"/>
        <v>1</v>
      </c>
      <c r="BH8" s="330">
        <f t="shared" si="53"/>
        <v>1.0000000074505806</v>
      </c>
      <c r="BJ8" s="229">
        <v>4</v>
      </c>
      <c r="BK8" s="232">
        <f t="shared" si="24"/>
        <v>600</v>
      </c>
      <c r="BL8" s="233">
        <f t="shared" si="25"/>
        <v>600</v>
      </c>
      <c r="BM8" s="233">
        <f t="shared" si="26"/>
        <v>600</v>
      </c>
      <c r="BN8" s="233">
        <f t="shared" si="27"/>
        <v>600</v>
      </c>
      <c r="BO8" s="233">
        <f t="shared" si="28"/>
        <v>600</v>
      </c>
      <c r="BP8" s="233">
        <f t="shared" si="29"/>
        <v>600</v>
      </c>
      <c r="BQ8" s="233">
        <f t="shared" si="30"/>
        <v>600</v>
      </c>
      <c r="BR8" s="233">
        <f t="shared" si="31"/>
        <v>600</v>
      </c>
      <c r="BS8" s="233">
        <f t="shared" si="32"/>
        <v>600</v>
      </c>
      <c r="BT8" s="233">
        <f t="shared" si="33"/>
        <v>600</v>
      </c>
      <c r="BU8" s="233">
        <f t="shared" si="34"/>
        <v>600</v>
      </c>
      <c r="BV8" s="233">
        <f t="shared" si="35"/>
        <v>600</v>
      </c>
      <c r="BW8" s="233">
        <f t="shared" si="36"/>
        <v>600</v>
      </c>
      <c r="BX8" s="233">
        <f t="shared" si="37"/>
        <v>600</v>
      </c>
      <c r="BY8" s="233">
        <f t="shared" si="38"/>
        <v>600</v>
      </c>
      <c r="BZ8" s="234">
        <f t="shared" si="39"/>
        <v>600</v>
      </c>
      <c r="CA8" s="233">
        <f t="shared" si="40"/>
        <v>600</v>
      </c>
      <c r="CB8" s="233">
        <f t="shared" si="41"/>
        <v>600</v>
      </c>
      <c r="CC8" s="233">
        <f t="shared" si="42"/>
        <v>600</v>
      </c>
      <c r="CD8" s="233">
        <f t="shared" si="43"/>
        <v>600</v>
      </c>
      <c r="CE8" s="233">
        <f t="shared" si="44"/>
        <v>600</v>
      </c>
      <c r="CF8" s="233">
        <f t="shared" si="45"/>
        <v>600</v>
      </c>
      <c r="CG8" s="233">
        <f t="shared" si="46"/>
        <v>600</v>
      </c>
      <c r="CH8" s="234">
        <f t="shared" si="47"/>
        <v>600</v>
      </c>
      <c r="CI8" s="306">
        <f t="shared" si="54"/>
        <v>9600</v>
      </c>
      <c r="CJ8" s="304">
        <f t="shared" si="55"/>
        <v>4800</v>
      </c>
      <c r="CK8" s="307">
        <f t="shared" si="56"/>
        <v>14400</v>
      </c>
      <c r="CL8" s="330">
        <f t="shared" si="57"/>
        <v>1</v>
      </c>
      <c r="CM8" s="330">
        <f t="shared" si="58"/>
        <v>1.0000000074505806</v>
      </c>
      <c r="CO8" s="232">
        <v>4</v>
      </c>
      <c r="CP8" s="451">
        <f t="shared" si="59"/>
        <v>150</v>
      </c>
      <c r="CQ8" s="319">
        <f t="shared" si="48"/>
        <v>600</v>
      </c>
      <c r="DE8" s="113"/>
    </row>
    <row r="9" spans="3:109">
      <c r="E9" s="229">
        <v>5</v>
      </c>
      <c r="F9" s="232">
        <v>11</v>
      </c>
      <c r="G9" s="233">
        <v>21</v>
      </c>
      <c r="H9" s="233">
        <v>12</v>
      </c>
      <c r="I9" s="233">
        <v>10</v>
      </c>
      <c r="J9" s="233">
        <v>13</v>
      </c>
      <c r="K9" s="233">
        <v>14</v>
      </c>
      <c r="L9" s="233">
        <v>20</v>
      </c>
      <c r="M9" s="233">
        <v>15</v>
      </c>
      <c r="N9" s="233">
        <v>16</v>
      </c>
      <c r="O9" s="233">
        <v>17</v>
      </c>
      <c r="P9" s="233">
        <v>9</v>
      </c>
      <c r="Q9" s="233">
        <v>18</v>
      </c>
      <c r="R9" s="233">
        <v>19</v>
      </c>
      <c r="S9" s="233">
        <v>22</v>
      </c>
      <c r="T9" s="233">
        <v>8</v>
      </c>
      <c r="U9" s="234">
        <v>7</v>
      </c>
      <c r="V9" s="233">
        <v>23</v>
      </c>
      <c r="W9" s="233">
        <v>24</v>
      </c>
      <c r="X9" s="233">
        <v>6</v>
      </c>
      <c r="Y9" s="233">
        <v>1</v>
      </c>
      <c r="Z9" s="233">
        <v>5</v>
      </c>
      <c r="AA9" s="233">
        <v>2</v>
      </c>
      <c r="AB9" s="233">
        <v>3</v>
      </c>
      <c r="AC9" s="234">
        <v>4</v>
      </c>
      <c r="AD9" s="164"/>
      <c r="AE9" s="229">
        <v>5</v>
      </c>
      <c r="AF9" s="232">
        <f t="shared" si="0"/>
        <v>150</v>
      </c>
      <c r="AG9" s="233">
        <f t="shared" si="1"/>
        <v>150</v>
      </c>
      <c r="AH9" s="233">
        <f t="shared" si="2"/>
        <v>150</v>
      </c>
      <c r="AI9" s="233">
        <f t="shared" si="3"/>
        <v>150</v>
      </c>
      <c r="AJ9" s="233">
        <f t="shared" si="4"/>
        <v>150</v>
      </c>
      <c r="AK9" s="233">
        <f t="shared" si="5"/>
        <v>150</v>
      </c>
      <c r="AL9" s="233">
        <f t="shared" si="6"/>
        <v>150</v>
      </c>
      <c r="AM9" s="233">
        <f t="shared" si="7"/>
        <v>150</v>
      </c>
      <c r="AN9" s="233">
        <f t="shared" si="8"/>
        <v>150</v>
      </c>
      <c r="AO9" s="233">
        <f t="shared" si="9"/>
        <v>150</v>
      </c>
      <c r="AP9" s="233">
        <f t="shared" si="10"/>
        <v>150</v>
      </c>
      <c r="AQ9" s="233">
        <f t="shared" si="11"/>
        <v>150</v>
      </c>
      <c r="AR9" s="233">
        <f t="shared" si="12"/>
        <v>150</v>
      </c>
      <c r="AS9" s="233">
        <f t="shared" si="13"/>
        <v>150</v>
      </c>
      <c r="AT9" s="233">
        <f t="shared" si="14"/>
        <v>150</v>
      </c>
      <c r="AU9" s="234">
        <f t="shared" si="15"/>
        <v>150</v>
      </c>
      <c r="AV9" s="233">
        <f t="shared" si="16"/>
        <v>150</v>
      </c>
      <c r="AW9" s="233">
        <f t="shared" si="17"/>
        <v>150</v>
      </c>
      <c r="AX9" s="233">
        <f t="shared" si="18"/>
        <v>150</v>
      </c>
      <c r="AY9" s="233">
        <f t="shared" si="19"/>
        <v>150</v>
      </c>
      <c r="AZ9" s="233">
        <f t="shared" si="20"/>
        <v>150</v>
      </c>
      <c r="BA9" s="233">
        <f t="shared" si="21"/>
        <v>150</v>
      </c>
      <c r="BB9" s="233">
        <f t="shared" si="22"/>
        <v>150</v>
      </c>
      <c r="BC9" s="234">
        <f t="shared" si="23"/>
        <v>150</v>
      </c>
      <c r="BD9" s="306">
        <f t="shared" si="49"/>
        <v>2400</v>
      </c>
      <c r="BE9" s="304">
        <f t="shared" si="50"/>
        <v>1200</v>
      </c>
      <c r="BF9" s="307">
        <f t="shared" si="51"/>
        <v>3600</v>
      </c>
      <c r="BG9" s="330">
        <f t="shared" si="52"/>
        <v>1</v>
      </c>
      <c r="BH9" s="330">
        <f t="shared" si="53"/>
        <v>1</v>
      </c>
      <c r="BJ9" s="229">
        <v>5</v>
      </c>
      <c r="BK9" s="232">
        <f t="shared" si="24"/>
        <v>600</v>
      </c>
      <c r="BL9" s="233">
        <f t="shared" si="25"/>
        <v>600</v>
      </c>
      <c r="BM9" s="233">
        <f t="shared" si="26"/>
        <v>600</v>
      </c>
      <c r="BN9" s="233">
        <f t="shared" si="27"/>
        <v>600</v>
      </c>
      <c r="BO9" s="233">
        <f t="shared" si="28"/>
        <v>600</v>
      </c>
      <c r="BP9" s="233">
        <f t="shared" si="29"/>
        <v>600</v>
      </c>
      <c r="BQ9" s="233">
        <f t="shared" si="30"/>
        <v>600</v>
      </c>
      <c r="BR9" s="233">
        <f t="shared" si="31"/>
        <v>600</v>
      </c>
      <c r="BS9" s="233">
        <f t="shared" si="32"/>
        <v>600</v>
      </c>
      <c r="BT9" s="233">
        <f t="shared" si="33"/>
        <v>600</v>
      </c>
      <c r="BU9" s="233">
        <f t="shared" si="34"/>
        <v>600</v>
      </c>
      <c r="BV9" s="233">
        <f t="shared" si="35"/>
        <v>600</v>
      </c>
      <c r="BW9" s="233">
        <f t="shared" si="36"/>
        <v>600</v>
      </c>
      <c r="BX9" s="233">
        <f t="shared" si="37"/>
        <v>600</v>
      </c>
      <c r="BY9" s="233">
        <f t="shared" si="38"/>
        <v>600</v>
      </c>
      <c r="BZ9" s="234">
        <f t="shared" si="39"/>
        <v>600</v>
      </c>
      <c r="CA9" s="233">
        <f t="shared" si="40"/>
        <v>600</v>
      </c>
      <c r="CB9" s="233">
        <f t="shared" si="41"/>
        <v>600</v>
      </c>
      <c r="CC9" s="233">
        <f t="shared" si="42"/>
        <v>600</v>
      </c>
      <c r="CD9" s="233">
        <f t="shared" si="43"/>
        <v>600</v>
      </c>
      <c r="CE9" s="233">
        <f t="shared" si="44"/>
        <v>600</v>
      </c>
      <c r="CF9" s="233">
        <f t="shared" si="45"/>
        <v>600</v>
      </c>
      <c r="CG9" s="233">
        <f t="shared" si="46"/>
        <v>600</v>
      </c>
      <c r="CH9" s="234">
        <f t="shared" si="47"/>
        <v>600</v>
      </c>
      <c r="CI9" s="306">
        <f t="shared" si="54"/>
        <v>9600</v>
      </c>
      <c r="CJ9" s="304">
        <f t="shared" si="55"/>
        <v>4800</v>
      </c>
      <c r="CK9" s="307">
        <f t="shared" si="56"/>
        <v>14400</v>
      </c>
      <c r="CL9" s="330">
        <f t="shared" si="57"/>
        <v>1</v>
      </c>
      <c r="CM9" s="330">
        <f t="shared" si="58"/>
        <v>1</v>
      </c>
      <c r="CO9" s="232">
        <v>5</v>
      </c>
      <c r="CP9" s="451">
        <f t="shared" si="59"/>
        <v>150</v>
      </c>
      <c r="CQ9" s="319">
        <f t="shared" si="48"/>
        <v>600</v>
      </c>
      <c r="DE9" s="113"/>
    </row>
    <row r="10" spans="3:109">
      <c r="E10" s="229">
        <v>6</v>
      </c>
      <c r="F10" s="232">
        <v>16</v>
      </c>
      <c r="G10" s="233">
        <v>15</v>
      </c>
      <c r="H10" s="233">
        <v>14</v>
      </c>
      <c r="I10" s="233">
        <v>17</v>
      </c>
      <c r="J10" s="233">
        <v>13</v>
      </c>
      <c r="K10" s="233">
        <v>12</v>
      </c>
      <c r="L10" s="233">
        <v>11</v>
      </c>
      <c r="M10" s="233">
        <v>18</v>
      </c>
      <c r="N10" s="233">
        <v>21</v>
      </c>
      <c r="O10" s="233">
        <v>19</v>
      </c>
      <c r="P10" s="233">
        <v>10</v>
      </c>
      <c r="Q10" s="233">
        <v>20</v>
      </c>
      <c r="R10" s="233">
        <v>22</v>
      </c>
      <c r="S10" s="233">
        <v>9</v>
      </c>
      <c r="T10" s="233">
        <v>8</v>
      </c>
      <c r="U10" s="234">
        <v>7</v>
      </c>
      <c r="V10" s="233">
        <v>23</v>
      </c>
      <c r="W10" s="233">
        <v>24</v>
      </c>
      <c r="X10" s="233">
        <v>6</v>
      </c>
      <c r="Y10" s="233">
        <v>1</v>
      </c>
      <c r="Z10" s="233">
        <v>2</v>
      </c>
      <c r="AA10" s="233">
        <v>5</v>
      </c>
      <c r="AB10" s="233">
        <v>3</v>
      </c>
      <c r="AC10" s="234">
        <v>4</v>
      </c>
      <c r="AD10" s="164"/>
      <c r="AE10" s="229">
        <v>6</v>
      </c>
      <c r="AF10" s="232">
        <f t="shared" si="0"/>
        <v>150</v>
      </c>
      <c r="AG10" s="233">
        <f t="shared" si="1"/>
        <v>150</v>
      </c>
      <c r="AH10" s="233">
        <f t="shared" si="2"/>
        <v>150</v>
      </c>
      <c r="AI10" s="233">
        <f t="shared" si="3"/>
        <v>150</v>
      </c>
      <c r="AJ10" s="233">
        <f t="shared" si="4"/>
        <v>150</v>
      </c>
      <c r="AK10" s="233">
        <f t="shared" si="5"/>
        <v>150</v>
      </c>
      <c r="AL10" s="233">
        <f t="shared" si="6"/>
        <v>150</v>
      </c>
      <c r="AM10" s="233">
        <f t="shared" si="7"/>
        <v>150</v>
      </c>
      <c r="AN10" s="233">
        <f t="shared" si="8"/>
        <v>150</v>
      </c>
      <c r="AO10" s="233">
        <f t="shared" si="9"/>
        <v>150</v>
      </c>
      <c r="AP10" s="233">
        <f t="shared" si="10"/>
        <v>150</v>
      </c>
      <c r="AQ10" s="233">
        <f t="shared" si="11"/>
        <v>150</v>
      </c>
      <c r="AR10" s="233">
        <f t="shared" si="12"/>
        <v>150</v>
      </c>
      <c r="AS10" s="233">
        <f t="shared" si="13"/>
        <v>150</v>
      </c>
      <c r="AT10" s="233">
        <f t="shared" si="14"/>
        <v>150</v>
      </c>
      <c r="AU10" s="234">
        <f t="shared" si="15"/>
        <v>150</v>
      </c>
      <c r="AV10" s="233">
        <f t="shared" si="16"/>
        <v>150</v>
      </c>
      <c r="AW10" s="233">
        <f t="shared" si="17"/>
        <v>150</v>
      </c>
      <c r="AX10" s="233">
        <f t="shared" si="18"/>
        <v>150</v>
      </c>
      <c r="AY10" s="233">
        <f t="shared" si="19"/>
        <v>150</v>
      </c>
      <c r="AZ10" s="233">
        <f t="shared" si="20"/>
        <v>150</v>
      </c>
      <c r="BA10" s="233">
        <f t="shared" si="21"/>
        <v>150</v>
      </c>
      <c r="BB10" s="233">
        <f t="shared" si="22"/>
        <v>150</v>
      </c>
      <c r="BC10" s="234">
        <f t="shared" si="23"/>
        <v>150</v>
      </c>
      <c r="BD10" s="306">
        <f t="shared" si="49"/>
        <v>2400</v>
      </c>
      <c r="BE10" s="304">
        <f t="shared" si="50"/>
        <v>1200</v>
      </c>
      <c r="BF10" s="307">
        <f t="shared" si="51"/>
        <v>3600</v>
      </c>
      <c r="BG10" s="330">
        <f t="shared" si="52"/>
        <v>1.0000000074505806</v>
      </c>
      <c r="BH10" s="330">
        <f t="shared" si="53"/>
        <v>1.0000000074505806</v>
      </c>
      <c r="BJ10" s="229">
        <v>6</v>
      </c>
      <c r="BK10" s="232">
        <f t="shared" si="24"/>
        <v>600</v>
      </c>
      <c r="BL10" s="233">
        <f t="shared" si="25"/>
        <v>600</v>
      </c>
      <c r="BM10" s="233">
        <f t="shared" si="26"/>
        <v>600</v>
      </c>
      <c r="BN10" s="233">
        <f t="shared" si="27"/>
        <v>600</v>
      </c>
      <c r="BO10" s="233">
        <f t="shared" si="28"/>
        <v>600</v>
      </c>
      <c r="BP10" s="233">
        <f t="shared" si="29"/>
        <v>600</v>
      </c>
      <c r="BQ10" s="233">
        <f t="shared" si="30"/>
        <v>600</v>
      </c>
      <c r="BR10" s="233">
        <f t="shared" si="31"/>
        <v>600</v>
      </c>
      <c r="BS10" s="233">
        <f t="shared" si="32"/>
        <v>600</v>
      </c>
      <c r="BT10" s="233">
        <f t="shared" si="33"/>
        <v>600</v>
      </c>
      <c r="BU10" s="233">
        <f t="shared" si="34"/>
        <v>600</v>
      </c>
      <c r="BV10" s="233">
        <f t="shared" si="35"/>
        <v>600</v>
      </c>
      <c r="BW10" s="233">
        <f t="shared" si="36"/>
        <v>600</v>
      </c>
      <c r="BX10" s="233">
        <f t="shared" si="37"/>
        <v>600</v>
      </c>
      <c r="BY10" s="233">
        <f t="shared" si="38"/>
        <v>600</v>
      </c>
      <c r="BZ10" s="234">
        <f t="shared" si="39"/>
        <v>600</v>
      </c>
      <c r="CA10" s="233">
        <f t="shared" si="40"/>
        <v>600</v>
      </c>
      <c r="CB10" s="233">
        <f t="shared" si="41"/>
        <v>600</v>
      </c>
      <c r="CC10" s="233">
        <f t="shared" si="42"/>
        <v>600</v>
      </c>
      <c r="CD10" s="233">
        <f t="shared" si="43"/>
        <v>600</v>
      </c>
      <c r="CE10" s="233">
        <f t="shared" si="44"/>
        <v>600</v>
      </c>
      <c r="CF10" s="233">
        <f t="shared" si="45"/>
        <v>600</v>
      </c>
      <c r="CG10" s="233">
        <f t="shared" si="46"/>
        <v>600</v>
      </c>
      <c r="CH10" s="234">
        <f t="shared" si="47"/>
        <v>600</v>
      </c>
      <c r="CI10" s="306">
        <f t="shared" si="54"/>
        <v>9600</v>
      </c>
      <c r="CJ10" s="304">
        <f t="shared" si="55"/>
        <v>4800</v>
      </c>
      <c r="CK10" s="307">
        <f t="shared" si="56"/>
        <v>14400</v>
      </c>
      <c r="CL10" s="330">
        <f t="shared" si="57"/>
        <v>1.0000000074505806</v>
      </c>
      <c r="CM10" s="330">
        <f t="shared" si="58"/>
        <v>1.0000000074505806</v>
      </c>
      <c r="CO10" s="232">
        <v>6</v>
      </c>
      <c r="CP10" s="451">
        <f t="shared" si="59"/>
        <v>150</v>
      </c>
      <c r="CQ10" s="319">
        <f t="shared" si="48"/>
        <v>600</v>
      </c>
      <c r="DE10" s="113"/>
    </row>
    <row r="11" spans="3:109">
      <c r="E11" s="229">
        <v>7</v>
      </c>
      <c r="F11" s="232">
        <v>16</v>
      </c>
      <c r="G11" s="233">
        <v>17</v>
      </c>
      <c r="H11" s="233">
        <v>15</v>
      </c>
      <c r="I11" s="233">
        <v>18</v>
      </c>
      <c r="J11" s="233">
        <v>14</v>
      </c>
      <c r="K11" s="233">
        <v>13</v>
      </c>
      <c r="L11" s="233">
        <v>19</v>
      </c>
      <c r="M11" s="233">
        <v>20</v>
      </c>
      <c r="N11" s="233">
        <v>21</v>
      </c>
      <c r="O11" s="233">
        <v>12</v>
      </c>
      <c r="P11" s="233">
        <v>11</v>
      </c>
      <c r="Q11" s="233">
        <v>10</v>
      </c>
      <c r="R11" s="233">
        <v>22</v>
      </c>
      <c r="S11" s="233">
        <v>9</v>
      </c>
      <c r="T11" s="233">
        <v>8</v>
      </c>
      <c r="U11" s="234">
        <v>7</v>
      </c>
      <c r="V11" s="233">
        <v>23</v>
      </c>
      <c r="W11" s="233">
        <v>24</v>
      </c>
      <c r="X11" s="233">
        <v>1</v>
      </c>
      <c r="Y11" s="233">
        <v>6</v>
      </c>
      <c r="Z11" s="233">
        <v>2</v>
      </c>
      <c r="AA11" s="233">
        <v>5</v>
      </c>
      <c r="AB11" s="233">
        <v>4</v>
      </c>
      <c r="AC11" s="234">
        <v>3</v>
      </c>
      <c r="AD11" s="164"/>
      <c r="AE11" s="229">
        <v>7</v>
      </c>
      <c r="AF11" s="232">
        <f t="shared" si="0"/>
        <v>150</v>
      </c>
      <c r="AG11" s="233">
        <f t="shared" si="1"/>
        <v>150</v>
      </c>
      <c r="AH11" s="233">
        <f t="shared" si="2"/>
        <v>150</v>
      </c>
      <c r="AI11" s="233">
        <f t="shared" si="3"/>
        <v>150</v>
      </c>
      <c r="AJ11" s="233">
        <f t="shared" si="4"/>
        <v>150</v>
      </c>
      <c r="AK11" s="233">
        <f t="shared" si="5"/>
        <v>150</v>
      </c>
      <c r="AL11" s="233">
        <f t="shared" si="6"/>
        <v>150</v>
      </c>
      <c r="AM11" s="233">
        <f t="shared" si="7"/>
        <v>150</v>
      </c>
      <c r="AN11" s="233">
        <f t="shared" si="8"/>
        <v>150</v>
      </c>
      <c r="AO11" s="233">
        <f t="shared" si="9"/>
        <v>150</v>
      </c>
      <c r="AP11" s="233">
        <f t="shared" si="10"/>
        <v>150</v>
      </c>
      <c r="AQ11" s="233">
        <f t="shared" si="11"/>
        <v>150</v>
      </c>
      <c r="AR11" s="233">
        <f t="shared" si="12"/>
        <v>150</v>
      </c>
      <c r="AS11" s="233">
        <f t="shared" si="13"/>
        <v>150</v>
      </c>
      <c r="AT11" s="233">
        <f t="shared" si="14"/>
        <v>150</v>
      </c>
      <c r="AU11" s="234">
        <f t="shared" si="15"/>
        <v>150</v>
      </c>
      <c r="AV11" s="233">
        <f t="shared" si="16"/>
        <v>150</v>
      </c>
      <c r="AW11" s="233">
        <f t="shared" si="17"/>
        <v>150</v>
      </c>
      <c r="AX11" s="233">
        <f t="shared" si="18"/>
        <v>150</v>
      </c>
      <c r="AY11" s="233">
        <f t="shared" si="19"/>
        <v>150</v>
      </c>
      <c r="AZ11" s="233">
        <f t="shared" si="20"/>
        <v>150</v>
      </c>
      <c r="BA11" s="233">
        <f t="shared" si="21"/>
        <v>150</v>
      </c>
      <c r="BB11" s="233">
        <f t="shared" si="22"/>
        <v>150</v>
      </c>
      <c r="BC11" s="234">
        <f t="shared" si="23"/>
        <v>150</v>
      </c>
      <c r="BD11" s="306">
        <f t="shared" si="49"/>
        <v>2400</v>
      </c>
      <c r="BE11" s="304">
        <f t="shared" si="50"/>
        <v>1200</v>
      </c>
      <c r="BF11" s="307">
        <f t="shared" si="51"/>
        <v>3600</v>
      </c>
      <c r="BG11" s="330">
        <f t="shared" si="52"/>
        <v>1.0000000037252903</v>
      </c>
      <c r="BH11" s="330">
        <f t="shared" si="53"/>
        <v>0.99999998509883881</v>
      </c>
      <c r="BJ11" s="229">
        <v>7</v>
      </c>
      <c r="BK11" s="232">
        <f t="shared" si="24"/>
        <v>600</v>
      </c>
      <c r="BL11" s="233">
        <f t="shared" si="25"/>
        <v>600</v>
      </c>
      <c r="BM11" s="233">
        <f t="shared" si="26"/>
        <v>600</v>
      </c>
      <c r="BN11" s="233">
        <f t="shared" si="27"/>
        <v>600</v>
      </c>
      <c r="BO11" s="233">
        <f t="shared" si="28"/>
        <v>600</v>
      </c>
      <c r="BP11" s="233">
        <f t="shared" si="29"/>
        <v>600</v>
      </c>
      <c r="BQ11" s="233">
        <f t="shared" si="30"/>
        <v>600</v>
      </c>
      <c r="BR11" s="233">
        <f t="shared" si="31"/>
        <v>600</v>
      </c>
      <c r="BS11" s="233">
        <f t="shared" si="32"/>
        <v>600</v>
      </c>
      <c r="BT11" s="233">
        <f t="shared" si="33"/>
        <v>600</v>
      </c>
      <c r="BU11" s="233">
        <f t="shared" si="34"/>
        <v>600</v>
      </c>
      <c r="BV11" s="233">
        <f t="shared" si="35"/>
        <v>600</v>
      </c>
      <c r="BW11" s="233">
        <f t="shared" si="36"/>
        <v>600</v>
      </c>
      <c r="BX11" s="233">
        <f t="shared" si="37"/>
        <v>600</v>
      </c>
      <c r="BY11" s="233">
        <f t="shared" si="38"/>
        <v>600</v>
      </c>
      <c r="BZ11" s="234">
        <f t="shared" si="39"/>
        <v>600</v>
      </c>
      <c r="CA11" s="233">
        <f t="shared" si="40"/>
        <v>600</v>
      </c>
      <c r="CB11" s="233">
        <f t="shared" si="41"/>
        <v>600</v>
      </c>
      <c r="CC11" s="233">
        <f t="shared" si="42"/>
        <v>600</v>
      </c>
      <c r="CD11" s="233">
        <f t="shared" si="43"/>
        <v>600</v>
      </c>
      <c r="CE11" s="233">
        <f t="shared" si="44"/>
        <v>600</v>
      </c>
      <c r="CF11" s="233">
        <f t="shared" si="45"/>
        <v>600</v>
      </c>
      <c r="CG11" s="233">
        <f t="shared" si="46"/>
        <v>600</v>
      </c>
      <c r="CH11" s="234">
        <f t="shared" si="47"/>
        <v>600</v>
      </c>
      <c r="CI11" s="306">
        <f t="shared" si="54"/>
        <v>9600</v>
      </c>
      <c r="CJ11" s="304">
        <f t="shared" si="55"/>
        <v>4800</v>
      </c>
      <c r="CK11" s="307">
        <f t="shared" si="56"/>
        <v>14400</v>
      </c>
      <c r="CL11" s="330">
        <f t="shared" si="57"/>
        <v>1.0000000037252903</v>
      </c>
      <c r="CM11" s="330">
        <f t="shared" si="58"/>
        <v>0.99999998509883881</v>
      </c>
      <c r="CO11" s="232">
        <v>7</v>
      </c>
      <c r="CP11" s="451">
        <f t="shared" si="59"/>
        <v>150</v>
      </c>
      <c r="CQ11" s="319">
        <f t="shared" si="48"/>
        <v>600</v>
      </c>
      <c r="DE11" s="113"/>
    </row>
    <row r="12" spans="3:109">
      <c r="E12" s="229">
        <v>8</v>
      </c>
      <c r="F12" s="232">
        <v>16</v>
      </c>
      <c r="G12" s="233">
        <v>17</v>
      </c>
      <c r="H12" s="233">
        <v>15</v>
      </c>
      <c r="I12" s="233">
        <v>18</v>
      </c>
      <c r="J12" s="233">
        <v>14</v>
      </c>
      <c r="K12" s="233">
        <v>13</v>
      </c>
      <c r="L12" s="233">
        <v>19</v>
      </c>
      <c r="M12" s="233">
        <v>12</v>
      </c>
      <c r="N12" s="233">
        <v>20</v>
      </c>
      <c r="O12" s="233">
        <v>21</v>
      </c>
      <c r="P12" s="233">
        <v>11</v>
      </c>
      <c r="Q12" s="233">
        <v>10</v>
      </c>
      <c r="R12" s="233">
        <v>22</v>
      </c>
      <c r="S12" s="233">
        <v>9</v>
      </c>
      <c r="T12" s="233">
        <v>8</v>
      </c>
      <c r="U12" s="234">
        <v>7</v>
      </c>
      <c r="V12" s="233">
        <v>23</v>
      </c>
      <c r="W12" s="233">
        <v>24</v>
      </c>
      <c r="X12" s="233">
        <v>6</v>
      </c>
      <c r="Y12" s="233">
        <v>1</v>
      </c>
      <c r="Z12" s="233">
        <v>5</v>
      </c>
      <c r="AA12" s="233">
        <v>2</v>
      </c>
      <c r="AB12" s="233">
        <v>3</v>
      </c>
      <c r="AC12" s="234">
        <v>4</v>
      </c>
      <c r="AD12" s="164"/>
      <c r="AE12" s="229">
        <v>8</v>
      </c>
      <c r="AF12" s="232">
        <f t="shared" si="0"/>
        <v>150</v>
      </c>
      <c r="AG12" s="233">
        <f t="shared" si="1"/>
        <v>150</v>
      </c>
      <c r="AH12" s="233">
        <f t="shared" si="2"/>
        <v>150</v>
      </c>
      <c r="AI12" s="233">
        <f t="shared" si="3"/>
        <v>150</v>
      </c>
      <c r="AJ12" s="233">
        <f t="shared" si="4"/>
        <v>150</v>
      </c>
      <c r="AK12" s="233">
        <f t="shared" si="5"/>
        <v>150</v>
      </c>
      <c r="AL12" s="233">
        <f t="shared" si="6"/>
        <v>150</v>
      </c>
      <c r="AM12" s="233">
        <f t="shared" si="7"/>
        <v>150</v>
      </c>
      <c r="AN12" s="233">
        <f t="shared" si="8"/>
        <v>150</v>
      </c>
      <c r="AO12" s="233">
        <f t="shared" si="9"/>
        <v>150</v>
      </c>
      <c r="AP12" s="233">
        <f t="shared" si="10"/>
        <v>150</v>
      </c>
      <c r="AQ12" s="233">
        <f t="shared" si="11"/>
        <v>150</v>
      </c>
      <c r="AR12" s="233">
        <f t="shared" si="12"/>
        <v>150</v>
      </c>
      <c r="AS12" s="233">
        <f t="shared" si="13"/>
        <v>150</v>
      </c>
      <c r="AT12" s="233">
        <f t="shared" si="14"/>
        <v>150</v>
      </c>
      <c r="AU12" s="234">
        <f t="shared" si="15"/>
        <v>150</v>
      </c>
      <c r="AV12" s="233">
        <f t="shared" si="16"/>
        <v>150</v>
      </c>
      <c r="AW12" s="233">
        <f t="shared" si="17"/>
        <v>150</v>
      </c>
      <c r="AX12" s="233">
        <f t="shared" si="18"/>
        <v>150</v>
      </c>
      <c r="AY12" s="233">
        <f t="shared" si="19"/>
        <v>150</v>
      </c>
      <c r="AZ12" s="233">
        <f t="shared" si="20"/>
        <v>150</v>
      </c>
      <c r="BA12" s="233">
        <f t="shared" si="21"/>
        <v>150</v>
      </c>
      <c r="BB12" s="233">
        <f t="shared" si="22"/>
        <v>150</v>
      </c>
      <c r="BC12" s="234">
        <f t="shared" si="23"/>
        <v>150</v>
      </c>
      <c r="BD12" s="306">
        <f t="shared" si="49"/>
        <v>2400</v>
      </c>
      <c r="BE12" s="304">
        <f t="shared" si="50"/>
        <v>1200</v>
      </c>
      <c r="BF12" s="307">
        <f t="shared" si="51"/>
        <v>3600</v>
      </c>
      <c r="BG12" s="330">
        <f t="shared" si="52"/>
        <v>0.9999999888241291</v>
      </c>
      <c r="BH12" s="330">
        <f t="shared" si="53"/>
        <v>1.0000000074505806</v>
      </c>
      <c r="BJ12" s="229">
        <v>8</v>
      </c>
      <c r="BK12" s="232">
        <f t="shared" si="24"/>
        <v>600</v>
      </c>
      <c r="BL12" s="233">
        <f t="shared" si="25"/>
        <v>600</v>
      </c>
      <c r="BM12" s="233">
        <f t="shared" si="26"/>
        <v>600</v>
      </c>
      <c r="BN12" s="233">
        <f t="shared" si="27"/>
        <v>600</v>
      </c>
      <c r="BO12" s="233">
        <f t="shared" si="28"/>
        <v>600</v>
      </c>
      <c r="BP12" s="233">
        <f t="shared" si="29"/>
        <v>600</v>
      </c>
      <c r="BQ12" s="233">
        <f t="shared" si="30"/>
        <v>600</v>
      </c>
      <c r="BR12" s="233">
        <f t="shared" si="31"/>
        <v>600</v>
      </c>
      <c r="BS12" s="233">
        <f t="shared" si="32"/>
        <v>600</v>
      </c>
      <c r="BT12" s="233">
        <f t="shared" si="33"/>
        <v>600</v>
      </c>
      <c r="BU12" s="233">
        <f t="shared" si="34"/>
        <v>600</v>
      </c>
      <c r="BV12" s="233">
        <f t="shared" si="35"/>
        <v>600</v>
      </c>
      <c r="BW12" s="233">
        <f t="shared" si="36"/>
        <v>600</v>
      </c>
      <c r="BX12" s="233">
        <f t="shared" si="37"/>
        <v>600</v>
      </c>
      <c r="BY12" s="233">
        <f t="shared" si="38"/>
        <v>600</v>
      </c>
      <c r="BZ12" s="234">
        <f t="shared" si="39"/>
        <v>600</v>
      </c>
      <c r="CA12" s="233">
        <f t="shared" si="40"/>
        <v>600</v>
      </c>
      <c r="CB12" s="233">
        <f t="shared" si="41"/>
        <v>600</v>
      </c>
      <c r="CC12" s="233">
        <f t="shared" si="42"/>
        <v>600</v>
      </c>
      <c r="CD12" s="233">
        <f t="shared" si="43"/>
        <v>600</v>
      </c>
      <c r="CE12" s="233">
        <f t="shared" si="44"/>
        <v>600</v>
      </c>
      <c r="CF12" s="233">
        <f t="shared" si="45"/>
        <v>600</v>
      </c>
      <c r="CG12" s="233">
        <f t="shared" si="46"/>
        <v>600</v>
      </c>
      <c r="CH12" s="234">
        <f t="shared" si="47"/>
        <v>600</v>
      </c>
      <c r="CI12" s="306">
        <f t="shared" si="54"/>
        <v>9600</v>
      </c>
      <c r="CJ12" s="304">
        <f t="shared" si="55"/>
        <v>4800</v>
      </c>
      <c r="CK12" s="307">
        <f t="shared" si="56"/>
        <v>14400</v>
      </c>
      <c r="CL12" s="330">
        <f t="shared" si="57"/>
        <v>0.9999999888241291</v>
      </c>
      <c r="CM12" s="330">
        <f t="shared" si="58"/>
        <v>1.0000000074505806</v>
      </c>
      <c r="CO12" s="232">
        <v>8</v>
      </c>
      <c r="CP12" s="451">
        <f t="shared" si="59"/>
        <v>150</v>
      </c>
      <c r="CQ12" s="319">
        <f t="shared" si="48"/>
        <v>600</v>
      </c>
      <c r="DE12" s="113"/>
    </row>
    <row r="13" spans="3:109">
      <c r="E13" s="229">
        <v>9</v>
      </c>
      <c r="F13" s="232">
        <v>15</v>
      </c>
      <c r="G13" s="233">
        <v>16</v>
      </c>
      <c r="H13" s="233">
        <v>17</v>
      </c>
      <c r="I13" s="233">
        <v>20</v>
      </c>
      <c r="J13" s="233">
        <v>14</v>
      </c>
      <c r="K13" s="233">
        <v>13</v>
      </c>
      <c r="L13" s="233">
        <v>12</v>
      </c>
      <c r="M13" s="233">
        <v>19</v>
      </c>
      <c r="N13" s="233">
        <v>18</v>
      </c>
      <c r="O13" s="233">
        <v>11</v>
      </c>
      <c r="P13" s="233">
        <v>21</v>
      </c>
      <c r="Q13" s="233">
        <v>10</v>
      </c>
      <c r="R13" s="233">
        <v>9</v>
      </c>
      <c r="S13" s="233">
        <v>22</v>
      </c>
      <c r="T13" s="233">
        <v>8</v>
      </c>
      <c r="U13" s="234">
        <v>7</v>
      </c>
      <c r="V13" s="233">
        <v>23</v>
      </c>
      <c r="W13" s="233">
        <v>24</v>
      </c>
      <c r="X13" s="233">
        <v>6</v>
      </c>
      <c r="Y13" s="233">
        <v>1</v>
      </c>
      <c r="Z13" s="233">
        <v>5</v>
      </c>
      <c r="AA13" s="233">
        <v>2</v>
      </c>
      <c r="AB13" s="233">
        <v>4</v>
      </c>
      <c r="AC13" s="234">
        <v>3</v>
      </c>
      <c r="AD13" s="164"/>
      <c r="AE13" s="229">
        <v>9</v>
      </c>
      <c r="AF13" s="232">
        <f t="shared" si="0"/>
        <v>150</v>
      </c>
      <c r="AG13" s="233">
        <f t="shared" si="1"/>
        <v>150</v>
      </c>
      <c r="AH13" s="233">
        <f t="shared" si="2"/>
        <v>150</v>
      </c>
      <c r="AI13" s="233">
        <f t="shared" si="3"/>
        <v>150</v>
      </c>
      <c r="AJ13" s="233">
        <f t="shared" si="4"/>
        <v>150</v>
      </c>
      <c r="AK13" s="233">
        <f t="shared" si="5"/>
        <v>150</v>
      </c>
      <c r="AL13" s="233">
        <f t="shared" si="6"/>
        <v>150</v>
      </c>
      <c r="AM13" s="233">
        <f t="shared" si="7"/>
        <v>150</v>
      </c>
      <c r="AN13" s="233">
        <f t="shared" si="8"/>
        <v>150</v>
      </c>
      <c r="AO13" s="233">
        <f t="shared" si="9"/>
        <v>150</v>
      </c>
      <c r="AP13" s="233">
        <f t="shared" si="10"/>
        <v>150</v>
      </c>
      <c r="AQ13" s="233">
        <f t="shared" si="11"/>
        <v>150</v>
      </c>
      <c r="AR13" s="233">
        <f t="shared" si="12"/>
        <v>150</v>
      </c>
      <c r="AS13" s="233">
        <f t="shared" si="13"/>
        <v>150</v>
      </c>
      <c r="AT13" s="233">
        <f t="shared" si="14"/>
        <v>150</v>
      </c>
      <c r="AU13" s="234">
        <f t="shared" si="15"/>
        <v>150</v>
      </c>
      <c r="AV13" s="233">
        <f t="shared" si="16"/>
        <v>150</v>
      </c>
      <c r="AW13" s="233">
        <f t="shared" si="17"/>
        <v>150</v>
      </c>
      <c r="AX13" s="233">
        <f t="shared" si="18"/>
        <v>150</v>
      </c>
      <c r="AY13" s="233">
        <f t="shared" si="19"/>
        <v>150</v>
      </c>
      <c r="AZ13" s="233">
        <f t="shared" si="20"/>
        <v>150</v>
      </c>
      <c r="BA13" s="233">
        <f t="shared" si="21"/>
        <v>150</v>
      </c>
      <c r="BB13" s="233">
        <f t="shared" si="22"/>
        <v>150</v>
      </c>
      <c r="BC13" s="234">
        <f t="shared" si="23"/>
        <v>150</v>
      </c>
      <c r="BD13" s="306">
        <f t="shared" si="49"/>
        <v>2400</v>
      </c>
      <c r="BE13" s="304">
        <f t="shared" si="50"/>
        <v>1200</v>
      </c>
      <c r="BF13" s="307">
        <f t="shared" si="51"/>
        <v>3600</v>
      </c>
      <c r="BG13" s="330">
        <f t="shared" si="52"/>
        <v>0.9999999925494194</v>
      </c>
      <c r="BH13" s="330">
        <f t="shared" si="53"/>
        <v>0.9999999925494194</v>
      </c>
      <c r="BJ13" s="229">
        <v>9</v>
      </c>
      <c r="BK13" s="232">
        <f t="shared" si="24"/>
        <v>600</v>
      </c>
      <c r="BL13" s="233">
        <f t="shared" si="25"/>
        <v>600</v>
      </c>
      <c r="BM13" s="233">
        <f t="shared" si="26"/>
        <v>600</v>
      </c>
      <c r="BN13" s="233">
        <f t="shared" si="27"/>
        <v>600</v>
      </c>
      <c r="BO13" s="233">
        <f t="shared" si="28"/>
        <v>600</v>
      </c>
      <c r="BP13" s="233">
        <f t="shared" si="29"/>
        <v>600</v>
      </c>
      <c r="BQ13" s="233">
        <f t="shared" si="30"/>
        <v>600</v>
      </c>
      <c r="BR13" s="233">
        <f t="shared" si="31"/>
        <v>600</v>
      </c>
      <c r="BS13" s="233">
        <f t="shared" si="32"/>
        <v>600</v>
      </c>
      <c r="BT13" s="233">
        <f t="shared" si="33"/>
        <v>600</v>
      </c>
      <c r="BU13" s="233">
        <f t="shared" si="34"/>
        <v>600</v>
      </c>
      <c r="BV13" s="233">
        <f t="shared" si="35"/>
        <v>600</v>
      </c>
      <c r="BW13" s="233">
        <f t="shared" si="36"/>
        <v>600</v>
      </c>
      <c r="BX13" s="233">
        <f t="shared" si="37"/>
        <v>600</v>
      </c>
      <c r="BY13" s="233">
        <f t="shared" si="38"/>
        <v>600</v>
      </c>
      <c r="BZ13" s="234">
        <f t="shared" si="39"/>
        <v>600</v>
      </c>
      <c r="CA13" s="233">
        <f t="shared" si="40"/>
        <v>600</v>
      </c>
      <c r="CB13" s="233">
        <f t="shared" si="41"/>
        <v>600</v>
      </c>
      <c r="CC13" s="233">
        <f t="shared" si="42"/>
        <v>600</v>
      </c>
      <c r="CD13" s="233">
        <f t="shared" si="43"/>
        <v>600</v>
      </c>
      <c r="CE13" s="233">
        <f t="shared" si="44"/>
        <v>600</v>
      </c>
      <c r="CF13" s="233">
        <f t="shared" si="45"/>
        <v>600</v>
      </c>
      <c r="CG13" s="233">
        <f t="shared" si="46"/>
        <v>600</v>
      </c>
      <c r="CH13" s="234">
        <f t="shared" si="47"/>
        <v>600</v>
      </c>
      <c r="CI13" s="306">
        <f t="shared" si="54"/>
        <v>9600</v>
      </c>
      <c r="CJ13" s="304">
        <f t="shared" si="55"/>
        <v>4800</v>
      </c>
      <c r="CK13" s="307">
        <f t="shared" si="56"/>
        <v>14400</v>
      </c>
      <c r="CL13" s="330">
        <f t="shared" si="57"/>
        <v>0.9999999925494194</v>
      </c>
      <c r="CM13" s="330">
        <f t="shared" si="58"/>
        <v>0.9999999925494194</v>
      </c>
      <c r="CO13" s="232">
        <v>9</v>
      </c>
      <c r="CP13" s="451">
        <f t="shared" si="59"/>
        <v>150</v>
      </c>
      <c r="CQ13" s="319">
        <f t="shared" si="48"/>
        <v>600</v>
      </c>
      <c r="DE13" s="113"/>
    </row>
    <row r="14" spans="3:109">
      <c r="E14" s="229">
        <v>10</v>
      </c>
      <c r="F14" s="232">
        <v>19</v>
      </c>
      <c r="G14" s="233">
        <v>20</v>
      </c>
      <c r="H14" s="233">
        <v>11</v>
      </c>
      <c r="I14" s="233">
        <v>10</v>
      </c>
      <c r="J14" s="233">
        <v>12</v>
      </c>
      <c r="K14" s="233">
        <v>13</v>
      </c>
      <c r="L14" s="233">
        <v>18</v>
      </c>
      <c r="M14" s="233">
        <v>21</v>
      </c>
      <c r="N14" s="233">
        <v>14</v>
      </c>
      <c r="O14" s="233">
        <v>15</v>
      </c>
      <c r="P14" s="233">
        <v>9</v>
      </c>
      <c r="Q14" s="233">
        <v>16</v>
      </c>
      <c r="R14" s="233">
        <v>17</v>
      </c>
      <c r="S14" s="233">
        <v>8</v>
      </c>
      <c r="T14" s="233">
        <v>22</v>
      </c>
      <c r="U14" s="234">
        <v>7</v>
      </c>
      <c r="V14" s="233">
        <v>23</v>
      </c>
      <c r="W14" s="233">
        <v>6</v>
      </c>
      <c r="X14" s="233">
        <v>24</v>
      </c>
      <c r="Y14" s="233">
        <v>1</v>
      </c>
      <c r="Z14" s="233">
        <v>5</v>
      </c>
      <c r="AA14" s="233">
        <v>2</v>
      </c>
      <c r="AB14" s="233">
        <v>3</v>
      </c>
      <c r="AC14" s="234">
        <v>4</v>
      </c>
      <c r="AD14" s="164"/>
      <c r="AE14" s="229">
        <v>10</v>
      </c>
      <c r="AF14" s="232">
        <f t="shared" si="0"/>
        <v>150</v>
      </c>
      <c r="AG14" s="233">
        <f t="shared" si="1"/>
        <v>150</v>
      </c>
      <c r="AH14" s="233">
        <f t="shared" si="2"/>
        <v>150</v>
      </c>
      <c r="AI14" s="233">
        <f t="shared" si="3"/>
        <v>150</v>
      </c>
      <c r="AJ14" s="233">
        <f t="shared" si="4"/>
        <v>150</v>
      </c>
      <c r="AK14" s="233">
        <f t="shared" si="5"/>
        <v>150</v>
      </c>
      <c r="AL14" s="233">
        <f t="shared" si="6"/>
        <v>150</v>
      </c>
      <c r="AM14" s="233">
        <f t="shared" si="7"/>
        <v>150</v>
      </c>
      <c r="AN14" s="233">
        <f t="shared" si="8"/>
        <v>150</v>
      </c>
      <c r="AO14" s="233">
        <f t="shared" si="9"/>
        <v>150</v>
      </c>
      <c r="AP14" s="233">
        <f t="shared" si="10"/>
        <v>150</v>
      </c>
      <c r="AQ14" s="233">
        <f t="shared" si="11"/>
        <v>150</v>
      </c>
      <c r="AR14" s="233">
        <f t="shared" si="12"/>
        <v>150</v>
      </c>
      <c r="AS14" s="233">
        <f t="shared" si="13"/>
        <v>150</v>
      </c>
      <c r="AT14" s="233">
        <f t="shared" si="14"/>
        <v>150</v>
      </c>
      <c r="AU14" s="234">
        <f t="shared" si="15"/>
        <v>150</v>
      </c>
      <c r="AV14" s="233">
        <f t="shared" si="16"/>
        <v>150</v>
      </c>
      <c r="AW14" s="233">
        <f t="shared" si="17"/>
        <v>150</v>
      </c>
      <c r="AX14" s="233">
        <f t="shared" si="18"/>
        <v>150</v>
      </c>
      <c r="AY14" s="233">
        <f t="shared" si="19"/>
        <v>150</v>
      </c>
      <c r="AZ14" s="233">
        <f t="shared" si="20"/>
        <v>150</v>
      </c>
      <c r="BA14" s="233">
        <f t="shared" si="21"/>
        <v>150</v>
      </c>
      <c r="BB14" s="233">
        <f t="shared" si="22"/>
        <v>150</v>
      </c>
      <c r="BC14" s="234">
        <f t="shared" si="23"/>
        <v>150</v>
      </c>
      <c r="BD14" s="306">
        <f t="shared" si="49"/>
        <v>2400</v>
      </c>
      <c r="BE14" s="304">
        <f t="shared" si="50"/>
        <v>1200</v>
      </c>
      <c r="BF14" s="307">
        <f t="shared" si="51"/>
        <v>3600</v>
      </c>
      <c r="BG14" s="330">
        <f t="shared" si="52"/>
        <v>1.0000000149011612</v>
      </c>
      <c r="BH14" s="330">
        <f t="shared" si="53"/>
        <v>0.9999999925494194</v>
      </c>
      <c r="BJ14" s="229">
        <v>10</v>
      </c>
      <c r="BK14" s="232">
        <f t="shared" si="24"/>
        <v>600</v>
      </c>
      <c r="BL14" s="233">
        <f t="shared" si="25"/>
        <v>600</v>
      </c>
      <c r="BM14" s="233">
        <f t="shared" si="26"/>
        <v>600</v>
      </c>
      <c r="BN14" s="233">
        <f t="shared" si="27"/>
        <v>600</v>
      </c>
      <c r="BO14" s="233">
        <f t="shared" si="28"/>
        <v>600</v>
      </c>
      <c r="BP14" s="233">
        <f t="shared" si="29"/>
        <v>600</v>
      </c>
      <c r="BQ14" s="233">
        <f t="shared" si="30"/>
        <v>600</v>
      </c>
      <c r="BR14" s="233">
        <f t="shared" si="31"/>
        <v>600</v>
      </c>
      <c r="BS14" s="233">
        <f t="shared" si="32"/>
        <v>600</v>
      </c>
      <c r="BT14" s="233">
        <f t="shared" si="33"/>
        <v>600</v>
      </c>
      <c r="BU14" s="233">
        <f t="shared" si="34"/>
        <v>600</v>
      </c>
      <c r="BV14" s="233">
        <f t="shared" si="35"/>
        <v>600</v>
      </c>
      <c r="BW14" s="233">
        <f t="shared" si="36"/>
        <v>600</v>
      </c>
      <c r="BX14" s="233">
        <f t="shared" si="37"/>
        <v>600</v>
      </c>
      <c r="BY14" s="233">
        <f t="shared" si="38"/>
        <v>600</v>
      </c>
      <c r="BZ14" s="234">
        <f t="shared" si="39"/>
        <v>600</v>
      </c>
      <c r="CA14" s="233">
        <f t="shared" si="40"/>
        <v>600</v>
      </c>
      <c r="CB14" s="233">
        <f t="shared" si="41"/>
        <v>600</v>
      </c>
      <c r="CC14" s="233">
        <f t="shared" si="42"/>
        <v>600</v>
      </c>
      <c r="CD14" s="233">
        <f t="shared" si="43"/>
        <v>600</v>
      </c>
      <c r="CE14" s="233">
        <f t="shared" si="44"/>
        <v>600</v>
      </c>
      <c r="CF14" s="233">
        <f t="shared" si="45"/>
        <v>600</v>
      </c>
      <c r="CG14" s="233">
        <f t="shared" si="46"/>
        <v>600</v>
      </c>
      <c r="CH14" s="234">
        <f t="shared" si="47"/>
        <v>600</v>
      </c>
      <c r="CI14" s="306">
        <f t="shared" si="54"/>
        <v>9600</v>
      </c>
      <c r="CJ14" s="304">
        <f t="shared" si="55"/>
        <v>4800</v>
      </c>
      <c r="CK14" s="307">
        <f t="shared" si="56"/>
        <v>14400</v>
      </c>
      <c r="CL14" s="330">
        <f t="shared" si="57"/>
        <v>1.0000000149011612</v>
      </c>
      <c r="CM14" s="330">
        <f t="shared" si="58"/>
        <v>0.9999999925494194</v>
      </c>
      <c r="CO14" s="232">
        <v>10</v>
      </c>
      <c r="CP14" s="451">
        <f t="shared" si="59"/>
        <v>150</v>
      </c>
      <c r="CQ14" s="319">
        <f t="shared" si="48"/>
        <v>600</v>
      </c>
      <c r="DE14" s="113"/>
    </row>
    <row r="15" spans="3:109">
      <c r="C15" s="221"/>
      <c r="D15" s="221"/>
      <c r="E15" s="229">
        <v>11</v>
      </c>
      <c r="F15" s="232">
        <v>18</v>
      </c>
      <c r="G15" s="233">
        <v>19</v>
      </c>
      <c r="H15" s="233">
        <v>20</v>
      </c>
      <c r="I15" s="233">
        <v>17</v>
      </c>
      <c r="J15" s="233">
        <v>10</v>
      </c>
      <c r="K15" s="233">
        <v>11</v>
      </c>
      <c r="L15" s="233">
        <v>9</v>
      </c>
      <c r="M15" s="233">
        <v>12</v>
      </c>
      <c r="N15" s="233">
        <v>21</v>
      </c>
      <c r="O15" s="233">
        <v>8</v>
      </c>
      <c r="P15" s="233">
        <v>13</v>
      </c>
      <c r="Q15" s="233">
        <v>14</v>
      </c>
      <c r="R15" s="233">
        <v>16</v>
      </c>
      <c r="S15" s="233">
        <v>22</v>
      </c>
      <c r="T15" s="233">
        <v>15</v>
      </c>
      <c r="U15" s="234">
        <v>7</v>
      </c>
      <c r="V15" s="233">
        <v>23</v>
      </c>
      <c r="W15" s="233">
        <v>6</v>
      </c>
      <c r="X15" s="233">
        <v>24</v>
      </c>
      <c r="Y15" s="233">
        <v>1</v>
      </c>
      <c r="Z15" s="233">
        <v>5</v>
      </c>
      <c r="AA15" s="233">
        <v>2</v>
      </c>
      <c r="AB15" s="233">
        <v>3</v>
      </c>
      <c r="AC15" s="234">
        <v>4</v>
      </c>
      <c r="AD15" s="164"/>
      <c r="AE15" s="229">
        <v>11</v>
      </c>
      <c r="AF15" s="232">
        <f t="shared" si="0"/>
        <v>150</v>
      </c>
      <c r="AG15" s="233">
        <f t="shared" si="1"/>
        <v>150</v>
      </c>
      <c r="AH15" s="233">
        <f t="shared" si="2"/>
        <v>150</v>
      </c>
      <c r="AI15" s="233">
        <f t="shared" si="3"/>
        <v>150</v>
      </c>
      <c r="AJ15" s="233">
        <f t="shared" si="4"/>
        <v>150</v>
      </c>
      <c r="AK15" s="233">
        <f t="shared" si="5"/>
        <v>150</v>
      </c>
      <c r="AL15" s="233">
        <f t="shared" si="6"/>
        <v>150</v>
      </c>
      <c r="AM15" s="233">
        <f t="shared" si="7"/>
        <v>150</v>
      </c>
      <c r="AN15" s="233">
        <f t="shared" si="8"/>
        <v>150</v>
      </c>
      <c r="AO15" s="233">
        <f t="shared" si="9"/>
        <v>150</v>
      </c>
      <c r="AP15" s="233">
        <f t="shared" si="10"/>
        <v>150</v>
      </c>
      <c r="AQ15" s="233">
        <f t="shared" si="11"/>
        <v>150</v>
      </c>
      <c r="AR15" s="233">
        <f t="shared" si="12"/>
        <v>150</v>
      </c>
      <c r="AS15" s="233">
        <f t="shared" si="13"/>
        <v>150</v>
      </c>
      <c r="AT15" s="233">
        <f t="shared" si="14"/>
        <v>150</v>
      </c>
      <c r="AU15" s="234">
        <f t="shared" si="15"/>
        <v>150</v>
      </c>
      <c r="AV15" s="233">
        <f t="shared" si="16"/>
        <v>150</v>
      </c>
      <c r="AW15" s="233">
        <f t="shared" si="17"/>
        <v>150</v>
      </c>
      <c r="AX15" s="233">
        <f t="shared" si="18"/>
        <v>150</v>
      </c>
      <c r="AY15" s="233">
        <f t="shared" si="19"/>
        <v>150</v>
      </c>
      <c r="AZ15" s="233">
        <f t="shared" si="20"/>
        <v>150</v>
      </c>
      <c r="BA15" s="233">
        <f t="shared" si="21"/>
        <v>150</v>
      </c>
      <c r="BB15" s="233">
        <f t="shared" si="22"/>
        <v>150</v>
      </c>
      <c r="BC15" s="234">
        <f t="shared" si="23"/>
        <v>150</v>
      </c>
      <c r="BD15" s="306">
        <f t="shared" si="49"/>
        <v>2400</v>
      </c>
      <c r="BE15" s="304">
        <f t="shared" si="50"/>
        <v>1200</v>
      </c>
      <c r="BF15" s="307">
        <f t="shared" si="51"/>
        <v>3600</v>
      </c>
      <c r="BG15" s="330">
        <f t="shared" si="52"/>
        <v>1</v>
      </c>
      <c r="BH15" s="330">
        <f t="shared" si="53"/>
        <v>0.9999999925494194</v>
      </c>
      <c r="BJ15" s="229">
        <v>11</v>
      </c>
      <c r="BK15" s="232">
        <f t="shared" si="24"/>
        <v>600</v>
      </c>
      <c r="BL15" s="233">
        <f t="shared" si="25"/>
        <v>600</v>
      </c>
      <c r="BM15" s="233">
        <f t="shared" si="26"/>
        <v>600</v>
      </c>
      <c r="BN15" s="233">
        <f t="shared" si="27"/>
        <v>600</v>
      </c>
      <c r="BO15" s="233">
        <f t="shared" si="28"/>
        <v>600</v>
      </c>
      <c r="BP15" s="233">
        <f t="shared" si="29"/>
        <v>600</v>
      </c>
      <c r="BQ15" s="233">
        <f t="shared" si="30"/>
        <v>600</v>
      </c>
      <c r="BR15" s="233">
        <f t="shared" si="31"/>
        <v>600</v>
      </c>
      <c r="BS15" s="233">
        <f t="shared" si="32"/>
        <v>600</v>
      </c>
      <c r="BT15" s="233">
        <f t="shared" si="33"/>
        <v>600</v>
      </c>
      <c r="BU15" s="233">
        <f t="shared" si="34"/>
        <v>600</v>
      </c>
      <c r="BV15" s="233">
        <f t="shared" si="35"/>
        <v>600</v>
      </c>
      <c r="BW15" s="233">
        <f t="shared" si="36"/>
        <v>600</v>
      </c>
      <c r="BX15" s="233">
        <f t="shared" si="37"/>
        <v>600</v>
      </c>
      <c r="BY15" s="233">
        <f t="shared" si="38"/>
        <v>600</v>
      </c>
      <c r="BZ15" s="234">
        <f t="shared" si="39"/>
        <v>600</v>
      </c>
      <c r="CA15" s="233">
        <f t="shared" si="40"/>
        <v>600</v>
      </c>
      <c r="CB15" s="233">
        <f t="shared" si="41"/>
        <v>600</v>
      </c>
      <c r="CC15" s="233">
        <f t="shared" si="42"/>
        <v>600</v>
      </c>
      <c r="CD15" s="233">
        <f t="shared" si="43"/>
        <v>600</v>
      </c>
      <c r="CE15" s="233">
        <f t="shared" si="44"/>
        <v>600</v>
      </c>
      <c r="CF15" s="233">
        <f t="shared" si="45"/>
        <v>600</v>
      </c>
      <c r="CG15" s="233">
        <f t="shared" si="46"/>
        <v>600</v>
      </c>
      <c r="CH15" s="234">
        <f t="shared" si="47"/>
        <v>600</v>
      </c>
      <c r="CI15" s="306">
        <f t="shared" si="54"/>
        <v>9600</v>
      </c>
      <c r="CJ15" s="304">
        <f t="shared" si="55"/>
        <v>4800</v>
      </c>
      <c r="CK15" s="307">
        <f t="shared" si="56"/>
        <v>14400</v>
      </c>
      <c r="CL15" s="330">
        <f t="shared" si="57"/>
        <v>1</v>
      </c>
      <c r="CM15" s="330">
        <f t="shared" si="58"/>
        <v>0.9999999925494194</v>
      </c>
      <c r="CO15" s="232">
        <v>11</v>
      </c>
      <c r="CP15" s="451">
        <f t="shared" si="59"/>
        <v>150</v>
      </c>
      <c r="CQ15" s="319">
        <f t="shared" si="48"/>
        <v>600</v>
      </c>
      <c r="DE15" s="113"/>
    </row>
    <row r="16" spans="3:109" ht="13.5" thickBot="1">
      <c r="C16" s="113"/>
      <c r="D16" s="113"/>
      <c r="E16" s="240">
        <v>12</v>
      </c>
      <c r="F16" s="241">
        <v>18</v>
      </c>
      <c r="G16" s="242">
        <v>19</v>
      </c>
      <c r="H16" s="242">
        <v>20</v>
      </c>
      <c r="I16" s="242">
        <v>17</v>
      </c>
      <c r="J16" s="242">
        <v>10</v>
      </c>
      <c r="K16" s="242">
        <v>11</v>
      </c>
      <c r="L16" s="242">
        <v>9</v>
      </c>
      <c r="M16" s="242">
        <v>21</v>
      </c>
      <c r="N16" s="242">
        <v>8</v>
      </c>
      <c r="O16" s="242">
        <v>12</v>
      </c>
      <c r="P16" s="242">
        <v>13</v>
      </c>
      <c r="Q16" s="242">
        <v>22</v>
      </c>
      <c r="R16" s="242">
        <v>16</v>
      </c>
      <c r="S16" s="242">
        <v>14</v>
      </c>
      <c r="T16" s="242">
        <v>15</v>
      </c>
      <c r="U16" s="243">
        <v>7</v>
      </c>
      <c r="V16" s="242">
        <v>23</v>
      </c>
      <c r="W16" s="242">
        <v>6</v>
      </c>
      <c r="X16" s="242">
        <v>24</v>
      </c>
      <c r="Y16" s="242">
        <v>5</v>
      </c>
      <c r="Z16" s="242">
        <v>1</v>
      </c>
      <c r="AA16" s="242">
        <v>2</v>
      </c>
      <c r="AB16" s="242">
        <v>4</v>
      </c>
      <c r="AC16" s="243">
        <v>3</v>
      </c>
      <c r="AD16" s="113"/>
      <c r="AE16" s="240">
        <v>12</v>
      </c>
      <c r="AF16" s="241">
        <f t="shared" si="0"/>
        <v>150</v>
      </c>
      <c r="AG16" s="242">
        <f t="shared" si="1"/>
        <v>150</v>
      </c>
      <c r="AH16" s="242">
        <f t="shared" si="2"/>
        <v>150</v>
      </c>
      <c r="AI16" s="242">
        <f t="shared" si="3"/>
        <v>150</v>
      </c>
      <c r="AJ16" s="242">
        <f t="shared" si="4"/>
        <v>150</v>
      </c>
      <c r="AK16" s="242">
        <f t="shared" si="5"/>
        <v>150</v>
      </c>
      <c r="AL16" s="242">
        <f t="shared" si="6"/>
        <v>150</v>
      </c>
      <c r="AM16" s="242">
        <f t="shared" si="7"/>
        <v>150</v>
      </c>
      <c r="AN16" s="242">
        <f t="shared" si="8"/>
        <v>150</v>
      </c>
      <c r="AO16" s="242">
        <f t="shared" si="9"/>
        <v>150</v>
      </c>
      <c r="AP16" s="242">
        <f t="shared" si="10"/>
        <v>150</v>
      </c>
      <c r="AQ16" s="242">
        <f t="shared" si="11"/>
        <v>150</v>
      </c>
      <c r="AR16" s="242">
        <f t="shared" si="12"/>
        <v>150</v>
      </c>
      <c r="AS16" s="242">
        <f t="shared" si="13"/>
        <v>150</v>
      </c>
      <c r="AT16" s="242">
        <f t="shared" si="14"/>
        <v>150</v>
      </c>
      <c r="AU16" s="243">
        <f t="shared" si="15"/>
        <v>150</v>
      </c>
      <c r="AV16" s="242">
        <f t="shared" si="16"/>
        <v>150</v>
      </c>
      <c r="AW16" s="242">
        <f t="shared" si="17"/>
        <v>150</v>
      </c>
      <c r="AX16" s="242">
        <f t="shared" si="18"/>
        <v>150</v>
      </c>
      <c r="AY16" s="242">
        <f t="shared" si="19"/>
        <v>150</v>
      </c>
      <c r="AZ16" s="242">
        <f t="shared" si="20"/>
        <v>150</v>
      </c>
      <c r="BA16" s="242">
        <f t="shared" si="21"/>
        <v>150</v>
      </c>
      <c r="BB16" s="242">
        <f t="shared" si="22"/>
        <v>150</v>
      </c>
      <c r="BC16" s="243">
        <f t="shared" si="23"/>
        <v>150</v>
      </c>
      <c r="BD16" s="308">
        <f t="shared" si="49"/>
        <v>2400</v>
      </c>
      <c r="BE16" s="305">
        <f t="shared" si="50"/>
        <v>1200</v>
      </c>
      <c r="BF16" s="309">
        <f t="shared" si="51"/>
        <v>3600</v>
      </c>
      <c r="BG16" s="331">
        <f t="shared" si="52"/>
        <v>1</v>
      </c>
      <c r="BH16" s="331">
        <f t="shared" si="53"/>
        <v>1</v>
      </c>
      <c r="BJ16" s="240">
        <v>12</v>
      </c>
      <c r="BK16" s="241">
        <f t="shared" si="24"/>
        <v>600</v>
      </c>
      <c r="BL16" s="242">
        <f t="shared" si="25"/>
        <v>600</v>
      </c>
      <c r="BM16" s="242">
        <f t="shared" si="26"/>
        <v>600</v>
      </c>
      <c r="BN16" s="242">
        <f t="shared" si="27"/>
        <v>600</v>
      </c>
      <c r="BO16" s="242">
        <f t="shared" si="28"/>
        <v>600</v>
      </c>
      <c r="BP16" s="242">
        <f t="shared" si="29"/>
        <v>600</v>
      </c>
      <c r="BQ16" s="242">
        <f t="shared" si="30"/>
        <v>600</v>
      </c>
      <c r="BR16" s="242">
        <f t="shared" si="31"/>
        <v>600</v>
      </c>
      <c r="BS16" s="242">
        <f t="shared" si="32"/>
        <v>600</v>
      </c>
      <c r="BT16" s="242">
        <f t="shared" si="33"/>
        <v>600</v>
      </c>
      <c r="BU16" s="242">
        <f t="shared" si="34"/>
        <v>600</v>
      </c>
      <c r="BV16" s="242">
        <f t="shared" si="35"/>
        <v>600</v>
      </c>
      <c r="BW16" s="242">
        <f t="shared" si="36"/>
        <v>600</v>
      </c>
      <c r="BX16" s="242">
        <f t="shared" si="37"/>
        <v>600</v>
      </c>
      <c r="BY16" s="242">
        <f t="shared" si="38"/>
        <v>600</v>
      </c>
      <c r="BZ16" s="243">
        <f t="shared" si="39"/>
        <v>600</v>
      </c>
      <c r="CA16" s="242">
        <f t="shared" si="40"/>
        <v>600</v>
      </c>
      <c r="CB16" s="242">
        <f t="shared" si="41"/>
        <v>600</v>
      </c>
      <c r="CC16" s="242">
        <f t="shared" si="42"/>
        <v>600</v>
      </c>
      <c r="CD16" s="242">
        <f t="shared" si="43"/>
        <v>600</v>
      </c>
      <c r="CE16" s="242">
        <f t="shared" si="44"/>
        <v>600</v>
      </c>
      <c r="CF16" s="242">
        <f t="shared" si="45"/>
        <v>600</v>
      </c>
      <c r="CG16" s="242">
        <f t="shared" si="46"/>
        <v>600</v>
      </c>
      <c r="CH16" s="243">
        <f t="shared" si="47"/>
        <v>600</v>
      </c>
      <c r="CI16" s="308">
        <f t="shared" si="54"/>
        <v>9600</v>
      </c>
      <c r="CJ16" s="305">
        <f t="shared" si="55"/>
        <v>4800</v>
      </c>
      <c r="CK16" s="309">
        <f t="shared" si="56"/>
        <v>14400</v>
      </c>
      <c r="CL16" s="331">
        <f t="shared" si="57"/>
        <v>1</v>
      </c>
      <c r="CM16" s="331">
        <f t="shared" si="58"/>
        <v>1</v>
      </c>
      <c r="CO16" s="241">
        <v>12</v>
      </c>
      <c r="CP16" s="453">
        <f t="shared" si="59"/>
        <v>150</v>
      </c>
      <c r="CQ16" s="320">
        <f t="shared" si="48"/>
        <v>600</v>
      </c>
      <c r="DE16" s="113"/>
    </row>
    <row r="17" spans="3:91" ht="16.5" thickBot="1">
      <c r="C17" s="113"/>
      <c r="D17" s="113"/>
      <c r="AD17" s="113"/>
      <c r="AE17" s="258" t="s">
        <v>310</v>
      </c>
      <c r="AF17" s="226" t="s">
        <v>360</v>
      </c>
      <c r="AG17" s="227"/>
      <c r="AH17" s="227"/>
      <c r="AI17" s="227"/>
      <c r="AJ17" s="227"/>
      <c r="AK17" s="227"/>
      <c r="AL17" s="227"/>
      <c r="AM17" s="227"/>
      <c r="AN17" s="227"/>
      <c r="AO17" s="227"/>
      <c r="AP17" s="227"/>
      <c r="AQ17" s="227"/>
      <c r="AR17" s="227"/>
      <c r="AS17" s="227"/>
      <c r="AT17" s="227"/>
      <c r="AU17" s="228"/>
      <c r="AV17" s="227" t="s">
        <v>344</v>
      </c>
      <c r="AW17" s="227"/>
      <c r="AX17" s="227"/>
      <c r="AY17" s="227"/>
      <c r="AZ17" s="227"/>
      <c r="BA17" s="227"/>
      <c r="BB17" s="227"/>
      <c r="BC17" s="228"/>
      <c r="BD17" s="299"/>
      <c r="BE17" s="302" t="s">
        <v>304</v>
      </c>
      <c r="BF17" s="220"/>
      <c r="BG17" s="332"/>
      <c r="BH17" s="332"/>
      <c r="BJ17" s="258" t="s">
        <v>310</v>
      </c>
      <c r="BK17" s="226" t="s">
        <v>360</v>
      </c>
      <c r="BL17" s="227"/>
      <c r="BM17" s="227"/>
      <c r="BN17" s="227"/>
      <c r="BO17" s="227"/>
      <c r="BP17" s="227"/>
      <c r="BQ17" s="227"/>
      <c r="BR17" s="227"/>
      <c r="BS17" s="227"/>
      <c r="BT17" s="227"/>
      <c r="BU17" s="227"/>
      <c r="BV17" s="227"/>
      <c r="BW17" s="227"/>
      <c r="BX17" s="227"/>
      <c r="BY17" s="227"/>
      <c r="BZ17" s="228"/>
      <c r="CA17" s="227" t="s">
        <v>344</v>
      </c>
      <c r="CB17" s="227"/>
      <c r="CC17" s="227"/>
      <c r="CD17" s="227"/>
      <c r="CE17" s="227"/>
      <c r="CF17" s="227"/>
      <c r="CG17" s="227"/>
      <c r="CH17" s="228"/>
      <c r="CI17" s="299"/>
      <c r="CJ17" s="302" t="s">
        <v>304</v>
      </c>
      <c r="CK17" s="220"/>
      <c r="CL17" s="332"/>
      <c r="CM17" s="332"/>
    </row>
    <row r="18" spans="3:91" ht="18.75" thickBot="1">
      <c r="C18" s="113"/>
      <c r="D18" s="113"/>
      <c r="E18" s="251" t="s">
        <v>311</v>
      </c>
      <c r="F18" s="252"/>
      <c r="G18" s="252"/>
      <c r="H18" s="252"/>
      <c r="I18" s="252"/>
      <c r="J18" s="252"/>
      <c r="K18" s="252"/>
      <c r="L18" s="252"/>
      <c r="M18" s="252"/>
      <c r="N18" s="252"/>
      <c r="O18" s="252"/>
      <c r="P18" s="252"/>
      <c r="Q18" s="252"/>
      <c r="R18" s="252"/>
      <c r="S18" s="252"/>
      <c r="T18" s="252"/>
      <c r="U18" s="252"/>
      <c r="V18" s="252"/>
      <c r="W18" s="252"/>
      <c r="X18" s="252"/>
      <c r="Y18" s="252"/>
      <c r="Z18" s="252"/>
      <c r="AA18" s="252"/>
      <c r="AB18" s="252"/>
      <c r="AC18" s="253"/>
      <c r="AD18" s="113"/>
      <c r="AE18" s="229" t="s">
        <v>307</v>
      </c>
      <c r="AF18" s="229">
        <v>1</v>
      </c>
      <c r="AG18" s="164">
        <v>2</v>
      </c>
      <c r="AH18" s="164">
        <v>3</v>
      </c>
      <c r="AI18" s="164">
        <v>4</v>
      </c>
      <c r="AJ18" s="164">
        <v>5</v>
      </c>
      <c r="AK18" s="164">
        <v>6</v>
      </c>
      <c r="AL18" s="164">
        <v>7</v>
      </c>
      <c r="AM18" s="164">
        <v>8</v>
      </c>
      <c r="AN18" s="164">
        <v>9</v>
      </c>
      <c r="AO18" s="164">
        <v>10</v>
      </c>
      <c r="AP18" s="164">
        <v>11</v>
      </c>
      <c r="AQ18" s="164">
        <v>12</v>
      </c>
      <c r="AR18" s="164">
        <v>13</v>
      </c>
      <c r="AS18" s="164">
        <v>14</v>
      </c>
      <c r="AT18" s="164">
        <v>15</v>
      </c>
      <c r="AU18" s="230">
        <v>16</v>
      </c>
      <c r="AV18" s="164">
        <v>1</v>
      </c>
      <c r="AW18" s="164">
        <v>2</v>
      </c>
      <c r="AX18" s="164">
        <v>3</v>
      </c>
      <c r="AY18" s="164">
        <v>4</v>
      </c>
      <c r="AZ18" s="164">
        <v>5</v>
      </c>
      <c r="BA18" s="164">
        <v>6</v>
      </c>
      <c r="BB18" s="164">
        <v>7</v>
      </c>
      <c r="BC18" s="230">
        <v>8</v>
      </c>
      <c r="BD18" s="300" t="s">
        <v>360</v>
      </c>
      <c r="BE18" s="303" t="s">
        <v>360</v>
      </c>
      <c r="BF18" s="301" t="s">
        <v>73</v>
      </c>
      <c r="BG18" s="326" t="s">
        <v>360</v>
      </c>
      <c r="BH18" s="326" t="s">
        <v>344</v>
      </c>
      <c r="BJ18" s="229" t="s">
        <v>307</v>
      </c>
      <c r="BK18" s="229">
        <v>1</v>
      </c>
      <c r="BL18" s="164">
        <v>2</v>
      </c>
      <c r="BM18" s="164">
        <v>3</v>
      </c>
      <c r="BN18" s="164">
        <v>4</v>
      </c>
      <c r="BO18" s="164">
        <v>5</v>
      </c>
      <c r="BP18" s="164">
        <v>6</v>
      </c>
      <c r="BQ18" s="164">
        <v>7</v>
      </c>
      <c r="BR18" s="164">
        <v>8</v>
      </c>
      <c r="BS18" s="164">
        <v>9</v>
      </c>
      <c r="BT18" s="164">
        <v>10</v>
      </c>
      <c r="BU18" s="164">
        <v>11</v>
      </c>
      <c r="BV18" s="164">
        <v>12</v>
      </c>
      <c r="BW18" s="164">
        <v>13</v>
      </c>
      <c r="BX18" s="164">
        <v>14</v>
      </c>
      <c r="BY18" s="164">
        <v>15</v>
      </c>
      <c r="BZ18" s="230">
        <v>16</v>
      </c>
      <c r="CA18" s="164">
        <v>1</v>
      </c>
      <c r="CB18" s="164">
        <v>2</v>
      </c>
      <c r="CC18" s="164">
        <v>3</v>
      </c>
      <c r="CD18" s="164">
        <v>4</v>
      </c>
      <c r="CE18" s="164">
        <v>5</v>
      </c>
      <c r="CF18" s="164">
        <v>6</v>
      </c>
      <c r="CG18" s="164">
        <v>7</v>
      </c>
      <c r="CH18" s="230">
        <v>8</v>
      </c>
      <c r="CI18" s="300" t="s">
        <v>360</v>
      </c>
      <c r="CJ18" s="303" t="s">
        <v>360</v>
      </c>
      <c r="CK18" s="301" t="s">
        <v>73</v>
      </c>
      <c r="CL18" s="326" t="s">
        <v>360</v>
      </c>
      <c r="CM18" s="326" t="s">
        <v>344</v>
      </c>
    </row>
    <row r="19" spans="3:91" ht="13.5" thickBot="1">
      <c r="C19" s="113"/>
      <c r="D19" s="113"/>
      <c r="E19" s="257"/>
      <c r="F19" s="223" t="s">
        <v>360</v>
      </c>
      <c r="G19" s="224"/>
      <c r="H19" s="224"/>
      <c r="I19" s="224"/>
      <c r="J19" s="224"/>
      <c r="K19" s="224"/>
      <c r="L19" s="224"/>
      <c r="M19" s="224"/>
      <c r="N19" s="224"/>
      <c r="O19" s="224"/>
      <c r="P19" s="224"/>
      <c r="Q19" s="224"/>
      <c r="R19" s="224"/>
      <c r="S19" s="224"/>
      <c r="T19" s="224"/>
      <c r="U19" s="225"/>
      <c r="V19" s="223" t="s">
        <v>344</v>
      </c>
      <c r="W19" s="224"/>
      <c r="X19" s="224"/>
      <c r="Y19" s="224"/>
      <c r="Z19" s="224"/>
      <c r="AA19" s="224"/>
      <c r="AB19" s="224"/>
      <c r="AC19" s="225"/>
      <c r="AD19" s="113"/>
      <c r="AE19" s="229">
        <v>1</v>
      </c>
      <c r="AF19" s="235">
        <f t="shared" ref="AF19:AF30" si="60">IF(AND(WeekDef=8,CustomSaFlag,CustomSaPeriod=4),INDEX(VolumeHourlyOver,F5,2),IF(OR(WeekDef=1,WeekDef=2,WeekDef=5,WeekDef=6,AND(WeekDef=8,CustomSaFlag,OR(CustomSaPeriod=1,CustomSaPeriod=2))),IF(VolumeMonthlyOverFlag,INDEX(VolumeMonthlyOver,AE19),Volume),0))</f>
        <v>150</v>
      </c>
      <c r="AG19" s="236">
        <f t="shared" ref="AG19:AG30" si="61">IF(AND(WeekDef=8,CustomSaFlag,CustomSaPeriod=4),INDEX(VolumeHourlyOver,G5,2),IF(OR(WeekDef=1,WeekDef=2,WeekDef=5,WeekDef=6,AND(WeekDef=8,CustomSaFlag,OR(CustomSaPeriod=1,CustomSaPeriod=2))),IF(VolumeMonthlyOverFlag,INDEX(VolumeMonthlyOver,AE19),Volume),0))</f>
        <v>150</v>
      </c>
      <c r="AH19" s="236">
        <f t="shared" ref="AH19:AH30" si="62">IF(AND(WeekDef=8,CustomSaFlag,CustomSaPeriod=4),INDEX(VolumeHourlyOver,H5,2),IF(OR(WeekDef=1,WeekDef=2,WeekDef=5,WeekDef=6,AND(WeekDef=8,CustomSaFlag,OR(CustomSaPeriod=1,CustomSaPeriod=2))),IF(VolumeMonthlyOverFlag,INDEX(VolumeMonthlyOver,AE19),Volume),0))</f>
        <v>150</v>
      </c>
      <c r="AI19" s="236">
        <f t="shared" ref="AI19:AI30" si="63">IF(AND(WeekDef=8,CustomSaFlag,CustomSaPeriod=4),INDEX(VolumeHourlyOver,I5,2),IF(OR(WeekDef=1,WeekDef=2,WeekDef=5,WeekDef=6,AND(WeekDef=8,CustomSaFlag,OR(CustomSaPeriod=1,CustomSaPeriod=2))),IF(VolumeMonthlyOverFlag,INDEX(VolumeMonthlyOver,AE19),Volume),0))</f>
        <v>150</v>
      </c>
      <c r="AJ19" s="236">
        <f t="shared" ref="AJ19:AJ30" si="64">IF(AND(WeekDef=8,CustomSaFlag,CustomSaPeriod=4),INDEX(VolumeHourlyOver,J5,2),IF(OR(WeekDef=1,WeekDef=2,WeekDef=5,WeekDef=6,AND(WeekDef=8,CustomSaFlag,OR(CustomSaPeriod=1,CustomSaPeriod=2))),IF(VolumeMonthlyOverFlag,INDEX(VolumeMonthlyOver,AE19),Volume),0))</f>
        <v>150</v>
      </c>
      <c r="AK19" s="236">
        <f t="shared" ref="AK19:AK30" si="65">IF(AND(WeekDef=8,CustomSaFlag,CustomSaPeriod=4),INDEX(VolumeHourlyOver,K5,2),IF(OR(WeekDef=1,WeekDef=2,WeekDef=5,WeekDef=6,AND(WeekDef=8,CustomSaFlag,OR(CustomSaPeriod=1,CustomSaPeriod=2))),IF(VolumeMonthlyOverFlag,INDEX(VolumeMonthlyOver,AE19),Volume),0))</f>
        <v>150</v>
      </c>
      <c r="AL19" s="236">
        <f t="shared" ref="AL19:AL30" si="66">IF(AND(WeekDef=8,CustomSaFlag,CustomSaPeriod=4),INDEX(VolumeHourlyOver,L5,2),IF(OR(WeekDef=1,WeekDef=2,WeekDef=5,WeekDef=6,AND(WeekDef=8,CustomSaFlag,OR(CustomSaPeriod=1,CustomSaPeriod=2))),IF(VolumeMonthlyOverFlag,INDEX(VolumeMonthlyOver,AE19),Volume),0))</f>
        <v>150</v>
      </c>
      <c r="AM19" s="236">
        <f t="shared" ref="AM19:AM30" si="67">IF(AND(WeekDef=8,CustomSaFlag,CustomSaPeriod=4),INDEX(VolumeHourlyOver,M5,2),IF(OR(WeekDef=1,WeekDef=2,WeekDef=5,WeekDef=6,AND(WeekDef=8,CustomSaFlag,OR(CustomSaPeriod=1,CustomSaPeriod=2))),IF(VolumeMonthlyOverFlag,INDEX(VolumeMonthlyOver,AE19),Volume),0))</f>
        <v>150</v>
      </c>
      <c r="AN19" s="236">
        <f t="shared" ref="AN19:AN30" si="68">IF(AND(WeekDef=8,CustomSaFlag,CustomSaPeriod=4),INDEX(VolumeHourlyOver,N5,2),IF(OR(WeekDef=1,WeekDef=2,WeekDef=5,WeekDef=6,AND(WeekDef=8,CustomSaFlag,OR(CustomSaPeriod=1,CustomSaPeriod=2))),IF(VolumeMonthlyOverFlag,INDEX(VolumeMonthlyOver,AE19),Volume),0))</f>
        <v>150</v>
      </c>
      <c r="AO19" s="236">
        <f t="shared" ref="AO19:AO30" si="69">IF(AND(WeekDef=8,CustomSaFlag,CustomSaPeriod=4),INDEX(VolumeHourlyOver,O5,2),IF(OR(WeekDef=1,WeekDef=2,WeekDef=5,WeekDef=6,AND(WeekDef=8,CustomSaFlag,OR(CustomSaPeriod=1,CustomSaPeriod=2))),IF(VolumeMonthlyOverFlag,INDEX(VolumeMonthlyOver,AE19),Volume),0))</f>
        <v>150</v>
      </c>
      <c r="AP19" s="236">
        <f t="shared" ref="AP19:AP30" si="70">IF(AND(WeekDef=8,CustomSaFlag,CustomSaPeriod=4),INDEX(VolumeHourlyOver,P5,2),IF(OR(WeekDef=1,WeekDef=2,WeekDef=5,WeekDef=6,AND(WeekDef=8,CustomSaFlag,OR(CustomSaPeriod=1,CustomSaPeriod=2))),IF(VolumeMonthlyOverFlag,INDEX(VolumeMonthlyOver,AE19),Volume),0))</f>
        <v>150</v>
      </c>
      <c r="AQ19" s="236">
        <f t="shared" ref="AQ19:AQ30" si="71">IF(AND(WeekDef=8,CustomSaFlag,CustomSaPeriod=4),INDEX(VolumeHourlyOver,Q5,2),IF(OR(WeekDef=1,WeekDef=2,WeekDef=5,WeekDef=6,AND(WeekDef=8,CustomSaFlag,OR(CustomSaPeriod=1,CustomSaPeriod=2))),IF(VolumeMonthlyOverFlag,INDEX(VolumeMonthlyOver,AE19),Volume),0))</f>
        <v>150</v>
      </c>
      <c r="AR19" s="236">
        <f t="shared" ref="AR19:AR30" si="72">IF(AND(WeekDef=8,CustomSaFlag,CustomSaPeriod=4),INDEX(VolumeHourlyOver,R5,2),IF(OR(WeekDef=1,WeekDef=2,WeekDef=5,WeekDef=6,AND(WeekDef=8,CustomSaFlag,OR(CustomSaPeriod=1,CustomSaPeriod=2))),IF(VolumeMonthlyOverFlag,INDEX(VolumeMonthlyOver,AE19),Volume),0))</f>
        <v>150</v>
      </c>
      <c r="AS19" s="236">
        <f t="shared" ref="AS19:AS30" si="73">IF(AND(WeekDef=8,CustomSaFlag,CustomSaPeriod=4),INDEX(VolumeHourlyOver,S5,2),IF(OR(WeekDef=1,WeekDef=2,WeekDef=5,WeekDef=6,AND(WeekDef=8,CustomSaFlag,OR(CustomSaPeriod=1,CustomSaPeriod=2))),IF(VolumeMonthlyOverFlag,INDEX(VolumeMonthlyOver,AE19),Volume),0))</f>
        <v>150</v>
      </c>
      <c r="AT19" s="236">
        <f t="shared" ref="AT19:AT30" si="74">IF(AND(WeekDef=8,CustomSaFlag,CustomSaPeriod=4),INDEX(VolumeHourlyOver,T5,2),IF(OR(WeekDef=1,WeekDef=2,WeekDef=5,WeekDef=6,AND(WeekDef=8,CustomSaFlag,OR(CustomSaPeriod=1,CustomSaPeriod=2))),IF(VolumeMonthlyOverFlag,INDEX(VolumeMonthlyOver,AE19),Volume),0))</f>
        <v>150</v>
      </c>
      <c r="AU19" s="237">
        <f t="shared" ref="AU19:AU30" si="75">IF(AND(WeekDef=8,CustomSaFlag,CustomSaPeriod=4),INDEX(VolumeHourlyOver,U5,2),IF(OR(WeekDef=1,WeekDef=2,WeekDef=5,WeekDef=6,AND(WeekDef=8,CustomSaFlag,OR(CustomSaPeriod=1,CustomSaPeriod=2))),IF(VolumeMonthlyOverFlag,INDEX(VolumeMonthlyOver,AE19),Volume),0))</f>
        <v>150</v>
      </c>
      <c r="AV19" s="236">
        <f t="shared" ref="AV19:AV30" si="76">IF(AND(WeekDef=8,CustomSaFlag,CustomSaPeriod=4),INDEX(VolumeHourlyOver,V5,2),IF(OR(WeekDef=1,WeekDef=3,WeekDef=5,WeekDef=7,AND(WeekDef=8,CustomSaFlag,OR(CustomSaPeriod=1,CustomSaPeriod=3))),IF(VolumeMonthlyOverFlag,INDEX(VolumeMonthlyOver,AE19),Volume),0))</f>
        <v>150</v>
      </c>
      <c r="AW19" s="236">
        <f t="shared" ref="AW19:AW30" si="77">IF(AND(WeekDef=8,CustomSaFlag,CustomSaPeriod=4),INDEX(VolumeHourlyOver,W5,2),IF(OR(WeekDef=1,WeekDef=3,WeekDef=5,WeekDef=7,AND(WeekDef=8,CustomSaFlag,OR(CustomSaPeriod=1,CustomSaPeriod=3))),IF(VolumeMonthlyOverFlag,INDEX(VolumeMonthlyOver,AE19),Volume),0))</f>
        <v>150</v>
      </c>
      <c r="AX19" s="236">
        <f t="shared" ref="AX19:AX30" si="78">IF(AND(WeekDef=8,CustomSaFlag,CustomSaPeriod=4),INDEX(VolumeHourlyOver,X5,2),IF(OR(WeekDef=1,WeekDef=3,WeekDef=5,WeekDef=7,AND(WeekDef=8,CustomSaFlag,OR(CustomSaPeriod=1,CustomSaPeriod=3))),IF(VolumeMonthlyOverFlag,INDEX(VolumeMonthlyOver,AE19),Volume),0))</f>
        <v>150</v>
      </c>
      <c r="AY19" s="236">
        <f t="shared" ref="AY19:AY30" si="79">IF(AND(WeekDef=8,CustomSaFlag,CustomSaPeriod=4),INDEX(VolumeHourlyOver,Y5,2),IF(OR(WeekDef=1,WeekDef=3,WeekDef=5,WeekDef=7,AND(WeekDef=8,CustomSaFlag,OR(CustomSaPeriod=1,CustomSaPeriod=3))),IF(VolumeMonthlyOverFlag,INDEX(VolumeMonthlyOver,AE19),Volume),0))</f>
        <v>150</v>
      </c>
      <c r="AZ19" s="236">
        <f t="shared" ref="AZ19:AZ30" si="80">IF(AND(WeekDef=8,CustomSaFlag,CustomSaPeriod=4),INDEX(VolumeHourlyOver,Z5,2),IF(OR(WeekDef=1,WeekDef=3,WeekDef=5,WeekDef=7,AND(WeekDef=8,CustomSaFlag,OR(CustomSaPeriod=1,CustomSaPeriod=3))),IF(VolumeMonthlyOverFlag,INDEX(VolumeMonthlyOver,AE19),Volume),0))</f>
        <v>150</v>
      </c>
      <c r="BA19" s="236">
        <f t="shared" ref="BA19:BA30" si="81">IF(AND(WeekDef=8,CustomSaFlag,CustomSaPeriod=4),INDEX(VolumeHourlyOver,AA5,2),IF(OR(WeekDef=1,WeekDef=3,WeekDef=5,WeekDef=7,AND(WeekDef=8,CustomSaFlag,OR(CustomSaPeriod=1,CustomSaPeriod=3))),IF(VolumeMonthlyOverFlag,INDEX(VolumeMonthlyOver,AE19),Volume),0))</f>
        <v>150</v>
      </c>
      <c r="BB19" s="236">
        <f t="shared" ref="BB19:BB30" si="82">IF(AND(WeekDef=8,CustomSaFlag,CustomSaPeriod=4),INDEX(VolumeHourlyOver,AB5,2),IF(OR(WeekDef=1,WeekDef=3,WeekDef=5,WeekDef=7,AND(WeekDef=8,CustomSaFlag,OR(CustomSaPeriod=1,CustomSaPeriod=3))),IF(VolumeMonthlyOverFlag,INDEX(VolumeMonthlyOver,AE19),Volume),0))</f>
        <v>150</v>
      </c>
      <c r="BC19" s="237">
        <f t="shared" ref="BC19:BC30" si="83">IF(AND(WeekDef=8,CustomSaFlag,CustomSaPeriod=4),INDEX(VolumeHourlyOver,AC5,2),IF(OR(WeekDef=1,WeekDef=3,WeekDef=5,WeekDef=7,AND(WeekDef=8,CustomSaFlag,OR(CustomSaPeriod=1,CustomSaPeriod=3))),IF(VolumeMonthlyOverFlag,INDEX(VolumeMonthlyOver,AE19),Volume),0))</f>
        <v>150</v>
      </c>
      <c r="BD19" s="306">
        <f t="shared" ref="BD19:BD34" si="84">SUM(AF19:AU19)</f>
        <v>2400</v>
      </c>
      <c r="BE19" s="304">
        <f t="shared" ref="BE19:BE34" si="85">SUM(AV19:BC19)</f>
        <v>1200</v>
      </c>
      <c r="BF19" s="307">
        <f t="shared" ref="BF19:BF34" si="86">BD19+BE19</f>
        <v>3600</v>
      </c>
      <c r="BG19" s="333">
        <f>IF(BD19,SUMPRODUCT(AF19:AU19,F21:U21)/BD19,0)</f>
        <v>0.9999999962747097</v>
      </c>
      <c r="BH19" s="335">
        <f>IF(BE19,SUMPRODUCT(AV19:BC19,V21:AC21)/BE19,0)</f>
        <v>0.9999999925494194</v>
      </c>
      <c r="BJ19" s="229">
        <v>1</v>
      </c>
      <c r="BK19" s="235">
        <f t="shared" ref="BK19:BK30" si="87">IF(AND(WeekDef=8,CustomSaFlag,CustomSaPeriod=4),INDEX(IF(DiffOptVolumeFlag,DiffOptVolumeHourlyOver,VolumeHourlyOver),F5,2),IF(OR(WeekDef=1,WeekDef=2,WeekDef=5,WeekDef=6,AND(WeekDef=8,CustomSaFlag,OR(CustomSaPeriod=1,CustomSaPeriod=2))),IF(VolumeMonthlyOverFlag,INDEX(IF(DiffOptVolumeFlag,DiffOptVolumeMonthlyOver,VolumeMonthlyOver),BJ19),IF(DiffOptVolumeFlag,DiffOptVolume,Volume)),0))</f>
        <v>600</v>
      </c>
      <c r="BL19" s="236">
        <f t="shared" ref="BL19:BL30" si="88">IF(AND(WeekDef=8,CustomSaFlag,CustomSaPeriod=4),INDEX(IF(DiffOptVolumeFlag,DiffOptVolumeHourlyOver,VolumeHourlyOver),G5,2),IF(OR(WeekDef=1,WeekDef=2,WeekDef=5,WeekDef=6,AND(WeekDef=8,CustomSaFlag,OR(CustomSaPeriod=1,CustomSaPeriod=2))),IF(VolumeMonthlyOverFlag,INDEX(IF(DiffOptVolumeFlag,DiffOptVolumeMonthlyOver,VolumeMonthlyOver),BJ19),IF(DiffOptVolumeFlag,DiffOptVolume,Volume)),0))</f>
        <v>600</v>
      </c>
      <c r="BM19" s="236">
        <f t="shared" ref="BM19:BM30" si="89">IF(AND(WeekDef=8,CustomSaFlag,CustomSaPeriod=4),INDEX(IF(DiffOptVolumeFlag,DiffOptVolumeHourlyOver,VolumeHourlyOver),H5,2),IF(OR(WeekDef=1,WeekDef=2,WeekDef=5,WeekDef=6,AND(WeekDef=8,CustomSaFlag,OR(CustomSaPeriod=1,CustomSaPeriod=2))),IF(VolumeMonthlyOverFlag,INDEX(IF(DiffOptVolumeFlag,DiffOptVolumeMonthlyOver,VolumeMonthlyOver),BJ19),IF(DiffOptVolumeFlag,DiffOptVolume,Volume)),0))</f>
        <v>600</v>
      </c>
      <c r="BN19" s="236">
        <f t="shared" ref="BN19:BN30" si="90">IF(AND(WeekDef=8,CustomSaFlag,CustomSaPeriod=4),INDEX(IF(DiffOptVolumeFlag,DiffOptVolumeHourlyOver,VolumeHourlyOver),I5,2),IF(OR(WeekDef=1,WeekDef=2,WeekDef=5,WeekDef=6,AND(WeekDef=8,CustomSaFlag,OR(CustomSaPeriod=1,CustomSaPeriod=2))),IF(VolumeMonthlyOverFlag,INDEX(IF(DiffOptVolumeFlag,DiffOptVolumeMonthlyOver,VolumeMonthlyOver),BJ19),IF(DiffOptVolumeFlag,DiffOptVolume,Volume)),0))</f>
        <v>600</v>
      </c>
      <c r="BO19" s="236">
        <f t="shared" ref="BO19:BO30" si="91">IF(AND(WeekDef=8,CustomSaFlag,CustomSaPeriod=4),INDEX(IF(DiffOptVolumeFlag,DiffOptVolumeHourlyOver,VolumeHourlyOver),J5,2),IF(OR(WeekDef=1,WeekDef=2,WeekDef=5,WeekDef=6,AND(WeekDef=8,CustomSaFlag,OR(CustomSaPeriod=1,CustomSaPeriod=2))),IF(VolumeMonthlyOverFlag,INDEX(IF(DiffOptVolumeFlag,DiffOptVolumeMonthlyOver,VolumeMonthlyOver),BJ19),IF(DiffOptVolumeFlag,DiffOptVolume,Volume)),0))</f>
        <v>600</v>
      </c>
      <c r="BP19" s="236">
        <f t="shared" ref="BP19:BP30" si="92">IF(AND(WeekDef=8,CustomSaFlag,CustomSaPeriod=4),INDEX(IF(DiffOptVolumeFlag,DiffOptVolumeHourlyOver,VolumeHourlyOver),K5,2),IF(OR(WeekDef=1,WeekDef=2,WeekDef=5,WeekDef=6,AND(WeekDef=8,CustomSaFlag,OR(CustomSaPeriod=1,CustomSaPeriod=2))),IF(VolumeMonthlyOverFlag,INDEX(IF(DiffOptVolumeFlag,DiffOptVolumeMonthlyOver,VolumeMonthlyOver),BJ19),IF(DiffOptVolumeFlag,DiffOptVolume,Volume)),0))</f>
        <v>600</v>
      </c>
      <c r="BQ19" s="236">
        <f t="shared" ref="BQ19:BQ30" si="93">IF(AND(WeekDef=8,CustomSaFlag,CustomSaPeriod=4),INDEX(IF(DiffOptVolumeFlag,DiffOptVolumeHourlyOver,VolumeHourlyOver),L5,2),IF(OR(WeekDef=1,WeekDef=2,WeekDef=5,WeekDef=6,AND(WeekDef=8,CustomSaFlag,OR(CustomSaPeriod=1,CustomSaPeriod=2))),IF(VolumeMonthlyOverFlag,INDEX(IF(DiffOptVolumeFlag,DiffOptVolumeMonthlyOver,VolumeMonthlyOver),BJ19),IF(DiffOptVolumeFlag,DiffOptVolume,Volume)),0))</f>
        <v>600</v>
      </c>
      <c r="BR19" s="236">
        <f t="shared" ref="BR19:BR30" si="94">IF(AND(WeekDef=8,CustomSaFlag,CustomSaPeriod=4),INDEX(IF(DiffOptVolumeFlag,DiffOptVolumeHourlyOver,VolumeHourlyOver),M5,2),IF(OR(WeekDef=1,WeekDef=2,WeekDef=5,WeekDef=6,AND(WeekDef=8,CustomSaFlag,OR(CustomSaPeriod=1,CustomSaPeriod=2))),IF(VolumeMonthlyOverFlag,INDEX(IF(DiffOptVolumeFlag,DiffOptVolumeMonthlyOver,VolumeMonthlyOver),BJ19),IF(DiffOptVolumeFlag,DiffOptVolume,Volume)),0))</f>
        <v>600</v>
      </c>
      <c r="BS19" s="236">
        <f t="shared" ref="BS19:BS30" si="95">IF(AND(WeekDef=8,CustomSaFlag,CustomSaPeriod=4),INDEX(IF(DiffOptVolumeFlag,DiffOptVolumeHourlyOver,VolumeHourlyOver),N5,2),IF(OR(WeekDef=1,WeekDef=2,WeekDef=5,WeekDef=6,AND(WeekDef=8,CustomSaFlag,OR(CustomSaPeriod=1,CustomSaPeriod=2))),IF(VolumeMonthlyOverFlag,INDEX(IF(DiffOptVolumeFlag,DiffOptVolumeMonthlyOver,VolumeMonthlyOver),BJ19),IF(DiffOptVolumeFlag,DiffOptVolume,Volume)),0))</f>
        <v>600</v>
      </c>
      <c r="BT19" s="236">
        <f t="shared" ref="BT19:BT30" si="96">IF(AND(WeekDef=8,CustomSaFlag,CustomSaPeriod=4),INDEX(IF(DiffOptVolumeFlag,DiffOptVolumeHourlyOver,VolumeHourlyOver),O5,2),IF(OR(WeekDef=1,WeekDef=2,WeekDef=5,WeekDef=6,AND(WeekDef=8,CustomSaFlag,OR(CustomSaPeriod=1,CustomSaPeriod=2))),IF(VolumeMonthlyOverFlag,INDEX(IF(DiffOptVolumeFlag,DiffOptVolumeMonthlyOver,VolumeMonthlyOver),BJ19),IF(DiffOptVolumeFlag,DiffOptVolume,Volume)),0))</f>
        <v>600</v>
      </c>
      <c r="BU19" s="236">
        <f t="shared" ref="BU19:BU30" si="97">IF(AND(WeekDef=8,CustomSaFlag,CustomSaPeriod=4),INDEX(IF(DiffOptVolumeFlag,DiffOptVolumeHourlyOver,VolumeHourlyOver),P5,2),IF(OR(WeekDef=1,WeekDef=2,WeekDef=5,WeekDef=6,AND(WeekDef=8,CustomSaFlag,OR(CustomSaPeriod=1,CustomSaPeriod=2))),IF(VolumeMonthlyOverFlag,INDEX(IF(DiffOptVolumeFlag,DiffOptVolumeMonthlyOver,VolumeMonthlyOver),BJ19),IF(DiffOptVolumeFlag,DiffOptVolume,Volume)),0))</f>
        <v>600</v>
      </c>
      <c r="BV19" s="236">
        <f t="shared" ref="BV19:BV30" si="98">IF(AND(WeekDef=8,CustomSaFlag,CustomSaPeriod=4),INDEX(IF(DiffOptVolumeFlag,DiffOptVolumeHourlyOver,VolumeHourlyOver),Q5,2),IF(OR(WeekDef=1,WeekDef=2,WeekDef=5,WeekDef=6,AND(WeekDef=8,CustomSaFlag,OR(CustomSaPeriod=1,CustomSaPeriod=2))),IF(VolumeMonthlyOverFlag,INDEX(IF(DiffOptVolumeFlag,DiffOptVolumeMonthlyOver,VolumeMonthlyOver),BJ19),IF(DiffOptVolumeFlag,DiffOptVolume,Volume)),0))</f>
        <v>600</v>
      </c>
      <c r="BW19" s="236">
        <f t="shared" ref="BW19:BW30" si="99">IF(AND(WeekDef=8,CustomSaFlag,CustomSaPeriod=4),INDEX(IF(DiffOptVolumeFlag,DiffOptVolumeHourlyOver,VolumeHourlyOver),R5,2),IF(OR(WeekDef=1,WeekDef=2,WeekDef=5,WeekDef=6,AND(WeekDef=8,CustomSaFlag,OR(CustomSaPeriod=1,CustomSaPeriod=2))),IF(VolumeMonthlyOverFlag,INDEX(IF(DiffOptVolumeFlag,DiffOptVolumeMonthlyOver,VolumeMonthlyOver),BJ19),IF(DiffOptVolumeFlag,DiffOptVolume,Volume)),0))</f>
        <v>600</v>
      </c>
      <c r="BX19" s="236">
        <f t="shared" ref="BX19:BX30" si="100">IF(AND(WeekDef=8,CustomSaFlag,CustomSaPeriod=4),INDEX(IF(DiffOptVolumeFlag,DiffOptVolumeHourlyOver,VolumeHourlyOver),S5,2),IF(OR(WeekDef=1,WeekDef=2,WeekDef=5,WeekDef=6,AND(WeekDef=8,CustomSaFlag,OR(CustomSaPeriod=1,CustomSaPeriod=2))),IF(VolumeMonthlyOverFlag,INDEX(IF(DiffOptVolumeFlag,DiffOptVolumeMonthlyOver,VolumeMonthlyOver),BJ19),IF(DiffOptVolumeFlag,DiffOptVolume,Volume)),0))</f>
        <v>600</v>
      </c>
      <c r="BY19" s="236">
        <f t="shared" ref="BY19:BY30" si="101">IF(AND(WeekDef=8,CustomSaFlag,CustomSaPeriod=4),INDEX(IF(DiffOptVolumeFlag,DiffOptVolumeHourlyOver,VolumeHourlyOver),T5,2),IF(OR(WeekDef=1,WeekDef=2,WeekDef=5,WeekDef=6,AND(WeekDef=8,CustomSaFlag,OR(CustomSaPeriod=1,CustomSaPeriod=2))),IF(VolumeMonthlyOverFlag,INDEX(IF(DiffOptVolumeFlag,DiffOptVolumeMonthlyOver,VolumeMonthlyOver),BJ19),IF(DiffOptVolumeFlag,DiffOptVolume,Volume)),0))</f>
        <v>600</v>
      </c>
      <c r="BZ19" s="237">
        <f t="shared" ref="BZ19:BZ30" si="102">IF(AND(WeekDef=8,CustomSaFlag,CustomSaPeriod=4),INDEX(IF(DiffOptVolumeFlag,DiffOptVolumeHourlyOver,VolumeHourlyOver),U5,2),IF(OR(WeekDef=1,WeekDef=2,WeekDef=5,WeekDef=6,AND(WeekDef=8,CustomSaFlag,OR(CustomSaPeriod=1,CustomSaPeriod=2))),IF(VolumeMonthlyOverFlag,INDEX(IF(DiffOptVolumeFlag,DiffOptVolumeMonthlyOver,VolumeMonthlyOver),BJ19),IF(DiffOptVolumeFlag,DiffOptVolume,Volume)),0))</f>
        <v>600</v>
      </c>
      <c r="CA19" s="236">
        <f t="shared" ref="CA19:CA30" si="103">IF(AND(WeekDef=8,CustomSaFlag,CustomSaPeriod=4),INDEX(IF(DiffOptVolumeFlag,DiffOptVolumeHourlyOver,VolumeHourlyOver),V5,2),IF(OR(WeekDef=1,WeekDef=3,WeekDef=5,WeekDef=7,AND(WeekDef=8,CustomSaFlag,OR(CustomSaPeriod=1,CustomSaPeriod=3))),IF(VolumeMonthlyOverFlag,INDEX(IF(DiffOptVolumeFlag,DiffOptVolumeMonthlyOver,VolumeMonthlyOver),BJ19),IF(DiffOptVolumeFlag,DiffOptVolume,Volume)),0))</f>
        <v>600</v>
      </c>
      <c r="CB19" s="236">
        <f t="shared" ref="CB19:CB30" si="104">IF(AND(WeekDef=8,CustomSaFlag,CustomSaPeriod=4),INDEX(IF(DiffOptVolumeFlag,DiffOptVolumeHourlyOver,VolumeHourlyOver),W5,2),IF(OR(WeekDef=1,WeekDef=3,WeekDef=5,WeekDef=7,AND(WeekDef=8,CustomSaFlag,OR(CustomSaPeriod=1,CustomSaPeriod=3))),IF(VolumeMonthlyOverFlag,INDEX(IF(DiffOptVolumeFlag,DiffOptVolumeMonthlyOver,VolumeMonthlyOver),BJ19),IF(DiffOptVolumeFlag,DiffOptVolume,Volume)),0))</f>
        <v>600</v>
      </c>
      <c r="CC19" s="236">
        <f t="shared" ref="CC19:CC30" si="105">IF(AND(WeekDef=8,CustomSaFlag,CustomSaPeriod=4),INDEX(IF(DiffOptVolumeFlag,DiffOptVolumeHourlyOver,VolumeHourlyOver),X5,2),IF(OR(WeekDef=1,WeekDef=3,WeekDef=5,WeekDef=7,AND(WeekDef=8,CustomSaFlag,OR(CustomSaPeriod=1,CustomSaPeriod=3))),IF(VolumeMonthlyOverFlag,INDEX(IF(DiffOptVolumeFlag,DiffOptVolumeMonthlyOver,VolumeMonthlyOver),BJ19),IF(DiffOptVolumeFlag,DiffOptVolume,Volume)),0))</f>
        <v>600</v>
      </c>
      <c r="CD19" s="236">
        <f t="shared" ref="CD19:CD30" si="106">IF(AND(WeekDef=8,CustomSaFlag,CustomSaPeriod=4),INDEX(IF(DiffOptVolumeFlag,DiffOptVolumeHourlyOver,VolumeHourlyOver),Y5,2),IF(OR(WeekDef=1,WeekDef=3,WeekDef=5,WeekDef=7,AND(WeekDef=8,CustomSaFlag,OR(CustomSaPeriod=1,CustomSaPeriod=3))),IF(VolumeMonthlyOverFlag,INDEX(IF(DiffOptVolumeFlag,DiffOptVolumeMonthlyOver,VolumeMonthlyOver),BJ19),IF(DiffOptVolumeFlag,DiffOptVolume,Volume)),0))</f>
        <v>600</v>
      </c>
      <c r="CE19" s="236">
        <f t="shared" ref="CE19:CE30" si="107">IF(AND(WeekDef=8,CustomSaFlag,CustomSaPeriod=4),INDEX(IF(DiffOptVolumeFlag,DiffOptVolumeHourlyOver,VolumeHourlyOver),Z5,2),IF(OR(WeekDef=1,WeekDef=3,WeekDef=5,WeekDef=7,AND(WeekDef=8,CustomSaFlag,OR(CustomSaPeriod=1,CustomSaPeriod=3))),IF(VolumeMonthlyOverFlag,INDEX(IF(DiffOptVolumeFlag,DiffOptVolumeMonthlyOver,VolumeMonthlyOver),BJ19),IF(DiffOptVolumeFlag,DiffOptVolume,Volume)),0))</f>
        <v>600</v>
      </c>
      <c r="CF19" s="236">
        <f t="shared" ref="CF19:CF30" si="108">IF(AND(WeekDef=8,CustomSaFlag,CustomSaPeriod=4),INDEX(IF(DiffOptVolumeFlag,DiffOptVolumeHourlyOver,VolumeHourlyOver),AA5,2),IF(OR(WeekDef=1,WeekDef=3,WeekDef=5,WeekDef=7,AND(WeekDef=8,CustomSaFlag,OR(CustomSaPeriod=1,CustomSaPeriod=3))),IF(VolumeMonthlyOverFlag,INDEX(IF(DiffOptVolumeFlag,DiffOptVolumeMonthlyOver,VolumeMonthlyOver),BJ19),IF(DiffOptVolumeFlag,DiffOptVolume,Volume)),0))</f>
        <v>600</v>
      </c>
      <c r="CG19" s="236">
        <f t="shared" ref="CG19:CG30" si="109">IF(AND(WeekDef=8,CustomSaFlag,CustomSaPeriod=4),INDEX(IF(DiffOptVolumeFlag,DiffOptVolumeHourlyOver,VolumeHourlyOver),AB5,2),IF(OR(WeekDef=1,WeekDef=3,WeekDef=5,WeekDef=7,AND(WeekDef=8,CustomSaFlag,OR(CustomSaPeriod=1,CustomSaPeriod=3))),IF(VolumeMonthlyOverFlag,INDEX(IF(DiffOptVolumeFlag,DiffOptVolumeMonthlyOver,VolumeMonthlyOver),BJ19),IF(DiffOptVolumeFlag,DiffOptVolume,Volume)),0))</f>
        <v>600</v>
      </c>
      <c r="CH19" s="237">
        <f t="shared" ref="CH19:CH30" si="110">IF(AND(WeekDef=8,CustomSaFlag,CustomSaPeriod=4),INDEX(IF(DiffOptVolumeFlag,DiffOptVolumeHourlyOver,VolumeHourlyOver),AC5,2),IF(OR(WeekDef=1,WeekDef=3,WeekDef=5,WeekDef=7,AND(WeekDef=8,CustomSaFlag,OR(CustomSaPeriod=1,CustomSaPeriod=3))),IF(VolumeMonthlyOverFlag,INDEX(IF(DiffOptVolumeFlag,DiffOptVolumeMonthlyOver,VolumeMonthlyOver),BJ19),IF(DiffOptVolumeFlag,DiffOptVolume,Volume)),0))</f>
        <v>600</v>
      </c>
      <c r="CI19" s="306">
        <f t="shared" ref="CI19:CI34" si="111">SUM(BK19:BZ19)</f>
        <v>9600</v>
      </c>
      <c r="CJ19" s="304">
        <f t="shared" ref="CJ19:CJ34" si="112">SUM(CA19:CH19)</f>
        <v>4800</v>
      </c>
      <c r="CK19" s="307">
        <f t="shared" ref="CK19:CK34" si="113">CI19+CJ19</f>
        <v>14400</v>
      </c>
      <c r="CL19" s="333">
        <f>IF(CI19,SUMPRODUCT(BK19:BZ19,F21:U21)/CI19,0)</f>
        <v>0.9999999962747097</v>
      </c>
      <c r="CM19" s="335">
        <f>IF(CJ19,SUMPRODUCT(CA19:CH19,V21:AC21)/CJ19,0)</f>
        <v>0.9999999925494194</v>
      </c>
    </row>
    <row r="20" spans="3:91">
      <c r="C20" s="113"/>
      <c r="D20" s="113"/>
      <c r="E20" s="226" t="s">
        <v>307</v>
      </c>
      <c r="F20" s="226">
        <v>1</v>
      </c>
      <c r="G20" s="227">
        <v>2</v>
      </c>
      <c r="H20" s="227">
        <v>3</v>
      </c>
      <c r="I20" s="227">
        <v>4</v>
      </c>
      <c r="J20" s="227">
        <v>5</v>
      </c>
      <c r="K20" s="227">
        <v>6</v>
      </c>
      <c r="L20" s="227">
        <v>7</v>
      </c>
      <c r="M20" s="227">
        <v>8</v>
      </c>
      <c r="N20" s="227">
        <v>9</v>
      </c>
      <c r="O20" s="227">
        <v>10</v>
      </c>
      <c r="P20" s="227">
        <v>11</v>
      </c>
      <c r="Q20" s="227">
        <v>12</v>
      </c>
      <c r="R20" s="227">
        <v>13</v>
      </c>
      <c r="S20" s="227">
        <v>14</v>
      </c>
      <c r="T20" s="227">
        <v>15</v>
      </c>
      <c r="U20" s="228">
        <v>16</v>
      </c>
      <c r="V20" s="227">
        <v>1</v>
      </c>
      <c r="W20" s="227">
        <v>2</v>
      </c>
      <c r="X20" s="227">
        <v>3</v>
      </c>
      <c r="Y20" s="227">
        <v>4</v>
      </c>
      <c r="Z20" s="227">
        <v>5</v>
      </c>
      <c r="AA20" s="227">
        <v>6</v>
      </c>
      <c r="AB20" s="227">
        <v>7</v>
      </c>
      <c r="AC20" s="228">
        <v>8</v>
      </c>
      <c r="AD20" s="113"/>
      <c r="AE20" s="229">
        <v>2</v>
      </c>
      <c r="AF20" s="232">
        <f t="shared" si="60"/>
        <v>150</v>
      </c>
      <c r="AG20" s="233">
        <f t="shared" si="61"/>
        <v>150</v>
      </c>
      <c r="AH20" s="233">
        <f t="shared" si="62"/>
        <v>150</v>
      </c>
      <c r="AI20" s="233">
        <f t="shared" si="63"/>
        <v>150</v>
      </c>
      <c r="AJ20" s="233">
        <f t="shared" si="64"/>
        <v>150</v>
      </c>
      <c r="AK20" s="233">
        <f t="shared" si="65"/>
        <v>150</v>
      </c>
      <c r="AL20" s="233">
        <f t="shared" si="66"/>
        <v>150</v>
      </c>
      <c r="AM20" s="233">
        <f t="shared" si="67"/>
        <v>150</v>
      </c>
      <c r="AN20" s="233">
        <f t="shared" si="68"/>
        <v>150</v>
      </c>
      <c r="AO20" s="233">
        <f t="shared" si="69"/>
        <v>150</v>
      </c>
      <c r="AP20" s="233">
        <f t="shared" si="70"/>
        <v>150</v>
      </c>
      <c r="AQ20" s="233">
        <f t="shared" si="71"/>
        <v>150</v>
      </c>
      <c r="AR20" s="233">
        <f t="shared" si="72"/>
        <v>150</v>
      </c>
      <c r="AS20" s="233">
        <f t="shared" si="73"/>
        <v>150</v>
      </c>
      <c r="AT20" s="233">
        <f t="shared" si="74"/>
        <v>150</v>
      </c>
      <c r="AU20" s="234">
        <f t="shared" si="75"/>
        <v>150</v>
      </c>
      <c r="AV20" s="233">
        <f t="shared" si="76"/>
        <v>150</v>
      </c>
      <c r="AW20" s="233">
        <f t="shared" si="77"/>
        <v>150</v>
      </c>
      <c r="AX20" s="233">
        <f t="shared" si="78"/>
        <v>150</v>
      </c>
      <c r="AY20" s="233">
        <f t="shared" si="79"/>
        <v>150</v>
      </c>
      <c r="AZ20" s="233">
        <f t="shared" si="80"/>
        <v>150</v>
      </c>
      <c r="BA20" s="233">
        <f t="shared" si="81"/>
        <v>150</v>
      </c>
      <c r="BB20" s="233">
        <f t="shared" si="82"/>
        <v>150</v>
      </c>
      <c r="BC20" s="234">
        <f t="shared" si="83"/>
        <v>150</v>
      </c>
      <c r="BD20" s="306">
        <f t="shared" si="84"/>
        <v>2400</v>
      </c>
      <c r="BE20" s="304">
        <f t="shared" si="85"/>
        <v>1200</v>
      </c>
      <c r="BF20" s="307">
        <f t="shared" si="86"/>
        <v>3600</v>
      </c>
      <c r="BG20" s="333">
        <f t="shared" ref="BG20:BG30" si="114">IF(BD20,SUMPRODUCT(AF20:AU20,F22:U22)/BD20,0)</f>
        <v>1</v>
      </c>
      <c r="BH20" s="330">
        <f t="shared" ref="BH20:BH30" si="115">IF(BE20,SUMPRODUCT(AV20:BC20,V22:AC22)/BE20,0)</f>
        <v>0.9999999925494194</v>
      </c>
      <c r="BJ20" s="229">
        <v>2</v>
      </c>
      <c r="BK20" s="232">
        <f t="shared" si="87"/>
        <v>600</v>
      </c>
      <c r="BL20" s="233">
        <f t="shared" si="88"/>
        <v>600</v>
      </c>
      <c r="BM20" s="233">
        <f t="shared" si="89"/>
        <v>600</v>
      </c>
      <c r="BN20" s="233">
        <f t="shared" si="90"/>
        <v>600</v>
      </c>
      <c r="BO20" s="233">
        <f t="shared" si="91"/>
        <v>600</v>
      </c>
      <c r="BP20" s="233">
        <f t="shared" si="92"/>
        <v>600</v>
      </c>
      <c r="BQ20" s="233">
        <f t="shared" si="93"/>
        <v>600</v>
      </c>
      <c r="BR20" s="233">
        <f t="shared" si="94"/>
        <v>600</v>
      </c>
      <c r="BS20" s="233">
        <f t="shared" si="95"/>
        <v>600</v>
      </c>
      <c r="BT20" s="233">
        <f t="shared" si="96"/>
        <v>600</v>
      </c>
      <c r="BU20" s="233">
        <f t="shared" si="97"/>
        <v>600</v>
      </c>
      <c r="BV20" s="233">
        <f t="shared" si="98"/>
        <v>600</v>
      </c>
      <c r="BW20" s="233">
        <f t="shared" si="99"/>
        <v>600</v>
      </c>
      <c r="BX20" s="233">
        <f t="shared" si="100"/>
        <v>600</v>
      </c>
      <c r="BY20" s="233">
        <f t="shared" si="101"/>
        <v>600</v>
      </c>
      <c r="BZ20" s="234">
        <f t="shared" si="102"/>
        <v>600</v>
      </c>
      <c r="CA20" s="233">
        <f t="shared" si="103"/>
        <v>600</v>
      </c>
      <c r="CB20" s="233">
        <f t="shared" si="104"/>
        <v>600</v>
      </c>
      <c r="CC20" s="233">
        <f t="shared" si="105"/>
        <v>600</v>
      </c>
      <c r="CD20" s="233">
        <f t="shared" si="106"/>
        <v>600</v>
      </c>
      <c r="CE20" s="233">
        <f t="shared" si="107"/>
        <v>600</v>
      </c>
      <c r="CF20" s="233">
        <f t="shared" si="108"/>
        <v>600</v>
      </c>
      <c r="CG20" s="233">
        <f t="shared" si="109"/>
        <v>600</v>
      </c>
      <c r="CH20" s="234">
        <f t="shared" si="110"/>
        <v>600</v>
      </c>
      <c r="CI20" s="306">
        <f t="shared" si="111"/>
        <v>9600</v>
      </c>
      <c r="CJ20" s="304">
        <f t="shared" si="112"/>
        <v>4800</v>
      </c>
      <c r="CK20" s="307">
        <f t="shared" si="113"/>
        <v>14400</v>
      </c>
      <c r="CL20" s="333">
        <f t="shared" ref="CL20:CL30" si="116">IF(CI20,SUMPRODUCT(BK20:BZ20,F22:U22)/CI20,0)</f>
        <v>1</v>
      </c>
      <c r="CM20" s="330">
        <f t="shared" ref="CM20:CM30" si="117">IF(CJ20,SUMPRODUCT(CA20:CH20,V22:AC22)/CJ20,0)</f>
        <v>0.9999999925494194</v>
      </c>
    </row>
    <row r="21" spans="3:91">
      <c r="C21" s="339"/>
      <c r="D21" s="113"/>
      <c r="E21" s="229">
        <v>1</v>
      </c>
      <c r="F21" s="245">
        <v>1.168248176574707</v>
      </c>
      <c r="G21" s="246">
        <v>1.1460912227630615</v>
      </c>
      <c r="H21" s="246">
        <v>1.075061559677124</v>
      </c>
      <c r="I21" s="246">
        <v>1.0624127388000488</v>
      </c>
      <c r="J21" s="246">
        <v>1.0567210912704468</v>
      </c>
      <c r="K21" s="246">
        <v>1.0432702302932739</v>
      </c>
      <c r="L21" s="246">
        <v>1.0241276025772095</v>
      </c>
      <c r="M21" s="246">
        <v>0.98871386051177979</v>
      </c>
      <c r="N21" s="246">
        <v>0.98292434215545654</v>
      </c>
      <c r="O21" s="246">
        <v>0.97627121210098267</v>
      </c>
      <c r="P21" s="246">
        <v>0.95577740669250488</v>
      </c>
      <c r="Q21" s="246">
        <v>0.92469143867492676</v>
      </c>
      <c r="R21" s="246">
        <v>0.91597211360931396</v>
      </c>
      <c r="S21" s="246">
        <v>0.9122127890586853</v>
      </c>
      <c r="T21" s="246">
        <v>0.90110713243484497</v>
      </c>
      <c r="U21" s="247">
        <v>0.86639702320098877</v>
      </c>
      <c r="V21" s="246">
        <v>1.1433638334274292</v>
      </c>
      <c r="W21" s="246">
        <v>1.1404422521591187</v>
      </c>
      <c r="X21" s="246">
        <v>1.0197602510452271</v>
      </c>
      <c r="Y21" s="246">
        <v>0.97301560640335083</v>
      </c>
      <c r="Z21" s="246">
        <v>0.96699291467666626</v>
      </c>
      <c r="AA21" s="246">
        <v>0.92592370510101318</v>
      </c>
      <c r="AB21" s="246">
        <v>0.92161399126052856</v>
      </c>
      <c r="AC21" s="247">
        <v>0.90888738632202148</v>
      </c>
      <c r="AD21" s="113"/>
      <c r="AE21" s="229">
        <v>3</v>
      </c>
      <c r="AF21" s="232">
        <f t="shared" si="60"/>
        <v>150</v>
      </c>
      <c r="AG21" s="233">
        <f t="shared" si="61"/>
        <v>150</v>
      </c>
      <c r="AH21" s="233">
        <f t="shared" si="62"/>
        <v>150</v>
      </c>
      <c r="AI21" s="233">
        <f t="shared" si="63"/>
        <v>150</v>
      </c>
      <c r="AJ21" s="233">
        <f t="shared" si="64"/>
        <v>150</v>
      </c>
      <c r="AK21" s="233">
        <f t="shared" si="65"/>
        <v>150</v>
      </c>
      <c r="AL21" s="233">
        <f t="shared" si="66"/>
        <v>150</v>
      </c>
      <c r="AM21" s="233">
        <f t="shared" si="67"/>
        <v>150</v>
      </c>
      <c r="AN21" s="233">
        <f t="shared" si="68"/>
        <v>150</v>
      </c>
      <c r="AO21" s="233">
        <f t="shared" si="69"/>
        <v>150</v>
      </c>
      <c r="AP21" s="233">
        <f t="shared" si="70"/>
        <v>150</v>
      </c>
      <c r="AQ21" s="233">
        <f t="shared" si="71"/>
        <v>150</v>
      </c>
      <c r="AR21" s="233">
        <f t="shared" si="72"/>
        <v>150</v>
      </c>
      <c r="AS21" s="233">
        <f t="shared" si="73"/>
        <v>150</v>
      </c>
      <c r="AT21" s="233">
        <f t="shared" si="74"/>
        <v>150</v>
      </c>
      <c r="AU21" s="234">
        <f t="shared" si="75"/>
        <v>150</v>
      </c>
      <c r="AV21" s="233">
        <f t="shared" si="76"/>
        <v>150</v>
      </c>
      <c r="AW21" s="233">
        <f t="shared" si="77"/>
        <v>150</v>
      </c>
      <c r="AX21" s="233">
        <f t="shared" si="78"/>
        <v>150</v>
      </c>
      <c r="AY21" s="233">
        <f t="shared" si="79"/>
        <v>150</v>
      </c>
      <c r="AZ21" s="233">
        <f t="shared" si="80"/>
        <v>150</v>
      </c>
      <c r="BA21" s="233">
        <f t="shared" si="81"/>
        <v>150</v>
      </c>
      <c r="BB21" s="233">
        <f t="shared" si="82"/>
        <v>150</v>
      </c>
      <c r="BC21" s="234">
        <f t="shared" si="83"/>
        <v>150</v>
      </c>
      <c r="BD21" s="306">
        <f t="shared" si="84"/>
        <v>2400</v>
      </c>
      <c r="BE21" s="304">
        <f t="shared" si="85"/>
        <v>1200</v>
      </c>
      <c r="BF21" s="307">
        <f t="shared" si="86"/>
        <v>3600</v>
      </c>
      <c r="BG21" s="333">
        <f t="shared" si="114"/>
        <v>0.9999999962747097</v>
      </c>
      <c r="BH21" s="330">
        <f t="shared" si="115"/>
        <v>1.0000000074505806</v>
      </c>
      <c r="BJ21" s="229">
        <v>3</v>
      </c>
      <c r="BK21" s="232">
        <f t="shared" si="87"/>
        <v>600</v>
      </c>
      <c r="BL21" s="233">
        <f t="shared" si="88"/>
        <v>600</v>
      </c>
      <c r="BM21" s="233">
        <f t="shared" si="89"/>
        <v>600</v>
      </c>
      <c r="BN21" s="233">
        <f t="shared" si="90"/>
        <v>600</v>
      </c>
      <c r="BO21" s="233">
        <f t="shared" si="91"/>
        <v>600</v>
      </c>
      <c r="BP21" s="233">
        <f t="shared" si="92"/>
        <v>600</v>
      </c>
      <c r="BQ21" s="233">
        <f t="shared" si="93"/>
        <v>600</v>
      </c>
      <c r="BR21" s="233">
        <f t="shared" si="94"/>
        <v>600</v>
      </c>
      <c r="BS21" s="233">
        <f t="shared" si="95"/>
        <v>600</v>
      </c>
      <c r="BT21" s="233">
        <f t="shared" si="96"/>
        <v>600</v>
      </c>
      <c r="BU21" s="233">
        <f t="shared" si="97"/>
        <v>600</v>
      </c>
      <c r="BV21" s="233">
        <f t="shared" si="98"/>
        <v>600</v>
      </c>
      <c r="BW21" s="233">
        <f t="shared" si="99"/>
        <v>600</v>
      </c>
      <c r="BX21" s="233">
        <f t="shared" si="100"/>
        <v>600</v>
      </c>
      <c r="BY21" s="233">
        <f t="shared" si="101"/>
        <v>600</v>
      </c>
      <c r="BZ21" s="234">
        <f t="shared" si="102"/>
        <v>600</v>
      </c>
      <c r="CA21" s="233">
        <f t="shared" si="103"/>
        <v>600</v>
      </c>
      <c r="CB21" s="233">
        <f t="shared" si="104"/>
        <v>600</v>
      </c>
      <c r="CC21" s="233">
        <f t="shared" si="105"/>
        <v>600</v>
      </c>
      <c r="CD21" s="233">
        <f t="shared" si="106"/>
        <v>600</v>
      </c>
      <c r="CE21" s="233">
        <f t="shared" si="107"/>
        <v>600</v>
      </c>
      <c r="CF21" s="233">
        <f t="shared" si="108"/>
        <v>600</v>
      </c>
      <c r="CG21" s="233">
        <f t="shared" si="109"/>
        <v>600</v>
      </c>
      <c r="CH21" s="234">
        <f t="shared" si="110"/>
        <v>600</v>
      </c>
      <c r="CI21" s="306">
        <f t="shared" si="111"/>
        <v>9600</v>
      </c>
      <c r="CJ21" s="304">
        <f t="shared" si="112"/>
        <v>4800</v>
      </c>
      <c r="CK21" s="307">
        <f t="shared" si="113"/>
        <v>14400</v>
      </c>
      <c r="CL21" s="333">
        <f t="shared" si="116"/>
        <v>0.9999999962747097</v>
      </c>
      <c r="CM21" s="330">
        <f t="shared" si="117"/>
        <v>1.0000000074505806</v>
      </c>
    </row>
    <row r="22" spans="3:91">
      <c r="C22" s="113"/>
      <c r="D22" s="113"/>
      <c r="E22" s="229">
        <v>2</v>
      </c>
      <c r="F22" s="245">
        <v>1.1366275548934937</v>
      </c>
      <c r="G22" s="246">
        <v>1.1079827547073364</v>
      </c>
      <c r="H22" s="246">
        <v>1.0672234296798706</v>
      </c>
      <c r="I22" s="246">
        <v>1.0607198476791382</v>
      </c>
      <c r="J22" s="246">
        <v>1.05727219581604</v>
      </c>
      <c r="K22" s="246">
        <v>1.0262435674667358</v>
      </c>
      <c r="L22" s="246">
        <v>1.0234396457672119</v>
      </c>
      <c r="M22" s="246">
        <v>1.0009031295776367</v>
      </c>
      <c r="N22" s="246">
        <v>0.98922997713088989</v>
      </c>
      <c r="O22" s="246">
        <v>0.95958948135375977</v>
      </c>
      <c r="P22" s="246">
        <v>0.95939594507217407</v>
      </c>
      <c r="Q22" s="246">
        <v>0.94931870698928833</v>
      </c>
      <c r="R22" s="246">
        <v>0.91873395442962646</v>
      </c>
      <c r="S22" s="246">
        <v>0.91787421703338623</v>
      </c>
      <c r="T22" s="246">
        <v>0.91725045442581177</v>
      </c>
      <c r="U22" s="247">
        <v>0.9081951379776001</v>
      </c>
      <c r="V22" s="246">
        <v>1.1719352006912231</v>
      </c>
      <c r="W22" s="246">
        <v>1.135197639465332</v>
      </c>
      <c r="X22" s="246">
        <v>1.0110067129135132</v>
      </c>
      <c r="Y22" s="246">
        <v>0.98124039173126221</v>
      </c>
      <c r="Z22" s="246">
        <v>0.94763463735580444</v>
      </c>
      <c r="AA22" s="246">
        <v>0.93121683597564697</v>
      </c>
      <c r="AB22" s="246">
        <v>0.91875934600830078</v>
      </c>
      <c r="AC22" s="247">
        <v>0.90300917625427246</v>
      </c>
      <c r="AD22" s="113"/>
      <c r="AE22" s="229">
        <v>4</v>
      </c>
      <c r="AF22" s="232">
        <f t="shared" si="60"/>
        <v>150</v>
      </c>
      <c r="AG22" s="233">
        <f t="shared" si="61"/>
        <v>150</v>
      </c>
      <c r="AH22" s="233">
        <f t="shared" si="62"/>
        <v>150</v>
      </c>
      <c r="AI22" s="233">
        <f t="shared" si="63"/>
        <v>150</v>
      </c>
      <c r="AJ22" s="233">
        <f t="shared" si="64"/>
        <v>150</v>
      </c>
      <c r="AK22" s="233">
        <f t="shared" si="65"/>
        <v>150</v>
      </c>
      <c r="AL22" s="233">
        <f t="shared" si="66"/>
        <v>150</v>
      </c>
      <c r="AM22" s="233">
        <f t="shared" si="67"/>
        <v>150</v>
      </c>
      <c r="AN22" s="233">
        <f t="shared" si="68"/>
        <v>150</v>
      </c>
      <c r="AO22" s="233">
        <f t="shared" si="69"/>
        <v>150</v>
      </c>
      <c r="AP22" s="233">
        <f t="shared" si="70"/>
        <v>150</v>
      </c>
      <c r="AQ22" s="233">
        <f t="shared" si="71"/>
        <v>150</v>
      </c>
      <c r="AR22" s="233">
        <f t="shared" si="72"/>
        <v>150</v>
      </c>
      <c r="AS22" s="233">
        <f t="shared" si="73"/>
        <v>150</v>
      </c>
      <c r="AT22" s="233">
        <f t="shared" si="74"/>
        <v>150</v>
      </c>
      <c r="AU22" s="234">
        <f t="shared" si="75"/>
        <v>150</v>
      </c>
      <c r="AV22" s="233">
        <f t="shared" si="76"/>
        <v>150</v>
      </c>
      <c r="AW22" s="233">
        <f t="shared" si="77"/>
        <v>150</v>
      </c>
      <c r="AX22" s="233">
        <f t="shared" si="78"/>
        <v>150</v>
      </c>
      <c r="AY22" s="233">
        <f t="shared" si="79"/>
        <v>150</v>
      </c>
      <c r="AZ22" s="233">
        <f t="shared" si="80"/>
        <v>150</v>
      </c>
      <c r="BA22" s="233">
        <f t="shared" si="81"/>
        <v>150</v>
      </c>
      <c r="BB22" s="233">
        <f t="shared" si="82"/>
        <v>150</v>
      </c>
      <c r="BC22" s="234">
        <f t="shared" si="83"/>
        <v>150</v>
      </c>
      <c r="BD22" s="306">
        <f t="shared" si="84"/>
        <v>2400</v>
      </c>
      <c r="BE22" s="304">
        <f t="shared" si="85"/>
        <v>1200</v>
      </c>
      <c r="BF22" s="307">
        <f t="shared" si="86"/>
        <v>3600</v>
      </c>
      <c r="BG22" s="333">
        <f t="shared" si="114"/>
        <v>1</v>
      </c>
      <c r="BH22" s="330">
        <f t="shared" si="115"/>
        <v>1.0000000074505806</v>
      </c>
      <c r="BJ22" s="229">
        <v>4</v>
      </c>
      <c r="BK22" s="232">
        <f t="shared" si="87"/>
        <v>600</v>
      </c>
      <c r="BL22" s="233">
        <f t="shared" si="88"/>
        <v>600</v>
      </c>
      <c r="BM22" s="233">
        <f t="shared" si="89"/>
        <v>600</v>
      </c>
      <c r="BN22" s="233">
        <f t="shared" si="90"/>
        <v>600</v>
      </c>
      <c r="BO22" s="233">
        <f t="shared" si="91"/>
        <v>600</v>
      </c>
      <c r="BP22" s="233">
        <f t="shared" si="92"/>
        <v>600</v>
      </c>
      <c r="BQ22" s="233">
        <f t="shared" si="93"/>
        <v>600</v>
      </c>
      <c r="BR22" s="233">
        <f t="shared" si="94"/>
        <v>600</v>
      </c>
      <c r="BS22" s="233">
        <f t="shared" si="95"/>
        <v>600</v>
      </c>
      <c r="BT22" s="233">
        <f t="shared" si="96"/>
        <v>600</v>
      </c>
      <c r="BU22" s="233">
        <f t="shared" si="97"/>
        <v>600</v>
      </c>
      <c r="BV22" s="233">
        <f t="shared" si="98"/>
        <v>600</v>
      </c>
      <c r="BW22" s="233">
        <f t="shared" si="99"/>
        <v>600</v>
      </c>
      <c r="BX22" s="233">
        <f t="shared" si="100"/>
        <v>600</v>
      </c>
      <c r="BY22" s="233">
        <f t="shared" si="101"/>
        <v>600</v>
      </c>
      <c r="BZ22" s="234">
        <f t="shared" si="102"/>
        <v>600</v>
      </c>
      <c r="CA22" s="233">
        <f t="shared" si="103"/>
        <v>600</v>
      </c>
      <c r="CB22" s="233">
        <f t="shared" si="104"/>
        <v>600</v>
      </c>
      <c r="CC22" s="233">
        <f t="shared" si="105"/>
        <v>600</v>
      </c>
      <c r="CD22" s="233">
        <f t="shared" si="106"/>
        <v>600</v>
      </c>
      <c r="CE22" s="233">
        <f t="shared" si="107"/>
        <v>600</v>
      </c>
      <c r="CF22" s="233">
        <f t="shared" si="108"/>
        <v>600</v>
      </c>
      <c r="CG22" s="233">
        <f t="shared" si="109"/>
        <v>600</v>
      </c>
      <c r="CH22" s="234">
        <f t="shared" si="110"/>
        <v>600</v>
      </c>
      <c r="CI22" s="306">
        <f t="shared" si="111"/>
        <v>9600</v>
      </c>
      <c r="CJ22" s="304">
        <f t="shared" si="112"/>
        <v>4800</v>
      </c>
      <c r="CK22" s="307">
        <f t="shared" si="113"/>
        <v>14400</v>
      </c>
      <c r="CL22" s="333">
        <f t="shared" si="116"/>
        <v>1</v>
      </c>
      <c r="CM22" s="330">
        <f t="shared" si="117"/>
        <v>1.0000000074505806</v>
      </c>
    </row>
    <row r="23" spans="3:91">
      <c r="C23" s="113"/>
      <c r="D23" s="113"/>
      <c r="E23" s="229">
        <v>3</v>
      </c>
      <c r="F23" s="245">
        <v>1.129206657409668</v>
      </c>
      <c r="G23" s="246">
        <v>1.0771063566207886</v>
      </c>
      <c r="H23" s="246">
        <v>1.0473818778991699</v>
      </c>
      <c r="I23" s="246">
        <v>1.0465817451477051</v>
      </c>
      <c r="J23" s="246">
        <v>1.0315955877304077</v>
      </c>
      <c r="K23" s="246">
        <v>1.0300567150115967</v>
      </c>
      <c r="L23" s="246">
        <v>1.0165804624557495</v>
      </c>
      <c r="M23" s="246">
        <v>1.0008734464645386</v>
      </c>
      <c r="N23" s="246">
        <v>1.0000748634338379</v>
      </c>
      <c r="O23" s="246">
        <v>0.99356412887573242</v>
      </c>
      <c r="P23" s="246">
        <v>0.98146563768386841</v>
      </c>
      <c r="Q23" s="246">
        <v>0.95077759027481079</v>
      </c>
      <c r="R23" s="246">
        <v>0.94769328832626343</v>
      </c>
      <c r="S23" s="246">
        <v>0.93735486268997192</v>
      </c>
      <c r="T23" s="246">
        <v>0.92126733064651489</v>
      </c>
      <c r="U23" s="247">
        <v>0.88841938972473145</v>
      </c>
      <c r="V23" s="246">
        <v>1.1782139539718628</v>
      </c>
      <c r="W23" s="246">
        <v>1.0869569778442383</v>
      </c>
      <c r="X23" s="246">
        <v>1.0180506706237793</v>
      </c>
      <c r="Y23" s="246">
        <v>0.99499255418777466</v>
      </c>
      <c r="Z23" s="246">
        <v>0.95150738954544067</v>
      </c>
      <c r="AA23" s="246">
        <v>0.92639213800430298</v>
      </c>
      <c r="AB23" s="246">
        <v>0.92433512210845947</v>
      </c>
      <c r="AC23" s="247">
        <v>0.91955125331878662</v>
      </c>
      <c r="AD23" s="113"/>
      <c r="AE23" s="229">
        <v>5</v>
      </c>
      <c r="AF23" s="232">
        <f t="shared" si="60"/>
        <v>150</v>
      </c>
      <c r="AG23" s="233">
        <f t="shared" si="61"/>
        <v>150</v>
      </c>
      <c r="AH23" s="233">
        <f t="shared" si="62"/>
        <v>150</v>
      </c>
      <c r="AI23" s="233">
        <f t="shared" si="63"/>
        <v>150</v>
      </c>
      <c r="AJ23" s="233">
        <f t="shared" si="64"/>
        <v>150</v>
      </c>
      <c r="AK23" s="233">
        <f t="shared" si="65"/>
        <v>150</v>
      </c>
      <c r="AL23" s="233">
        <f t="shared" si="66"/>
        <v>150</v>
      </c>
      <c r="AM23" s="233">
        <f t="shared" si="67"/>
        <v>150</v>
      </c>
      <c r="AN23" s="233">
        <f t="shared" si="68"/>
        <v>150</v>
      </c>
      <c r="AO23" s="233">
        <f t="shared" si="69"/>
        <v>150</v>
      </c>
      <c r="AP23" s="233">
        <f t="shared" si="70"/>
        <v>150</v>
      </c>
      <c r="AQ23" s="233">
        <f t="shared" si="71"/>
        <v>150</v>
      </c>
      <c r="AR23" s="233">
        <f t="shared" si="72"/>
        <v>150</v>
      </c>
      <c r="AS23" s="233">
        <f t="shared" si="73"/>
        <v>150</v>
      </c>
      <c r="AT23" s="233">
        <f t="shared" si="74"/>
        <v>150</v>
      </c>
      <c r="AU23" s="234">
        <f t="shared" si="75"/>
        <v>150</v>
      </c>
      <c r="AV23" s="233">
        <f t="shared" si="76"/>
        <v>150</v>
      </c>
      <c r="AW23" s="233">
        <f t="shared" si="77"/>
        <v>150</v>
      </c>
      <c r="AX23" s="233">
        <f t="shared" si="78"/>
        <v>150</v>
      </c>
      <c r="AY23" s="233">
        <f t="shared" si="79"/>
        <v>150</v>
      </c>
      <c r="AZ23" s="233">
        <f t="shared" si="80"/>
        <v>150</v>
      </c>
      <c r="BA23" s="233">
        <f t="shared" si="81"/>
        <v>150</v>
      </c>
      <c r="BB23" s="233">
        <f t="shared" si="82"/>
        <v>150</v>
      </c>
      <c r="BC23" s="234">
        <f t="shared" si="83"/>
        <v>150</v>
      </c>
      <c r="BD23" s="306">
        <f t="shared" si="84"/>
        <v>2400</v>
      </c>
      <c r="BE23" s="304">
        <f t="shared" si="85"/>
        <v>1200</v>
      </c>
      <c r="BF23" s="307">
        <f t="shared" si="86"/>
        <v>3600</v>
      </c>
      <c r="BG23" s="333">
        <f t="shared" si="114"/>
        <v>1</v>
      </c>
      <c r="BH23" s="330">
        <f t="shared" si="115"/>
        <v>1</v>
      </c>
      <c r="BJ23" s="229">
        <v>5</v>
      </c>
      <c r="BK23" s="232">
        <f t="shared" si="87"/>
        <v>600</v>
      </c>
      <c r="BL23" s="233">
        <f t="shared" si="88"/>
        <v>600</v>
      </c>
      <c r="BM23" s="233">
        <f t="shared" si="89"/>
        <v>600</v>
      </c>
      <c r="BN23" s="233">
        <f t="shared" si="90"/>
        <v>600</v>
      </c>
      <c r="BO23" s="233">
        <f t="shared" si="91"/>
        <v>600</v>
      </c>
      <c r="BP23" s="233">
        <f t="shared" si="92"/>
        <v>600</v>
      </c>
      <c r="BQ23" s="233">
        <f t="shared" si="93"/>
        <v>600</v>
      </c>
      <c r="BR23" s="233">
        <f t="shared" si="94"/>
        <v>600</v>
      </c>
      <c r="BS23" s="233">
        <f t="shared" si="95"/>
        <v>600</v>
      </c>
      <c r="BT23" s="233">
        <f t="shared" si="96"/>
        <v>600</v>
      </c>
      <c r="BU23" s="233">
        <f t="shared" si="97"/>
        <v>600</v>
      </c>
      <c r="BV23" s="233">
        <f t="shared" si="98"/>
        <v>600</v>
      </c>
      <c r="BW23" s="233">
        <f t="shared" si="99"/>
        <v>600</v>
      </c>
      <c r="BX23" s="233">
        <f t="shared" si="100"/>
        <v>600</v>
      </c>
      <c r="BY23" s="233">
        <f t="shared" si="101"/>
        <v>600</v>
      </c>
      <c r="BZ23" s="234">
        <f t="shared" si="102"/>
        <v>600</v>
      </c>
      <c r="CA23" s="233">
        <f t="shared" si="103"/>
        <v>600</v>
      </c>
      <c r="CB23" s="233">
        <f t="shared" si="104"/>
        <v>600</v>
      </c>
      <c r="CC23" s="233">
        <f t="shared" si="105"/>
        <v>600</v>
      </c>
      <c r="CD23" s="233">
        <f t="shared" si="106"/>
        <v>600</v>
      </c>
      <c r="CE23" s="233">
        <f t="shared" si="107"/>
        <v>600</v>
      </c>
      <c r="CF23" s="233">
        <f t="shared" si="108"/>
        <v>600</v>
      </c>
      <c r="CG23" s="233">
        <f t="shared" si="109"/>
        <v>600</v>
      </c>
      <c r="CH23" s="234">
        <f t="shared" si="110"/>
        <v>600</v>
      </c>
      <c r="CI23" s="306">
        <f t="shared" si="111"/>
        <v>9600</v>
      </c>
      <c r="CJ23" s="304">
        <f t="shared" si="112"/>
        <v>4800</v>
      </c>
      <c r="CK23" s="307">
        <f t="shared" si="113"/>
        <v>14400</v>
      </c>
      <c r="CL23" s="333">
        <f t="shared" si="116"/>
        <v>1</v>
      </c>
      <c r="CM23" s="330">
        <f t="shared" si="117"/>
        <v>1</v>
      </c>
    </row>
    <row r="24" spans="3:91">
      <c r="C24" s="113"/>
      <c r="D24" s="113"/>
      <c r="E24" s="229">
        <v>4</v>
      </c>
      <c r="F24" s="245">
        <v>1.0667105913162231</v>
      </c>
      <c r="G24" s="246">
        <v>1.0543950796127319</v>
      </c>
      <c r="H24" s="246">
        <v>1.0521680116653442</v>
      </c>
      <c r="I24" s="246">
        <v>1.0459768772125244</v>
      </c>
      <c r="J24" s="246">
        <v>1.034537672996521</v>
      </c>
      <c r="K24" s="246">
        <v>1.024846076965332</v>
      </c>
      <c r="L24" s="246">
        <v>1.0222128629684448</v>
      </c>
      <c r="M24" s="246">
        <v>1.0073693990707397</v>
      </c>
      <c r="N24" s="246">
        <v>1.0012016296386719</v>
      </c>
      <c r="O24" s="246">
        <v>0.97805631160736084</v>
      </c>
      <c r="P24" s="246">
        <v>0.9765586256980896</v>
      </c>
      <c r="Q24" s="246">
        <v>0.96661710739135742</v>
      </c>
      <c r="R24" s="246">
        <v>0.96370822191238403</v>
      </c>
      <c r="S24" s="246">
        <v>0.95867395401000977</v>
      </c>
      <c r="T24" s="246">
        <v>0.95517784357070923</v>
      </c>
      <c r="U24" s="247">
        <v>0.89178973436355591</v>
      </c>
      <c r="V24" s="246">
        <v>1.1583380699157715</v>
      </c>
      <c r="W24" s="246">
        <v>1.0828249454498291</v>
      </c>
      <c r="X24" s="246">
        <v>1.0443005561828613</v>
      </c>
      <c r="Y24" s="246">
        <v>0.98280847072601318</v>
      </c>
      <c r="Z24" s="246">
        <v>0.97820752859115601</v>
      </c>
      <c r="AA24" s="246">
        <v>0.93871718645095825</v>
      </c>
      <c r="AB24" s="246">
        <v>0.91076439619064331</v>
      </c>
      <c r="AC24" s="247">
        <v>0.90403890609741211</v>
      </c>
      <c r="AD24" s="113"/>
      <c r="AE24" s="229">
        <v>6</v>
      </c>
      <c r="AF24" s="232">
        <f t="shared" si="60"/>
        <v>150</v>
      </c>
      <c r="AG24" s="233">
        <f t="shared" si="61"/>
        <v>150</v>
      </c>
      <c r="AH24" s="233">
        <f t="shared" si="62"/>
        <v>150</v>
      </c>
      <c r="AI24" s="233">
        <f t="shared" si="63"/>
        <v>150</v>
      </c>
      <c r="AJ24" s="233">
        <f t="shared" si="64"/>
        <v>150</v>
      </c>
      <c r="AK24" s="233">
        <f t="shared" si="65"/>
        <v>150</v>
      </c>
      <c r="AL24" s="233">
        <f t="shared" si="66"/>
        <v>150</v>
      </c>
      <c r="AM24" s="233">
        <f t="shared" si="67"/>
        <v>150</v>
      </c>
      <c r="AN24" s="233">
        <f t="shared" si="68"/>
        <v>150</v>
      </c>
      <c r="AO24" s="233">
        <f t="shared" si="69"/>
        <v>150</v>
      </c>
      <c r="AP24" s="233">
        <f t="shared" si="70"/>
        <v>150</v>
      </c>
      <c r="AQ24" s="233">
        <f t="shared" si="71"/>
        <v>150</v>
      </c>
      <c r="AR24" s="233">
        <f t="shared" si="72"/>
        <v>150</v>
      </c>
      <c r="AS24" s="233">
        <f t="shared" si="73"/>
        <v>150</v>
      </c>
      <c r="AT24" s="233">
        <f t="shared" si="74"/>
        <v>150</v>
      </c>
      <c r="AU24" s="234">
        <f t="shared" si="75"/>
        <v>150</v>
      </c>
      <c r="AV24" s="233">
        <f t="shared" si="76"/>
        <v>150</v>
      </c>
      <c r="AW24" s="233">
        <f t="shared" si="77"/>
        <v>150</v>
      </c>
      <c r="AX24" s="233">
        <f t="shared" si="78"/>
        <v>150</v>
      </c>
      <c r="AY24" s="233">
        <f t="shared" si="79"/>
        <v>150</v>
      </c>
      <c r="AZ24" s="233">
        <f t="shared" si="80"/>
        <v>150</v>
      </c>
      <c r="BA24" s="233">
        <f t="shared" si="81"/>
        <v>150</v>
      </c>
      <c r="BB24" s="233">
        <f t="shared" si="82"/>
        <v>150</v>
      </c>
      <c r="BC24" s="234">
        <f t="shared" si="83"/>
        <v>150</v>
      </c>
      <c r="BD24" s="306">
        <f t="shared" si="84"/>
        <v>2400</v>
      </c>
      <c r="BE24" s="304">
        <f t="shared" si="85"/>
        <v>1200</v>
      </c>
      <c r="BF24" s="307">
        <f t="shared" si="86"/>
        <v>3600</v>
      </c>
      <c r="BG24" s="333">
        <f t="shared" si="114"/>
        <v>1.0000000074505806</v>
      </c>
      <c r="BH24" s="330">
        <f t="shared" si="115"/>
        <v>1.0000000074505806</v>
      </c>
      <c r="BJ24" s="229">
        <v>6</v>
      </c>
      <c r="BK24" s="232">
        <f t="shared" si="87"/>
        <v>600</v>
      </c>
      <c r="BL24" s="233">
        <f t="shared" si="88"/>
        <v>600</v>
      </c>
      <c r="BM24" s="233">
        <f t="shared" si="89"/>
        <v>600</v>
      </c>
      <c r="BN24" s="233">
        <f t="shared" si="90"/>
        <v>600</v>
      </c>
      <c r="BO24" s="233">
        <f t="shared" si="91"/>
        <v>600</v>
      </c>
      <c r="BP24" s="233">
        <f t="shared" si="92"/>
        <v>600</v>
      </c>
      <c r="BQ24" s="233">
        <f t="shared" si="93"/>
        <v>600</v>
      </c>
      <c r="BR24" s="233">
        <f t="shared" si="94"/>
        <v>600</v>
      </c>
      <c r="BS24" s="233">
        <f t="shared" si="95"/>
        <v>600</v>
      </c>
      <c r="BT24" s="233">
        <f t="shared" si="96"/>
        <v>600</v>
      </c>
      <c r="BU24" s="233">
        <f t="shared" si="97"/>
        <v>600</v>
      </c>
      <c r="BV24" s="233">
        <f t="shared" si="98"/>
        <v>600</v>
      </c>
      <c r="BW24" s="233">
        <f t="shared" si="99"/>
        <v>600</v>
      </c>
      <c r="BX24" s="233">
        <f t="shared" si="100"/>
        <v>600</v>
      </c>
      <c r="BY24" s="233">
        <f t="shared" si="101"/>
        <v>600</v>
      </c>
      <c r="BZ24" s="234">
        <f t="shared" si="102"/>
        <v>600</v>
      </c>
      <c r="CA24" s="233">
        <f t="shared" si="103"/>
        <v>600</v>
      </c>
      <c r="CB24" s="233">
        <f t="shared" si="104"/>
        <v>600</v>
      </c>
      <c r="CC24" s="233">
        <f t="shared" si="105"/>
        <v>600</v>
      </c>
      <c r="CD24" s="233">
        <f t="shared" si="106"/>
        <v>600</v>
      </c>
      <c r="CE24" s="233">
        <f t="shared" si="107"/>
        <v>600</v>
      </c>
      <c r="CF24" s="233">
        <f t="shared" si="108"/>
        <v>600</v>
      </c>
      <c r="CG24" s="233">
        <f t="shared" si="109"/>
        <v>600</v>
      </c>
      <c r="CH24" s="234">
        <f t="shared" si="110"/>
        <v>600</v>
      </c>
      <c r="CI24" s="306">
        <f t="shared" si="111"/>
        <v>9600</v>
      </c>
      <c r="CJ24" s="304">
        <f t="shared" si="112"/>
        <v>4800</v>
      </c>
      <c r="CK24" s="307">
        <f t="shared" si="113"/>
        <v>14400</v>
      </c>
      <c r="CL24" s="333">
        <f t="shared" si="116"/>
        <v>1.0000000074505806</v>
      </c>
      <c r="CM24" s="330">
        <f t="shared" si="117"/>
        <v>1.0000000074505806</v>
      </c>
    </row>
    <row r="25" spans="3:91">
      <c r="C25" s="113"/>
      <c r="D25" s="113"/>
      <c r="E25" s="229">
        <v>5</v>
      </c>
      <c r="F25" s="245">
        <v>1.0502773523330688</v>
      </c>
      <c r="G25" s="246">
        <v>1.0501605272293091</v>
      </c>
      <c r="H25" s="246">
        <v>1.0424165725708008</v>
      </c>
      <c r="I25" s="246">
        <v>1.033515453338623</v>
      </c>
      <c r="J25" s="246">
        <v>1.0310300588607788</v>
      </c>
      <c r="K25" s="246">
        <v>1.0203967094421387</v>
      </c>
      <c r="L25" s="246">
        <v>1.0190091133117676</v>
      </c>
      <c r="M25" s="246">
        <v>1.0093629360198975</v>
      </c>
      <c r="N25" s="246">
        <v>0.99954122304916382</v>
      </c>
      <c r="O25" s="246">
        <v>0.99274164438247681</v>
      </c>
      <c r="P25" s="246">
        <v>0.99207311868667603</v>
      </c>
      <c r="Q25" s="246">
        <v>0.98606193065643311</v>
      </c>
      <c r="R25" s="246">
        <v>0.98542040586471558</v>
      </c>
      <c r="S25" s="246">
        <v>0.97612041234970093</v>
      </c>
      <c r="T25" s="246">
        <v>0.94438892602920532</v>
      </c>
      <c r="U25" s="247">
        <v>0.86748361587524414</v>
      </c>
      <c r="V25" s="246">
        <v>1.1705740690231323</v>
      </c>
      <c r="W25" s="246">
        <v>1.0645257234573364</v>
      </c>
      <c r="X25" s="246">
        <v>1.0499695539474487</v>
      </c>
      <c r="Y25" s="246">
        <v>0.98470115661621094</v>
      </c>
      <c r="Z25" s="246">
        <v>0.95348584651947021</v>
      </c>
      <c r="AA25" s="246">
        <v>0.94781029224395752</v>
      </c>
      <c r="AB25" s="246">
        <v>0.9165949821472168</v>
      </c>
      <c r="AC25" s="247">
        <v>0.91233837604522705</v>
      </c>
      <c r="AD25" s="113"/>
      <c r="AE25" s="229">
        <v>7</v>
      </c>
      <c r="AF25" s="232">
        <f t="shared" si="60"/>
        <v>150</v>
      </c>
      <c r="AG25" s="233">
        <f t="shared" si="61"/>
        <v>150</v>
      </c>
      <c r="AH25" s="233">
        <f t="shared" si="62"/>
        <v>150</v>
      </c>
      <c r="AI25" s="233">
        <f t="shared" si="63"/>
        <v>150</v>
      </c>
      <c r="AJ25" s="233">
        <f t="shared" si="64"/>
        <v>150</v>
      </c>
      <c r="AK25" s="233">
        <f t="shared" si="65"/>
        <v>150</v>
      </c>
      <c r="AL25" s="233">
        <f t="shared" si="66"/>
        <v>150</v>
      </c>
      <c r="AM25" s="233">
        <f t="shared" si="67"/>
        <v>150</v>
      </c>
      <c r="AN25" s="233">
        <f t="shared" si="68"/>
        <v>150</v>
      </c>
      <c r="AO25" s="233">
        <f t="shared" si="69"/>
        <v>150</v>
      </c>
      <c r="AP25" s="233">
        <f t="shared" si="70"/>
        <v>150</v>
      </c>
      <c r="AQ25" s="233">
        <f t="shared" si="71"/>
        <v>150</v>
      </c>
      <c r="AR25" s="233">
        <f t="shared" si="72"/>
        <v>150</v>
      </c>
      <c r="AS25" s="233">
        <f t="shared" si="73"/>
        <v>150</v>
      </c>
      <c r="AT25" s="233">
        <f t="shared" si="74"/>
        <v>150</v>
      </c>
      <c r="AU25" s="234">
        <f t="shared" si="75"/>
        <v>150</v>
      </c>
      <c r="AV25" s="233">
        <f t="shared" si="76"/>
        <v>150</v>
      </c>
      <c r="AW25" s="233">
        <f t="shared" si="77"/>
        <v>150</v>
      </c>
      <c r="AX25" s="233">
        <f t="shared" si="78"/>
        <v>150</v>
      </c>
      <c r="AY25" s="233">
        <f t="shared" si="79"/>
        <v>150</v>
      </c>
      <c r="AZ25" s="233">
        <f t="shared" si="80"/>
        <v>150</v>
      </c>
      <c r="BA25" s="233">
        <f t="shared" si="81"/>
        <v>150</v>
      </c>
      <c r="BB25" s="233">
        <f t="shared" si="82"/>
        <v>150</v>
      </c>
      <c r="BC25" s="234">
        <f t="shared" si="83"/>
        <v>150</v>
      </c>
      <c r="BD25" s="306">
        <f t="shared" si="84"/>
        <v>2400</v>
      </c>
      <c r="BE25" s="304">
        <f t="shared" si="85"/>
        <v>1200</v>
      </c>
      <c r="BF25" s="307">
        <f t="shared" si="86"/>
        <v>3600</v>
      </c>
      <c r="BG25" s="333">
        <f t="shared" si="114"/>
        <v>1.0000000037252903</v>
      </c>
      <c r="BH25" s="330">
        <f t="shared" si="115"/>
        <v>0.99999998509883881</v>
      </c>
      <c r="BJ25" s="229">
        <v>7</v>
      </c>
      <c r="BK25" s="232">
        <f t="shared" si="87"/>
        <v>600</v>
      </c>
      <c r="BL25" s="233">
        <f t="shared" si="88"/>
        <v>600</v>
      </c>
      <c r="BM25" s="233">
        <f t="shared" si="89"/>
        <v>600</v>
      </c>
      <c r="BN25" s="233">
        <f t="shared" si="90"/>
        <v>600</v>
      </c>
      <c r="BO25" s="233">
        <f t="shared" si="91"/>
        <v>600</v>
      </c>
      <c r="BP25" s="233">
        <f t="shared" si="92"/>
        <v>600</v>
      </c>
      <c r="BQ25" s="233">
        <f t="shared" si="93"/>
        <v>600</v>
      </c>
      <c r="BR25" s="233">
        <f t="shared" si="94"/>
        <v>600</v>
      </c>
      <c r="BS25" s="233">
        <f t="shared" si="95"/>
        <v>600</v>
      </c>
      <c r="BT25" s="233">
        <f t="shared" si="96"/>
        <v>600</v>
      </c>
      <c r="BU25" s="233">
        <f t="shared" si="97"/>
        <v>600</v>
      </c>
      <c r="BV25" s="233">
        <f t="shared" si="98"/>
        <v>600</v>
      </c>
      <c r="BW25" s="233">
        <f t="shared" si="99"/>
        <v>600</v>
      </c>
      <c r="BX25" s="233">
        <f t="shared" si="100"/>
        <v>600</v>
      </c>
      <c r="BY25" s="233">
        <f t="shared" si="101"/>
        <v>600</v>
      </c>
      <c r="BZ25" s="234">
        <f t="shared" si="102"/>
        <v>600</v>
      </c>
      <c r="CA25" s="233">
        <f t="shared" si="103"/>
        <v>600</v>
      </c>
      <c r="CB25" s="233">
        <f t="shared" si="104"/>
        <v>600</v>
      </c>
      <c r="CC25" s="233">
        <f t="shared" si="105"/>
        <v>600</v>
      </c>
      <c r="CD25" s="233">
        <f t="shared" si="106"/>
        <v>600</v>
      </c>
      <c r="CE25" s="233">
        <f t="shared" si="107"/>
        <v>600</v>
      </c>
      <c r="CF25" s="233">
        <f t="shared" si="108"/>
        <v>600</v>
      </c>
      <c r="CG25" s="233">
        <f t="shared" si="109"/>
        <v>600</v>
      </c>
      <c r="CH25" s="234">
        <f t="shared" si="110"/>
        <v>600</v>
      </c>
      <c r="CI25" s="306">
        <f t="shared" si="111"/>
        <v>9600</v>
      </c>
      <c r="CJ25" s="304">
        <f t="shared" si="112"/>
        <v>4800</v>
      </c>
      <c r="CK25" s="307">
        <f t="shared" si="113"/>
        <v>14400</v>
      </c>
      <c r="CL25" s="333">
        <f t="shared" si="116"/>
        <v>1.0000000037252903</v>
      </c>
      <c r="CM25" s="330">
        <f t="shared" si="117"/>
        <v>0.99999998509883881</v>
      </c>
    </row>
    <row r="26" spans="3:91">
      <c r="C26" s="113"/>
      <c r="D26" s="113"/>
      <c r="E26" s="229">
        <v>6</v>
      </c>
      <c r="F26" s="245">
        <v>1.0828366279602051</v>
      </c>
      <c r="G26" s="246">
        <v>1.0764329433441162</v>
      </c>
      <c r="H26" s="246">
        <v>1.0679421424865723</v>
      </c>
      <c r="I26" s="246">
        <v>1.0648589134216309</v>
      </c>
      <c r="J26" s="246">
        <v>1.0539963245391846</v>
      </c>
      <c r="K26" s="246">
        <v>1.0392916202545166</v>
      </c>
      <c r="L26" s="246">
        <v>1.028239369392395</v>
      </c>
      <c r="M26" s="246">
        <v>1.023163914680481</v>
      </c>
      <c r="N26" s="246">
        <v>1.0187152624130249</v>
      </c>
      <c r="O26" s="246">
        <v>1.0004427433013916</v>
      </c>
      <c r="P26" s="246">
        <v>0.99807101488113403</v>
      </c>
      <c r="Q26" s="246">
        <v>0.99249833822250366</v>
      </c>
      <c r="R26" s="246">
        <v>0.96178704500198364</v>
      </c>
      <c r="S26" s="246">
        <v>0.93446123600006104</v>
      </c>
      <c r="T26" s="246">
        <v>0.86700922250747681</v>
      </c>
      <c r="U26" s="247">
        <v>0.7902534008026123</v>
      </c>
      <c r="V26" s="246">
        <v>1.1863982677459717</v>
      </c>
      <c r="W26" s="246">
        <v>1.0664668083190918</v>
      </c>
      <c r="X26" s="246">
        <v>1.0221498012542725</v>
      </c>
      <c r="Y26" s="246">
        <v>0.98806267976760864</v>
      </c>
      <c r="Z26" s="246">
        <v>0.94781166315078735</v>
      </c>
      <c r="AA26" s="246">
        <v>0.93780457973480225</v>
      </c>
      <c r="AB26" s="246">
        <v>0.92779749631881714</v>
      </c>
      <c r="AC26" s="247">
        <v>0.92350876331329346</v>
      </c>
      <c r="AD26" s="113"/>
      <c r="AE26" s="229">
        <v>8</v>
      </c>
      <c r="AF26" s="232">
        <f t="shared" si="60"/>
        <v>150</v>
      </c>
      <c r="AG26" s="233">
        <f t="shared" si="61"/>
        <v>150</v>
      </c>
      <c r="AH26" s="233">
        <f t="shared" si="62"/>
        <v>150</v>
      </c>
      <c r="AI26" s="233">
        <f t="shared" si="63"/>
        <v>150</v>
      </c>
      <c r="AJ26" s="233">
        <f t="shared" si="64"/>
        <v>150</v>
      </c>
      <c r="AK26" s="233">
        <f t="shared" si="65"/>
        <v>150</v>
      </c>
      <c r="AL26" s="233">
        <f t="shared" si="66"/>
        <v>150</v>
      </c>
      <c r="AM26" s="233">
        <f t="shared" si="67"/>
        <v>150</v>
      </c>
      <c r="AN26" s="233">
        <f t="shared" si="68"/>
        <v>150</v>
      </c>
      <c r="AO26" s="233">
        <f t="shared" si="69"/>
        <v>150</v>
      </c>
      <c r="AP26" s="233">
        <f t="shared" si="70"/>
        <v>150</v>
      </c>
      <c r="AQ26" s="233">
        <f t="shared" si="71"/>
        <v>150</v>
      </c>
      <c r="AR26" s="233">
        <f t="shared" si="72"/>
        <v>150</v>
      </c>
      <c r="AS26" s="233">
        <f t="shared" si="73"/>
        <v>150</v>
      </c>
      <c r="AT26" s="233">
        <f t="shared" si="74"/>
        <v>150</v>
      </c>
      <c r="AU26" s="234">
        <f t="shared" si="75"/>
        <v>150</v>
      </c>
      <c r="AV26" s="233">
        <f t="shared" si="76"/>
        <v>150</v>
      </c>
      <c r="AW26" s="233">
        <f t="shared" si="77"/>
        <v>150</v>
      </c>
      <c r="AX26" s="233">
        <f t="shared" si="78"/>
        <v>150</v>
      </c>
      <c r="AY26" s="233">
        <f t="shared" si="79"/>
        <v>150</v>
      </c>
      <c r="AZ26" s="233">
        <f t="shared" si="80"/>
        <v>150</v>
      </c>
      <c r="BA26" s="233">
        <f t="shared" si="81"/>
        <v>150</v>
      </c>
      <c r="BB26" s="233">
        <f t="shared" si="82"/>
        <v>150</v>
      </c>
      <c r="BC26" s="234">
        <f t="shared" si="83"/>
        <v>150</v>
      </c>
      <c r="BD26" s="306">
        <f t="shared" si="84"/>
        <v>2400</v>
      </c>
      <c r="BE26" s="304">
        <f t="shared" si="85"/>
        <v>1200</v>
      </c>
      <c r="BF26" s="307">
        <f t="shared" si="86"/>
        <v>3600</v>
      </c>
      <c r="BG26" s="333">
        <f t="shared" si="114"/>
        <v>0.9999999888241291</v>
      </c>
      <c r="BH26" s="330">
        <f t="shared" si="115"/>
        <v>1.0000000074505806</v>
      </c>
      <c r="BJ26" s="229">
        <v>8</v>
      </c>
      <c r="BK26" s="232">
        <f t="shared" si="87"/>
        <v>600</v>
      </c>
      <c r="BL26" s="233">
        <f t="shared" si="88"/>
        <v>600</v>
      </c>
      <c r="BM26" s="233">
        <f t="shared" si="89"/>
        <v>600</v>
      </c>
      <c r="BN26" s="233">
        <f t="shared" si="90"/>
        <v>600</v>
      </c>
      <c r="BO26" s="233">
        <f t="shared" si="91"/>
        <v>600</v>
      </c>
      <c r="BP26" s="233">
        <f t="shared" si="92"/>
        <v>600</v>
      </c>
      <c r="BQ26" s="233">
        <f t="shared" si="93"/>
        <v>600</v>
      </c>
      <c r="BR26" s="233">
        <f t="shared" si="94"/>
        <v>600</v>
      </c>
      <c r="BS26" s="233">
        <f t="shared" si="95"/>
        <v>600</v>
      </c>
      <c r="BT26" s="233">
        <f t="shared" si="96"/>
        <v>600</v>
      </c>
      <c r="BU26" s="233">
        <f t="shared" si="97"/>
        <v>600</v>
      </c>
      <c r="BV26" s="233">
        <f t="shared" si="98"/>
        <v>600</v>
      </c>
      <c r="BW26" s="233">
        <f t="shared" si="99"/>
        <v>600</v>
      </c>
      <c r="BX26" s="233">
        <f t="shared" si="100"/>
        <v>600</v>
      </c>
      <c r="BY26" s="233">
        <f t="shared" si="101"/>
        <v>600</v>
      </c>
      <c r="BZ26" s="234">
        <f t="shared" si="102"/>
        <v>600</v>
      </c>
      <c r="CA26" s="233">
        <f t="shared" si="103"/>
        <v>600</v>
      </c>
      <c r="CB26" s="233">
        <f t="shared" si="104"/>
        <v>600</v>
      </c>
      <c r="CC26" s="233">
        <f t="shared" si="105"/>
        <v>600</v>
      </c>
      <c r="CD26" s="233">
        <f t="shared" si="106"/>
        <v>600</v>
      </c>
      <c r="CE26" s="233">
        <f t="shared" si="107"/>
        <v>600</v>
      </c>
      <c r="CF26" s="233">
        <f t="shared" si="108"/>
        <v>600</v>
      </c>
      <c r="CG26" s="233">
        <f t="shared" si="109"/>
        <v>600</v>
      </c>
      <c r="CH26" s="234">
        <f t="shared" si="110"/>
        <v>600</v>
      </c>
      <c r="CI26" s="306">
        <f t="shared" si="111"/>
        <v>9600</v>
      </c>
      <c r="CJ26" s="304">
        <f t="shared" si="112"/>
        <v>4800</v>
      </c>
      <c r="CK26" s="307">
        <f t="shared" si="113"/>
        <v>14400</v>
      </c>
      <c r="CL26" s="333">
        <f t="shared" si="116"/>
        <v>0.9999999888241291</v>
      </c>
      <c r="CM26" s="330">
        <f t="shared" si="117"/>
        <v>1.0000000074505806</v>
      </c>
    </row>
    <row r="27" spans="3:91">
      <c r="C27" s="113"/>
      <c r="D27" s="113"/>
      <c r="E27" s="229">
        <v>7</v>
      </c>
      <c r="F27" s="245">
        <v>1.1323257684707642</v>
      </c>
      <c r="G27" s="246">
        <v>1.1288590431213379</v>
      </c>
      <c r="H27" s="246">
        <v>1.1125913858413696</v>
      </c>
      <c r="I27" s="246">
        <v>1.1021336317062378</v>
      </c>
      <c r="J27" s="246">
        <v>1.0922567844390869</v>
      </c>
      <c r="K27" s="246">
        <v>1.0646289587020874</v>
      </c>
      <c r="L27" s="246">
        <v>1.0645709037780762</v>
      </c>
      <c r="M27" s="246">
        <v>1.0338096618652344</v>
      </c>
      <c r="N27" s="246">
        <v>1.0338096618652344</v>
      </c>
      <c r="O27" s="246">
        <v>1.0287678241729736</v>
      </c>
      <c r="P27" s="246">
        <v>0.99290663003921509</v>
      </c>
      <c r="Q27" s="246">
        <v>0.93855452537536621</v>
      </c>
      <c r="R27" s="246">
        <v>0.88686925172805786</v>
      </c>
      <c r="S27" s="246">
        <v>0.87859910726547241</v>
      </c>
      <c r="T27" s="246">
        <v>0.80327141284942627</v>
      </c>
      <c r="U27" s="247">
        <v>0.70604550838470459</v>
      </c>
      <c r="V27" s="246">
        <v>1.2151782512664795</v>
      </c>
      <c r="W27" s="246">
        <v>1.0719473361968994</v>
      </c>
      <c r="X27" s="246">
        <v>1.00987708568573</v>
      </c>
      <c r="Y27" s="246">
        <v>0.98179227113723755</v>
      </c>
      <c r="Z27" s="246">
        <v>0.95835280418395996</v>
      </c>
      <c r="AA27" s="246">
        <v>0.94027644395828247</v>
      </c>
      <c r="AB27" s="246">
        <v>0.91430097818374634</v>
      </c>
      <c r="AC27" s="247">
        <v>0.90827471017837524</v>
      </c>
      <c r="AD27" s="113"/>
      <c r="AE27" s="229">
        <v>9</v>
      </c>
      <c r="AF27" s="232">
        <f t="shared" si="60"/>
        <v>150</v>
      </c>
      <c r="AG27" s="233">
        <f t="shared" si="61"/>
        <v>150</v>
      </c>
      <c r="AH27" s="233">
        <f t="shared" si="62"/>
        <v>150</v>
      </c>
      <c r="AI27" s="233">
        <f t="shared" si="63"/>
        <v>150</v>
      </c>
      <c r="AJ27" s="233">
        <f t="shared" si="64"/>
        <v>150</v>
      </c>
      <c r="AK27" s="233">
        <f t="shared" si="65"/>
        <v>150</v>
      </c>
      <c r="AL27" s="233">
        <f t="shared" si="66"/>
        <v>150</v>
      </c>
      <c r="AM27" s="233">
        <f t="shared" si="67"/>
        <v>150</v>
      </c>
      <c r="AN27" s="233">
        <f t="shared" si="68"/>
        <v>150</v>
      </c>
      <c r="AO27" s="233">
        <f t="shared" si="69"/>
        <v>150</v>
      </c>
      <c r="AP27" s="233">
        <f t="shared" si="70"/>
        <v>150</v>
      </c>
      <c r="AQ27" s="233">
        <f t="shared" si="71"/>
        <v>150</v>
      </c>
      <c r="AR27" s="233">
        <f t="shared" si="72"/>
        <v>150</v>
      </c>
      <c r="AS27" s="233">
        <f t="shared" si="73"/>
        <v>150</v>
      </c>
      <c r="AT27" s="233">
        <f t="shared" si="74"/>
        <v>150</v>
      </c>
      <c r="AU27" s="234">
        <f t="shared" si="75"/>
        <v>150</v>
      </c>
      <c r="AV27" s="233">
        <f t="shared" si="76"/>
        <v>150</v>
      </c>
      <c r="AW27" s="233">
        <f t="shared" si="77"/>
        <v>150</v>
      </c>
      <c r="AX27" s="233">
        <f t="shared" si="78"/>
        <v>150</v>
      </c>
      <c r="AY27" s="233">
        <f t="shared" si="79"/>
        <v>150</v>
      </c>
      <c r="AZ27" s="233">
        <f t="shared" si="80"/>
        <v>150</v>
      </c>
      <c r="BA27" s="233">
        <f t="shared" si="81"/>
        <v>150</v>
      </c>
      <c r="BB27" s="233">
        <f t="shared" si="82"/>
        <v>150</v>
      </c>
      <c r="BC27" s="234">
        <f t="shared" si="83"/>
        <v>150</v>
      </c>
      <c r="BD27" s="306">
        <f t="shared" si="84"/>
        <v>2400</v>
      </c>
      <c r="BE27" s="304">
        <f t="shared" si="85"/>
        <v>1200</v>
      </c>
      <c r="BF27" s="307">
        <f t="shared" si="86"/>
        <v>3600</v>
      </c>
      <c r="BG27" s="333">
        <f t="shared" si="114"/>
        <v>0.9999999925494194</v>
      </c>
      <c r="BH27" s="330">
        <f t="shared" si="115"/>
        <v>0.9999999925494194</v>
      </c>
      <c r="BJ27" s="229">
        <v>9</v>
      </c>
      <c r="BK27" s="232">
        <f t="shared" si="87"/>
        <v>600</v>
      </c>
      <c r="BL27" s="233">
        <f t="shared" si="88"/>
        <v>600</v>
      </c>
      <c r="BM27" s="233">
        <f t="shared" si="89"/>
        <v>600</v>
      </c>
      <c r="BN27" s="233">
        <f t="shared" si="90"/>
        <v>600</v>
      </c>
      <c r="BO27" s="233">
        <f t="shared" si="91"/>
        <v>600</v>
      </c>
      <c r="BP27" s="233">
        <f t="shared" si="92"/>
        <v>600</v>
      </c>
      <c r="BQ27" s="233">
        <f t="shared" si="93"/>
        <v>600</v>
      </c>
      <c r="BR27" s="233">
        <f t="shared" si="94"/>
        <v>600</v>
      </c>
      <c r="BS27" s="233">
        <f t="shared" si="95"/>
        <v>600</v>
      </c>
      <c r="BT27" s="233">
        <f t="shared" si="96"/>
        <v>600</v>
      </c>
      <c r="BU27" s="233">
        <f t="shared" si="97"/>
        <v>600</v>
      </c>
      <c r="BV27" s="233">
        <f t="shared" si="98"/>
        <v>600</v>
      </c>
      <c r="BW27" s="233">
        <f t="shared" si="99"/>
        <v>600</v>
      </c>
      <c r="BX27" s="233">
        <f t="shared" si="100"/>
        <v>600</v>
      </c>
      <c r="BY27" s="233">
        <f t="shared" si="101"/>
        <v>600</v>
      </c>
      <c r="BZ27" s="234">
        <f t="shared" si="102"/>
        <v>600</v>
      </c>
      <c r="CA27" s="233">
        <f t="shared" si="103"/>
        <v>600</v>
      </c>
      <c r="CB27" s="233">
        <f t="shared" si="104"/>
        <v>600</v>
      </c>
      <c r="CC27" s="233">
        <f t="shared" si="105"/>
        <v>600</v>
      </c>
      <c r="CD27" s="233">
        <f t="shared" si="106"/>
        <v>600</v>
      </c>
      <c r="CE27" s="233">
        <f t="shared" si="107"/>
        <v>600</v>
      </c>
      <c r="CF27" s="233">
        <f t="shared" si="108"/>
        <v>600</v>
      </c>
      <c r="CG27" s="233">
        <f t="shared" si="109"/>
        <v>600</v>
      </c>
      <c r="CH27" s="234">
        <f t="shared" si="110"/>
        <v>600</v>
      </c>
      <c r="CI27" s="306">
        <f t="shared" si="111"/>
        <v>9600</v>
      </c>
      <c r="CJ27" s="304">
        <f t="shared" si="112"/>
        <v>4800</v>
      </c>
      <c r="CK27" s="307">
        <f t="shared" si="113"/>
        <v>14400</v>
      </c>
      <c r="CL27" s="333">
        <f t="shared" si="116"/>
        <v>0.9999999925494194</v>
      </c>
      <c r="CM27" s="330">
        <f t="shared" si="117"/>
        <v>0.9999999925494194</v>
      </c>
    </row>
    <row r="28" spans="3:91">
      <c r="C28" s="113"/>
      <c r="D28" s="113"/>
      <c r="E28" s="229">
        <v>8</v>
      </c>
      <c r="F28" s="245">
        <v>1.1255871057510376</v>
      </c>
      <c r="G28" s="246">
        <v>1.1250460147857666</v>
      </c>
      <c r="H28" s="246">
        <v>1.120086669921875</v>
      </c>
      <c r="I28" s="246">
        <v>1.1025853157043457</v>
      </c>
      <c r="J28" s="246">
        <v>1.094084620475769</v>
      </c>
      <c r="K28" s="246">
        <v>1.052048921585083</v>
      </c>
      <c r="L28" s="246">
        <v>1.0463972091674805</v>
      </c>
      <c r="M28" s="246">
        <v>1.0201809406280518</v>
      </c>
      <c r="N28" s="246">
        <v>1.0109198093414307</v>
      </c>
      <c r="O28" s="246">
        <v>1.0011657476425171</v>
      </c>
      <c r="P28" s="246">
        <v>0.98847657442092896</v>
      </c>
      <c r="Q28" s="246">
        <v>0.943572998046875</v>
      </c>
      <c r="R28" s="246">
        <v>0.92357146739959717</v>
      </c>
      <c r="S28" s="246">
        <v>0.89006888866424561</v>
      </c>
      <c r="T28" s="246">
        <v>0.82483470439910889</v>
      </c>
      <c r="U28" s="247">
        <v>0.73137283325195313</v>
      </c>
      <c r="V28" s="246">
        <v>1.1784224510192871</v>
      </c>
      <c r="W28" s="246">
        <v>1.0685268640518188</v>
      </c>
      <c r="X28" s="246">
        <v>1.0397844314575195</v>
      </c>
      <c r="Y28" s="246">
        <v>0.98492521047592163</v>
      </c>
      <c r="Z28" s="246">
        <v>0.95254713296890259</v>
      </c>
      <c r="AA28" s="246">
        <v>0.93565636873245239</v>
      </c>
      <c r="AB28" s="246">
        <v>0.92006880044937134</v>
      </c>
      <c r="AC28" s="247">
        <v>0.92006880044937134</v>
      </c>
      <c r="AD28" s="113"/>
      <c r="AE28" s="229">
        <v>10</v>
      </c>
      <c r="AF28" s="232">
        <f t="shared" si="60"/>
        <v>150</v>
      </c>
      <c r="AG28" s="233">
        <f t="shared" si="61"/>
        <v>150</v>
      </c>
      <c r="AH28" s="233">
        <f t="shared" si="62"/>
        <v>150</v>
      </c>
      <c r="AI28" s="233">
        <f t="shared" si="63"/>
        <v>150</v>
      </c>
      <c r="AJ28" s="233">
        <f t="shared" si="64"/>
        <v>150</v>
      </c>
      <c r="AK28" s="233">
        <f t="shared" si="65"/>
        <v>150</v>
      </c>
      <c r="AL28" s="233">
        <f t="shared" si="66"/>
        <v>150</v>
      </c>
      <c r="AM28" s="233">
        <f t="shared" si="67"/>
        <v>150</v>
      </c>
      <c r="AN28" s="233">
        <f t="shared" si="68"/>
        <v>150</v>
      </c>
      <c r="AO28" s="233">
        <f t="shared" si="69"/>
        <v>150</v>
      </c>
      <c r="AP28" s="233">
        <f t="shared" si="70"/>
        <v>150</v>
      </c>
      <c r="AQ28" s="233">
        <f t="shared" si="71"/>
        <v>150</v>
      </c>
      <c r="AR28" s="233">
        <f t="shared" si="72"/>
        <v>150</v>
      </c>
      <c r="AS28" s="233">
        <f t="shared" si="73"/>
        <v>150</v>
      </c>
      <c r="AT28" s="233">
        <f t="shared" si="74"/>
        <v>150</v>
      </c>
      <c r="AU28" s="234">
        <f t="shared" si="75"/>
        <v>150</v>
      </c>
      <c r="AV28" s="233">
        <f t="shared" si="76"/>
        <v>150</v>
      </c>
      <c r="AW28" s="233">
        <f t="shared" si="77"/>
        <v>150</v>
      </c>
      <c r="AX28" s="233">
        <f t="shared" si="78"/>
        <v>150</v>
      </c>
      <c r="AY28" s="233">
        <f t="shared" si="79"/>
        <v>150</v>
      </c>
      <c r="AZ28" s="233">
        <f t="shared" si="80"/>
        <v>150</v>
      </c>
      <c r="BA28" s="233">
        <f t="shared" si="81"/>
        <v>150</v>
      </c>
      <c r="BB28" s="233">
        <f t="shared" si="82"/>
        <v>150</v>
      </c>
      <c r="BC28" s="234">
        <f t="shared" si="83"/>
        <v>150</v>
      </c>
      <c r="BD28" s="306">
        <f t="shared" si="84"/>
        <v>2400</v>
      </c>
      <c r="BE28" s="304">
        <f t="shared" si="85"/>
        <v>1200</v>
      </c>
      <c r="BF28" s="307">
        <f t="shared" si="86"/>
        <v>3600</v>
      </c>
      <c r="BG28" s="333">
        <f t="shared" si="114"/>
        <v>1.0000000149011612</v>
      </c>
      <c r="BH28" s="330">
        <f t="shared" si="115"/>
        <v>0.9999999925494194</v>
      </c>
      <c r="BJ28" s="229">
        <v>10</v>
      </c>
      <c r="BK28" s="232">
        <f t="shared" si="87"/>
        <v>600</v>
      </c>
      <c r="BL28" s="233">
        <f t="shared" si="88"/>
        <v>600</v>
      </c>
      <c r="BM28" s="233">
        <f t="shared" si="89"/>
        <v>600</v>
      </c>
      <c r="BN28" s="233">
        <f t="shared" si="90"/>
        <v>600</v>
      </c>
      <c r="BO28" s="233">
        <f t="shared" si="91"/>
        <v>600</v>
      </c>
      <c r="BP28" s="233">
        <f t="shared" si="92"/>
        <v>600</v>
      </c>
      <c r="BQ28" s="233">
        <f t="shared" si="93"/>
        <v>600</v>
      </c>
      <c r="BR28" s="233">
        <f t="shared" si="94"/>
        <v>600</v>
      </c>
      <c r="BS28" s="233">
        <f t="shared" si="95"/>
        <v>600</v>
      </c>
      <c r="BT28" s="233">
        <f t="shared" si="96"/>
        <v>600</v>
      </c>
      <c r="BU28" s="233">
        <f t="shared" si="97"/>
        <v>600</v>
      </c>
      <c r="BV28" s="233">
        <f t="shared" si="98"/>
        <v>600</v>
      </c>
      <c r="BW28" s="233">
        <f t="shared" si="99"/>
        <v>600</v>
      </c>
      <c r="BX28" s="233">
        <f t="shared" si="100"/>
        <v>600</v>
      </c>
      <c r="BY28" s="233">
        <f t="shared" si="101"/>
        <v>600</v>
      </c>
      <c r="BZ28" s="234">
        <f t="shared" si="102"/>
        <v>600</v>
      </c>
      <c r="CA28" s="233">
        <f t="shared" si="103"/>
        <v>600</v>
      </c>
      <c r="CB28" s="233">
        <f t="shared" si="104"/>
        <v>600</v>
      </c>
      <c r="CC28" s="233">
        <f t="shared" si="105"/>
        <v>600</v>
      </c>
      <c r="CD28" s="233">
        <f t="shared" si="106"/>
        <v>600</v>
      </c>
      <c r="CE28" s="233">
        <f t="shared" si="107"/>
        <v>600</v>
      </c>
      <c r="CF28" s="233">
        <f t="shared" si="108"/>
        <v>600</v>
      </c>
      <c r="CG28" s="233">
        <f t="shared" si="109"/>
        <v>600</v>
      </c>
      <c r="CH28" s="234">
        <f t="shared" si="110"/>
        <v>600</v>
      </c>
      <c r="CI28" s="306">
        <f t="shared" si="111"/>
        <v>9600</v>
      </c>
      <c r="CJ28" s="304">
        <f t="shared" si="112"/>
        <v>4800</v>
      </c>
      <c r="CK28" s="307">
        <f t="shared" si="113"/>
        <v>14400</v>
      </c>
      <c r="CL28" s="333">
        <f t="shared" si="116"/>
        <v>1.0000000149011612</v>
      </c>
      <c r="CM28" s="330">
        <f t="shared" si="117"/>
        <v>0.9999999925494194</v>
      </c>
    </row>
    <row r="29" spans="3:91">
      <c r="C29" s="113"/>
      <c r="D29" s="113"/>
      <c r="E29" s="229">
        <v>9</v>
      </c>
      <c r="F29" s="245">
        <v>1.0740137100219727</v>
      </c>
      <c r="G29" s="246">
        <v>1.0723167657852173</v>
      </c>
      <c r="H29" s="246">
        <v>1.0685364007949829</v>
      </c>
      <c r="I29" s="246">
        <v>1.0676515102386475</v>
      </c>
      <c r="J29" s="246">
        <v>1.0653609037399292</v>
      </c>
      <c r="K29" s="246">
        <v>1.0514322519302368</v>
      </c>
      <c r="L29" s="246">
        <v>1.0319793224334717</v>
      </c>
      <c r="M29" s="246">
        <v>1.0319793224334717</v>
      </c>
      <c r="N29" s="246">
        <v>1.0280002355575562</v>
      </c>
      <c r="O29" s="246">
        <v>1.0252048969268799</v>
      </c>
      <c r="P29" s="246">
        <v>1.0128872394561768</v>
      </c>
      <c r="Q29" s="246">
        <v>0.99108773469924927</v>
      </c>
      <c r="R29" s="246">
        <v>0.92974674701690674</v>
      </c>
      <c r="S29" s="246">
        <v>0.91893386840820313</v>
      </c>
      <c r="T29" s="246">
        <v>0.85261386632919312</v>
      </c>
      <c r="U29" s="247">
        <v>0.77825510501861572</v>
      </c>
      <c r="V29" s="246">
        <v>1.181871771812439</v>
      </c>
      <c r="W29" s="246">
        <v>1.0463979244232178</v>
      </c>
      <c r="X29" s="246">
        <v>1.0302079916000366</v>
      </c>
      <c r="Y29" s="246">
        <v>0.98594123125076294</v>
      </c>
      <c r="Z29" s="246">
        <v>0.96335285902023315</v>
      </c>
      <c r="AA29" s="246">
        <v>0.94569873809814453</v>
      </c>
      <c r="AB29" s="246">
        <v>0.92343783378601074</v>
      </c>
      <c r="AC29" s="247">
        <v>0.9230915904045105</v>
      </c>
      <c r="AD29" s="113"/>
      <c r="AE29" s="229">
        <v>11</v>
      </c>
      <c r="AF29" s="232">
        <f t="shared" si="60"/>
        <v>150</v>
      </c>
      <c r="AG29" s="233">
        <f t="shared" si="61"/>
        <v>150</v>
      </c>
      <c r="AH29" s="233">
        <f t="shared" si="62"/>
        <v>150</v>
      </c>
      <c r="AI29" s="233">
        <f t="shared" si="63"/>
        <v>150</v>
      </c>
      <c r="AJ29" s="233">
        <f t="shared" si="64"/>
        <v>150</v>
      </c>
      <c r="AK29" s="233">
        <f t="shared" si="65"/>
        <v>150</v>
      </c>
      <c r="AL29" s="233">
        <f t="shared" si="66"/>
        <v>150</v>
      </c>
      <c r="AM29" s="233">
        <f t="shared" si="67"/>
        <v>150</v>
      </c>
      <c r="AN29" s="233">
        <f t="shared" si="68"/>
        <v>150</v>
      </c>
      <c r="AO29" s="233">
        <f t="shared" si="69"/>
        <v>150</v>
      </c>
      <c r="AP29" s="233">
        <f t="shared" si="70"/>
        <v>150</v>
      </c>
      <c r="AQ29" s="233">
        <f t="shared" si="71"/>
        <v>150</v>
      </c>
      <c r="AR29" s="233">
        <f t="shared" si="72"/>
        <v>150</v>
      </c>
      <c r="AS29" s="233">
        <f t="shared" si="73"/>
        <v>150</v>
      </c>
      <c r="AT29" s="233">
        <f t="shared" si="74"/>
        <v>150</v>
      </c>
      <c r="AU29" s="234">
        <f t="shared" si="75"/>
        <v>150</v>
      </c>
      <c r="AV29" s="233">
        <f t="shared" si="76"/>
        <v>150</v>
      </c>
      <c r="AW29" s="233">
        <f t="shared" si="77"/>
        <v>150</v>
      </c>
      <c r="AX29" s="233">
        <f t="shared" si="78"/>
        <v>150</v>
      </c>
      <c r="AY29" s="233">
        <f t="shared" si="79"/>
        <v>150</v>
      </c>
      <c r="AZ29" s="233">
        <f t="shared" si="80"/>
        <v>150</v>
      </c>
      <c r="BA29" s="233">
        <f t="shared" si="81"/>
        <v>150</v>
      </c>
      <c r="BB29" s="233">
        <f t="shared" si="82"/>
        <v>150</v>
      </c>
      <c r="BC29" s="234">
        <f t="shared" si="83"/>
        <v>150</v>
      </c>
      <c r="BD29" s="306">
        <f t="shared" si="84"/>
        <v>2400</v>
      </c>
      <c r="BE29" s="304">
        <f t="shared" si="85"/>
        <v>1200</v>
      </c>
      <c r="BF29" s="307">
        <f t="shared" si="86"/>
        <v>3600</v>
      </c>
      <c r="BG29" s="333">
        <f t="shared" si="114"/>
        <v>1</v>
      </c>
      <c r="BH29" s="330">
        <f t="shared" si="115"/>
        <v>0.9999999925494194</v>
      </c>
      <c r="BJ29" s="229">
        <v>11</v>
      </c>
      <c r="BK29" s="232">
        <f t="shared" si="87"/>
        <v>600</v>
      </c>
      <c r="BL29" s="233">
        <f t="shared" si="88"/>
        <v>600</v>
      </c>
      <c r="BM29" s="233">
        <f t="shared" si="89"/>
        <v>600</v>
      </c>
      <c r="BN29" s="233">
        <f t="shared" si="90"/>
        <v>600</v>
      </c>
      <c r="BO29" s="233">
        <f t="shared" si="91"/>
        <v>600</v>
      </c>
      <c r="BP29" s="233">
        <f t="shared" si="92"/>
        <v>600</v>
      </c>
      <c r="BQ29" s="233">
        <f t="shared" si="93"/>
        <v>600</v>
      </c>
      <c r="BR29" s="233">
        <f t="shared" si="94"/>
        <v>600</v>
      </c>
      <c r="BS29" s="233">
        <f t="shared" si="95"/>
        <v>600</v>
      </c>
      <c r="BT29" s="233">
        <f t="shared" si="96"/>
        <v>600</v>
      </c>
      <c r="BU29" s="233">
        <f t="shared" si="97"/>
        <v>600</v>
      </c>
      <c r="BV29" s="233">
        <f t="shared" si="98"/>
        <v>600</v>
      </c>
      <c r="BW29" s="233">
        <f t="shared" si="99"/>
        <v>600</v>
      </c>
      <c r="BX29" s="233">
        <f t="shared" si="100"/>
        <v>600</v>
      </c>
      <c r="BY29" s="233">
        <f t="shared" si="101"/>
        <v>600</v>
      </c>
      <c r="BZ29" s="234">
        <f t="shared" si="102"/>
        <v>600</v>
      </c>
      <c r="CA29" s="233">
        <f t="shared" si="103"/>
        <v>600</v>
      </c>
      <c r="CB29" s="233">
        <f t="shared" si="104"/>
        <v>600</v>
      </c>
      <c r="CC29" s="233">
        <f t="shared" si="105"/>
        <v>600</v>
      </c>
      <c r="CD29" s="233">
        <f t="shared" si="106"/>
        <v>600</v>
      </c>
      <c r="CE29" s="233">
        <f t="shared" si="107"/>
        <v>600</v>
      </c>
      <c r="CF29" s="233">
        <f t="shared" si="108"/>
        <v>600</v>
      </c>
      <c r="CG29" s="233">
        <f t="shared" si="109"/>
        <v>600</v>
      </c>
      <c r="CH29" s="234">
        <f t="shared" si="110"/>
        <v>600</v>
      </c>
      <c r="CI29" s="306">
        <f t="shared" si="111"/>
        <v>9600</v>
      </c>
      <c r="CJ29" s="304">
        <f t="shared" si="112"/>
        <v>4800</v>
      </c>
      <c r="CK29" s="307">
        <f t="shared" si="113"/>
        <v>14400</v>
      </c>
      <c r="CL29" s="333">
        <f t="shared" si="116"/>
        <v>1</v>
      </c>
      <c r="CM29" s="330">
        <f t="shared" si="117"/>
        <v>0.9999999925494194</v>
      </c>
    </row>
    <row r="30" spans="3:91" ht="13.5" thickBot="1">
      <c r="C30" s="113"/>
      <c r="D30" s="113"/>
      <c r="E30" s="229">
        <v>10</v>
      </c>
      <c r="F30" s="245">
        <v>1.110464334487915</v>
      </c>
      <c r="G30" s="246">
        <v>1.0894812345504761</v>
      </c>
      <c r="H30" s="246">
        <v>1.0418164730072021</v>
      </c>
      <c r="I30" s="246">
        <v>1.0277460813522339</v>
      </c>
      <c r="J30" s="246">
        <v>1.0168790817260742</v>
      </c>
      <c r="K30" s="246">
        <v>1.0077189207077026</v>
      </c>
      <c r="L30" s="246">
        <v>1.0077189207077026</v>
      </c>
      <c r="M30" s="246">
        <v>1.0077189207077026</v>
      </c>
      <c r="N30" s="246">
        <v>0.99927264451980591</v>
      </c>
      <c r="O30" s="246">
        <v>0.99767136573791504</v>
      </c>
      <c r="P30" s="246">
        <v>0.99475777149200439</v>
      </c>
      <c r="Q30" s="246">
        <v>0.99258697032928467</v>
      </c>
      <c r="R30" s="246">
        <v>0.99258697032928467</v>
      </c>
      <c r="S30" s="246">
        <v>0.92946368455886841</v>
      </c>
      <c r="T30" s="246">
        <v>0.92625141143798828</v>
      </c>
      <c r="U30" s="247">
        <v>0.85786545276641846</v>
      </c>
      <c r="V30" s="246">
        <v>1.1569339036941528</v>
      </c>
      <c r="W30" s="246">
        <v>1.0528792142868042</v>
      </c>
      <c r="X30" s="246">
        <v>1.0400239229202271</v>
      </c>
      <c r="Y30" s="246">
        <v>1.0023348331451416</v>
      </c>
      <c r="Z30" s="246">
        <v>0.95490080118179321</v>
      </c>
      <c r="AA30" s="246">
        <v>0.94603651762008667</v>
      </c>
      <c r="AB30" s="246">
        <v>0.92600643634796143</v>
      </c>
      <c r="AC30" s="247">
        <v>0.92088431119918823</v>
      </c>
      <c r="AD30" s="113"/>
      <c r="AE30" s="240">
        <v>12</v>
      </c>
      <c r="AF30" s="241">
        <f t="shared" si="60"/>
        <v>150</v>
      </c>
      <c r="AG30" s="242">
        <f t="shared" si="61"/>
        <v>150</v>
      </c>
      <c r="AH30" s="242">
        <f t="shared" si="62"/>
        <v>150</v>
      </c>
      <c r="AI30" s="242">
        <f t="shared" si="63"/>
        <v>150</v>
      </c>
      <c r="AJ30" s="242">
        <f t="shared" si="64"/>
        <v>150</v>
      </c>
      <c r="AK30" s="242">
        <f t="shared" si="65"/>
        <v>150</v>
      </c>
      <c r="AL30" s="242">
        <f t="shared" si="66"/>
        <v>150</v>
      </c>
      <c r="AM30" s="242">
        <f t="shared" si="67"/>
        <v>150</v>
      </c>
      <c r="AN30" s="242">
        <f t="shared" si="68"/>
        <v>150</v>
      </c>
      <c r="AO30" s="242">
        <f t="shared" si="69"/>
        <v>150</v>
      </c>
      <c r="AP30" s="242">
        <f t="shared" si="70"/>
        <v>150</v>
      </c>
      <c r="AQ30" s="242">
        <f t="shared" si="71"/>
        <v>150</v>
      </c>
      <c r="AR30" s="242">
        <f t="shared" si="72"/>
        <v>150</v>
      </c>
      <c r="AS30" s="242">
        <f t="shared" si="73"/>
        <v>150</v>
      </c>
      <c r="AT30" s="242">
        <f t="shared" si="74"/>
        <v>150</v>
      </c>
      <c r="AU30" s="243">
        <f t="shared" si="75"/>
        <v>150</v>
      </c>
      <c r="AV30" s="242">
        <f t="shared" si="76"/>
        <v>150</v>
      </c>
      <c r="AW30" s="242">
        <f t="shared" si="77"/>
        <v>150</v>
      </c>
      <c r="AX30" s="242">
        <f t="shared" si="78"/>
        <v>150</v>
      </c>
      <c r="AY30" s="242">
        <f t="shared" si="79"/>
        <v>150</v>
      </c>
      <c r="AZ30" s="242">
        <f t="shared" si="80"/>
        <v>150</v>
      </c>
      <c r="BA30" s="242">
        <f t="shared" si="81"/>
        <v>150</v>
      </c>
      <c r="BB30" s="242">
        <f t="shared" si="82"/>
        <v>150</v>
      </c>
      <c r="BC30" s="243">
        <f t="shared" si="83"/>
        <v>150</v>
      </c>
      <c r="BD30" s="308">
        <f t="shared" si="84"/>
        <v>2400</v>
      </c>
      <c r="BE30" s="305">
        <f t="shared" si="85"/>
        <v>1200</v>
      </c>
      <c r="BF30" s="309">
        <f t="shared" si="86"/>
        <v>3600</v>
      </c>
      <c r="BG30" s="334">
        <f t="shared" si="114"/>
        <v>1</v>
      </c>
      <c r="BH30" s="331">
        <f t="shared" si="115"/>
        <v>1</v>
      </c>
      <c r="BJ30" s="240">
        <v>12</v>
      </c>
      <c r="BK30" s="241">
        <f t="shared" si="87"/>
        <v>600</v>
      </c>
      <c r="BL30" s="242">
        <f t="shared" si="88"/>
        <v>600</v>
      </c>
      <c r="BM30" s="242">
        <f t="shared" si="89"/>
        <v>600</v>
      </c>
      <c r="BN30" s="242">
        <f t="shared" si="90"/>
        <v>600</v>
      </c>
      <c r="BO30" s="242">
        <f t="shared" si="91"/>
        <v>600</v>
      </c>
      <c r="BP30" s="242">
        <f t="shared" si="92"/>
        <v>600</v>
      </c>
      <c r="BQ30" s="242">
        <f t="shared" si="93"/>
        <v>600</v>
      </c>
      <c r="BR30" s="242">
        <f t="shared" si="94"/>
        <v>600</v>
      </c>
      <c r="BS30" s="242">
        <f t="shared" si="95"/>
        <v>600</v>
      </c>
      <c r="BT30" s="242">
        <f t="shared" si="96"/>
        <v>600</v>
      </c>
      <c r="BU30" s="242">
        <f t="shared" si="97"/>
        <v>600</v>
      </c>
      <c r="BV30" s="242">
        <f t="shared" si="98"/>
        <v>600</v>
      </c>
      <c r="BW30" s="242">
        <f t="shared" si="99"/>
        <v>600</v>
      </c>
      <c r="BX30" s="242">
        <f t="shared" si="100"/>
        <v>600</v>
      </c>
      <c r="BY30" s="242">
        <f t="shared" si="101"/>
        <v>600</v>
      </c>
      <c r="BZ30" s="243">
        <f t="shared" si="102"/>
        <v>600</v>
      </c>
      <c r="CA30" s="242">
        <f t="shared" si="103"/>
        <v>600</v>
      </c>
      <c r="CB30" s="242">
        <f t="shared" si="104"/>
        <v>600</v>
      </c>
      <c r="CC30" s="242">
        <f t="shared" si="105"/>
        <v>600</v>
      </c>
      <c r="CD30" s="242">
        <f t="shared" si="106"/>
        <v>600</v>
      </c>
      <c r="CE30" s="242">
        <f t="shared" si="107"/>
        <v>600</v>
      </c>
      <c r="CF30" s="242">
        <f t="shared" si="108"/>
        <v>600</v>
      </c>
      <c r="CG30" s="242">
        <f t="shared" si="109"/>
        <v>600</v>
      </c>
      <c r="CH30" s="243">
        <f t="shared" si="110"/>
        <v>600</v>
      </c>
      <c r="CI30" s="308">
        <f t="shared" si="111"/>
        <v>9600</v>
      </c>
      <c r="CJ30" s="305">
        <f t="shared" si="112"/>
        <v>4800</v>
      </c>
      <c r="CK30" s="309">
        <f t="shared" si="113"/>
        <v>14400</v>
      </c>
      <c r="CL30" s="334">
        <f t="shared" si="116"/>
        <v>1</v>
      </c>
      <c r="CM30" s="331">
        <f t="shared" si="117"/>
        <v>1</v>
      </c>
    </row>
    <row r="31" spans="3:91" ht="16.5" thickBot="1">
      <c r="C31" s="113"/>
      <c r="D31" s="113"/>
      <c r="E31" s="229">
        <v>11</v>
      </c>
      <c r="F31" s="245">
        <v>1.1435698270797729</v>
      </c>
      <c r="G31" s="246">
        <v>1.1142160892486572</v>
      </c>
      <c r="H31" s="246">
        <v>1.065000057220459</v>
      </c>
      <c r="I31" s="246">
        <v>1.0551011562347412</v>
      </c>
      <c r="J31" s="246">
        <v>1.0405427217483521</v>
      </c>
      <c r="K31" s="246">
        <v>1.0347847938537598</v>
      </c>
      <c r="L31" s="246">
        <v>1.0330132246017456</v>
      </c>
      <c r="M31" s="246">
        <v>1.0080513954162598</v>
      </c>
      <c r="N31" s="246">
        <v>1.0049552917480469</v>
      </c>
      <c r="O31" s="246">
        <v>0.99036633968353271</v>
      </c>
      <c r="P31" s="246">
        <v>0.95766019821166992</v>
      </c>
      <c r="Q31" s="246">
        <v>0.92738974094390869</v>
      </c>
      <c r="R31" s="246">
        <v>0.92738974094390869</v>
      </c>
      <c r="S31" s="246">
        <v>0.92049145698547363</v>
      </c>
      <c r="T31" s="246">
        <v>0.9167206883430481</v>
      </c>
      <c r="U31" s="247">
        <v>0.86074727773666382</v>
      </c>
      <c r="V31" s="246">
        <v>1.1382155418395996</v>
      </c>
      <c r="W31" s="246">
        <v>1.1242619752883911</v>
      </c>
      <c r="X31" s="246">
        <v>0.99165374040603638</v>
      </c>
      <c r="Y31" s="246">
        <v>0.98823541402816772</v>
      </c>
      <c r="Z31" s="246">
        <v>0.97712701559066772</v>
      </c>
      <c r="AA31" s="246">
        <v>0.93997448682785034</v>
      </c>
      <c r="AB31" s="246">
        <v>0.92364001274108887</v>
      </c>
      <c r="AC31" s="247">
        <v>0.91689175367355347</v>
      </c>
      <c r="AD31" s="113"/>
      <c r="AE31" s="258" t="s">
        <v>312</v>
      </c>
      <c r="AF31" s="226" t="s">
        <v>360</v>
      </c>
      <c r="AG31" s="227"/>
      <c r="AH31" s="227"/>
      <c r="AI31" s="227"/>
      <c r="AJ31" s="227"/>
      <c r="AK31" s="227"/>
      <c r="AL31" s="227"/>
      <c r="AM31" s="227"/>
      <c r="AN31" s="227"/>
      <c r="AO31" s="227"/>
      <c r="AP31" s="227"/>
      <c r="AQ31" s="227"/>
      <c r="AR31" s="227"/>
      <c r="AS31" s="227"/>
      <c r="AT31" s="227"/>
      <c r="AU31" s="228"/>
      <c r="AV31" s="227" t="s">
        <v>344</v>
      </c>
      <c r="AW31" s="227"/>
      <c r="AX31" s="227"/>
      <c r="AY31" s="227"/>
      <c r="AZ31" s="227"/>
      <c r="BA31" s="227"/>
      <c r="BB31" s="227"/>
      <c r="BC31" s="228"/>
      <c r="BD31" s="299"/>
      <c r="BE31" s="302" t="s">
        <v>304</v>
      </c>
      <c r="BF31" s="220"/>
      <c r="BG31" s="332"/>
      <c r="BH31" s="332"/>
      <c r="BJ31" s="258" t="s">
        <v>312</v>
      </c>
      <c r="BK31" s="226" t="s">
        <v>360</v>
      </c>
      <c r="BL31" s="227"/>
      <c r="BM31" s="227"/>
      <c r="BN31" s="227"/>
      <c r="BO31" s="227"/>
      <c r="BP31" s="227"/>
      <c r="BQ31" s="227"/>
      <c r="BR31" s="227"/>
      <c r="BS31" s="227"/>
      <c r="BT31" s="227"/>
      <c r="BU31" s="227"/>
      <c r="BV31" s="227"/>
      <c r="BW31" s="227"/>
      <c r="BX31" s="227"/>
      <c r="BY31" s="227"/>
      <c r="BZ31" s="228"/>
      <c r="CA31" s="227" t="s">
        <v>344</v>
      </c>
      <c r="CB31" s="227"/>
      <c r="CC31" s="227"/>
      <c r="CD31" s="227"/>
      <c r="CE31" s="227"/>
      <c r="CF31" s="227"/>
      <c r="CG31" s="227"/>
      <c r="CH31" s="228"/>
      <c r="CI31" s="299"/>
      <c r="CJ31" s="302" t="s">
        <v>304</v>
      </c>
      <c r="CK31" s="220"/>
      <c r="CL31" s="332"/>
      <c r="CM31" s="332"/>
    </row>
    <row r="32" spans="3:91" ht="13.5" thickBot="1">
      <c r="C32" s="113"/>
      <c r="D32" s="113"/>
      <c r="E32" s="240">
        <v>12</v>
      </c>
      <c r="F32" s="248">
        <v>1.1619497537612915</v>
      </c>
      <c r="G32" s="249">
        <v>1.1357244253158569</v>
      </c>
      <c r="H32" s="249">
        <v>1.0839800834655762</v>
      </c>
      <c r="I32" s="249">
        <v>1.0798900127410889</v>
      </c>
      <c r="J32" s="249">
        <v>1.040552020072937</v>
      </c>
      <c r="K32" s="249">
        <v>1.0358991622924805</v>
      </c>
      <c r="L32" s="249">
        <v>1.0299773216247559</v>
      </c>
      <c r="M32" s="249">
        <v>1.0289407968521118</v>
      </c>
      <c r="N32" s="249">
        <v>0.98314470052719116</v>
      </c>
      <c r="O32" s="249">
        <v>0.97977042198181152</v>
      </c>
      <c r="P32" s="249">
        <v>0.93691986799240112</v>
      </c>
      <c r="Q32" s="249">
        <v>0.92781835794448853</v>
      </c>
      <c r="R32" s="249">
        <v>0.91577041149139404</v>
      </c>
      <c r="S32" s="249">
        <v>0.90751820802688599</v>
      </c>
      <c r="T32" s="249">
        <v>0.89504396915435791</v>
      </c>
      <c r="U32" s="250">
        <v>0.85710048675537109</v>
      </c>
      <c r="V32" s="249">
        <v>1.1787565946578979</v>
      </c>
      <c r="W32" s="249">
        <v>1.1170448064804077</v>
      </c>
      <c r="X32" s="249">
        <v>1.0385521650314331</v>
      </c>
      <c r="Y32" s="249">
        <v>0.95838624238967896</v>
      </c>
      <c r="Z32" s="249">
        <v>0.95423561334609985</v>
      </c>
      <c r="AA32" s="249">
        <v>0.92133092880249023</v>
      </c>
      <c r="AB32" s="249">
        <v>0.91840606927871704</v>
      </c>
      <c r="AC32" s="250">
        <v>0.91328758001327515</v>
      </c>
      <c r="AD32" s="113"/>
      <c r="AE32" s="229" t="s">
        <v>307</v>
      </c>
      <c r="AF32" s="229">
        <v>1</v>
      </c>
      <c r="AG32" s="164">
        <v>2</v>
      </c>
      <c r="AH32" s="164">
        <v>3</v>
      </c>
      <c r="AI32" s="164">
        <v>4</v>
      </c>
      <c r="AJ32" s="164">
        <v>5</v>
      </c>
      <c r="AK32" s="164">
        <v>6</v>
      </c>
      <c r="AL32" s="164">
        <v>7</v>
      </c>
      <c r="AM32" s="164">
        <v>8</v>
      </c>
      <c r="AN32" s="164">
        <v>9</v>
      </c>
      <c r="AO32" s="164">
        <v>10</v>
      </c>
      <c r="AP32" s="164">
        <v>11</v>
      </c>
      <c r="AQ32" s="164">
        <v>12</v>
      </c>
      <c r="AR32" s="164">
        <v>13</v>
      </c>
      <c r="AS32" s="164">
        <v>14</v>
      </c>
      <c r="AT32" s="164">
        <v>15</v>
      </c>
      <c r="AU32" s="230">
        <v>16</v>
      </c>
      <c r="AV32" s="164">
        <v>1</v>
      </c>
      <c r="AW32" s="164">
        <v>2</v>
      </c>
      <c r="AX32" s="164">
        <v>3</v>
      </c>
      <c r="AY32" s="164">
        <v>4</v>
      </c>
      <c r="AZ32" s="164">
        <v>5</v>
      </c>
      <c r="BA32" s="164">
        <v>6</v>
      </c>
      <c r="BB32" s="164">
        <v>7</v>
      </c>
      <c r="BC32" s="230">
        <v>8</v>
      </c>
      <c r="BD32" s="300" t="s">
        <v>360</v>
      </c>
      <c r="BE32" s="303" t="s">
        <v>360</v>
      </c>
      <c r="BF32" s="301" t="s">
        <v>73</v>
      </c>
      <c r="BG32" s="326" t="s">
        <v>360</v>
      </c>
      <c r="BH32" s="326" t="s">
        <v>344</v>
      </c>
      <c r="BJ32" s="229" t="s">
        <v>307</v>
      </c>
      <c r="BK32" s="229">
        <v>1</v>
      </c>
      <c r="BL32" s="164">
        <v>2</v>
      </c>
      <c r="BM32" s="164">
        <v>3</v>
      </c>
      <c r="BN32" s="164">
        <v>4</v>
      </c>
      <c r="BO32" s="164">
        <v>5</v>
      </c>
      <c r="BP32" s="164">
        <v>6</v>
      </c>
      <c r="BQ32" s="164">
        <v>7</v>
      </c>
      <c r="BR32" s="164">
        <v>8</v>
      </c>
      <c r="BS32" s="164">
        <v>9</v>
      </c>
      <c r="BT32" s="164">
        <v>10</v>
      </c>
      <c r="BU32" s="164">
        <v>11</v>
      </c>
      <c r="BV32" s="164">
        <v>12</v>
      </c>
      <c r="BW32" s="164">
        <v>13</v>
      </c>
      <c r="BX32" s="164">
        <v>14</v>
      </c>
      <c r="BY32" s="164">
        <v>15</v>
      </c>
      <c r="BZ32" s="230">
        <v>16</v>
      </c>
      <c r="CA32" s="164">
        <v>1</v>
      </c>
      <c r="CB32" s="164">
        <v>2</v>
      </c>
      <c r="CC32" s="164">
        <v>3</v>
      </c>
      <c r="CD32" s="164">
        <v>4</v>
      </c>
      <c r="CE32" s="164">
        <v>5</v>
      </c>
      <c r="CF32" s="164">
        <v>6</v>
      </c>
      <c r="CG32" s="164">
        <v>7</v>
      </c>
      <c r="CH32" s="230">
        <v>8</v>
      </c>
      <c r="CI32" s="300" t="s">
        <v>360</v>
      </c>
      <c r="CJ32" s="303" t="s">
        <v>360</v>
      </c>
      <c r="CK32" s="301" t="s">
        <v>73</v>
      </c>
      <c r="CL32" s="326" t="s">
        <v>360</v>
      </c>
      <c r="CM32" s="326" t="s">
        <v>344</v>
      </c>
    </row>
    <row r="33" spans="1:91" ht="13.5" thickBot="1">
      <c r="C33" s="113"/>
      <c r="D33" s="113"/>
      <c r="AD33" s="113"/>
      <c r="AE33" s="229">
        <v>1</v>
      </c>
      <c r="AF33" s="235">
        <f t="shared" ref="AF33:AF44" si="118">IF(AND(WeekDef=8,CustomSuFlag,CustomSuPeriod=4),INDEX(VolumeHourlyOver,F5,3),IF(OR(WeekDef=1,WeekDef=3,WeekDef=5,WeekDef=6,AND(WeekDef=8,CustomSuFlag,OR(CustomSuPeriod=1,CustomSuPeriod=2))),IF(VolumeMonthlyOverFlag,INDEX(VolumeMonthlyOver,AE33),Volume),0))</f>
        <v>150</v>
      </c>
      <c r="AG33" s="236">
        <f t="shared" ref="AG33:AG44" si="119">IF(AND(WeekDef=8,CustomSuFlag,CustomSuPeriod=4),INDEX(VolumeHourlyOver,G5,3),IF(OR(WeekDef=1,WeekDef=3,WeekDef=5,WeekDef=6,AND(WeekDef=8,CustomSuFlag,OR(CustomSuPeriod=1,CustomSuPeriod=2))),IF(VolumeMonthlyOverFlag,INDEX(VolumeMonthlyOver,AE33),Volume),0))</f>
        <v>150</v>
      </c>
      <c r="AH33" s="236">
        <f t="shared" ref="AH33:AH44" si="120">IF(AND(WeekDef=8,CustomSuFlag,CustomSuPeriod=4),INDEX(VolumeHourlyOver,H5,3),IF(OR(WeekDef=1,WeekDef=3,WeekDef=5,WeekDef=6,AND(WeekDef=8,CustomSuFlag,OR(CustomSuPeriod=1,CustomSuPeriod=2))),IF(VolumeMonthlyOverFlag,INDEX(VolumeMonthlyOver,AE33),Volume),0))</f>
        <v>150</v>
      </c>
      <c r="AI33" s="236">
        <f t="shared" ref="AI33:AI44" si="121">IF(AND(WeekDef=8,CustomSuFlag,CustomSuPeriod=4),INDEX(VolumeHourlyOver,I5,3),IF(OR(WeekDef=1,WeekDef=3,WeekDef=5,WeekDef=6,AND(WeekDef=8,CustomSuFlag,OR(CustomSuPeriod=1,CustomSuPeriod=2))),IF(VolumeMonthlyOverFlag,INDEX(VolumeMonthlyOver,AE33),Volume),0))</f>
        <v>150</v>
      </c>
      <c r="AJ33" s="236">
        <f t="shared" ref="AJ33:AJ44" si="122">IF(AND(WeekDef=8,CustomSuFlag,CustomSuPeriod=4),INDEX(VolumeHourlyOver,J5,3),IF(OR(WeekDef=1,WeekDef=3,WeekDef=5,WeekDef=6,AND(WeekDef=8,CustomSuFlag,OR(CustomSuPeriod=1,CustomSuPeriod=2))),IF(VolumeMonthlyOverFlag,INDEX(VolumeMonthlyOver,AE33),Volume),0))</f>
        <v>150</v>
      </c>
      <c r="AK33" s="236">
        <f t="shared" ref="AK33:AK44" si="123">IF(AND(WeekDef=8,CustomSuFlag,CustomSuPeriod=4),INDEX(VolumeHourlyOver,K5,3),IF(OR(WeekDef=1,WeekDef=3,WeekDef=5,WeekDef=6,AND(WeekDef=8,CustomSuFlag,OR(CustomSuPeriod=1,CustomSuPeriod=2))),IF(VolumeMonthlyOverFlag,INDEX(VolumeMonthlyOver,AE33),Volume),0))</f>
        <v>150</v>
      </c>
      <c r="AL33" s="236">
        <f t="shared" ref="AL33:AL44" si="124">IF(AND(WeekDef=8,CustomSuFlag,CustomSuPeriod=4),INDEX(VolumeHourlyOver,L5,3),IF(OR(WeekDef=1,WeekDef=3,WeekDef=5,WeekDef=6,AND(WeekDef=8,CustomSuFlag,OR(CustomSuPeriod=1,CustomSuPeriod=2))),IF(VolumeMonthlyOverFlag,INDEX(VolumeMonthlyOver,AE33),Volume),0))</f>
        <v>150</v>
      </c>
      <c r="AM33" s="236">
        <f t="shared" ref="AM33:AM44" si="125">IF(AND(WeekDef=8,CustomSuFlag,CustomSuPeriod=4),INDEX(VolumeHourlyOver,M5,3),IF(OR(WeekDef=1,WeekDef=3,WeekDef=5,WeekDef=6,AND(WeekDef=8,CustomSuFlag,OR(CustomSuPeriod=1,CustomSuPeriod=2))),IF(VolumeMonthlyOverFlag,INDEX(VolumeMonthlyOver,AE33),Volume),0))</f>
        <v>150</v>
      </c>
      <c r="AN33" s="236">
        <f t="shared" ref="AN33:AN44" si="126">IF(AND(WeekDef=8,CustomSuFlag,CustomSuPeriod=4),INDEX(VolumeHourlyOver,N5,3),IF(OR(WeekDef=1,WeekDef=3,WeekDef=5,WeekDef=6,AND(WeekDef=8,CustomSuFlag,OR(CustomSuPeriod=1,CustomSuPeriod=2))),IF(VolumeMonthlyOverFlag,INDEX(VolumeMonthlyOver,AE33),Volume),0))</f>
        <v>150</v>
      </c>
      <c r="AO33" s="236">
        <f t="shared" ref="AO33:AO44" si="127">IF(AND(WeekDef=8,CustomSuFlag,CustomSuPeriod=4),INDEX(VolumeHourlyOver,O5,3),IF(OR(WeekDef=1,WeekDef=3,WeekDef=5,WeekDef=6,AND(WeekDef=8,CustomSuFlag,OR(CustomSuPeriod=1,CustomSuPeriod=2))),IF(VolumeMonthlyOverFlag,INDEX(VolumeMonthlyOver,AE33),Volume),0))</f>
        <v>150</v>
      </c>
      <c r="AP33" s="236">
        <f t="shared" ref="AP33:AP44" si="128">IF(AND(WeekDef=8,CustomSuFlag,CustomSuPeriod=4),INDEX(VolumeHourlyOver,P5,3),IF(OR(WeekDef=1,WeekDef=3,WeekDef=5,WeekDef=6,AND(WeekDef=8,CustomSuFlag,OR(CustomSuPeriod=1,CustomSuPeriod=2))),IF(VolumeMonthlyOverFlag,INDEX(VolumeMonthlyOver,AE33),Volume),0))</f>
        <v>150</v>
      </c>
      <c r="AQ33" s="236">
        <f t="shared" ref="AQ33:AQ44" si="129">IF(AND(WeekDef=8,CustomSuFlag,CustomSuPeriod=4),INDEX(VolumeHourlyOver,Q5,3),IF(OR(WeekDef=1,WeekDef=3,WeekDef=5,WeekDef=6,AND(WeekDef=8,CustomSuFlag,OR(CustomSuPeriod=1,CustomSuPeriod=2))),IF(VolumeMonthlyOverFlag,INDEX(VolumeMonthlyOver,AE33),Volume),0))</f>
        <v>150</v>
      </c>
      <c r="AR33" s="236">
        <f t="shared" ref="AR33:AR44" si="130">IF(AND(WeekDef=8,CustomSuFlag,CustomSuPeriod=4),INDEX(VolumeHourlyOver,R5,3),IF(OR(WeekDef=1,WeekDef=3,WeekDef=5,WeekDef=6,AND(WeekDef=8,CustomSuFlag,OR(CustomSuPeriod=1,CustomSuPeriod=2))),IF(VolumeMonthlyOverFlag,INDEX(VolumeMonthlyOver,AE33),Volume),0))</f>
        <v>150</v>
      </c>
      <c r="AS33" s="236">
        <f t="shared" ref="AS33:AS44" si="131">IF(AND(WeekDef=8,CustomSuFlag,CustomSuPeriod=4),INDEX(VolumeHourlyOver,S5,3),IF(OR(WeekDef=1,WeekDef=3,WeekDef=5,WeekDef=6,AND(WeekDef=8,CustomSuFlag,OR(CustomSuPeriod=1,CustomSuPeriod=2))),IF(VolumeMonthlyOverFlag,INDEX(VolumeMonthlyOver,AE33),Volume),0))</f>
        <v>150</v>
      </c>
      <c r="AT33" s="236">
        <f t="shared" ref="AT33:AT44" si="132">IF(AND(WeekDef=8,CustomSuFlag,CustomSuPeriod=4),INDEX(VolumeHourlyOver,T5,3),IF(OR(WeekDef=1,WeekDef=3,WeekDef=5,WeekDef=6,AND(WeekDef=8,CustomSuFlag,OR(CustomSuPeriod=1,CustomSuPeriod=2))),IF(VolumeMonthlyOverFlag,INDEX(VolumeMonthlyOver,AE33),Volume),0))</f>
        <v>150</v>
      </c>
      <c r="AU33" s="237">
        <f t="shared" ref="AU33:AU44" si="133">IF(AND(WeekDef=8,CustomSuFlag,CustomSuPeriod=4),INDEX(VolumeHourlyOver,U5,3),IF(OR(WeekDef=1,WeekDef=3,WeekDef=5,WeekDef=6,AND(WeekDef=8,CustomSuFlag,OR(CustomSuPeriod=1,CustomSuPeriod=2))),IF(VolumeMonthlyOverFlag,INDEX(VolumeMonthlyOver,AE33),Volume),0))</f>
        <v>150</v>
      </c>
      <c r="AV33" s="236">
        <f t="shared" ref="AV33:AV44" si="134">IF(AND(WeekDef=8,CustomSuFlag,CustomSuPeriod=4),INDEX(VolumeHourlyOver,V5,3),IF(OR(WeekDef=1,WeekDef=3,WeekDef=5,WeekDef=7,AND(WeekDef=8,CustomSuFlag,OR(CustomSuPeriod=1,CustomSuPeriod=3))),IF(VolumeMonthlyOverFlag,INDEX(VolumeMonthlyOver,AE33),Volume),0))</f>
        <v>150</v>
      </c>
      <c r="AW33" s="236">
        <f t="shared" ref="AW33:AW44" si="135">IF(AND(WeekDef=8,CustomSuFlag,CustomSuPeriod=4),INDEX(VolumeHourlyOver,W5,3),IF(OR(WeekDef=1,WeekDef=3,WeekDef=5,WeekDef=7,AND(WeekDef=8,CustomSuFlag,OR(CustomSuPeriod=1,CustomSuPeriod=3))),IF(VolumeMonthlyOverFlag,INDEX(VolumeMonthlyOver,AE33),Volume),0))</f>
        <v>150</v>
      </c>
      <c r="AX33" s="236">
        <f t="shared" ref="AX33:AX44" si="136">IF(AND(WeekDef=8,CustomSuFlag,CustomSuPeriod=4),INDEX(VolumeHourlyOver,X5,3),IF(OR(WeekDef=1,WeekDef=3,WeekDef=5,WeekDef=7,AND(WeekDef=8,CustomSuFlag,OR(CustomSuPeriod=1,CustomSuPeriod=3))),IF(VolumeMonthlyOverFlag,INDEX(VolumeMonthlyOver,AE33),Volume),0))</f>
        <v>150</v>
      </c>
      <c r="AY33" s="236">
        <f t="shared" ref="AY33:AY44" si="137">IF(AND(WeekDef=8,CustomSuFlag,CustomSuPeriod=4),INDEX(VolumeHourlyOver,Y5,3),IF(OR(WeekDef=1,WeekDef=3,WeekDef=5,WeekDef=7,AND(WeekDef=8,CustomSuFlag,OR(CustomSuPeriod=1,CustomSuPeriod=3))),IF(VolumeMonthlyOverFlag,INDEX(VolumeMonthlyOver,AE33),Volume),0))</f>
        <v>150</v>
      </c>
      <c r="AZ33" s="236">
        <f t="shared" ref="AZ33:AZ44" si="138">IF(AND(WeekDef=8,CustomSuFlag,CustomSuPeriod=4),INDEX(VolumeHourlyOver,Z5,3),IF(OR(WeekDef=1,WeekDef=3,WeekDef=5,WeekDef=7,AND(WeekDef=8,CustomSuFlag,OR(CustomSuPeriod=1,CustomSuPeriod=3))),IF(VolumeMonthlyOverFlag,INDEX(VolumeMonthlyOver,AE33),Volume),0))</f>
        <v>150</v>
      </c>
      <c r="BA33" s="236">
        <f t="shared" ref="BA33:BA44" si="139">IF(AND(WeekDef=8,CustomSuFlag,CustomSuPeriod=4),INDEX(VolumeHourlyOver,AA5,3),IF(OR(WeekDef=1,WeekDef=3,WeekDef=5,WeekDef=7,AND(WeekDef=8,CustomSuFlag,OR(CustomSuPeriod=1,CustomSuPeriod=3))),IF(VolumeMonthlyOverFlag,INDEX(VolumeMonthlyOver,AE33),Volume),0))</f>
        <v>150</v>
      </c>
      <c r="BB33" s="236">
        <f t="shared" ref="BB33:BB44" si="140">IF(AND(WeekDef=8,CustomSuFlag,CustomSuPeriod=4),INDEX(VolumeHourlyOver,AB5,3),IF(OR(WeekDef=1,WeekDef=3,WeekDef=5,WeekDef=7,AND(WeekDef=8,CustomSuFlag,OR(CustomSuPeriod=1,CustomSuPeriod=3))),IF(VolumeMonthlyOverFlag,INDEX(VolumeMonthlyOver,AE33),Volume),0))</f>
        <v>150</v>
      </c>
      <c r="BC33" s="237">
        <f t="shared" ref="BC33:BC44" si="141">IF(AND(WeekDef=8,CustomSuFlag,CustomSuPeriod=4),INDEX(VolumeHourlyOver,AC5,3),IF(OR(WeekDef=1,WeekDef=3,WeekDef=5,WeekDef=7,AND(WeekDef=8,CustomSuFlag,OR(CustomSuPeriod=1,CustomSuPeriod=3))),IF(VolumeMonthlyOverFlag,INDEX(VolumeMonthlyOver,AE33),Volume),0))</f>
        <v>150</v>
      </c>
      <c r="BD33" s="306">
        <f>SUM(AF33:AU33)</f>
        <v>2400</v>
      </c>
      <c r="BE33" s="304">
        <f>SUM(AV33:BC33)</f>
        <v>1200</v>
      </c>
      <c r="BF33" s="307">
        <f>BD33+BE33</f>
        <v>3600</v>
      </c>
      <c r="BG33" s="333">
        <f>IF(BD33,SUMPRODUCT(AF33:AU33,F21:U21)/BD33,0)</f>
        <v>0.9999999962747097</v>
      </c>
      <c r="BH33" s="335">
        <f>IF(BE33,SUMPRODUCT(AV33:BC33,V21:AC21)/BE33,0)</f>
        <v>0.9999999925494194</v>
      </c>
      <c r="BJ33" s="229">
        <v>1</v>
      </c>
      <c r="BK33" s="235">
        <f t="shared" ref="BK33:BK44" si="142">IF(AND(WeekDef=8,CustomSuFlag,CustomSuPeriod=4),INDEX(IF(DiffOptVolumeFlag,DiffOptVolumeHourlyOver,VolumeHourlyOver),F5,3),IF(OR(WeekDef=1,WeekDef=3,WeekDef=5,WeekDef=6,AND(WeekDef=8,CustomSuFlag,OR(CustomSuPeriod=1,CustomSuPeriod=2))),IF(VolumeMonthlyOverFlag,INDEX(IF(DiffOptVolumeFlag,DiffOptVolumeMonthlyOver,VolumeMonthlyOver),BJ33),IF(DiffOptVolumeFlag,DiffOptVolume,Volume)),0))</f>
        <v>600</v>
      </c>
      <c r="BL33" s="236">
        <f t="shared" ref="BL33:BL44" si="143">IF(AND(WeekDef=8,CustomSuFlag,CustomSuPeriod=4),INDEX(IF(DiffOptVolumeFlag,DiffOptVolumeHourlyOver,VolumeHourlyOver),G5,3),IF(OR(WeekDef=1,WeekDef=3,WeekDef=5,WeekDef=6,AND(WeekDef=8,CustomSuFlag,OR(CustomSuPeriod=1,CustomSuPeriod=2))),IF(VolumeMonthlyOverFlag,INDEX(IF(DiffOptVolumeFlag,DiffOptVolumeMonthlyOver,VolumeMonthlyOver),BJ33),IF(DiffOptVolumeFlag,DiffOptVolume,Volume)),0))</f>
        <v>600</v>
      </c>
      <c r="BM33" s="236">
        <f t="shared" ref="BM33:BM44" si="144">IF(AND(WeekDef=8,CustomSuFlag,CustomSuPeriod=4),INDEX(IF(DiffOptVolumeFlag,DiffOptVolumeHourlyOver,VolumeHourlyOver),H5,3),IF(OR(WeekDef=1,WeekDef=3,WeekDef=5,WeekDef=6,AND(WeekDef=8,CustomSuFlag,OR(CustomSuPeriod=1,CustomSuPeriod=2))),IF(VolumeMonthlyOverFlag,INDEX(IF(DiffOptVolumeFlag,DiffOptVolumeMonthlyOver,VolumeMonthlyOver),BJ33),IF(DiffOptVolumeFlag,DiffOptVolume,Volume)),0))</f>
        <v>600</v>
      </c>
      <c r="BN33" s="236">
        <f t="shared" ref="BN33:BN44" si="145">IF(AND(WeekDef=8,CustomSuFlag,CustomSuPeriod=4),INDEX(IF(DiffOptVolumeFlag,DiffOptVolumeHourlyOver,VolumeHourlyOver),I5,3),IF(OR(WeekDef=1,WeekDef=3,WeekDef=5,WeekDef=6,AND(WeekDef=8,CustomSuFlag,OR(CustomSuPeriod=1,CustomSuPeriod=2))),IF(VolumeMonthlyOverFlag,INDEX(IF(DiffOptVolumeFlag,DiffOptVolumeMonthlyOver,VolumeMonthlyOver),BJ33),IF(DiffOptVolumeFlag,DiffOptVolume,Volume)),0))</f>
        <v>600</v>
      </c>
      <c r="BO33" s="236">
        <f t="shared" ref="BO33:BO44" si="146">IF(AND(WeekDef=8,CustomSuFlag,CustomSuPeriod=4),INDEX(IF(DiffOptVolumeFlag,DiffOptVolumeHourlyOver,VolumeHourlyOver),J5,3),IF(OR(WeekDef=1,WeekDef=3,WeekDef=5,WeekDef=6,AND(WeekDef=8,CustomSuFlag,OR(CustomSuPeriod=1,CustomSuPeriod=2))),IF(VolumeMonthlyOverFlag,INDEX(IF(DiffOptVolumeFlag,DiffOptVolumeMonthlyOver,VolumeMonthlyOver),BJ33),IF(DiffOptVolumeFlag,DiffOptVolume,Volume)),0))</f>
        <v>600</v>
      </c>
      <c r="BP33" s="236">
        <f t="shared" ref="BP33:BP44" si="147">IF(AND(WeekDef=8,CustomSuFlag,CustomSuPeriod=4),INDEX(IF(DiffOptVolumeFlag,DiffOptVolumeHourlyOver,VolumeHourlyOver),K5,3),IF(OR(WeekDef=1,WeekDef=3,WeekDef=5,WeekDef=6,AND(WeekDef=8,CustomSuFlag,OR(CustomSuPeriod=1,CustomSuPeriod=2))),IF(VolumeMonthlyOverFlag,INDEX(IF(DiffOptVolumeFlag,DiffOptVolumeMonthlyOver,VolumeMonthlyOver),BJ33),IF(DiffOptVolumeFlag,DiffOptVolume,Volume)),0))</f>
        <v>600</v>
      </c>
      <c r="BQ33" s="236">
        <f t="shared" ref="BQ33:BQ44" si="148">IF(AND(WeekDef=8,CustomSuFlag,CustomSuPeriod=4),INDEX(IF(DiffOptVolumeFlag,DiffOptVolumeHourlyOver,VolumeHourlyOver),L5,3),IF(OR(WeekDef=1,WeekDef=3,WeekDef=5,WeekDef=6,AND(WeekDef=8,CustomSuFlag,OR(CustomSuPeriod=1,CustomSuPeriod=2))),IF(VolumeMonthlyOverFlag,INDEX(IF(DiffOptVolumeFlag,DiffOptVolumeMonthlyOver,VolumeMonthlyOver),BJ33),IF(DiffOptVolumeFlag,DiffOptVolume,Volume)),0))</f>
        <v>600</v>
      </c>
      <c r="BR33" s="236">
        <f t="shared" ref="BR33:BR44" si="149">IF(AND(WeekDef=8,CustomSuFlag,CustomSuPeriod=4),INDEX(IF(DiffOptVolumeFlag,DiffOptVolumeHourlyOver,VolumeHourlyOver),M5,3),IF(OR(WeekDef=1,WeekDef=3,WeekDef=5,WeekDef=6,AND(WeekDef=8,CustomSuFlag,OR(CustomSuPeriod=1,CustomSuPeriod=2))),IF(VolumeMonthlyOverFlag,INDEX(IF(DiffOptVolumeFlag,DiffOptVolumeMonthlyOver,VolumeMonthlyOver),BJ33),IF(DiffOptVolumeFlag,DiffOptVolume,Volume)),0))</f>
        <v>600</v>
      </c>
      <c r="BS33" s="236">
        <f t="shared" ref="BS33:BS44" si="150">IF(AND(WeekDef=8,CustomSuFlag,CustomSuPeriod=4),INDEX(IF(DiffOptVolumeFlag,DiffOptVolumeHourlyOver,VolumeHourlyOver),N5,3),IF(OR(WeekDef=1,WeekDef=3,WeekDef=5,WeekDef=6,AND(WeekDef=8,CustomSuFlag,OR(CustomSuPeriod=1,CustomSuPeriod=2))),IF(VolumeMonthlyOverFlag,INDEX(IF(DiffOptVolumeFlag,DiffOptVolumeMonthlyOver,VolumeMonthlyOver),BJ33),IF(DiffOptVolumeFlag,DiffOptVolume,Volume)),0))</f>
        <v>600</v>
      </c>
      <c r="BT33" s="236">
        <f t="shared" ref="BT33:BT44" si="151">IF(AND(WeekDef=8,CustomSuFlag,CustomSuPeriod=4),INDEX(IF(DiffOptVolumeFlag,DiffOptVolumeHourlyOver,VolumeHourlyOver),O5,3),IF(OR(WeekDef=1,WeekDef=3,WeekDef=5,WeekDef=6,AND(WeekDef=8,CustomSuFlag,OR(CustomSuPeriod=1,CustomSuPeriod=2))),IF(VolumeMonthlyOverFlag,INDEX(IF(DiffOptVolumeFlag,DiffOptVolumeMonthlyOver,VolumeMonthlyOver),BJ33),IF(DiffOptVolumeFlag,DiffOptVolume,Volume)),0))</f>
        <v>600</v>
      </c>
      <c r="BU33" s="236">
        <f t="shared" ref="BU33:BU44" si="152">IF(AND(WeekDef=8,CustomSuFlag,CustomSuPeriod=4),INDEX(IF(DiffOptVolumeFlag,DiffOptVolumeHourlyOver,VolumeHourlyOver),P5,3),IF(OR(WeekDef=1,WeekDef=3,WeekDef=5,WeekDef=6,AND(WeekDef=8,CustomSuFlag,OR(CustomSuPeriod=1,CustomSuPeriod=2))),IF(VolumeMonthlyOverFlag,INDEX(IF(DiffOptVolumeFlag,DiffOptVolumeMonthlyOver,VolumeMonthlyOver),BJ33),IF(DiffOptVolumeFlag,DiffOptVolume,Volume)),0))</f>
        <v>600</v>
      </c>
      <c r="BV33" s="236">
        <f t="shared" ref="BV33:BV44" si="153">IF(AND(WeekDef=8,CustomSuFlag,CustomSuPeriod=4),INDEX(IF(DiffOptVolumeFlag,DiffOptVolumeHourlyOver,VolumeHourlyOver),Q5,3),IF(OR(WeekDef=1,WeekDef=3,WeekDef=5,WeekDef=6,AND(WeekDef=8,CustomSuFlag,OR(CustomSuPeriod=1,CustomSuPeriod=2))),IF(VolumeMonthlyOverFlag,INDEX(IF(DiffOptVolumeFlag,DiffOptVolumeMonthlyOver,VolumeMonthlyOver),BJ33),IF(DiffOptVolumeFlag,DiffOptVolume,Volume)),0))</f>
        <v>600</v>
      </c>
      <c r="BW33" s="236">
        <f t="shared" ref="BW33:BW44" si="154">IF(AND(WeekDef=8,CustomSuFlag,CustomSuPeriod=4),INDEX(IF(DiffOptVolumeFlag,DiffOptVolumeHourlyOver,VolumeHourlyOver),R5,3),IF(OR(WeekDef=1,WeekDef=3,WeekDef=5,WeekDef=6,AND(WeekDef=8,CustomSuFlag,OR(CustomSuPeriod=1,CustomSuPeriod=2))),IF(VolumeMonthlyOverFlag,INDEX(IF(DiffOptVolumeFlag,DiffOptVolumeMonthlyOver,VolumeMonthlyOver),BJ33),IF(DiffOptVolumeFlag,DiffOptVolume,Volume)),0))</f>
        <v>600</v>
      </c>
      <c r="BX33" s="236">
        <f t="shared" ref="BX33:BX44" si="155">IF(AND(WeekDef=8,CustomSuFlag,CustomSuPeriod=4),INDEX(IF(DiffOptVolumeFlag,DiffOptVolumeHourlyOver,VolumeHourlyOver),S5,3),IF(OR(WeekDef=1,WeekDef=3,WeekDef=5,WeekDef=6,AND(WeekDef=8,CustomSuFlag,OR(CustomSuPeriod=1,CustomSuPeriod=2))),IF(VolumeMonthlyOverFlag,INDEX(IF(DiffOptVolumeFlag,DiffOptVolumeMonthlyOver,VolumeMonthlyOver),BJ33),IF(DiffOptVolumeFlag,DiffOptVolume,Volume)),0))</f>
        <v>600</v>
      </c>
      <c r="BY33" s="236">
        <f t="shared" ref="BY33:BY44" si="156">IF(AND(WeekDef=8,CustomSuFlag,CustomSuPeriod=4),INDEX(IF(DiffOptVolumeFlag,DiffOptVolumeHourlyOver,VolumeHourlyOver),T5,3),IF(OR(WeekDef=1,WeekDef=3,WeekDef=5,WeekDef=6,AND(WeekDef=8,CustomSuFlag,OR(CustomSuPeriod=1,CustomSuPeriod=2))),IF(VolumeMonthlyOverFlag,INDEX(IF(DiffOptVolumeFlag,DiffOptVolumeMonthlyOver,VolumeMonthlyOver),BJ33),IF(DiffOptVolumeFlag,DiffOptVolume,Volume)),0))</f>
        <v>600</v>
      </c>
      <c r="BZ33" s="237">
        <f t="shared" ref="BZ33:BZ44" si="157">IF(AND(WeekDef=8,CustomSuFlag,CustomSuPeriod=4),INDEX(IF(DiffOptVolumeFlag,DiffOptVolumeHourlyOver,VolumeHourlyOver),U5,3),IF(OR(WeekDef=1,WeekDef=3,WeekDef=5,WeekDef=6,AND(WeekDef=8,CustomSuFlag,OR(CustomSuPeriod=1,CustomSuPeriod=2))),IF(VolumeMonthlyOverFlag,INDEX(IF(DiffOptVolumeFlag,DiffOptVolumeMonthlyOver,VolumeMonthlyOver),BJ33),IF(DiffOptVolumeFlag,DiffOptVolume,Volume)),0))</f>
        <v>600</v>
      </c>
      <c r="CA33" s="236">
        <f t="shared" ref="CA33:CA44" si="158">IF(AND(WeekDef=8,CustomSuFlag,CustomSuPeriod=4),INDEX(IF(DiffOptVolumeFlag,DiffOptVolumeHourlyOver,VolumeHourlyOver),V5,3),IF(OR(WeekDef=1,WeekDef=3,WeekDef=5,WeekDef=7,AND(WeekDef=8,CustomSuFlag,OR(CustomSuPeriod=1,CustomSuPeriod=3))),IF(VolumeMonthlyOverFlag,INDEX(IF(DiffOptVolumeFlag,DiffOptVolumeMonthlyOver,VolumeMonthlyOver),BJ33),IF(DiffOptVolumeFlag,DiffOptVolume,Volume)),0))</f>
        <v>600</v>
      </c>
      <c r="CB33" s="236">
        <f t="shared" ref="CB33:CB44" si="159">IF(AND(WeekDef=8,CustomSuFlag,CustomSuPeriod=4),INDEX(IF(DiffOptVolumeFlag,DiffOptVolumeHourlyOver,VolumeHourlyOver),W5,3),IF(OR(WeekDef=1,WeekDef=3,WeekDef=5,WeekDef=7,AND(WeekDef=8,CustomSuFlag,OR(CustomSuPeriod=1,CustomSuPeriod=3))),IF(VolumeMonthlyOverFlag,INDEX(IF(DiffOptVolumeFlag,DiffOptVolumeMonthlyOver,VolumeMonthlyOver),BJ33),IF(DiffOptVolumeFlag,DiffOptVolume,Volume)),0))</f>
        <v>600</v>
      </c>
      <c r="CC33" s="236">
        <f t="shared" ref="CC33:CC44" si="160">IF(AND(WeekDef=8,CustomSuFlag,CustomSuPeriod=4),INDEX(IF(DiffOptVolumeFlag,DiffOptVolumeHourlyOver,VolumeHourlyOver),X5,3),IF(OR(WeekDef=1,WeekDef=3,WeekDef=5,WeekDef=7,AND(WeekDef=8,CustomSuFlag,OR(CustomSuPeriod=1,CustomSuPeriod=3))),IF(VolumeMonthlyOverFlag,INDEX(IF(DiffOptVolumeFlag,DiffOptVolumeMonthlyOver,VolumeMonthlyOver),BJ33),IF(DiffOptVolumeFlag,DiffOptVolume,Volume)),0))</f>
        <v>600</v>
      </c>
      <c r="CD33" s="236">
        <f t="shared" ref="CD33:CD44" si="161">IF(AND(WeekDef=8,CustomSuFlag,CustomSuPeriod=4),INDEX(IF(DiffOptVolumeFlag,DiffOptVolumeHourlyOver,VolumeHourlyOver),Y5,3),IF(OR(WeekDef=1,WeekDef=3,WeekDef=5,WeekDef=7,AND(WeekDef=8,CustomSuFlag,OR(CustomSuPeriod=1,CustomSuPeriod=3))),IF(VolumeMonthlyOverFlag,INDEX(IF(DiffOptVolumeFlag,DiffOptVolumeMonthlyOver,VolumeMonthlyOver),BJ33),IF(DiffOptVolumeFlag,DiffOptVolume,Volume)),0))</f>
        <v>600</v>
      </c>
      <c r="CE33" s="236">
        <f t="shared" ref="CE33:CE44" si="162">IF(AND(WeekDef=8,CustomSuFlag,CustomSuPeriod=4),INDEX(IF(DiffOptVolumeFlag,DiffOptVolumeHourlyOver,VolumeHourlyOver),Z5,3),IF(OR(WeekDef=1,WeekDef=3,WeekDef=5,WeekDef=7,AND(WeekDef=8,CustomSuFlag,OR(CustomSuPeriod=1,CustomSuPeriod=3))),IF(VolumeMonthlyOverFlag,INDEX(IF(DiffOptVolumeFlag,DiffOptVolumeMonthlyOver,VolumeMonthlyOver),BJ33),IF(DiffOptVolumeFlag,DiffOptVolume,Volume)),0))</f>
        <v>600</v>
      </c>
      <c r="CF33" s="236">
        <f t="shared" ref="CF33:CF44" si="163">IF(AND(WeekDef=8,CustomSuFlag,CustomSuPeriod=4),INDEX(IF(DiffOptVolumeFlag,DiffOptVolumeHourlyOver,VolumeHourlyOver),AA5,3),IF(OR(WeekDef=1,WeekDef=3,WeekDef=5,WeekDef=7,AND(WeekDef=8,CustomSuFlag,OR(CustomSuPeriod=1,CustomSuPeriod=3))),IF(VolumeMonthlyOverFlag,INDEX(IF(DiffOptVolumeFlag,DiffOptVolumeMonthlyOver,VolumeMonthlyOver),BJ33),IF(DiffOptVolumeFlag,DiffOptVolume,Volume)),0))</f>
        <v>600</v>
      </c>
      <c r="CG33" s="236">
        <f t="shared" ref="CG33:CG44" si="164">IF(AND(WeekDef=8,CustomSuFlag,CustomSuPeriod=4),INDEX(IF(DiffOptVolumeFlag,DiffOptVolumeHourlyOver,VolumeHourlyOver),AB5,3),IF(OR(WeekDef=1,WeekDef=3,WeekDef=5,WeekDef=7,AND(WeekDef=8,CustomSuFlag,OR(CustomSuPeriod=1,CustomSuPeriod=3))),IF(VolumeMonthlyOverFlag,INDEX(IF(DiffOptVolumeFlag,DiffOptVolumeMonthlyOver,VolumeMonthlyOver),BJ33),IF(DiffOptVolumeFlag,DiffOptVolume,Volume)),0))</f>
        <v>600</v>
      </c>
      <c r="CH33" s="237">
        <f t="shared" ref="CH33:CH44" si="165">IF(AND(WeekDef=8,CustomSuFlag,CustomSuPeriod=4),INDEX(IF(DiffOptVolumeFlag,DiffOptVolumeHourlyOver,VolumeHourlyOver),AC5,3),IF(OR(WeekDef=1,WeekDef=3,WeekDef=5,WeekDef=7,AND(WeekDef=8,CustomSuFlag,OR(CustomSuPeriod=1,CustomSuPeriod=3))),IF(VolumeMonthlyOverFlag,INDEX(IF(DiffOptVolumeFlag,DiffOptVolumeMonthlyOver,VolumeMonthlyOver),BJ33),IF(DiffOptVolumeFlag,DiffOptVolume,Volume)),0))</f>
        <v>600</v>
      </c>
      <c r="CI33" s="306">
        <f>SUM(BK33:BZ33)</f>
        <v>9600</v>
      </c>
      <c r="CJ33" s="304">
        <f>SUM(CA33:CH33)</f>
        <v>4800</v>
      </c>
      <c r="CK33" s="307">
        <f>CI33+CJ33</f>
        <v>14400</v>
      </c>
      <c r="CL33" s="333">
        <f>IF(CI33,SUMPRODUCT(BK33:BZ33,F21:U21)/CI33,0)</f>
        <v>0.9999999962747097</v>
      </c>
      <c r="CM33" s="335">
        <f>IF(CJ33,SUMPRODUCT(CA33:CH33,V21:AC21)/CJ33,0)</f>
        <v>0.9999999925494194</v>
      </c>
    </row>
    <row r="34" spans="1:91" ht="18.75" thickBot="1">
      <c r="A34" s="164"/>
      <c r="B34" s="164"/>
      <c r="C34" s="164"/>
      <c r="D34"/>
      <c r="E34" s="251" t="s">
        <v>313</v>
      </c>
      <c r="F34" s="252"/>
      <c r="G34" s="252"/>
      <c r="H34" s="252"/>
      <c r="I34" s="252"/>
      <c r="J34" s="252"/>
      <c r="K34" s="252"/>
      <c r="L34" s="252"/>
      <c r="M34" s="252"/>
      <c r="N34" s="252"/>
      <c r="O34" s="252"/>
      <c r="P34" s="252"/>
      <c r="Q34" s="252"/>
      <c r="R34" s="252"/>
      <c r="S34" s="252"/>
      <c r="T34" s="252"/>
      <c r="U34" s="252"/>
      <c r="V34" s="252"/>
      <c r="W34" s="252"/>
      <c r="X34" s="252"/>
      <c r="Y34" s="252"/>
      <c r="Z34" s="252"/>
      <c r="AA34" s="252"/>
      <c r="AB34" s="252"/>
      <c r="AC34" s="253"/>
      <c r="AD34" s="113"/>
      <c r="AE34" s="229">
        <v>2</v>
      </c>
      <c r="AF34" s="232">
        <f t="shared" si="118"/>
        <v>150</v>
      </c>
      <c r="AG34" s="233">
        <f t="shared" si="119"/>
        <v>150</v>
      </c>
      <c r="AH34" s="233">
        <f t="shared" si="120"/>
        <v>150</v>
      </c>
      <c r="AI34" s="233">
        <f t="shared" si="121"/>
        <v>150</v>
      </c>
      <c r="AJ34" s="233">
        <f t="shared" si="122"/>
        <v>150</v>
      </c>
      <c r="AK34" s="233">
        <f t="shared" si="123"/>
        <v>150</v>
      </c>
      <c r="AL34" s="233">
        <f t="shared" si="124"/>
        <v>150</v>
      </c>
      <c r="AM34" s="233">
        <f t="shared" si="125"/>
        <v>150</v>
      </c>
      <c r="AN34" s="233">
        <f t="shared" si="126"/>
        <v>150</v>
      </c>
      <c r="AO34" s="233">
        <f t="shared" si="127"/>
        <v>150</v>
      </c>
      <c r="AP34" s="233">
        <f t="shared" si="128"/>
        <v>150</v>
      </c>
      <c r="AQ34" s="233">
        <f t="shared" si="129"/>
        <v>150</v>
      </c>
      <c r="AR34" s="233">
        <f t="shared" si="130"/>
        <v>150</v>
      </c>
      <c r="AS34" s="233">
        <f t="shared" si="131"/>
        <v>150</v>
      </c>
      <c r="AT34" s="233">
        <f t="shared" si="132"/>
        <v>150</v>
      </c>
      <c r="AU34" s="234">
        <f t="shared" si="133"/>
        <v>150</v>
      </c>
      <c r="AV34" s="233">
        <f t="shared" si="134"/>
        <v>150</v>
      </c>
      <c r="AW34" s="233">
        <f t="shared" si="135"/>
        <v>150</v>
      </c>
      <c r="AX34" s="233">
        <f t="shared" si="136"/>
        <v>150</v>
      </c>
      <c r="AY34" s="233">
        <f t="shared" si="137"/>
        <v>150</v>
      </c>
      <c r="AZ34" s="233">
        <f t="shared" si="138"/>
        <v>150</v>
      </c>
      <c r="BA34" s="233">
        <f t="shared" si="139"/>
        <v>150</v>
      </c>
      <c r="BB34" s="233">
        <f t="shared" si="140"/>
        <v>150</v>
      </c>
      <c r="BC34" s="234">
        <f t="shared" si="141"/>
        <v>150</v>
      </c>
      <c r="BD34" s="306">
        <f t="shared" si="84"/>
        <v>2400</v>
      </c>
      <c r="BE34" s="304">
        <f t="shared" si="85"/>
        <v>1200</v>
      </c>
      <c r="BF34" s="307">
        <f t="shared" si="86"/>
        <v>3600</v>
      </c>
      <c r="BG34" s="333">
        <f t="shared" ref="BG34:BG44" si="166">IF(BD34,SUMPRODUCT(AF34:AU34,F22:U22)/BD34,0)</f>
        <v>1</v>
      </c>
      <c r="BH34" s="330">
        <f t="shared" ref="BH34:BH44" si="167">IF(BE34,SUMPRODUCT(AV34:BC34,V22:AC22)/BE34,0)</f>
        <v>0.9999999925494194</v>
      </c>
      <c r="BJ34" s="229">
        <v>2</v>
      </c>
      <c r="BK34" s="232">
        <f t="shared" si="142"/>
        <v>600</v>
      </c>
      <c r="BL34" s="233">
        <f t="shared" si="143"/>
        <v>600</v>
      </c>
      <c r="BM34" s="233">
        <f t="shared" si="144"/>
        <v>600</v>
      </c>
      <c r="BN34" s="233">
        <f t="shared" si="145"/>
        <v>600</v>
      </c>
      <c r="BO34" s="233">
        <f t="shared" si="146"/>
        <v>600</v>
      </c>
      <c r="BP34" s="233">
        <f t="shared" si="147"/>
        <v>600</v>
      </c>
      <c r="BQ34" s="233">
        <f t="shared" si="148"/>
        <v>600</v>
      </c>
      <c r="BR34" s="233">
        <f t="shared" si="149"/>
        <v>600</v>
      </c>
      <c r="BS34" s="233">
        <f t="shared" si="150"/>
        <v>600</v>
      </c>
      <c r="BT34" s="233">
        <f t="shared" si="151"/>
        <v>600</v>
      </c>
      <c r="BU34" s="233">
        <f t="shared" si="152"/>
        <v>600</v>
      </c>
      <c r="BV34" s="233">
        <f t="shared" si="153"/>
        <v>600</v>
      </c>
      <c r="BW34" s="233">
        <f t="shared" si="154"/>
        <v>600</v>
      </c>
      <c r="BX34" s="233">
        <f t="shared" si="155"/>
        <v>600</v>
      </c>
      <c r="BY34" s="233">
        <f t="shared" si="156"/>
        <v>600</v>
      </c>
      <c r="BZ34" s="234">
        <f t="shared" si="157"/>
        <v>600</v>
      </c>
      <c r="CA34" s="233">
        <f t="shared" si="158"/>
        <v>600</v>
      </c>
      <c r="CB34" s="233">
        <f t="shared" si="159"/>
        <v>600</v>
      </c>
      <c r="CC34" s="233">
        <f t="shared" si="160"/>
        <v>600</v>
      </c>
      <c r="CD34" s="233">
        <f t="shared" si="161"/>
        <v>600</v>
      </c>
      <c r="CE34" s="233">
        <f t="shared" si="162"/>
        <v>600</v>
      </c>
      <c r="CF34" s="233">
        <f t="shared" si="163"/>
        <v>600</v>
      </c>
      <c r="CG34" s="233">
        <f t="shared" si="164"/>
        <v>600</v>
      </c>
      <c r="CH34" s="234">
        <f t="shared" si="165"/>
        <v>600</v>
      </c>
      <c r="CI34" s="306">
        <f t="shared" si="111"/>
        <v>9600</v>
      </c>
      <c r="CJ34" s="304">
        <f t="shared" si="112"/>
        <v>4800</v>
      </c>
      <c r="CK34" s="307">
        <f t="shared" si="113"/>
        <v>14400</v>
      </c>
      <c r="CL34" s="333">
        <f t="shared" ref="CL34:CL44" si="168">IF(CI34,SUMPRODUCT(BK34:BZ34,F22:U22)/CI34,0)</f>
        <v>1</v>
      </c>
      <c r="CM34" s="330">
        <f t="shared" ref="CM34:CM44" si="169">IF(CJ34,SUMPRODUCT(CA34:CH34,V22:AC22)/CJ34,0)</f>
        <v>0.9999999925494194</v>
      </c>
    </row>
    <row r="35" spans="1:91" ht="13.5" thickBot="1">
      <c r="A35" s="257"/>
      <c r="B35" s="352" t="s">
        <v>314</v>
      </c>
      <c r="C35" s="289" t="s">
        <v>315</v>
      </c>
      <c r="D35" s="313"/>
      <c r="E35" s="257"/>
      <c r="F35" s="223" t="s">
        <v>360</v>
      </c>
      <c r="G35" s="224"/>
      <c r="H35" s="224"/>
      <c r="I35" s="224"/>
      <c r="J35" s="224"/>
      <c r="K35" s="224"/>
      <c r="L35" s="224"/>
      <c r="M35" s="224"/>
      <c r="N35" s="224"/>
      <c r="O35" s="224"/>
      <c r="P35" s="224"/>
      <c r="Q35" s="224"/>
      <c r="R35" s="224"/>
      <c r="S35" s="224"/>
      <c r="T35" s="224"/>
      <c r="U35" s="225"/>
      <c r="V35" s="223" t="s">
        <v>344</v>
      </c>
      <c r="W35" s="224"/>
      <c r="X35" s="224"/>
      <c r="Y35" s="224"/>
      <c r="Z35" s="224"/>
      <c r="AA35" s="224"/>
      <c r="AB35" s="224"/>
      <c r="AC35" s="225"/>
      <c r="AD35" s="113"/>
      <c r="AE35" s="229">
        <v>3</v>
      </c>
      <c r="AF35" s="232">
        <f t="shared" si="118"/>
        <v>150</v>
      </c>
      <c r="AG35" s="233">
        <f t="shared" si="119"/>
        <v>150</v>
      </c>
      <c r="AH35" s="233">
        <f t="shared" si="120"/>
        <v>150</v>
      </c>
      <c r="AI35" s="233">
        <f t="shared" si="121"/>
        <v>150</v>
      </c>
      <c r="AJ35" s="233">
        <f t="shared" si="122"/>
        <v>150</v>
      </c>
      <c r="AK35" s="233">
        <f t="shared" si="123"/>
        <v>150</v>
      </c>
      <c r="AL35" s="233">
        <f t="shared" si="124"/>
        <v>150</v>
      </c>
      <c r="AM35" s="233">
        <f t="shared" si="125"/>
        <v>150</v>
      </c>
      <c r="AN35" s="233">
        <f t="shared" si="126"/>
        <v>150</v>
      </c>
      <c r="AO35" s="233">
        <f t="shared" si="127"/>
        <v>150</v>
      </c>
      <c r="AP35" s="233">
        <f t="shared" si="128"/>
        <v>150</v>
      </c>
      <c r="AQ35" s="233">
        <f t="shared" si="129"/>
        <v>150</v>
      </c>
      <c r="AR35" s="233">
        <f t="shared" si="130"/>
        <v>150</v>
      </c>
      <c r="AS35" s="233">
        <f t="shared" si="131"/>
        <v>150</v>
      </c>
      <c r="AT35" s="233">
        <f t="shared" si="132"/>
        <v>150</v>
      </c>
      <c r="AU35" s="234">
        <f t="shared" si="133"/>
        <v>150</v>
      </c>
      <c r="AV35" s="233">
        <f t="shared" si="134"/>
        <v>150</v>
      </c>
      <c r="AW35" s="233">
        <f t="shared" si="135"/>
        <v>150</v>
      </c>
      <c r="AX35" s="233">
        <f t="shared" si="136"/>
        <v>150</v>
      </c>
      <c r="AY35" s="233">
        <f t="shared" si="137"/>
        <v>150</v>
      </c>
      <c r="AZ35" s="233">
        <f t="shared" si="138"/>
        <v>150</v>
      </c>
      <c r="BA35" s="233">
        <f t="shared" si="139"/>
        <v>150</v>
      </c>
      <c r="BB35" s="233">
        <f t="shared" si="140"/>
        <v>150</v>
      </c>
      <c r="BC35" s="234">
        <f t="shared" si="141"/>
        <v>150</v>
      </c>
      <c r="BD35" s="306">
        <f t="shared" ref="BD35:BD50" si="170">SUM(AF35:AU35)</f>
        <v>2400</v>
      </c>
      <c r="BE35" s="304">
        <f t="shared" ref="BE35:BE50" si="171">SUM(AV35:BC35)</f>
        <v>1200</v>
      </c>
      <c r="BF35" s="307">
        <f t="shared" ref="BF35:BF50" si="172">BD35+BE35</f>
        <v>3600</v>
      </c>
      <c r="BG35" s="333">
        <f t="shared" si="166"/>
        <v>0.9999999962747097</v>
      </c>
      <c r="BH35" s="330">
        <f t="shared" si="167"/>
        <v>1.0000000074505806</v>
      </c>
      <c r="BJ35" s="229">
        <v>3</v>
      </c>
      <c r="BK35" s="232">
        <f t="shared" si="142"/>
        <v>600</v>
      </c>
      <c r="BL35" s="233">
        <f t="shared" si="143"/>
        <v>600</v>
      </c>
      <c r="BM35" s="233">
        <f t="shared" si="144"/>
        <v>600</v>
      </c>
      <c r="BN35" s="233">
        <f t="shared" si="145"/>
        <v>600</v>
      </c>
      <c r="BO35" s="233">
        <f t="shared" si="146"/>
        <v>600</v>
      </c>
      <c r="BP35" s="233">
        <f t="shared" si="147"/>
        <v>600</v>
      </c>
      <c r="BQ35" s="233">
        <f t="shared" si="148"/>
        <v>600</v>
      </c>
      <c r="BR35" s="233">
        <f t="shared" si="149"/>
        <v>600</v>
      </c>
      <c r="BS35" s="233">
        <f t="shared" si="150"/>
        <v>600</v>
      </c>
      <c r="BT35" s="233">
        <f t="shared" si="151"/>
        <v>600</v>
      </c>
      <c r="BU35" s="233">
        <f t="shared" si="152"/>
        <v>600</v>
      </c>
      <c r="BV35" s="233">
        <f t="shared" si="153"/>
        <v>600</v>
      </c>
      <c r="BW35" s="233">
        <f t="shared" si="154"/>
        <v>600</v>
      </c>
      <c r="BX35" s="233">
        <f t="shared" si="155"/>
        <v>600</v>
      </c>
      <c r="BY35" s="233">
        <f t="shared" si="156"/>
        <v>600</v>
      </c>
      <c r="BZ35" s="234">
        <f t="shared" si="157"/>
        <v>600</v>
      </c>
      <c r="CA35" s="233">
        <f t="shared" si="158"/>
        <v>600</v>
      </c>
      <c r="CB35" s="233">
        <f t="shared" si="159"/>
        <v>600</v>
      </c>
      <c r="CC35" s="233">
        <f t="shared" si="160"/>
        <v>600</v>
      </c>
      <c r="CD35" s="233">
        <f t="shared" si="161"/>
        <v>600</v>
      </c>
      <c r="CE35" s="233">
        <f t="shared" si="162"/>
        <v>600</v>
      </c>
      <c r="CF35" s="233">
        <f t="shared" si="163"/>
        <v>600</v>
      </c>
      <c r="CG35" s="233">
        <f t="shared" si="164"/>
        <v>600</v>
      </c>
      <c r="CH35" s="234">
        <f t="shared" si="165"/>
        <v>600</v>
      </c>
      <c r="CI35" s="306">
        <f t="shared" ref="CI35:CI50" si="173">SUM(BK35:BZ35)</f>
        <v>9600</v>
      </c>
      <c r="CJ35" s="304">
        <f t="shared" ref="CJ35:CJ50" si="174">SUM(CA35:CH35)</f>
        <v>4800</v>
      </c>
      <c r="CK35" s="307">
        <f t="shared" ref="CK35:CK50" si="175">CI35+CJ35</f>
        <v>14400</v>
      </c>
      <c r="CL35" s="333">
        <f t="shared" si="168"/>
        <v>0.9999999962747097</v>
      </c>
      <c r="CM35" s="330">
        <f t="shared" si="169"/>
        <v>1.0000000074505806</v>
      </c>
    </row>
    <row r="36" spans="1:91" ht="13.5" thickBot="1">
      <c r="A36" s="347" t="s">
        <v>172</v>
      </c>
      <c r="B36" s="353" t="s">
        <v>316</v>
      </c>
      <c r="C36" s="314" t="s">
        <v>360</v>
      </c>
      <c r="D36" s="314" t="s">
        <v>344</v>
      </c>
      <c r="E36" s="226" t="s">
        <v>307</v>
      </c>
      <c r="F36" s="226">
        <v>1</v>
      </c>
      <c r="G36" s="227">
        <v>2</v>
      </c>
      <c r="H36" s="227">
        <v>3</v>
      </c>
      <c r="I36" s="227">
        <v>4</v>
      </c>
      <c r="J36" s="227">
        <v>5</v>
      </c>
      <c r="K36" s="227">
        <v>6</v>
      </c>
      <c r="L36" s="227">
        <v>7</v>
      </c>
      <c r="M36" s="227">
        <v>8</v>
      </c>
      <c r="N36" s="227">
        <v>9</v>
      </c>
      <c r="O36" s="227">
        <v>10</v>
      </c>
      <c r="P36" s="227">
        <v>11</v>
      </c>
      <c r="Q36" s="227">
        <v>12</v>
      </c>
      <c r="R36" s="227">
        <v>13</v>
      </c>
      <c r="S36" s="227">
        <v>14</v>
      </c>
      <c r="T36" s="227">
        <v>15</v>
      </c>
      <c r="U36" s="228">
        <v>16</v>
      </c>
      <c r="V36" s="227">
        <v>1</v>
      </c>
      <c r="W36" s="227">
        <v>2</v>
      </c>
      <c r="X36" s="227">
        <v>3</v>
      </c>
      <c r="Y36" s="227">
        <v>4</v>
      </c>
      <c r="Z36" s="227">
        <v>5</v>
      </c>
      <c r="AA36" s="227">
        <v>6</v>
      </c>
      <c r="AB36" s="227">
        <v>7</v>
      </c>
      <c r="AC36" s="228">
        <v>8</v>
      </c>
      <c r="AD36" s="113"/>
      <c r="AE36" s="229">
        <v>4</v>
      </c>
      <c r="AF36" s="232">
        <f t="shared" si="118"/>
        <v>150</v>
      </c>
      <c r="AG36" s="233">
        <f t="shared" si="119"/>
        <v>150</v>
      </c>
      <c r="AH36" s="233">
        <f t="shared" si="120"/>
        <v>150</v>
      </c>
      <c r="AI36" s="233">
        <f t="shared" si="121"/>
        <v>150</v>
      </c>
      <c r="AJ36" s="233">
        <f t="shared" si="122"/>
        <v>150</v>
      </c>
      <c r="AK36" s="233">
        <f t="shared" si="123"/>
        <v>150</v>
      </c>
      <c r="AL36" s="233">
        <f t="shared" si="124"/>
        <v>150</v>
      </c>
      <c r="AM36" s="233">
        <f t="shared" si="125"/>
        <v>150</v>
      </c>
      <c r="AN36" s="233">
        <f t="shared" si="126"/>
        <v>150</v>
      </c>
      <c r="AO36" s="233">
        <f t="shared" si="127"/>
        <v>150</v>
      </c>
      <c r="AP36" s="233">
        <f t="shared" si="128"/>
        <v>150</v>
      </c>
      <c r="AQ36" s="233">
        <f t="shared" si="129"/>
        <v>150</v>
      </c>
      <c r="AR36" s="233">
        <f t="shared" si="130"/>
        <v>150</v>
      </c>
      <c r="AS36" s="233">
        <f t="shared" si="131"/>
        <v>150</v>
      </c>
      <c r="AT36" s="233">
        <f t="shared" si="132"/>
        <v>150</v>
      </c>
      <c r="AU36" s="234">
        <f t="shared" si="133"/>
        <v>150</v>
      </c>
      <c r="AV36" s="233">
        <f t="shared" si="134"/>
        <v>150</v>
      </c>
      <c r="AW36" s="233">
        <f t="shared" si="135"/>
        <v>150</v>
      </c>
      <c r="AX36" s="233">
        <f t="shared" si="136"/>
        <v>150</v>
      </c>
      <c r="AY36" s="233">
        <f t="shared" si="137"/>
        <v>150</v>
      </c>
      <c r="AZ36" s="233">
        <f t="shared" si="138"/>
        <v>150</v>
      </c>
      <c r="BA36" s="233">
        <f t="shared" si="139"/>
        <v>150</v>
      </c>
      <c r="BB36" s="233">
        <f t="shared" si="140"/>
        <v>150</v>
      </c>
      <c r="BC36" s="234">
        <f t="shared" si="141"/>
        <v>150</v>
      </c>
      <c r="BD36" s="306">
        <f t="shared" si="170"/>
        <v>2400</v>
      </c>
      <c r="BE36" s="304">
        <f t="shared" si="171"/>
        <v>1200</v>
      </c>
      <c r="BF36" s="307">
        <f t="shared" si="172"/>
        <v>3600</v>
      </c>
      <c r="BG36" s="333">
        <f t="shared" si="166"/>
        <v>1</v>
      </c>
      <c r="BH36" s="330">
        <f t="shared" si="167"/>
        <v>1.0000000074505806</v>
      </c>
      <c r="BJ36" s="229">
        <v>4</v>
      </c>
      <c r="BK36" s="232">
        <f t="shared" si="142"/>
        <v>600</v>
      </c>
      <c r="BL36" s="233">
        <f t="shared" si="143"/>
        <v>600</v>
      </c>
      <c r="BM36" s="233">
        <f t="shared" si="144"/>
        <v>600</v>
      </c>
      <c r="BN36" s="233">
        <f t="shared" si="145"/>
        <v>600</v>
      </c>
      <c r="BO36" s="233">
        <f t="shared" si="146"/>
        <v>600</v>
      </c>
      <c r="BP36" s="233">
        <f t="shared" si="147"/>
        <v>600</v>
      </c>
      <c r="BQ36" s="233">
        <f t="shared" si="148"/>
        <v>600</v>
      </c>
      <c r="BR36" s="233">
        <f t="shared" si="149"/>
        <v>600</v>
      </c>
      <c r="BS36" s="233">
        <f t="shared" si="150"/>
        <v>600</v>
      </c>
      <c r="BT36" s="233">
        <f t="shared" si="151"/>
        <v>600</v>
      </c>
      <c r="BU36" s="233">
        <f t="shared" si="152"/>
        <v>600</v>
      </c>
      <c r="BV36" s="233">
        <f t="shared" si="153"/>
        <v>600</v>
      </c>
      <c r="BW36" s="233">
        <f t="shared" si="154"/>
        <v>600</v>
      </c>
      <c r="BX36" s="233">
        <f t="shared" si="155"/>
        <v>600</v>
      </c>
      <c r="BY36" s="233">
        <f t="shared" si="156"/>
        <v>600</v>
      </c>
      <c r="BZ36" s="234">
        <f t="shared" si="157"/>
        <v>600</v>
      </c>
      <c r="CA36" s="233">
        <f t="shared" si="158"/>
        <v>600</v>
      </c>
      <c r="CB36" s="233">
        <f t="shared" si="159"/>
        <v>600</v>
      </c>
      <c r="CC36" s="233">
        <f t="shared" si="160"/>
        <v>600</v>
      </c>
      <c r="CD36" s="233">
        <f t="shared" si="161"/>
        <v>600</v>
      </c>
      <c r="CE36" s="233">
        <f t="shared" si="162"/>
        <v>600</v>
      </c>
      <c r="CF36" s="233">
        <f t="shared" si="163"/>
        <v>600</v>
      </c>
      <c r="CG36" s="233">
        <f t="shared" si="164"/>
        <v>600</v>
      </c>
      <c r="CH36" s="234">
        <f t="shared" si="165"/>
        <v>600</v>
      </c>
      <c r="CI36" s="306">
        <f t="shared" si="173"/>
        <v>9600</v>
      </c>
      <c r="CJ36" s="304">
        <f t="shared" si="174"/>
        <v>4800</v>
      </c>
      <c r="CK36" s="307">
        <f t="shared" si="175"/>
        <v>14400</v>
      </c>
      <c r="CL36" s="333">
        <f t="shared" si="168"/>
        <v>1</v>
      </c>
      <c r="CM36" s="330">
        <f t="shared" si="169"/>
        <v>1.0000000074505806</v>
      </c>
    </row>
    <row r="37" spans="1:91">
      <c r="A37" s="310">
        <v>1</v>
      </c>
      <c r="B37" s="354">
        <f t="shared" ref="B37:B48" si="176">IF(A37=MONTH(CurveDate+31),EOMONTH(CurveDate+31,0),EOMONTH(CurveDate+31,MOD(A37-MONTH(CurveDate+31),12)-1)+1)</f>
        <v>36892</v>
      </c>
      <c r="C37" s="238">
        <f>VLOOKUP(B37,PriceTable,3,0)+IF(BasisNumber&lt;&gt;1,VLOOKUP(B37,BasisTable,2,0),0)</f>
        <v>35</v>
      </c>
      <c r="D37" s="238">
        <f>VLOOKUP(B37,PriceTable,7,0)+IF(BasisNumber&lt;&gt;1,VLOOKUP(B37,BasisTable,3,0),0)</f>
        <v>19.306451612903224</v>
      </c>
      <c r="E37" s="229">
        <v>1</v>
      </c>
      <c r="F37" s="290">
        <f t="shared" ref="F37:F48" si="177">C37*F21</f>
        <v>40.888686180114746</v>
      </c>
      <c r="G37" s="291">
        <f t="shared" ref="G37:G48" si="178">C37*G21</f>
        <v>40.113192796707153</v>
      </c>
      <c r="H37" s="291">
        <f t="shared" ref="H37:H48" si="179">C37*H21</f>
        <v>37.627154588699341</v>
      </c>
      <c r="I37" s="291">
        <f t="shared" ref="I37:I48" si="180">C37*I21</f>
        <v>37.184445858001709</v>
      </c>
      <c r="J37" s="291">
        <f t="shared" ref="J37:J48" si="181">C37*J21</f>
        <v>36.985238194465637</v>
      </c>
      <c r="K37" s="291">
        <f t="shared" ref="K37:K48" si="182">C37*K21</f>
        <v>36.514458060264587</v>
      </c>
      <c r="L37" s="291">
        <f t="shared" ref="L37:L48" si="183">C37*L21</f>
        <v>35.844466090202332</v>
      </c>
      <c r="M37" s="291">
        <f t="shared" ref="M37:M48" si="184">C37*M21</f>
        <v>34.604985117912292</v>
      </c>
      <c r="N37" s="291">
        <f t="shared" ref="N37:N48" si="185">C37*N21</f>
        <v>34.402351975440979</v>
      </c>
      <c r="O37" s="291">
        <f t="shared" ref="O37:O48" si="186">C37*O21</f>
        <v>34.169492423534393</v>
      </c>
      <c r="P37" s="291">
        <f t="shared" ref="P37:P48" si="187">C37*P21</f>
        <v>33.452209234237671</v>
      </c>
      <c r="Q37" s="291">
        <f t="shared" ref="Q37:Q48" si="188">C37*Q21</f>
        <v>32.364200353622437</v>
      </c>
      <c r="R37" s="291">
        <f t="shared" ref="R37:R48" si="189">C37*R21</f>
        <v>32.059023976325989</v>
      </c>
      <c r="S37" s="291">
        <f t="shared" ref="S37:S48" si="190">C37*S21</f>
        <v>31.927447617053986</v>
      </c>
      <c r="T37" s="291">
        <f t="shared" ref="T37:T48" si="191">C37*T21</f>
        <v>31.538749635219574</v>
      </c>
      <c r="U37" s="292">
        <f t="shared" ref="U37:V48" si="192">C37*U21</f>
        <v>30.323895812034607</v>
      </c>
      <c r="V37" s="291">
        <f t="shared" si="192"/>
        <v>22.074298526010203</v>
      </c>
      <c r="W37" s="291">
        <f t="shared" ref="W37:W48" si="193">D37*W21</f>
        <v>22.017893158620403</v>
      </c>
      <c r="X37" s="291">
        <f t="shared" ref="X37:X48" si="194">D37*X21</f>
        <v>19.68795194356672</v>
      </c>
      <c r="Y37" s="291">
        <f t="shared" ref="Y37:Y48" si="195">D37*Y21</f>
        <v>18.785478723625982</v>
      </c>
      <c r="Z37" s="291">
        <f t="shared" ref="Z37:Z48" si="196">D37*Z21</f>
        <v>18.669201917225312</v>
      </c>
      <c r="AA37" s="291">
        <f t="shared" ref="AA37:AA48" si="197">D37*AA21</f>
        <v>17.876301209772784</v>
      </c>
      <c r="AB37" s="291">
        <f t="shared" ref="AB37:AB48" si="198">D37*AB21</f>
        <v>17.793095928046011</v>
      </c>
      <c r="AC37" s="292">
        <f t="shared" ref="AC37:AC48" si="199">D37*AC21</f>
        <v>17.547390345604189</v>
      </c>
      <c r="AD37" s="113"/>
      <c r="AE37" s="229">
        <v>5</v>
      </c>
      <c r="AF37" s="232">
        <f t="shared" si="118"/>
        <v>150</v>
      </c>
      <c r="AG37" s="233">
        <f t="shared" si="119"/>
        <v>150</v>
      </c>
      <c r="AH37" s="233">
        <f t="shared" si="120"/>
        <v>150</v>
      </c>
      <c r="AI37" s="233">
        <f t="shared" si="121"/>
        <v>150</v>
      </c>
      <c r="AJ37" s="233">
        <f t="shared" si="122"/>
        <v>150</v>
      </c>
      <c r="AK37" s="233">
        <f t="shared" si="123"/>
        <v>150</v>
      </c>
      <c r="AL37" s="233">
        <f t="shared" si="124"/>
        <v>150</v>
      </c>
      <c r="AM37" s="233">
        <f t="shared" si="125"/>
        <v>150</v>
      </c>
      <c r="AN37" s="233">
        <f t="shared" si="126"/>
        <v>150</v>
      </c>
      <c r="AO37" s="233">
        <f t="shared" si="127"/>
        <v>150</v>
      </c>
      <c r="AP37" s="233">
        <f t="shared" si="128"/>
        <v>150</v>
      </c>
      <c r="AQ37" s="233">
        <f t="shared" si="129"/>
        <v>150</v>
      </c>
      <c r="AR37" s="233">
        <f t="shared" si="130"/>
        <v>150</v>
      </c>
      <c r="AS37" s="233">
        <f t="shared" si="131"/>
        <v>150</v>
      </c>
      <c r="AT37" s="233">
        <f t="shared" si="132"/>
        <v>150</v>
      </c>
      <c r="AU37" s="234">
        <f t="shared" si="133"/>
        <v>150</v>
      </c>
      <c r="AV37" s="233">
        <f t="shared" si="134"/>
        <v>150</v>
      </c>
      <c r="AW37" s="233">
        <f t="shared" si="135"/>
        <v>150</v>
      </c>
      <c r="AX37" s="233">
        <f t="shared" si="136"/>
        <v>150</v>
      </c>
      <c r="AY37" s="233">
        <f t="shared" si="137"/>
        <v>150</v>
      </c>
      <c r="AZ37" s="233">
        <f t="shared" si="138"/>
        <v>150</v>
      </c>
      <c r="BA37" s="233">
        <f t="shared" si="139"/>
        <v>150</v>
      </c>
      <c r="BB37" s="233">
        <f t="shared" si="140"/>
        <v>150</v>
      </c>
      <c r="BC37" s="234">
        <f t="shared" si="141"/>
        <v>150</v>
      </c>
      <c r="BD37" s="306">
        <f t="shared" si="170"/>
        <v>2400</v>
      </c>
      <c r="BE37" s="304">
        <f t="shared" si="171"/>
        <v>1200</v>
      </c>
      <c r="BF37" s="307">
        <f t="shared" si="172"/>
        <v>3600</v>
      </c>
      <c r="BG37" s="333">
        <f t="shared" si="166"/>
        <v>1</v>
      </c>
      <c r="BH37" s="330">
        <f t="shared" si="167"/>
        <v>1</v>
      </c>
      <c r="BJ37" s="229">
        <v>5</v>
      </c>
      <c r="BK37" s="232">
        <f t="shared" si="142"/>
        <v>600</v>
      </c>
      <c r="BL37" s="233">
        <f t="shared" si="143"/>
        <v>600</v>
      </c>
      <c r="BM37" s="233">
        <f t="shared" si="144"/>
        <v>600</v>
      </c>
      <c r="BN37" s="233">
        <f t="shared" si="145"/>
        <v>600</v>
      </c>
      <c r="BO37" s="233">
        <f t="shared" si="146"/>
        <v>600</v>
      </c>
      <c r="BP37" s="233">
        <f t="shared" si="147"/>
        <v>600</v>
      </c>
      <c r="BQ37" s="233">
        <f t="shared" si="148"/>
        <v>600</v>
      </c>
      <c r="BR37" s="233">
        <f t="shared" si="149"/>
        <v>600</v>
      </c>
      <c r="BS37" s="233">
        <f t="shared" si="150"/>
        <v>600</v>
      </c>
      <c r="BT37" s="233">
        <f t="shared" si="151"/>
        <v>600</v>
      </c>
      <c r="BU37" s="233">
        <f t="shared" si="152"/>
        <v>600</v>
      </c>
      <c r="BV37" s="233">
        <f t="shared" si="153"/>
        <v>600</v>
      </c>
      <c r="BW37" s="233">
        <f t="shared" si="154"/>
        <v>600</v>
      </c>
      <c r="BX37" s="233">
        <f t="shared" si="155"/>
        <v>600</v>
      </c>
      <c r="BY37" s="233">
        <f t="shared" si="156"/>
        <v>600</v>
      </c>
      <c r="BZ37" s="234">
        <f t="shared" si="157"/>
        <v>600</v>
      </c>
      <c r="CA37" s="233">
        <f t="shared" si="158"/>
        <v>600</v>
      </c>
      <c r="CB37" s="233">
        <f t="shared" si="159"/>
        <v>600</v>
      </c>
      <c r="CC37" s="233">
        <f t="shared" si="160"/>
        <v>600</v>
      </c>
      <c r="CD37" s="233">
        <f t="shared" si="161"/>
        <v>600</v>
      </c>
      <c r="CE37" s="233">
        <f t="shared" si="162"/>
        <v>600</v>
      </c>
      <c r="CF37" s="233">
        <f t="shared" si="163"/>
        <v>600</v>
      </c>
      <c r="CG37" s="233">
        <f t="shared" si="164"/>
        <v>600</v>
      </c>
      <c r="CH37" s="234">
        <f t="shared" si="165"/>
        <v>600</v>
      </c>
      <c r="CI37" s="306">
        <f t="shared" si="173"/>
        <v>9600</v>
      </c>
      <c r="CJ37" s="304">
        <f t="shared" si="174"/>
        <v>4800</v>
      </c>
      <c r="CK37" s="307">
        <f t="shared" si="175"/>
        <v>14400</v>
      </c>
      <c r="CL37" s="333">
        <f t="shared" si="168"/>
        <v>1</v>
      </c>
      <c r="CM37" s="330">
        <f t="shared" si="169"/>
        <v>1</v>
      </c>
    </row>
    <row r="38" spans="1:91">
      <c r="A38" s="311">
        <v>2</v>
      </c>
      <c r="B38" s="355">
        <f t="shared" si="176"/>
        <v>36923</v>
      </c>
      <c r="C38" s="239">
        <f t="shared" ref="C38:C48" si="200">VLOOKUP(B38,PriceTable,3,0)+IF(BasisNumber&lt;&gt;1,VLOOKUP(B38,BasisTable,2,0),0)</f>
        <v>34.5</v>
      </c>
      <c r="D38" s="239">
        <f t="shared" ref="D38:D48" si="201">VLOOKUP(B38,PriceTable,7,0)+IF(BasisNumber&lt;&gt;1,VLOOKUP(B38,BasisTable,3,0),0)</f>
        <v>19.607142857142854</v>
      </c>
      <c r="E38" s="229">
        <v>2</v>
      </c>
      <c r="F38" s="290">
        <f t="shared" si="177"/>
        <v>39.213650643825531</v>
      </c>
      <c r="G38" s="291">
        <f t="shared" si="178"/>
        <v>38.225405037403107</v>
      </c>
      <c r="H38" s="291">
        <f t="shared" si="179"/>
        <v>36.819208323955536</v>
      </c>
      <c r="I38" s="291">
        <f t="shared" si="180"/>
        <v>36.594834744930267</v>
      </c>
      <c r="J38" s="291">
        <f t="shared" si="181"/>
        <v>36.475890755653381</v>
      </c>
      <c r="K38" s="291">
        <f t="shared" si="182"/>
        <v>35.405403077602386</v>
      </c>
      <c r="L38" s="291">
        <f t="shared" si="183"/>
        <v>35.308667778968811</v>
      </c>
      <c r="M38" s="291">
        <f t="shared" si="184"/>
        <v>34.531157970428467</v>
      </c>
      <c r="N38" s="291">
        <f t="shared" si="185"/>
        <v>34.128434211015701</v>
      </c>
      <c r="O38" s="291">
        <f t="shared" si="186"/>
        <v>33.105837106704712</v>
      </c>
      <c r="P38" s="291">
        <f t="shared" si="187"/>
        <v>33.099160104990005</v>
      </c>
      <c r="Q38" s="291">
        <f t="shared" si="188"/>
        <v>32.751495391130447</v>
      </c>
      <c r="R38" s="291">
        <f t="shared" si="189"/>
        <v>31.696321427822113</v>
      </c>
      <c r="S38" s="291">
        <f t="shared" si="190"/>
        <v>31.666660487651825</v>
      </c>
      <c r="T38" s="291">
        <f t="shared" si="191"/>
        <v>31.645140677690506</v>
      </c>
      <c r="U38" s="292">
        <f t="shared" si="192"/>
        <v>31.332732260227203</v>
      </c>
      <c r="V38" s="291">
        <f t="shared" si="192"/>
        <v>22.978300899267193</v>
      </c>
      <c r="W38" s="291">
        <f t="shared" si="193"/>
        <v>22.257982288088115</v>
      </c>
      <c r="X38" s="291">
        <f t="shared" si="194"/>
        <v>19.822953049625667</v>
      </c>
      <c r="Y38" s="291">
        <f t="shared" si="195"/>
        <v>19.239320537873674</v>
      </c>
      <c r="Z38" s="291">
        <f t="shared" si="196"/>
        <v>18.580407711012018</v>
      </c>
      <c r="AA38" s="291">
        <f t="shared" si="197"/>
        <v>18.258501533951076</v>
      </c>
      <c r="AB38" s="291">
        <f t="shared" si="198"/>
        <v>18.014245748519894</v>
      </c>
      <c r="AC38" s="292">
        <f t="shared" si="199"/>
        <v>17.70542992012841</v>
      </c>
      <c r="AD38" s="113"/>
      <c r="AE38" s="229">
        <v>6</v>
      </c>
      <c r="AF38" s="232">
        <f t="shared" si="118"/>
        <v>150</v>
      </c>
      <c r="AG38" s="233">
        <f t="shared" si="119"/>
        <v>150</v>
      </c>
      <c r="AH38" s="233">
        <f t="shared" si="120"/>
        <v>150</v>
      </c>
      <c r="AI38" s="233">
        <f t="shared" si="121"/>
        <v>150</v>
      </c>
      <c r="AJ38" s="233">
        <f t="shared" si="122"/>
        <v>150</v>
      </c>
      <c r="AK38" s="233">
        <f t="shared" si="123"/>
        <v>150</v>
      </c>
      <c r="AL38" s="233">
        <f t="shared" si="124"/>
        <v>150</v>
      </c>
      <c r="AM38" s="233">
        <f t="shared" si="125"/>
        <v>150</v>
      </c>
      <c r="AN38" s="233">
        <f t="shared" si="126"/>
        <v>150</v>
      </c>
      <c r="AO38" s="233">
        <f t="shared" si="127"/>
        <v>150</v>
      </c>
      <c r="AP38" s="233">
        <f t="shared" si="128"/>
        <v>150</v>
      </c>
      <c r="AQ38" s="233">
        <f t="shared" si="129"/>
        <v>150</v>
      </c>
      <c r="AR38" s="233">
        <f t="shared" si="130"/>
        <v>150</v>
      </c>
      <c r="AS38" s="233">
        <f t="shared" si="131"/>
        <v>150</v>
      </c>
      <c r="AT38" s="233">
        <f t="shared" si="132"/>
        <v>150</v>
      </c>
      <c r="AU38" s="234">
        <f t="shared" si="133"/>
        <v>150</v>
      </c>
      <c r="AV38" s="233">
        <f t="shared" si="134"/>
        <v>150</v>
      </c>
      <c r="AW38" s="233">
        <f t="shared" si="135"/>
        <v>150</v>
      </c>
      <c r="AX38" s="233">
        <f t="shared" si="136"/>
        <v>150</v>
      </c>
      <c r="AY38" s="233">
        <f t="shared" si="137"/>
        <v>150</v>
      </c>
      <c r="AZ38" s="233">
        <f t="shared" si="138"/>
        <v>150</v>
      </c>
      <c r="BA38" s="233">
        <f t="shared" si="139"/>
        <v>150</v>
      </c>
      <c r="BB38" s="233">
        <f t="shared" si="140"/>
        <v>150</v>
      </c>
      <c r="BC38" s="234">
        <f t="shared" si="141"/>
        <v>150</v>
      </c>
      <c r="BD38" s="306">
        <f t="shared" si="170"/>
        <v>2400</v>
      </c>
      <c r="BE38" s="304">
        <f t="shared" si="171"/>
        <v>1200</v>
      </c>
      <c r="BF38" s="307">
        <f t="shared" si="172"/>
        <v>3600</v>
      </c>
      <c r="BG38" s="333">
        <f t="shared" si="166"/>
        <v>1.0000000074505806</v>
      </c>
      <c r="BH38" s="330">
        <f t="shared" si="167"/>
        <v>1.0000000074505806</v>
      </c>
      <c r="BJ38" s="229">
        <v>6</v>
      </c>
      <c r="BK38" s="232">
        <f t="shared" si="142"/>
        <v>600</v>
      </c>
      <c r="BL38" s="233">
        <f t="shared" si="143"/>
        <v>600</v>
      </c>
      <c r="BM38" s="233">
        <f t="shared" si="144"/>
        <v>600</v>
      </c>
      <c r="BN38" s="233">
        <f t="shared" si="145"/>
        <v>600</v>
      </c>
      <c r="BO38" s="233">
        <f t="shared" si="146"/>
        <v>600</v>
      </c>
      <c r="BP38" s="233">
        <f t="shared" si="147"/>
        <v>600</v>
      </c>
      <c r="BQ38" s="233">
        <f t="shared" si="148"/>
        <v>600</v>
      </c>
      <c r="BR38" s="233">
        <f t="shared" si="149"/>
        <v>600</v>
      </c>
      <c r="BS38" s="233">
        <f t="shared" si="150"/>
        <v>600</v>
      </c>
      <c r="BT38" s="233">
        <f t="shared" si="151"/>
        <v>600</v>
      </c>
      <c r="BU38" s="233">
        <f t="shared" si="152"/>
        <v>600</v>
      </c>
      <c r="BV38" s="233">
        <f t="shared" si="153"/>
        <v>600</v>
      </c>
      <c r="BW38" s="233">
        <f t="shared" si="154"/>
        <v>600</v>
      </c>
      <c r="BX38" s="233">
        <f t="shared" si="155"/>
        <v>600</v>
      </c>
      <c r="BY38" s="233">
        <f t="shared" si="156"/>
        <v>600</v>
      </c>
      <c r="BZ38" s="234">
        <f t="shared" si="157"/>
        <v>600</v>
      </c>
      <c r="CA38" s="233">
        <f t="shared" si="158"/>
        <v>600</v>
      </c>
      <c r="CB38" s="233">
        <f t="shared" si="159"/>
        <v>600</v>
      </c>
      <c r="CC38" s="233">
        <f t="shared" si="160"/>
        <v>600</v>
      </c>
      <c r="CD38" s="233">
        <f t="shared" si="161"/>
        <v>600</v>
      </c>
      <c r="CE38" s="233">
        <f t="shared" si="162"/>
        <v>600</v>
      </c>
      <c r="CF38" s="233">
        <f t="shared" si="163"/>
        <v>600</v>
      </c>
      <c r="CG38" s="233">
        <f t="shared" si="164"/>
        <v>600</v>
      </c>
      <c r="CH38" s="234">
        <f t="shared" si="165"/>
        <v>600</v>
      </c>
      <c r="CI38" s="306">
        <f t="shared" si="173"/>
        <v>9600</v>
      </c>
      <c r="CJ38" s="304">
        <f t="shared" si="174"/>
        <v>4800</v>
      </c>
      <c r="CK38" s="307">
        <f t="shared" si="175"/>
        <v>14400</v>
      </c>
      <c r="CL38" s="333">
        <f t="shared" si="168"/>
        <v>1.0000000074505806</v>
      </c>
      <c r="CM38" s="330">
        <f t="shared" si="169"/>
        <v>1.0000000074505806</v>
      </c>
    </row>
    <row r="39" spans="1:91">
      <c r="A39" s="311">
        <v>3</v>
      </c>
      <c r="B39" s="355">
        <f t="shared" si="176"/>
        <v>36951</v>
      </c>
      <c r="C39" s="239">
        <f t="shared" si="200"/>
        <v>33.75</v>
      </c>
      <c r="D39" s="239">
        <f t="shared" si="201"/>
        <v>19.887096774193548</v>
      </c>
      <c r="E39" s="229">
        <v>3</v>
      </c>
      <c r="F39" s="290">
        <f t="shared" si="177"/>
        <v>38.110724687576294</v>
      </c>
      <c r="G39" s="291">
        <f t="shared" si="178"/>
        <v>36.352339535951614</v>
      </c>
      <c r="H39" s="291">
        <f t="shared" si="179"/>
        <v>35.349138379096985</v>
      </c>
      <c r="I39" s="291">
        <f t="shared" si="180"/>
        <v>35.322133898735046</v>
      </c>
      <c r="J39" s="291">
        <f t="shared" si="181"/>
        <v>34.81635108590126</v>
      </c>
      <c r="K39" s="291">
        <f t="shared" si="182"/>
        <v>34.764414131641388</v>
      </c>
      <c r="L39" s="291">
        <f t="shared" si="183"/>
        <v>34.309590607881546</v>
      </c>
      <c r="M39" s="291">
        <f t="shared" si="184"/>
        <v>33.779478818178177</v>
      </c>
      <c r="N39" s="291">
        <f t="shared" si="185"/>
        <v>33.752526640892029</v>
      </c>
      <c r="O39" s="291">
        <f t="shared" si="186"/>
        <v>33.532789349555969</v>
      </c>
      <c r="P39" s="291">
        <f t="shared" si="187"/>
        <v>33.124465271830559</v>
      </c>
      <c r="Q39" s="291">
        <f t="shared" si="188"/>
        <v>32.088743671774864</v>
      </c>
      <c r="R39" s="291">
        <f t="shared" si="189"/>
        <v>31.984648481011391</v>
      </c>
      <c r="S39" s="291">
        <f t="shared" si="190"/>
        <v>31.635726615786552</v>
      </c>
      <c r="T39" s="291">
        <f t="shared" si="191"/>
        <v>31.092772409319878</v>
      </c>
      <c r="U39" s="292">
        <f t="shared" si="192"/>
        <v>29.984154403209686</v>
      </c>
      <c r="V39" s="291">
        <f t="shared" si="192"/>
        <v>23.431254923343658</v>
      </c>
      <c r="W39" s="291">
        <f t="shared" si="193"/>
        <v>21.616418607773319</v>
      </c>
      <c r="X39" s="291">
        <f t="shared" si="194"/>
        <v>20.246072207727739</v>
      </c>
      <c r="Y39" s="291">
        <f t="shared" si="195"/>
        <v>19.787513214734293</v>
      </c>
      <c r="Z39" s="291">
        <f t="shared" si="196"/>
        <v>18.922719537250458</v>
      </c>
      <c r="AA39" s="291">
        <f t="shared" si="197"/>
        <v>18.423250099343637</v>
      </c>
      <c r="AB39" s="291">
        <f t="shared" si="198"/>
        <v>18.382342025156944</v>
      </c>
      <c r="AC39" s="292">
        <f t="shared" si="199"/>
        <v>18.287204763581677</v>
      </c>
      <c r="AD39" s="113"/>
      <c r="AE39" s="229">
        <v>7</v>
      </c>
      <c r="AF39" s="232">
        <f t="shared" si="118"/>
        <v>150</v>
      </c>
      <c r="AG39" s="233">
        <f t="shared" si="119"/>
        <v>150</v>
      </c>
      <c r="AH39" s="233">
        <f t="shared" si="120"/>
        <v>150</v>
      </c>
      <c r="AI39" s="233">
        <f t="shared" si="121"/>
        <v>150</v>
      </c>
      <c r="AJ39" s="233">
        <f t="shared" si="122"/>
        <v>150</v>
      </c>
      <c r="AK39" s="233">
        <f t="shared" si="123"/>
        <v>150</v>
      </c>
      <c r="AL39" s="233">
        <f t="shared" si="124"/>
        <v>150</v>
      </c>
      <c r="AM39" s="233">
        <f t="shared" si="125"/>
        <v>150</v>
      </c>
      <c r="AN39" s="233">
        <f t="shared" si="126"/>
        <v>150</v>
      </c>
      <c r="AO39" s="233">
        <f t="shared" si="127"/>
        <v>150</v>
      </c>
      <c r="AP39" s="233">
        <f t="shared" si="128"/>
        <v>150</v>
      </c>
      <c r="AQ39" s="233">
        <f t="shared" si="129"/>
        <v>150</v>
      </c>
      <c r="AR39" s="233">
        <f t="shared" si="130"/>
        <v>150</v>
      </c>
      <c r="AS39" s="233">
        <f t="shared" si="131"/>
        <v>150</v>
      </c>
      <c r="AT39" s="233">
        <f t="shared" si="132"/>
        <v>150</v>
      </c>
      <c r="AU39" s="234">
        <f t="shared" si="133"/>
        <v>150</v>
      </c>
      <c r="AV39" s="233">
        <f t="shared" si="134"/>
        <v>150</v>
      </c>
      <c r="AW39" s="233">
        <f t="shared" si="135"/>
        <v>150</v>
      </c>
      <c r="AX39" s="233">
        <f t="shared" si="136"/>
        <v>150</v>
      </c>
      <c r="AY39" s="233">
        <f t="shared" si="137"/>
        <v>150</v>
      </c>
      <c r="AZ39" s="233">
        <f t="shared" si="138"/>
        <v>150</v>
      </c>
      <c r="BA39" s="233">
        <f t="shared" si="139"/>
        <v>150</v>
      </c>
      <c r="BB39" s="233">
        <f t="shared" si="140"/>
        <v>150</v>
      </c>
      <c r="BC39" s="234">
        <f t="shared" si="141"/>
        <v>150</v>
      </c>
      <c r="BD39" s="306">
        <f t="shared" si="170"/>
        <v>2400</v>
      </c>
      <c r="BE39" s="304">
        <f t="shared" si="171"/>
        <v>1200</v>
      </c>
      <c r="BF39" s="307">
        <f t="shared" si="172"/>
        <v>3600</v>
      </c>
      <c r="BG39" s="333">
        <f t="shared" si="166"/>
        <v>1.0000000037252903</v>
      </c>
      <c r="BH39" s="330">
        <f t="shared" si="167"/>
        <v>0.99999998509883881</v>
      </c>
      <c r="BJ39" s="229">
        <v>7</v>
      </c>
      <c r="BK39" s="232">
        <f t="shared" si="142"/>
        <v>600</v>
      </c>
      <c r="BL39" s="233">
        <f t="shared" si="143"/>
        <v>600</v>
      </c>
      <c r="BM39" s="233">
        <f t="shared" si="144"/>
        <v>600</v>
      </c>
      <c r="BN39" s="233">
        <f t="shared" si="145"/>
        <v>600</v>
      </c>
      <c r="BO39" s="233">
        <f t="shared" si="146"/>
        <v>600</v>
      </c>
      <c r="BP39" s="233">
        <f t="shared" si="147"/>
        <v>600</v>
      </c>
      <c r="BQ39" s="233">
        <f t="shared" si="148"/>
        <v>600</v>
      </c>
      <c r="BR39" s="233">
        <f t="shared" si="149"/>
        <v>600</v>
      </c>
      <c r="BS39" s="233">
        <f t="shared" si="150"/>
        <v>600</v>
      </c>
      <c r="BT39" s="233">
        <f t="shared" si="151"/>
        <v>600</v>
      </c>
      <c r="BU39" s="233">
        <f t="shared" si="152"/>
        <v>600</v>
      </c>
      <c r="BV39" s="233">
        <f t="shared" si="153"/>
        <v>600</v>
      </c>
      <c r="BW39" s="233">
        <f t="shared" si="154"/>
        <v>600</v>
      </c>
      <c r="BX39" s="233">
        <f t="shared" si="155"/>
        <v>600</v>
      </c>
      <c r="BY39" s="233">
        <f t="shared" si="156"/>
        <v>600</v>
      </c>
      <c r="BZ39" s="234">
        <f t="shared" si="157"/>
        <v>600</v>
      </c>
      <c r="CA39" s="233">
        <f t="shared" si="158"/>
        <v>600</v>
      </c>
      <c r="CB39" s="233">
        <f t="shared" si="159"/>
        <v>600</v>
      </c>
      <c r="CC39" s="233">
        <f t="shared" si="160"/>
        <v>600</v>
      </c>
      <c r="CD39" s="233">
        <f t="shared" si="161"/>
        <v>600</v>
      </c>
      <c r="CE39" s="233">
        <f t="shared" si="162"/>
        <v>600</v>
      </c>
      <c r="CF39" s="233">
        <f t="shared" si="163"/>
        <v>600</v>
      </c>
      <c r="CG39" s="233">
        <f t="shared" si="164"/>
        <v>600</v>
      </c>
      <c r="CH39" s="234">
        <f t="shared" si="165"/>
        <v>600</v>
      </c>
      <c r="CI39" s="306">
        <f t="shared" si="173"/>
        <v>9600</v>
      </c>
      <c r="CJ39" s="304">
        <f t="shared" si="174"/>
        <v>4800</v>
      </c>
      <c r="CK39" s="307">
        <f t="shared" si="175"/>
        <v>14400</v>
      </c>
      <c r="CL39" s="333">
        <f t="shared" si="168"/>
        <v>1.0000000037252903</v>
      </c>
      <c r="CM39" s="330">
        <f t="shared" si="169"/>
        <v>0.99999998509883881</v>
      </c>
    </row>
    <row r="40" spans="1:91">
      <c r="A40" s="311">
        <v>4</v>
      </c>
      <c r="B40" s="355">
        <f t="shared" si="176"/>
        <v>36982</v>
      </c>
      <c r="C40" s="239">
        <f t="shared" si="200"/>
        <v>33.25</v>
      </c>
      <c r="D40" s="239">
        <f t="shared" si="201"/>
        <v>17.6875</v>
      </c>
      <c r="E40" s="229">
        <v>4</v>
      </c>
      <c r="F40" s="290">
        <f t="shared" si="177"/>
        <v>35.46812716126442</v>
      </c>
      <c r="G40" s="291">
        <f t="shared" si="178"/>
        <v>35.058636397123337</v>
      </c>
      <c r="H40" s="291">
        <f t="shared" si="179"/>
        <v>34.984586387872696</v>
      </c>
      <c r="I40" s="291">
        <f t="shared" si="180"/>
        <v>34.778731167316437</v>
      </c>
      <c r="J40" s="291">
        <f t="shared" si="181"/>
        <v>34.398377627134323</v>
      </c>
      <c r="K40" s="291">
        <f t="shared" si="182"/>
        <v>34.07613205909729</v>
      </c>
      <c r="L40" s="291">
        <f t="shared" si="183"/>
        <v>33.98857769370079</v>
      </c>
      <c r="M40" s="291">
        <f t="shared" si="184"/>
        <v>33.495032519102097</v>
      </c>
      <c r="N40" s="291">
        <f t="shared" si="185"/>
        <v>33.28995418548584</v>
      </c>
      <c r="O40" s="291">
        <f t="shared" si="186"/>
        <v>32.520372360944748</v>
      </c>
      <c r="P40" s="291">
        <f t="shared" si="187"/>
        <v>32.470574304461479</v>
      </c>
      <c r="Q40" s="291">
        <f t="shared" si="188"/>
        <v>32.140018820762634</v>
      </c>
      <c r="R40" s="291">
        <f t="shared" si="189"/>
        <v>32.043298378586769</v>
      </c>
      <c r="S40" s="291">
        <f t="shared" si="190"/>
        <v>31.875908970832825</v>
      </c>
      <c r="T40" s="291">
        <f t="shared" si="191"/>
        <v>31.759663298726082</v>
      </c>
      <c r="U40" s="292">
        <f t="shared" si="192"/>
        <v>29.652008667588234</v>
      </c>
      <c r="V40" s="291">
        <f t="shared" si="192"/>
        <v>20.488104611635208</v>
      </c>
      <c r="W40" s="291">
        <f t="shared" si="193"/>
        <v>19.152466222643852</v>
      </c>
      <c r="X40" s="291">
        <f t="shared" si="194"/>
        <v>18.47106608748436</v>
      </c>
      <c r="Y40" s="291">
        <f t="shared" si="195"/>
        <v>17.383424825966358</v>
      </c>
      <c r="Z40" s="291">
        <f t="shared" si="196"/>
        <v>17.302045661956072</v>
      </c>
      <c r="AA40" s="291">
        <f t="shared" si="197"/>
        <v>16.603560235351324</v>
      </c>
      <c r="AB40" s="291">
        <f t="shared" si="198"/>
        <v>16.109145257622004</v>
      </c>
      <c r="AC40" s="292">
        <f t="shared" si="199"/>
        <v>15.990188151597977</v>
      </c>
      <c r="AD40" s="113"/>
      <c r="AE40" s="229">
        <v>8</v>
      </c>
      <c r="AF40" s="232">
        <f t="shared" si="118"/>
        <v>150</v>
      </c>
      <c r="AG40" s="233">
        <f t="shared" si="119"/>
        <v>150</v>
      </c>
      <c r="AH40" s="233">
        <f t="shared" si="120"/>
        <v>150</v>
      </c>
      <c r="AI40" s="233">
        <f t="shared" si="121"/>
        <v>150</v>
      </c>
      <c r="AJ40" s="233">
        <f t="shared" si="122"/>
        <v>150</v>
      </c>
      <c r="AK40" s="233">
        <f t="shared" si="123"/>
        <v>150</v>
      </c>
      <c r="AL40" s="233">
        <f t="shared" si="124"/>
        <v>150</v>
      </c>
      <c r="AM40" s="233">
        <f t="shared" si="125"/>
        <v>150</v>
      </c>
      <c r="AN40" s="233">
        <f t="shared" si="126"/>
        <v>150</v>
      </c>
      <c r="AO40" s="233">
        <f t="shared" si="127"/>
        <v>150</v>
      </c>
      <c r="AP40" s="233">
        <f t="shared" si="128"/>
        <v>150</v>
      </c>
      <c r="AQ40" s="233">
        <f t="shared" si="129"/>
        <v>150</v>
      </c>
      <c r="AR40" s="233">
        <f t="shared" si="130"/>
        <v>150</v>
      </c>
      <c r="AS40" s="233">
        <f t="shared" si="131"/>
        <v>150</v>
      </c>
      <c r="AT40" s="233">
        <f t="shared" si="132"/>
        <v>150</v>
      </c>
      <c r="AU40" s="234">
        <f t="shared" si="133"/>
        <v>150</v>
      </c>
      <c r="AV40" s="233">
        <f t="shared" si="134"/>
        <v>150</v>
      </c>
      <c r="AW40" s="233">
        <f t="shared" si="135"/>
        <v>150</v>
      </c>
      <c r="AX40" s="233">
        <f t="shared" si="136"/>
        <v>150</v>
      </c>
      <c r="AY40" s="233">
        <f t="shared" si="137"/>
        <v>150</v>
      </c>
      <c r="AZ40" s="233">
        <f t="shared" si="138"/>
        <v>150</v>
      </c>
      <c r="BA40" s="233">
        <f t="shared" si="139"/>
        <v>150</v>
      </c>
      <c r="BB40" s="233">
        <f t="shared" si="140"/>
        <v>150</v>
      </c>
      <c r="BC40" s="234">
        <f t="shared" si="141"/>
        <v>150</v>
      </c>
      <c r="BD40" s="306">
        <f t="shared" si="170"/>
        <v>2400</v>
      </c>
      <c r="BE40" s="304">
        <f t="shared" si="171"/>
        <v>1200</v>
      </c>
      <c r="BF40" s="307">
        <f t="shared" si="172"/>
        <v>3600</v>
      </c>
      <c r="BG40" s="333">
        <f t="shared" si="166"/>
        <v>0.9999999888241291</v>
      </c>
      <c r="BH40" s="330">
        <f t="shared" si="167"/>
        <v>1.0000000074505806</v>
      </c>
      <c r="BJ40" s="229">
        <v>8</v>
      </c>
      <c r="BK40" s="232">
        <f t="shared" si="142"/>
        <v>600</v>
      </c>
      <c r="BL40" s="233">
        <f t="shared" si="143"/>
        <v>600</v>
      </c>
      <c r="BM40" s="233">
        <f t="shared" si="144"/>
        <v>600</v>
      </c>
      <c r="BN40" s="233">
        <f t="shared" si="145"/>
        <v>600</v>
      </c>
      <c r="BO40" s="233">
        <f t="shared" si="146"/>
        <v>600</v>
      </c>
      <c r="BP40" s="233">
        <f t="shared" si="147"/>
        <v>600</v>
      </c>
      <c r="BQ40" s="233">
        <f t="shared" si="148"/>
        <v>600</v>
      </c>
      <c r="BR40" s="233">
        <f t="shared" si="149"/>
        <v>600</v>
      </c>
      <c r="BS40" s="233">
        <f t="shared" si="150"/>
        <v>600</v>
      </c>
      <c r="BT40" s="233">
        <f t="shared" si="151"/>
        <v>600</v>
      </c>
      <c r="BU40" s="233">
        <f t="shared" si="152"/>
        <v>600</v>
      </c>
      <c r="BV40" s="233">
        <f t="shared" si="153"/>
        <v>600</v>
      </c>
      <c r="BW40" s="233">
        <f t="shared" si="154"/>
        <v>600</v>
      </c>
      <c r="BX40" s="233">
        <f t="shared" si="155"/>
        <v>600</v>
      </c>
      <c r="BY40" s="233">
        <f t="shared" si="156"/>
        <v>600</v>
      </c>
      <c r="BZ40" s="234">
        <f t="shared" si="157"/>
        <v>600</v>
      </c>
      <c r="CA40" s="233">
        <f t="shared" si="158"/>
        <v>600</v>
      </c>
      <c r="CB40" s="233">
        <f t="shared" si="159"/>
        <v>600</v>
      </c>
      <c r="CC40" s="233">
        <f t="shared" si="160"/>
        <v>600</v>
      </c>
      <c r="CD40" s="233">
        <f t="shared" si="161"/>
        <v>600</v>
      </c>
      <c r="CE40" s="233">
        <f t="shared" si="162"/>
        <v>600</v>
      </c>
      <c r="CF40" s="233">
        <f t="shared" si="163"/>
        <v>600</v>
      </c>
      <c r="CG40" s="233">
        <f t="shared" si="164"/>
        <v>600</v>
      </c>
      <c r="CH40" s="234">
        <f t="shared" si="165"/>
        <v>600</v>
      </c>
      <c r="CI40" s="306">
        <f t="shared" si="173"/>
        <v>9600</v>
      </c>
      <c r="CJ40" s="304">
        <f t="shared" si="174"/>
        <v>4800</v>
      </c>
      <c r="CK40" s="307">
        <f t="shared" si="175"/>
        <v>14400</v>
      </c>
      <c r="CL40" s="333">
        <f t="shared" si="168"/>
        <v>0.9999999888241291</v>
      </c>
      <c r="CM40" s="330">
        <f t="shared" si="169"/>
        <v>1.0000000074505806</v>
      </c>
    </row>
    <row r="41" spans="1:91">
      <c r="A41" s="311">
        <v>5</v>
      </c>
      <c r="B41" s="355">
        <f t="shared" si="176"/>
        <v>36677</v>
      </c>
      <c r="C41" s="239">
        <f t="shared" si="200"/>
        <v>35.35</v>
      </c>
      <c r="D41" s="239">
        <f t="shared" si="201"/>
        <v>15.584677419354838</v>
      </c>
      <c r="E41" s="229">
        <v>5</v>
      </c>
      <c r="F41" s="290">
        <f t="shared" si="177"/>
        <v>37.127304404973984</v>
      </c>
      <c r="G41" s="291">
        <f t="shared" si="178"/>
        <v>37.123174637556076</v>
      </c>
      <c r="H41" s="291">
        <f t="shared" si="179"/>
        <v>36.849425840377812</v>
      </c>
      <c r="I41" s="291">
        <f t="shared" si="180"/>
        <v>36.534771275520328</v>
      </c>
      <c r="J41" s="291">
        <f t="shared" si="181"/>
        <v>36.446912580728529</v>
      </c>
      <c r="K41" s="291">
        <f t="shared" si="182"/>
        <v>36.071023678779603</v>
      </c>
      <c r="L41" s="291">
        <f t="shared" si="183"/>
        <v>36.021972155570985</v>
      </c>
      <c r="M41" s="291">
        <f t="shared" si="184"/>
        <v>35.680979788303375</v>
      </c>
      <c r="N41" s="291">
        <f t="shared" si="185"/>
        <v>35.33378223478794</v>
      </c>
      <c r="O41" s="291">
        <f t="shared" si="186"/>
        <v>35.093417128920557</v>
      </c>
      <c r="P41" s="291">
        <f t="shared" si="187"/>
        <v>35.069784745573997</v>
      </c>
      <c r="Q41" s="291">
        <f t="shared" si="188"/>
        <v>34.857289248704909</v>
      </c>
      <c r="R41" s="291">
        <f t="shared" si="189"/>
        <v>34.834611347317697</v>
      </c>
      <c r="S41" s="291">
        <f t="shared" si="190"/>
        <v>34.505856576561932</v>
      </c>
      <c r="T41" s="291">
        <f t="shared" si="191"/>
        <v>33.384148535132411</v>
      </c>
      <c r="U41" s="292">
        <f t="shared" si="192"/>
        <v>30.66554582118988</v>
      </c>
      <c r="V41" s="291">
        <f t="shared" si="192"/>
        <v>18.243019261187122</v>
      </c>
      <c r="W41" s="291">
        <f t="shared" si="193"/>
        <v>16.590290004687922</v>
      </c>
      <c r="X41" s="291">
        <f t="shared" si="194"/>
        <v>16.363436798414877</v>
      </c>
      <c r="Y41" s="291">
        <f t="shared" si="195"/>
        <v>15.346249880329255</v>
      </c>
      <c r="Z41" s="291">
        <f t="shared" si="196"/>
        <v>14.85976934192642</v>
      </c>
      <c r="AA41" s="291">
        <f t="shared" si="197"/>
        <v>14.771317659366515</v>
      </c>
      <c r="AB41" s="291">
        <f t="shared" si="198"/>
        <v>14.284837120963681</v>
      </c>
      <c r="AC41" s="292">
        <f t="shared" si="199"/>
        <v>14.218499287962914</v>
      </c>
      <c r="AE41" s="229">
        <v>9</v>
      </c>
      <c r="AF41" s="232">
        <f t="shared" si="118"/>
        <v>150</v>
      </c>
      <c r="AG41" s="233">
        <f t="shared" si="119"/>
        <v>150</v>
      </c>
      <c r="AH41" s="233">
        <f t="shared" si="120"/>
        <v>150</v>
      </c>
      <c r="AI41" s="233">
        <f t="shared" si="121"/>
        <v>150</v>
      </c>
      <c r="AJ41" s="233">
        <f t="shared" si="122"/>
        <v>150</v>
      </c>
      <c r="AK41" s="233">
        <f t="shared" si="123"/>
        <v>150</v>
      </c>
      <c r="AL41" s="233">
        <f t="shared" si="124"/>
        <v>150</v>
      </c>
      <c r="AM41" s="233">
        <f t="shared" si="125"/>
        <v>150</v>
      </c>
      <c r="AN41" s="233">
        <f t="shared" si="126"/>
        <v>150</v>
      </c>
      <c r="AO41" s="233">
        <f t="shared" si="127"/>
        <v>150</v>
      </c>
      <c r="AP41" s="233">
        <f t="shared" si="128"/>
        <v>150</v>
      </c>
      <c r="AQ41" s="233">
        <f t="shared" si="129"/>
        <v>150</v>
      </c>
      <c r="AR41" s="233">
        <f t="shared" si="130"/>
        <v>150</v>
      </c>
      <c r="AS41" s="233">
        <f t="shared" si="131"/>
        <v>150</v>
      </c>
      <c r="AT41" s="233">
        <f t="shared" si="132"/>
        <v>150</v>
      </c>
      <c r="AU41" s="234">
        <f t="shared" si="133"/>
        <v>150</v>
      </c>
      <c r="AV41" s="233">
        <f t="shared" si="134"/>
        <v>150</v>
      </c>
      <c r="AW41" s="233">
        <f t="shared" si="135"/>
        <v>150</v>
      </c>
      <c r="AX41" s="233">
        <f t="shared" si="136"/>
        <v>150</v>
      </c>
      <c r="AY41" s="233">
        <f t="shared" si="137"/>
        <v>150</v>
      </c>
      <c r="AZ41" s="233">
        <f t="shared" si="138"/>
        <v>150</v>
      </c>
      <c r="BA41" s="233">
        <f t="shared" si="139"/>
        <v>150</v>
      </c>
      <c r="BB41" s="233">
        <f t="shared" si="140"/>
        <v>150</v>
      </c>
      <c r="BC41" s="234">
        <f t="shared" si="141"/>
        <v>150</v>
      </c>
      <c r="BD41" s="306">
        <f t="shared" si="170"/>
        <v>2400</v>
      </c>
      <c r="BE41" s="304">
        <f t="shared" si="171"/>
        <v>1200</v>
      </c>
      <c r="BF41" s="307">
        <f t="shared" si="172"/>
        <v>3600</v>
      </c>
      <c r="BG41" s="333">
        <f t="shared" si="166"/>
        <v>0.9999999925494194</v>
      </c>
      <c r="BH41" s="330">
        <f t="shared" si="167"/>
        <v>0.9999999925494194</v>
      </c>
      <c r="BJ41" s="229">
        <v>9</v>
      </c>
      <c r="BK41" s="232">
        <f t="shared" si="142"/>
        <v>600</v>
      </c>
      <c r="BL41" s="233">
        <f t="shared" si="143"/>
        <v>600</v>
      </c>
      <c r="BM41" s="233">
        <f t="shared" si="144"/>
        <v>600</v>
      </c>
      <c r="BN41" s="233">
        <f t="shared" si="145"/>
        <v>600</v>
      </c>
      <c r="BO41" s="233">
        <f t="shared" si="146"/>
        <v>600</v>
      </c>
      <c r="BP41" s="233">
        <f t="shared" si="147"/>
        <v>600</v>
      </c>
      <c r="BQ41" s="233">
        <f t="shared" si="148"/>
        <v>600</v>
      </c>
      <c r="BR41" s="233">
        <f t="shared" si="149"/>
        <v>600</v>
      </c>
      <c r="BS41" s="233">
        <f t="shared" si="150"/>
        <v>600</v>
      </c>
      <c r="BT41" s="233">
        <f t="shared" si="151"/>
        <v>600</v>
      </c>
      <c r="BU41" s="233">
        <f t="shared" si="152"/>
        <v>600</v>
      </c>
      <c r="BV41" s="233">
        <f t="shared" si="153"/>
        <v>600</v>
      </c>
      <c r="BW41" s="233">
        <f t="shared" si="154"/>
        <v>600</v>
      </c>
      <c r="BX41" s="233">
        <f t="shared" si="155"/>
        <v>600</v>
      </c>
      <c r="BY41" s="233">
        <f t="shared" si="156"/>
        <v>600</v>
      </c>
      <c r="BZ41" s="234">
        <f t="shared" si="157"/>
        <v>600</v>
      </c>
      <c r="CA41" s="233">
        <f t="shared" si="158"/>
        <v>600</v>
      </c>
      <c r="CB41" s="233">
        <f t="shared" si="159"/>
        <v>600</v>
      </c>
      <c r="CC41" s="233">
        <f t="shared" si="160"/>
        <v>600</v>
      </c>
      <c r="CD41" s="233">
        <f t="shared" si="161"/>
        <v>600</v>
      </c>
      <c r="CE41" s="233">
        <f t="shared" si="162"/>
        <v>600</v>
      </c>
      <c r="CF41" s="233">
        <f t="shared" si="163"/>
        <v>600</v>
      </c>
      <c r="CG41" s="233">
        <f t="shared" si="164"/>
        <v>600</v>
      </c>
      <c r="CH41" s="234">
        <f t="shared" si="165"/>
        <v>600</v>
      </c>
      <c r="CI41" s="306">
        <f t="shared" si="173"/>
        <v>9600</v>
      </c>
      <c r="CJ41" s="304">
        <f t="shared" si="174"/>
        <v>4800</v>
      </c>
      <c r="CK41" s="307">
        <f t="shared" si="175"/>
        <v>14400</v>
      </c>
      <c r="CL41" s="333">
        <f t="shared" si="168"/>
        <v>0.9999999925494194</v>
      </c>
      <c r="CM41" s="330">
        <f t="shared" si="169"/>
        <v>0.9999999925494194</v>
      </c>
    </row>
    <row r="42" spans="1:91">
      <c r="A42" s="311">
        <v>6</v>
      </c>
      <c r="B42" s="355">
        <f t="shared" si="176"/>
        <v>36678</v>
      </c>
      <c r="C42" s="239">
        <f t="shared" si="200"/>
        <v>39.625</v>
      </c>
      <c r="D42" s="239">
        <f t="shared" si="201"/>
        <v>16.141666666666666</v>
      </c>
      <c r="E42" s="229">
        <v>6</v>
      </c>
      <c r="F42" s="290">
        <f t="shared" si="177"/>
        <v>42.907401382923126</v>
      </c>
      <c r="G42" s="291">
        <f t="shared" si="178"/>
        <v>42.653655380010605</v>
      </c>
      <c r="H42" s="291">
        <f t="shared" si="179"/>
        <v>42.317207396030426</v>
      </c>
      <c r="I42" s="291">
        <f t="shared" si="180"/>
        <v>42.195034444332123</v>
      </c>
      <c r="J42" s="291">
        <f t="shared" si="181"/>
        <v>41.764604359865189</v>
      </c>
      <c r="K42" s="291">
        <f t="shared" si="182"/>
        <v>41.18193045258522</v>
      </c>
      <c r="L42" s="291">
        <f t="shared" si="183"/>
        <v>40.743985012173653</v>
      </c>
      <c r="M42" s="291">
        <f t="shared" si="184"/>
        <v>40.542870119214058</v>
      </c>
      <c r="N42" s="291">
        <f t="shared" si="185"/>
        <v>40.366592273116112</v>
      </c>
      <c r="O42" s="291">
        <f t="shared" si="186"/>
        <v>39.642543703317642</v>
      </c>
      <c r="P42" s="291">
        <f t="shared" si="187"/>
        <v>39.548563964664936</v>
      </c>
      <c r="Q42" s="291">
        <f t="shared" si="188"/>
        <v>39.327746652066708</v>
      </c>
      <c r="R42" s="291">
        <f t="shared" si="189"/>
        <v>38.110811658203602</v>
      </c>
      <c r="S42" s="291">
        <f t="shared" si="190"/>
        <v>37.028026476502419</v>
      </c>
      <c r="T42" s="291">
        <f t="shared" si="191"/>
        <v>34.355240441858768</v>
      </c>
      <c r="U42" s="292">
        <f t="shared" si="192"/>
        <v>31.313791006803513</v>
      </c>
      <c r="V42" s="291">
        <f t="shared" si="192"/>
        <v>19.150445371866226</v>
      </c>
      <c r="W42" s="291">
        <f t="shared" si="193"/>
        <v>17.214551730950671</v>
      </c>
      <c r="X42" s="291">
        <f t="shared" si="194"/>
        <v>16.499201375246049</v>
      </c>
      <c r="Y42" s="291">
        <f t="shared" si="195"/>
        <v>15.948978422582149</v>
      </c>
      <c r="Z42" s="291">
        <f t="shared" si="196"/>
        <v>15.299259929358959</v>
      </c>
      <c r="AA42" s="291">
        <f t="shared" si="197"/>
        <v>15.137728924552599</v>
      </c>
      <c r="AB42" s="291">
        <f t="shared" si="198"/>
        <v>14.976197919746239</v>
      </c>
      <c r="AC42" s="292">
        <f t="shared" si="199"/>
        <v>14.906970621148744</v>
      </c>
      <c r="AE42" s="229">
        <v>10</v>
      </c>
      <c r="AF42" s="232">
        <f t="shared" si="118"/>
        <v>150</v>
      </c>
      <c r="AG42" s="233">
        <f t="shared" si="119"/>
        <v>150</v>
      </c>
      <c r="AH42" s="233">
        <f t="shared" si="120"/>
        <v>150</v>
      </c>
      <c r="AI42" s="233">
        <f t="shared" si="121"/>
        <v>150</v>
      </c>
      <c r="AJ42" s="233">
        <f t="shared" si="122"/>
        <v>150</v>
      </c>
      <c r="AK42" s="233">
        <f t="shared" si="123"/>
        <v>150</v>
      </c>
      <c r="AL42" s="233">
        <f t="shared" si="124"/>
        <v>150</v>
      </c>
      <c r="AM42" s="233">
        <f t="shared" si="125"/>
        <v>150</v>
      </c>
      <c r="AN42" s="233">
        <f t="shared" si="126"/>
        <v>150</v>
      </c>
      <c r="AO42" s="233">
        <f t="shared" si="127"/>
        <v>150</v>
      </c>
      <c r="AP42" s="233">
        <f t="shared" si="128"/>
        <v>150</v>
      </c>
      <c r="AQ42" s="233">
        <f t="shared" si="129"/>
        <v>150</v>
      </c>
      <c r="AR42" s="233">
        <f t="shared" si="130"/>
        <v>150</v>
      </c>
      <c r="AS42" s="233">
        <f t="shared" si="131"/>
        <v>150</v>
      </c>
      <c r="AT42" s="233">
        <f t="shared" si="132"/>
        <v>150</v>
      </c>
      <c r="AU42" s="234">
        <f t="shared" si="133"/>
        <v>150</v>
      </c>
      <c r="AV42" s="233">
        <f t="shared" si="134"/>
        <v>150</v>
      </c>
      <c r="AW42" s="233">
        <f t="shared" si="135"/>
        <v>150</v>
      </c>
      <c r="AX42" s="233">
        <f t="shared" si="136"/>
        <v>150</v>
      </c>
      <c r="AY42" s="233">
        <f t="shared" si="137"/>
        <v>150</v>
      </c>
      <c r="AZ42" s="233">
        <f t="shared" si="138"/>
        <v>150</v>
      </c>
      <c r="BA42" s="233">
        <f t="shared" si="139"/>
        <v>150</v>
      </c>
      <c r="BB42" s="233">
        <f t="shared" si="140"/>
        <v>150</v>
      </c>
      <c r="BC42" s="234">
        <f t="shared" si="141"/>
        <v>150</v>
      </c>
      <c r="BD42" s="306">
        <f t="shared" si="170"/>
        <v>2400</v>
      </c>
      <c r="BE42" s="304">
        <f t="shared" si="171"/>
        <v>1200</v>
      </c>
      <c r="BF42" s="307">
        <f t="shared" si="172"/>
        <v>3600</v>
      </c>
      <c r="BG42" s="333">
        <f t="shared" si="166"/>
        <v>1.0000000149011612</v>
      </c>
      <c r="BH42" s="330">
        <f t="shared" si="167"/>
        <v>0.9999999925494194</v>
      </c>
      <c r="BJ42" s="229">
        <v>10</v>
      </c>
      <c r="BK42" s="232">
        <f t="shared" si="142"/>
        <v>600</v>
      </c>
      <c r="BL42" s="233">
        <f t="shared" si="143"/>
        <v>600</v>
      </c>
      <c r="BM42" s="233">
        <f t="shared" si="144"/>
        <v>600</v>
      </c>
      <c r="BN42" s="233">
        <f t="shared" si="145"/>
        <v>600</v>
      </c>
      <c r="BO42" s="233">
        <f t="shared" si="146"/>
        <v>600</v>
      </c>
      <c r="BP42" s="233">
        <f t="shared" si="147"/>
        <v>600</v>
      </c>
      <c r="BQ42" s="233">
        <f t="shared" si="148"/>
        <v>600</v>
      </c>
      <c r="BR42" s="233">
        <f t="shared" si="149"/>
        <v>600</v>
      </c>
      <c r="BS42" s="233">
        <f t="shared" si="150"/>
        <v>600</v>
      </c>
      <c r="BT42" s="233">
        <f t="shared" si="151"/>
        <v>600</v>
      </c>
      <c r="BU42" s="233">
        <f t="shared" si="152"/>
        <v>600</v>
      </c>
      <c r="BV42" s="233">
        <f t="shared" si="153"/>
        <v>600</v>
      </c>
      <c r="BW42" s="233">
        <f t="shared" si="154"/>
        <v>600</v>
      </c>
      <c r="BX42" s="233">
        <f t="shared" si="155"/>
        <v>600</v>
      </c>
      <c r="BY42" s="233">
        <f t="shared" si="156"/>
        <v>600</v>
      </c>
      <c r="BZ42" s="234">
        <f t="shared" si="157"/>
        <v>600</v>
      </c>
      <c r="CA42" s="233">
        <f t="shared" si="158"/>
        <v>600</v>
      </c>
      <c r="CB42" s="233">
        <f t="shared" si="159"/>
        <v>600</v>
      </c>
      <c r="CC42" s="233">
        <f t="shared" si="160"/>
        <v>600</v>
      </c>
      <c r="CD42" s="233">
        <f t="shared" si="161"/>
        <v>600</v>
      </c>
      <c r="CE42" s="233">
        <f t="shared" si="162"/>
        <v>600</v>
      </c>
      <c r="CF42" s="233">
        <f t="shared" si="163"/>
        <v>600</v>
      </c>
      <c r="CG42" s="233">
        <f t="shared" si="164"/>
        <v>600</v>
      </c>
      <c r="CH42" s="234">
        <f t="shared" si="165"/>
        <v>600</v>
      </c>
      <c r="CI42" s="306">
        <f t="shared" si="173"/>
        <v>9600</v>
      </c>
      <c r="CJ42" s="304">
        <f t="shared" si="174"/>
        <v>4800</v>
      </c>
      <c r="CK42" s="307">
        <f t="shared" si="175"/>
        <v>14400</v>
      </c>
      <c r="CL42" s="333">
        <f t="shared" si="168"/>
        <v>1.0000000149011612</v>
      </c>
      <c r="CM42" s="330">
        <f t="shared" si="169"/>
        <v>0.9999999925494194</v>
      </c>
    </row>
    <row r="43" spans="1:91">
      <c r="A43" s="311">
        <v>7</v>
      </c>
      <c r="B43" s="355">
        <f t="shared" si="176"/>
        <v>36708</v>
      </c>
      <c r="C43" s="239">
        <f t="shared" si="200"/>
        <v>57.325000000000003</v>
      </c>
      <c r="D43" s="239">
        <f t="shared" si="201"/>
        <v>23.583064516129031</v>
      </c>
      <c r="E43" s="229">
        <v>7</v>
      </c>
      <c r="F43" s="290">
        <f t="shared" si="177"/>
        <v>64.910574677586553</v>
      </c>
      <c r="G43" s="291">
        <f t="shared" si="178"/>
        <v>64.7118446469307</v>
      </c>
      <c r="H43" s="291">
        <f t="shared" si="179"/>
        <v>63.779301193356517</v>
      </c>
      <c r="I43" s="291">
        <f t="shared" si="180"/>
        <v>63.179810437560086</v>
      </c>
      <c r="J43" s="291">
        <f t="shared" si="181"/>
        <v>62.613620167970659</v>
      </c>
      <c r="K43" s="291">
        <f t="shared" si="182"/>
        <v>61.02985505759716</v>
      </c>
      <c r="L43" s="291">
        <f t="shared" si="183"/>
        <v>61.026527059078219</v>
      </c>
      <c r="M43" s="291">
        <f t="shared" si="184"/>
        <v>59.263138866424562</v>
      </c>
      <c r="N43" s="291">
        <f t="shared" si="185"/>
        <v>59.263138866424562</v>
      </c>
      <c r="O43" s="291">
        <f t="shared" si="186"/>
        <v>58.974115520715714</v>
      </c>
      <c r="P43" s="291">
        <f t="shared" si="187"/>
        <v>56.918372566998009</v>
      </c>
      <c r="Q43" s="291">
        <f t="shared" si="188"/>
        <v>53.802638167142874</v>
      </c>
      <c r="R43" s="291">
        <f t="shared" si="189"/>
        <v>50.839779855310923</v>
      </c>
      <c r="S43" s="291">
        <f t="shared" si="190"/>
        <v>50.365693823993212</v>
      </c>
      <c r="T43" s="291">
        <f t="shared" si="191"/>
        <v>46.047533741593362</v>
      </c>
      <c r="U43" s="292">
        <f t="shared" si="192"/>
        <v>40.474058768153192</v>
      </c>
      <c r="V43" s="291">
        <f t="shared" si="192"/>
        <v>28.657627098214242</v>
      </c>
      <c r="W43" s="291">
        <f t="shared" si="193"/>
        <v>25.279803187424136</v>
      </c>
      <c r="X43" s="291">
        <f t="shared" si="194"/>
        <v>23.815996465086936</v>
      </c>
      <c r="Y43" s="291">
        <f t="shared" si="195"/>
        <v>23.15367047166632</v>
      </c>
      <c r="Z43" s="291">
        <f t="shared" si="196"/>
        <v>22.600896010283499</v>
      </c>
      <c r="AA43" s="291">
        <f t="shared" si="197"/>
        <v>22.174600040864558</v>
      </c>
      <c r="AB43" s="291">
        <f t="shared" si="198"/>
        <v>21.56201895566717</v>
      </c>
      <c r="AC43" s="292">
        <f t="shared" si="199"/>
        <v>21.419901088505021</v>
      </c>
      <c r="AE43" s="229">
        <v>11</v>
      </c>
      <c r="AF43" s="232">
        <f t="shared" si="118"/>
        <v>150</v>
      </c>
      <c r="AG43" s="233">
        <f t="shared" si="119"/>
        <v>150</v>
      </c>
      <c r="AH43" s="233">
        <f t="shared" si="120"/>
        <v>150</v>
      </c>
      <c r="AI43" s="233">
        <f t="shared" si="121"/>
        <v>150</v>
      </c>
      <c r="AJ43" s="233">
        <f t="shared" si="122"/>
        <v>150</v>
      </c>
      <c r="AK43" s="233">
        <f t="shared" si="123"/>
        <v>150</v>
      </c>
      <c r="AL43" s="233">
        <f t="shared" si="124"/>
        <v>150</v>
      </c>
      <c r="AM43" s="233">
        <f t="shared" si="125"/>
        <v>150</v>
      </c>
      <c r="AN43" s="233">
        <f t="shared" si="126"/>
        <v>150</v>
      </c>
      <c r="AO43" s="233">
        <f t="shared" si="127"/>
        <v>150</v>
      </c>
      <c r="AP43" s="233">
        <f t="shared" si="128"/>
        <v>150</v>
      </c>
      <c r="AQ43" s="233">
        <f t="shared" si="129"/>
        <v>150</v>
      </c>
      <c r="AR43" s="233">
        <f t="shared" si="130"/>
        <v>150</v>
      </c>
      <c r="AS43" s="233">
        <f t="shared" si="131"/>
        <v>150</v>
      </c>
      <c r="AT43" s="233">
        <f t="shared" si="132"/>
        <v>150</v>
      </c>
      <c r="AU43" s="234">
        <f t="shared" si="133"/>
        <v>150</v>
      </c>
      <c r="AV43" s="233">
        <f t="shared" si="134"/>
        <v>150</v>
      </c>
      <c r="AW43" s="233">
        <f t="shared" si="135"/>
        <v>150</v>
      </c>
      <c r="AX43" s="233">
        <f t="shared" si="136"/>
        <v>150</v>
      </c>
      <c r="AY43" s="233">
        <f t="shared" si="137"/>
        <v>150</v>
      </c>
      <c r="AZ43" s="233">
        <f t="shared" si="138"/>
        <v>150</v>
      </c>
      <c r="BA43" s="233">
        <f t="shared" si="139"/>
        <v>150</v>
      </c>
      <c r="BB43" s="233">
        <f t="shared" si="140"/>
        <v>150</v>
      </c>
      <c r="BC43" s="234">
        <f t="shared" si="141"/>
        <v>150</v>
      </c>
      <c r="BD43" s="306">
        <f t="shared" si="170"/>
        <v>2400</v>
      </c>
      <c r="BE43" s="304">
        <f t="shared" si="171"/>
        <v>1200</v>
      </c>
      <c r="BF43" s="307">
        <f t="shared" si="172"/>
        <v>3600</v>
      </c>
      <c r="BG43" s="333">
        <f t="shared" si="166"/>
        <v>1</v>
      </c>
      <c r="BH43" s="330">
        <f t="shared" si="167"/>
        <v>0.9999999925494194</v>
      </c>
      <c r="BJ43" s="229">
        <v>11</v>
      </c>
      <c r="BK43" s="232">
        <f t="shared" si="142"/>
        <v>600</v>
      </c>
      <c r="BL43" s="233">
        <f t="shared" si="143"/>
        <v>600</v>
      </c>
      <c r="BM43" s="233">
        <f t="shared" si="144"/>
        <v>600</v>
      </c>
      <c r="BN43" s="233">
        <f t="shared" si="145"/>
        <v>600</v>
      </c>
      <c r="BO43" s="233">
        <f t="shared" si="146"/>
        <v>600</v>
      </c>
      <c r="BP43" s="233">
        <f t="shared" si="147"/>
        <v>600</v>
      </c>
      <c r="BQ43" s="233">
        <f t="shared" si="148"/>
        <v>600</v>
      </c>
      <c r="BR43" s="233">
        <f t="shared" si="149"/>
        <v>600</v>
      </c>
      <c r="BS43" s="233">
        <f t="shared" si="150"/>
        <v>600</v>
      </c>
      <c r="BT43" s="233">
        <f t="shared" si="151"/>
        <v>600</v>
      </c>
      <c r="BU43" s="233">
        <f t="shared" si="152"/>
        <v>600</v>
      </c>
      <c r="BV43" s="233">
        <f t="shared" si="153"/>
        <v>600</v>
      </c>
      <c r="BW43" s="233">
        <f t="shared" si="154"/>
        <v>600</v>
      </c>
      <c r="BX43" s="233">
        <f t="shared" si="155"/>
        <v>600</v>
      </c>
      <c r="BY43" s="233">
        <f t="shared" si="156"/>
        <v>600</v>
      </c>
      <c r="BZ43" s="234">
        <f t="shared" si="157"/>
        <v>600</v>
      </c>
      <c r="CA43" s="233">
        <f t="shared" si="158"/>
        <v>600</v>
      </c>
      <c r="CB43" s="233">
        <f t="shared" si="159"/>
        <v>600</v>
      </c>
      <c r="CC43" s="233">
        <f t="shared" si="160"/>
        <v>600</v>
      </c>
      <c r="CD43" s="233">
        <f t="shared" si="161"/>
        <v>600</v>
      </c>
      <c r="CE43" s="233">
        <f t="shared" si="162"/>
        <v>600</v>
      </c>
      <c r="CF43" s="233">
        <f t="shared" si="163"/>
        <v>600</v>
      </c>
      <c r="CG43" s="233">
        <f t="shared" si="164"/>
        <v>600</v>
      </c>
      <c r="CH43" s="234">
        <f t="shared" si="165"/>
        <v>600</v>
      </c>
      <c r="CI43" s="306">
        <f t="shared" si="173"/>
        <v>9600</v>
      </c>
      <c r="CJ43" s="304">
        <f t="shared" si="174"/>
        <v>4800</v>
      </c>
      <c r="CK43" s="307">
        <f t="shared" si="175"/>
        <v>14400</v>
      </c>
      <c r="CL43" s="333">
        <f t="shared" si="168"/>
        <v>1</v>
      </c>
      <c r="CM43" s="330">
        <f t="shared" si="169"/>
        <v>0.9999999925494194</v>
      </c>
    </row>
    <row r="44" spans="1:91" ht="13.5" thickBot="1">
      <c r="A44" s="311">
        <v>8</v>
      </c>
      <c r="B44" s="355">
        <f t="shared" si="176"/>
        <v>36739</v>
      </c>
      <c r="C44" s="239">
        <f t="shared" si="200"/>
        <v>77.875</v>
      </c>
      <c r="D44" s="239">
        <f t="shared" si="201"/>
        <v>21.411290322580648</v>
      </c>
      <c r="E44" s="229">
        <v>8</v>
      </c>
      <c r="F44" s="290">
        <f t="shared" si="177"/>
        <v>87.655095860362053</v>
      </c>
      <c r="G44" s="291">
        <f t="shared" si="178"/>
        <v>87.612958401441574</v>
      </c>
      <c r="H44" s="291">
        <f t="shared" si="179"/>
        <v>87.226749420166016</v>
      </c>
      <c r="I44" s="291">
        <f t="shared" si="180"/>
        <v>85.863831460475922</v>
      </c>
      <c r="J44" s="291">
        <f t="shared" si="181"/>
        <v>85.201839819550514</v>
      </c>
      <c r="K44" s="291">
        <f t="shared" si="182"/>
        <v>81.928309768438339</v>
      </c>
      <c r="L44" s="291">
        <f t="shared" si="183"/>
        <v>81.488182663917542</v>
      </c>
      <c r="M44" s="291">
        <f t="shared" si="184"/>
        <v>79.446590751409531</v>
      </c>
      <c r="N44" s="291">
        <f t="shared" si="185"/>
        <v>78.725380152463913</v>
      </c>
      <c r="O44" s="291">
        <f t="shared" si="186"/>
        <v>77.965782597661018</v>
      </c>
      <c r="P44" s="291">
        <f t="shared" si="187"/>
        <v>76.977613233029842</v>
      </c>
      <c r="Q44" s="291">
        <f t="shared" si="188"/>
        <v>73.480747222900391</v>
      </c>
      <c r="R44" s="291">
        <f t="shared" si="189"/>
        <v>71.923128023743629</v>
      </c>
      <c r="S44" s="291">
        <f t="shared" si="190"/>
        <v>69.314114704728127</v>
      </c>
      <c r="T44" s="291">
        <f t="shared" si="191"/>
        <v>64.234002605080605</v>
      </c>
      <c r="U44" s="292">
        <f t="shared" si="192"/>
        <v>56.95565938949585</v>
      </c>
      <c r="V44" s="291">
        <f t="shared" si="192"/>
        <v>25.23154522142103</v>
      </c>
      <c r="W44" s="291">
        <f t="shared" si="193"/>
        <v>22.878538903690156</v>
      </c>
      <c r="X44" s="291">
        <f t="shared" si="194"/>
        <v>22.263126334836407</v>
      </c>
      <c r="Y44" s="291">
        <f t="shared" si="195"/>
        <v>21.088519627528807</v>
      </c>
      <c r="Z44" s="291">
        <f t="shared" si="196"/>
        <v>20.395263209939007</v>
      </c>
      <c r="AA44" s="291">
        <f t="shared" si="197"/>
        <v>20.033610153102106</v>
      </c>
      <c r="AB44" s="291">
        <f t="shared" si="198"/>
        <v>19.699860203170008</v>
      </c>
      <c r="AC44" s="292">
        <f t="shared" si="199"/>
        <v>19.699860203170008</v>
      </c>
      <c r="AE44" s="240">
        <v>12</v>
      </c>
      <c r="AF44" s="241">
        <f t="shared" si="118"/>
        <v>150</v>
      </c>
      <c r="AG44" s="242">
        <f t="shared" si="119"/>
        <v>150</v>
      </c>
      <c r="AH44" s="242">
        <f t="shared" si="120"/>
        <v>150</v>
      </c>
      <c r="AI44" s="242">
        <f t="shared" si="121"/>
        <v>150</v>
      </c>
      <c r="AJ44" s="242">
        <f t="shared" si="122"/>
        <v>150</v>
      </c>
      <c r="AK44" s="242">
        <f t="shared" si="123"/>
        <v>150</v>
      </c>
      <c r="AL44" s="242">
        <f t="shared" si="124"/>
        <v>150</v>
      </c>
      <c r="AM44" s="242">
        <f t="shared" si="125"/>
        <v>150</v>
      </c>
      <c r="AN44" s="242">
        <f t="shared" si="126"/>
        <v>150</v>
      </c>
      <c r="AO44" s="242">
        <f t="shared" si="127"/>
        <v>150</v>
      </c>
      <c r="AP44" s="242">
        <f t="shared" si="128"/>
        <v>150</v>
      </c>
      <c r="AQ44" s="242">
        <f t="shared" si="129"/>
        <v>150</v>
      </c>
      <c r="AR44" s="242">
        <f t="shared" si="130"/>
        <v>150</v>
      </c>
      <c r="AS44" s="242">
        <f t="shared" si="131"/>
        <v>150</v>
      </c>
      <c r="AT44" s="242">
        <f t="shared" si="132"/>
        <v>150</v>
      </c>
      <c r="AU44" s="243">
        <f t="shared" si="133"/>
        <v>150</v>
      </c>
      <c r="AV44" s="242">
        <f t="shared" si="134"/>
        <v>150</v>
      </c>
      <c r="AW44" s="242">
        <f t="shared" si="135"/>
        <v>150</v>
      </c>
      <c r="AX44" s="242">
        <f t="shared" si="136"/>
        <v>150</v>
      </c>
      <c r="AY44" s="242">
        <f t="shared" si="137"/>
        <v>150</v>
      </c>
      <c r="AZ44" s="242">
        <f t="shared" si="138"/>
        <v>150</v>
      </c>
      <c r="BA44" s="242">
        <f t="shared" si="139"/>
        <v>150</v>
      </c>
      <c r="BB44" s="242">
        <f t="shared" si="140"/>
        <v>150</v>
      </c>
      <c r="BC44" s="243">
        <f t="shared" si="141"/>
        <v>150</v>
      </c>
      <c r="BD44" s="308">
        <f t="shared" si="170"/>
        <v>2400</v>
      </c>
      <c r="BE44" s="305">
        <f t="shared" si="171"/>
        <v>1200</v>
      </c>
      <c r="BF44" s="309">
        <f t="shared" si="172"/>
        <v>3600</v>
      </c>
      <c r="BG44" s="334">
        <f t="shared" si="166"/>
        <v>1</v>
      </c>
      <c r="BH44" s="331">
        <f t="shared" si="167"/>
        <v>1</v>
      </c>
      <c r="BJ44" s="240">
        <v>12</v>
      </c>
      <c r="BK44" s="241">
        <f t="shared" si="142"/>
        <v>600</v>
      </c>
      <c r="BL44" s="242">
        <f t="shared" si="143"/>
        <v>600</v>
      </c>
      <c r="BM44" s="242">
        <f t="shared" si="144"/>
        <v>600</v>
      </c>
      <c r="BN44" s="242">
        <f t="shared" si="145"/>
        <v>600</v>
      </c>
      <c r="BO44" s="242">
        <f t="shared" si="146"/>
        <v>600</v>
      </c>
      <c r="BP44" s="242">
        <f t="shared" si="147"/>
        <v>600</v>
      </c>
      <c r="BQ44" s="242">
        <f t="shared" si="148"/>
        <v>600</v>
      </c>
      <c r="BR44" s="242">
        <f t="shared" si="149"/>
        <v>600</v>
      </c>
      <c r="BS44" s="242">
        <f t="shared" si="150"/>
        <v>600</v>
      </c>
      <c r="BT44" s="242">
        <f t="shared" si="151"/>
        <v>600</v>
      </c>
      <c r="BU44" s="242">
        <f t="shared" si="152"/>
        <v>600</v>
      </c>
      <c r="BV44" s="242">
        <f t="shared" si="153"/>
        <v>600</v>
      </c>
      <c r="BW44" s="242">
        <f t="shared" si="154"/>
        <v>600</v>
      </c>
      <c r="BX44" s="242">
        <f t="shared" si="155"/>
        <v>600</v>
      </c>
      <c r="BY44" s="242">
        <f t="shared" si="156"/>
        <v>600</v>
      </c>
      <c r="BZ44" s="243">
        <f t="shared" si="157"/>
        <v>600</v>
      </c>
      <c r="CA44" s="242">
        <f t="shared" si="158"/>
        <v>600</v>
      </c>
      <c r="CB44" s="242">
        <f t="shared" si="159"/>
        <v>600</v>
      </c>
      <c r="CC44" s="242">
        <f t="shared" si="160"/>
        <v>600</v>
      </c>
      <c r="CD44" s="242">
        <f t="shared" si="161"/>
        <v>600</v>
      </c>
      <c r="CE44" s="242">
        <f t="shared" si="162"/>
        <v>600</v>
      </c>
      <c r="CF44" s="242">
        <f t="shared" si="163"/>
        <v>600</v>
      </c>
      <c r="CG44" s="242">
        <f t="shared" si="164"/>
        <v>600</v>
      </c>
      <c r="CH44" s="243">
        <f t="shared" si="165"/>
        <v>600</v>
      </c>
      <c r="CI44" s="308">
        <f t="shared" si="173"/>
        <v>9600</v>
      </c>
      <c r="CJ44" s="305">
        <f t="shared" si="174"/>
        <v>4800</v>
      </c>
      <c r="CK44" s="309">
        <f t="shared" si="175"/>
        <v>14400</v>
      </c>
      <c r="CL44" s="334">
        <f t="shared" si="168"/>
        <v>1</v>
      </c>
      <c r="CM44" s="331">
        <f t="shared" si="169"/>
        <v>1</v>
      </c>
    </row>
    <row r="45" spans="1:91" ht="16.5" thickBot="1">
      <c r="A45" s="311">
        <v>9</v>
      </c>
      <c r="B45" s="355">
        <f t="shared" si="176"/>
        <v>36770</v>
      </c>
      <c r="C45" s="239">
        <f t="shared" si="200"/>
        <v>61.875</v>
      </c>
      <c r="D45" s="239">
        <f t="shared" si="201"/>
        <v>23.197916666666664</v>
      </c>
      <c r="E45" s="229">
        <v>9</v>
      </c>
      <c r="F45" s="290">
        <f t="shared" si="177"/>
        <v>66.454598307609558</v>
      </c>
      <c r="G45" s="291">
        <f t="shared" si="178"/>
        <v>66.34959988296032</v>
      </c>
      <c r="H45" s="291">
        <f t="shared" si="179"/>
        <v>66.115689799189568</v>
      </c>
      <c r="I45" s="291">
        <f t="shared" si="180"/>
        <v>66.060937196016312</v>
      </c>
      <c r="J45" s="291">
        <f t="shared" si="181"/>
        <v>65.919205918908119</v>
      </c>
      <c r="K45" s="291">
        <f t="shared" si="182"/>
        <v>65.057370588183403</v>
      </c>
      <c r="L45" s="291">
        <f t="shared" si="183"/>
        <v>63.85372057557106</v>
      </c>
      <c r="M45" s="291">
        <f t="shared" si="184"/>
        <v>63.85372057557106</v>
      </c>
      <c r="N45" s="291">
        <f t="shared" si="185"/>
        <v>63.607514575123787</v>
      </c>
      <c r="O45" s="291">
        <f t="shared" si="186"/>
        <v>63.434552997350693</v>
      </c>
      <c r="P45" s="291">
        <f t="shared" si="187"/>
        <v>62.672397941350937</v>
      </c>
      <c r="Q45" s="291">
        <f t="shared" si="188"/>
        <v>61.323553584516048</v>
      </c>
      <c r="R45" s="291">
        <f t="shared" si="189"/>
        <v>57.528079971671104</v>
      </c>
      <c r="S45" s="291">
        <f t="shared" si="190"/>
        <v>56.859033107757568</v>
      </c>
      <c r="T45" s="291">
        <f t="shared" si="191"/>
        <v>52.755482979118824</v>
      </c>
      <c r="U45" s="292">
        <f t="shared" si="192"/>
        <v>48.154534623026848</v>
      </c>
      <c r="V45" s="291">
        <f t="shared" si="192"/>
        <v>27.416962873190638</v>
      </c>
      <c r="W45" s="291">
        <f t="shared" si="193"/>
        <v>24.274251850942768</v>
      </c>
      <c r="X45" s="291">
        <f t="shared" si="194"/>
        <v>23.898679138471682</v>
      </c>
      <c r="Y45" s="291">
        <f t="shared" si="195"/>
        <v>22.871782520785924</v>
      </c>
      <c r="Z45" s="291">
        <f t="shared" si="196"/>
        <v>22.347779344146449</v>
      </c>
      <c r="AA45" s="291">
        <f t="shared" si="197"/>
        <v>21.938240518172581</v>
      </c>
      <c r="AB45" s="291">
        <f t="shared" si="198"/>
        <v>21.421833915015061</v>
      </c>
      <c r="AC45" s="292">
        <f t="shared" si="199"/>
        <v>21.413801789904632</v>
      </c>
      <c r="AE45" s="258" t="s">
        <v>224</v>
      </c>
      <c r="AF45" s="226" t="s">
        <v>360</v>
      </c>
      <c r="AG45" s="227"/>
      <c r="AH45" s="227"/>
      <c r="AI45" s="227"/>
      <c r="AJ45" s="227"/>
      <c r="AK45" s="227"/>
      <c r="AL45" s="227"/>
      <c r="AM45" s="227"/>
      <c r="AN45" s="227"/>
      <c r="AO45" s="227"/>
      <c r="AP45" s="227"/>
      <c r="AQ45" s="227"/>
      <c r="AR45" s="227"/>
      <c r="AS45" s="227"/>
      <c r="AT45" s="227"/>
      <c r="AU45" s="228"/>
      <c r="AV45" s="227" t="s">
        <v>344</v>
      </c>
      <c r="AW45" s="227"/>
      <c r="AX45" s="227"/>
      <c r="AY45" s="227"/>
      <c r="AZ45" s="227"/>
      <c r="BA45" s="227"/>
      <c r="BB45" s="227"/>
      <c r="BC45" s="228"/>
      <c r="BD45" s="299"/>
      <c r="BE45" s="302" t="s">
        <v>304</v>
      </c>
      <c r="BF45" s="220"/>
      <c r="BG45" s="332"/>
      <c r="BH45" s="332"/>
      <c r="BJ45" s="258" t="s">
        <v>224</v>
      </c>
      <c r="BK45" s="226" t="s">
        <v>360</v>
      </c>
      <c r="BL45" s="227"/>
      <c r="BM45" s="227"/>
      <c r="BN45" s="227"/>
      <c r="BO45" s="227"/>
      <c r="BP45" s="227"/>
      <c r="BQ45" s="227"/>
      <c r="BR45" s="227"/>
      <c r="BS45" s="227"/>
      <c r="BT45" s="227"/>
      <c r="BU45" s="227"/>
      <c r="BV45" s="227"/>
      <c r="BW45" s="227"/>
      <c r="BX45" s="227"/>
      <c r="BY45" s="227"/>
      <c r="BZ45" s="228"/>
      <c r="CA45" s="227" t="s">
        <v>344</v>
      </c>
      <c r="CB45" s="227"/>
      <c r="CC45" s="227"/>
      <c r="CD45" s="227"/>
      <c r="CE45" s="227"/>
      <c r="CF45" s="227"/>
      <c r="CG45" s="227"/>
      <c r="CH45" s="228"/>
      <c r="CI45" s="299"/>
      <c r="CJ45" s="302" t="s">
        <v>304</v>
      </c>
      <c r="CK45" s="220"/>
      <c r="CL45" s="332"/>
      <c r="CM45" s="332"/>
    </row>
    <row r="46" spans="1:91" ht="13.5" thickBot="1">
      <c r="A46" s="311">
        <v>10</v>
      </c>
      <c r="B46" s="355">
        <f t="shared" si="176"/>
        <v>36800</v>
      </c>
      <c r="C46" s="239">
        <f t="shared" si="200"/>
        <v>43.125</v>
      </c>
      <c r="D46" s="239">
        <f t="shared" si="201"/>
        <v>22.300403225806452</v>
      </c>
      <c r="E46" s="229">
        <v>10</v>
      </c>
      <c r="F46" s="290">
        <f t="shared" si="177"/>
        <v>47.888774424791336</v>
      </c>
      <c r="G46" s="291">
        <f t="shared" si="178"/>
        <v>46.983878239989281</v>
      </c>
      <c r="H46" s="291">
        <f t="shared" si="179"/>
        <v>44.928335398435593</v>
      </c>
      <c r="I46" s="291">
        <f t="shared" si="180"/>
        <v>44.321549758315086</v>
      </c>
      <c r="J46" s="291">
        <f t="shared" si="181"/>
        <v>43.852910399436951</v>
      </c>
      <c r="K46" s="291">
        <f t="shared" si="182"/>
        <v>43.457878455519676</v>
      </c>
      <c r="L46" s="291">
        <f t="shared" si="183"/>
        <v>43.457878455519676</v>
      </c>
      <c r="M46" s="291">
        <f t="shared" si="184"/>
        <v>43.457878455519676</v>
      </c>
      <c r="N46" s="291">
        <f t="shared" si="185"/>
        <v>43.09363279491663</v>
      </c>
      <c r="O46" s="291">
        <f t="shared" si="186"/>
        <v>43.024577647447586</v>
      </c>
      <c r="P46" s="291">
        <f t="shared" si="187"/>
        <v>42.89892889559269</v>
      </c>
      <c r="Q46" s="291">
        <f t="shared" si="188"/>
        <v>42.805313095450401</v>
      </c>
      <c r="R46" s="291">
        <f t="shared" si="189"/>
        <v>42.805313095450401</v>
      </c>
      <c r="S46" s="291">
        <f t="shared" si="190"/>
        <v>40.0831213966012</v>
      </c>
      <c r="T46" s="291">
        <f t="shared" si="191"/>
        <v>39.944592118263245</v>
      </c>
      <c r="U46" s="292">
        <f t="shared" si="192"/>
        <v>36.995447650551796</v>
      </c>
      <c r="V46" s="291">
        <f t="shared" si="192"/>
        <v>25.800092557985938</v>
      </c>
      <c r="W46" s="291">
        <f t="shared" si="193"/>
        <v>23.479631026666009</v>
      </c>
      <c r="X46" s="291">
        <f t="shared" si="194"/>
        <v>23.192952845606111</v>
      </c>
      <c r="Y46" s="291">
        <f t="shared" si="195"/>
        <v>22.352470946408086</v>
      </c>
      <c r="Z46" s="291">
        <f t="shared" si="196"/>
        <v>21.294672906999626</v>
      </c>
      <c r="AA46" s="291">
        <f t="shared" si="197"/>
        <v>21.096995809265682</v>
      </c>
      <c r="AB46" s="291">
        <f t="shared" si="198"/>
        <v>20.650316920251615</v>
      </c>
      <c r="AC46" s="292">
        <f t="shared" si="199"/>
        <v>20.536091464060931</v>
      </c>
      <c r="AE46" s="229" t="s">
        <v>307</v>
      </c>
      <c r="AF46" s="229">
        <v>1</v>
      </c>
      <c r="AG46" s="164">
        <v>2</v>
      </c>
      <c r="AH46" s="164">
        <v>3</v>
      </c>
      <c r="AI46" s="164">
        <v>4</v>
      </c>
      <c r="AJ46" s="164">
        <v>5</v>
      </c>
      <c r="AK46" s="164">
        <v>6</v>
      </c>
      <c r="AL46" s="164">
        <v>7</v>
      </c>
      <c r="AM46" s="164">
        <v>8</v>
      </c>
      <c r="AN46" s="164">
        <v>9</v>
      </c>
      <c r="AO46" s="164">
        <v>10</v>
      </c>
      <c r="AP46" s="164">
        <v>11</v>
      </c>
      <c r="AQ46" s="164">
        <v>12</v>
      </c>
      <c r="AR46" s="164">
        <v>13</v>
      </c>
      <c r="AS46" s="164">
        <v>14</v>
      </c>
      <c r="AT46" s="164">
        <v>15</v>
      </c>
      <c r="AU46" s="230">
        <v>16</v>
      </c>
      <c r="AV46" s="164">
        <v>1</v>
      </c>
      <c r="AW46" s="164">
        <v>2</v>
      </c>
      <c r="AX46" s="164">
        <v>3</v>
      </c>
      <c r="AY46" s="164">
        <v>4</v>
      </c>
      <c r="AZ46" s="164">
        <v>5</v>
      </c>
      <c r="BA46" s="164">
        <v>6</v>
      </c>
      <c r="BB46" s="164">
        <v>7</v>
      </c>
      <c r="BC46" s="230">
        <v>8</v>
      </c>
      <c r="BD46" s="300" t="s">
        <v>360</v>
      </c>
      <c r="BE46" s="303" t="s">
        <v>360</v>
      </c>
      <c r="BF46" s="301" t="s">
        <v>73</v>
      </c>
      <c r="BG46" s="326" t="s">
        <v>360</v>
      </c>
      <c r="BH46" s="326" t="s">
        <v>344</v>
      </c>
      <c r="BJ46" s="229" t="s">
        <v>307</v>
      </c>
      <c r="BK46" s="229">
        <v>1</v>
      </c>
      <c r="BL46" s="164">
        <v>2</v>
      </c>
      <c r="BM46" s="164">
        <v>3</v>
      </c>
      <c r="BN46" s="164">
        <v>4</v>
      </c>
      <c r="BO46" s="164">
        <v>5</v>
      </c>
      <c r="BP46" s="164">
        <v>6</v>
      </c>
      <c r="BQ46" s="164">
        <v>7</v>
      </c>
      <c r="BR46" s="164">
        <v>8</v>
      </c>
      <c r="BS46" s="164">
        <v>9</v>
      </c>
      <c r="BT46" s="164">
        <v>10</v>
      </c>
      <c r="BU46" s="164">
        <v>11</v>
      </c>
      <c r="BV46" s="164">
        <v>12</v>
      </c>
      <c r="BW46" s="164">
        <v>13</v>
      </c>
      <c r="BX46" s="164">
        <v>14</v>
      </c>
      <c r="BY46" s="164">
        <v>15</v>
      </c>
      <c r="BZ46" s="230">
        <v>16</v>
      </c>
      <c r="CA46" s="164">
        <v>1</v>
      </c>
      <c r="CB46" s="164">
        <v>2</v>
      </c>
      <c r="CC46" s="164">
        <v>3</v>
      </c>
      <c r="CD46" s="164">
        <v>4</v>
      </c>
      <c r="CE46" s="164">
        <v>5</v>
      </c>
      <c r="CF46" s="164">
        <v>6</v>
      </c>
      <c r="CG46" s="164">
        <v>7</v>
      </c>
      <c r="CH46" s="230">
        <v>8</v>
      </c>
      <c r="CI46" s="300" t="s">
        <v>360</v>
      </c>
      <c r="CJ46" s="303" t="s">
        <v>360</v>
      </c>
      <c r="CK46" s="301" t="s">
        <v>73</v>
      </c>
      <c r="CL46" s="326" t="s">
        <v>360</v>
      </c>
      <c r="CM46" s="326" t="s">
        <v>344</v>
      </c>
    </row>
    <row r="47" spans="1:91">
      <c r="A47" s="311">
        <v>11</v>
      </c>
      <c r="B47" s="355">
        <f t="shared" si="176"/>
        <v>36831</v>
      </c>
      <c r="C47" s="239">
        <f t="shared" si="200"/>
        <v>35.375</v>
      </c>
      <c r="D47" s="239">
        <f t="shared" si="201"/>
        <v>24.15625</v>
      </c>
      <c r="E47" s="229">
        <v>11</v>
      </c>
      <c r="F47" s="290">
        <f t="shared" si="177"/>
        <v>40.453782632946968</v>
      </c>
      <c r="G47" s="291">
        <f t="shared" si="178"/>
        <v>39.415394157171249</v>
      </c>
      <c r="H47" s="291">
        <f t="shared" si="179"/>
        <v>37.674377024173737</v>
      </c>
      <c r="I47" s="291">
        <f t="shared" si="180"/>
        <v>37.32420340180397</v>
      </c>
      <c r="J47" s="291">
        <f t="shared" si="181"/>
        <v>36.809198781847954</v>
      </c>
      <c r="K47" s="291">
        <f t="shared" si="182"/>
        <v>36.605512082576752</v>
      </c>
      <c r="L47" s="291">
        <f t="shared" si="183"/>
        <v>36.542842820286751</v>
      </c>
      <c r="M47" s="291">
        <f t="shared" si="184"/>
        <v>35.659818112850189</v>
      </c>
      <c r="N47" s="291">
        <f t="shared" si="185"/>
        <v>35.550293445587158</v>
      </c>
      <c r="O47" s="291">
        <f t="shared" si="186"/>
        <v>35.03420926630497</v>
      </c>
      <c r="P47" s="291">
        <f t="shared" si="187"/>
        <v>33.877229511737823</v>
      </c>
      <c r="Q47" s="291">
        <f t="shared" si="188"/>
        <v>32.80641208589077</v>
      </c>
      <c r="R47" s="291">
        <f t="shared" si="189"/>
        <v>32.80641208589077</v>
      </c>
      <c r="S47" s="291">
        <f t="shared" si="190"/>
        <v>32.56238529086113</v>
      </c>
      <c r="T47" s="291">
        <f t="shared" si="191"/>
        <v>32.428994350135326</v>
      </c>
      <c r="U47" s="292">
        <f t="shared" si="192"/>
        <v>30.448934949934483</v>
      </c>
      <c r="V47" s="291">
        <f t="shared" si="192"/>
        <v>27.495019182562828</v>
      </c>
      <c r="W47" s="291">
        <f t="shared" si="193"/>
        <v>27.157953340560198</v>
      </c>
      <c r="X47" s="291">
        <f t="shared" si="194"/>
        <v>23.954635666683316</v>
      </c>
      <c r="Y47" s="291">
        <f t="shared" si="195"/>
        <v>23.872061720117927</v>
      </c>
      <c r="Z47" s="291">
        <f t="shared" si="196"/>
        <v>23.603724470362067</v>
      </c>
      <c r="AA47" s="291">
        <f t="shared" si="197"/>
        <v>22.70625869743526</v>
      </c>
      <c r="AB47" s="291">
        <f t="shared" si="198"/>
        <v>22.311679057776928</v>
      </c>
      <c r="AC47" s="292">
        <f t="shared" si="199"/>
        <v>22.148666424676776</v>
      </c>
      <c r="AE47" s="229">
        <v>1</v>
      </c>
      <c r="AF47" s="235">
        <f t="shared" ref="AF47:AF58" si="202">IF(WeekDef=8,IF(CustomHoFlag,IF(CustomHoPeriod=4,INDEX(VolumeHourlyOver,F5,4),IF(OR(CustomHoPeriod=1,CustomHoPeriod=2),IF(VolumeMonthlyOverFlag,INDEX(VolumeMonthlyOver,AE47),Volume),0)),0),AF33)</f>
        <v>150</v>
      </c>
      <c r="AG47" s="236">
        <f t="shared" ref="AG47:AG58" si="203">IF(WeekDef=8,IF(CustomHoFlag,IF(CustomHoPeriod=4,INDEX(VolumeHourlyOver,G5,4),IF(OR(CustomHoPeriod=1,CustomHoPeriod=2),IF(VolumeMonthlyOverFlag,INDEX(VolumeMonthlyOver,AE47),Volume),0)),0),AG33)</f>
        <v>150</v>
      </c>
      <c r="AH47" s="236">
        <f t="shared" ref="AH47:AH58" si="204">IF(WeekDef=8,IF(CustomHoFlag,IF(CustomHoPeriod=4,INDEX(VolumeHourlyOver,H5,4),IF(OR(CustomHoPeriod=1,CustomHoPeriod=2),IF(VolumeMonthlyOverFlag,INDEX(VolumeMonthlyOver,AE47),Volume),0)),0),AH33)</f>
        <v>150</v>
      </c>
      <c r="AI47" s="236">
        <f t="shared" ref="AI47:AI58" si="205">IF(WeekDef=8,IF(CustomHoFlag,IF(CustomHoPeriod=4,INDEX(VolumeHourlyOver,I5,4),IF(OR(CustomHoPeriod=1,CustomHoPeriod=2),IF(VolumeMonthlyOverFlag,INDEX(VolumeMonthlyOver,AE47),Volume),0)),0),AI33)</f>
        <v>150</v>
      </c>
      <c r="AJ47" s="236">
        <f t="shared" ref="AJ47:AJ58" si="206">IF(WeekDef=8,IF(CustomHoFlag,IF(CustomHoPeriod=4,INDEX(VolumeHourlyOver,J5,4),IF(OR(CustomHoPeriod=1,CustomHoPeriod=2),IF(VolumeMonthlyOverFlag,INDEX(VolumeMonthlyOver,AE47),Volume),0)),0),AJ33)</f>
        <v>150</v>
      </c>
      <c r="AK47" s="236">
        <f t="shared" ref="AK47:AK58" si="207">IF(WeekDef=8,IF(CustomHoFlag,IF(CustomHoPeriod=4,INDEX(VolumeHourlyOver,K5,4),IF(OR(CustomHoPeriod=1,CustomHoPeriod=2),IF(VolumeMonthlyOverFlag,INDEX(VolumeMonthlyOver,AE47),Volume),0)),0),AK33)</f>
        <v>150</v>
      </c>
      <c r="AL47" s="236">
        <f t="shared" ref="AL47:AL58" si="208">IF(WeekDef=8,IF(CustomHoFlag,IF(CustomHoPeriod=4,INDEX(VolumeHourlyOver,L5,4),IF(OR(CustomHoPeriod=1,CustomHoPeriod=2),IF(VolumeMonthlyOverFlag,INDEX(VolumeMonthlyOver,AE47),Volume),0)),0),AL33)</f>
        <v>150</v>
      </c>
      <c r="AM47" s="236">
        <f t="shared" ref="AM47:AM58" si="209">IF(WeekDef=8,IF(CustomHoFlag,IF(CustomHoPeriod=4,INDEX(VolumeHourlyOver,M5,4),IF(OR(CustomHoPeriod=1,CustomHoPeriod=2),IF(VolumeMonthlyOverFlag,INDEX(VolumeMonthlyOver,AE47),Volume),0)),0),AM33)</f>
        <v>150</v>
      </c>
      <c r="AN47" s="236">
        <f t="shared" ref="AN47:AN58" si="210">IF(WeekDef=8,IF(CustomHoFlag,IF(CustomHoPeriod=4,INDEX(VolumeHourlyOver,N5,4),IF(OR(CustomHoPeriod=1,CustomHoPeriod=2),IF(VolumeMonthlyOverFlag,INDEX(VolumeMonthlyOver,AE47),Volume),0)),0),AN33)</f>
        <v>150</v>
      </c>
      <c r="AO47" s="236">
        <f t="shared" ref="AO47:AO58" si="211">IF(WeekDef=8,IF(CustomHoFlag,IF(CustomHoPeriod=4,INDEX(VolumeHourlyOver,O5,4),IF(OR(CustomHoPeriod=1,CustomHoPeriod=2),IF(VolumeMonthlyOverFlag,INDEX(VolumeMonthlyOver,AE47),Volume),0)),0),AO33)</f>
        <v>150</v>
      </c>
      <c r="AP47" s="236">
        <f t="shared" ref="AP47:AP58" si="212">IF(WeekDef=8,IF(CustomHoFlag,IF(CustomHoPeriod=4,INDEX(VolumeHourlyOver,P5,4),IF(OR(CustomHoPeriod=1,CustomHoPeriod=2),IF(VolumeMonthlyOverFlag,INDEX(VolumeMonthlyOver,AE47),Volume),0)),0),AP33)</f>
        <v>150</v>
      </c>
      <c r="AQ47" s="236">
        <f t="shared" ref="AQ47:AQ58" si="213">IF(WeekDef=8,IF(CustomHoFlag,IF(CustomHoPeriod=4,INDEX(VolumeHourlyOver,Q5,4),IF(OR(CustomHoPeriod=1,CustomHoPeriod=2),IF(VolumeMonthlyOverFlag,INDEX(VolumeMonthlyOver,AE47),Volume),0)),0),AQ33)</f>
        <v>150</v>
      </c>
      <c r="AR47" s="236">
        <f t="shared" ref="AR47:AR58" si="214">IF(WeekDef=8,IF(CustomHoFlag,IF(CustomHoPeriod=4,INDEX(VolumeHourlyOver,R5,4),IF(OR(CustomHoPeriod=1,CustomHoPeriod=2),IF(VolumeMonthlyOverFlag,INDEX(VolumeMonthlyOver,AE47),Volume),0)),0),AR33)</f>
        <v>150</v>
      </c>
      <c r="AS47" s="236">
        <f t="shared" ref="AS47:AS58" si="215">IF(WeekDef=8,IF(CustomHoFlag,IF(CustomHoPeriod=4,INDEX(VolumeHourlyOver,S5,4),IF(OR(CustomHoPeriod=1,CustomHoPeriod=2),IF(VolumeMonthlyOverFlag,INDEX(VolumeMonthlyOver,AE47),Volume),0)),0),AS33)</f>
        <v>150</v>
      </c>
      <c r="AT47" s="236">
        <f t="shared" ref="AT47:AT58" si="216">IF(WeekDef=8,IF(CustomHoFlag,IF(CustomHoPeriod=4,INDEX(VolumeHourlyOver,T5,4),IF(OR(CustomHoPeriod=1,CustomHoPeriod=2),IF(VolumeMonthlyOverFlag,INDEX(VolumeMonthlyOver,AE47),Volume),0)),0),AT33)</f>
        <v>150</v>
      </c>
      <c r="AU47" s="237">
        <f t="shared" ref="AU47:AU58" si="217">IF(WeekDef=8,IF(CustomHoFlag,IF(CustomHoPeriod=4,INDEX(VolumeHourlyOver,U5,4),IF(OR(CustomHoPeriod=1,CustomHoPeriod=2),IF(VolumeMonthlyOverFlag,INDEX(VolumeMonthlyOver,AE47),Volume),0)),0),AU33)</f>
        <v>150</v>
      </c>
      <c r="AV47" s="236">
        <f t="shared" ref="AV47:AV58" si="218">IF(WeekDef=8,IF(CustomHoFlag,IF(CustomHoPeriod=4,INDEX(VolumeHourlyOver,V5,4),IF(OR(CustomHoPeriod=1,CustomHoPeriod=3),IF(VolumeMonthlyOverFlag,INDEX(VolumeMonthlyOver,AE47),Volume),0)),0),AV33)</f>
        <v>150</v>
      </c>
      <c r="AW47" s="236">
        <f t="shared" ref="AW47:AW58" si="219">IF(WeekDef=8,IF(CustomHoFlag,IF(CustomHoPeriod=4,INDEX(VolumeHourlyOver,W5,4),IF(OR(CustomHoPeriod=1,CustomHoPeriod=3),IF(VolumeMonthlyOverFlag,INDEX(VolumeMonthlyOver,AE47),Volume),0)),0),AW33)</f>
        <v>150</v>
      </c>
      <c r="AX47" s="236">
        <f t="shared" ref="AX47:AX58" si="220">IF(WeekDef=8,IF(CustomHoFlag,IF(CustomHoPeriod=4,INDEX(VolumeHourlyOver,X5,4),IF(OR(CustomHoPeriod=1,CustomHoPeriod=3),IF(VolumeMonthlyOverFlag,INDEX(VolumeMonthlyOver,AE47),Volume),0)),0),AX33)</f>
        <v>150</v>
      </c>
      <c r="AY47" s="236">
        <f t="shared" ref="AY47:AY58" si="221">IF(WeekDef=8,IF(CustomHoFlag,IF(CustomHoPeriod=4,INDEX(VolumeHourlyOver,Y5,4),IF(OR(CustomHoPeriod=1,CustomHoPeriod=3),IF(VolumeMonthlyOverFlag,INDEX(VolumeMonthlyOver,AE47),Volume),0)),0),AY33)</f>
        <v>150</v>
      </c>
      <c r="AZ47" s="236">
        <f t="shared" ref="AZ47:AZ58" si="222">IF(WeekDef=8,IF(CustomHoFlag,IF(CustomHoPeriod=4,INDEX(VolumeHourlyOver,Z5,4),IF(OR(CustomHoPeriod=1,CustomHoPeriod=3),IF(VolumeMonthlyOverFlag,INDEX(VolumeMonthlyOver,AE47),Volume),0)),0),AZ33)</f>
        <v>150</v>
      </c>
      <c r="BA47" s="236">
        <f t="shared" ref="BA47:BA58" si="223">IF(WeekDef=8,IF(CustomHoFlag,IF(CustomHoPeriod=4,INDEX(VolumeHourlyOver,AA5,4),IF(OR(CustomHoPeriod=1,CustomHoPeriod=3),IF(VolumeMonthlyOverFlag,INDEX(VolumeMonthlyOver,AE47),Volume),0)),0),BA33)</f>
        <v>150</v>
      </c>
      <c r="BB47" s="236">
        <f t="shared" ref="BB47:BB58" si="224">IF(WeekDef=8,IF(CustomHoFlag,IF(CustomHoPeriod=4,INDEX(VolumeHourlyOver,AB5,4),IF(OR(CustomHoPeriod=1,CustomHoPeriod=3),IF(VolumeMonthlyOverFlag,INDEX(VolumeMonthlyOver,AE47),Volume),0)),0),BB33)</f>
        <v>150</v>
      </c>
      <c r="BC47" s="237">
        <f t="shared" ref="BC47:BC58" si="225">IF(WeekDef=8,IF(CustomHoFlag,IF(CustomHoPeriod=4,INDEX(VolumeHourlyOver,AC5,4),IF(OR(CustomHoPeriod=1,CustomHoPeriod=3),IF(VolumeMonthlyOverFlag,INDEX(VolumeMonthlyOver,AE47),Volume),0)),0),BC33)</f>
        <v>150</v>
      </c>
      <c r="BD47" s="306">
        <f>SUM(AF47:AU47)</f>
        <v>2400</v>
      </c>
      <c r="BE47" s="304">
        <f>SUM(AV47:BC47)</f>
        <v>1200</v>
      </c>
      <c r="BF47" s="307">
        <f>BD47+BE47</f>
        <v>3600</v>
      </c>
      <c r="BG47" s="333">
        <f>IF(BD47,SUMPRODUCT(AF47:AU47,F21:U21)/BD47,0)</f>
        <v>0.9999999962747097</v>
      </c>
      <c r="BH47" s="335">
        <f>IF(BE47,SUMPRODUCT(AV47:BC47,V21:AC21)/BE47,0)</f>
        <v>0.9999999925494194</v>
      </c>
      <c r="BJ47" s="229">
        <v>1</v>
      </c>
      <c r="BK47" s="235">
        <f t="shared" ref="BK47:BK58" si="226">IF(WeekDef=8,IF(CustomHoFlag,IF(CustomHoPeriod=4,INDEX(IF(DiffOptVolumeFlag,DiffOptVolumeHourlyOver,VolumeHourlyOver),F5,4),IF(OR(CustomHoPeriod=1,CustomHoPeriod=2),IF(VolumeMonthlyOverFlag,INDEX(IF(DiffOptVolumeFlag,DiffOptVolumeMonthlyOver,VolumeMonthlyOver),BJ47),IF(DiffOptVolumeFlag,DiffOptVolume,Volume)),0)),0),BK33)</f>
        <v>600</v>
      </c>
      <c r="BL47" s="236">
        <f t="shared" ref="BL47:BL58" si="227">IF(WeekDef=8,IF(CustomHoFlag,IF(CustomHoPeriod=4,INDEX(IF(DiffOptVolumeFlag,DiffOptVolumeHourlyOver,VolumeHourlyOver),G5,4),IF(OR(CustomHoPeriod=1,CustomHoPeriod=2),IF(VolumeMonthlyOverFlag,INDEX(IF(DiffOptVolumeFlag,DiffOptVolumeMonthlyOver,VolumeMonthlyOver),BJ47),IF(DiffOptVolumeFlag,DiffOptVolume,Volume)),0)),0),BL33)</f>
        <v>600</v>
      </c>
      <c r="BM47" s="236">
        <f t="shared" ref="BM47:BM58" si="228">IF(WeekDef=8,IF(CustomHoFlag,IF(CustomHoPeriod=4,INDEX(IF(DiffOptVolumeFlag,DiffOptVolumeHourlyOver,VolumeHourlyOver),H5,4),IF(OR(CustomHoPeriod=1,CustomHoPeriod=2),IF(VolumeMonthlyOverFlag,INDEX(IF(DiffOptVolumeFlag,DiffOptVolumeMonthlyOver,VolumeMonthlyOver),BJ47),IF(DiffOptVolumeFlag,DiffOptVolume,Volume)),0)),0),BM33)</f>
        <v>600</v>
      </c>
      <c r="BN47" s="236">
        <f t="shared" ref="BN47:BN58" si="229">IF(WeekDef=8,IF(CustomHoFlag,IF(CustomHoPeriod=4,INDEX(IF(DiffOptVolumeFlag,DiffOptVolumeHourlyOver,VolumeHourlyOver),I5,4),IF(OR(CustomHoPeriod=1,CustomHoPeriod=2),IF(VolumeMonthlyOverFlag,INDEX(IF(DiffOptVolumeFlag,DiffOptVolumeMonthlyOver,VolumeMonthlyOver),BJ47),IF(DiffOptVolumeFlag,DiffOptVolume,Volume)),0)),0),BN33)</f>
        <v>600</v>
      </c>
      <c r="BO47" s="236">
        <f t="shared" ref="BO47:BO58" si="230">IF(WeekDef=8,IF(CustomHoFlag,IF(CustomHoPeriod=4,INDEX(IF(DiffOptVolumeFlag,DiffOptVolumeHourlyOver,VolumeHourlyOver),J5,4),IF(OR(CustomHoPeriod=1,CustomHoPeriod=2),IF(VolumeMonthlyOverFlag,INDEX(IF(DiffOptVolumeFlag,DiffOptVolumeMonthlyOver,VolumeMonthlyOver),BJ47),IF(DiffOptVolumeFlag,DiffOptVolume,Volume)),0)),0),BO33)</f>
        <v>600</v>
      </c>
      <c r="BP47" s="236">
        <f t="shared" ref="BP47:BP58" si="231">IF(WeekDef=8,IF(CustomHoFlag,IF(CustomHoPeriod=4,INDEX(IF(DiffOptVolumeFlag,DiffOptVolumeHourlyOver,VolumeHourlyOver),K5,4),IF(OR(CustomHoPeriod=1,CustomHoPeriod=2),IF(VolumeMonthlyOverFlag,INDEX(IF(DiffOptVolumeFlag,DiffOptVolumeMonthlyOver,VolumeMonthlyOver),BJ47),IF(DiffOptVolumeFlag,DiffOptVolume,Volume)),0)),0),BP33)</f>
        <v>600</v>
      </c>
      <c r="BQ47" s="236">
        <f t="shared" ref="BQ47:BQ58" si="232">IF(WeekDef=8,IF(CustomHoFlag,IF(CustomHoPeriod=4,INDEX(IF(DiffOptVolumeFlag,DiffOptVolumeHourlyOver,VolumeHourlyOver),L5,4),IF(OR(CustomHoPeriod=1,CustomHoPeriod=2),IF(VolumeMonthlyOverFlag,INDEX(IF(DiffOptVolumeFlag,DiffOptVolumeMonthlyOver,VolumeMonthlyOver),BJ47),IF(DiffOptVolumeFlag,DiffOptVolume,Volume)),0)),0),BQ33)</f>
        <v>600</v>
      </c>
      <c r="BR47" s="236">
        <f t="shared" ref="BR47:BR58" si="233">IF(WeekDef=8,IF(CustomHoFlag,IF(CustomHoPeriod=4,INDEX(IF(DiffOptVolumeFlag,DiffOptVolumeHourlyOver,VolumeHourlyOver),M5,4),IF(OR(CustomHoPeriod=1,CustomHoPeriod=2),IF(VolumeMonthlyOverFlag,INDEX(IF(DiffOptVolumeFlag,DiffOptVolumeMonthlyOver,VolumeMonthlyOver),BJ47),IF(DiffOptVolumeFlag,DiffOptVolume,Volume)),0)),0),BR33)</f>
        <v>600</v>
      </c>
      <c r="BS47" s="236">
        <f t="shared" ref="BS47:BS58" si="234">IF(WeekDef=8,IF(CustomHoFlag,IF(CustomHoPeriod=4,INDEX(IF(DiffOptVolumeFlag,DiffOptVolumeHourlyOver,VolumeHourlyOver),N5,4),IF(OR(CustomHoPeriod=1,CustomHoPeriod=2),IF(VolumeMonthlyOverFlag,INDEX(IF(DiffOptVolumeFlag,DiffOptVolumeMonthlyOver,VolumeMonthlyOver),BJ47),IF(DiffOptVolumeFlag,DiffOptVolume,Volume)),0)),0),BS33)</f>
        <v>600</v>
      </c>
      <c r="BT47" s="236">
        <f t="shared" ref="BT47:BT58" si="235">IF(WeekDef=8,IF(CustomHoFlag,IF(CustomHoPeriod=4,INDEX(IF(DiffOptVolumeFlag,DiffOptVolumeHourlyOver,VolumeHourlyOver),O5,4),IF(OR(CustomHoPeriod=1,CustomHoPeriod=2),IF(VolumeMonthlyOverFlag,INDEX(IF(DiffOptVolumeFlag,DiffOptVolumeMonthlyOver,VolumeMonthlyOver),BJ47),IF(DiffOptVolumeFlag,DiffOptVolume,Volume)),0)),0),BT33)</f>
        <v>600</v>
      </c>
      <c r="BU47" s="236">
        <f t="shared" ref="BU47:BU58" si="236">IF(WeekDef=8,IF(CustomHoFlag,IF(CustomHoPeriod=4,INDEX(IF(DiffOptVolumeFlag,DiffOptVolumeHourlyOver,VolumeHourlyOver),P5,4),IF(OR(CustomHoPeriod=1,CustomHoPeriod=2),IF(VolumeMonthlyOverFlag,INDEX(IF(DiffOptVolumeFlag,DiffOptVolumeMonthlyOver,VolumeMonthlyOver),BJ47),IF(DiffOptVolumeFlag,DiffOptVolume,Volume)),0)),0),BU33)</f>
        <v>600</v>
      </c>
      <c r="BV47" s="236">
        <f t="shared" ref="BV47:BV58" si="237">IF(WeekDef=8,IF(CustomHoFlag,IF(CustomHoPeriod=4,INDEX(IF(DiffOptVolumeFlag,DiffOptVolumeHourlyOver,VolumeHourlyOver),Q5,4),IF(OR(CustomHoPeriod=1,CustomHoPeriod=2),IF(VolumeMonthlyOverFlag,INDEX(IF(DiffOptVolumeFlag,DiffOptVolumeMonthlyOver,VolumeMonthlyOver),BJ47),IF(DiffOptVolumeFlag,DiffOptVolume,Volume)),0)),0),BV33)</f>
        <v>600</v>
      </c>
      <c r="BW47" s="236">
        <f t="shared" ref="BW47:BW58" si="238">IF(WeekDef=8,IF(CustomHoFlag,IF(CustomHoPeriod=4,INDEX(IF(DiffOptVolumeFlag,DiffOptVolumeHourlyOver,VolumeHourlyOver),R5,4),IF(OR(CustomHoPeriod=1,CustomHoPeriod=2),IF(VolumeMonthlyOverFlag,INDEX(IF(DiffOptVolumeFlag,DiffOptVolumeMonthlyOver,VolumeMonthlyOver),BJ47),IF(DiffOptVolumeFlag,DiffOptVolume,Volume)),0)),0),BW33)</f>
        <v>600</v>
      </c>
      <c r="BX47" s="236">
        <f t="shared" ref="BX47:BX58" si="239">IF(WeekDef=8,IF(CustomHoFlag,IF(CustomHoPeriod=4,INDEX(IF(DiffOptVolumeFlag,DiffOptVolumeHourlyOver,VolumeHourlyOver),S5,4),IF(OR(CustomHoPeriod=1,CustomHoPeriod=2),IF(VolumeMonthlyOverFlag,INDEX(IF(DiffOptVolumeFlag,DiffOptVolumeMonthlyOver,VolumeMonthlyOver),BJ47),IF(DiffOptVolumeFlag,DiffOptVolume,Volume)),0)),0),BX33)</f>
        <v>600</v>
      </c>
      <c r="BY47" s="236">
        <f t="shared" ref="BY47:BY58" si="240">IF(WeekDef=8,IF(CustomHoFlag,IF(CustomHoPeriod=4,INDEX(IF(DiffOptVolumeFlag,DiffOptVolumeHourlyOver,VolumeHourlyOver),T5,4),IF(OR(CustomHoPeriod=1,CustomHoPeriod=2),IF(VolumeMonthlyOverFlag,INDEX(IF(DiffOptVolumeFlag,DiffOptVolumeMonthlyOver,VolumeMonthlyOver),BJ47),IF(DiffOptVolumeFlag,DiffOptVolume,Volume)),0)),0),BY33)</f>
        <v>600</v>
      </c>
      <c r="BZ47" s="237">
        <f t="shared" ref="BZ47:BZ58" si="241">IF(WeekDef=8,IF(CustomHoFlag,IF(CustomHoPeriod=4,INDEX(IF(DiffOptVolumeFlag,DiffOptVolumeHourlyOver,VolumeHourlyOver),U5,4),IF(OR(CustomHoPeriod=1,CustomHoPeriod=2),IF(VolumeMonthlyOverFlag,INDEX(IF(DiffOptVolumeFlag,DiffOptVolumeMonthlyOver,VolumeMonthlyOver),BJ47),IF(DiffOptVolumeFlag,DiffOptVolume,Volume)),0)),0),BZ33)</f>
        <v>600</v>
      </c>
      <c r="CA47" s="236">
        <f t="shared" ref="CA47:CA58" si="242">IF(WeekDef=8,IF(CustomHoFlag,IF(CustomHoPeriod=4,INDEX(IF(DiffOptVolumeFlag,DiffOptVolumeHourlyOver,VolumeHourlyOver),V5,4),IF(OR(CustomHoPeriod=1,CustomHoPeriod=3),IF(VolumeMonthlyOverFlag,INDEX(IF(DiffOptVolumeFlag,DiffOptVolumeMonthlyOver,VolumeMonthlyOver),BJ47),IF(DiffOptVolumeFlag,DiffOptVolume,Volume)),0)),0),CA33)</f>
        <v>600</v>
      </c>
      <c r="CB47" s="236">
        <f t="shared" ref="CB47:CB58" si="243">IF(WeekDef=8,IF(CustomHoFlag,IF(CustomHoPeriod=4,INDEX(IF(DiffOptVolumeFlag,DiffOptVolumeHourlyOver,VolumeHourlyOver),W5,4),IF(OR(CustomHoPeriod=1,CustomHoPeriod=3),IF(VolumeMonthlyOverFlag,INDEX(IF(DiffOptVolumeFlag,DiffOptVolumeMonthlyOver,VolumeMonthlyOver),BJ47),IF(DiffOptVolumeFlag,DiffOptVolume,Volume)),0)),0),CB33)</f>
        <v>600</v>
      </c>
      <c r="CC47" s="236">
        <f t="shared" ref="CC47:CC58" si="244">IF(WeekDef=8,IF(CustomHoFlag,IF(CustomHoPeriod=4,INDEX(IF(DiffOptVolumeFlag,DiffOptVolumeHourlyOver,VolumeHourlyOver),X5,4),IF(OR(CustomHoPeriod=1,CustomHoPeriod=3),IF(VolumeMonthlyOverFlag,INDEX(IF(DiffOptVolumeFlag,DiffOptVolumeMonthlyOver,VolumeMonthlyOver),BJ47),IF(DiffOptVolumeFlag,DiffOptVolume,Volume)),0)),0),CC33)</f>
        <v>600</v>
      </c>
      <c r="CD47" s="236">
        <f t="shared" ref="CD47:CD58" si="245">IF(WeekDef=8,IF(CustomHoFlag,IF(CustomHoPeriod=4,INDEX(IF(DiffOptVolumeFlag,DiffOptVolumeHourlyOver,VolumeHourlyOver),Y5,4),IF(OR(CustomHoPeriod=1,CustomHoPeriod=3),IF(VolumeMonthlyOverFlag,INDEX(IF(DiffOptVolumeFlag,DiffOptVolumeMonthlyOver,VolumeMonthlyOver),BJ47),IF(DiffOptVolumeFlag,DiffOptVolume,Volume)),0)),0),CD33)</f>
        <v>600</v>
      </c>
      <c r="CE47" s="236">
        <f t="shared" ref="CE47:CE58" si="246">IF(WeekDef=8,IF(CustomHoFlag,IF(CustomHoPeriod=4,INDEX(IF(DiffOptVolumeFlag,DiffOptVolumeHourlyOver,VolumeHourlyOver),Z5,4),IF(OR(CustomHoPeriod=1,CustomHoPeriod=3),IF(VolumeMonthlyOverFlag,INDEX(IF(DiffOptVolumeFlag,DiffOptVolumeMonthlyOver,VolumeMonthlyOver),BJ47),IF(DiffOptVolumeFlag,DiffOptVolume,Volume)),0)),0),CE33)</f>
        <v>600</v>
      </c>
      <c r="CF47" s="236">
        <f t="shared" ref="CF47:CF58" si="247">IF(WeekDef=8,IF(CustomHoFlag,IF(CustomHoPeriod=4,INDEX(IF(DiffOptVolumeFlag,DiffOptVolumeHourlyOver,VolumeHourlyOver),AA5,4),IF(OR(CustomHoPeriod=1,CustomHoPeriod=3),IF(VolumeMonthlyOverFlag,INDEX(IF(DiffOptVolumeFlag,DiffOptVolumeMonthlyOver,VolumeMonthlyOver),BJ47),IF(DiffOptVolumeFlag,DiffOptVolume,Volume)),0)),0),CF33)</f>
        <v>600</v>
      </c>
      <c r="CG47" s="236">
        <f t="shared" ref="CG47:CG58" si="248">IF(WeekDef=8,IF(CustomHoFlag,IF(CustomHoPeriod=4,INDEX(IF(DiffOptVolumeFlag,DiffOptVolumeHourlyOver,VolumeHourlyOver),AB5,4),IF(OR(CustomHoPeriod=1,CustomHoPeriod=3),IF(VolumeMonthlyOverFlag,INDEX(IF(DiffOptVolumeFlag,DiffOptVolumeMonthlyOver,VolumeMonthlyOver),BJ47),IF(DiffOptVolumeFlag,DiffOptVolume,Volume)),0)),0),CG33)</f>
        <v>600</v>
      </c>
      <c r="CH47" s="237">
        <f t="shared" ref="CH47:CH58" si="249">IF(WeekDef=8,IF(CustomHoFlag,IF(CustomHoPeriod=4,INDEX(IF(DiffOptVolumeFlag,DiffOptVolumeHourlyOver,VolumeHourlyOver),AC5,4),IF(OR(CustomHoPeriod=1,CustomHoPeriod=3),IF(VolumeMonthlyOverFlag,INDEX(IF(DiffOptVolumeFlag,DiffOptVolumeMonthlyOver,VolumeMonthlyOver),BJ47),IF(DiffOptVolumeFlag,DiffOptVolume,Volume)),0)),0),CH33)</f>
        <v>600</v>
      </c>
      <c r="CI47" s="306">
        <f>SUM(BK47:BZ47)</f>
        <v>9600</v>
      </c>
      <c r="CJ47" s="304">
        <f>SUM(CA47:CH47)</f>
        <v>4800</v>
      </c>
      <c r="CK47" s="307">
        <f>CI47+CJ47</f>
        <v>14400</v>
      </c>
      <c r="CL47" s="333">
        <f>IF(CI47,SUMPRODUCT(BK47:BZ47,F21:U21)/CI47,0)</f>
        <v>0.9999999962747097</v>
      </c>
      <c r="CM47" s="335">
        <f>IF(CJ47,SUMPRODUCT(CA47:CH47,V21:AC21)/CJ47,0)</f>
        <v>0.9999999925494194</v>
      </c>
    </row>
    <row r="48" spans="1:91" ht="13.5" thickBot="1">
      <c r="A48" s="312">
        <v>12</v>
      </c>
      <c r="B48" s="356">
        <f t="shared" si="176"/>
        <v>36861</v>
      </c>
      <c r="C48" s="244">
        <f t="shared" si="200"/>
        <v>35.375</v>
      </c>
      <c r="D48" s="244">
        <f t="shared" si="201"/>
        <v>24.060483870967747</v>
      </c>
      <c r="E48" s="240">
        <v>12</v>
      </c>
      <c r="F48" s="293">
        <f t="shared" si="177"/>
        <v>41.103972539305687</v>
      </c>
      <c r="G48" s="294">
        <f t="shared" si="178"/>
        <v>40.176251545548439</v>
      </c>
      <c r="H48" s="294">
        <f t="shared" si="179"/>
        <v>38.345795452594757</v>
      </c>
      <c r="I48" s="294">
        <f t="shared" si="180"/>
        <v>38.201109200716019</v>
      </c>
      <c r="J48" s="294">
        <f t="shared" si="181"/>
        <v>36.809527710080147</v>
      </c>
      <c r="K48" s="294">
        <f t="shared" si="182"/>
        <v>36.644932866096497</v>
      </c>
      <c r="L48" s="294">
        <f t="shared" si="183"/>
        <v>36.435447752475739</v>
      </c>
      <c r="M48" s="294">
        <f t="shared" si="184"/>
        <v>36.398780688643456</v>
      </c>
      <c r="N48" s="294">
        <f t="shared" si="185"/>
        <v>34.778743781149387</v>
      </c>
      <c r="O48" s="294">
        <f t="shared" si="186"/>
        <v>34.659378677606583</v>
      </c>
      <c r="P48" s="294">
        <f t="shared" si="187"/>
        <v>33.14354033023119</v>
      </c>
      <c r="Q48" s="294">
        <f t="shared" si="188"/>
        <v>32.821574412286282</v>
      </c>
      <c r="R48" s="294">
        <f t="shared" si="189"/>
        <v>32.395378306508064</v>
      </c>
      <c r="S48" s="294">
        <f t="shared" si="190"/>
        <v>32.103456608951092</v>
      </c>
      <c r="T48" s="294">
        <f t="shared" si="191"/>
        <v>31.662180408835411</v>
      </c>
      <c r="U48" s="295">
        <f t="shared" si="192"/>
        <v>30.319929718971252</v>
      </c>
      <c r="V48" s="294">
        <f t="shared" si="192"/>
        <v>28.36145403356322</v>
      </c>
      <c r="W48" s="294">
        <f t="shared" si="193"/>
        <v>26.876638549470137</v>
      </c>
      <c r="X48" s="294">
        <f t="shared" si="194"/>
        <v>24.988067615897432</v>
      </c>
      <c r="Y48" s="294">
        <f t="shared" si="195"/>
        <v>23.059236727174255</v>
      </c>
      <c r="Z48" s="294">
        <f t="shared" si="196"/>
        <v>22.959370584016852</v>
      </c>
      <c r="AA48" s="294">
        <f t="shared" si="197"/>
        <v>22.167667952276052</v>
      </c>
      <c r="AB48" s="294">
        <f t="shared" si="198"/>
        <v>22.09729441687946</v>
      </c>
      <c r="AC48" s="295">
        <f t="shared" si="199"/>
        <v>21.974141088464574</v>
      </c>
      <c r="AE48" s="229">
        <v>2</v>
      </c>
      <c r="AF48" s="232">
        <f t="shared" si="202"/>
        <v>150</v>
      </c>
      <c r="AG48" s="233">
        <f t="shared" si="203"/>
        <v>150</v>
      </c>
      <c r="AH48" s="233">
        <f t="shared" si="204"/>
        <v>150</v>
      </c>
      <c r="AI48" s="233">
        <f t="shared" si="205"/>
        <v>150</v>
      </c>
      <c r="AJ48" s="233">
        <f t="shared" si="206"/>
        <v>150</v>
      </c>
      <c r="AK48" s="233">
        <f t="shared" si="207"/>
        <v>150</v>
      </c>
      <c r="AL48" s="233">
        <f t="shared" si="208"/>
        <v>150</v>
      </c>
      <c r="AM48" s="233">
        <f t="shared" si="209"/>
        <v>150</v>
      </c>
      <c r="AN48" s="233">
        <f t="shared" si="210"/>
        <v>150</v>
      </c>
      <c r="AO48" s="233">
        <f t="shared" si="211"/>
        <v>150</v>
      </c>
      <c r="AP48" s="233">
        <f t="shared" si="212"/>
        <v>150</v>
      </c>
      <c r="AQ48" s="233">
        <f t="shared" si="213"/>
        <v>150</v>
      </c>
      <c r="AR48" s="233">
        <f t="shared" si="214"/>
        <v>150</v>
      </c>
      <c r="AS48" s="233">
        <f t="shared" si="215"/>
        <v>150</v>
      </c>
      <c r="AT48" s="233">
        <f t="shared" si="216"/>
        <v>150</v>
      </c>
      <c r="AU48" s="234">
        <f t="shared" si="217"/>
        <v>150</v>
      </c>
      <c r="AV48" s="233">
        <f t="shared" si="218"/>
        <v>150</v>
      </c>
      <c r="AW48" s="233">
        <f t="shared" si="219"/>
        <v>150</v>
      </c>
      <c r="AX48" s="233">
        <f t="shared" si="220"/>
        <v>150</v>
      </c>
      <c r="AY48" s="233">
        <f t="shared" si="221"/>
        <v>150</v>
      </c>
      <c r="AZ48" s="233">
        <f t="shared" si="222"/>
        <v>150</v>
      </c>
      <c r="BA48" s="233">
        <f t="shared" si="223"/>
        <v>150</v>
      </c>
      <c r="BB48" s="233">
        <f t="shared" si="224"/>
        <v>150</v>
      </c>
      <c r="BC48" s="234">
        <f t="shared" si="225"/>
        <v>150</v>
      </c>
      <c r="BD48" s="306">
        <f t="shared" si="170"/>
        <v>2400</v>
      </c>
      <c r="BE48" s="304">
        <f t="shared" si="171"/>
        <v>1200</v>
      </c>
      <c r="BF48" s="307">
        <f t="shared" si="172"/>
        <v>3600</v>
      </c>
      <c r="BG48" s="333">
        <f t="shared" ref="BG48:BG58" si="250">IF(BD48,SUMPRODUCT(AF48:AU48,F22:U22)/BD48,0)</f>
        <v>1</v>
      </c>
      <c r="BH48" s="330">
        <f t="shared" ref="BH48:BH58" si="251">IF(BE48,SUMPRODUCT(AV48:BC48,V22:AC22)/BE48,0)</f>
        <v>0.9999999925494194</v>
      </c>
      <c r="BJ48" s="229">
        <v>2</v>
      </c>
      <c r="BK48" s="232">
        <f t="shared" si="226"/>
        <v>600</v>
      </c>
      <c r="BL48" s="233">
        <f t="shared" si="227"/>
        <v>600</v>
      </c>
      <c r="BM48" s="233">
        <f t="shared" si="228"/>
        <v>600</v>
      </c>
      <c r="BN48" s="233">
        <f t="shared" si="229"/>
        <v>600</v>
      </c>
      <c r="BO48" s="233">
        <f t="shared" si="230"/>
        <v>600</v>
      </c>
      <c r="BP48" s="233">
        <f t="shared" si="231"/>
        <v>600</v>
      </c>
      <c r="BQ48" s="233">
        <f t="shared" si="232"/>
        <v>600</v>
      </c>
      <c r="BR48" s="233">
        <f t="shared" si="233"/>
        <v>600</v>
      </c>
      <c r="BS48" s="233">
        <f t="shared" si="234"/>
        <v>600</v>
      </c>
      <c r="BT48" s="233">
        <f t="shared" si="235"/>
        <v>600</v>
      </c>
      <c r="BU48" s="233">
        <f t="shared" si="236"/>
        <v>600</v>
      </c>
      <c r="BV48" s="233">
        <f t="shared" si="237"/>
        <v>600</v>
      </c>
      <c r="BW48" s="233">
        <f t="shared" si="238"/>
        <v>600</v>
      </c>
      <c r="BX48" s="233">
        <f t="shared" si="239"/>
        <v>600</v>
      </c>
      <c r="BY48" s="233">
        <f t="shared" si="240"/>
        <v>600</v>
      </c>
      <c r="BZ48" s="234">
        <f t="shared" si="241"/>
        <v>600</v>
      </c>
      <c r="CA48" s="233">
        <f t="shared" si="242"/>
        <v>600</v>
      </c>
      <c r="CB48" s="233">
        <f t="shared" si="243"/>
        <v>600</v>
      </c>
      <c r="CC48" s="233">
        <f t="shared" si="244"/>
        <v>600</v>
      </c>
      <c r="CD48" s="233">
        <f t="shared" si="245"/>
        <v>600</v>
      </c>
      <c r="CE48" s="233">
        <f t="shared" si="246"/>
        <v>600</v>
      </c>
      <c r="CF48" s="233">
        <f t="shared" si="247"/>
        <v>600</v>
      </c>
      <c r="CG48" s="233">
        <f t="shared" si="248"/>
        <v>600</v>
      </c>
      <c r="CH48" s="234">
        <f t="shared" si="249"/>
        <v>600</v>
      </c>
      <c r="CI48" s="306">
        <f t="shared" si="173"/>
        <v>9600</v>
      </c>
      <c r="CJ48" s="304">
        <f t="shared" si="174"/>
        <v>4800</v>
      </c>
      <c r="CK48" s="307">
        <f t="shared" si="175"/>
        <v>14400</v>
      </c>
      <c r="CL48" s="333">
        <f t="shared" ref="CL48:CL58" si="252">IF(CI48,SUMPRODUCT(BK48:BZ48,F22:U22)/CI48,0)</f>
        <v>1</v>
      </c>
      <c r="CM48" s="330">
        <f t="shared" ref="CM48:CM58" si="253">IF(CJ48,SUMPRODUCT(CA48:CH48,V22:AC22)/CJ48,0)</f>
        <v>0.9999999925494194</v>
      </c>
    </row>
    <row r="49" spans="1:91" ht="13.5" thickBot="1">
      <c r="Z49"/>
      <c r="AE49" s="229">
        <v>3</v>
      </c>
      <c r="AF49" s="232">
        <f t="shared" si="202"/>
        <v>150</v>
      </c>
      <c r="AG49" s="233">
        <f t="shared" si="203"/>
        <v>150</v>
      </c>
      <c r="AH49" s="233">
        <f t="shared" si="204"/>
        <v>150</v>
      </c>
      <c r="AI49" s="233">
        <f t="shared" si="205"/>
        <v>150</v>
      </c>
      <c r="AJ49" s="233">
        <f t="shared" si="206"/>
        <v>150</v>
      </c>
      <c r="AK49" s="233">
        <f t="shared" si="207"/>
        <v>150</v>
      </c>
      <c r="AL49" s="233">
        <f t="shared" si="208"/>
        <v>150</v>
      </c>
      <c r="AM49" s="233">
        <f t="shared" si="209"/>
        <v>150</v>
      </c>
      <c r="AN49" s="233">
        <f t="shared" si="210"/>
        <v>150</v>
      </c>
      <c r="AO49" s="233">
        <f t="shared" si="211"/>
        <v>150</v>
      </c>
      <c r="AP49" s="233">
        <f t="shared" si="212"/>
        <v>150</v>
      </c>
      <c r="AQ49" s="233">
        <f t="shared" si="213"/>
        <v>150</v>
      </c>
      <c r="AR49" s="233">
        <f t="shared" si="214"/>
        <v>150</v>
      </c>
      <c r="AS49" s="233">
        <f t="shared" si="215"/>
        <v>150</v>
      </c>
      <c r="AT49" s="233">
        <f t="shared" si="216"/>
        <v>150</v>
      </c>
      <c r="AU49" s="234">
        <f t="shared" si="217"/>
        <v>150</v>
      </c>
      <c r="AV49" s="233">
        <f t="shared" si="218"/>
        <v>150</v>
      </c>
      <c r="AW49" s="233">
        <f t="shared" si="219"/>
        <v>150</v>
      </c>
      <c r="AX49" s="233">
        <f t="shared" si="220"/>
        <v>150</v>
      </c>
      <c r="AY49" s="233">
        <f t="shared" si="221"/>
        <v>150</v>
      </c>
      <c r="AZ49" s="233">
        <f t="shared" si="222"/>
        <v>150</v>
      </c>
      <c r="BA49" s="233">
        <f t="shared" si="223"/>
        <v>150</v>
      </c>
      <c r="BB49" s="233">
        <f t="shared" si="224"/>
        <v>150</v>
      </c>
      <c r="BC49" s="234">
        <f t="shared" si="225"/>
        <v>150</v>
      </c>
      <c r="BD49" s="306">
        <f t="shared" si="170"/>
        <v>2400</v>
      </c>
      <c r="BE49" s="304">
        <f t="shared" si="171"/>
        <v>1200</v>
      </c>
      <c r="BF49" s="307">
        <f t="shared" si="172"/>
        <v>3600</v>
      </c>
      <c r="BG49" s="333">
        <f t="shared" si="250"/>
        <v>0.9999999962747097</v>
      </c>
      <c r="BH49" s="330">
        <f t="shared" si="251"/>
        <v>1.0000000074505806</v>
      </c>
      <c r="BJ49" s="229">
        <v>3</v>
      </c>
      <c r="BK49" s="232">
        <f t="shared" si="226"/>
        <v>600</v>
      </c>
      <c r="BL49" s="233">
        <f t="shared" si="227"/>
        <v>600</v>
      </c>
      <c r="BM49" s="233">
        <f t="shared" si="228"/>
        <v>600</v>
      </c>
      <c r="BN49" s="233">
        <f t="shared" si="229"/>
        <v>600</v>
      </c>
      <c r="BO49" s="233">
        <f t="shared" si="230"/>
        <v>600</v>
      </c>
      <c r="BP49" s="233">
        <f t="shared" si="231"/>
        <v>600</v>
      </c>
      <c r="BQ49" s="233">
        <f t="shared" si="232"/>
        <v>600</v>
      </c>
      <c r="BR49" s="233">
        <f t="shared" si="233"/>
        <v>600</v>
      </c>
      <c r="BS49" s="233">
        <f t="shared" si="234"/>
        <v>600</v>
      </c>
      <c r="BT49" s="233">
        <f t="shared" si="235"/>
        <v>600</v>
      </c>
      <c r="BU49" s="233">
        <f t="shared" si="236"/>
        <v>600</v>
      </c>
      <c r="BV49" s="233">
        <f t="shared" si="237"/>
        <v>600</v>
      </c>
      <c r="BW49" s="233">
        <f t="shared" si="238"/>
        <v>600</v>
      </c>
      <c r="BX49" s="233">
        <f t="shared" si="239"/>
        <v>600</v>
      </c>
      <c r="BY49" s="233">
        <f t="shared" si="240"/>
        <v>600</v>
      </c>
      <c r="BZ49" s="234">
        <f t="shared" si="241"/>
        <v>600</v>
      </c>
      <c r="CA49" s="233">
        <f t="shared" si="242"/>
        <v>600</v>
      </c>
      <c r="CB49" s="233">
        <f t="shared" si="243"/>
        <v>600</v>
      </c>
      <c r="CC49" s="233">
        <f t="shared" si="244"/>
        <v>600</v>
      </c>
      <c r="CD49" s="233">
        <f t="shared" si="245"/>
        <v>600</v>
      </c>
      <c r="CE49" s="233">
        <f t="shared" si="246"/>
        <v>600</v>
      </c>
      <c r="CF49" s="233">
        <f t="shared" si="247"/>
        <v>600</v>
      </c>
      <c r="CG49" s="233">
        <f t="shared" si="248"/>
        <v>600</v>
      </c>
      <c r="CH49" s="234">
        <f t="shared" si="249"/>
        <v>600</v>
      </c>
      <c r="CI49" s="306">
        <f t="shared" si="173"/>
        <v>9600</v>
      </c>
      <c r="CJ49" s="304">
        <f t="shared" si="174"/>
        <v>4800</v>
      </c>
      <c r="CK49" s="307">
        <f t="shared" si="175"/>
        <v>14400</v>
      </c>
      <c r="CL49" s="333">
        <f t="shared" si="252"/>
        <v>0.9999999962747097</v>
      </c>
      <c r="CM49" s="330">
        <f t="shared" si="253"/>
        <v>1.0000000074505806</v>
      </c>
    </row>
    <row r="50" spans="1:91" ht="18.75" thickBot="1">
      <c r="A50" s="164"/>
      <c r="B50" s="164"/>
      <c r="C50" s="164"/>
      <c r="D50"/>
      <c r="E50" s="251" t="s">
        <v>117</v>
      </c>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3"/>
      <c r="AE50" s="229">
        <v>4</v>
      </c>
      <c r="AF50" s="232">
        <f t="shared" si="202"/>
        <v>150</v>
      </c>
      <c r="AG50" s="233">
        <f t="shared" si="203"/>
        <v>150</v>
      </c>
      <c r="AH50" s="233">
        <f t="shared" si="204"/>
        <v>150</v>
      </c>
      <c r="AI50" s="233">
        <f t="shared" si="205"/>
        <v>150</v>
      </c>
      <c r="AJ50" s="233">
        <f t="shared" si="206"/>
        <v>150</v>
      </c>
      <c r="AK50" s="233">
        <f t="shared" si="207"/>
        <v>150</v>
      </c>
      <c r="AL50" s="233">
        <f t="shared" si="208"/>
        <v>150</v>
      </c>
      <c r="AM50" s="233">
        <f t="shared" si="209"/>
        <v>150</v>
      </c>
      <c r="AN50" s="233">
        <f t="shared" si="210"/>
        <v>150</v>
      </c>
      <c r="AO50" s="233">
        <f t="shared" si="211"/>
        <v>150</v>
      </c>
      <c r="AP50" s="233">
        <f t="shared" si="212"/>
        <v>150</v>
      </c>
      <c r="AQ50" s="233">
        <f t="shared" si="213"/>
        <v>150</v>
      </c>
      <c r="AR50" s="233">
        <f t="shared" si="214"/>
        <v>150</v>
      </c>
      <c r="AS50" s="233">
        <f t="shared" si="215"/>
        <v>150</v>
      </c>
      <c r="AT50" s="233">
        <f t="shared" si="216"/>
        <v>150</v>
      </c>
      <c r="AU50" s="234">
        <f t="shared" si="217"/>
        <v>150</v>
      </c>
      <c r="AV50" s="233">
        <f t="shared" si="218"/>
        <v>150</v>
      </c>
      <c r="AW50" s="233">
        <f t="shared" si="219"/>
        <v>150</v>
      </c>
      <c r="AX50" s="233">
        <f t="shared" si="220"/>
        <v>150</v>
      </c>
      <c r="AY50" s="233">
        <f t="shared" si="221"/>
        <v>150</v>
      </c>
      <c r="AZ50" s="233">
        <f t="shared" si="222"/>
        <v>150</v>
      </c>
      <c r="BA50" s="233">
        <f t="shared" si="223"/>
        <v>150</v>
      </c>
      <c r="BB50" s="233">
        <f t="shared" si="224"/>
        <v>150</v>
      </c>
      <c r="BC50" s="234">
        <f t="shared" si="225"/>
        <v>150</v>
      </c>
      <c r="BD50" s="306">
        <f t="shared" si="170"/>
        <v>2400</v>
      </c>
      <c r="BE50" s="304">
        <f t="shared" si="171"/>
        <v>1200</v>
      </c>
      <c r="BF50" s="307">
        <f t="shared" si="172"/>
        <v>3600</v>
      </c>
      <c r="BG50" s="333">
        <f t="shared" si="250"/>
        <v>1</v>
      </c>
      <c r="BH50" s="330">
        <f t="shared" si="251"/>
        <v>1.0000000074505806</v>
      </c>
      <c r="BJ50" s="229">
        <v>4</v>
      </c>
      <c r="BK50" s="232">
        <f t="shared" si="226"/>
        <v>600</v>
      </c>
      <c r="BL50" s="233">
        <f t="shared" si="227"/>
        <v>600</v>
      </c>
      <c r="BM50" s="233">
        <f t="shared" si="228"/>
        <v>600</v>
      </c>
      <c r="BN50" s="233">
        <f t="shared" si="229"/>
        <v>600</v>
      </c>
      <c r="BO50" s="233">
        <f t="shared" si="230"/>
        <v>600</v>
      </c>
      <c r="BP50" s="233">
        <f t="shared" si="231"/>
        <v>600</v>
      </c>
      <c r="BQ50" s="233">
        <f t="shared" si="232"/>
        <v>600</v>
      </c>
      <c r="BR50" s="233">
        <f t="shared" si="233"/>
        <v>600</v>
      </c>
      <c r="BS50" s="233">
        <f t="shared" si="234"/>
        <v>600</v>
      </c>
      <c r="BT50" s="233">
        <f t="shared" si="235"/>
        <v>600</v>
      </c>
      <c r="BU50" s="233">
        <f t="shared" si="236"/>
        <v>600</v>
      </c>
      <c r="BV50" s="233">
        <f t="shared" si="237"/>
        <v>600</v>
      </c>
      <c r="BW50" s="233">
        <f t="shared" si="238"/>
        <v>600</v>
      </c>
      <c r="BX50" s="233">
        <f t="shared" si="239"/>
        <v>600</v>
      </c>
      <c r="BY50" s="233">
        <f t="shared" si="240"/>
        <v>600</v>
      </c>
      <c r="BZ50" s="234">
        <f t="shared" si="241"/>
        <v>600</v>
      </c>
      <c r="CA50" s="233">
        <f t="shared" si="242"/>
        <v>600</v>
      </c>
      <c r="CB50" s="233">
        <f t="shared" si="243"/>
        <v>600</v>
      </c>
      <c r="CC50" s="233">
        <f t="shared" si="244"/>
        <v>600</v>
      </c>
      <c r="CD50" s="233">
        <f t="shared" si="245"/>
        <v>600</v>
      </c>
      <c r="CE50" s="233">
        <f t="shared" si="246"/>
        <v>600</v>
      </c>
      <c r="CF50" s="233">
        <f t="shared" si="247"/>
        <v>600</v>
      </c>
      <c r="CG50" s="233">
        <f t="shared" si="248"/>
        <v>600</v>
      </c>
      <c r="CH50" s="234">
        <f t="shared" si="249"/>
        <v>600</v>
      </c>
      <c r="CI50" s="306">
        <f t="shared" si="173"/>
        <v>9600</v>
      </c>
      <c r="CJ50" s="304">
        <f t="shared" si="174"/>
        <v>4800</v>
      </c>
      <c r="CK50" s="307">
        <f t="shared" si="175"/>
        <v>14400</v>
      </c>
      <c r="CL50" s="333">
        <f t="shared" si="252"/>
        <v>1</v>
      </c>
      <c r="CM50" s="330">
        <f t="shared" si="253"/>
        <v>1.0000000074505806</v>
      </c>
    </row>
    <row r="51" spans="1:91" ht="13.5" thickBot="1">
      <c r="A51" s="257"/>
      <c r="B51" s="352" t="s">
        <v>314</v>
      </c>
      <c r="C51" s="289" t="s">
        <v>315</v>
      </c>
      <c r="D51" s="313"/>
      <c r="E51" s="257"/>
      <c r="F51" s="223" t="s">
        <v>360</v>
      </c>
      <c r="G51" s="224"/>
      <c r="H51" s="224"/>
      <c r="I51" s="224"/>
      <c r="J51" s="224"/>
      <c r="K51" s="224"/>
      <c r="L51" s="224"/>
      <c r="M51" s="224"/>
      <c r="N51" s="224"/>
      <c r="O51" s="224"/>
      <c r="P51" s="224"/>
      <c r="Q51" s="224"/>
      <c r="R51" s="224"/>
      <c r="S51" s="224"/>
      <c r="T51" s="224"/>
      <c r="U51" s="225"/>
      <c r="V51" s="223" t="s">
        <v>344</v>
      </c>
      <c r="W51" s="224"/>
      <c r="X51" s="224"/>
      <c r="Y51" s="224"/>
      <c r="Z51" s="224"/>
      <c r="AA51" s="224"/>
      <c r="AB51" s="224"/>
      <c r="AC51" s="225"/>
      <c r="AE51" s="229">
        <v>5</v>
      </c>
      <c r="AF51" s="232">
        <f t="shared" si="202"/>
        <v>150</v>
      </c>
      <c r="AG51" s="233">
        <f t="shared" si="203"/>
        <v>150</v>
      </c>
      <c r="AH51" s="233">
        <f t="shared" si="204"/>
        <v>150</v>
      </c>
      <c r="AI51" s="233">
        <f t="shared" si="205"/>
        <v>150</v>
      </c>
      <c r="AJ51" s="233">
        <f t="shared" si="206"/>
        <v>150</v>
      </c>
      <c r="AK51" s="233">
        <f t="shared" si="207"/>
        <v>150</v>
      </c>
      <c r="AL51" s="233">
        <f t="shared" si="208"/>
        <v>150</v>
      </c>
      <c r="AM51" s="233">
        <f t="shared" si="209"/>
        <v>150</v>
      </c>
      <c r="AN51" s="233">
        <f t="shared" si="210"/>
        <v>150</v>
      </c>
      <c r="AO51" s="233">
        <f t="shared" si="211"/>
        <v>150</v>
      </c>
      <c r="AP51" s="233">
        <f t="shared" si="212"/>
        <v>150</v>
      </c>
      <c r="AQ51" s="233">
        <f t="shared" si="213"/>
        <v>150</v>
      </c>
      <c r="AR51" s="233">
        <f t="shared" si="214"/>
        <v>150</v>
      </c>
      <c r="AS51" s="233">
        <f t="shared" si="215"/>
        <v>150</v>
      </c>
      <c r="AT51" s="233">
        <f t="shared" si="216"/>
        <v>150</v>
      </c>
      <c r="AU51" s="234">
        <f t="shared" si="217"/>
        <v>150</v>
      </c>
      <c r="AV51" s="233">
        <f t="shared" si="218"/>
        <v>150</v>
      </c>
      <c r="AW51" s="233">
        <f t="shared" si="219"/>
        <v>150</v>
      </c>
      <c r="AX51" s="233">
        <f t="shared" si="220"/>
        <v>150</v>
      </c>
      <c r="AY51" s="233">
        <f t="shared" si="221"/>
        <v>150</v>
      </c>
      <c r="AZ51" s="233">
        <f t="shared" si="222"/>
        <v>150</v>
      </c>
      <c r="BA51" s="233">
        <f t="shared" si="223"/>
        <v>150</v>
      </c>
      <c r="BB51" s="233">
        <f t="shared" si="224"/>
        <v>150</v>
      </c>
      <c r="BC51" s="234">
        <f t="shared" si="225"/>
        <v>150</v>
      </c>
      <c r="BD51" s="306">
        <f t="shared" ref="BD51:BD58" si="254">SUM(AF51:AU51)</f>
        <v>2400</v>
      </c>
      <c r="BE51" s="304">
        <f t="shared" ref="BE51:BE58" si="255">SUM(AV51:BC51)</f>
        <v>1200</v>
      </c>
      <c r="BF51" s="307">
        <f t="shared" ref="BF51:BF58" si="256">BD51+BE51</f>
        <v>3600</v>
      </c>
      <c r="BG51" s="333">
        <f t="shared" si="250"/>
        <v>1</v>
      </c>
      <c r="BH51" s="330">
        <f t="shared" si="251"/>
        <v>1</v>
      </c>
      <c r="BJ51" s="229">
        <v>5</v>
      </c>
      <c r="BK51" s="232">
        <f t="shared" si="226"/>
        <v>600</v>
      </c>
      <c r="BL51" s="233">
        <f t="shared" si="227"/>
        <v>600</v>
      </c>
      <c r="BM51" s="233">
        <f t="shared" si="228"/>
        <v>600</v>
      </c>
      <c r="BN51" s="233">
        <f t="shared" si="229"/>
        <v>600</v>
      </c>
      <c r="BO51" s="233">
        <f t="shared" si="230"/>
        <v>600</v>
      </c>
      <c r="BP51" s="233">
        <f t="shared" si="231"/>
        <v>600</v>
      </c>
      <c r="BQ51" s="233">
        <f t="shared" si="232"/>
        <v>600</v>
      </c>
      <c r="BR51" s="233">
        <f t="shared" si="233"/>
        <v>600</v>
      </c>
      <c r="BS51" s="233">
        <f t="shared" si="234"/>
        <v>600</v>
      </c>
      <c r="BT51" s="233">
        <f t="shared" si="235"/>
        <v>600</v>
      </c>
      <c r="BU51" s="233">
        <f t="shared" si="236"/>
        <v>600</v>
      </c>
      <c r="BV51" s="233">
        <f t="shared" si="237"/>
        <v>600</v>
      </c>
      <c r="BW51" s="233">
        <f t="shared" si="238"/>
        <v>600</v>
      </c>
      <c r="BX51" s="233">
        <f t="shared" si="239"/>
        <v>600</v>
      </c>
      <c r="BY51" s="233">
        <f t="shared" si="240"/>
        <v>600</v>
      </c>
      <c r="BZ51" s="234">
        <f t="shared" si="241"/>
        <v>600</v>
      </c>
      <c r="CA51" s="233">
        <f t="shared" si="242"/>
        <v>600</v>
      </c>
      <c r="CB51" s="233">
        <f t="shared" si="243"/>
        <v>600</v>
      </c>
      <c r="CC51" s="233">
        <f t="shared" si="244"/>
        <v>600</v>
      </c>
      <c r="CD51" s="233">
        <f t="shared" si="245"/>
        <v>600</v>
      </c>
      <c r="CE51" s="233">
        <f t="shared" si="246"/>
        <v>600</v>
      </c>
      <c r="CF51" s="233">
        <f t="shared" si="247"/>
        <v>600</v>
      </c>
      <c r="CG51" s="233">
        <f t="shared" si="248"/>
        <v>600</v>
      </c>
      <c r="CH51" s="234">
        <f t="shared" si="249"/>
        <v>600</v>
      </c>
      <c r="CI51" s="306">
        <f t="shared" ref="CI51:CI58" si="257">SUM(BK51:BZ51)</f>
        <v>9600</v>
      </c>
      <c r="CJ51" s="304">
        <f t="shared" ref="CJ51:CJ58" si="258">SUM(CA51:CH51)</f>
        <v>4800</v>
      </c>
      <c r="CK51" s="307">
        <f t="shared" ref="CK51:CK58" si="259">CI51+CJ51</f>
        <v>14400</v>
      </c>
      <c r="CL51" s="333">
        <f t="shared" si="252"/>
        <v>1</v>
      </c>
      <c r="CM51" s="330">
        <f t="shared" si="253"/>
        <v>1</v>
      </c>
    </row>
    <row r="52" spans="1:91" ht="13.5" thickBot="1">
      <c r="A52" s="347" t="s">
        <v>172</v>
      </c>
      <c r="B52" s="353" t="s">
        <v>316</v>
      </c>
      <c r="C52" s="314" t="s">
        <v>360</v>
      </c>
      <c r="D52" s="314" t="s">
        <v>344</v>
      </c>
      <c r="E52" s="226" t="s">
        <v>307</v>
      </c>
      <c r="F52" s="226">
        <v>1</v>
      </c>
      <c r="G52" s="227">
        <v>2</v>
      </c>
      <c r="H52" s="227">
        <v>3</v>
      </c>
      <c r="I52" s="227">
        <v>4</v>
      </c>
      <c r="J52" s="227">
        <v>5</v>
      </c>
      <c r="K52" s="227">
        <v>6</v>
      </c>
      <c r="L52" s="227">
        <v>7</v>
      </c>
      <c r="M52" s="227">
        <v>8</v>
      </c>
      <c r="N52" s="227">
        <v>9</v>
      </c>
      <c r="O52" s="227">
        <v>10</v>
      </c>
      <c r="P52" s="227">
        <v>11</v>
      </c>
      <c r="Q52" s="227">
        <v>12</v>
      </c>
      <c r="R52" s="227">
        <v>13</v>
      </c>
      <c r="S52" s="227">
        <v>14</v>
      </c>
      <c r="T52" s="227">
        <v>15</v>
      </c>
      <c r="U52" s="228">
        <v>16</v>
      </c>
      <c r="V52" s="227">
        <v>1</v>
      </c>
      <c r="W52" s="227">
        <v>2</v>
      </c>
      <c r="X52" s="227">
        <v>3</v>
      </c>
      <c r="Y52" s="227">
        <v>4</v>
      </c>
      <c r="Z52" s="227">
        <v>5</v>
      </c>
      <c r="AA52" s="227">
        <v>6</v>
      </c>
      <c r="AB52" s="227">
        <v>7</v>
      </c>
      <c r="AC52" s="228">
        <v>8</v>
      </c>
      <c r="AE52" s="229">
        <v>6</v>
      </c>
      <c r="AF52" s="232">
        <f t="shared" si="202"/>
        <v>150</v>
      </c>
      <c r="AG52" s="233">
        <f t="shared" si="203"/>
        <v>150</v>
      </c>
      <c r="AH52" s="233">
        <f t="shared" si="204"/>
        <v>150</v>
      </c>
      <c r="AI52" s="233">
        <f t="shared" si="205"/>
        <v>150</v>
      </c>
      <c r="AJ52" s="233">
        <f t="shared" si="206"/>
        <v>150</v>
      </c>
      <c r="AK52" s="233">
        <f t="shared" si="207"/>
        <v>150</v>
      </c>
      <c r="AL52" s="233">
        <f t="shared" si="208"/>
        <v>150</v>
      </c>
      <c r="AM52" s="233">
        <f t="shared" si="209"/>
        <v>150</v>
      </c>
      <c r="AN52" s="233">
        <f t="shared" si="210"/>
        <v>150</v>
      </c>
      <c r="AO52" s="233">
        <f t="shared" si="211"/>
        <v>150</v>
      </c>
      <c r="AP52" s="233">
        <f t="shared" si="212"/>
        <v>150</v>
      </c>
      <c r="AQ52" s="233">
        <f t="shared" si="213"/>
        <v>150</v>
      </c>
      <c r="AR52" s="233">
        <f t="shared" si="214"/>
        <v>150</v>
      </c>
      <c r="AS52" s="233">
        <f t="shared" si="215"/>
        <v>150</v>
      </c>
      <c r="AT52" s="233">
        <f t="shared" si="216"/>
        <v>150</v>
      </c>
      <c r="AU52" s="234">
        <f t="shared" si="217"/>
        <v>150</v>
      </c>
      <c r="AV52" s="233">
        <f t="shared" si="218"/>
        <v>150</v>
      </c>
      <c r="AW52" s="233">
        <f t="shared" si="219"/>
        <v>150</v>
      </c>
      <c r="AX52" s="233">
        <f t="shared" si="220"/>
        <v>150</v>
      </c>
      <c r="AY52" s="233">
        <f t="shared" si="221"/>
        <v>150</v>
      </c>
      <c r="AZ52" s="233">
        <f t="shared" si="222"/>
        <v>150</v>
      </c>
      <c r="BA52" s="233">
        <f t="shared" si="223"/>
        <v>150</v>
      </c>
      <c r="BB52" s="233">
        <f t="shared" si="224"/>
        <v>150</v>
      </c>
      <c r="BC52" s="234">
        <f t="shared" si="225"/>
        <v>150</v>
      </c>
      <c r="BD52" s="306">
        <f t="shared" si="254"/>
        <v>2400</v>
      </c>
      <c r="BE52" s="304">
        <f t="shared" si="255"/>
        <v>1200</v>
      </c>
      <c r="BF52" s="307">
        <f t="shared" si="256"/>
        <v>3600</v>
      </c>
      <c r="BG52" s="333">
        <f t="shared" si="250"/>
        <v>1.0000000074505806</v>
      </c>
      <c r="BH52" s="330">
        <f t="shared" si="251"/>
        <v>1.0000000074505806</v>
      </c>
      <c r="BJ52" s="229">
        <v>6</v>
      </c>
      <c r="BK52" s="232">
        <f t="shared" si="226"/>
        <v>600</v>
      </c>
      <c r="BL52" s="233">
        <f t="shared" si="227"/>
        <v>600</v>
      </c>
      <c r="BM52" s="233">
        <f t="shared" si="228"/>
        <v>600</v>
      </c>
      <c r="BN52" s="233">
        <f t="shared" si="229"/>
        <v>600</v>
      </c>
      <c r="BO52" s="233">
        <f t="shared" si="230"/>
        <v>600</v>
      </c>
      <c r="BP52" s="233">
        <f t="shared" si="231"/>
        <v>600</v>
      </c>
      <c r="BQ52" s="233">
        <f t="shared" si="232"/>
        <v>600</v>
      </c>
      <c r="BR52" s="233">
        <f t="shared" si="233"/>
        <v>600</v>
      </c>
      <c r="BS52" s="233">
        <f t="shared" si="234"/>
        <v>600</v>
      </c>
      <c r="BT52" s="233">
        <f t="shared" si="235"/>
        <v>600</v>
      </c>
      <c r="BU52" s="233">
        <f t="shared" si="236"/>
        <v>600</v>
      </c>
      <c r="BV52" s="233">
        <f t="shared" si="237"/>
        <v>600</v>
      </c>
      <c r="BW52" s="233">
        <f t="shared" si="238"/>
        <v>600</v>
      </c>
      <c r="BX52" s="233">
        <f t="shared" si="239"/>
        <v>600</v>
      </c>
      <c r="BY52" s="233">
        <f t="shared" si="240"/>
        <v>600</v>
      </c>
      <c r="BZ52" s="234">
        <f t="shared" si="241"/>
        <v>600</v>
      </c>
      <c r="CA52" s="233">
        <f t="shared" si="242"/>
        <v>600</v>
      </c>
      <c r="CB52" s="233">
        <f t="shared" si="243"/>
        <v>600</v>
      </c>
      <c r="CC52" s="233">
        <f t="shared" si="244"/>
        <v>600</v>
      </c>
      <c r="CD52" s="233">
        <f t="shared" si="245"/>
        <v>600</v>
      </c>
      <c r="CE52" s="233">
        <f t="shared" si="246"/>
        <v>600</v>
      </c>
      <c r="CF52" s="233">
        <f t="shared" si="247"/>
        <v>600</v>
      </c>
      <c r="CG52" s="233">
        <f t="shared" si="248"/>
        <v>600</v>
      </c>
      <c r="CH52" s="234">
        <f t="shared" si="249"/>
        <v>600</v>
      </c>
      <c r="CI52" s="306">
        <f t="shared" si="257"/>
        <v>9600</v>
      </c>
      <c r="CJ52" s="304">
        <f t="shared" si="258"/>
        <v>4800</v>
      </c>
      <c r="CK52" s="307">
        <f t="shared" si="259"/>
        <v>14400</v>
      </c>
      <c r="CL52" s="333">
        <f t="shared" si="252"/>
        <v>1.0000000074505806</v>
      </c>
      <c r="CM52" s="330">
        <f t="shared" si="253"/>
        <v>1.0000000074505806</v>
      </c>
    </row>
    <row r="53" spans="1:91">
      <c r="A53" s="310">
        <v>1</v>
      </c>
      <c r="B53" s="354">
        <f t="shared" ref="B53:B64" si="260">EOMONTH(CurveDate+31,MOD(A37-MONTH(CurveDate+31),12)-1)+1</f>
        <v>36892</v>
      </c>
      <c r="C53" s="238">
        <f>VLOOKUP(B53,PriceTableWeekend,3,0)+IF(BasisNumber&lt;&gt;1,VLOOKUP(B37,BasisTable,2,0),0)</f>
        <v>35</v>
      </c>
      <c r="D53" s="238">
        <f>VLOOKUP(B37,PriceTable,7,0)+IF(BasisNumber&lt;&gt;1,VLOOKUP(B37,BasisTable,3,0),0)</f>
        <v>19.306451612903224</v>
      </c>
      <c r="E53" s="229">
        <v>1</v>
      </c>
      <c r="F53" s="290">
        <f t="shared" ref="F53:F64" si="261">C53*F21</f>
        <v>40.888686180114746</v>
      </c>
      <c r="G53" s="291">
        <f t="shared" ref="G53:G64" si="262">C53*G21</f>
        <v>40.113192796707153</v>
      </c>
      <c r="H53" s="291">
        <f t="shared" ref="H53:H64" si="263">C53*H21</f>
        <v>37.627154588699341</v>
      </c>
      <c r="I53" s="291">
        <f t="shared" ref="I53:I64" si="264">C53*I21</f>
        <v>37.184445858001709</v>
      </c>
      <c r="J53" s="291">
        <f t="shared" ref="J53:J64" si="265">C53*J21</f>
        <v>36.985238194465637</v>
      </c>
      <c r="K53" s="291">
        <f t="shared" ref="K53:K64" si="266">C53*K21</f>
        <v>36.514458060264587</v>
      </c>
      <c r="L53" s="291">
        <f t="shared" ref="L53:L64" si="267">C53*L21</f>
        <v>35.844466090202332</v>
      </c>
      <c r="M53" s="291">
        <f t="shared" ref="M53:M64" si="268">C53*M21</f>
        <v>34.604985117912292</v>
      </c>
      <c r="N53" s="291">
        <f t="shared" ref="N53:N64" si="269">C53*N21</f>
        <v>34.402351975440979</v>
      </c>
      <c r="O53" s="291">
        <f t="shared" ref="O53:O64" si="270">C53*O21</f>
        <v>34.169492423534393</v>
      </c>
      <c r="P53" s="291">
        <f t="shared" ref="P53:P64" si="271">C53*P21</f>
        <v>33.452209234237671</v>
      </c>
      <c r="Q53" s="291">
        <f t="shared" ref="Q53:Q64" si="272">C53*Q21</f>
        <v>32.364200353622437</v>
      </c>
      <c r="R53" s="291">
        <f t="shared" ref="R53:R64" si="273">C53*R21</f>
        <v>32.059023976325989</v>
      </c>
      <c r="S53" s="291">
        <f t="shared" ref="S53:S64" si="274">C53*S21</f>
        <v>31.927447617053986</v>
      </c>
      <c r="T53" s="291">
        <f t="shared" ref="T53:T64" si="275">C53*T21</f>
        <v>31.538749635219574</v>
      </c>
      <c r="U53" s="292">
        <f t="shared" ref="U53:U64" si="276">C53*U21</f>
        <v>30.323895812034607</v>
      </c>
      <c r="V53" s="291">
        <f t="shared" ref="V53:V64" si="277">D53*V21</f>
        <v>22.074298526010203</v>
      </c>
      <c r="W53" s="291">
        <f t="shared" ref="W53:W64" si="278">D53*W21</f>
        <v>22.017893158620403</v>
      </c>
      <c r="X53" s="291">
        <f t="shared" ref="X53:X64" si="279">D53*X21</f>
        <v>19.68795194356672</v>
      </c>
      <c r="Y53" s="291">
        <f t="shared" ref="Y53:Y64" si="280">D53*Y21</f>
        <v>18.785478723625982</v>
      </c>
      <c r="Z53" s="291">
        <f t="shared" ref="Z53:Z64" si="281">D53*Z21</f>
        <v>18.669201917225312</v>
      </c>
      <c r="AA53" s="291">
        <f t="shared" ref="AA53:AA64" si="282">D53*AA21</f>
        <v>17.876301209772784</v>
      </c>
      <c r="AB53" s="291">
        <f t="shared" ref="AB53:AB64" si="283">D53*AB21</f>
        <v>17.793095928046011</v>
      </c>
      <c r="AC53" s="292">
        <f t="shared" ref="AC53:AC64" si="284">D53*AC21</f>
        <v>17.547390345604189</v>
      </c>
      <c r="AE53" s="229">
        <v>7</v>
      </c>
      <c r="AF53" s="232">
        <f t="shared" si="202"/>
        <v>150</v>
      </c>
      <c r="AG53" s="233">
        <f t="shared" si="203"/>
        <v>150</v>
      </c>
      <c r="AH53" s="233">
        <f t="shared" si="204"/>
        <v>150</v>
      </c>
      <c r="AI53" s="233">
        <f t="shared" si="205"/>
        <v>150</v>
      </c>
      <c r="AJ53" s="233">
        <f t="shared" si="206"/>
        <v>150</v>
      </c>
      <c r="AK53" s="233">
        <f t="shared" si="207"/>
        <v>150</v>
      </c>
      <c r="AL53" s="233">
        <f t="shared" si="208"/>
        <v>150</v>
      </c>
      <c r="AM53" s="233">
        <f t="shared" si="209"/>
        <v>150</v>
      </c>
      <c r="AN53" s="233">
        <f t="shared" si="210"/>
        <v>150</v>
      </c>
      <c r="AO53" s="233">
        <f t="shared" si="211"/>
        <v>150</v>
      </c>
      <c r="AP53" s="233">
        <f t="shared" si="212"/>
        <v>150</v>
      </c>
      <c r="AQ53" s="233">
        <f t="shared" si="213"/>
        <v>150</v>
      </c>
      <c r="AR53" s="233">
        <f t="shared" si="214"/>
        <v>150</v>
      </c>
      <c r="AS53" s="233">
        <f t="shared" si="215"/>
        <v>150</v>
      </c>
      <c r="AT53" s="233">
        <f t="shared" si="216"/>
        <v>150</v>
      </c>
      <c r="AU53" s="234">
        <f t="shared" si="217"/>
        <v>150</v>
      </c>
      <c r="AV53" s="233">
        <f t="shared" si="218"/>
        <v>150</v>
      </c>
      <c r="AW53" s="233">
        <f t="shared" si="219"/>
        <v>150</v>
      </c>
      <c r="AX53" s="233">
        <f t="shared" si="220"/>
        <v>150</v>
      </c>
      <c r="AY53" s="233">
        <f t="shared" si="221"/>
        <v>150</v>
      </c>
      <c r="AZ53" s="233">
        <f t="shared" si="222"/>
        <v>150</v>
      </c>
      <c r="BA53" s="233">
        <f t="shared" si="223"/>
        <v>150</v>
      </c>
      <c r="BB53" s="233">
        <f t="shared" si="224"/>
        <v>150</v>
      </c>
      <c r="BC53" s="234">
        <f t="shared" si="225"/>
        <v>150</v>
      </c>
      <c r="BD53" s="306">
        <f t="shared" si="254"/>
        <v>2400</v>
      </c>
      <c r="BE53" s="304">
        <f t="shared" si="255"/>
        <v>1200</v>
      </c>
      <c r="BF53" s="307">
        <f t="shared" si="256"/>
        <v>3600</v>
      </c>
      <c r="BG53" s="333">
        <f t="shared" si="250"/>
        <v>1.0000000037252903</v>
      </c>
      <c r="BH53" s="330">
        <f t="shared" si="251"/>
        <v>0.99999998509883881</v>
      </c>
      <c r="BJ53" s="229">
        <v>7</v>
      </c>
      <c r="BK53" s="232">
        <f t="shared" si="226"/>
        <v>600</v>
      </c>
      <c r="BL53" s="233">
        <f t="shared" si="227"/>
        <v>600</v>
      </c>
      <c r="BM53" s="233">
        <f t="shared" si="228"/>
        <v>600</v>
      </c>
      <c r="BN53" s="233">
        <f t="shared" si="229"/>
        <v>600</v>
      </c>
      <c r="BO53" s="233">
        <f t="shared" si="230"/>
        <v>600</v>
      </c>
      <c r="BP53" s="233">
        <f t="shared" si="231"/>
        <v>600</v>
      </c>
      <c r="BQ53" s="233">
        <f t="shared" si="232"/>
        <v>600</v>
      </c>
      <c r="BR53" s="233">
        <f t="shared" si="233"/>
        <v>600</v>
      </c>
      <c r="BS53" s="233">
        <f t="shared" si="234"/>
        <v>600</v>
      </c>
      <c r="BT53" s="233">
        <f t="shared" si="235"/>
        <v>600</v>
      </c>
      <c r="BU53" s="233">
        <f t="shared" si="236"/>
        <v>600</v>
      </c>
      <c r="BV53" s="233">
        <f t="shared" si="237"/>
        <v>600</v>
      </c>
      <c r="BW53" s="233">
        <f t="shared" si="238"/>
        <v>600</v>
      </c>
      <c r="BX53" s="233">
        <f t="shared" si="239"/>
        <v>600</v>
      </c>
      <c r="BY53" s="233">
        <f t="shared" si="240"/>
        <v>600</v>
      </c>
      <c r="BZ53" s="234">
        <f t="shared" si="241"/>
        <v>600</v>
      </c>
      <c r="CA53" s="233">
        <f t="shared" si="242"/>
        <v>600</v>
      </c>
      <c r="CB53" s="233">
        <f t="shared" si="243"/>
        <v>600</v>
      </c>
      <c r="CC53" s="233">
        <f t="shared" si="244"/>
        <v>600</v>
      </c>
      <c r="CD53" s="233">
        <f t="shared" si="245"/>
        <v>600</v>
      </c>
      <c r="CE53" s="233">
        <f t="shared" si="246"/>
        <v>600</v>
      </c>
      <c r="CF53" s="233">
        <f t="shared" si="247"/>
        <v>600</v>
      </c>
      <c r="CG53" s="233">
        <f t="shared" si="248"/>
        <v>600</v>
      </c>
      <c r="CH53" s="234">
        <f t="shared" si="249"/>
        <v>600</v>
      </c>
      <c r="CI53" s="306">
        <f t="shared" si="257"/>
        <v>9600</v>
      </c>
      <c r="CJ53" s="304">
        <f t="shared" si="258"/>
        <v>4800</v>
      </c>
      <c r="CK53" s="307">
        <f t="shared" si="259"/>
        <v>14400</v>
      </c>
      <c r="CL53" s="333">
        <f t="shared" si="252"/>
        <v>1.0000000037252903</v>
      </c>
      <c r="CM53" s="330">
        <f t="shared" si="253"/>
        <v>0.99999998509883881</v>
      </c>
    </row>
    <row r="54" spans="1:91">
      <c r="A54" s="311">
        <v>2</v>
      </c>
      <c r="B54" s="355">
        <f t="shared" si="260"/>
        <v>36923</v>
      </c>
      <c r="C54" s="239">
        <f t="shared" ref="C54:C64" si="285">VLOOKUP(B54,PriceTableWeekend,3,0)+IF(BasisNumber&lt;&gt;1,VLOOKUP(B38,BasisTable,2,0),0)</f>
        <v>34.5</v>
      </c>
      <c r="D54" s="239">
        <f t="shared" ref="D54:D64" si="286">VLOOKUP(B38,PriceTable,7,0)+IF(BasisNumber&lt;&gt;1,VLOOKUP(B38,BasisTable,3,0),0)</f>
        <v>19.607142857142854</v>
      </c>
      <c r="E54" s="229">
        <v>2</v>
      </c>
      <c r="F54" s="290">
        <f t="shared" si="261"/>
        <v>39.213650643825531</v>
      </c>
      <c r="G54" s="291">
        <f t="shared" si="262"/>
        <v>38.225405037403107</v>
      </c>
      <c r="H54" s="291">
        <f t="shared" si="263"/>
        <v>36.819208323955536</v>
      </c>
      <c r="I54" s="291">
        <f t="shared" si="264"/>
        <v>36.594834744930267</v>
      </c>
      <c r="J54" s="291">
        <f t="shared" si="265"/>
        <v>36.475890755653381</v>
      </c>
      <c r="K54" s="291">
        <f t="shared" si="266"/>
        <v>35.405403077602386</v>
      </c>
      <c r="L54" s="291">
        <f t="shared" si="267"/>
        <v>35.308667778968811</v>
      </c>
      <c r="M54" s="291">
        <f t="shared" si="268"/>
        <v>34.531157970428467</v>
      </c>
      <c r="N54" s="291">
        <f t="shared" si="269"/>
        <v>34.128434211015701</v>
      </c>
      <c r="O54" s="291">
        <f t="shared" si="270"/>
        <v>33.105837106704712</v>
      </c>
      <c r="P54" s="291">
        <f t="shared" si="271"/>
        <v>33.099160104990005</v>
      </c>
      <c r="Q54" s="291">
        <f t="shared" si="272"/>
        <v>32.751495391130447</v>
      </c>
      <c r="R54" s="291">
        <f t="shared" si="273"/>
        <v>31.696321427822113</v>
      </c>
      <c r="S54" s="291">
        <f t="shared" si="274"/>
        <v>31.666660487651825</v>
      </c>
      <c r="T54" s="291">
        <f t="shared" si="275"/>
        <v>31.645140677690506</v>
      </c>
      <c r="U54" s="292">
        <f t="shared" si="276"/>
        <v>31.332732260227203</v>
      </c>
      <c r="V54" s="291">
        <f t="shared" si="277"/>
        <v>22.978300899267193</v>
      </c>
      <c r="W54" s="291">
        <f t="shared" si="278"/>
        <v>22.257982288088115</v>
      </c>
      <c r="X54" s="291">
        <f t="shared" si="279"/>
        <v>19.822953049625667</v>
      </c>
      <c r="Y54" s="291">
        <f t="shared" si="280"/>
        <v>19.239320537873674</v>
      </c>
      <c r="Z54" s="291">
        <f t="shared" si="281"/>
        <v>18.580407711012018</v>
      </c>
      <c r="AA54" s="291">
        <f t="shared" si="282"/>
        <v>18.258501533951076</v>
      </c>
      <c r="AB54" s="291">
        <f t="shared" si="283"/>
        <v>18.014245748519894</v>
      </c>
      <c r="AC54" s="292">
        <f t="shared" si="284"/>
        <v>17.70542992012841</v>
      </c>
      <c r="AE54" s="229">
        <v>8</v>
      </c>
      <c r="AF54" s="232">
        <f t="shared" si="202"/>
        <v>150</v>
      </c>
      <c r="AG54" s="233">
        <f t="shared" si="203"/>
        <v>150</v>
      </c>
      <c r="AH54" s="233">
        <f t="shared" si="204"/>
        <v>150</v>
      </c>
      <c r="AI54" s="233">
        <f t="shared" si="205"/>
        <v>150</v>
      </c>
      <c r="AJ54" s="233">
        <f t="shared" si="206"/>
        <v>150</v>
      </c>
      <c r="AK54" s="233">
        <f t="shared" si="207"/>
        <v>150</v>
      </c>
      <c r="AL54" s="233">
        <f t="shared" si="208"/>
        <v>150</v>
      </c>
      <c r="AM54" s="233">
        <f t="shared" si="209"/>
        <v>150</v>
      </c>
      <c r="AN54" s="233">
        <f t="shared" si="210"/>
        <v>150</v>
      </c>
      <c r="AO54" s="233">
        <f t="shared" si="211"/>
        <v>150</v>
      </c>
      <c r="AP54" s="233">
        <f t="shared" si="212"/>
        <v>150</v>
      </c>
      <c r="AQ54" s="233">
        <f t="shared" si="213"/>
        <v>150</v>
      </c>
      <c r="AR54" s="233">
        <f t="shared" si="214"/>
        <v>150</v>
      </c>
      <c r="AS54" s="233">
        <f t="shared" si="215"/>
        <v>150</v>
      </c>
      <c r="AT54" s="233">
        <f t="shared" si="216"/>
        <v>150</v>
      </c>
      <c r="AU54" s="234">
        <f t="shared" si="217"/>
        <v>150</v>
      </c>
      <c r="AV54" s="233">
        <f t="shared" si="218"/>
        <v>150</v>
      </c>
      <c r="AW54" s="233">
        <f t="shared" si="219"/>
        <v>150</v>
      </c>
      <c r="AX54" s="233">
        <f t="shared" si="220"/>
        <v>150</v>
      </c>
      <c r="AY54" s="233">
        <f t="shared" si="221"/>
        <v>150</v>
      </c>
      <c r="AZ54" s="233">
        <f t="shared" si="222"/>
        <v>150</v>
      </c>
      <c r="BA54" s="233">
        <f t="shared" si="223"/>
        <v>150</v>
      </c>
      <c r="BB54" s="233">
        <f t="shared" si="224"/>
        <v>150</v>
      </c>
      <c r="BC54" s="234">
        <f t="shared" si="225"/>
        <v>150</v>
      </c>
      <c r="BD54" s="306">
        <f t="shared" si="254"/>
        <v>2400</v>
      </c>
      <c r="BE54" s="304">
        <f t="shared" si="255"/>
        <v>1200</v>
      </c>
      <c r="BF54" s="307">
        <f t="shared" si="256"/>
        <v>3600</v>
      </c>
      <c r="BG54" s="333">
        <f t="shared" si="250"/>
        <v>0.9999999888241291</v>
      </c>
      <c r="BH54" s="330">
        <f t="shared" si="251"/>
        <v>1.0000000074505806</v>
      </c>
      <c r="BJ54" s="229">
        <v>8</v>
      </c>
      <c r="BK54" s="232">
        <f t="shared" si="226"/>
        <v>600</v>
      </c>
      <c r="BL54" s="233">
        <f t="shared" si="227"/>
        <v>600</v>
      </c>
      <c r="BM54" s="233">
        <f t="shared" si="228"/>
        <v>600</v>
      </c>
      <c r="BN54" s="233">
        <f t="shared" si="229"/>
        <v>600</v>
      </c>
      <c r="BO54" s="233">
        <f t="shared" si="230"/>
        <v>600</v>
      </c>
      <c r="BP54" s="233">
        <f t="shared" si="231"/>
        <v>600</v>
      </c>
      <c r="BQ54" s="233">
        <f t="shared" si="232"/>
        <v>600</v>
      </c>
      <c r="BR54" s="233">
        <f t="shared" si="233"/>
        <v>600</v>
      </c>
      <c r="BS54" s="233">
        <f t="shared" si="234"/>
        <v>600</v>
      </c>
      <c r="BT54" s="233">
        <f t="shared" si="235"/>
        <v>600</v>
      </c>
      <c r="BU54" s="233">
        <f t="shared" si="236"/>
        <v>600</v>
      </c>
      <c r="BV54" s="233">
        <f t="shared" si="237"/>
        <v>600</v>
      </c>
      <c r="BW54" s="233">
        <f t="shared" si="238"/>
        <v>600</v>
      </c>
      <c r="BX54" s="233">
        <f t="shared" si="239"/>
        <v>600</v>
      </c>
      <c r="BY54" s="233">
        <f t="shared" si="240"/>
        <v>600</v>
      </c>
      <c r="BZ54" s="234">
        <f t="shared" si="241"/>
        <v>600</v>
      </c>
      <c r="CA54" s="233">
        <f t="shared" si="242"/>
        <v>600</v>
      </c>
      <c r="CB54" s="233">
        <f t="shared" si="243"/>
        <v>600</v>
      </c>
      <c r="CC54" s="233">
        <f t="shared" si="244"/>
        <v>600</v>
      </c>
      <c r="CD54" s="233">
        <f t="shared" si="245"/>
        <v>600</v>
      </c>
      <c r="CE54" s="233">
        <f t="shared" si="246"/>
        <v>600</v>
      </c>
      <c r="CF54" s="233">
        <f t="shared" si="247"/>
        <v>600</v>
      </c>
      <c r="CG54" s="233">
        <f t="shared" si="248"/>
        <v>600</v>
      </c>
      <c r="CH54" s="234">
        <f t="shared" si="249"/>
        <v>600</v>
      </c>
      <c r="CI54" s="306">
        <f t="shared" si="257"/>
        <v>9600</v>
      </c>
      <c r="CJ54" s="304">
        <f t="shared" si="258"/>
        <v>4800</v>
      </c>
      <c r="CK54" s="307">
        <f t="shared" si="259"/>
        <v>14400</v>
      </c>
      <c r="CL54" s="333">
        <f t="shared" si="252"/>
        <v>0.9999999888241291</v>
      </c>
      <c r="CM54" s="330">
        <f t="shared" si="253"/>
        <v>1.0000000074505806</v>
      </c>
    </row>
    <row r="55" spans="1:91">
      <c r="A55" s="311">
        <v>3</v>
      </c>
      <c r="B55" s="355">
        <f t="shared" si="260"/>
        <v>36951</v>
      </c>
      <c r="C55" s="239">
        <f t="shared" si="285"/>
        <v>33.75</v>
      </c>
      <c r="D55" s="239">
        <f t="shared" si="286"/>
        <v>19.887096774193548</v>
      </c>
      <c r="E55" s="229">
        <v>3</v>
      </c>
      <c r="F55" s="290">
        <f t="shared" si="261"/>
        <v>38.110724687576294</v>
      </c>
      <c r="G55" s="291">
        <f t="shared" si="262"/>
        <v>36.352339535951614</v>
      </c>
      <c r="H55" s="291">
        <f t="shared" si="263"/>
        <v>35.349138379096985</v>
      </c>
      <c r="I55" s="291">
        <f t="shared" si="264"/>
        <v>35.322133898735046</v>
      </c>
      <c r="J55" s="291">
        <f t="shared" si="265"/>
        <v>34.81635108590126</v>
      </c>
      <c r="K55" s="291">
        <f t="shared" si="266"/>
        <v>34.764414131641388</v>
      </c>
      <c r="L55" s="291">
        <f t="shared" si="267"/>
        <v>34.309590607881546</v>
      </c>
      <c r="M55" s="291">
        <f t="shared" si="268"/>
        <v>33.779478818178177</v>
      </c>
      <c r="N55" s="291">
        <f t="shared" si="269"/>
        <v>33.752526640892029</v>
      </c>
      <c r="O55" s="291">
        <f t="shared" si="270"/>
        <v>33.532789349555969</v>
      </c>
      <c r="P55" s="291">
        <f t="shared" si="271"/>
        <v>33.124465271830559</v>
      </c>
      <c r="Q55" s="291">
        <f t="shared" si="272"/>
        <v>32.088743671774864</v>
      </c>
      <c r="R55" s="291">
        <f t="shared" si="273"/>
        <v>31.984648481011391</v>
      </c>
      <c r="S55" s="291">
        <f t="shared" si="274"/>
        <v>31.635726615786552</v>
      </c>
      <c r="T55" s="291">
        <f t="shared" si="275"/>
        <v>31.092772409319878</v>
      </c>
      <c r="U55" s="292">
        <f t="shared" si="276"/>
        <v>29.984154403209686</v>
      </c>
      <c r="V55" s="291">
        <f t="shared" si="277"/>
        <v>23.431254923343658</v>
      </c>
      <c r="W55" s="291">
        <f t="shared" si="278"/>
        <v>21.616418607773319</v>
      </c>
      <c r="X55" s="291">
        <f t="shared" si="279"/>
        <v>20.246072207727739</v>
      </c>
      <c r="Y55" s="291">
        <f t="shared" si="280"/>
        <v>19.787513214734293</v>
      </c>
      <c r="Z55" s="291">
        <f t="shared" si="281"/>
        <v>18.922719537250458</v>
      </c>
      <c r="AA55" s="291">
        <f t="shared" si="282"/>
        <v>18.423250099343637</v>
      </c>
      <c r="AB55" s="291">
        <f t="shared" si="283"/>
        <v>18.382342025156944</v>
      </c>
      <c r="AC55" s="292">
        <f t="shared" si="284"/>
        <v>18.287204763581677</v>
      </c>
      <c r="AE55" s="229">
        <v>9</v>
      </c>
      <c r="AF55" s="232">
        <f t="shared" si="202"/>
        <v>150</v>
      </c>
      <c r="AG55" s="233">
        <f t="shared" si="203"/>
        <v>150</v>
      </c>
      <c r="AH55" s="233">
        <f t="shared" si="204"/>
        <v>150</v>
      </c>
      <c r="AI55" s="233">
        <f t="shared" si="205"/>
        <v>150</v>
      </c>
      <c r="AJ55" s="233">
        <f t="shared" si="206"/>
        <v>150</v>
      </c>
      <c r="AK55" s="233">
        <f t="shared" si="207"/>
        <v>150</v>
      </c>
      <c r="AL55" s="233">
        <f t="shared" si="208"/>
        <v>150</v>
      </c>
      <c r="AM55" s="233">
        <f t="shared" si="209"/>
        <v>150</v>
      </c>
      <c r="AN55" s="233">
        <f t="shared" si="210"/>
        <v>150</v>
      </c>
      <c r="AO55" s="233">
        <f t="shared" si="211"/>
        <v>150</v>
      </c>
      <c r="AP55" s="233">
        <f t="shared" si="212"/>
        <v>150</v>
      </c>
      <c r="AQ55" s="233">
        <f t="shared" si="213"/>
        <v>150</v>
      </c>
      <c r="AR55" s="233">
        <f t="shared" si="214"/>
        <v>150</v>
      </c>
      <c r="AS55" s="233">
        <f t="shared" si="215"/>
        <v>150</v>
      </c>
      <c r="AT55" s="233">
        <f t="shared" si="216"/>
        <v>150</v>
      </c>
      <c r="AU55" s="234">
        <f t="shared" si="217"/>
        <v>150</v>
      </c>
      <c r="AV55" s="233">
        <f t="shared" si="218"/>
        <v>150</v>
      </c>
      <c r="AW55" s="233">
        <f t="shared" si="219"/>
        <v>150</v>
      </c>
      <c r="AX55" s="233">
        <f t="shared" si="220"/>
        <v>150</v>
      </c>
      <c r="AY55" s="233">
        <f t="shared" si="221"/>
        <v>150</v>
      </c>
      <c r="AZ55" s="233">
        <f t="shared" si="222"/>
        <v>150</v>
      </c>
      <c r="BA55" s="233">
        <f t="shared" si="223"/>
        <v>150</v>
      </c>
      <c r="BB55" s="233">
        <f t="shared" si="224"/>
        <v>150</v>
      </c>
      <c r="BC55" s="234">
        <f t="shared" si="225"/>
        <v>150</v>
      </c>
      <c r="BD55" s="306">
        <f t="shared" si="254"/>
        <v>2400</v>
      </c>
      <c r="BE55" s="304">
        <f t="shared" si="255"/>
        <v>1200</v>
      </c>
      <c r="BF55" s="307">
        <f t="shared" si="256"/>
        <v>3600</v>
      </c>
      <c r="BG55" s="333">
        <f t="shared" si="250"/>
        <v>0.9999999925494194</v>
      </c>
      <c r="BH55" s="330">
        <f t="shared" si="251"/>
        <v>0.9999999925494194</v>
      </c>
      <c r="BJ55" s="229">
        <v>9</v>
      </c>
      <c r="BK55" s="232">
        <f t="shared" si="226"/>
        <v>600</v>
      </c>
      <c r="BL55" s="233">
        <f t="shared" si="227"/>
        <v>600</v>
      </c>
      <c r="BM55" s="233">
        <f t="shared" si="228"/>
        <v>600</v>
      </c>
      <c r="BN55" s="233">
        <f t="shared" si="229"/>
        <v>600</v>
      </c>
      <c r="BO55" s="233">
        <f t="shared" si="230"/>
        <v>600</v>
      </c>
      <c r="BP55" s="233">
        <f t="shared" si="231"/>
        <v>600</v>
      </c>
      <c r="BQ55" s="233">
        <f t="shared" si="232"/>
        <v>600</v>
      </c>
      <c r="BR55" s="233">
        <f t="shared" si="233"/>
        <v>600</v>
      </c>
      <c r="BS55" s="233">
        <f t="shared" si="234"/>
        <v>600</v>
      </c>
      <c r="BT55" s="233">
        <f t="shared" si="235"/>
        <v>600</v>
      </c>
      <c r="BU55" s="233">
        <f t="shared" si="236"/>
        <v>600</v>
      </c>
      <c r="BV55" s="233">
        <f t="shared" si="237"/>
        <v>600</v>
      </c>
      <c r="BW55" s="233">
        <f t="shared" si="238"/>
        <v>600</v>
      </c>
      <c r="BX55" s="233">
        <f t="shared" si="239"/>
        <v>600</v>
      </c>
      <c r="BY55" s="233">
        <f t="shared" si="240"/>
        <v>600</v>
      </c>
      <c r="BZ55" s="234">
        <f t="shared" si="241"/>
        <v>600</v>
      </c>
      <c r="CA55" s="233">
        <f t="shared" si="242"/>
        <v>600</v>
      </c>
      <c r="CB55" s="233">
        <f t="shared" si="243"/>
        <v>600</v>
      </c>
      <c r="CC55" s="233">
        <f t="shared" si="244"/>
        <v>600</v>
      </c>
      <c r="CD55" s="233">
        <f t="shared" si="245"/>
        <v>600</v>
      </c>
      <c r="CE55" s="233">
        <f t="shared" si="246"/>
        <v>600</v>
      </c>
      <c r="CF55" s="233">
        <f t="shared" si="247"/>
        <v>600</v>
      </c>
      <c r="CG55" s="233">
        <f t="shared" si="248"/>
        <v>600</v>
      </c>
      <c r="CH55" s="234">
        <f t="shared" si="249"/>
        <v>600</v>
      </c>
      <c r="CI55" s="306">
        <f t="shared" si="257"/>
        <v>9600</v>
      </c>
      <c r="CJ55" s="304">
        <f t="shared" si="258"/>
        <v>4800</v>
      </c>
      <c r="CK55" s="307">
        <f t="shared" si="259"/>
        <v>14400</v>
      </c>
      <c r="CL55" s="333">
        <f t="shared" si="252"/>
        <v>0.9999999925494194</v>
      </c>
      <c r="CM55" s="330">
        <f t="shared" si="253"/>
        <v>0.9999999925494194</v>
      </c>
    </row>
    <row r="56" spans="1:91">
      <c r="A56" s="311">
        <v>4</v>
      </c>
      <c r="B56" s="355">
        <f t="shared" si="260"/>
        <v>36982</v>
      </c>
      <c r="C56" s="239">
        <f t="shared" si="285"/>
        <v>33.25</v>
      </c>
      <c r="D56" s="239">
        <f t="shared" si="286"/>
        <v>17.6875</v>
      </c>
      <c r="E56" s="229">
        <v>4</v>
      </c>
      <c r="F56" s="290">
        <f t="shared" si="261"/>
        <v>35.46812716126442</v>
      </c>
      <c r="G56" s="291">
        <f t="shared" si="262"/>
        <v>35.058636397123337</v>
      </c>
      <c r="H56" s="291">
        <f t="shared" si="263"/>
        <v>34.984586387872696</v>
      </c>
      <c r="I56" s="291">
        <f t="shared" si="264"/>
        <v>34.778731167316437</v>
      </c>
      <c r="J56" s="291">
        <f t="shared" si="265"/>
        <v>34.398377627134323</v>
      </c>
      <c r="K56" s="291">
        <f t="shared" si="266"/>
        <v>34.07613205909729</v>
      </c>
      <c r="L56" s="291">
        <f t="shared" si="267"/>
        <v>33.98857769370079</v>
      </c>
      <c r="M56" s="291">
        <f t="shared" si="268"/>
        <v>33.495032519102097</v>
      </c>
      <c r="N56" s="291">
        <f t="shared" si="269"/>
        <v>33.28995418548584</v>
      </c>
      <c r="O56" s="291">
        <f t="shared" si="270"/>
        <v>32.520372360944748</v>
      </c>
      <c r="P56" s="291">
        <f t="shared" si="271"/>
        <v>32.470574304461479</v>
      </c>
      <c r="Q56" s="291">
        <f t="shared" si="272"/>
        <v>32.140018820762634</v>
      </c>
      <c r="R56" s="291">
        <f t="shared" si="273"/>
        <v>32.043298378586769</v>
      </c>
      <c r="S56" s="291">
        <f t="shared" si="274"/>
        <v>31.875908970832825</v>
      </c>
      <c r="T56" s="291">
        <f t="shared" si="275"/>
        <v>31.759663298726082</v>
      </c>
      <c r="U56" s="292">
        <f t="shared" si="276"/>
        <v>29.652008667588234</v>
      </c>
      <c r="V56" s="291">
        <f t="shared" si="277"/>
        <v>20.488104611635208</v>
      </c>
      <c r="W56" s="291">
        <f t="shared" si="278"/>
        <v>19.152466222643852</v>
      </c>
      <c r="X56" s="291">
        <f t="shared" si="279"/>
        <v>18.47106608748436</v>
      </c>
      <c r="Y56" s="291">
        <f t="shared" si="280"/>
        <v>17.383424825966358</v>
      </c>
      <c r="Z56" s="291">
        <f t="shared" si="281"/>
        <v>17.302045661956072</v>
      </c>
      <c r="AA56" s="291">
        <f t="shared" si="282"/>
        <v>16.603560235351324</v>
      </c>
      <c r="AB56" s="291">
        <f t="shared" si="283"/>
        <v>16.109145257622004</v>
      </c>
      <c r="AC56" s="292">
        <f t="shared" si="284"/>
        <v>15.990188151597977</v>
      </c>
      <c r="AE56" s="229">
        <v>10</v>
      </c>
      <c r="AF56" s="232">
        <f t="shared" si="202"/>
        <v>150</v>
      </c>
      <c r="AG56" s="233">
        <f t="shared" si="203"/>
        <v>150</v>
      </c>
      <c r="AH56" s="233">
        <f t="shared" si="204"/>
        <v>150</v>
      </c>
      <c r="AI56" s="233">
        <f t="shared" si="205"/>
        <v>150</v>
      </c>
      <c r="AJ56" s="233">
        <f t="shared" si="206"/>
        <v>150</v>
      </c>
      <c r="AK56" s="233">
        <f t="shared" si="207"/>
        <v>150</v>
      </c>
      <c r="AL56" s="233">
        <f t="shared" si="208"/>
        <v>150</v>
      </c>
      <c r="AM56" s="233">
        <f t="shared" si="209"/>
        <v>150</v>
      </c>
      <c r="AN56" s="233">
        <f t="shared" si="210"/>
        <v>150</v>
      </c>
      <c r="AO56" s="233">
        <f t="shared" si="211"/>
        <v>150</v>
      </c>
      <c r="AP56" s="233">
        <f t="shared" si="212"/>
        <v>150</v>
      </c>
      <c r="AQ56" s="233">
        <f t="shared" si="213"/>
        <v>150</v>
      </c>
      <c r="AR56" s="233">
        <f t="shared" si="214"/>
        <v>150</v>
      </c>
      <c r="AS56" s="233">
        <f t="shared" si="215"/>
        <v>150</v>
      </c>
      <c r="AT56" s="233">
        <f t="shared" si="216"/>
        <v>150</v>
      </c>
      <c r="AU56" s="234">
        <f t="shared" si="217"/>
        <v>150</v>
      </c>
      <c r="AV56" s="233">
        <f t="shared" si="218"/>
        <v>150</v>
      </c>
      <c r="AW56" s="233">
        <f t="shared" si="219"/>
        <v>150</v>
      </c>
      <c r="AX56" s="233">
        <f t="shared" si="220"/>
        <v>150</v>
      </c>
      <c r="AY56" s="233">
        <f t="shared" si="221"/>
        <v>150</v>
      </c>
      <c r="AZ56" s="233">
        <f t="shared" si="222"/>
        <v>150</v>
      </c>
      <c r="BA56" s="233">
        <f t="shared" si="223"/>
        <v>150</v>
      </c>
      <c r="BB56" s="233">
        <f t="shared" si="224"/>
        <v>150</v>
      </c>
      <c r="BC56" s="234">
        <f t="shared" si="225"/>
        <v>150</v>
      </c>
      <c r="BD56" s="306">
        <f t="shared" si="254"/>
        <v>2400</v>
      </c>
      <c r="BE56" s="304">
        <f t="shared" si="255"/>
        <v>1200</v>
      </c>
      <c r="BF56" s="307">
        <f t="shared" si="256"/>
        <v>3600</v>
      </c>
      <c r="BG56" s="333">
        <f t="shared" si="250"/>
        <v>1.0000000149011612</v>
      </c>
      <c r="BH56" s="330">
        <f t="shared" si="251"/>
        <v>0.9999999925494194</v>
      </c>
      <c r="BJ56" s="229">
        <v>10</v>
      </c>
      <c r="BK56" s="232">
        <f t="shared" si="226"/>
        <v>600</v>
      </c>
      <c r="BL56" s="233">
        <f t="shared" si="227"/>
        <v>600</v>
      </c>
      <c r="BM56" s="233">
        <f t="shared" si="228"/>
        <v>600</v>
      </c>
      <c r="BN56" s="233">
        <f t="shared" si="229"/>
        <v>600</v>
      </c>
      <c r="BO56" s="233">
        <f t="shared" si="230"/>
        <v>600</v>
      </c>
      <c r="BP56" s="233">
        <f t="shared" si="231"/>
        <v>600</v>
      </c>
      <c r="BQ56" s="233">
        <f t="shared" si="232"/>
        <v>600</v>
      </c>
      <c r="BR56" s="233">
        <f t="shared" si="233"/>
        <v>600</v>
      </c>
      <c r="BS56" s="233">
        <f t="shared" si="234"/>
        <v>600</v>
      </c>
      <c r="BT56" s="233">
        <f t="shared" si="235"/>
        <v>600</v>
      </c>
      <c r="BU56" s="233">
        <f t="shared" si="236"/>
        <v>600</v>
      </c>
      <c r="BV56" s="233">
        <f t="shared" si="237"/>
        <v>600</v>
      </c>
      <c r="BW56" s="233">
        <f t="shared" si="238"/>
        <v>600</v>
      </c>
      <c r="BX56" s="233">
        <f t="shared" si="239"/>
        <v>600</v>
      </c>
      <c r="BY56" s="233">
        <f t="shared" si="240"/>
        <v>600</v>
      </c>
      <c r="BZ56" s="234">
        <f t="shared" si="241"/>
        <v>600</v>
      </c>
      <c r="CA56" s="233">
        <f t="shared" si="242"/>
        <v>600</v>
      </c>
      <c r="CB56" s="233">
        <f t="shared" si="243"/>
        <v>600</v>
      </c>
      <c r="CC56" s="233">
        <f t="shared" si="244"/>
        <v>600</v>
      </c>
      <c r="CD56" s="233">
        <f t="shared" si="245"/>
        <v>600</v>
      </c>
      <c r="CE56" s="233">
        <f t="shared" si="246"/>
        <v>600</v>
      </c>
      <c r="CF56" s="233">
        <f t="shared" si="247"/>
        <v>600</v>
      </c>
      <c r="CG56" s="233">
        <f t="shared" si="248"/>
        <v>600</v>
      </c>
      <c r="CH56" s="234">
        <f t="shared" si="249"/>
        <v>600</v>
      </c>
      <c r="CI56" s="306">
        <f t="shared" si="257"/>
        <v>9600</v>
      </c>
      <c r="CJ56" s="304">
        <f t="shared" si="258"/>
        <v>4800</v>
      </c>
      <c r="CK56" s="307">
        <f t="shared" si="259"/>
        <v>14400</v>
      </c>
      <c r="CL56" s="333">
        <f t="shared" si="252"/>
        <v>1.0000000149011612</v>
      </c>
      <c r="CM56" s="330">
        <f t="shared" si="253"/>
        <v>0.9999999925494194</v>
      </c>
    </row>
    <row r="57" spans="1:91">
      <c r="A57" s="311">
        <v>5</v>
      </c>
      <c r="B57" s="355">
        <f t="shared" si="260"/>
        <v>36647</v>
      </c>
      <c r="C57" s="239">
        <f t="shared" si="285"/>
        <v>35.35</v>
      </c>
      <c r="D57" s="239">
        <f t="shared" si="286"/>
        <v>15.584677419354838</v>
      </c>
      <c r="E57" s="229">
        <v>5</v>
      </c>
      <c r="F57" s="290">
        <f t="shared" si="261"/>
        <v>37.127304404973984</v>
      </c>
      <c r="G57" s="291">
        <f t="shared" si="262"/>
        <v>37.123174637556076</v>
      </c>
      <c r="H57" s="291">
        <f t="shared" si="263"/>
        <v>36.849425840377812</v>
      </c>
      <c r="I57" s="291">
        <f t="shared" si="264"/>
        <v>36.534771275520328</v>
      </c>
      <c r="J57" s="291">
        <f t="shared" si="265"/>
        <v>36.446912580728529</v>
      </c>
      <c r="K57" s="291">
        <f t="shared" si="266"/>
        <v>36.071023678779603</v>
      </c>
      <c r="L57" s="291">
        <f t="shared" si="267"/>
        <v>36.021972155570985</v>
      </c>
      <c r="M57" s="291">
        <f t="shared" si="268"/>
        <v>35.680979788303375</v>
      </c>
      <c r="N57" s="291">
        <f t="shared" si="269"/>
        <v>35.33378223478794</v>
      </c>
      <c r="O57" s="291">
        <f t="shared" si="270"/>
        <v>35.093417128920557</v>
      </c>
      <c r="P57" s="291">
        <f t="shared" si="271"/>
        <v>35.069784745573997</v>
      </c>
      <c r="Q57" s="291">
        <f t="shared" si="272"/>
        <v>34.857289248704909</v>
      </c>
      <c r="R57" s="291">
        <f t="shared" si="273"/>
        <v>34.834611347317697</v>
      </c>
      <c r="S57" s="291">
        <f t="shared" si="274"/>
        <v>34.505856576561932</v>
      </c>
      <c r="T57" s="291">
        <f t="shared" si="275"/>
        <v>33.384148535132411</v>
      </c>
      <c r="U57" s="292">
        <f t="shared" si="276"/>
        <v>30.66554582118988</v>
      </c>
      <c r="V57" s="291">
        <f t="shared" si="277"/>
        <v>18.243019261187122</v>
      </c>
      <c r="W57" s="291">
        <f t="shared" si="278"/>
        <v>16.590290004687922</v>
      </c>
      <c r="X57" s="291">
        <f t="shared" si="279"/>
        <v>16.363436798414877</v>
      </c>
      <c r="Y57" s="291">
        <f t="shared" si="280"/>
        <v>15.346249880329255</v>
      </c>
      <c r="Z57" s="291">
        <f t="shared" si="281"/>
        <v>14.85976934192642</v>
      </c>
      <c r="AA57" s="291">
        <f t="shared" si="282"/>
        <v>14.771317659366515</v>
      </c>
      <c r="AB57" s="291">
        <f t="shared" si="283"/>
        <v>14.284837120963681</v>
      </c>
      <c r="AC57" s="292">
        <f t="shared" si="284"/>
        <v>14.218499287962914</v>
      </c>
      <c r="AE57" s="229">
        <v>11</v>
      </c>
      <c r="AF57" s="232">
        <f t="shared" si="202"/>
        <v>150</v>
      </c>
      <c r="AG57" s="233">
        <f t="shared" si="203"/>
        <v>150</v>
      </c>
      <c r="AH57" s="233">
        <f t="shared" si="204"/>
        <v>150</v>
      </c>
      <c r="AI57" s="233">
        <f t="shared" si="205"/>
        <v>150</v>
      </c>
      <c r="AJ57" s="233">
        <f t="shared" si="206"/>
        <v>150</v>
      </c>
      <c r="AK57" s="233">
        <f t="shared" si="207"/>
        <v>150</v>
      </c>
      <c r="AL57" s="233">
        <f t="shared" si="208"/>
        <v>150</v>
      </c>
      <c r="AM57" s="233">
        <f t="shared" si="209"/>
        <v>150</v>
      </c>
      <c r="AN57" s="233">
        <f t="shared" si="210"/>
        <v>150</v>
      </c>
      <c r="AO57" s="233">
        <f t="shared" si="211"/>
        <v>150</v>
      </c>
      <c r="AP57" s="233">
        <f t="shared" si="212"/>
        <v>150</v>
      </c>
      <c r="AQ57" s="233">
        <f t="shared" si="213"/>
        <v>150</v>
      </c>
      <c r="AR57" s="233">
        <f t="shared" si="214"/>
        <v>150</v>
      </c>
      <c r="AS57" s="233">
        <f t="shared" si="215"/>
        <v>150</v>
      </c>
      <c r="AT57" s="233">
        <f t="shared" si="216"/>
        <v>150</v>
      </c>
      <c r="AU57" s="234">
        <f t="shared" si="217"/>
        <v>150</v>
      </c>
      <c r="AV57" s="233">
        <f t="shared" si="218"/>
        <v>150</v>
      </c>
      <c r="AW57" s="233">
        <f t="shared" si="219"/>
        <v>150</v>
      </c>
      <c r="AX57" s="233">
        <f t="shared" si="220"/>
        <v>150</v>
      </c>
      <c r="AY57" s="233">
        <f t="shared" si="221"/>
        <v>150</v>
      </c>
      <c r="AZ57" s="233">
        <f t="shared" si="222"/>
        <v>150</v>
      </c>
      <c r="BA57" s="233">
        <f t="shared" si="223"/>
        <v>150</v>
      </c>
      <c r="BB57" s="233">
        <f t="shared" si="224"/>
        <v>150</v>
      </c>
      <c r="BC57" s="234">
        <f t="shared" si="225"/>
        <v>150</v>
      </c>
      <c r="BD57" s="306">
        <f t="shared" si="254"/>
        <v>2400</v>
      </c>
      <c r="BE57" s="304">
        <f t="shared" si="255"/>
        <v>1200</v>
      </c>
      <c r="BF57" s="307">
        <f t="shared" si="256"/>
        <v>3600</v>
      </c>
      <c r="BG57" s="333">
        <f t="shared" si="250"/>
        <v>1</v>
      </c>
      <c r="BH57" s="330">
        <f t="shared" si="251"/>
        <v>0.9999999925494194</v>
      </c>
      <c r="BJ57" s="229">
        <v>11</v>
      </c>
      <c r="BK57" s="232">
        <f t="shared" si="226"/>
        <v>600</v>
      </c>
      <c r="BL57" s="233">
        <f t="shared" si="227"/>
        <v>600</v>
      </c>
      <c r="BM57" s="233">
        <f t="shared" si="228"/>
        <v>600</v>
      </c>
      <c r="BN57" s="233">
        <f t="shared" si="229"/>
        <v>600</v>
      </c>
      <c r="BO57" s="233">
        <f t="shared" si="230"/>
        <v>600</v>
      </c>
      <c r="BP57" s="233">
        <f t="shared" si="231"/>
        <v>600</v>
      </c>
      <c r="BQ57" s="233">
        <f t="shared" si="232"/>
        <v>600</v>
      </c>
      <c r="BR57" s="233">
        <f t="shared" si="233"/>
        <v>600</v>
      </c>
      <c r="BS57" s="233">
        <f t="shared" si="234"/>
        <v>600</v>
      </c>
      <c r="BT57" s="233">
        <f t="shared" si="235"/>
        <v>600</v>
      </c>
      <c r="BU57" s="233">
        <f t="shared" si="236"/>
        <v>600</v>
      </c>
      <c r="BV57" s="233">
        <f t="shared" si="237"/>
        <v>600</v>
      </c>
      <c r="BW57" s="233">
        <f t="shared" si="238"/>
        <v>600</v>
      </c>
      <c r="BX57" s="233">
        <f t="shared" si="239"/>
        <v>600</v>
      </c>
      <c r="BY57" s="233">
        <f t="shared" si="240"/>
        <v>600</v>
      </c>
      <c r="BZ57" s="234">
        <f t="shared" si="241"/>
        <v>600</v>
      </c>
      <c r="CA57" s="233">
        <f t="shared" si="242"/>
        <v>600</v>
      </c>
      <c r="CB57" s="233">
        <f t="shared" si="243"/>
        <v>600</v>
      </c>
      <c r="CC57" s="233">
        <f t="shared" si="244"/>
        <v>600</v>
      </c>
      <c r="CD57" s="233">
        <f t="shared" si="245"/>
        <v>600</v>
      </c>
      <c r="CE57" s="233">
        <f t="shared" si="246"/>
        <v>600</v>
      </c>
      <c r="CF57" s="233">
        <f t="shared" si="247"/>
        <v>600</v>
      </c>
      <c r="CG57" s="233">
        <f t="shared" si="248"/>
        <v>600</v>
      </c>
      <c r="CH57" s="234">
        <f t="shared" si="249"/>
        <v>600</v>
      </c>
      <c r="CI57" s="306">
        <f t="shared" si="257"/>
        <v>9600</v>
      </c>
      <c r="CJ57" s="304">
        <f t="shared" si="258"/>
        <v>4800</v>
      </c>
      <c r="CK57" s="307">
        <f t="shared" si="259"/>
        <v>14400</v>
      </c>
      <c r="CL57" s="333">
        <f t="shared" si="252"/>
        <v>1</v>
      </c>
      <c r="CM57" s="330">
        <f t="shared" si="253"/>
        <v>0.9999999925494194</v>
      </c>
    </row>
    <row r="58" spans="1:91" ht="13.5" thickBot="1">
      <c r="A58" s="311">
        <v>6</v>
      </c>
      <c r="B58" s="355">
        <f t="shared" si="260"/>
        <v>36678</v>
      </c>
      <c r="C58" s="239">
        <f t="shared" si="285"/>
        <v>39.625</v>
      </c>
      <c r="D58" s="239">
        <f t="shared" si="286"/>
        <v>16.141666666666666</v>
      </c>
      <c r="E58" s="229">
        <v>6</v>
      </c>
      <c r="F58" s="290">
        <f t="shared" si="261"/>
        <v>42.907401382923126</v>
      </c>
      <c r="G58" s="291">
        <f t="shared" si="262"/>
        <v>42.653655380010605</v>
      </c>
      <c r="H58" s="291">
        <f t="shared" si="263"/>
        <v>42.317207396030426</v>
      </c>
      <c r="I58" s="291">
        <f t="shared" si="264"/>
        <v>42.195034444332123</v>
      </c>
      <c r="J58" s="291">
        <f t="shared" si="265"/>
        <v>41.764604359865189</v>
      </c>
      <c r="K58" s="291">
        <f t="shared" si="266"/>
        <v>41.18193045258522</v>
      </c>
      <c r="L58" s="291">
        <f t="shared" si="267"/>
        <v>40.743985012173653</v>
      </c>
      <c r="M58" s="291">
        <f t="shared" si="268"/>
        <v>40.542870119214058</v>
      </c>
      <c r="N58" s="291">
        <f t="shared" si="269"/>
        <v>40.366592273116112</v>
      </c>
      <c r="O58" s="291">
        <f t="shared" si="270"/>
        <v>39.642543703317642</v>
      </c>
      <c r="P58" s="291">
        <f t="shared" si="271"/>
        <v>39.548563964664936</v>
      </c>
      <c r="Q58" s="291">
        <f t="shared" si="272"/>
        <v>39.327746652066708</v>
      </c>
      <c r="R58" s="291">
        <f t="shared" si="273"/>
        <v>38.110811658203602</v>
      </c>
      <c r="S58" s="291">
        <f t="shared" si="274"/>
        <v>37.028026476502419</v>
      </c>
      <c r="T58" s="291">
        <f t="shared" si="275"/>
        <v>34.355240441858768</v>
      </c>
      <c r="U58" s="292">
        <f t="shared" si="276"/>
        <v>31.313791006803513</v>
      </c>
      <c r="V58" s="291">
        <f t="shared" si="277"/>
        <v>19.150445371866226</v>
      </c>
      <c r="W58" s="291">
        <f t="shared" si="278"/>
        <v>17.214551730950671</v>
      </c>
      <c r="X58" s="291">
        <f t="shared" si="279"/>
        <v>16.499201375246049</v>
      </c>
      <c r="Y58" s="291">
        <f t="shared" si="280"/>
        <v>15.948978422582149</v>
      </c>
      <c r="Z58" s="291">
        <f t="shared" si="281"/>
        <v>15.299259929358959</v>
      </c>
      <c r="AA58" s="291">
        <f t="shared" si="282"/>
        <v>15.137728924552599</v>
      </c>
      <c r="AB58" s="291">
        <f t="shared" si="283"/>
        <v>14.976197919746239</v>
      </c>
      <c r="AC58" s="292">
        <f t="shared" si="284"/>
        <v>14.906970621148744</v>
      </c>
      <c r="AE58" s="240">
        <v>12</v>
      </c>
      <c r="AF58" s="241">
        <f t="shared" si="202"/>
        <v>150</v>
      </c>
      <c r="AG58" s="242">
        <f t="shared" si="203"/>
        <v>150</v>
      </c>
      <c r="AH58" s="242">
        <f t="shared" si="204"/>
        <v>150</v>
      </c>
      <c r="AI58" s="242">
        <f t="shared" si="205"/>
        <v>150</v>
      </c>
      <c r="AJ58" s="242">
        <f t="shared" si="206"/>
        <v>150</v>
      </c>
      <c r="AK58" s="242">
        <f t="shared" si="207"/>
        <v>150</v>
      </c>
      <c r="AL58" s="242">
        <f t="shared" si="208"/>
        <v>150</v>
      </c>
      <c r="AM58" s="242">
        <f t="shared" si="209"/>
        <v>150</v>
      </c>
      <c r="AN58" s="242">
        <f t="shared" si="210"/>
        <v>150</v>
      </c>
      <c r="AO58" s="242">
        <f t="shared" si="211"/>
        <v>150</v>
      </c>
      <c r="AP58" s="242">
        <f t="shared" si="212"/>
        <v>150</v>
      </c>
      <c r="AQ58" s="242">
        <f t="shared" si="213"/>
        <v>150</v>
      </c>
      <c r="AR58" s="242">
        <f t="shared" si="214"/>
        <v>150</v>
      </c>
      <c r="AS58" s="242">
        <f t="shared" si="215"/>
        <v>150</v>
      </c>
      <c r="AT58" s="242">
        <f t="shared" si="216"/>
        <v>150</v>
      </c>
      <c r="AU58" s="243">
        <f t="shared" si="217"/>
        <v>150</v>
      </c>
      <c r="AV58" s="242">
        <f t="shared" si="218"/>
        <v>150</v>
      </c>
      <c r="AW58" s="242">
        <f t="shared" si="219"/>
        <v>150</v>
      </c>
      <c r="AX58" s="242">
        <f t="shared" si="220"/>
        <v>150</v>
      </c>
      <c r="AY58" s="242">
        <f t="shared" si="221"/>
        <v>150</v>
      </c>
      <c r="AZ58" s="242">
        <f t="shared" si="222"/>
        <v>150</v>
      </c>
      <c r="BA58" s="242">
        <f t="shared" si="223"/>
        <v>150</v>
      </c>
      <c r="BB58" s="242">
        <f t="shared" si="224"/>
        <v>150</v>
      </c>
      <c r="BC58" s="243">
        <f t="shared" si="225"/>
        <v>150</v>
      </c>
      <c r="BD58" s="308">
        <f t="shared" si="254"/>
        <v>2400</v>
      </c>
      <c r="BE58" s="305">
        <f t="shared" si="255"/>
        <v>1200</v>
      </c>
      <c r="BF58" s="309">
        <f t="shared" si="256"/>
        <v>3600</v>
      </c>
      <c r="BG58" s="334">
        <f t="shared" si="250"/>
        <v>1</v>
      </c>
      <c r="BH58" s="331">
        <f t="shared" si="251"/>
        <v>1</v>
      </c>
      <c r="BJ58" s="240">
        <v>12</v>
      </c>
      <c r="BK58" s="241">
        <f t="shared" si="226"/>
        <v>600</v>
      </c>
      <c r="BL58" s="242">
        <f t="shared" si="227"/>
        <v>600</v>
      </c>
      <c r="BM58" s="242">
        <f t="shared" si="228"/>
        <v>600</v>
      </c>
      <c r="BN58" s="242">
        <f t="shared" si="229"/>
        <v>600</v>
      </c>
      <c r="BO58" s="242">
        <f t="shared" si="230"/>
        <v>600</v>
      </c>
      <c r="BP58" s="242">
        <f t="shared" si="231"/>
        <v>600</v>
      </c>
      <c r="BQ58" s="242">
        <f t="shared" si="232"/>
        <v>600</v>
      </c>
      <c r="BR58" s="242">
        <f t="shared" si="233"/>
        <v>600</v>
      </c>
      <c r="BS58" s="242">
        <f t="shared" si="234"/>
        <v>600</v>
      </c>
      <c r="BT58" s="242">
        <f t="shared" si="235"/>
        <v>600</v>
      </c>
      <c r="BU58" s="242">
        <f t="shared" si="236"/>
        <v>600</v>
      </c>
      <c r="BV58" s="242">
        <f t="shared" si="237"/>
        <v>600</v>
      </c>
      <c r="BW58" s="242">
        <f t="shared" si="238"/>
        <v>600</v>
      </c>
      <c r="BX58" s="242">
        <f t="shared" si="239"/>
        <v>600</v>
      </c>
      <c r="BY58" s="242">
        <f t="shared" si="240"/>
        <v>600</v>
      </c>
      <c r="BZ58" s="243">
        <f t="shared" si="241"/>
        <v>600</v>
      </c>
      <c r="CA58" s="242">
        <f t="shared" si="242"/>
        <v>600</v>
      </c>
      <c r="CB58" s="242">
        <f t="shared" si="243"/>
        <v>600</v>
      </c>
      <c r="CC58" s="242">
        <f t="shared" si="244"/>
        <v>600</v>
      </c>
      <c r="CD58" s="242">
        <f t="shared" si="245"/>
        <v>600</v>
      </c>
      <c r="CE58" s="242">
        <f t="shared" si="246"/>
        <v>600</v>
      </c>
      <c r="CF58" s="242">
        <f t="shared" si="247"/>
        <v>600</v>
      </c>
      <c r="CG58" s="242">
        <f t="shared" si="248"/>
        <v>600</v>
      </c>
      <c r="CH58" s="243">
        <f t="shared" si="249"/>
        <v>600</v>
      </c>
      <c r="CI58" s="308">
        <f t="shared" si="257"/>
        <v>9600</v>
      </c>
      <c r="CJ58" s="305">
        <f t="shared" si="258"/>
        <v>4800</v>
      </c>
      <c r="CK58" s="309">
        <f t="shared" si="259"/>
        <v>14400</v>
      </c>
      <c r="CL58" s="334">
        <f t="shared" si="252"/>
        <v>1</v>
      </c>
      <c r="CM58" s="331">
        <f t="shared" si="253"/>
        <v>1</v>
      </c>
    </row>
    <row r="59" spans="1:91">
      <c r="A59" s="311">
        <v>7</v>
      </c>
      <c r="B59" s="355">
        <f t="shared" si="260"/>
        <v>36708</v>
      </c>
      <c r="C59" s="239">
        <f t="shared" si="285"/>
        <v>57.325000000000003</v>
      </c>
      <c r="D59" s="239">
        <f t="shared" si="286"/>
        <v>23.583064516129031</v>
      </c>
      <c r="E59" s="229">
        <v>7</v>
      </c>
      <c r="F59" s="290">
        <f t="shared" si="261"/>
        <v>64.910574677586553</v>
      </c>
      <c r="G59" s="291">
        <f t="shared" si="262"/>
        <v>64.7118446469307</v>
      </c>
      <c r="H59" s="291">
        <f t="shared" si="263"/>
        <v>63.779301193356517</v>
      </c>
      <c r="I59" s="291">
        <f t="shared" si="264"/>
        <v>63.179810437560086</v>
      </c>
      <c r="J59" s="291">
        <f t="shared" si="265"/>
        <v>62.613620167970659</v>
      </c>
      <c r="K59" s="291">
        <f t="shared" si="266"/>
        <v>61.02985505759716</v>
      </c>
      <c r="L59" s="291">
        <f t="shared" si="267"/>
        <v>61.026527059078219</v>
      </c>
      <c r="M59" s="291">
        <f t="shared" si="268"/>
        <v>59.263138866424562</v>
      </c>
      <c r="N59" s="291">
        <f t="shared" si="269"/>
        <v>59.263138866424562</v>
      </c>
      <c r="O59" s="291">
        <f t="shared" si="270"/>
        <v>58.974115520715714</v>
      </c>
      <c r="P59" s="291">
        <f t="shared" si="271"/>
        <v>56.918372566998009</v>
      </c>
      <c r="Q59" s="291">
        <f t="shared" si="272"/>
        <v>53.802638167142874</v>
      </c>
      <c r="R59" s="291">
        <f t="shared" si="273"/>
        <v>50.839779855310923</v>
      </c>
      <c r="S59" s="291">
        <f t="shared" si="274"/>
        <v>50.365693823993212</v>
      </c>
      <c r="T59" s="291">
        <f t="shared" si="275"/>
        <v>46.047533741593362</v>
      </c>
      <c r="U59" s="292">
        <f t="shared" si="276"/>
        <v>40.474058768153192</v>
      </c>
      <c r="V59" s="291">
        <f t="shared" si="277"/>
        <v>28.657627098214242</v>
      </c>
      <c r="W59" s="291">
        <f t="shared" si="278"/>
        <v>25.279803187424136</v>
      </c>
      <c r="X59" s="291">
        <f t="shared" si="279"/>
        <v>23.815996465086936</v>
      </c>
      <c r="Y59" s="291">
        <f t="shared" si="280"/>
        <v>23.15367047166632</v>
      </c>
      <c r="Z59" s="291">
        <f t="shared" si="281"/>
        <v>22.600896010283499</v>
      </c>
      <c r="AA59" s="291">
        <f t="shared" si="282"/>
        <v>22.174600040864558</v>
      </c>
      <c r="AB59" s="291">
        <f t="shared" si="283"/>
        <v>21.56201895566717</v>
      </c>
      <c r="AC59" s="292">
        <f t="shared" si="284"/>
        <v>21.419901088505021</v>
      </c>
    </row>
    <row r="60" spans="1:91">
      <c r="A60" s="311">
        <v>8</v>
      </c>
      <c r="B60" s="355">
        <f t="shared" si="260"/>
        <v>36739</v>
      </c>
      <c r="C60" s="239">
        <f t="shared" si="285"/>
        <v>77.875</v>
      </c>
      <c r="D60" s="239">
        <f t="shared" si="286"/>
        <v>21.411290322580648</v>
      </c>
      <c r="E60" s="229">
        <v>8</v>
      </c>
      <c r="F60" s="290">
        <f t="shared" si="261"/>
        <v>87.655095860362053</v>
      </c>
      <c r="G60" s="291">
        <f t="shared" si="262"/>
        <v>87.612958401441574</v>
      </c>
      <c r="H60" s="291">
        <f t="shared" si="263"/>
        <v>87.226749420166016</v>
      </c>
      <c r="I60" s="291">
        <f t="shared" si="264"/>
        <v>85.863831460475922</v>
      </c>
      <c r="J60" s="291">
        <f t="shared" si="265"/>
        <v>85.201839819550514</v>
      </c>
      <c r="K60" s="291">
        <f t="shared" si="266"/>
        <v>81.928309768438339</v>
      </c>
      <c r="L60" s="291">
        <f t="shared" si="267"/>
        <v>81.488182663917542</v>
      </c>
      <c r="M60" s="291">
        <f t="shared" si="268"/>
        <v>79.446590751409531</v>
      </c>
      <c r="N60" s="291">
        <f t="shared" si="269"/>
        <v>78.725380152463913</v>
      </c>
      <c r="O60" s="291">
        <f t="shared" si="270"/>
        <v>77.965782597661018</v>
      </c>
      <c r="P60" s="291">
        <f t="shared" si="271"/>
        <v>76.977613233029842</v>
      </c>
      <c r="Q60" s="291">
        <f t="shared" si="272"/>
        <v>73.480747222900391</v>
      </c>
      <c r="R60" s="291">
        <f t="shared" si="273"/>
        <v>71.923128023743629</v>
      </c>
      <c r="S60" s="291">
        <f t="shared" si="274"/>
        <v>69.314114704728127</v>
      </c>
      <c r="T60" s="291">
        <f t="shared" si="275"/>
        <v>64.234002605080605</v>
      </c>
      <c r="U60" s="292">
        <f t="shared" si="276"/>
        <v>56.95565938949585</v>
      </c>
      <c r="V60" s="291">
        <f t="shared" si="277"/>
        <v>25.23154522142103</v>
      </c>
      <c r="W60" s="291">
        <f t="shared" si="278"/>
        <v>22.878538903690156</v>
      </c>
      <c r="X60" s="291">
        <f t="shared" si="279"/>
        <v>22.263126334836407</v>
      </c>
      <c r="Y60" s="291">
        <f t="shared" si="280"/>
        <v>21.088519627528807</v>
      </c>
      <c r="Z60" s="291">
        <f t="shared" si="281"/>
        <v>20.395263209939007</v>
      </c>
      <c r="AA60" s="291">
        <f t="shared" si="282"/>
        <v>20.033610153102106</v>
      </c>
      <c r="AB60" s="291">
        <f t="shared" si="283"/>
        <v>19.699860203170008</v>
      </c>
      <c r="AC60" s="292">
        <f t="shared" si="284"/>
        <v>19.699860203170008</v>
      </c>
    </row>
    <row r="61" spans="1:91">
      <c r="A61" s="311">
        <v>9</v>
      </c>
      <c r="B61" s="355">
        <f t="shared" si="260"/>
        <v>36770</v>
      </c>
      <c r="C61" s="239">
        <f t="shared" si="285"/>
        <v>61.875</v>
      </c>
      <c r="D61" s="239">
        <f t="shared" si="286"/>
        <v>23.197916666666664</v>
      </c>
      <c r="E61" s="229">
        <v>9</v>
      </c>
      <c r="F61" s="290">
        <f t="shared" si="261"/>
        <v>66.454598307609558</v>
      </c>
      <c r="G61" s="291">
        <f t="shared" si="262"/>
        <v>66.34959988296032</v>
      </c>
      <c r="H61" s="291">
        <f t="shared" si="263"/>
        <v>66.115689799189568</v>
      </c>
      <c r="I61" s="291">
        <f t="shared" si="264"/>
        <v>66.060937196016312</v>
      </c>
      <c r="J61" s="291">
        <f t="shared" si="265"/>
        <v>65.919205918908119</v>
      </c>
      <c r="K61" s="291">
        <f t="shared" si="266"/>
        <v>65.057370588183403</v>
      </c>
      <c r="L61" s="291">
        <f t="shared" si="267"/>
        <v>63.85372057557106</v>
      </c>
      <c r="M61" s="291">
        <f t="shared" si="268"/>
        <v>63.85372057557106</v>
      </c>
      <c r="N61" s="291">
        <f t="shared" si="269"/>
        <v>63.607514575123787</v>
      </c>
      <c r="O61" s="291">
        <f t="shared" si="270"/>
        <v>63.434552997350693</v>
      </c>
      <c r="P61" s="291">
        <f t="shared" si="271"/>
        <v>62.672397941350937</v>
      </c>
      <c r="Q61" s="291">
        <f t="shared" si="272"/>
        <v>61.323553584516048</v>
      </c>
      <c r="R61" s="291">
        <f t="shared" si="273"/>
        <v>57.528079971671104</v>
      </c>
      <c r="S61" s="291">
        <f t="shared" si="274"/>
        <v>56.859033107757568</v>
      </c>
      <c r="T61" s="291">
        <f t="shared" si="275"/>
        <v>52.755482979118824</v>
      </c>
      <c r="U61" s="292">
        <f t="shared" si="276"/>
        <v>48.154534623026848</v>
      </c>
      <c r="V61" s="291">
        <f t="shared" si="277"/>
        <v>27.416962873190638</v>
      </c>
      <c r="W61" s="291">
        <f t="shared" si="278"/>
        <v>24.274251850942768</v>
      </c>
      <c r="X61" s="291">
        <f t="shared" si="279"/>
        <v>23.898679138471682</v>
      </c>
      <c r="Y61" s="291">
        <f t="shared" si="280"/>
        <v>22.871782520785924</v>
      </c>
      <c r="Z61" s="291">
        <f t="shared" si="281"/>
        <v>22.347779344146449</v>
      </c>
      <c r="AA61" s="291">
        <f t="shared" si="282"/>
        <v>21.938240518172581</v>
      </c>
      <c r="AB61" s="291">
        <f t="shared" si="283"/>
        <v>21.421833915015061</v>
      </c>
      <c r="AC61" s="292">
        <f t="shared" si="284"/>
        <v>21.413801789904632</v>
      </c>
    </row>
    <row r="62" spans="1:91">
      <c r="A62" s="311">
        <v>10</v>
      </c>
      <c r="B62" s="355">
        <f t="shared" si="260"/>
        <v>36800</v>
      </c>
      <c r="C62" s="239">
        <f t="shared" si="285"/>
        <v>43.125</v>
      </c>
      <c r="D62" s="239">
        <f t="shared" si="286"/>
        <v>22.300403225806452</v>
      </c>
      <c r="E62" s="229">
        <v>10</v>
      </c>
      <c r="F62" s="290">
        <f t="shared" si="261"/>
        <v>47.888774424791336</v>
      </c>
      <c r="G62" s="291">
        <f t="shared" si="262"/>
        <v>46.983878239989281</v>
      </c>
      <c r="H62" s="291">
        <f t="shared" si="263"/>
        <v>44.928335398435593</v>
      </c>
      <c r="I62" s="291">
        <f t="shared" si="264"/>
        <v>44.321549758315086</v>
      </c>
      <c r="J62" s="291">
        <f t="shared" si="265"/>
        <v>43.852910399436951</v>
      </c>
      <c r="K62" s="291">
        <f t="shared" si="266"/>
        <v>43.457878455519676</v>
      </c>
      <c r="L62" s="291">
        <f t="shared" si="267"/>
        <v>43.457878455519676</v>
      </c>
      <c r="M62" s="291">
        <f t="shared" si="268"/>
        <v>43.457878455519676</v>
      </c>
      <c r="N62" s="291">
        <f t="shared" si="269"/>
        <v>43.09363279491663</v>
      </c>
      <c r="O62" s="291">
        <f t="shared" si="270"/>
        <v>43.024577647447586</v>
      </c>
      <c r="P62" s="291">
        <f t="shared" si="271"/>
        <v>42.89892889559269</v>
      </c>
      <c r="Q62" s="291">
        <f t="shared" si="272"/>
        <v>42.805313095450401</v>
      </c>
      <c r="R62" s="291">
        <f t="shared" si="273"/>
        <v>42.805313095450401</v>
      </c>
      <c r="S62" s="291">
        <f t="shared" si="274"/>
        <v>40.0831213966012</v>
      </c>
      <c r="T62" s="291">
        <f t="shared" si="275"/>
        <v>39.944592118263245</v>
      </c>
      <c r="U62" s="292">
        <f t="shared" si="276"/>
        <v>36.995447650551796</v>
      </c>
      <c r="V62" s="291">
        <f t="shared" si="277"/>
        <v>25.800092557985938</v>
      </c>
      <c r="W62" s="291">
        <f t="shared" si="278"/>
        <v>23.479631026666009</v>
      </c>
      <c r="X62" s="291">
        <f t="shared" si="279"/>
        <v>23.192952845606111</v>
      </c>
      <c r="Y62" s="291">
        <f t="shared" si="280"/>
        <v>22.352470946408086</v>
      </c>
      <c r="Z62" s="291">
        <f t="shared" si="281"/>
        <v>21.294672906999626</v>
      </c>
      <c r="AA62" s="291">
        <f t="shared" si="282"/>
        <v>21.096995809265682</v>
      </c>
      <c r="AB62" s="291">
        <f t="shared" si="283"/>
        <v>20.650316920251615</v>
      </c>
      <c r="AC62" s="292">
        <f t="shared" si="284"/>
        <v>20.536091464060931</v>
      </c>
    </row>
    <row r="63" spans="1:91">
      <c r="A63" s="311">
        <v>11</v>
      </c>
      <c r="B63" s="355">
        <f t="shared" si="260"/>
        <v>36831</v>
      </c>
      <c r="C63" s="239">
        <f t="shared" si="285"/>
        <v>35.375</v>
      </c>
      <c r="D63" s="239">
        <f t="shared" si="286"/>
        <v>24.15625</v>
      </c>
      <c r="E63" s="229">
        <v>11</v>
      </c>
      <c r="F63" s="290">
        <f t="shared" si="261"/>
        <v>40.453782632946968</v>
      </c>
      <c r="G63" s="291">
        <f t="shared" si="262"/>
        <v>39.415394157171249</v>
      </c>
      <c r="H63" s="291">
        <f t="shared" si="263"/>
        <v>37.674377024173737</v>
      </c>
      <c r="I63" s="291">
        <f t="shared" si="264"/>
        <v>37.32420340180397</v>
      </c>
      <c r="J63" s="291">
        <f t="shared" si="265"/>
        <v>36.809198781847954</v>
      </c>
      <c r="K63" s="291">
        <f t="shared" si="266"/>
        <v>36.605512082576752</v>
      </c>
      <c r="L63" s="291">
        <f t="shared" si="267"/>
        <v>36.542842820286751</v>
      </c>
      <c r="M63" s="291">
        <f t="shared" si="268"/>
        <v>35.659818112850189</v>
      </c>
      <c r="N63" s="291">
        <f t="shared" si="269"/>
        <v>35.550293445587158</v>
      </c>
      <c r="O63" s="291">
        <f t="shared" si="270"/>
        <v>35.03420926630497</v>
      </c>
      <c r="P63" s="291">
        <f t="shared" si="271"/>
        <v>33.877229511737823</v>
      </c>
      <c r="Q63" s="291">
        <f t="shared" si="272"/>
        <v>32.80641208589077</v>
      </c>
      <c r="R63" s="291">
        <f t="shared" si="273"/>
        <v>32.80641208589077</v>
      </c>
      <c r="S63" s="291">
        <f t="shared" si="274"/>
        <v>32.56238529086113</v>
      </c>
      <c r="T63" s="291">
        <f t="shared" si="275"/>
        <v>32.428994350135326</v>
      </c>
      <c r="U63" s="292">
        <f t="shared" si="276"/>
        <v>30.448934949934483</v>
      </c>
      <c r="V63" s="291">
        <f t="shared" si="277"/>
        <v>27.495019182562828</v>
      </c>
      <c r="W63" s="291">
        <f t="shared" si="278"/>
        <v>27.157953340560198</v>
      </c>
      <c r="X63" s="291">
        <f t="shared" si="279"/>
        <v>23.954635666683316</v>
      </c>
      <c r="Y63" s="291">
        <f t="shared" si="280"/>
        <v>23.872061720117927</v>
      </c>
      <c r="Z63" s="291">
        <f t="shared" si="281"/>
        <v>23.603724470362067</v>
      </c>
      <c r="AA63" s="291">
        <f t="shared" si="282"/>
        <v>22.70625869743526</v>
      </c>
      <c r="AB63" s="291">
        <f t="shared" si="283"/>
        <v>22.311679057776928</v>
      </c>
      <c r="AC63" s="292">
        <f t="shared" si="284"/>
        <v>22.148666424676776</v>
      </c>
    </row>
    <row r="64" spans="1:91" ht="13.5" thickBot="1">
      <c r="A64" s="312">
        <v>12</v>
      </c>
      <c r="B64" s="356">
        <f t="shared" si="260"/>
        <v>36861</v>
      </c>
      <c r="C64" s="244">
        <f t="shared" si="285"/>
        <v>35.375</v>
      </c>
      <c r="D64" s="244">
        <f t="shared" si="286"/>
        <v>24.060483870967747</v>
      </c>
      <c r="E64" s="240">
        <v>12</v>
      </c>
      <c r="F64" s="293">
        <f t="shared" si="261"/>
        <v>41.103972539305687</v>
      </c>
      <c r="G64" s="294">
        <f t="shared" si="262"/>
        <v>40.176251545548439</v>
      </c>
      <c r="H64" s="294">
        <f t="shared" si="263"/>
        <v>38.345795452594757</v>
      </c>
      <c r="I64" s="294">
        <f t="shared" si="264"/>
        <v>38.201109200716019</v>
      </c>
      <c r="J64" s="294">
        <f t="shared" si="265"/>
        <v>36.809527710080147</v>
      </c>
      <c r="K64" s="294">
        <f t="shared" si="266"/>
        <v>36.644932866096497</v>
      </c>
      <c r="L64" s="294">
        <f t="shared" si="267"/>
        <v>36.435447752475739</v>
      </c>
      <c r="M64" s="294">
        <f t="shared" si="268"/>
        <v>36.398780688643456</v>
      </c>
      <c r="N64" s="294">
        <f t="shared" si="269"/>
        <v>34.778743781149387</v>
      </c>
      <c r="O64" s="294">
        <f t="shared" si="270"/>
        <v>34.659378677606583</v>
      </c>
      <c r="P64" s="294">
        <f t="shared" si="271"/>
        <v>33.14354033023119</v>
      </c>
      <c r="Q64" s="294">
        <f t="shared" si="272"/>
        <v>32.821574412286282</v>
      </c>
      <c r="R64" s="294">
        <f t="shared" si="273"/>
        <v>32.395378306508064</v>
      </c>
      <c r="S64" s="294">
        <f t="shared" si="274"/>
        <v>32.103456608951092</v>
      </c>
      <c r="T64" s="294">
        <f t="shared" si="275"/>
        <v>31.662180408835411</v>
      </c>
      <c r="U64" s="295">
        <f t="shared" si="276"/>
        <v>30.319929718971252</v>
      </c>
      <c r="V64" s="294">
        <f t="shared" si="277"/>
        <v>28.36145403356322</v>
      </c>
      <c r="W64" s="294">
        <f t="shared" si="278"/>
        <v>26.876638549470137</v>
      </c>
      <c r="X64" s="294">
        <f t="shared" si="279"/>
        <v>24.988067615897432</v>
      </c>
      <c r="Y64" s="294">
        <f t="shared" si="280"/>
        <v>23.059236727174255</v>
      </c>
      <c r="Z64" s="294">
        <f t="shared" si="281"/>
        <v>22.959370584016852</v>
      </c>
      <c r="AA64" s="294">
        <f t="shared" si="282"/>
        <v>22.167667952276052</v>
      </c>
      <c r="AB64" s="294">
        <f t="shared" si="283"/>
        <v>22.09729441687946</v>
      </c>
      <c r="AC64" s="295">
        <f t="shared" si="284"/>
        <v>21.974141088464574</v>
      </c>
    </row>
    <row r="65" spans="1:29" ht="13.5" thickBot="1"/>
    <row r="66" spans="1:29" ht="18.75" thickBot="1">
      <c r="A66" s="164"/>
      <c r="B66" s="164"/>
      <c r="C66" s="164"/>
      <c r="D66"/>
      <c r="E66" s="251" t="s">
        <v>118</v>
      </c>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3"/>
    </row>
    <row r="67" spans="1:29" ht="13.5" thickBot="1">
      <c r="A67" s="257"/>
      <c r="B67" s="352" t="s">
        <v>314</v>
      </c>
      <c r="C67" s="289" t="s">
        <v>315</v>
      </c>
      <c r="D67" s="313"/>
      <c r="E67" s="257"/>
      <c r="F67" s="223" t="s">
        <v>360</v>
      </c>
      <c r="G67" s="224"/>
      <c r="H67" s="224"/>
      <c r="I67" s="224"/>
      <c r="J67" s="224"/>
      <c r="K67" s="224"/>
      <c r="L67" s="224"/>
      <c r="M67" s="224"/>
      <c r="N67" s="224"/>
      <c r="O67" s="224"/>
      <c r="P67" s="224"/>
      <c r="Q67" s="224"/>
      <c r="R67" s="224"/>
      <c r="S67" s="224"/>
      <c r="T67" s="224"/>
      <c r="U67" s="225"/>
      <c r="V67" s="223" t="s">
        <v>344</v>
      </c>
      <c r="W67" s="224"/>
      <c r="X67" s="224"/>
      <c r="Y67" s="224"/>
      <c r="Z67" s="224"/>
      <c r="AA67" s="224"/>
      <c r="AB67" s="224"/>
      <c r="AC67" s="225"/>
    </row>
    <row r="68" spans="1:29" ht="13.5" thickBot="1">
      <c r="A68" s="347" t="s">
        <v>172</v>
      </c>
      <c r="B68" s="353" t="s">
        <v>316</v>
      </c>
      <c r="C68" s="314" t="s">
        <v>360</v>
      </c>
      <c r="D68" s="314" t="s">
        <v>344</v>
      </c>
      <c r="E68" s="226" t="s">
        <v>307</v>
      </c>
      <c r="F68" s="226">
        <v>1</v>
      </c>
      <c r="G68" s="227">
        <v>2</v>
      </c>
      <c r="H68" s="227">
        <v>3</v>
      </c>
      <c r="I68" s="227">
        <v>4</v>
      </c>
      <c r="J68" s="227">
        <v>5</v>
      </c>
      <c r="K68" s="227">
        <v>6</v>
      </c>
      <c r="L68" s="227">
        <v>7</v>
      </c>
      <c r="M68" s="227">
        <v>8</v>
      </c>
      <c r="N68" s="227">
        <v>9</v>
      </c>
      <c r="O68" s="227">
        <v>10</v>
      </c>
      <c r="P68" s="227">
        <v>11</v>
      </c>
      <c r="Q68" s="227">
        <v>12</v>
      </c>
      <c r="R68" s="227">
        <v>13</v>
      </c>
      <c r="S68" s="227">
        <v>14</v>
      </c>
      <c r="T68" s="227">
        <v>15</v>
      </c>
      <c r="U68" s="228">
        <v>16</v>
      </c>
      <c r="V68" s="227">
        <v>1</v>
      </c>
      <c r="W68" s="227">
        <v>2</v>
      </c>
      <c r="X68" s="227">
        <v>3</v>
      </c>
      <c r="Y68" s="227">
        <v>4</v>
      </c>
      <c r="Z68" s="227">
        <v>5</v>
      </c>
      <c r="AA68" s="227">
        <v>6</v>
      </c>
      <c r="AB68" s="227">
        <v>7</v>
      </c>
      <c r="AC68" s="228">
        <v>8</v>
      </c>
    </row>
    <row r="69" spans="1:29">
      <c r="A69" s="310">
        <v>1</v>
      </c>
      <c r="B69" s="354">
        <f t="shared" ref="B69:B80" si="287">EOMONTH(CurveDate+31,MOD(A37-MONTH(CurveDate+31),12)-1)+1</f>
        <v>36892</v>
      </c>
      <c r="C69" s="238">
        <f>VLOOKUP(B69,PriceTableWeekend,7,0)+IF(BasisNumber&lt;&gt;1,VLOOKUP(B37,BasisTable,2,0),0)</f>
        <v>26.25</v>
      </c>
      <c r="D69" s="238">
        <f>VLOOKUP(B37,PriceTable,7,0)+IF(BasisNumber&lt;&gt;1,VLOOKUP(B37,BasisTable,3,0),0)</f>
        <v>19.306451612903224</v>
      </c>
      <c r="E69" s="229">
        <v>1</v>
      </c>
      <c r="F69" s="290">
        <f t="shared" ref="F69:F80" si="288">C69*F21</f>
        <v>30.66651463508606</v>
      </c>
      <c r="G69" s="291">
        <f t="shared" ref="G69:G80" si="289">C69*G21</f>
        <v>30.084894597530365</v>
      </c>
      <c r="H69" s="291">
        <f t="shared" ref="H69:H80" si="290">C69*H21</f>
        <v>28.220365941524506</v>
      </c>
      <c r="I69" s="291">
        <f t="shared" ref="I69:I80" si="291">C69*I21</f>
        <v>27.888334393501282</v>
      </c>
      <c r="J69" s="291">
        <f t="shared" ref="J69:J80" si="292">C69*J21</f>
        <v>27.738928645849228</v>
      </c>
      <c r="K69" s="291">
        <f t="shared" ref="K69:K80" si="293">C69*K21</f>
        <v>27.385843545198441</v>
      </c>
      <c r="L69" s="291">
        <f t="shared" ref="L69:L80" si="294">C69*L21</f>
        <v>26.883349567651749</v>
      </c>
      <c r="M69" s="291">
        <f t="shared" ref="M69:M80" si="295">C69*M21</f>
        <v>25.953738838434219</v>
      </c>
      <c r="N69" s="291">
        <f t="shared" ref="N69:N80" si="296">C69*N21</f>
        <v>25.801763981580734</v>
      </c>
      <c r="O69" s="291">
        <f t="shared" ref="O69:O80" si="297">C69*O21</f>
        <v>25.627119317650795</v>
      </c>
      <c r="P69" s="291">
        <f t="shared" ref="P69:P80" si="298">C69*P21</f>
        <v>25.089156925678253</v>
      </c>
      <c r="Q69" s="291">
        <f t="shared" ref="Q69:Q80" si="299">C69*Q21</f>
        <v>24.273150265216827</v>
      </c>
      <c r="R69" s="291">
        <f t="shared" ref="R69:R80" si="300">C69*R21</f>
        <v>24.044267982244492</v>
      </c>
      <c r="S69" s="291">
        <f t="shared" ref="S69:S80" si="301">C69*S21</f>
        <v>23.945585712790489</v>
      </c>
      <c r="T69" s="291">
        <f t="shared" ref="T69:T80" si="302">C69*T21</f>
        <v>23.65406222641468</v>
      </c>
      <c r="U69" s="292">
        <f t="shared" ref="U69:U80" si="303">C69*U21</f>
        <v>22.742921859025955</v>
      </c>
      <c r="V69" s="291">
        <f t="shared" ref="V69:V80" si="304">D69*V21</f>
        <v>22.074298526010203</v>
      </c>
      <c r="W69" s="291">
        <f t="shared" ref="W69:W80" si="305">D69*W21</f>
        <v>22.017893158620403</v>
      </c>
      <c r="X69" s="291">
        <f t="shared" ref="X69:X80" si="306">D69*X21</f>
        <v>19.68795194356672</v>
      </c>
      <c r="Y69" s="291">
        <f t="shared" ref="Y69:Y80" si="307">D69*Y21</f>
        <v>18.785478723625982</v>
      </c>
      <c r="Z69" s="291">
        <f t="shared" ref="Z69:Z80" si="308">D69*Z21</f>
        <v>18.669201917225312</v>
      </c>
      <c r="AA69" s="291">
        <f t="shared" ref="AA69:AA80" si="309">D69*AA21</f>
        <v>17.876301209772784</v>
      </c>
      <c r="AB69" s="291">
        <f t="shared" ref="AB69:AB80" si="310">D69*AB21</f>
        <v>17.793095928046011</v>
      </c>
      <c r="AC69" s="292">
        <f t="shared" ref="AC69:AC80" si="311">D69*AC21</f>
        <v>17.547390345604189</v>
      </c>
    </row>
    <row r="70" spans="1:29">
      <c r="A70" s="311">
        <v>2</v>
      </c>
      <c r="B70" s="355">
        <f t="shared" si="287"/>
        <v>36923</v>
      </c>
      <c r="C70" s="239">
        <f t="shared" ref="C70:C80" si="312">VLOOKUP(B70,PriceTableWeekend,7,0)+IF(BasisNumber&lt;&gt;1,VLOOKUP(B38,BasisTable,2,0),0)</f>
        <v>25.875</v>
      </c>
      <c r="D70" s="239">
        <f t="shared" ref="D70:D80" si="313">VLOOKUP(B38,PriceTable,7,0)+IF(BasisNumber&lt;&gt;1,VLOOKUP(B38,BasisTable,3,0),0)</f>
        <v>19.607142857142854</v>
      </c>
      <c r="E70" s="229">
        <v>2</v>
      </c>
      <c r="F70" s="290">
        <f t="shared" si="288"/>
        <v>29.410237982869148</v>
      </c>
      <c r="G70" s="291">
        <f t="shared" si="289"/>
        <v>28.66905377805233</v>
      </c>
      <c r="H70" s="291">
        <f t="shared" si="290"/>
        <v>27.614406242966652</v>
      </c>
      <c r="I70" s="291">
        <f t="shared" si="291"/>
        <v>27.446126058697701</v>
      </c>
      <c r="J70" s="291">
        <f t="shared" si="292"/>
        <v>27.356918066740036</v>
      </c>
      <c r="K70" s="291">
        <f t="shared" si="293"/>
        <v>26.55405230820179</v>
      </c>
      <c r="L70" s="291">
        <f t="shared" si="294"/>
        <v>26.481500834226608</v>
      </c>
      <c r="M70" s="291">
        <f t="shared" si="295"/>
        <v>25.89836847782135</v>
      </c>
      <c r="N70" s="291">
        <f t="shared" si="296"/>
        <v>25.596325658261776</v>
      </c>
      <c r="O70" s="291">
        <f t="shared" si="297"/>
        <v>24.829377830028534</v>
      </c>
      <c r="P70" s="291">
        <f t="shared" si="298"/>
        <v>24.824370078742504</v>
      </c>
      <c r="Q70" s="291">
        <f t="shared" si="299"/>
        <v>24.563621543347836</v>
      </c>
      <c r="R70" s="291">
        <f t="shared" si="300"/>
        <v>23.772241070866585</v>
      </c>
      <c r="S70" s="291">
        <f t="shared" si="301"/>
        <v>23.749995365738869</v>
      </c>
      <c r="T70" s="291">
        <f t="shared" si="302"/>
        <v>23.733855508267879</v>
      </c>
      <c r="U70" s="292">
        <f t="shared" si="303"/>
        <v>23.499549195170403</v>
      </c>
      <c r="V70" s="291">
        <f t="shared" si="304"/>
        <v>22.978300899267193</v>
      </c>
      <c r="W70" s="291">
        <f t="shared" si="305"/>
        <v>22.257982288088115</v>
      </c>
      <c r="X70" s="291">
        <f t="shared" si="306"/>
        <v>19.822953049625667</v>
      </c>
      <c r="Y70" s="291">
        <f t="shared" si="307"/>
        <v>19.239320537873674</v>
      </c>
      <c r="Z70" s="291">
        <f t="shared" si="308"/>
        <v>18.580407711012018</v>
      </c>
      <c r="AA70" s="291">
        <f t="shared" si="309"/>
        <v>18.258501533951076</v>
      </c>
      <c r="AB70" s="291">
        <f t="shared" si="310"/>
        <v>18.014245748519894</v>
      </c>
      <c r="AC70" s="292">
        <f t="shared" si="311"/>
        <v>17.70542992012841</v>
      </c>
    </row>
    <row r="71" spans="1:29">
      <c r="A71" s="311">
        <v>3</v>
      </c>
      <c r="B71" s="355">
        <f t="shared" si="287"/>
        <v>36951</v>
      </c>
      <c r="C71" s="239">
        <f t="shared" si="312"/>
        <v>25.3125</v>
      </c>
      <c r="D71" s="239">
        <f t="shared" si="313"/>
        <v>19.887096774193548</v>
      </c>
      <c r="E71" s="229">
        <v>3</v>
      </c>
      <c r="F71" s="290">
        <f t="shared" si="288"/>
        <v>28.58304351568222</v>
      </c>
      <c r="G71" s="291">
        <f t="shared" si="289"/>
        <v>27.264254651963711</v>
      </c>
      <c r="H71" s="291">
        <f t="shared" si="290"/>
        <v>26.511853784322739</v>
      </c>
      <c r="I71" s="291">
        <f t="shared" si="291"/>
        <v>26.491600424051285</v>
      </c>
      <c r="J71" s="291">
        <f t="shared" si="292"/>
        <v>26.112263314425945</v>
      </c>
      <c r="K71" s="291">
        <f t="shared" si="293"/>
        <v>26.073310598731041</v>
      </c>
      <c r="L71" s="291">
        <f t="shared" si="294"/>
        <v>25.73219295591116</v>
      </c>
      <c r="M71" s="291">
        <f t="shared" si="295"/>
        <v>25.334609113633633</v>
      </c>
      <c r="N71" s="291">
        <f t="shared" si="296"/>
        <v>25.314394980669022</v>
      </c>
      <c r="O71" s="291">
        <f t="shared" si="297"/>
        <v>25.149592012166977</v>
      </c>
      <c r="P71" s="291">
        <f t="shared" si="298"/>
        <v>24.843348953872919</v>
      </c>
      <c r="Q71" s="291">
        <f t="shared" si="299"/>
        <v>24.066557753831148</v>
      </c>
      <c r="R71" s="291">
        <f t="shared" si="300"/>
        <v>23.988486360758543</v>
      </c>
      <c r="S71" s="291">
        <f t="shared" si="301"/>
        <v>23.726794961839914</v>
      </c>
      <c r="T71" s="291">
        <f t="shared" si="302"/>
        <v>23.319579306989908</v>
      </c>
      <c r="U71" s="292">
        <f t="shared" si="303"/>
        <v>22.488115802407265</v>
      </c>
      <c r="V71" s="291">
        <f t="shared" si="304"/>
        <v>23.431254923343658</v>
      </c>
      <c r="W71" s="291">
        <f t="shared" si="305"/>
        <v>21.616418607773319</v>
      </c>
      <c r="X71" s="291">
        <f t="shared" si="306"/>
        <v>20.246072207727739</v>
      </c>
      <c r="Y71" s="291">
        <f t="shared" si="307"/>
        <v>19.787513214734293</v>
      </c>
      <c r="Z71" s="291">
        <f t="shared" si="308"/>
        <v>18.922719537250458</v>
      </c>
      <c r="AA71" s="291">
        <f t="shared" si="309"/>
        <v>18.423250099343637</v>
      </c>
      <c r="AB71" s="291">
        <f t="shared" si="310"/>
        <v>18.382342025156944</v>
      </c>
      <c r="AC71" s="292">
        <f t="shared" si="311"/>
        <v>18.287204763581677</v>
      </c>
    </row>
    <row r="72" spans="1:29">
      <c r="A72" s="311">
        <v>4</v>
      </c>
      <c r="B72" s="355">
        <f t="shared" si="287"/>
        <v>36982</v>
      </c>
      <c r="C72" s="239">
        <f t="shared" si="312"/>
        <v>24.9375</v>
      </c>
      <c r="D72" s="239">
        <f t="shared" si="313"/>
        <v>17.6875</v>
      </c>
      <c r="E72" s="229">
        <v>4</v>
      </c>
      <c r="F72" s="290">
        <f t="shared" si="288"/>
        <v>26.601095370948315</v>
      </c>
      <c r="G72" s="291">
        <f t="shared" si="289"/>
        <v>26.293977297842503</v>
      </c>
      <c r="H72" s="291">
        <f t="shared" si="290"/>
        <v>26.238439790904522</v>
      </c>
      <c r="I72" s="291">
        <f t="shared" si="291"/>
        <v>26.084048375487328</v>
      </c>
      <c r="J72" s="291">
        <f t="shared" si="292"/>
        <v>25.798783220350742</v>
      </c>
      <c r="K72" s="291">
        <f t="shared" si="293"/>
        <v>25.557099044322968</v>
      </c>
      <c r="L72" s="291">
        <f t="shared" si="294"/>
        <v>25.491433270275593</v>
      </c>
      <c r="M72" s="291">
        <f t="shared" si="295"/>
        <v>25.121274389326572</v>
      </c>
      <c r="N72" s="291">
        <f t="shared" si="296"/>
        <v>24.96746563911438</v>
      </c>
      <c r="O72" s="291">
        <f t="shared" si="297"/>
        <v>24.390279270708561</v>
      </c>
      <c r="P72" s="291">
        <f t="shared" si="298"/>
        <v>24.352930728346109</v>
      </c>
      <c r="Q72" s="291">
        <f t="shared" si="299"/>
        <v>24.105014115571976</v>
      </c>
      <c r="R72" s="291">
        <f t="shared" si="300"/>
        <v>24.032473783940077</v>
      </c>
      <c r="S72" s="291">
        <f t="shared" si="301"/>
        <v>23.906931728124619</v>
      </c>
      <c r="T72" s="291">
        <f t="shared" si="302"/>
        <v>23.819747474044561</v>
      </c>
      <c r="U72" s="292">
        <f t="shared" si="303"/>
        <v>22.239006500691175</v>
      </c>
      <c r="V72" s="291">
        <f t="shared" si="304"/>
        <v>20.488104611635208</v>
      </c>
      <c r="W72" s="291">
        <f t="shared" si="305"/>
        <v>19.152466222643852</v>
      </c>
      <c r="X72" s="291">
        <f t="shared" si="306"/>
        <v>18.47106608748436</v>
      </c>
      <c r="Y72" s="291">
        <f t="shared" si="307"/>
        <v>17.383424825966358</v>
      </c>
      <c r="Z72" s="291">
        <f t="shared" si="308"/>
        <v>17.302045661956072</v>
      </c>
      <c r="AA72" s="291">
        <f t="shared" si="309"/>
        <v>16.603560235351324</v>
      </c>
      <c r="AB72" s="291">
        <f t="shared" si="310"/>
        <v>16.109145257622004</v>
      </c>
      <c r="AC72" s="292">
        <f t="shared" si="311"/>
        <v>15.990188151597977</v>
      </c>
    </row>
    <row r="73" spans="1:29">
      <c r="A73" s="311">
        <v>5</v>
      </c>
      <c r="B73" s="355">
        <f t="shared" si="287"/>
        <v>36647</v>
      </c>
      <c r="C73" s="239">
        <f t="shared" si="312"/>
        <v>26.512499999999999</v>
      </c>
      <c r="D73" s="239">
        <f t="shared" si="313"/>
        <v>15.584677419354838</v>
      </c>
      <c r="E73" s="229">
        <v>5</v>
      </c>
      <c r="F73" s="290">
        <f t="shared" si="288"/>
        <v>27.845478303730488</v>
      </c>
      <c r="G73" s="291">
        <f t="shared" si="289"/>
        <v>27.842380978167057</v>
      </c>
      <c r="H73" s="291">
        <f t="shared" si="290"/>
        <v>27.637069380283354</v>
      </c>
      <c r="I73" s="291">
        <f t="shared" si="291"/>
        <v>27.401078456640242</v>
      </c>
      <c r="J73" s="291">
        <f t="shared" si="292"/>
        <v>27.335184435546399</v>
      </c>
      <c r="K73" s="291">
        <f t="shared" si="293"/>
        <v>27.053267759084701</v>
      </c>
      <c r="L73" s="291">
        <f t="shared" si="294"/>
        <v>27.016479116678237</v>
      </c>
      <c r="M73" s="291">
        <f t="shared" si="295"/>
        <v>26.760734841227531</v>
      </c>
      <c r="N73" s="291">
        <f t="shared" si="296"/>
        <v>26.500336676090956</v>
      </c>
      <c r="O73" s="291">
        <f t="shared" si="297"/>
        <v>26.320062846690416</v>
      </c>
      <c r="P73" s="291">
        <f t="shared" si="298"/>
        <v>26.302338559180498</v>
      </c>
      <c r="Q73" s="291">
        <f t="shared" si="299"/>
        <v>26.142966936528683</v>
      </c>
      <c r="R73" s="291">
        <f t="shared" si="300"/>
        <v>26.125958510488271</v>
      </c>
      <c r="S73" s="291">
        <f t="shared" si="301"/>
        <v>25.879392432421444</v>
      </c>
      <c r="T73" s="291">
        <f t="shared" si="302"/>
        <v>25.038111401349305</v>
      </c>
      <c r="U73" s="292">
        <f t="shared" si="303"/>
        <v>22.99915936589241</v>
      </c>
      <c r="V73" s="291">
        <f t="shared" si="304"/>
        <v>18.243019261187122</v>
      </c>
      <c r="W73" s="291">
        <f t="shared" si="305"/>
        <v>16.590290004687922</v>
      </c>
      <c r="X73" s="291">
        <f t="shared" si="306"/>
        <v>16.363436798414877</v>
      </c>
      <c r="Y73" s="291">
        <f t="shared" si="307"/>
        <v>15.346249880329255</v>
      </c>
      <c r="Z73" s="291">
        <f t="shared" si="308"/>
        <v>14.85976934192642</v>
      </c>
      <c r="AA73" s="291">
        <f t="shared" si="309"/>
        <v>14.771317659366515</v>
      </c>
      <c r="AB73" s="291">
        <f t="shared" si="310"/>
        <v>14.284837120963681</v>
      </c>
      <c r="AC73" s="292">
        <f t="shared" si="311"/>
        <v>14.218499287962914</v>
      </c>
    </row>
    <row r="74" spans="1:29">
      <c r="A74" s="311">
        <v>6</v>
      </c>
      <c r="B74" s="355">
        <f t="shared" si="287"/>
        <v>36678</v>
      </c>
      <c r="C74" s="239">
        <f t="shared" si="312"/>
        <v>29.71875</v>
      </c>
      <c r="D74" s="239">
        <f t="shared" si="313"/>
        <v>16.141666666666666</v>
      </c>
      <c r="E74" s="229">
        <v>6</v>
      </c>
      <c r="F74" s="290">
        <f t="shared" si="288"/>
        <v>32.180551037192345</v>
      </c>
      <c r="G74" s="291">
        <f t="shared" si="289"/>
        <v>31.990241535007954</v>
      </c>
      <c r="H74" s="291">
        <f t="shared" si="290"/>
        <v>31.73790554702282</v>
      </c>
      <c r="I74" s="291">
        <f t="shared" si="291"/>
        <v>31.646275833249092</v>
      </c>
      <c r="J74" s="291">
        <f t="shared" si="292"/>
        <v>31.323453269898891</v>
      </c>
      <c r="K74" s="291">
        <f t="shared" si="293"/>
        <v>30.886447839438915</v>
      </c>
      <c r="L74" s="291">
        <f t="shared" si="294"/>
        <v>30.557988759130239</v>
      </c>
      <c r="M74" s="291">
        <f t="shared" si="295"/>
        <v>30.407152589410543</v>
      </c>
      <c r="N74" s="291">
        <f t="shared" si="296"/>
        <v>30.274944204837084</v>
      </c>
      <c r="O74" s="291">
        <f t="shared" si="297"/>
        <v>29.731907777488232</v>
      </c>
      <c r="P74" s="291">
        <f t="shared" si="298"/>
        <v>29.661422973498702</v>
      </c>
      <c r="Q74" s="291">
        <f t="shared" si="299"/>
        <v>29.495809989050031</v>
      </c>
      <c r="R74" s="291">
        <f t="shared" si="300"/>
        <v>28.583108743652701</v>
      </c>
      <c r="S74" s="291">
        <f t="shared" si="301"/>
        <v>27.771019857376814</v>
      </c>
      <c r="T74" s="291">
        <f t="shared" si="302"/>
        <v>25.766430331394076</v>
      </c>
      <c r="U74" s="292">
        <f t="shared" si="303"/>
        <v>23.485343255102634</v>
      </c>
      <c r="V74" s="291">
        <f t="shared" si="304"/>
        <v>19.150445371866226</v>
      </c>
      <c r="W74" s="291">
        <f t="shared" si="305"/>
        <v>17.214551730950671</v>
      </c>
      <c r="X74" s="291">
        <f t="shared" si="306"/>
        <v>16.499201375246049</v>
      </c>
      <c r="Y74" s="291">
        <f t="shared" si="307"/>
        <v>15.948978422582149</v>
      </c>
      <c r="Z74" s="291">
        <f t="shared" si="308"/>
        <v>15.299259929358959</v>
      </c>
      <c r="AA74" s="291">
        <f t="shared" si="309"/>
        <v>15.137728924552599</v>
      </c>
      <c r="AB74" s="291">
        <f t="shared" si="310"/>
        <v>14.976197919746239</v>
      </c>
      <c r="AC74" s="292">
        <f t="shared" si="311"/>
        <v>14.906970621148744</v>
      </c>
    </row>
    <row r="75" spans="1:29">
      <c r="A75" s="311">
        <v>7</v>
      </c>
      <c r="B75" s="355">
        <f t="shared" si="287"/>
        <v>36708</v>
      </c>
      <c r="C75" s="239">
        <f t="shared" si="312"/>
        <v>42.993749999999999</v>
      </c>
      <c r="D75" s="239">
        <f t="shared" si="313"/>
        <v>23.583064516129031</v>
      </c>
      <c r="E75" s="229">
        <v>7</v>
      </c>
      <c r="F75" s="290">
        <f t="shared" si="288"/>
        <v>48.682931008189918</v>
      </c>
      <c r="G75" s="291">
        <f t="shared" si="289"/>
        <v>48.533883485198018</v>
      </c>
      <c r="H75" s="291">
        <f t="shared" si="290"/>
        <v>47.834475895017384</v>
      </c>
      <c r="I75" s="291">
        <f t="shared" si="291"/>
        <v>47.384857828170063</v>
      </c>
      <c r="J75" s="291">
        <f t="shared" si="292"/>
        <v>46.960215125977989</v>
      </c>
      <c r="K75" s="291">
        <f t="shared" si="293"/>
        <v>45.77239129319787</v>
      </c>
      <c r="L75" s="291">
        <f t="shared" si="294"/>
        <v>45.769895294308661</v>
      </c>
      <c r="M75" s="291">
        <f t="shared" si="295"/>
        <v>44.447354149818416</v>
      </c>
      <c r="N75" s="291">
        <f t="shared" si="296"/>
        <v>44.447354149818416</v>
      </c>
      <c r="O75" s="291">
        <f t="shared" si="297"/>
        <v>44.230586640536785</v>
      </c>
      <c r="P75" s="291">
        <f t="shared" si="298"/>
        <v>42.688779425248505</v>
      </c>
      <c r="Q75" s="291">
        <f t="shared" si="299"/>
        <v>40.351978625357148</v>
      </c>
      <c r="R75" s="291">
        <f t="shared" si="300"/>
        <v>38.129834891483185</v>
      </c>
      <c r="S75" s="291">
        <f t="shared" si="301"/>
        <v>37.774270367994902</v>
      </c>
      <c r="T75" s="291">
        <f t="shared" si="302"/>
        <v>34.535650306195016</v>
      </c>
      <c r="U75" s="292">
        <f t="shared" si="303"/>
        <v>30.355544076114892</v>
      </c>
      <c r="V75" s="291">
        <f t="shared" si="304"/>
        <v>28.657627098214242</v>
      </c>
      <c r="W75" s="291">
        <f t="shared" si="305"/>
        <v>25.279803187424136</v>
      </c>
      <c r="X75" s="291">
        <f t="shared" si="306"/>
        <v>23.815996465086936</v>
      </c>
      <c r="Y75" s="291">
        <f t="shared" si="307"/>
        <v>23.15367047166632</v>
      </c>
      <c r="Z75" s="291">
        <f t="shared" si="308"/>
        <v>22.600896010283499</v>
      </c>
      <c r="AA75" s="291">
        <f t="shared" si="309"/>
        <v>22.174600040864558</v>
      </c>
      <c r="AB75" s="291">
        <f t="shared" si="310"/>
        <v>21.56201895566717</v>
      </c>
      <c r="AC75" s="292">
        <f t="shared" si="311"/>
        <v>21.419901088505021</v>
      </c>
    </row>
    <row r="76" spans="1:29">
      <c r="A76" s="311">
        <v>8</v>
      </c>
      <c r="B76" s="355">
        <f t="shared" si="287"/>
        <v>36739</v>
      </c>
      <c r="C76" s="239">
        <f t="shared" si="312"/>
        <v>58.40625</v>
      </c>
      <c r="D76" s="239">
        <f t="shared" si="313"/>
        <v>21.411290322580648</v>
      </c>
      <c r="E76" s="229">
        <v>8</v>
      </c>
      <c r="F76" s="290">
        <f t="shared" si="288"/>
        <v>65.74132189527154</v>
      </c>
      <c r="G76" s="291">
        <f t="shared" si="289"/>
        <v>65.709718801081181</v>
      </c>
      <c r="H76" s="291">
        <f t="shared" si="290"/>
        <v>65.420062065124512</v>
      </c>
      <c r="I76" s="291">
        <f t="shared" si="291"/>
        <v>64.397873595356941</v>
      </c>
      <c r="J76" s="291">
        <f t="shared" si="292"/>
        <v>63.901379864662886</v>
      </c>
      <c r="K76" s="291">
        <f t="shared" si="293"/>
        <v>61.446232326328754</v>
      </c>
      <c r="L76" s="291">
        <f t="shared" si="294"/>
        <v>61.116136997938156</v>
      </c>
      <c r="M76" s="291">
        <f t="shared" si="295"/>
        <v>59.584943063557148</v>
      </c>
      <c r="N76" s="291">
        <f t="shared" si="296"/>
        <v>59.044035114347935</v>
      </c>
      <c r="O76" s="291">
        <f t="shared" si="297"/>
        <v>58.474336948245764</v>
      </c>
      <c r="P76" s="291">
        <f t="shared" si="298"/>
        <v>57.733209924772382</v>
      </c>
      <c r="Q76" s="291">
        <f t="shared" si="299"/>
        <v>55.110560417175293</v>
      </c>
      <c r="R76" s="291">
        <f t="shared" si="300"/>
        <v>53.942346017807722</v>
      </c>
      <c r="S76" s="291">
        <f t="shared" si="301"/>
        <v>51.985586028546095</v>
      </c>
      <c r="T76" s="291">
        <f t="shared" si="302"/>
        <v>48.175501953810453</v>
      </c>
      <c r="U76" s="292">
        <f t="shared" si="303"/>
        <v>42.716744542121887</v>
      </c>
      <c r="V76" s="291">
        <f t="shared" si="304"/>
        <v>25.23154522142103</v>
      </c>
      <c r="W76" s="291">
        <f t="shared" si="305"/>
        <v>22.878538903690156</v>
      </c>
      <c r="X76" s="291">
        <f t="shared" si="306"/>
        <v>22.263126334836407</v>
      </c>
      <c r="Y76" s="291">
        <f t="shared" si="307"/>
        <v>21.088519627528807</v>
      </c>
      <c r="Z76" s="291">
        <f t="shared" si="308"/>
        <v>20.395263209939007</v>
      </c>
      <c r="AA76" s="291">
        <f t="shared" si="309"/>
        <v>20.033610153102106</v>
      </c>
      <c r="AB76" s="291">
        <f t="shared" si="310"/>
        <v>19.699860203170008</v>
      </c>
      <c r="AC76" s="292">
        <f t="shared" si="311"/>
        <v>19.699860203170008</v>
      </c>
    </row>
    <row r="77" spans="1:29">
      <c r="A77" s="311">
        <v>9</v>
      </c>
      <c r="B77" s="355">
        <f t="shared" si="287"/>
        <v>36770</v>
      </c>
      <c r="C77" s="239">
        <f t="shared" si="312"/>
        <v>46.40625</v>
      </c>
      <c r="D77" s="239">
        <f t="shared" si="313"/>
        <v>23.197916666666664</v>
      </c>
      <c r="E77" s="229">
        <v>9</v>
      </c>
      <c r="F77" s="290">
        <f t="shared" si="288"/>
        <v>49.840948730707169</v>
      </c>
      <c r="G77" s="291">
        <f t="shared" si="289"/>
        <v>49.76219991222024</v>
      </c>
      <c r="H77" s="291">
        <f t="shared" si="290"/>
        <v>49.586767349392176</v>
      </c>
      <c r="I77" s="291">
        <f t="shared" si="291"/>
        <v>49.545702897012234</v>
      </c>
      <c r="J77" s="291">
        <f t="shared" si="292"/>
        <v>49.439404439181089</v>
      </c>
      <c r="K77" s="291">
        <f t="shared" si="293"/>
        <v>48.793027941137552</v>
      </c>
      <c r="L77" s="291">
        <f t="shared" si="294"/>
        <v>47.890290431678295</v>
      </c>
      <c r="M77" s="291">
        <f t="shared" si="295"/>
        <v>47.890290431678295</v>
      </c>
      <c r="N77" s="291">
        <f t="shared" si="296"/>
        <v>47.70563593134284</v>
      </c>
      <c r="O77" s="291">
        <f t="shared" si="297"/>
        <v>47.57591474801302</v>
      </c>
      <c r="P77" s="291">
        <f t="shared" si="298"/>
        <v>47.004298456013203</v>
      </c>
      <c r="Q77" s="291">
        <f t="shared" si="299"/>
        <v>45.992665188387036</v>
      </c>
      <c r="R77" s="291">
        <f t="shared" si="300"/>
        <v>43.146059978753328</v>
      </c>
      <c r="S77" s="291">
        <f t="shared" si="301"/>
        <v>42.644274830818176</v>
      </c>
      <c r="T77" s="291">
        <f t="shared" si="302"/>
        <v>39.566612234339118</v>
      </c>
      <c r="U77" s="292">
        <f t="shared" si="303"/>
        <v>36.115900967270136</v>
      </c>
      <c r="V77" s="291">
        <f t="shared" si="304"/>
        <v>27.416962873190638</v>
      </c>
      <c r="W77" s="291">
        <f t="shared" si="305"/>
        <v>24.274251850942768</v>
      </c>
      <c r="X77" s="291">
        <f t="shared" si="306"/>
        <v>23.898679138471682</v>
      </c>
      <c r="Y77" s="291">
        <f t="shared" si="307"/>
        <v>22.871782520785924</v>
      </c>
      <c r="Z77" s="291">
        <f t="shared" si="308"/>
        <v>22.347779344146449</v>
      </c>
      <c r="AA77" s="291">
        <f t="shared" si="309"/>
        <v>21.938240518172581</v>
      </c>
      <c r="AB77" s="291">
        <f t="shared" si="310"/>
        <v>21.421833915015061</v>
      </c>
      <c r="AC77" s="292">
        <f t="shared" si="311"/>
        <v>21.413801789904632</v>
      </c>
    </row>
    <row r="78" spans="1:29">
      <c r="A78" s="311">
        <v>10</v>
      </c>
      <c r="B78" s="355">
        <f t="shared" si="287"/>
        <v>36800</v>
      </c>
      <c r="C78" s="239">
        <f t="shared" si="312"/>
        <v>32.34375</v>
      </c>
      <c r="D78" s="239">
        <f t="shared" si="313"/>
        <v>22.300403225806452</v>
      </c>
      <c r="E78" s="229">
        <v>10</v>
      </c>
      <c r="F78" s="290">
        <f t="shared" si="288"/>
        <v>35.916580818593502</v>
      </c>
      <c r="G78" s="291">
        <f t="shared" si="289"/>
        <v>35.237908679991961</v>
      </c>
      <c r="H78" s="291">
        <f t="shared" si="290"/>
        <v>33.696251548826694</v>
      </c>
      <c r="I78" s="291">
        <f t="shared" si="291"/>
        <v>33.241162318736315</v>
      </c>
      <c r="J78" s="291">
        <f t="shared" si="292"/>
        <v>32.889682799577713</v>
      </c>
      <c r="K78" s="291">
        <f t="shared" si="293"/>
        <v>32.593408841639757</v>
      </c>
      <c r="L78" s="291">
        <f t="shared" si="294"/>
        <v>32.593408841639757</v>
      </c>
      <c r="M78" s="291">
        <f t="shared" si="295"/>
        <v>32.593408841639757</v>
      </c>
      <c r="N78" s="291">
        <f t="shared" si="296"/>
        <v>32.320224596187472</v>
      </c>
      <c r="O78" s="291">
        <f t="shared" si="297"/>
        <v>32.26843323558569</v>
      </c>
      <c r="P78" s="291">
        <f t="shared" si="298"/>
        <v>32.174196671694517</v>
      </c>
      <c r="Q78" s="291">
        <f t="shared" si="299"/>
        <v>32.103984821587801</v>
      </c>
      <c r="R78" s="291">
        <f t="shared" si="300"/>
        <v>32.103984821587801</v>
      </c>
      <c r="S78" s="291">
        <f t="shared" si="301"/>
        <v>30.0623410474509</v>
      </c>
      <c r="T78" s="291">
        <f t="shared" si="302"/>
        <v>29.958444088697433</v>
      </c>
      <c r="U78" s="292">
        <f t="shared" si="303"/>
        <v>27.746585737913847</v>
      </c>
      <c r="V78" s="291">
        <f t="shared" si="304"/>
        <v>25.800092557985938</v>
      </c>
      <c r="W78" s="291">
        <f t="shared" si="305"/>
        <v>23.479631026666009</v>
      </c>
      <c r="X78" s="291">
        <f t="shared" si="306"/>
        <v>23.192952845606111</v>
      </c>
      <c r="Y78" s="291">
        <f t="shared" si="307"/>
        <v>22.352470946408086</v>
      </c>
      <c r="Z78" s="291">
        <f t="shared" si="308"/>
        <v>21.294672906999626</v>
      </c>
      <c r="AA78" s="291">
        <f t="shared" si="309"/>
        <v>21.096995809265682</v>
      </c>
      <c r="AB78" s="291">
        <f t="shared" si="310"/>
        <v>20.650316920251615</v>
      </c>
      <c r="AC78" s="292">
        <f t="shared" si="311"/>
        <v>20.536091464060931</v>
      </c>
    </row>
    <row r="79" spans="1:29">
      <c r="A79" s="311">
        <v>11</v>
      </c>
      <c r="B79" s="355">
        <f t="shared" si="287"/>
        <v>36831</v>
      </c>
      <c r="C79" s="239">
        <f t="shared" si="312"/>
        <v>26.53125</v>
      </c>
      <c r="D79" s="239">
        <f t="shared" si="313"/>
        <v>24.15625</v>
      </c>
      <c r="E79" s="229">
        <v>11</v>
      </c>
      <c r="F79" s="290">
        <f t="shared" si="288"/>
        <v>30.340336974710226</v>
      </c>
      <c r="G79" s="291">
        <f t="shared" si="289"/>
        <v>29.561545617878437</v>
      </c>
      <c r="H79" s="291">
        <f t="shared" si="290"/>
        <v>28.255782768130302</v>
      </c>
      <c r="I79" s="291">
        <f t="shared" si="291"/>
        <v>27.993152551352978</v>
      </c>
      <c r="J79" s="291">
        <f t="shared" si="292"/>
        <v>27.606899086385965</v>
      </c>
      <c r="K79" s="291">
        <f t="shared" si="293"/>
        <v>27.454134061932564</v>
      </c>
      <c r="L79" s="291">
        <f t="shared" si="294"/>
        <v>27.407132115215063</v>
      </c>
      <c r="M79" s="291">
        <f t="shared" si="295"/>
        <v>26.744863584637642</v>
      </c>
      <c r="N79" s="291">
        <f t="shared" si="296"/>
        <v>26.662720084190369</v>
      </c>
      <c r="O79" s="291">
        <f t="shared" si="297"/>
        <v>26.275656949728727</v>
      </c>
      <c r="P79" s="291">
        <f t="shared" si="298"/>
        <v>25.407922133803368</v>
      </c>
      <c r="Q79" s="291">
        <f t="shared" si="299"/>
        <v>24.604809064418077</v>
      </c>
      <c r="R79" s="291">
        <f t="shared" si="300"/>
        <v>24.604809064418077</v>
      </c>
      <c r="S79" s="291">
        <f t="shared" si="301"/>
        <v>24.421788968145847</v>
      </c>
      <c r="T79" s="291">
        <f t="shared" si="302"/>
        <v>24.321745762601495</v>
      </c>
      <c r="U79" s="292">
        <f t="shared" si="303"/>
        <v>22.836701212450862</v>
      </c>
      <c r="V79" s="291">
        <f t="shared" si="304"/>
        <v>27.495019182562828</v>
      </c>
      <c r="W79" s="291">
        <f t="shared" si="305"/>
        <v>27.157953340560198</v>
      </c>
      <c r="X79" s="291">
        <f t="shared" si="306"/>
        <v>23.954635666683316</v>
      </c>
      <c r="Y79" s="291">
        <f t="shared" si="307"/>
        <v>23.872061720117927</v>
      </c>
      <c r="Z79" s="291">
        <f t="shared" si="308"/>
        <v>23.603724470362067</v>
      </c>
      <c r="AA79" s="291">
        <f t="shared" si="309"/>
        <v>22.70625869743526</v>
      </c>
      <c r="AB79" s="291">
        <f t="shared" si="310"/>
        <v>22.311679057776928</v>
      </c>
      <c r="AC79" s="292">
        <f t="shared" si="311"/>
        <v>22.148666424676776</v>
      </c>
    </row>
    <row r="80" spans="1:29" ht="13.5" thickBot="1">
      <c r="A80" s="312">
        <v>12</v>
      </c>
      <c r="B80" s="356">
        <f t="shared" si="287"/>
        <v>36861</v>
      </c>
      <c r="C80" s="244">
        <f t="shared" si="312"/>
        <v>26.53125</v>
      </c>
      <c r="D80" s="244">
        <f t="shared" si="313"/>
        <v>24.060483870967747</v>
      </c>
      <c r="E80" s="240">
        <v>12</v>
      </c>
      <c r="F80" s="293">
        <f t="shared" si="288"/>
        <v>30.827979404479265</v>
      </c>
      <c r="G80" s="294">
        <f t="shared" si="289"/>
        <v>30.132188659161329</v>
      </c>
      <c r="H80" s="294">
        <f t="shared" si="290"/>
        <v>28.759346589446068</v>
      </c>
      <c r="I80" s="294">
        <f t="shared" si="291"/>
        <v>28.650831900537014</v>
      </c>
      <c r="J80" s="294">
        <f t="shared" si="292"/>
        <v>27.60714578256011</v>
      </c>
      <c r="K80" s="294">
        <f t="shared" si="293"/>
        <v>27.483699649572372</v>
      </c>
      <c r="L80" s="294">
        <f t="shared" si="294"/>
        <v>27.326585814356804</v>
      </c>
      <c r="M80" s="294">
        <f t="shared" si="295"/>
        <v>27.299085516482592</v>
      </c>
      <c r="N80" s="294">
        <f t="shared" si="296"/>
        <v>26.084057835862041</v>
      </c>
      <c r="O80" s="294">
        <f t="shared" si="297"/>
        <v>25.994534008204937</v>
      </c>
      <c r="P80" s="294">
        <f t="shared" si="298"/>
        <v>24.857655247673392</v>
      </c>
      <c r="Q80" s="294">
        <f t="shared" si="299"/>
        <v>24.616180809214711</v>
      </c>
      <c r="R80" s="294">
        <f t="shared" si="300"/>
        <v>24.296533729881048</v>
      </c>
      <c r="S80" s="294">
        <f t="shared" si="301"/>
        <v>24.077592456713319</v>
      </c>
      <c r="T80" s="294">
        <f t="shared" si="302"/>
        <v>23.746635306626558</v>
      </c>
      <c r="U80" s="295">
        <f t="shared" si="303"/>
        <v>22.739947289228439</v>
      </c>
      <c r="V80" s="294">
        <f t="shared" si="304"/>
        <v>28.36145403356322</v>
      </c>
      <c r="W80" s="294">
        <f t="shared" si="305"/>
        <v>26.876638549470137</v>
      </c>
      <c r="X80" s="294">
        <f t="shared" si="306"/>
        <v>24.988067615897432</v>
      </c>
      <c r="Y80" s="294">
        <f t="shared" si="307"/>
        <v>23.059236727174255</v>
      </c>
      <c r="Z80" s="294">
        <f t="shared" si="308"/>
        <v>22.959370584016852</v>
      </c>
      <c r="AA80" s="294">
        <f t="shared" si="309"/>
        <v>22.167667952276052</v>
      </c>
      <c r="AB80" s="294">
        <f t="shared" si="310"/>
        <v>22.09729441687946</v>
      </c>
      <c r="AC80" s="295">
        <f t="shared" si="311"/>
        <v>21.974141088464574</v>
      </c>
    </row>
  </sheetData>
  <pageMargins left="0.75" right="0.75" top="1" bottom="1" header="0.5" footer="0.5"/>
  <pageSetup scale="20" orientation="landscape"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Dialogs</vt:lpstr>
      </vt:variant>
      <vt:variant>
        <vt:i4>4</vt:i4>
      </vt:variant>
      <vt:variant>
        <vt:lpstr>Named Ranges</vt:lpstr>
      </vt:variant>
      <vt:variant>
        <vt:i4>183</vt:i4>
      </vt:variant>
    </vt:vector>
  </HeadingPairs>
  <TitlesOfParts>
    <vt:vector size="199" baseType="lpstr">
      <vt:lpstr>MAIN</vt:lpstr>
      <vt:lpstr>Henwood Reference</vt:lpstr>
      <vt:lpstr>Tejon</vt:lpstr>
      <vt:lpstr>Returns</vt:lpstr>
      <vt:lpstr>Budget</vt:lpstr>
      <vt:lpstr>Debt</vt:lpstr>
      <vt:lpstr>Assumptions</vt:lpstr>
      <vt:lpstr>Template</vt:lpstr>
      <vt:lpstr>Gas Curves</vt:lpstr>
      <vt:lpstr>Curve Paste</vt:lpstr>
      <vt:lpstr>CALC</vt:lpstr>
      <vt:lpstr>TAKE</vt:lpstr>
      <vt:lpstr>Iterbox</vt:lpstr>
      <vt:lpstr>InpBox</vt:lpstr>
      <vt:lpstr>GoToBox</vt:lpstr>
      <vt:lpstr>PrintBox</vt:lpstr>
      <vt:lpstr>ASSET_SALES</vt:lpstr>
      <vt:lpstr>AvailDays</vt:lpstr>
      <vt:lpstr>BasisIndex</vt:lpstr>
      <vt:lpstr>BasisNumber</vt:lpstr>
      <vt:lpstr>BasisTable</vt:lpstr>
      <vt:lpstr>BegDate</vt:lpstr>
      <vt:lpstr>BegMonth</vt:lpstr>
      <vt:lpstr>BegYear</vt:lpstr>
      <vt:lpstr>BS</vt:lpstr>
      <vt:lpstr>CalcMode</vt:lpstr>
      <vt:lpstr>CAP_TFF_FEES</vt:lpstr>
      <vt:lpstr>CAP1</vt:lpstr>
      <vt:lpstr>CAP2</vt:lpstr>
      <vt:lpstr>CASH</vt:lpstr>
      <vt:lpstr>CASH1</vt:lpstr>
      <vt:lpstr>CASH2</vt:lpstr>
      <vt:lpstr>CASHA</vt:lpstr>
      <vt:lpstr>CASHB</vt:lpstr>
      <vt:lpstr>CASHC</vt:lpstr>
      <vt:lpstr>CBidOfferVolSpreadFlag</vt:lpstr>
      <vt:lpstr>CBuySell</vt:lpstr>
      <vt:lpstr>CCapVolCurve</vt:lpstr>
      <vt:lpstr>CFloorVolCurve</vt:lpstr>
      <vt:lpstr>CombineTakesFlag</vt:lpstr>
      <vt:lpstr>CorrPeakOffPeak</vt:lpstr>
      <vt:lpstr>CorrPeakOffPeakOver</vt:lpstr>
      <vt:lpstr>CorrPeakOffPeakOverFlag</vt:lpstr>
      <vt:lpstr>CorrPowerGas</vt:lpstr>
      <vt:lpstr>CorrPowerGasOver</vt:lpstr>
      <vt:lpstr>CorrPowerGasOverFlag</vt:lpstr>
      <vt:lpstr>CPriceCurve</vt:lpstr>
      <vt:lpstr>CSpec</vt:lpstr>
      <vt:lpstr>Template!curr2</vt:lpstr>
      <vt:lpstr>CurveDate</vt:lpstr>
      <vt:lpstr>CustomHoFlag</vt:lpstr>
      <vt:lpstr>CustomHoPeriod</vt:lpstr>
      <vt:lpstr>CustomMFFlag</vt:lpstr>
      <vt:lpstr>CustomMFPeriod</vt:lpstr>
      <vt:lpstr>CustomSaFlag</vt:lpstr>
      <vt:lpstr>CustomSaPeriod</vt:lpstr>
      <vt:lpstr>CustomSuFlag</vt:lpstr>
      <vt:lpstr>CustomSuPeriod</vt:lpstr>
      <vt:lpstr>CVolSmile</vt:lpstr>
      <vt:lpstr>CVolType</vt:lpstr>
      <vt:lpstr>DailyScalarsTable</vt:lpstr>
      <vt:lpstr>DateToday</vt:lpstr>
      <vt:lpstr>Debt_Sched</vt:lpstr>
      <vt:lpstr>Debt_Term</vt:lpstr>
      <vt:lpstr>DEBTSCHED_THRU_TAXAS</vt:lpstr>
      <vt:lpstr>DEFREV</vt:lpstr>
      <vt:lpstr>DEFREV1</vt:lpstr>
      <vt:lpstr>DEFREV2</vt:lpstr>
      <vt:lpstr>DEFREVA</vt:lpstr>
      <vt:lpstr>DEFREVB</vt:lpstr>
      <vt:lpstr>DiffOptVolume</vt:lpstr>
      <vt:lpstr>DiffOptVolumeFlag</vt:lpstr>
      <vt:lpstr>DiffOptVolumeHourlyOver</vt:lpstr>
      <vt:lpstr>DiffOptVolumeMonthlyOver</vt:lpstr>
      <vt:lpstr>DILUTION</vt:lpstr>
      <vt:lpstr>EmbeddedOrigination</vt:lpstr>
      <vt:lpstr>EndDate</vt:lpstr>
      <vt:lpstr>FASB</vt:lpstr>
      <vt:lpstr>FINFEE1A</vt:lpstr>
      <vt:lpstr>FINFEE2A</vt:lpstr>
      <vt:lpstr>FirmHol</vt:lpstr>
      <vt:lpstr>FirmSat</vt:lpstr>
      <vt:lpstr>FirmSun</vt:lpstr>
      <vt:lpstr>FirmWeek</vt:lpstr>
      <vt:lpstr>FundsFlow</vt:lpstr>
      <vt:lpstr>GasFirstMonth</vt:lpstr>
      <vt:lpstr>GasPriceCurve</vt:lpstr>
      <vt:lpstr>GasTable</vt:lpstr>
      <vt:lpstr>GasTransportPercent</vt:lpstr>
      <vt:lpstr>GasVolCurve</vt:lpstr>
      <vt:lpstr>HeatRateDegradation</vt:lpstr>
      <vt:lpstr>HeatRatePeak</vt:lpstr>
      <vt:lpstr>Holidays</vt:lpstr>
      <vt:lpstr>INCTAX</vt:lpstr>
      <vt:lpstr>INPUT</vt:lpstr>
      <vt:lpstr>INT</vt:lpstr>
      <vt:lpstr>INTEXP</vt:lpstr>
      <vt:lpstr>INTEXP1</vt:lpstr>
      <vt:lpstr>INTEXP1A</vt:lpstr>
      <vt:lpstr>INTEXP2</vt:lpstr>
      <vt:lpstr>INTEXP2A</vt:lpstr>
      <vt:lpstr>INTINC</vt:lpstr>
      <vt:lpstr>INTINC1</vt:lpstr>
      <vt:lpstr>INTINC1A</vt:lpstr>
      <vt:lpstr>INTINC2</vt:lpstr>
      <vt:lpstr>INTINC2A</vt:lpstr>
      <vt:lpstr>IRFirstMonth</vt:lpstr>
      <vt:lpstr>IRTable</vt:lpstr>
      <vt:lpstr>IS</vt:lpstr>
      <vt:lpstr>iterprec</vt:lpstr>
      <vt:lpstr>iterx</vt:lpstr>
      <vt:lpstr>K</vt:lpstr>
      <vt:lpstr>KA</vt:lpstr>
      <vt:lpstr>KB</vt:lpstr>
      <vt:lpstr>MaxMWTable</vt:lpstr>
      <vt:lpstr>MonthKnockOutTable</vt:lpstr>
      <vt:lpstr>MostExpFlag</vt:lpstr>
      <vt:lpstr>OBuySell</vt:lpstr>
      <vt:lpstr>OCallPut</vt:lpstr>
      <vt:lpstr>OffPeakPeriod</vt:lpstr>
      <vt:lpstr>OImpVol</vt:lpstr>
      <vt:lpstr>OmicronIndex</vt:lpstr>
      <vt:lpstr>OmicronNumber</vt:lpstr>
      <vt:lpstr>OPCO</vt:lpstr>
      <vt:lpstr>OPENBS</vt:lpstr>
      <vt:lpstr>OPENBS_WC</vt:lpstr>
      <vt:lpstr>OPriceCurve</vt:lpstr>
      <vt:lpstr>OptExpDateShift</vt:lpstr>
      <vt:lpstr>OptHol</vt:lpstr>
      <vt:lpstr>OptSat</vt:lpstr>
      <vt:lpstr>OptSun</vt:lpstr>
      <vt:lpstr>OptWeek</vt:lpstr>
      <vt:lpstr>OrderedPrices</vt:lpstr>
      <vt:lpstr>OrderedPricesSat</vt:lpstr>
      <vt:lpstr>OrderedPricesSun</vt:lpstr>
      <vt:lpstr>OrderedScalars</vt:lpstr>
      <vt:lpstr>OTake</vt:lpstr>
      <vt:lpstr>Other_Inc</vt:lpstr>
      <vt:lpstr>Template!output</vt:lpstr>
      <vt:lpstr>OVolCurve</vt:lpstr>
      <vt:lpstr>OVolOverDailyOffPeak</vt:lpstr>
      <vt:lpstr>OVolOverDailyPeak</vt:lpstr>
      <vt:lpstr>OVolOverMonthlyOffPeak</vt:lpstr>
      <vt:lpstr>OVolOverMonthlyPeak</vt:lpstr>
      <vt:lpstr>OVolSmile</vt:lpstr>
      <vt:lpstr>OVolType</vt:lpstr>
      <vt:lpstr>PeakEnd</vt:lpstr>
      <vt:lpstr>PeakPeriod</vt:lpstr>
      <vt:lpstr>PeakStart</vt:lpstr>
      <vt:lpstr>PlannedOutages</vt:lpstr>
      <vt:lpstr>Plantstart</vt:lpstr>
      <vt:lpstr>PositionRegion</vt:lpstr>
      <vt:lpstr>PriceEsc</vt:lpstr>
      <vt:lpstr>PriceEscType</vt:lpstr>
      <vt:lpstr>PriceTable</vt:lpstr>
      <vt:lpstr>PriceTableWeekend</vt:lpstr>
      <vt:lpstr>Assumptions!Print_Area</vt:lpstr>
      <vt:lpstr>Budget!Print_Area</vt:lpstr>
      <vt:lpstr>CALC!Print_Area</vt:lpstr>
      <vt:lpstr>Debt!Print_Area</vt:lpstr>
      <vt:lpstr>MAIN!Print_Area</vt:lpstr>
      <vt:lpstr>Returns!Print_Area</vt:lpstr>
      <vt:lpstr>Tejon!Print_Area</vt:lpstr>
      <vt:lpstr>Template!Print_Area</vt:lpstr>
      <vt:lpstr>CALC!Print_Titles</vt:lpstr>
      <vt:lpstr>Template!Print_Titles</vt:lpstr>
      <vt:lpstr>RankOffPeak</vt:lpstr>
      <vt:lpstr>RankPeak</vt:lpstr>
      <vt:lpstr>RegionIndex</vt:lpstr>
      <vt:lpstr>RegionNumber</vt:lpstr>
      <vt:lpstr>REPAY</vt:lpstr>
      <vt:lpstr>S_U</vt:lpstr>
      <vt:lpstr>SBuySell</vt:lpstr>
      <vt:lpstr>ScalarsOrderedOffPeak</vt:lpstr>
      <vt:lpstr>ScalarsOrderedPeak</vt:lpstr>
      <vt:lpstr>SOBuySell</vt:lpstr>
      <vt:lpstr>SOCallPut</vt:lpstr>
      <vt:lpstr>SOPriceCurve</vt:lpstr>
      <vt:lpstr>STake</vt:lpstr>
      <vt:lpstr>Template!stub</vt:lpstr>
      <vt:lpstr>TakeType</vt:lpstr>
      <vt:lpstr>TAX</vt:lpstr>
      <vt:lpstr>TDATE</vt:lpstr>
      <vt:lpstr>Template!TIT</vt:lpstr>
      <vt:lpstr>TRANSACTION_FEES</vt:lpstr>
      <vt:lpstr>VAL</vt:lpstr>
      <vt:lpstr>VolatilityTable</vt:lpstr>
      <vt:lpstr>VolSmileBook</vt:lpstr>
      <vt:lpstr>Volume</vt:lpstr>
      <vt:lpstr>VolumeEsc</vt:lpstr>
      <vt:lpstr>VolumeEscType</vt:lpstr>
      <vt:lpstr>VolumeHourlyOver</vt:lpstr>
      <vt:lpstr>VolumeMonthlyOver</vt:lpstr>
      <vt:lpstr>VolumeMonthlyOverFlag</vt:lpstr>
      <vt:lpstr>waitime</vt:lpstr>
      <vt:lpstr>WC</vt:lpstr>
      <vt:lpstr>WeatherCapacityAdjustment</vt:lpstr>
      <vt:lpstr>WeatherHeatRateAdjustment</vt:lpstr>
      <vt:lpstr>WeekDef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Jan Havlíček</cp:lastModifiedBy>
  <cp:lastPrinted>2000-04-29T00:08:31Z</cp:lastPrinted>
  <dcterms:created xsi:type="dcterms:W3CDTF">1997-06-16T16:38:16Z</dcterms:created>
  <dcterms:modified xsi:type="dcterms:W3CDTF">2023-09-13T23:01:29Z</dcterms:modified>
</cp:coreProperties>
</file>